
<file path=[Content_Types].xml><?xml version="1.0" encoding="utf-8"?>
<Types xmlns="http://schemas.openxmlformats.org/package/2006/content-types">
  <Default ContentType="application/vnd.openxmlformats-officedocument.spreadsheetml.printerSettings" Extension="bin"/>
  <Default ContentType="image/x-emf" Extension="emf"/>
  <Default ContentType="image/jpeg" Extension="jpeg"/>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customXmlProperties+xml" PartName="/customXml/itemProps3.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mments+xml" PartName="/xl/comments6.xml"/>
  <Override ContentType="application/vnd.openxmlformats-officedocument.spreadsheetml.comments+xml" PartName="/xl/comments7.xml"/>
  <Override ContentType="application/vnd.openxmlformats-officedocument.spreadsheetml.comments+xml" PartName="/xl/comments8.xml"/>
  <Override ContentType="application/vnd.openxmlformats-officedocument.spreadsheetml.comments+xml" PartName="/xl/comments9.xml"/>
  <Override ContentType="application/vnd.ms-excel.controlproperties+xml" PartName="/xl/ctrlProps/ctrlProp1.xml"/>
  <Override ContentType="application/vnd.ms-excel.controlproperties+xml" PartName="/xl/ctrlProps/ctrlProp2.xml"/>
  <Override ContentType="application/vnd.ms-excel.controlproperties+xml" PartName="/xl/ctrlProps/ctrlProp3.xml"/>
  <Override ContentType="application/vnd.ms-excel.controlproperties+xml" PartName="/xl/ctrlProps/ctrlProp4.xml"/>
  <Override ContentType="application/vnd.ms-excel.controlproperties+xml" PartName="/xl/ctrlProps/ctrlProp5.xml"/>
  <Override ContentType="application/vnd.ms-excel.controlproperties+xml" PartName="/xl/ctrlProps/ctrlProp6.xml"/>
  <Override ContentType="application/vnd.ms-excel.controlproperties+xml" PartName="/xl/ctrlProps/ctrlProp7.xml"/>
  <Override ContentType="application/vnd.ms-excel.controlproperties+xml" PartName="/xl/ctrlProps/ctrlProp8.xml"/>
  <Override ContentType="application/vnd.ms-excel.controlproperties+xml" PartName="/xl/ctrlProps/ctrlProp9.xml"/>
  <Override ContentType="application/vnd.ms-excel.controlproperties+xml" PartName="/xl/ctrlProps/ctrlProp10.xml"/>
  <Override ContentType="application/vnd.ms-excel.controlproperties+xml" PartName="/xl/ctrlProps/ctrlProp11.xml"/>
  <Override ContentType="application/vnd.ms-excel.controlproperties+xml" PartName="/xl/ctrlProps/ctrlProp12.xml"/>
  <Override ContentType="application/vnd.ms-excel.controlproperties+xml" PartName="/xl/ctrlProps/ctrlProp13.xml"/>
  <Override ContentType="application/vnd.ms-excel.controlproperties+xml" PartName="/xl/ctrlProps/ctrlProp14.xml"/>
  <Override ContentType="application/vnd.ms-excel.controlproperties+xml" PartName="/xl/ctrlProps/ctrlProp15.xml"/>
  <Override ContentType="application/vnd.ms-excel.controlproperties+xml" PartName="/xl/ctrlProps/ctrlProp16.xml"/>
  <Override ContentType="application/vnd.ms-excel.controlproperties+xml" PartName="/xl/ctrlProps/ctrlProp17.xml"/>
  <Override ContentType="application/vnd.ms-excel.controlproperties+xml" PartName="/xl/ctrlProps/ctrlProp18.xml"/>
  <Override ContentType="application/vnd.ms-excel.controlproperties+xml" PartName="/xl/ctrlProps/ctrlProp19.xml"/>
  <Override ContentType="application/vnd.ms-excel.controlproperties+xml" PartName="/xl/ctrlProps/ctrlProp20.xml"/>
  <Override ContentType="application/vnd.ms-excel.controlproperties+xml" PartName="/xl/ctrlProps/ctrlProp21.xml"/>
  <Override ContentType="application/vnd.ms-excel.controlproperties+xml" PartName="/xl/ctrlProps/ctrlProp22.xml"/>
  <Override ContentType="application/vnd.ms-excel.controlproperties+xml" PartName="/xl/ctrlProps/ctrlProp23.xml"/>
  <Override ContentType="application/vnd.ms-excel.controlproperties+xml" PartName="/xl/ctrlProps/ctrlProp24.xml"/>
  <Override ContentType="application/vnd.ms-excel.controlproperties+xml" PartName="/xl/ctrlProps/ctrlProp25.xml"/>
  <Override ContentType="application/vnd.ms-excel.controlproperties+xml" PartName="/xl/ctrlProps/ctrlProp26.xml"/>
  <Override ContentType="application/vnd.ms-excel.controlproperties+xml" PartName="/xl/ctrlProps/ctrlProp27.xml"/>
  <Override ContentType="application/vnd.ms-excel.controlproperties+xml" PartName="/xl/ctrlProps/ctrlProp28.xml"/>
  <Override ContentType="application/vnd.ms-excel.controlproperties+xml" PartName="/xl/ctrlProps/ctrlProp29.xml"/>
  <Override ContentType="application/vnd.ms-excel.controlproperties+xml" PartName="/xl/ctrlProps/ctrlProp30.xml"/>
  <Override ContentType="application/vnd.ms-excel.controlproperties+xml" PartName="/xl/ctrlProps/ctrlProp31.xml"/>
  <Override ContentType="application/vnd.ms-excel.controlproperties+xml" PartName="/xl/ctrlProps/ctrlProp32.xml"/>
  <Override ContentType="application/vnd.ms-excel.controlproperties+xml" PartName="/xl/ctrlProps/ctrlProp33.xml"/>
  <Override ContentType="application/vnd.ms-excel.controlproperties+xml" PartName="/xl/ctrlProps/ctrlProp34.xml"/>
  <Override ContentType="application/vnd.ms-excel.controlproperties+xml" PartName="/xl/ctrlProps/ctrlProp35.xml"/>
  <Override ContentType="application/vnd.ms-excel.controlproperties+xml" PartName="/xl/ctrlProps/ctrlProp36.xml"/>
  <Override ContentType="application/vnd.ms-excel.controlproperties+xml" PartName="/xl/ctrlProps/ctrlProp37.xml"/>
  <Override ContentType="application/vnd.ms-excel.controlproperties+xml" PartName="/xl/ctrlProps/ctrlProp38.xml"/>
  <Override ContentType="application/vnd.ms-excel.controlproperties+xml" PartName="/xl/ctrlProps/ctrlProp39.xml"/>
  <Override ContentType="application/vnd.ms-excel.controlproperties+xml" PartName="/xl/ctrlProps/ctrlProp40.xml"/>
  <Override ContentType="application/vnd.ms-excel.controlproperties+xml" PartName="/xl/ctrlProps/ctrlProp41.xml"/>
  <Override ContentType="application/vnd.ms-excel.controlproperties+xml" PartName="/xl/ctrlProps/ctrlProp42.xml"/>
  <Override ContentType="application/vnd.ms-excel.controlproperties+xml" PartName="/xl/ctrlProps/ctrlProp43.xml"/>
  <Override ContentType="application/vnd.ms-excel.controlproperties+xml" PartName="/xl/ctrlProps/ctrlProp44.xml"/>
  <Override ContentType="application/vnd.ms-excel.controlproperties+xml" PartName="/xl/ctrlProps/ctrlProp45.xml"/>
  <Override ContentType="application/vnd.ms-excel.controlproperties+xml" PartName="/xl/ctrlProps/ctrlProp46.xml"/>
  <Override ContentType="application/vnd.ms-excel.controlproperties+xml" PartName="/xl/ctrlProps/ctrlProp47.xml"/>
  <Override ContentType="application/vnd.ms-excel.controlproperties+xml" PartName="/xl/ctrlProps/ctrlProp48.xml"/>
  <Override ContentType="application/vnd.ms-excel.controlproperties+xml" PartName="/xl/ctrlProps/ctrlProp49.xml"/>
  <Override ContentType="application/vnd.ms-excel.controlproperties+xml" PartName="/xl/ctrlProps/ctrlProp50.xml"/>
  <Override ContentType="application/vnd.ms-excel.controlproperties+xml" PartName="/xl/ctrlProps/ctrlProp51.xml"/>
  <Override ContentType="application/vnd.ms-excel.controlproperties+xml" PartName="/xl/ctrlProps/ctrlProp52.xml"/>
  <Override ContentType="application/vnd.ms-excel.controlproperties+xml" PartName="/xl/ctrlProps/ctrlProp53.xml"/>
  <Override ContentType="application/vnd.ms-excel.controlproperties+xml" PartName="/xl/ctrlProps/ctrlProp54.xml"/>
  <Override ContentType="application/vnd.ms-excel.controlproperties+xml" PartName="/xl/ctrlProps/ctrlProp55.xml"/>
  <Override ContentType="application/vnd.ms-excel.controlproperties+xml" PartName="/xl/ctrlProps/ctrlProp56.xml"/>
  <Override ContentType="application/vnd.ms-excel.controlproperties+xml" PartName="/xl/ctrlProps/ctrlProp57.xml"/>
  <Override ContentType="application/vnd.ms-excel.controlproperties+xml" PartName="/xl/ctrlProps/ctrlProp58.xml"/>
  <Override ContentType="application/vnd.ms-excel.controlproperties+xml" PartName="/xl/ctrlProps/ctrlProp59.xml"/>
  <Override ContentType="application/vnd.ms-excel.controlproperties+xml" PartName="/xl/ctrlProps/ctrlProp60.xml"/>
  <Override ContentType="application/vnd.ms-excel.controlproperties+xml" PartName="/xl/ctrlProps/ctrlProp61.xml"/>
  <Override ContentType="application/vnd.ms-excel.controlproperties+xml" PartName="/xl/ctrlProps/ctrlProp62.xml"/>
  <Override ContentType="application/vnd.ms-excel.controlproperties+xml" PartName="/xl/ctrlProps/ctrlProp63.xml"/>
  <Override ContentType="application/vnd.ms-excel.controlproperties+xml" PartName="/xl/ctrlProps/ctrlProp64.xml"/>
  <Override ContentType="application/vnd.ms-excel.controlproperties+xml" PartName="/xl/ctrlProps/ctrlProp65.xml"/>
  <Override ContentType="application/vnd.ms-excel.controlproperties+xml" PartName="/xl/ctrlProps/ctrlProp66.xml"/>
  <Override ContentType="application/vnd.ms-excel.controlproperties+xml" PartName="/xl/ctrlProps/ctrlProp67.xml"/>
  <Override ContentType="application/vnd.ms-excel.controlproperties+xml" PartName="/xl/ctrlProps/ctrlProp68.xml"/>
  <Override ContentType="application/vnd.ms-excel.controlproperties+xml" PartName="/xl/ctrlProps/ctrlProp69.xml"/>
  <Override ContentType="application/vnd.ms-excel.controlproperties+xml" PartName="/xl/ctrlProps/ctrlProp70.xml"/>
  <Override ContentType="application/vnd.ms-excel.controlproperties+xml" PartName="/xl/ctrlProps/ctrlProp71.xml"/>
  <Override ContentType="application/vnd.ms-excel.controlproperties+xml" PartName="/xl/ctrlProps/ctrlProp72.xml"/>
  <Override ContentType="application/vnd.ms-excel.controlproperties+xml" PartName="/xl/ctrlProps/ctrlProp73.xml"/>
  <Override ContentType="application/vnd.ms-excel.controlproperties+xml" PartName="/xl/ctrlProps/ctrlProp74.xml"/>
  <Override ContentType="application/vnd.ms-excel.controlproperties+xml" PartName="/xl/ctrlProps/ctrlProp75.xml"/>
  <Override ContentType="application/vnd.ms-excel.controlproperties+xml" PartName="/xl/ctrlProps/ctrlProp76.xml"/>
  <Override ContentType="application/vnd.ms-excel.controlproperties+xml" PartName="/xl/ctrlProps/ctrlProp77.xml"/>
  <Override ContentType="application/vnd.ms-excel.controlproperties+xml" PartName="/xl/ctrlProps/ctrlProp78.xml"/>
  <Override ContentType="application/vnd.ms-excel.controlproperties+xml" PartName="/xl/ctrlProps/ctrlProp79.xml"/>
  <Override ContentType="application/vnd.ms-excel.controlproperties+xml" PartName="/xl/ctrlProps/ctrlProp80.xml"/>
  <Override ContentType="application/vnd.ms-excel.controlproperties+xml" PartName="/xl/ctrlProps/ctrlProp81.xml"/>
  <Override ContentType="application/vnd.ms-excel.controlproperties+xml" PartName="/xl/ctrlProps/ctrlProp82.xml"/>
  <Override ContentType="application/vnd.ms-excel.controlproperties+xml" PartName="/xl/ctrlProps/ctrlProp83.xml"/>
  <Override ContentType="application/vnd.ms-excel.controlproperties+xml" PartName="/xl/ctrlProps/ctrlProp84.xml"/>
  <Override ContentType="application/vnd.ms-excel.controlproperties+xml" PartName="/xl/ctrlProps/ctrlProp85.xml"/>
  <Override ContentType="application/vnd.ms-excel.controlproperties+xml" PartName="/xl/ctrlProps/ctrlProp86.xml"/>
  <Override ContentType="application/vnd.ms-excel.controlproperties+xml" PartName="/xl/ctrlProps/ctrlProp87.xml"/>
  <Override ContentType="application/vnd.ms-excel.controlproperties+xml" PartName="/xl/ctrlProps/ctrlProp88.xml"/>
  <Override ContentType="application/vnd.ms-excel.controlproperties+xml" PartName="/xl/ctrlProps/ctrlProp89.xml"/>
  <Override ContentType="application/vnd.ms-excel.controlproperties+xml" PartName="/xl/ctrlProps/ctrlProp90.xml"/>
  <Override ContentType="application/vnd.ms-excel.controlproperties+xml" PartName="/xl/ctrlProps/ctrlProp91.xml"/>
  <Override ContentType="application/vnd.ms-excel.controlproperties+xml" PartName="/xl/ctrlProps/ctrlProp92.xml"/>
  <Override ContentType="application/vnd.ms-excel.controlproperties+xml" PartName="/xl/ctrlProps/ctrlProp93.xml"/>
  <Override ContentType="application/vnd.ms-excel.controlproperties+xml" PartName="/xl/ctrlProps/ctrlProp94.xml"/>
  <Override ContentType="application/vnd.ms-excel.controlproperties+xml" PartName="/xl/ctrlProps/ctrlProp95.xml"/>
  <Override ContentType="application/vnd.ms-excel.controlproperties+xml" PartName="/xl/ctrlProps/ctrlProp96.xml"/>
  <Override ContentType="application/vnd.ms-excel.controlproperties+xml" PartName="/xl/ctrlProps/ctrlProp97.xml"/>
  <Override ContentType="application/vnd.ms-excel.controlproperties+xml" PartName="/xl/ctrlProps/ctrlProp98.xml"/>
  <Override ContentType="application/vnd.ms-excel.controlproperties+xml" PartName="/xl/ctrlProps/ctrlProp99.xml"/>
  <Override ContentType="application/vnd.ms-excel.controlproperties+xml" PartName="/xl/ctrlProps/ctrlProp100.xml"/>
  <Override ContentType="application/vnd.ms-excel.controlproperties+xml" PartName="/xl/ctrlProps/ctrlProp101.xml"/>
  <Override ContentType="application/vnd.ms-excel.controlproperties+xml" PartName="/xl/ctrlProps/ctrlProp102.xml"/>
  <Override ContentType="application/vnd.ms-excel.controlproperties+xml" PartName="/xl/ctrlProps/ctrlProp103.xml"/>
  <Override ContentType="application/vnd.ms-excel.controlproperties+xml" PartName="/xl/ctrlProps/ctrlProp104.xml"/>
  <Override ContentType="application/vnd.ms-excel.controlproperties+xml" PartName="/xl/ctrlProps/ctrlProp105.xml"/>
  <Override ContentType="application/vnd.ms-excel.controlproperties+xml" PartName="/xl/ctrlProps/ctrlProp106.xml"/>
  <Override ContentType="application/vnd.ms-excel.controlproperties+xml" PartName="/xl/ctrlProps/ctrlProp107.xml"/>
  <Override ContentType="application/vnd.ms-excel.controlproperties+xml" PartName="/xl/ctrlProps/ctrlProp108.xml"/>
  <Override ContentType="application/vnd.ms-excel.controlproperties+xml" PartName="/xl/ctrlProps/ctrlProp109.xml"/>
  <Override ContentType="application/vnd.ms-excel.controlproperties+xml" PartName="/xl/ctrlProps/ctrlProp110.xml"/>
  <Override ContentType="application/vnd.ms-excel.controlproperties+xml" PartName="/xl/ctrlProps/ctrlProp111.xml"/>
  <Override ContentType="application/vnd.ms-excel.controlproperties+xml" PartName="/xl/ctrlProps/ctrlProp112.xml"/>
  <Override ContentType="application/vnd.ms-excel.controlproperties+xml" PartName="/xl/ctrlProps/ctrlProp113.xml"/>
  <Override ContentType="application/vnd.ms-excel.controlproperties+xml" PartName="/xl/ctrlProps/ctrlProp114.xml"/>
  <Override ContentType="application/vnd.ms-excel.controlproperties+xml" PartName="/xl/ctrlProps/ctrlProp115.xml"/>
  <Override ContentType="application/vnd.ms-excel.controlproperties+xml" PartName="/xl/ctrlProps/ctrlProp116.xml"/>
  <Override ContentType="application/vnd.ms-excel.controlproperties+xml" PartName="/xl/ctrlProps/ctrlProp117.xml"/>
  <Override ContentType="application/vnd.ms-excel.controlproperties+xml" PartName="/xl/ctrlProps/ctrlProp118.xml"/>
  <Override ContentType="application/vnd.ms-excel.controlproperties+xml" PartName="/xl/ctrlProps/ctrlProp119.xml"/>
  <Override ContentType="application/vnd.ms-excel.controlproperties+xml" PartName="/xl/ctrlProps/ctrlProp120.xml"/>
  <Override ContentType="application/vnd.ms-excel.controlproperties+xml" PartName="/xl/ctrlProps/ctrlProp121.xml"/>
  <Override ContentType="application/vnd.ms-excel.controlproperties+xml" PartName="/xl/ctrlProps/ctrlProp122.xml"/>
  <Override ContentType="application/vnd.ms-excel.controlproperties+xml" PartName="/xl/ctrlProps/ctrlProp123.xml"/>
  <Override ContentType="application/vnd.ms-excel.controlproperties+xml" PartName="/xl/ctrlProps/ctrlProp124.xml"/>
  <Override ContentType="application/vnd.ms-excel.controlproperties+xml" PartName="/xl/ctrlProps/ctrlProp125.xml"/>
  <Override ContentType="application/vnd.ms-excel.controlproperties+xml" PartName="/xl/ctrlProps/ctrlProp126.xml"/>
  <Override ContentType="application/vnd.ms-excel.controlproperties+xml" PartName="/xl/ctrlProps/ctrlProp127.xml"/>
  <Override ContentType="application/vnd.ms-excel.controlproperties+xml" PartName="/xl/ctrlProps/ctrlProp128.xml"/>
  <Override ContentType="application/vnd.ms-excel.controlproperties+xml" PartName="/xl/ctrlProps/ctrlProp129.xml"/>
  <Override ContentType="application/vnd.ms-excel.controlproperties+xml" PartName="/xl/ctrlProps/ctrlProp130.xml"/>
  <Override ContentType="application/vnd.ms-excel.controlproperties+xml" PartName="/xl/ctrlProps/ctrlProp131.xml"/>
  <Override ContentType="application/vnd.ms-excel.controlproperties+xml" PartName="/xl/ctrlProps/ctrlProp132.xml"/>
  <Override ContentType="application/vnd.ms-excel.controlproperties+xml" PartName="/xl/ctrlProps/ctrlProp133.xml"/>
  <Override ContentType="application/vnd.ms-excel.controlproperties+xml" PartName="/xl/ctrlProps/ctrlProp134.xml"/>
  <Override ContentType="application/vnd.ms-excel.controlproperties+xml" PartName="/xl/ctrlProps/ctrlProp135.xml"/>
  <Override ContentType="application/vnd.ms-excel.controlproperties+xml" PartName="/xl/ctrlProps/ctrlProp136.xml"/>
  <Override ContentType="application/vnd.ms-excel.controlproperties+xml" PartName="/xl/ctrlProps/ctrlProp137.xml"/>
  <Override ContentType="application/vnd.ms-excel.controlproperties+xml" PartName="/xl/ctrlProps/ctrlProp138.xml"/>
  <Override ContentType="application/vnd.ms-excel.controlproperties+xml" PartName="/xl/ctrlProps/ctrlProp139.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drawing+xml" PartName="/xl/drawings/drawing4.xml"/>
  <Override ContentType="application/vnd.openxmlformats-officedocument.drawing+xml" PartName="/xl/drawings/drawing5.xml"/>
  <Override ContentType="application/vnd.openxmlformats-officedocument.drawing+xml" PartName="/xl/drawings/drawing6.xml"/>
  <Override ContentType="application/vnd.openxmlformats-officedocument.drawing+xml" PartName="/xl/drawings/drawing7.xml"/>
  <Override ContentType="application/vnd.openxmlformats-officedocument.drawing+xml" PartName="/xl/drawings/drawing8.xml"/>
  <Override ContentType="application/vnd.openxmlformats-officedocument.drawing+xml" PartName="/xl/drawings/drawing9.xml"/>
  <Override ContentType="application/vnd.openxmlformats-officedocument.drawing+xml" PartName="/xl/drawings/drawing10.xml"/>
  <Override ContentType="application/vnd.openxmlformats-officedocument.drawing+xml" PartName="/xl/drawings/drawing11.xml"/>
  <Override ContentType="application/vnd.openxmlformats-officedocument.drawing+xml" PartName="/xl/drawings/drawing12.xml"/>
  <Override ContentType="application/vnd.openxmlformats-officedocument.drawing+xml" PartName="/xl/drawings/drawing13.xml"/>
  <Override ContentType="application/vnd.openxmlformats-officedocument.drawing+xml" PartName="/xl/drawings/drawing14.xml"/>
  <Override ContentType="application/vnd.openxmlformats-officedocument.drawing+xml" PartName="/xl/drawings/drawing15.xml"/>
  <Override ContentType="application/vnd.openxmlformats-officedocument.drawing+xml" PartName="/xl/drawings/drawing16.xml"/>
  <Override ContentType="application/vnd.openxmlformats-officedocument.drawing+xml" PartName="/xl/drawings/drawing17.xml"/>
  <Override ContentType="application/vnd.openxmlformats-officedocument.drawing+xml" PartName="/xl/drawings/drawing18.xml"/>
  <Override ContentType="application/vnd.openxmlformats-officedocument.drawing+xml" PartName="/xl/drawings/drawing19.xml"/>
  <Override ContentType="application/vnd.openxmlformats-officedocument.drawing+xml" PartName="/xl/drawings/drawing20.xml"/>
  <Override ContentType="application/vnd.openxmlformats-officedocument.drawing+xml" PartName="/xl/drawings/drawing21.xml"/>
  <Override ContentType="application/vnd.openxmlformats-officedocument.drawing+xml" PartName="/xl/drawings/drawing22.xml"/>
  <Override ContentType="application/vnd.openxmlformats-officedocument.drawing+xml" PartName="/xl/drawings/drawing23.xml"/>
  <Override ContentType="application/vnd.openxmlformats-officedocument.drawing+xml" PartName="/xl/drawings/drawing24.xml"/>
  <Override ContentType="application/vnd.openxmlformats-officedocument.drawing+xml" PartName="/xl/drawings/drawing25.xml"/>
  <Override ContentType="application/vnd.openxmlformats-officedocument.drawing+xml" PartName="/xl/drawings/drawing26.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spreadsheetml.worksheet+xml" PartName="/xl/worksheets/sheet24.xml"/>
  <Override ContentType="application/vnd.openxmlformats-officedocument.spreadsheetml.worksheet+xml" PartName="/xl/worksheets/sheet25.xml"/>
  <Override ContentType="application/vnd.openxmlformats-officedocument.spreadsheetml.worksheet+xml" PartName="/xl/worksheets/sheet26.xml"/>
  <Override ContentType="application/vnd.openxmlformats-officedocument.spreadsheetml.worksheet+xml" PartName="/xl/worksheets/sheet27.xml"/>
  <Override ContentType="application/vnd.openxmlformats-officedocument.spreadsheetml.worksheet+xml" PartName="/xl/worksheets/sheet28.xml"/>
  <Override ContentType="application/vnd.openxmlformats-officedocument.spreadsheetml.worksheet+xml" PartName="/xl/worksheets/sheet29.xml"/>
  <Override ContentType="application/vnd.openxmlformats-officedocument.spreadsheetml.worksheet+xml" PartName="/xl/worksheets/sheet30.xml"/>
  <Override ContentType="application/vnd.openxmlformats-officedocument.spreadsheetml.worksheet+xml" PartName="/xl/worksheets/sheet31.xml"/>
  <Override ContentType="application/vnd.openxmlformats-officedocument.spreadsheetml.worksheet+xml" PartName="/xl/worksheets/sheet32.xml"/>
  <Override ContentType="application/vnd.openxmlformats-officedocument.spreadsheetml.worksheet+xml" PartName="/xl/worksheets/sheet33.xml"/>
  <Override ContentType="application/vnd.openxmlformats-officedocument.spreadsheetml.worksheet+xml" PartName="/xl/worksheets/sheet34.xml"/>
  <Override ContentType="application/vnd.openxmlformats-officedocument.spreadsheetml.worksheet+xml" PartName="/xl/worksheets/sheet35.xml"/>
  <Override ContentType="application/vnd.openxmlformats-officedocument.spreadsheetml.worksheet+xml" PartName="/xl/worksheets/sheet36.xml"/>
  <Override ContentType="application/vnd.openxmlformats-officedocument.spreadsheetml.worksheet+xml" PartName="/xl/worksheets/sheet37.xml"/>
  <Override ContentType="application/vnd.openxmlformats-officedocument.spreadsheetml.worksheet+xml" PartName="/xl/worksheets/sheet38.xml"/>
  <Override ContentType="application/vnd.openxmlformats-officedocument.spreadsheetml.worksheet+xml" PartName="/xl/worksheets/sheet39.xml"/>
  <Override ContentType="application/vnd.openxmlformats-officedocument.spreadsheetml.worksheet+xml" PartName="/xl/worksheets/sheet40.xml"/>
  <Override ContentType="application/vnd.openxmlformats-officedocument.spreadsheetml.worksheet+xml" PartName="/xl/worksheets/sheet41.xml"/>
  <Override ContentType="application/vnd.openxmlformats-officedocument.spreadsheetml.worksheet+xml" PartName="/xl/worksheets/sheet42.xml"/>
  <Override ContentType="application/vnd.openxmlformats-officedocument.spreadsheetml.worksheet+xml" PartName="/xl/worksheets/sheet43.xml"/>
  <Override ContentType="application/vnd.openxmlformats-officedocument.spreadsheetml.worksheet+xml" PartName="/xl/worksheets/sheet44.xml"/>
  <Override ContentType="application/vnd.openxmlformats-officedocument.spreadsheetml.worksheet+xml" PartName="/xl/worksheets/sheet45.xml"/>
  <Override ContentType="application/vnd.openxmlformats-officedocument.spreadsheetml.worksheet+xml" PartName="/xl/worksheets/sheet46.xml"/>
  <Override ContentType="application/vnd.openxmlformats-officedocument.spreadsheetml.worksheet+xml" PartName="/xl/worksheets/sheet47.xml"/>
  <Override ContentType="application/vnd.openxmlformats-officedocument.spreadsheetml.worksheet+xml" PartName="/xl/worksheets/sheet48.xml"/>
  <Override ContentType="application/vnd.openxmlformats-officedocument.spreadsheetml.worksheet+xml" PartName="/xl/worksheets/sheet49.xml"/>
  <Override ContentType="application/vnd.openxmlformats-officedocument.spreadsheetml.worksheet+xml" PartName="/xl/worksheets/sheet50.xml"/>
  <Override ContentType="application/vnd.openxmlformats-officedocument.spreadsheetml.worksheet+xml" PartName="/xl/worksheets/sheet51.xml"/>
  <Override ContentType="application/vnd.openxmlformats-officedocument.spreadsheetml.worksheet+xml" PartName="/xl/worksheets/sheet52.xml"/>
  <Override ContentType="application/vnd.openxmlformats-officedocument.spreadsheetml.worksheet+xml" PartName="/xl/worksheets/sheet53.xml"/>
  <Override ContentType="application/vnd.openxmlformats-officedocument.spreadsheetml.worksheet+xml" PartName="/xl/worksheets/sheet54.xml"/>
  <Override ContentType="application/vnd.openxmlformats-officedocument.spreadsheetml.worksheet+xml" PartName="/xl/worksheets/sheet55.xml"/>
  <Override ContentType="application/vnd.openxmlformats-officedocument.spreadsheetml.worksheet+xml" PartName="/xl/worksheets/sheet56.xml"/>
  <Override ContentType="application/vnd.openxmlformats-officedocument.spreadsheetml.worksheet+xml" PartName="/xl/worksheets/sheet57.xml"/>
  <Override ContentType="application/vnd.openxmlformats-officedocument.spreadsheetml.worksheet+xml" PartName="/xl/worksheets/sheet58.xml"/>
  <Override ContentType="application/vnd.openxmlformats-officedocument.spreadsheetml.worksheet+xml" PartName="/xl/worksheets/sheet59.xml"/>
  <Override ContentType="application/vnd.openxmlformats-officedocument.spreadsheetml.worksheet+xml" PartName="/xl/worksheets/sheet60.xml"/>
  <Override ContentType="application/vnd.openxmlformats-officedocument.spreadsheetml.worksheet+xml" PartName="/xl/worksheets/sheet61.xml"/>
  <Override ContentType="application/vnd.openxmlformats-officedocument.spreadsheetml.worksheet+xml" PartName="/xl/worksheets/sheet62.xml"/>
  <Override ContentType="application/vnd.openxmlformats-officedocument.spreadsheetml.worksheet+xml" PartName="/xl/worksheets/sheet63.xml"/>
  <Override ContentType="application/vnd.openxmlformats-officedocument.spreadsheetml.worksheet+xml" PartName="/xl/worksheets/sheet64.xml"/>
  <Override ContentType="application/vnd.openxmlformats-officedocument.spreadsheetml.worksheet+xml" PartName="/xl/worksheets/sheet65.xml"/>
  <Override ContentType="application/vnd.openxmlformats-officedocument.spreadsheetml.worksheet+xml" PartName="/xl/worksheets/sheet66.xml"/>
  <Override ContentType="application/vnd.openxmlformats-officedocument.spreadsheetml.worksheet+xml" PartName="/xl/worksheets/sheet67.xml"/>
  <Override ContentType="application/vnd.openxmlformats-officedocument.spreadsheetml.worksheet+xml" PartName="/xl/worksheets/sheet68.xml"/>
  <Override ContentType="application/vnd.openxmlformats-officedocument.spreadsheetml.worksheet+xml" PartName="/xl/worksheets/sheet69.xml"/>
  <Override ContentType="application/vnd.openxmlformats-officedocument.spreadsheetml.worksheet+xml" PartName="/xl/worksheets/sheet70.xml"/>
  <Override ContentType="application/vnd.openxmlformats-officedocument.spreadsheetml.worksheet+xml" PartName="/xl/worksheets/sheet71.xml"/>
  <Override ContentType="application/vnd.openxmlformats-officedocument.spreadsheetml.worksheet+xml" PartName="/xl/worksheets/sheet72.xml"/>
  <Override ContentType="application/vnd.openxmlformats-officedocument.spreadsheetml.worksheet+xml" PartName="/xl/worksheets/sheet73.xml"/>
  <Override ContentType="application/vnd.openxmlformats-officedocument.spreadsheetml.worksheet+xml" PartName="/xl/worksheets/sheet74.xml"/>
  <Override ContentType="application/vnd.openxmlformats-officedocument.spreadsheetml.worksheet+xml" PartName="/xl/worksheets/sheet75.xml"/>
  <Override ContentType="application/vnd.openxmlformats-officedocument.spreadsheetml.worksheet+xml" PartName="/xl/worksheets/sheet76.xml"/>
  <Override ContentType="application/vnd.openxmlformats-officedocument.spreadsheetml.worksheet+xml" PartName="/xl/worksheets/sheet77.xml"/>
  <Override ContentType="application/vnd.openxmlformats-officedocument.spreadsheetml.worksheet+xml" PartName="/xl/worksheets/sheet78.xml"/>
  <Override ContentType="application/vnd.openxmlformats-officedocument.spreadsheetml.worksheet+xml" PartName="/xl/worksheets/sheet79.xml"/>
  <Override ContentType="application/vnd.openxmlformats-officedocument.spreadsheetml.worksheet+xml" PartName="/xl/worksheets/sheet80.xml"/>
  <Override ContentType="application/vnd.openxmlformats-officedocument.spreadsheetml.worksheet+xml" PartName="/xl/worksheets/sheet81.xml"/>
  <Override ContentType="application/vnd.openxmlformats-officedocument.spreadsheetml.worksheet+xml" PartName="/xl/worksheets/sheet82.xml"/>
  <Override ContentType="application/vnd.openxmlformats-officedocument.spreadsheetml.worksheet+xml" PartName="/xl/worksheets/sheet83.xml"/>
  <Override ContentType="application/vnd.openxmlformats-officedocument.spreadsheetml.worksheet+xml" PartName="/xl/worksheets/sheet84.xml"/>
  <Override ContentType="application/vnd.openxmlformats-officedocument.spreadsheetml.worksheet+xml" PartName="/xl/worksheets/sheet85.xml"/>
  <Override ContentType="application/vnd.openxmlformats-officedocument.spreadsheetml.worksheet+xml" PartName="/xl/worksheets/sheet86.xml"/>
  <Override ContentType="application/vnd.openxmlformats-officedocument.spreadsheetml.worksheet+xml" PartName="/xl/worksheets/sheet87.xml"/>
  <Override ContentType="application/vnd.openxmlformats-officedocument.spreadsheetml.worksheet+xml" PartName="/xl/worksheets/sheet88.xml"/>
  <Override ContentType="application/vnd.openxmlformats-officedocument.spreadsheetml.worksheet+xml" PartName="/xl/worksheets/sheet496.xml"/>
  <Override ContentType="application/vnd.openxmlformats-officedocument.spreadsheetml.worksheet+xml" PartName="/xl/worksheets/sheet497.xml"/>
  <Override ContentType="application/vnd.openxmlformats-officedocument.spreadsheetml.worksheet+xml" PartName="/xl/worksheets/sheet498.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 Id="rId4" Target="docProps/custom.xml" Type="http://schemas.openxmlformats.org/officeDocument/2006/relationships/custom-properties"/></Relationships>
</file>

<file path=xl/workbook.xml><?xml version="1.0" encoding="utf-8"?>
<workbook xmlns="http://schemas.openxmlformats.org/spreadsheetml/2006/main" xmlns:mc="http://schemas.openxmlformats.org/markup-compatibility/2006" xmlns:r="http://schemas.openxmlformats.org/officeDocument/2006/relationships" xmlns:x15="http://schemas.microsoft.com/office/spreadsheetml/2010/11/main" xmlns:xr="http://schemas.microsoft.com/office/spreadsheetml/2014/revision" xmlns:xr10="http://schemas.microsoft.com/office/spreadsheetml/2016/revision10" xmlns:xr2="http://schemas.microsoft.com/office/spreadsheetml/2015/revision2" xmlns:xr6="http://schemas.microsoft.com/office/spreadsheetml/2016/revision6" mc:Ignorable="x15 xr xr6 xr10 xr2">
  <fileVersion appName="xl" codeName="{85106AD5-7665-2F1B-BB0A-E31DD656B090}" lastEdited="7" lowestEdited="6" rupBuild="22130"/>
  <fileSharing readOnlyRecommended="1"/>
  <workbookPr codeName="ThisWorkbook" showInkAnnotation="0" updateLinks="never"/>
  <mc:AlternateContent>
    <mc:Choice Requires="x15">
      <x15ac:absPath xmlns:x15ac="http://schemas.microsoft.com/office/spreadsheetml/2010/11/ac" url="C:\Users\IEUser\Documents\"/>
    </mc:Choice>
  </mc:AlternateContent>
  <xr:revisionPtr documentId="13_ncr:1_{B7AF0CA6-142C-4438-953F-4804C6C80AA8}" revIDLastSave="0" xr10:uidLastSave="{00000000-0000-0000-0000-000000000000}" xr6:coauthVersionLast="45" xr6:coauthVersionMax="45"/>
  <bookViews>
    <workbookView activeTab="19" firstSheet="2" tabRatio="866" windowHeight="29220" windowWidth="57840" xWindow="-120" xr2:uid="{00000000-000D-0000-FFFF-FFFF00000000}" yWindow="-120"/>
  </bookViews>
  <sheets>
    <sheet name="Library" r:id="rId1" sheetId="471" state="hidden"/>
    <sheet name="data" r:id="rId2" sheetId="426" state="hidden"/>
    <sheet name="Changes log" r:id="rId3" sheetId="475"/>
    <sheet name="Read me" r:id="rId4" sheetId="474"/>
    <sheet name="Test Case index" r:id="rId5" sheetId="472"/>
    <sheet name="Selector" r:id="rId6" sheetId="460"/>
    <sheet name="More Select" r:id="rId7" sheetId="470"/>
    <sheet name="tc_template" r:id="rId8" sheetId="473" state="hidden"/>
    <sheet name="target" r:id="rId9" sheetId="424" state="hidden"/>
    <sheet name="C0" r:id="rId10" sheetId="458" state="hidden"/>
    <sheet name="C1" r:id="rId11" sheetId="457" state="hidden"/>
    <sheet name="C2" r:id="rId12" sheetId="462" state="hidden"/>
    <sheet name="C3" r:id="rId13" sheetId="463" state="hidden"/>
    <sheet name="C4" r:id="rId14" sheetId="464" state="hidden"/>
    <sheet name="C5" r:id="rId15" sheetId="465" state="hidden"/>
    <sheet name="C6" r:id="rId16" sheetId="466" state="hidden"/>
    <sheet name="C7" r:id="rId17" sheetId="467" state="hidden"/>
    <sheet name="C8C9C10" r:id="rId18" sheetId="468" state="hidden"/>
    <sheet name="Add pages" r:id="rId19" sheetId="478"/>
    <sheet name="Test case" r:id="rId20" sheetId="461"/>
    <sheet name="SA302" r:id="rId21" sheetId="60"/>
    <sheet name="Taxable Income" r:id="rId22" sheetId="307" state="hidden"/>
    <sheet name="Income types" r:id="rId23" sheetId="266" state="hidden"/>
    <sheet name="CRC" r:id="rId24" sheetId="388" state="hidden"/>
    <sheet name="Swiss Tax Credit" r:id="rId25" sheetId="482" state="hidden"/>
    <sheet name="Liability" r:id="rId26" sheetId="389"/>
    <sheet name="SA302_interface" r:id="rId27" sheetId="436" state="hidden"/>
    <sheet name="liability_template" r:id="rId28" sheetId="390"/>
    <sheet name="INC(1)" r:id="rId29" sheetId="448"/>
    <sheet name="INC(2)" r:id="rId30" sheetId="112"/>
    <sheet name="REL(1)" r:id="rId31" sheetId="477"/>
    <sheet name="REL(2)" r:id="rId32" sheetId="132"/>
    <sheet name="AOI" r:id="rId33" sheetId="120" state="hidden"/>
    <sheet name="Multi-UK-gains" r:id="rId34" sheetId="396" state="hidden"/>
    <sheet name="ASE" r:id="rId35" sheetId="449" state="hidden"/>
    <sheet name="AOR" r:id="rId36" sheetId="131" state="hidden"/>
    <sheet name="MCA" r:id="rId37" sheetId="479" state="hidden"/>
    <sheet name="AIL" r:id="rId38" sheetId="445" state="hidden"/>
    <sheet name="EMP" r:id="rId39" sheetId="50"/>
    <sheet name="MOR" r:id="rId40" sheetId="77" state="hidden"/>
    <sheet name="SE" r:id="rId41" sheetId="74"/>
    <sheet name="LUN" r:id="rId42" sheetId="80" state="hidden"/>
    <sheet name="PS" r:id="rId43" sheetId="83" state="hidden"/>
    <sheet name="NI" r:id="rId44" sheetId="488"/>
    <sheet name="PRO" r:id="rId45" sheetId="92" state="hidden"/>
    <sheet name="FOR" r:id="rId46" sheetId="95" state="hidden"/>
    <sheet name="Swiss Tax" r:id="rId47" sheetId="480" state="hidden"/>
    <sheet name="FTCR" r:id="rId48" sheetId="395" state="hidden"/>
    <sheet name="Multi-foreign-gains" r:id="rId49" sheetId="397" state="hidden"/>
    <sheet name="TRU" r:id="rId50" sheetId="102" state="hidden"/>
    <sheet name="CGT" r:id="rId51" sheetId="450" state="hidden"/>
    <sheet name="NRD" r:id="rId52" sheetId="103" state="hidden"/>
    <sheet name="CAL" r:id="rId53" sheetId="386"/>
    <sheet name="SA302_template" r:id="rId54" sheetId="49" state="hidden"/>
    <sheet name="SA302_template (W)" r:id="rId55" sheetId="489" state="hidden"/>
    <sheet name="IRCX_template" r:id="rId56" sheetId="435" state="hidden"/>
    <sheet name="TCRWS" r:id="rId57" sheetId="394" state="hidden"/>
    <sheet name="FTCR_Calc" r:id="rId58" sheetId="490" state="hidden"/>
    <sheet name="NS income (c1)" r:id="rId59" sheetId="2" state="hidden"/>
    <sheet name="Savings (c2)" r:id="rId60" sheetId="452" state="hidden"/>
    <sheet name="Divs (c3)" r:id="rId61" sheetId="451" state="hidden"/>
    <sheet name="Status (c3a)" r:id="rId62" sheetId="492" state="hidden"/>
    <sheet name="Deductions (c4)" r:id="rId63" sheetId="3" state="hidden"/>
    <sheet name="Taxable (c5)" r:id="rId64" sheetId="381" state="hidden"/>
    <sheet name="tax it (c6)" r:id="rId65" sheetId="4" state="hidden"/>
    <sheet name="CDR (c7)" r:id="rId66" sheetId="441" state="hidden"/>
    <sheet name="tax it (c8)" r:id="rId67" sheetId="382" state="hidden"/>
    <sheet name="Tax adj (c9)" r:id="rId68" sheetId="7" state="hidden"/>
    <sheet name="CRC_template" r:id="rId69" sheetId="362" state="hidden"/>
    <sheet name="Div Cr (c10)" r:id="rId70" sheetId="453" state="hidden"/>
    <sheet name="Tax paid (c11)" r:id="rId71" sheetId="6" state="hidden"/>
    <sheet name="Tax due (c12)" r:id="rId72" sheetId="454" state="hidden"/>
    <sheet name="POAs (c13)" r:id="rId73" sheetId="32" state="hidden"/>
    <sheet name="allowances (c14c15)" r:id="rId74" sheetId="9" state="hidden"/>
    <sheet name="Class 4 NIC (c16)" r:id="rId75" sheetId="392" state="hidden"/>
    <sheet name="TSR (c17)" r:id="rId76" sheetId="375" state="hidden"/>
    <sheet name="930_template" r:id="rId77" sheetId="12" state="hidden"/>
    <sheet name="CG (c18)" r:id="rId78" sheetId="391" state="hidden"/>
    <sheet name="RBC (c19)" r:id="rId79" sheetId="485" state="hidden"/>
    <sheet name="RBC &amp; Cap (C20a)" r:id="rId80" sheetId="486" state="hidden"/>
    <sheet name="Notional (c21c23)" r:id="rId81" sheetId="47" state="hidden"/>
    <sheet name="LLIR (c24)" r:id="rId82" sheetId="491" state="hidden"/>
    <sheet name="Pensions (c25c26)" r:id="rId83" sheetId="442" state="hidden"/>
    <sheet name="S loans(c27)" r:id="rId84" sheetId="376" state="hidden"/>
    <sheet name="CBC(c28)" r:id="rId85" sheetId="476" state="hidden"/>
    <sheet name="non-res (c91)" r:id="rId86" sheetId="48" state="hidden"/>
    <sheet name="c99" r:id="rId87" sheetId="487" state="hidden"/>
    <sheet name="Swiss (SW)" r:id="rId88" sheetId="481" state="hidden"/>
    <sheet name="TaxCalc_Input_JUNIT" r:id="rId100" sheetId="496"/>
    <sheet name="TaxCalc_Interim_JUNIT" r:id="rId101" sheetId="497"/>
    <sheet name="TaxCalc_FinalOutput_JUNIT" r:id="rId102" sheetId="498"/>
  </sheets>
  <functionGroups builtInGroupCount="19"/>
  <definedNames>
    <definedName name="_AIL1">tc_template!$K$17</definedName>
    <definedName name="_AIL10">tc_template!$K$26</definedName>
    <definedName name="_AIL11">tc_template!$K$27</definedName>
    <definedName name="_AIL11.1">tc_template!$K$28</definedName>
    <definedName name="_AIL11.2">tc_template!$K$29</definedName>
    <definedName name="_AIL12">tc_template!$K$30</definedName>
    <definedName name="_AIL13">tc_template!$K$31</definedName>
    <definedName name="_AIL14">tc_template!$K$32</definedName>
    <definedName name="_AIL15">tc_template!$K$33</definedName>
    <definedName name="_AIL16">tc_template!$K$34</definedName>
    <definedName name="_AIL17">tc_template!$K$35</definedName>
    <definedName name="_AIL18">tc_template!$K$36</definedName>
    <definedName name="_AIL19">tc_template!$K$37</definedName>
    <definedName name="_AIL2">tc_template!$K$18</definedName>
    <definedName name="_AIL20">tc_template!$K$38</definedName>
    <definedName name="_AIL21">tc_template!$K$39</definedName>
    <definedName name="_AIL22">tc_template!$K$40</definedName>
    <definedName name="_AIL23">tc_template!$K$41</definedName>
    <definedName name="_AIL24">tc_template!$K$42</definedName>
    <definedName name="_AIL3">tc_template!$K$19</definedName>
    <definedName name="_AIL4">tc_template!$K$20</definedName>
    <definedName name="_AIL5">tc_template!$K$21</definedName>
    <definedName name="_AIL6">tc_template!$K$22</definedName>
    <definedName name="_AIL7">tc_template!$K$23</definedName>
    <definedName name="_AIL8">tc_template!$K$24</definedName>
    <definedName name="_AIL9">tc_template!$K$25</definedName>
    <definedName name="_AOI1">tc_template!$H$4</definedName>
    <definedName name="_AOI10">tc_template!$H$13</definedName>
    <definedName name="_AOI11">tc_template!$H$14</definedName>
    <definedName name="_AOI12">tc_template!$H$15</definedName>
    <definedName name="_AOI13">tc_template!$H$16</definedName>
    <definedName name="_AOI13.1">tc_template!$H$17</definedName>
    <definedName name="_AOI14">tc_template!$H$18</definedName>
    <definedName name="_AOI15">tc_template!$H$19</definedName>
    <definedName name="_AOI2">tc_template!$H$5</definedName>
    <definedName name="_AOI3">tc_template!$H$6</definedName>
    <definedName name="_AOI4">tc_template!$H$7</definedName>
    <definedName name="_AOI5">tc_template!$H$8</definedName>
    <definedName name="_AOI6">tc_template!$H$9</definedName>
    <definedName name="_AOI7">tc_template!$H$10</definedName>
    <definedName name="_AOI8">tc_template!$H$11</definedName>
    <definedName name="_AOI9">tc_template!$H$12</definedName>
    <definedName name="_AOR1">tc_template!$H$39</definedName>
    <definedName name="_AOR10">tc_template!$H$48</definedName>
    <definedName name="_AOR11">tc_template!$H$49</definedName>
    <definedName name="_AOR12">tc_template!$H$50</definedName>
    <definedName name="_AOR2">tc_template!$H$40</definedName>
    <definedName name="_AOR3">tc_template!$H$41</definedName>
    <definedName name="_AOR4">tc_template!$H$42</definedName>
    <definedName name="_AOR5">tc_template!$H$43</definedName>
    <definedName name="_AOR6">tc_template!$H$44</definedName>
    <definedName name="_AOR7">tc_template!$H$45</definedName>
    <definedName name="_AOR8">tc_template!$H$46</definedName>
    <definedName name="_AOR9">tc_template!$H$47</definedName>
    <definedName name="_ASE1">tc_template!$H$22</definedName>
    <definedName name="_ASE10">tc_template!$H$31</definedName>
    <definedName name="_ASE11">tc_template!$H$32</definedName>
    <definedName name="_ASE12">tc_template!$H$33</definedName>
    <definedName name="_ASE13">tc_template!$H$34</definedName>
    <definedName name="_ASE14">tc_template!$H$35</definedName>
    <definedName name="_ASE15">tc_template!$H$36</definedName>
    <definedName name="_ASE2">tc_template!$H$23</definedName>
    <definedName name="_ASE3">tc_template!$H$24</definedName>
    <definedName name="_ASE4">tc_template!$H$25</definedName>
    <definedName name="_ASE5">tc_template!$H$26</definedName>
    <definedName name="_ASE6">tc_template!$H$27</definedName>
    <definedName name="_ASE7">tc_template!$H$28</definedName>
    <definedName name="_ASE8">tc_template!$H$29</definedName>
    <definedName name="_ASE9">tc_template!$H$30</definedName>
    <definedName name="_AUI3">tc_template!$H$6</definedName>
    <definedName name="_CAL1">tc_template!$BJ$4</definedName>
    <definedName name="_CAL10">tc_template!$BJ$15</definedName>
    <definedName name="_CAL11">tc_template!$BJ$16</definedName>
    <definedName name="_CAL12">tc_template!$BJ$17</definedName>
    <definedName name="_CAL13">tc_template!$BJ$18</definedName>
    <definedName name="_CAL14">tc_template!$BJ$19</definedName>
    <definedName name="_CAL15">tc_template!$BJ$20</definedName>
    <definedName name="_CAL16">tc_template!$BJ$21</definedName>
    <definedName name="_CAL17">tc_template!$BJ$22</definedName>
    <definedName name="_CAL2">tc_template!$BJ$5</definedName>
    <definedName name="_CAL3">tc_template!$BJ$6</definedName>
    <definedName name="_CAL3.1">tc_template!$BJ$7</definedName>
    <definedName name="_CAL4">tc_template!$BJ$8</definedName>
    <definedName name="_CAL4.1">tc_template!$BJ$9</definedName>
    <definedName name="_CAL5">tc_template!$BJ$10</definedName>
    <definedName name="_CAL6">tc_template!$BJ$11</definedName>
    <definedName name="_CAL7">tc_template!$BJ$12</definedName>
    <definedName name="_CAL8">tc_template!$BJ$13</definedName>
    <definedName name="_CAL9">tc_template!$BJ$14</definedName>
    <definedName name="_CBC1">tc_template!$B$41</definedName>
    <definedName name="_CBC2">tc_template!$B$42</definedName>
    <definedName name="_CBC3">tc_template!$B$43</definedName>
    <definedName name="_CGT1">tc_template!$BD$4</definedName>
    <definedName name="_CGT10">tc_template!$BD$13</definedName>
    <definedName name="_CGT11">tc_template!$BD$14</definedName>
    <definedName name="_CGT12">tc_template!$BD$15</definedName>
    <definedName name="_CGT13">tc_template!$BD$16</definedName>
    <definedName name="_CGT14">tc_template!$BD$17</definedName>
    <definedName name="_CGT15">tc_template!$BD$18</definedName>
    <definedName name="_CGT16">tc_template!$BD$19</definedName>
    <definedName name="_CGT17">tc_template!$BD$20</definedName>
    <definedName name="_CGT18">tc_template!$BD$21</definedName>
    <definedName name="_CGT19">tc_template!$BD$22</definedName>
    <definedName name="_CGT2">tc_template!$BD$5</definedName>
    <definedName name="_CGT20">tc_template!$BD$23</definedName>
    <definedName name="_CGT21">tc_template!$BD$24</definedName>
    <definedName name="_CGT22">tc_template!$BD$25</definedName>
    <definedName name="_CGT23">tc_template!$BD$26</definedName>
    <definedName name="_CGT24">tc_template!$BD$27</definedName>
    <definedName name="_CGT25">tc_template!$BD$28</definedName>
    <definedName name="_CGT26">tc_template!$BD$29</definedName>
    <definedName name="_CGT27">tc_template!$BD$30</definedName>
    <definedName name="_CGT28">tc_template!$BD$31</definedName>
    <definedName name="_CGT29">tc_template!$BD$32</definedName>
    <definedName name="_CGT3">tc_template!$BD$6</definedName>
    <definedName name="_CGT30">tc_template!$BD$33</definedName>
    <definedName name="_CGT31">tc_template!$BD$34</definedName>
    <definedName name="_CGT32">tc_template!$BD$35</definedName>
    <definedName name="_CGT33">tc_template!$BD$36</definedName>
    <definedName name="_CGT34">tc_template!$BD$37</definedName>
    <definedName name="_CGT35">tc_template!$BD$38</definedName>
    <definedName name="_CGT36">tc_template!$BD$39</definedName>
    <definedName name="_CGT37">tc_template!$BD$40</definedName>
    <definedName name="_CGT38">tc_template!$BD$41</definedName>
    <definedName name="_CGT39">tc_template!$BD$42</definedName>
    <definedName name="_CGT4">tc_template!$BD$7</definedName>
    <definedName name="_CGT40">tc_template!$BD$43</definedName>
    <definedName name="_CGT41">tc_template!$BD$44</definedName>
    <definedName name="_CGT42">tc_template!$BD$45</definedName>
    <definedName name="_CGT43">tc_template!$BD$46</definedName>
    <definedName name="_CGT44">tc_template!$BD$47</definedName>
    <definedName name="_CGT45">tc_template!$BD$48</definedName>
    <definedName name="_CGT46">tc_template!$BD$49</definedName>
    <definedName name="_CGT47">tc_template!$BD$50</definedName>
    <definedName name="_CGT48">tc_template!$BD$51</definedName>
    <definedName name="_CGT49">tc_template!$BD$52</definedName>
    <definedName name="_CGT5">tc_template!$BD$8</definedName>
    <definedName name="_CGT50">tc_template!$BD$53</definedName>
    <definedName name="_CGT51">tc_template!$BD$54</definedName>
    <definedName name="_CGT52">tc_template!$BD$55</definedName>
    <definedName name="_CGT52.1">tc_template!$BD$56</definedName>
    <definedName name="_CGT52.2">tc_template!$BD$57</definedName>
    <definedName name="_CGT52.3">tc_template!$BD$58</definedName>
    <definedName name="_CGT52.4">tc_template!$BD$59</definedName>
    <definedName name="_CGT52.5">tc_template!$BD$60</definedName>
    <definedName name="_CGT53">tc_template!$BD$61</definedName>
    <definedName name="_CGT54">tc_template!$BD$62</definedName>
    <definedName name="_CGT6">tc_template!$BD$9</definedName>
    <definedName name="_CGT7">tc_template!$BD$10</definedName>
    <definedName name="_CGT8">tc_template!$BD$11</definedName>
    <definedName name="_CGT9">tc_template!$BD$12</definedName>
    <definedName name="_CL1">tc_template!$BJ$31</definedName>
    <definedName name="_CL2">tc_template!$BJ$26</definedName>
    <definedName name="_CL2wkamt">tc_template!$BJ$27</definedName>
    <definedName name="_EMPA1">tc_template!$N$4</definedName>
    <definedName name="_EMPA10">tc_template!$N$15</definedName>
    <definedName name="_EMPA11">tc_template!$N$16</definedName>
    <definedName name="_EMPA12">tc_template!$N$17</definedName>
    <definedName name="_EMPA13">tc_template!$N$18</definedName>
    <definedName name="_EMPA14">tc_template!$N$19</definedName>
    <definedName name="_EMPA15">tc_template!$N$20</definedName>
    <definedName name="_EMPA16">tc_template!$N$21</definedName>
    <definedName name="_EMPA17">tc_template!$N$22</definedName>
    <definedName name="_EMPA18">tc_template!$N$23</definedName>
    <definedName name="_EMPA19">tc_template!$N$24</definedName>
    <definedName name="_EMPA2">tc_template!$N$5</definedName>
    <definedName name="_EMPA20">tc_template!$N$25</definedName>
    <definedName name="_EMPA3">tc_template!$N$6</definedName>
    <definedName name="_EMPA4">tc_template!$N$7</definedName>
    <definedName name="_EMPA5">tc_template!$N$8</definedName>
    <definedName name="_EMPA6">tc_template!$N$9</definedName>
    <definedName name="_EMPA6.1">tc_template!$N$10</definedName>
    <definedName name="_EMPA7">tc_template!$N$11</definedName>
    <definedName name="_EMPA8">tc_template!$N$12</definedName>
    <definedName name="_EMPA8.1">tc_template!$N$13</definedName>
    <definedName name="_EMPA9">tc_template!$N$14</definedName>
    <definedName name="_EMPB1">tc_template!$N$29</definedName>
    <definedName name="_EMPB10">tc_template!$N$40</definedName>
    <definedName name="_EMPB11">tc_template!$N$41</definedName>
    <definedName name="_EMPB12">tc_template!$N$42</definedName>
    <definedName name="_EMPB13">tc_template!$N$43</definedName>
    <definedName name="_EMPB14">tc_template!$N$44</definedName>
    <definedName name="_EMPB15">tc_template!$N$45</definedName>
    <definedName name="_EMPB16">tc_template!$N$46</definedName>
    <definedName name="_EMPB17">tc_template!$N$47</definedName>
    <definedName name="_EMPB18">tc_template!$N$48</definedName>
    <definedName name="_EMPB19">tc_template!$N$49</definedName>
    <definedName name="_EMPB2">tc_template!$N$30</definedName>
    <definedName name="_EMPB20">tc_template!$N$50</definedName>
    <definedName name="_EMPB3">tc_template!$N$31</definedName>
    <definedName name="_EMPB4">tc_template!$N$32</definedName>
    <definedName name="_EMPB5">tc_template!$N$33</definedName>
    <definedName name="_EMPB6">tc_template!$N$34</definedName>
    <definedName name="_EMPB6.1">tc_template!$N$35</definedName>
    <definedName name="_EMPB7">tc_template!$N$36</definedName>
    <definedName name="_EMPB8">tc_template!$N$37</definedName>
    <definedName name="_EMPB8.1">tc_template!$N$38</definedName>
    <definedName name="_EMPB9">tc_template!$N$39</definedName>
    <definedName name="_EMPCL1">tc_template!$N$51</definedName>
    <definedName hidden="1" localSheetId="0" name="_xlnm._FilterDatabase">Library!$A$1:$AP$201</definedName>
    <definedName name="_FIN1">tc_template!$E$22</definedName>
    <definedName name="_FIN10">tc_template!$E$31</definedName>
    <definedName name="_FIN11">tc_template!$E$32</definedName>
    <definedName name="_FIN12">tc_template!$E$33</definedName>
    <definedName name="_FIN13">tc_template!$E$34</definedName>
    <definedName name="_FIN14">tc_template!$E$35</definedName>
    <definedName name="_FIN15">tc_template!$E$36</definedName>
    <definedName name="_FIN16">tc_template!$E$37</definedName>
    <definedName name="_FIN17">tc_template!$E$38</definedName>
    <definedName name="_FIN18">tc_template!$E$39</definedName>
    <definedName name="_FIN19">tc_template!$E$40</definedName>
    <definedName name="_FIN2">tc_template!$E$23</definedName>
    <definedName name="_FIN20">tc_template!$E$41</definedName>
    <definedName name="_FIN21">tc_template!$E$42</definedName>
    <definedName name="_FIN22">tc_template!$E$43</definedName>
    <definedName name="_FIN23">tc_template!$E$44</definedName>
    <definedName name="_FIN24">tc_template!$E$45</definedName>
    <definedName name="_FIN25">tc_template!$E$46</definedName>
    <definedName name="_FIN26">tc_template!$E$47</definedName>
    <definedName name="_FIN3">tc_template!$E$24</definedName>
    <definedName name="_FIN4">tc_template!$E$25</definedName>
    <definedName name="_FIN5">tc_template!$E$26</definedName>
    <definedName name="_FIN6">tc_template!$E$27</definedName>
    <definedName name="_FIN7">tc_template!$E$28</definedName>
    <definedName name="_FIN8">tc_template!$E$29</definedName>
    <definedName name="_FIN9">tc_template!$E$30</definedName>
    <definedName name="_FOR_17">tc_template!$AX$11</definedName>
    <definedName name="_FOR_25B_1">tc_template!$AX$24</definedName>
    <definedName name="_FOR_29D_1">tc_template!$AX$26</definedName>
    <definedName name="_FOR_30F_1">tc_template!$AX$28</definedName>
    <definedName name="_FOR_A_1">tc_template!$AX$37</definedName>
    <definedName name="_FOR_A_2">tc_template!$AX$41</definedName>
    <definedName name="_FOR_A_3">tc_template!$AX$45</definedName>
    <definedName name="_FOR_A_4">tc_template!$AX$49</definedName>
    <definedName name="_FOR_C_1">tc_template!$AX$38</definedName>
    <definedName name="_FOR_C_2">tc_template!$AX$42</definedName>
    <definedName name="_FOR_C_3">tc_template!$AX$46</definedName>
    <definedName name="_FOR_C_4">tc_template!$AX$50</definedName>
    <definedName name="_FOR_DIV_A">tc_template!$AU$61</definedName>
    <definedName name="_FOR_DIV_A_1">tc_template!$AU$20</definedName>
    <definedName name="_FOR_DIV_A_2">tc_template!$AU$26</definedName>
    <definedName name="_FOR_DIV_A_3">tc_template!$AU$32</definedName>
    <definedName name="_FOR_DIV_A_4">tc_template!$AU$38</definedName>
    <definedName name="_FOR_DIV_A_5">tc_template!$AU$44</definedName>
    <definedName name="_FOR_DIV_B">tc_template!$AU$62</definedName>
    <definedName name="_FOR_DIV_B_1">tc_template!$AU$21</definedName>
    <definedName name="_FOR_DIV_B_2">tc_template!$AU$27</definedName>
    <definedName name="_FOR_DIV_B_3">tc_template!$AU$33</definedName>
    <definedName name="_FOR_DIV_B_4">tc_template!$AU$39</definedName>
    <definedName name="_FOR_DIV_B_5">tc_template!$AU$45</definedName>
    <definedName name="_FOR_DIV_C">tc_template!$AU$63</definedName>
    <definedName name="_FOR_DIV_C_1">tc_template!$AU$22</definedName>
    <definedName name="_FOR_DIV_C_2">tc_template!$AU$28</definedName>
    <definedName name="_FOR_DIV_C_3">tc_template!$AU$34</definedName>
    <definedName name="_FOR_DIV_C_4">tc_template!$AU$40</definedName>
    <definedName name="_FOR_DIV_C_5">tc_template!$AU$46</definedName>
    <definedName name="_FOR_DIV_E">tc_template!$AU$65</definedName>
    <definedName name="_FOR_DIV_E_1">tc_template!$AU$24</definedName>
    <definedName name="_FOR_DIV_E_2">tc_template!$AU$30</definedName>
    <definedName name="_FOR_DIV_E_3">tc_template!$AU$36</definedName>
    <definedName name="_FOR_DIV_E_4">tc_template!$AU$42</definedName>
    <definedName name="_FOR_DIV_E_5">tc_template!$AU$48</definedName>
    <definedName name="_FOR_E_1">tc_template!$AX$39</definedName>
    <definedName name="_FOR_E_2">tc_template!$AX$43</definedName>
    <definedName name="_FOR_E_3">tc_template!$AX$47</definedName>
    <definedName name="_FOR_E_4">tc_template!$AX$51</definedName>
    <definedName name="_FOR_F_1">tc_template!$AX$40</definedName>
    <definedName name="_FOR_F_2">tc_template!$AX$44</definedName>
    <definedName name="_FOR_F_3">tc_template!$AX$48</definedName>
    <definedName name="_FOR_F_4">tc_template!$AX$52</definedName>
    <definedName name="_FOR_INT_A_1">tc_template!$AU$6</definedName>
    <definedName name="_FOR_INT_A_2">tc_template!$AU$12</definedName>
    <definedName name="_FOR_INT_B_1">tc_template!$AU$7</definedName>
    <definedName name="_FOR_INT_B_2">tc_template!$AU$13</definedName>
    <definedName name="_FOR_INT_C_1">tc_template!$AU$8</definedName>
    <definedName name="_FOR_INT_C_2">tc_template!$AU$14</definedName>
    <definedName name="_FOR_INT_E_1">tc_template!$AU$10</definedName>
    <definedName name="_FOR_INT_E_2">tc_template!$AU$16</definedName>
    <definedName name="_FOR_LP_A_1">tc_template!$AX$23</definedName>
    <definedName name="_FOR_LP_E_1">tc_template!$AX$27</definedName>
    <definedName name="_FOR_OVE_A_1">tc_template!$AU$53</definedName>
    <definedName name="_FOR_OVE_B_1">tc_template!$AU$54</definedName>
    <definedName name="_FOR_OVE_C_1">tc_template!$AU$55</definedName>
    <definedName name="_FOR_OVE_E_1">tc_template!$AU$57</definedName>
    <definedName name="_FOR1">tc_template!$AU$4</definedName>
    <definedName name="_FOR10">tc_template!$AU$67</definedName>
    <definedName name="_FOR10D">tc_template!$AU$64</definedName>
    <definedName name="_FOR11">tc_template!$AU$68</definedName>
    <definedName name="_FOR11F_1">tc_template!$AU$66</definedName>
    <definedName name="_FOR12">tc_template!$AU$75</definedName>
    <definedName name="_FOR13">tc_template!$AU$76</definedName>
    <definedName name="_FOR13.1">tc_template!$AX$4</definedName>
    <definedName name="_FOR13.2">tc_template!$AX$5</definedName>
    <definedName name="_FOR13A">tc_template!$AU$69</definedName>
    <definedName name="_FOR13B">tc_template!$AU$70</definedName>
    <definedName name="_FOR13C">tc_template!$AU$71</definedName>
    <definedName name="_FOR13D">tc_template!$AU$72</definedName>
    <definedName name="_FOR13E">tc_template!$AU$73</definedName>
    <definedName name="_FOR13F">tc_template!$AU$74</definedName>
    <definedName name="_FOR14">tc_template!$AX$6</definedName>
    <definedName name="_FOR14.1">tc_template!$AX$7</definedName>
    <definedName name="_FOR14.2">tc_template!$AX$8</definedName>
    <definedName name="_FOR15">tc_template!$AX$9</definedName>
    <definedName name="_FOR16">tc_template!$AX$10</definedName>
    <definedName name="_FOR18">tc_template!$AX$12</definedName>
    <definedName name="_FOR19">tc_template!$AX$13</definedName>
    <definedName name="_FOR2">tc_template!$AU$5</definedName>
    <definedName name="_FOR20">tc_template!$AX$14</definedName>
    <definedName name="_FOR21">tc_template!$AX$15</definedName>
    <definedName name="_FOR22">tc_template!$AX$16</definedName>
    <definedName name="_FOR22.1">tc_template!$AX$17</definedName>
    <definedName name="_FOR22.2">tc_template!$AX$18</definedName>
    <definedName name="_FOR23">tc_template!$AX$19</definedName>
    <definedName name="_FOR24">tc_template!$AX$20</definedName>
    <definedName name="_FOR24.1">tc_template!$AX$21</definedName>
    <definedName name="_FOR24.2">tc_template!$AX$22</definedName>
    <definedName name="_FOR25">tc_template!$AX$29</definedName>
    <definedName name="_FOR26">tc_template!$AX$30</definedName>
    <definedName name="_FOR27">tc_template!$AX$31</definedName>
    <definedName name="_FOR28">tc_template!$AX$32</definedName>
    <definedName name="_FOR28C_1">tc_template!$AX$25</definedName>
    <definedName name="_FOR29">tc_template!$AX$33</definedName>
    <definedName name="_FOR3">tc_template!$AU$18</definedName>
    <definedName name="_FOR30">tc_template!$AX$34</definedName>
    <definedName name="_FOR31">tc_template!$AX$35</definedName>
    <definedName name="_FOR32">tc_template!$AX$36</definedName>
    <definedName name="_FOR33">tc_template!$AX$53</definedName>
    <definedName name="_FOR34">tc_template!$AX$54</definedName>
    <definedName name="_FOR35">tc_template!$AX$55</definedName>
    <definedName name="_FOR36">tc_template!$AX$56</definedName>
    <definedName name="_FOR37">tc_template!$AX$57</definedName>
    <definedName name="_FOR38">tc_template!$AX$58</definedName>
    <definedName name="_FOR39">tc_template!$AX$59</definedName>
    <definedName name="_FOR3D_2">tc_template!$AU$15</definedName>
    <definedName name="_FOR4">tc_template!$AU$19</definedName>
    <definedName name="_FOR40">tc_template!$AX$60</definedName>
    <definedName name="_FOR41">tc_template!$AX$61</definedName>
    <definedName name="_FOR42">tc_template!$AX$62</definedName>
    <definedName name="_FOR43">tc_template!$AX$63</definedName>
    <definedName name="_FOR44">tc_template!$AX$64</definedName>
    <definedName name="_FOR45">tc_template!$AX$65</definedName>
    <definedName name="_FOR46">tc_template!$AX$66</definedName>
    <definedName name="_FOR4F_1">tc_template!$AU$11</definedName>
    <definedName name="_FOR4F_2">tc_template!$AU$17</definedName>
    <definedName name="_FOR5">tc_template!$AU$50</definedName>
    <definedName name="_FOR5D_1">tc_template!$AU$23</definedName>
    <definedName name="_FOR5D_2">tc_template!$AU$29</definedName>
    <definedName name="_FOR5D_3">tc_template!$AU$35</definedName>
    <definedName name="_FOR5D_4">tc_template!$AU$41</definedName>
    <definedName name="_FOR5D_5">tc_template!$AU$47</definedName>
    <definedName name="_FOR6">tc_template!$AU$51</definedName>
    <definedName name="_FOR6F_1">tc_template!$AU$25</definedName>
    <definedName name="_FOR6F_2">tc_template!$AU$31</definedName>
    <definedName name="_FOR6F_3">tc_template!$AU$37</definedName>
    <definedName name="_FOR6F_4">tc_template!$AU$43</definedName>
    <definedName name="_FOR6F_5">tc_template!$AU$49</definedName>
    <definedName name="_FOR8">tc_template!$AU$59</definedName>
    <definedName name="_FOR8D_1">tc_template!$AU$56</definedName>
    <definedName name="_FOR9">tc_template!$AU$60</definedName>
    <definedName name="_FOR9F_1">tc_template!$AU$58</definedName>
    <definedName name="_FOS63.1">tc_template!$AO$16</definedName>
    <definedName name="_FPS_AF1">tc_template!$AL$47</definedName>
    <definedName name="_FPS_AF2">tc_template!$AO$18</definedName>
    <definedName name="_FPS1">tc_template!$AL$4</definedName>
    <definedName name="_FPS10">tc_template!$AL$13</definedName>
    <definedName name="_FPS11">tc_template!$AL$14</definedName>
    <definedName name="_FPS12">tc_template!$AL$15</definedName>
    <definedName name="_FPS13">tc_template!$AL$16</definedName>
    <definedName name="_FPS14">tc_template!$AL$17</definedName>
    <definedName name="_FPS15">tc_template!$AL$18</definedName>
    <definedName name="_FPS16">tc_template!$AL$19</definedName>
    <definedName name="_FPS17">tc_template!$AL$20</definedName>
    <definedName name="_FPS18">tc_template!$AL$21</definedName>
    <definedName name="_FPS19">tc_template!$AL$22</definedName>
    <definedName name="_FPS2">tc_template!$AL$5</definedName>
    <definedName name="_FPS20">tc_template!$AL$23</definedName>
    <definedName name="_FPS21">tc_template!$AL$24</definedName>
    <definedName name="_FPS22">tc_template!$AL$25</definedName>
    <definedName name="_FPS23">tc_template!$AL$26</definedName>
    <definedName name="_FPS24">tc_template!$AL$27</definedName>
    <definedName name="_FPS25">tc_template!$AL$28</definedName>
    <definedName name="_FPS26">tc_template!$AL$29</definedName>
    <definedName name="_FPS27">tc_template!$AL$30</definedName>
    <definedName name="_FPS28">tc_template!$AL$31</definedName>
    <definedName name="_FPS29">tc_template!$AL$32</definedName>
    <definedName name="_FPS3">tc_template!$AL$6</definedName>
    <definedName name="_FPS30">tc_template!$AL$33</definedName>
    <definedName name="_FPS31">tc_template!$AL$34</definedName>
    <definedName name="_FPS32">tc_template!$AL$35</definedName>
    <definedName name="_FPS33">tc_template!$AL$36</definedName>
    <definedName name="_FPS34">tc_template!$AL$37</definedName>
    <definedName name="_FPS35">tc_template!$AL$38</definedName>
    <definedName name="_FPS36">tc_template!$AL$39</definedName>
    <definedName name="_FPS37">tc_template!$AL$40</definedName>
    <definedName name="_FPS38">tc_template!$AL$41</definedName>
    <definedName name="_FPS39">tc_template!$AL$42</definedName>
    <definedName name="_FPS4">tc_template!$AL$7</definedName>
    <definedName name="_FPS40">tc_template!$AL$43</definedName>
    <definedName name="_FPS41">tc_template!$AL$44</definedName>
    <definedName name="_FPS41.1">tc_template!$AL$45</definedName>
    <definedName name="_FPS41.2">tc_template!$AL$46</definedName>
    <definedName name="_FPS42">tc_template!$AL$48</definedName>
    <definedName name="_FPS43">tc_template!$AL$49</definedName>
    <definedName name="_FPS44">tc_template!$AL$50</definedName>
    <definedName name="_FPS45">tc_template!$AL$51</definedName>
    <definedName name="_FPS46">tc_template!$AL$52</definedName>
    <definedName name="_FPS47">tc_template!$AL$53</definedName>
    <definedName name="_FPS48">tc_template!$AL$54</definedName>
    <definedName name="_FPS49">tc_template!$AL$55</definedName>
    <definedName name="_FPS5">tc_template!$AL$8</definedName>
    <definedName name="_FPS50">tc_template!$AL$56</definedName>
    <definedName name="_FPS51">tc_template!$AL$57</definedName>
    <definedName name="_FPS52">tc_template!$AO$4</definedName>
    <definedName name="_FPS53">tc_template!$AO$5</definedName>
    <definedName name="_FPS54">tc_template!$AO$6</definedName>
    <definedName name="_FPS55">tc_template!$AO$7</definedName>
    <definedName name="_FPS56">tc_template!$AO$8</definedName>
    <definedName name="_FPS57">tc_template!$AO$9</definedName>
    <definedName name="_FPS58">tc_template!$AO$10</definedName>
    <definedName name="_FPS59">tc_template!$AO$11</definedName>
    <definedName name="_FPS6">tc_template!$AL$9</definedName>
    <definedName name="_FPS60">tc_template!$AO$12</definedName>
    <definedName name="_FPS61">tc_template!$AO$13</definedName>
    <definedName name="_FPS62">tc_template!$AO$14</definedName>
    <definedName name="_FPS63">tc_template!$AO$15</definedName>
    <definedName name="_FPS63.2">tc_template!$AO$17</definedName>
    <definedName name="_FPS64">tc_template!$AO$19</definedName>
    <definedName name="_FPS65">tc_template!$AO$20</definedName>
    <definedName name="_FPS66">tc_template!$AO$21</definedName>
    <definedName name="_FPS67">tc_template!$AO$22</definedName>
    <definedName name="_FPS68">tc_template!$AO$23</definedName>
    <definedName name="_FPS69">tc_template!$AO$24</definedName>
    <definedName name="_FPS7">tc_template!$AL$10</definedName>
    <definedName name="_FPS70">tc_template!$AO$25</definedName>
    <definedName name="_FPS71">tc_template!$AO$26</definedName>
    <definedName name="_FPS72">tc_template!$AO$27</definedName>
    <definedName name="_FPS73">tc_template!$AO$28</definedName>
    <definedName name="_FPS74">tc_template!$AO$29</definedName>
    <definedName name="_FPS75">tc_template!$AO$30</definedName>
    <definedName name="_FPS76">tc_template!$AO$31</definedName>
    <definedName name="_FPS77">tc_template!$AO$32</definedName>
    <definedName name="_FPS78">tc_template!$AO$33</definedName>
    <definedName name="_FPS79">tc_template!$AO$34</definedName>
    <definedName name="_FPS8">tc_template!$AL$11</definedName>
    <definedName name="_FPS80">tc_template!$AO$35</definedName>
    <definedName name="_FPS9">tc_template!$AL$12</definedName>
    <definedName name="_FSE1">tc_template!$W$4</definedName>
    <definedName name="_FSE10">tc_template!$W$13</definedName>
    <definedName name="_FSE100">tc_template!$Z$52</definedName>
    <definedName name="_FSE101">tc_template!$Z$53</definedName>
    <definedName name="_FSE102">tc_template!$Z$54</definedName>
    <definedName name="_FSE103">tc_template!$Z$55</definedName>
    <definedName name="_FSE11">tc_template!$W$14</definedName>
    <definedName name="_FSE12">tc_template!$W$15</definedName>
    <definedName name="_FSE13">tc_template!$W$16</definedName>
    <definedName name="_FSE14">tc_template!$W$17</definedName>
    <definedName name="_FSE15">tc_template!$W$18</definedName>
    <definedName name="_FSE16">tc_template!$W$19</definedName>
    <definedName name="_FSE16.1">tc_template!$W$20</definedName>
    <definedName name="_FSE17">tc_template!$W$21</definedName>
    <definedName name="_FSE18">tc_template!$W$22</definedName>
    <definedName name="_FSE19">tc_template!$W$23</definedName>
    <definedName name="_FSE2">tc_template!$W$5</definedName>
    <definedName name="_FSE20">tc_template!$W$24</definedName>
    <definedName name="_FSE21">tc_template!$W$25</definedName>
    <definedName name="_FSE22">tc_template!$W$26</definedName>
    <definedName name="_FSE23">tc_template!$W$27</definedName>
    <definedName name="_FSE24">tc_template!$W$28</definedName>
    <definedName name="_FSE25">tc_template!$W$29</definedName>
    <definedName name="_FSE26">tc_template!$W$30</definedName>
    <definedName name="_FSE27">tc_template!$W$31</definedName>
    <definedName name="_FSE28">tc_template!$W$32</definedName>
    <definedName name="_FSE29">tc_template!$W$33</definedName>
    <definedName name="_FSE3">tc_template!$W$6</definedName>
    <definedName name="_FSE30">tc_template!$W$34</definedName>
    <definedName name="_FSE31">tc_template!$W$35</definedName>
    <definedName name="_FSE32">tc_template!$W$36</definedName>
    <definedName name="_FSE33">tc_template!$W$37</definedName>
    <definedName name="_FSE34">tc_template!$W$38</definedName>
    <definedName name="_FSE35">tc_template!$W$39</definedName>
    <definedName name="_FSE36">tc_template!$W$40</definedName>
    <definedName name="_FSE37">tc_template!$W$41</definedName>
    <definedName name="_FSE38">tc_template!$W$42</definedName>
    <definedName name="_FSE39">tc_template!$W$43</definedName>
    <definedName name="_FSE4">tc_template!$W$7</definedName>
    <definedName name="_FSE40">tc_template!$W$44</definedName>
    <definedName name="_FSE41">tc_template!$W$45</definedName>
    <definedName name="_FSE42">tc_template!$W$46</definedName>
    <definedName name="_FSE43">tc_template!$W$47</definedName>
    <definedName name="_FSE44">tc_template!$W$48</definedName>
    <definedName name="_FSE45">tc_template!$W$49</definedName>
    <definedName name="_FSE46">tc_template!$W$50</definedName>
    <definedName name="_FSE47">tc_template!$W$51</definedName>
    <definedName name="_FSE48">tc_template!$W$52</definedName>
    <definedName name="_FSE49">tc_template!$W$53</definedName>
    <definedName name="_FSE5">tc_template!$W$8</definedName>
    <definedName name="_FSE50">tc_template!$W$54</definedName>
    <definedName name="_FSE51">tc_template!$W$55</definedName>
    <definedName name="_FSE52">tc_template!$W$56</definedName>
    <definedName name="_FSE53">tc_template!$Z$4</definedName>
    <definedName name="_FSE54">tc_template!$Z$5</definedName>
    <definedName name="_FSE55">tc_template!$Z$6</definedName>
    <definedName name="_FSE56">tc_template!$Z$7</definedName>
    <definedName name="_FSE57">tc_template!$Z$8</definedName>
    <definedName name="_FSE58">tc_template!$Z$9</definedName>
    <definedName name="_FSE59">tc_template!$Z$10</definedName>
    <definedName name="_FSE6">tc_template!$W$9</definedName>
    <definedName name="_FSE60">tc_template!$Z$11</definedName>
    <definedName name="_FSE61">tc_template!$Z$12</definedName>
    <definedName name="_FSE62">tc_template!$Z$13</definedName>
    <definedName name="_FSE63">tc_template!$Z$14</definedName>
    <definedName name="_FSE64">tc_template!$Z$15</definedName>
    <definedName name="_FSE65">tc_template!$Z$16</definedName>
    <definedName name="_FSE66">tc_template!$Z$17</definedName>
    <definedName name="_FSE67">tc_template!$Z$18</definedName>
    <definedName name="_FSE68">tc_template!$Z$19</definedName>
    <definedName name="_FSE69">tc_template!$Z$20</definedName>
    <definedName name="_FSE7">tc_template!$W$10</definedName>
    <definedName name="_FSE70">tc_template!$Z$21</definedName>
    <definedName name="_FSE71">tc_template!$Z$22</definedName>
    <definedName name="_FSE72">tc_template!$Z$23</definedName>
    <definedName name="_FSE73">tc_template!$Z$24</definedName>
    <definedName name="_FSE74">tc_template!$Z$25</definedName>
    <definedName name="_FSE75">tc_template!$Z$26</definedName>
    <definedName name="_FSE75.1">tc_template!$Z$27</definedName>
    <definedName name="_FSE76">tc_template!$Z$28</definedName>
    <definedName name="_FSE77">tc_template!$Z$29</definedName>
    <definedName name="_FSE78">tc_template!$Z$30</definedName>
    <definedName name="_FSE79">tc_template!$Z$31</definedName>
    <definedName name="_FSE8">tc_template!$W$11</definedName>
    <definedName name="_FSE80">tc_template!$Z$32</definedName>
    <definedName name="_FSE81">tc_template!$Z$33</definedName>
    <definedName name="_FSE82">tc_template!$Z$34</definedName>
    <definedName name="_FSE83">tc_template!$Z$35</definedName>
    <definedName name="_FSE84">tc_template!$Z$36</definedName>
    <definedName name="_FSE85">tc_template!$Z$37</definedName>
    <definedName name="_FSE86">tc_template!$Z$38</definedName>
    <definedName name="_FSE87">tc_template!$Z$39</definedName>
    <definedName name="_FSE88">tc_template!$Z$40</definedName>
    <definedName name="_FSE89">tc_template!$Z$41</definedName>
    <definedName name="_FSE9">tc_template!$W$12</definedName>
    <definedName name="_FSE90">tc_template!$Z$42</definedName>
    <definedName name="_FSE91">tc_template!$Z$43</definedName>
    <definedName name="_FSE92">tc_template!$Z$44</definedName>
    <definedName name="_FSE93">tc_template!$Z$45</definedName>
    <definedName name="_FSE94">tc_template!$Z$46</definedName>
    <definedName name="_FSE95">tc_template!$Z$47</definedName>
    <definedName name="_FSE96">tc_template!$Z$48</definedName>
    <definedName name="_FSE97">tc_template!$Z$49</definedName>
    <definedName name="_FSE98">tc_template!$Z$50</definedName>
    <definedName name="_FSE99">tc_template!$Z$51</definedName>
    <definedName name="_INC1">tc_template!$B$11</definedName>
    <definedName name="_INC10">tc_template!$B$20</definedName>
    <definedName name="_INC11">tc_template!$B$21</definedName>
    <definedName name="_INC12">tc_template!$B$22</definedName>
    <definedName name="_INC13">tc_template!$B$23</definedName>
    <definedName name="_INC14">tc_template!$B$24</definedName>
    <definedName name="_INC15">tc_template!$B$25</definedName>
    <definedName name="_INC16">tc_template!$B$26</definedName>
    <definedName name="_INC17">tc_template!$B$27</definedName>
    <definedName name="_INC18">tc_template!$B$28</definedName>
    <definedName name="_INC19">tc_template!$B$29</definedName>
    <definedName name="_INC2">tc_template!$B$12</definedName>
    <definedName name="_INC20">tc_template!$B$30</definedName>
    <definedName name="_INC21">tc_template!$B$31</definedName>
    <definedName name="_INC3">tc_template!$B$13</definedName>
    <definedName name="_INC4">tc_template!$B$14</definedName>
    <definedName name="_INC5">tc_template!$B$15</definedName>
    <definedName name="_INC6">tc_template!$B$16</definedName>
    <definedName name="_INC7">tc_template!$B$17</definedName>
    <definedName name="_INC8">tc_template!$B$18</definedName>
    <definedName name="_INC9">tc_template!$B$19</definedName>
    <definedName name="_LUN1">tc_template!$AC$4</definedName>
    <definedName name="_LUN10">tc_template!$AC$13</definedName>
    <definedName name="_LUN11">tc_template!$AC$14</definedName>
    <definedName name="_LUN12">tc_template!$AC$15</definedName>
    <definedName name="_LUN13">tc_template!$AC$16</definedName>
    <definedName name="_LUN14">tc_template!$AC$17</definedName>
    <definedName name="_LUN15">tc_template!$AC$18</definedName>
    <definedName name="_LUN16">tc_template!$AC$19</definedName>
    <definedName name="_LUN17">tc_template!$AC$20</definedName>
    <definedName name="_LUN18">tc_template!$AC$21</definedName>
    <definedName name="_LUN19">tc_template!$AC$22</definedName>
    <definedName name="_LUN2">tc_template!$AC$5</definedName>
    <definedName name="_LUN20">tc_template!$AC$23</definedName>
    <definedName name="_LUN21">tc_template!$AC$24</definedName>
    <definedName name="_LUN22">tc_template!$AC$25</definedName>
    <definedName name="_LUN23">tc_template!$AC$26</definedName>
    <definedName name="_LUN24">tc_template!$AC$27</definedName>
    <definedName name="_LUN25">tc_template!$AC$28</definedName>
    <definedName name="_LUN26">tc_template!$AC$29</definedName>
    <definedName name="_LUN27">tc_template!$AC$30</definedName>
    <definedName name="_LUN28">tc_template!$AC$31</definedName>
    <definedName name="_LUN29">tc_template!$AC$32</definedName>
    <definedName name="_LUN3">tc_template!$AC$6</definedName>
    <definedName name="_LUN30">tc_template!$AC$33</definedName>
    <definedName name="_LUN31">tc_template!$AC$34</definedName>
    <definedName name="_LUN32">tc_template!$AC$35</definedName>
    <definedName name="_LUN33">tc_template!$AC$36</definedName>
    <definedName name="_LUN34">tc_template!$AC$37</definedName>
    <definedName name="_LUN35">tc_template!$AC$38</definedName>
    <definedName name="_LUN36">tc_template!$AC$39</definedName>
    <definedName name="_LUN37">tc_template!$AC$40</definedName>
    <definedName name="_LUN38">tc_template!$AC$41</definedName>
    <definedName name="_LUN39">tc_template!$AC$42</definedName>
    <definedName name="_LUN4">tc_template!$AC$7</definedName>
    <definedName name="_LUN40">tc_template!$AC$43</definedName>
    <definedName name="_LUN41">tc_template!$AC$44</definedName>
    <definedName name="_LUN42">tc_template!$AC$45</definedName>
    <definedName name="_LUN43">tc_template!$AC$46</definedName>
    <definedName name="_LUN44">tc_template!$AC$47</definedName>
    <definedName name="_LUN45">tc_template!$AC$48</definedName>
    <definedName name="_LUN46">tc_template!$AC$49</definedName>
    <definedName name="_LUN47">tc_template!$AC$50</definedName>
    <definedName name="_LUN48">tc_template!$AC$51</definedName>
    <definedName name="_LUN49">tc_template!$AC$52</definedName>
    <definedName name="_LUN5">tc_template!$AC$8</definedName>
    <definedName name="_LUN50">tc_template!$AC$53</definedName>
    <definedName name="_LUN51">tc_template!$AF$4</definedName>
    <definedName name="_LUN52">tc_template!$AF$5</definedName>
    <definedName name="_LUN53">tc_template!$AF$6</definedName>
    <definedName name="_LUN54">tc_template!$AF$7</definedName>
    <definedName name="_LUN55">tc_template!$AF$8</definedName>
    <definedName name="_LUN56">tc_template!$AF$9</definedName>
    <definedName name="_LUN57">tc_template!$AF$10</definedName>
    <definedName name="_LUN58">tc_template!$AF$11</definedName>
    <definedName name="_LUN59">tc_template!$AF$12</definedName>
    <definedName name="_LUN6">tc_template!$AC$9</definedName>
    <definedName name="_LUN60">tc_template!$AF$13</definedName>
    <definedName name="_LUN61">tc_template!$AF$14</definedName>
    <definedName name="_LUN62">tc_template!$AF$15</definedName>
    <definedName name="_LUN63">tc_template!$AF$16</definedName>
    <definedName name="_LUN64">tc_template!$AF$17</definedName>
    <definedName name="_LUN65">tc_template!$AF$18</definedName>
    <definedName name="_LUN66">tc_template!$AF$19</definedName>
    <definedName name="_LUN7">tc_template!$AC$10</definedName>
    <definedName name="_LUN8">tc_template!$AC$11</definedName>
    <definedName name="_LUN9">tc_template!$AC$12</definedName>
    <definedName name="_MAT_IN">tc_template!$B$53</definedName>
    <definedName name="_MAT_OUT">tc_template!$B$52</definedName>
    <definedName name="_MAT0">tc_template!$B$46</definedName>
    <definedName name="_MAT1">tc_template!$B$47</definedName>
    <definedName name="_MAT2">tc_template!$B$48</definedName>
    <definedName name="_MAT3">tc_template!$B$49</definedName>
    <definedName name="_MAT4">tc_template!$B$50</definedName>
    <definedName name="_MAT5">tc_template!$B$51</definedName>
    <definedName name="_MCA1">tc_template!$K$4</definedName>
    <definedName name="_MCA10">tc_template!$K$13</definedName>
    <definedName name="_MCA11">tc_template!$K$14</definedName>
    <definedName name="_MCA2">tc_template!$K$5</definedName>
    <definedName name="_MCA3">tc_template!$K$6</definedName>
    <definedName name="_MCA4">tc_template!$K$7</definedName>
    <definedName name="_MCA5">tc_template!$K$8</definedName>
    <definedName name="_MCA6">tc_template!$K$9</definedName>
    <definedName name="_MCA7">tc_template!$K$10</definedName>
    <definedName name="_MCA8">tc_template!$K$11</definedName>
    <definedName name="_MCA9">tc_template!$K$12</definedName>
    <definedName name="_MOR1">tc_template!$Q$4</definedName>
    <definedName name="_MOR10">tc_template!$Q$13</definedName>
    <definedName name="_MOR11">tc_template!$Q$14</definedName>
    <definedName name="_MOR12">tc_template!$Q$15</definedName>
    <definedName name="_MOR13">tc_template!$Q$16</definedName>
    <definedName name="_MOR14">tc_template!$Q$17</definedName>
    <definedName name="_MOR15">tc_template!$Q$18</definedName>
    <definedName name="_MOR16">tc_template!$Q$19</definedName>
    <definedName name="_MOR17">tc_template!$Q$20</definedName>
    <definedName name="_MOR18">tc_template!$Q$21</definedName>
    <definedName name="_MOR19">tc_template!$Q$22</definedName>
    <definedName name="_MOR2">tc_template!$Q$5</definedName>
    <definedName name="_MOR20">tc_template!$Q$23</definedName>
    <definedName name="_MOR21">tc_template!$Q$24</definedName>
    <definedName name="_MOR22">tc_template!$Q$25</definedName>
    <definedName name="_MOR23">tc_template!$Q$26</definedName>
    <definedName name="_MOR24">tc_template!$Q$27</definedName>
    <definedName name="_MOR25">tc_template!$Q$28</definedName>
    <definedName name="_MOR26">tc_template!$Q$29</definedName>
    <definedName name="_MOR27">tc_template!$Q$30</definedName>
    <definedName name="_MOR28">tc_template!$Q$31</definedName>
    <definedName name="_MOR29">tc_template!$Q$32</definedName>
    <definedName name="_MOR3">tc_template!$Q$6</definedName>
    <definedName name="_MOR30">tc_template!$Q$33</definedName>
    <definedName name="_MOR31">tc_template!$Q$34</definedName>
    <definedName name="_MOR32">tc_template!$Q$35</definedName>
    <definedName name="_MOR33">tc_template!$Q$36</definedName>
    <definedName name="_MOR34">tc_template!$Q$37</definedName>
    <definedName name="_MOR35">tc_template!$Q$38</definedName>
    <definedName name="_MOR36">tc_template!$Q$39</definedName>
    <definedName name="_MOR37">tc_template!$Q$40</definedName>
    <definedName name="_MOR38">tc_template!$Q$41</definedName>
    <definedName name="_MOR39">tc_template!$Q$42</definedName>
    <definedName name="_MOR4">tc_template!$Q$7</definedName>
    <definedName name="_MOR5">tc_template!$Q$8</definedName>
    <definedName name="_MOR6">tc_template!$Q$9</definedName>
    <definedName name="_MOR7">tc_template!$Q$10</definedName>
    <definedName name="_MOR8">tc_template!$Q$11</definedName>
    <definedName name="_MOR9">tc_template!$Q$12</definedName>
    <definedName name="_MORCL1">tc_template!$Q$43</definedName>
    <definedName name="_NRD1">tc_template!$BG$4</definedName>
    <definedName name="_NRD10">tc_template!$BG$14</definedName>
    <definedName name="_NRD11">tc_template!$BG$15</definedName>
    <definedName name="_NRD12">tc_template!$BG$16</definedName>
    <definedName name="_NRD13">tc_template!$BG$17</definedName>
    <definedName name="_NRD14">tc_template!$BG$18</definedName>
    <definedName name="_NRD15">tc_template!$BG$19</definedName>
    <definedName name="_NRD16">tc_template!$BG$20</definedName>
    <definedName name="_NRD17">tc_template!$BG$21</definedName>
    <definedName name="_NRD18">tc_template!$BG$22</definedName>
    <definedName name="_NRD19">tc_template!$BG$23</definedName>
    <definedName name="_NRD2">tc_template!$BG$5</definedName>
    <definedName name="_NRD20">tc_template!$BG$24</definedName>
    <definedName name="_NRD21">tc_template!$BG$25</definedName>
    <definedName name="_NRD22">tc_template!$BG$26</definedName>
    <definedName name="_NRD23">tc_template!$BG$27</definedName>
    <definedName name="_NRD23.1">tc_template!$BG$28</definedName>
    <definedName name="_NRD23.2">tc_template!$BG$29</definedName>
    <definedName name="_NRD23.3">tc_template!$BG$30</definedName>
    <definedName name="_NRD24">tc_template!$BG$31</definedName>
    <definedName name="_NRD25">tc_template!$BG$32</definedName>
    <definedName name="_NRD26">tc_template!$BG$33</definedName>
    <definedName name="_NRD27">tc_template!$BG$34</definedName>
    <definedName name="_NRD28">tc_template!$BG$35</definedName>
    <definedName name="_NRD29">tc_template!$BG$36</definedName>
    <definedName name="_NRD3">tc_template!$BG$6</definedName>
    <definedName name="_NRD3.1">tc_template!$BG$7</definedName>
    <definedName name="_NRD30">tc_template!$BG$37</definedName>
    <definedName name="_NRD31">tc_template!$BG$38</definedName>
    <definedName name="_NRD32">tc_template!$BG$39</definedName>
    <definedName name="_NRD33">tc_template!$BG$40</definedName>
    <definedName name="_NRD34">tc_template!$BG$41</definedName>
    <definedName name="_NRD35">tc_template!$BG$42</definedName>
    <definedName name="_NRD36">tc_template!$BG$43</definedName>
    <definedName name="_NRD37">tc_template!$BG$44</definedName>
    <definedName name="_NRD38">tc_template!$BG$45</definedName>
    <definedName name="_NRD39">tc_template!$BG$46</definedName>
    <definedName name="_NRD4">tc_template!$BG$8</definedName>
    <definedName name="_NRD40">tc_template!$BG$47</definedName>
    <definedName name="_NRD5">tc_template!$BG$9</definedName>
    <definedName name="_NRD6">tc_template!$BG$10</definedName>
    <definedName name="_NRD7">tc_template!$BG$11</definedName>
    <definedName name="_NRD8">tc_template!$BG$12</definedName>
    <definedName name="_NRD9">tc_template!$BG$13</definedName>
    <definedName name="_PGLRPT">tc_template!$B$36</definedName>
    <definedName name="_PRO1">tc_template!$AR$4</definedName>
    <definedName name="_PRO10">tc_template!$AR$15</definedName>
    <definedName name="_PRO10.2">tc_template!$AR$33</definedName>
    <definedName name="_PRO11">tc_template!$AR$16</definedName>
    <definedName name="_PRO11.1">tc_template!$AR$17</definedName>
    <definedName name="_PRO11.1.2">tc_template!$AR$35</definedName>
    <definedName name="_PRO11.2">tc_template!$AR$34</definedName>
    <definedName name="_PRO12">tc_template!$AR$18</definedName>
    <definedName name="_PRO12.2">tc_template!$AR$36</definedName>
    <definedName name="_PRO13">tc_template!$AR$19</definedName>
    <definedName name="_PRO13.2">tc_template!$AR$37</definedName>
    <definedName name="_PRO14">tc_template!$AR$20</definedName>
    <definedName name="_PRO14.2">tc_template!$AR$38</definedName>
    <definedName name="_PRO15">tc_template!$AR$21</definedName>
    <definedName name="_PRO15.2">tc_template!$AR$39</definedName>
    <definedName name="_PRO16">tc_template!$AR$22</definedName>
    <definedName name="_PRO16.2">tc_template!$AR$40</definedName>
    <definedName name="_PRO17">tc_template!$AR$23</definedName>
    <definedName name="_PRO17.2">tc_template!$AR$41</definedName>
    <definedName name="_PRO18">tc_template!$AR$24</definedName>
    <definedName name="_PRO18.2">tc_template!$AR$42</definedName>
    <definedName name="_PRO19">tc_template!$AR$25</definedName>
    <definedName name="_PRO19.2">tc_template!$AR$43</definedName>
    <definedName name="_PRO2">tc_template!$AR$5</definedName>
    <definedName name="_PRO20">tc_template!$AR$44</definedName>
    <definedName name="_PRO20.1">tc_template!$AR$45</definedName>
    <definedName name="_PRO20.2">tc_template!$AR$46</definedName>
    <definedName name="_PRO21">tc_template!$AR$47</definedName>
    <definedName name="_PRO22">tc_template!$AR$48</definedName>
    <definedName name="_PRO23">tc_template!$AR$49</definedName>
    <definedName name="_PRO24">tc_template!$AR$50</definedName>
    <definedName name="_PRO25">tc_template!$AR$51</definedName>
    <definedName name="_PRO26">tc_template!$AR$52</definedName>
    <definedName name="_PRO27">tc_template!$AR$53</definedName>
    <definedName name="_PRO28">tc_template!$AR$54</definedName>
    <definedName name="_PRO29">tc_template!$AR$55</definedName>
    <definedName name="_PRO3">tc_template!$AR$6</definedName>
    <definedName name="_PRO30">tc_template!$AR$56</definedName>
    <definedName name="_PRO31">tc_template!$AR$57</definedName>
    <definedName name="_PRO32">tc_template!$AR$58</definedName>
    <definedName name="_PRO33">tc_template!$AR$59</definedName>
    <definedName name="_PRO33.1">tc_template!$AR$60</definedName>
    <definedName name="_PRO34">tc_template!$AR$61</definedName>
    <definedName name="_PRO35">tc_template!$AR$62</definedName>
    <definedName name="_PRO36">tc_template!$AR$63</definedName>
    <definedName name="_PRO37">tc_template!$AR$64</definedName>
    <definedName name="_PRO38">tc_template!$AR$65</definedName>
    <definedName name="_PRO39">tc_template!$AR$66</definedName>
    <definedName name="_PRO4">tc_template!$AR$7</definedName>
    <definedName name="_PRO40">tc_template!$AR$67</definedName>
    <definedName name="_PRO41">tc_template!$AR$68</definedName>
    <definedName name="_PRO42">tc_template!$AR$69</definedName>
    <definedName name="_PRO43">tc_template!$AR$70</definedName>
    <definedName name="_PRO44">tc_template!$AR$71</definedName>
    <definedName name="_PRO45">tc_template!$AR$72</definedName>
    <definedName name="_PRO5">tc_template!$AR$8</definedName>
    <definedName name="_PRO5.2">tc_template!$AR$26</definedName>
    <definedName name="_PRO5_1">tc_template!$AR$9</definedName>
    <definedName name="_PRO5_1.2">tc_template!$AR$27</definedName>
    <definedName name="_PRO5_2">tc_template!$AR$10</definedName>
    <definedName name="_PRO5_2.2">tc_template!$AR$28</definedName>
    <definedName name="_PRO6">tc_template!$AR$11</definedName>
    <definedName name="_PRO6.2">tc_template!$AR$29</definedName>
    <definedName name="_PRO7">tc_template!$AR$12</definedName>
    <definedName name="_PRO7.2">tc_template!$AR$30</definedName>
    <definedName name="_PRO8">tc_template!$AR$13</definedName>
    <definedName name="_PRO8.2">tc_template!$AR$31</definedName>
    <definedName name="_PRO9">tc_template!$AR$14</definedName>
    <definedName name="_PRO9.2">tc_template!$AR$32</definedName>
    <definedName name="_REL1">tc_template!$E$4</definedName>
    <definedName name="_REL10">tc_template!$E$13</definedName>
    <definedName name="_REL11">tc_template!$E$14</definedName>
    <definedName name="_REL12">tc_template!$E$15</definedName>
    <definedName name="_REL13">tc_template!$E$16</definedName>
    <definedName name="_REL14">tc_template!$E$17</definedName>
    <definedName name="_REL15">tc_template!$E$18</definedName>
    <definedName name="_REL16">tc_template!$E$19</definedName>
    <definedName name="_REL2">tc_template!$E$5</definedName>
    <definedName name="_REL3">tc_template!$E$6</definedName>
    <definedName name="_REL4">tc_template!$E$7</definedName>
    <definedName name="_REL5">tc_template!$E$8</definedName>
    <definedName name="_REL6">tc_template!$E$9</definedName>
    <definedName name="_REL7">tc_template!$E$10</definedName>
    <definedName name="_REL8">tc_template!$E$11</definedName>
    <definedName name="_REL9">tc_template!$E$12</definedName>
    <definedName name="_SLR1">tc_template!$B$34</definedName>
    <definedName name="_SLR2">tc_template!$B$37</definedName>
    <definedName name="_SLR3">tc_template!$B$38</definedName>
    <definedName name="_SLRPT">tc_template!$B$35</definedName>
    <definedName name="_SPS1">tc_template!$AI$4</definedName>
    <definedName name="_SPS10">tc_template!$AI$13</definedName>
    <definedName name="_SPS11">tc_template!$AI$14</definedName>
    <definedName name="_SPS12">tc_template!$AI$15</definedName>
    <definedName name="_SPS13">tc_template!$AI$16</definedName>
    <definedName name="_SPS14">tc_template!$AI$17</definedName>
    <definedName name="_SPS15">tc_template!$AI$18</definedName>
    <definedName name="_SPS16">tc_template!$AI$19</definedName>
    <definedName name="_SPS17">tc_template!$AI$20</definedName>
    <definedName name="_SPS18">tc_template!$AI$21</definedName>
    <definedName name="_SPS19">tc_template!$AI$22</definedName>
    <definedName name="_SPS2">tc_template!$AI$5</definedName>
    <definedName name="_SPS20">tc_template!$AI$23</definedName>
    <definedName name="_SPS21">tc_template!$AI$24</definedName>
    <definedName name="_SPS22">tc_template!$AI$25</definedName>
    <definedName name="_SPS23">tc_template!$AI$26</definedName>
    <definedName name="_SPS24">tc_template!$AI$27</definedName>
    <definedName name="_SPS25">tc_template!$AI$28</definedName>
    <definedName name="_SPS26">tc_template!$AI$29</definedName>
    <definedName name="_SPS27">tc_template!$AI$30</definedName>
    <definedName name="_SPS28">tc_template!$AI$31</definedName>
    <definedName name="_SPS29">tc_template!$AI$32</definedName>
    <definedName name="_SPS3">tc_template!$AI$6</definedName>
    <definedName name="_SPS30">tc_template!$AI$33</definedName>
    <definedName name="_SPS31">tc_template!$AI$34</definedName>
    <definedName name="_SPS32">tc_template!$AI$35</definedName>
    <definedName name="_SPS4">tc_template!$AI$7</definedName>
    <definedName name="_SPS5">tc_template!$AI$8</definedName>
    <definedName name="_SPS6">tc_template!$AI$9</definedName>
    <definedName name="_SPS7">tc_template!$AI$10</definedName>
    <definedName name="_SPS8">tc_template!$AI$11</definedName>
    <definedName name="_SPS9">tc_template!$AI$12</definedName>
    <definedName name="_SSE1">tc_template!$T$4</definedName>
    <definedName name="_SSE10">tc_template!$T$13</definedName>
    <definedName name="_SSE10.1">tc_template!$T$14</definedName>
    <definedName name="_SSE11">tc_template!$T$15</definedName>
    <definedName name="_SSE12">tc_template!$T$16</definedName>
    <definedName name="_SSE13">tc_template!$T$17</definedName>
    <definedName name="_SSE14">tc_template!$T$18</definedName>
    <definedName name="_SSE15">tc_template!$T$19</definedName>
    <definedName name="_SSE16">tc_template!$T$20</definedName>
    <definedName name="_SSE17">tc_template!$T$21</definedName>
    <definedName name="_SSE18">tc_template!$T$22</definedName>
    <definedName name="_SSE19">tc_template!$T$23</definedName>
    <definedName name="_SSE2">tc_template!$T$5</definedName>
    <definedName name="_SSE20">tc_template!$T$24</definedName>
    <definedName name="_SSE21">tc_template!$T$25</definedName>
    <definedName name="_SSE22">tc_template!$T$26</definedName>
    <definedName name="_SSE23">tc_template!$T$27</definedName>
    <definedName name="_SSE24">tc_template!$T$28</definedName>
    <definedName name="_SSE25">tc_template!$T$29</definedName>
    <definedName name="_SSE25.1">tc_template!$T$30</definedName>
    <definedName name="_SSE26">tc_template!$T$31</definedName>
    <definedName name="_SSE27">tc_template!$T$32</definedName>
    <definedName name="_SSE28">tc_template!$T$33</definedName>
    <definedName name="_SSE29">tc_template!$T$34</definedName>
    <definedName name="_SSE3">tc_template!$T$6</definedName>
    <definedName name="_SSE30">tc_template!$T$35</definedName>
    <definedName name="_SSE31">tc_template!$T$36</definedName>
    <definedName name="_SSE32">tc_template!$T$37</definedName>
    <definedName name="_SSE33">tc_template!$T$38</definedName>
    <definedName name="_SSE34">tc_template!$T$39</definedName>
    <definedName name="_SSE35">tc_template!$T$40</definedName>
    <definedName name="_SSE36">tc_template!$T$41</definedName>
    <definedName name="_SSE37">tc_template!$T$42</definedName>
    <definedName name="_SSE38">tc_template!$T$43</definedName>
    <definedName name="_SSE4">tc_template!$T$7</definedName>
    <definedName name="_SSE5">tc_template!$T$8</definedName>
    <definedName name="_SSE6">tc_template!$T$9</definedName>
    <definedName name="_SSE7">tc_template!$T$10</definedName>
    <definedName name="_SSE8">tc_template!$T$11</definedName>
    <definedName name="_SSE9">tc_template!$T$12</definedName>
    <definedName localSheetId="68" name="_Toc137538025">CRC_template!$B$60</definedName>
    <definedName localSheetId="60" name="_Toc257364484">'Divs (c3)'!$B$33</definedName>
    <definedName localSheetId="60" name="_Toc257364486">'Divs (c3)'!$B$43</definedName>
    <definedName localSheetId="72" name="_Toc328722581">'POAs (c13)'!$D$74</definedName>
    <definedName name="_TRU1">tc_template!$BA$4</definedName>
    <definedName name="_TRU10">tc_template!$BA$13</definedName>
    <definedName name="_TRU11">tc_template!$BA$14</definedName>
    <definedName name="_TRU12">tc_template!$BA$15</definedName>
    <definedName name="_TRU13">tc_template!$BA$16</definedName>
    <definedName name="_TRU14">tc_template!$BA$17</definedName>
    <definedName name="_TRU15">tc_template!$BA$18</definedName>
    <definedName name="_TRU16">tc_template!$BA$19</definedName>
    <definedName name="_TRU17">tc_template!$BA$20</definedName>
    <definedName name="_TRU18">tc_template!$BA$21</definedName>
    <definedName name="_TRU19">tc_template!$BA$22</definedName>
    <definedName name="_TRU2">tc_template!$BA$5</definedName>
    <definedName name="_TRU20">tc_template!$BA$23</definedName>
    <definedName name="_TRU22">tc_template!$BA$25</definedName>
    <definedName name="_TRU23">tc_template!$BA$26</definedName>
    <definedName name="_TRU24">tc_template!$BA$27</definedName>
    <definedName name="_TRU25">tc_template!$BA$28</definedName>
    <definedName name="_TRU3">tc_template!$BA$6</definedName>
    <definedName name="_TRU4">tc_template!$BA$7</definedName>
    <definedName name="_TRU5">tc_template!$BA$8</definedName>
    <definedName name="_TRU6">tc_template!$BA$9</definedName>
    <definedName name="_TRU7">tc_template!$BA$10</definedName>
    <definedName name="_TRU8">tc_template!$BA$11</definedName>
    <definedName name="_TRU9">tc_template!$BA$12</definedName>
    <definedName name="_YPD1">tc_template!$B$4</definedName>
    <definedName name="_YPD2">tc_template!$B$5</definedName>
    <definedName name="_YPD3">tc_template!$B$6</definedName>
    <definedName name="_YPD4">tc_template!$B$7</definedName>
    <definedName name="_YPDTR">tc_template!$B$8</definedName>
    <definedName name="A_rate">data!$E$73</definedName>
    <definedName name="AA_excess">data!$E$123</definedName>
    <definedName name="AA_limit">data!$E$121</definedName>
    <definedName name="ADD_P_IND">target!$A$153</definedName>
    <definedName name="AHR_band">data!$E$89</definedName>
    <definedName name="AHR_case">'tax it (c8)'!$D$83</definedName>
    <definedName name="AHR_case_PSA">'Deductions (c4)'!$M$419</definedName>
    <definedName name="AHR_rate">data!$E$54</definedName>
    <definedName name="AIL">AIL!$A$1</definedName>
    <definedName name="AIL_IND">target!$A$81</definedName>
    <definedName name="AIL_RANGE">'C1'!$C$87:$JG$113</definedName>
    <definedName name="Alimony">IRCX_template!$D$82</definedName>
    <definedName name="Allce_BPA">IRCX_template!$D$30</definedName>
    <definedName name="Allce_BPA_Spare">IRCX_template!$D$31</definedName>
    <definedName name="Allce_dedn_total">IRCX_template!$D$33</definedName>
    <definedName name="Allce_PA">IRCX_template!$D$28</definedName>
    <definedName name="AllceIn_TPA">IRCX_template!$D$87</definedName>
    <definedName name="AllceIn_TPA_relief">IRCX_template!$D$88</definedName>
    <definedName name="AllceOut_TPA">IRCX_template!$D$29</definedName>
    <definedName name="allowedTypes">data!$B$3:$B$63</definedName>
    <definedName name="annuity_amount">IRCX_template!$I$17</definedName>
    <definedName name="annuity_tax">IRCX_template!$I$18</definedName>
    <definedName name="AOI">AOI!$A$1</definedName>
    <definedName name="AOI_A_IND">target!$A$49</definedName>
    <definedName name="AOI_A_RANGE">'C1'!$C$3:$JG$6</definedName>
    <definedName name="AOI_B_IND">target!$A$53</definedName>
    <definedName name="AOI_B_RANGE">'C1'!$C$9:$JG$17</definedName>
    <definedName name="AOI_C_IND">target!$A$57</definedName>
    <definedName name="AOI_C_RANGE">'C1'!$C$20:$JG$25</definedName>
    <definedName name="AOR">AOR!$A$1</definedName>
    <definedName name="AOR_IND">target!$A$73</definedName>
    <definedName name="AOR_RANGE">'C1'!$C$50:$JG$62</definedName>
    <definedName name="ASE">ASE!$A$1</definedName>
    <definedName name="ASE_A_IND">target!$A$61</definedName>
    <definedName name="ASE_A_RANGE">'C1'!$C$28:$JG$29</definedName>
    <definedName name="ASE_B_IND">target!$A$65</definedName>
    <definedName name="ASE_B_RANGE">'C1'!$C$32:$JG$40</definedName>
    <definedName name="ASE_C_IND">target!$A$69</definedName>
    <definedName name="ASE_C_RANGE">'C1'!$C$43:$JG$48</definedName>
    <definedName name="BCD_year">data!$E$142</definedName>
    <definedName name="before_30_sep">'POAs (c13)'!$A$22</definedName>
    <definedName name="Benefits_Emp">IRCX_template!$D$3</definedName>
    <definedName name="box_18.5_claim">CAL!$K$21</definedName>
    <definedName name="box_18.8_claim">CAL!$K$26</definedName>
    <definedName name="box_18_3">'Tax due (c12)'!$J$67</definedName>
    <definedName name="box_c12_1_s23">'Tax due (c12)'!$J$88</definedName>
    <definedName name="box_c12_1_s811">'Tax due (c12)'!$J$92</definedName>
    <definedName name="box_c12_1_tax">'Tax due (c12)'!$J$5</definedName>
    <definedName name="Box_CAL7">CAL!$D$7</definedName>
    <definedName name="Box_CAL8">CAL!$D$10</definedName>
    <definedName name="Box_CAL9">CAL!$H$10</definedName>
    <definedName name="box_NRD1">NRD!$Q$4</definedName>
    <definedName name="box_NRD15">NRD!$Q$8</definedName>
    <definedName name="box_NRD16">NRD!$Q$9</definedName>
    <definedName name="box_NRD28">NRD!$Q$10</definedName>
    <definedName name="box_NRD29">NRD!$Q$11</definedName>
    <definedName name="box_NRD30">NRD!$Q$12</definedName>
    <definedName name="box_NRD31">NRD!$Q$13</definedName>
    <definedName name="box_NRD32">NRD!$Q$14</definedName>
    <definedName name="box_NRD33">NRD!$Q$15</definedName>
    <definedName name="BPA">data!$E$132</definedName>
    <definedName name="BPA_claimed">'REL(2)'!$N$5</definedName>
    <definedName name="BR_band">data!$E$84</definedName>
    <definedName name="BR_rate">data!$E$52</definedName>
    <definedName name="CAL">CAL!$A$1</definedName>
    <definedName name="CAL_IND">target!$A$149</definedName>
    <definedName name="CAL_range">'C8C9C10'!$C$109:$JG$128</definedName>
    <definedName name="CBC_HR_threshold">data!$E$116</definedName>
    <definedName name="CBC_Ind">target!$A$37</definedName>
    <definedName name="CBC_RANGE">C0!$C$66:$JG$69</definedName>
    <definedName name="CBC_taper">data!$E$117</definedName>
    <definedName name="CG_at_ER_rate">IRCX_template!$I$66</definedName>
    <definedName name="CG_at_higher_rate">IRCX_template!$I$74</definedName>
    <definedName name="CG_at_higher_rate_RP_CI">IRCX_template!$I$70</definedName>
    <definedName name="CG_at_lower_rate">IRCX_template!$I$72</definedName>
    <definedName name="CG_at_lower_rate_RP_CI">IRCX_template!$I$68</definedName>
    <definedName name="CG_exempt">data!$E$134</definedName>
    <definedName name="CG_FTCR">IRCX_template!$I$78</definedName>
    <definedName name="CG_trust_tax">IRCX_template!$I$79</definedName>
    <definedName name="CGT">CGT!$A$1</definedName>
    <definedName name="CGT_adjustment">IRCX_template!$I$76</definedName>
    <definedName name="CGT_IND">target!$A$141</definedName>
    <definedName name="CGT_RANGE">'C8C9C10'!$C$2:$JG$61</definedName>
    <definedName name="CGTax">IRCX_template!$I$9</definedName>
    <definedName name="Child_Benefit_tax_charge">IRCX_template!$I$35</definedName>
    <definedName name="CITR">IRCX_template!$D$80</definedName>
    <definedName name="CITR_rate">data!$E$71</definedName>
    <definedName name="claim_to_reduce">CAL!$K$15</definedName>
    <definedName name="Class1_PT">data!$E$91</definedName>
    <definedName name="Class1_UEL">data!$E$92</definedName>
    <definedName name="coded_in_later_year">IRCX_template!$I$59</definedName>
    <definedName name="coded_out_limit">data!$E$115</definedName>
    <definedName name="DA">'Deductions (c4)'!$M$437</definedName>
    <definedName name="date_formatted">data!$H$142</definedName>
    <definedName name="date_formatted_W">data!$H$156</definedName>
    <definedName name="debt_coded">IRCX_template!$I$47</definedName>
    <definedName name="debt_collected">IRCX_template!$I$48</definedName>
    <definedName name="Ded_cap">data!$E$135</definedName>
    <definedName name="ded_Loss">IRCX_template!$D$24</definedName>
    <definedName name="ded_loss_restricted">IRCX_template!$D$25</definedName>
    <definedName name="Ded_taper">data!$E$136</definedName>
    <definedName name="dedn_Annuity">IRCX_template!$D$26</definedName>
    <definedName name="Dedn_cap">data!$E$135</definedName>
    <definedName name="dedn_Gift">IRCX_template!$D$27</definedName>
    <definedName name="dedn_RAR">IRCX_template!$D$22</definedName>
    <definedName name="Dedn_taper">data!$E$136</definedName>
    <definedName name="dedn_Trust">IRCX_template!$D$23</definedName>
    <definedName name="deficiency_relief">IRCX_template!$D$75</definedName>
    <definedName name="div_tax_credits">IRCX_template!$I$19</definedName>
    <definedName name="div_tax_credits_s399">IRCX_template!$I$4</definedName>
    <definedName name="DivAR_rate">data!$E$67</definedName>
    <definedName name="DivBR_rate">data!$E$65</definedName>
    <definedName name="DivHR_rate">data!$E$66</definedName>
    <definedName name="DivNil_rate">data!$E$64</definedName>
    <definedName name="divs_gross">data!$I$47</definedName>
    <definedName name="divs_gross_F">data!$J$47</definedName>
    <definedName name="divs_gross_P">data!$L$47</definedName>
    <definedName name="divs_taxfree_AHR">IRCX_template!$D$69</definedName>
    <definedName name="divs_taxfree_BR">IRCX_template!$D$63</definedName>
    <definedName name="divs_taxfree_HR">IRCX_template!$D$66</definedName>
    <definedName name="DTA">data!$E$127</definedName>
    <definedName name="EIS">IRCX_template!$D$78</definedName>
    <definedName name="EIS_rate">data!$E$69</definedName>
    <definedName name="EMP">EMP!$A$1</definedName>
    <definedName name="EMP_A_IND">target!$A$85</definedName>
    <definedName name="EMP_B_IND">target!$A$89</definedName>
    <definedName name="EMP_RANGE_A">'C2'!$C$2:$JG$24</definedName>
    <definedName name="EMP_RANGE_B">'C2'!$C$26:$JG$48</definedName>
    <definedName name="ER_CGT_rate">data!$E$74</definedName>
    <definedName name="ER_rate_CGT">IRCX_template!$I$67</definedName>
    <definedName name="Exps_Emp">IRCX_template!$D$4</definedName>
    <definedName name="extended_BR">IRCX_template!$D$37</definedName>
    <definedName name="extended_BR_fmt">data!$J$112</definedName>
    <definedName name="extended_BR_STp">IRCX_template!$D$40</definedName>
    <definedName name="FIN">'REL(2)'!$A$43</definedName>
    <definedName name="FOR">FOR!$A$1</definedName>
    <definedName name="FOR_3D_1">tc_template!$AU$9</definedName>
    <definedName name="FOR_43">FOR!$L$40</definedName>
    <definedName name="FOR_44">FOR!$P$34</definedName>
    <definedName name="FOR_45">FOR!$P$37</definedName>
    <definedName name="FOR_IND">target!$A$129</definedName>
    <definedName name="FOR_RANGE">'C6'!$C$1:$JG$136</definedName>
    <definedName name="foreign_dividends">IRCX_template!$D$13</definedName>
    <definedName name="foreign_savings">IRCX_template!$D$14</definedName>
    <definedName name="FPS">PS!$A$16</definedName>
    <definedName name="FPS_RANGE">'C4'!$C$36:$JG$122</definedName>
    <definedName name="FSE">SE!$A$9</definedName>
    <definedName name="FSE_RANGE">'C3'!$C$44:$JG$149</definedName>
    <definedName name="FTCR">IRCX_template!$I$2</definedName>
    <definedName localSheetId="57" name="FTCR_run_1">FTCR_Calc!$B$32</definedName>
    <definedName name="FTCR_run_1">TCRWS!$B$32</definedName>
    <definedName localSheetId="57" name="FTCR_run_10">FTCR_Calc!$B$41</definedName>
    <definedName name="FTCR_run_10">TCRWS!$B$41</definedName>
    <definedName localSheetId="57" name="FTCR_run_2">FTCR_Calc!$B$33</definedName>
    <definedName name="FTCR_run_2">TCRWS!$B$33</definedName>
    <definedName localSheetId="57" name="FTCR_run_3">FTCR_Calc!$B$34</definedName>
    <definedName name="FTCR_run_3">TCRWS!$B$34</definedName>
    <definedName localSheetId="57" name="FTCR_run_4">FTCR_Calc!$B$35</definedName>
    <definedName name="FTCR_run_4">TCRWS!$B$35</definedName>
    <definedName localSheetId="57" name="FTCR_run_5">FTCR_Calc!$B$36</definedName>
    <definedName name="FTCR_run_5">TCRWS!$B$36</definedName>
    <definedName localSheetId="57" name="FTCR_run_6">FTCR_Calc!$B$37</definedName>
    <definedName name="FTCR_run_6">TCRWS!$B$37</definedName>
    <definedName localSheetId="57" name="FTCR_run_7">FTCR_Calc!$B$38</definedName>
    <definedName name="FTCR_run_7">TCRWS!$B$38</definedName>
    <definedName localSheetId="57" name="FTCR_run_8">FTCR_Calc!$B$39</definedName>
    <definedName name="FTCR_run_8">TCRWS!$B$39</definedName>
    <definedName localSheetId="57" name="FTCR_run_9">FTCR_Calc!$B$40</definedName>
    <definedName name="FTCR_run_9">TCRWS!$B$40</definedName>
    <definedName name="gift_aid">data!$I$54</definedName>
    <definedName name="Gift_aid_amount">IRCX_template!$I$7</definedName>
    <definedName name="gift_aid_F">data!$J$54</definedName>
    <definedName name="Gift_aid_tax_due">IRCX_template!$I$8</definedName>
    <definedName name="Gift_aid_tax_reduced">IRCX_template!$I$15</definedName>
    <definedName name="gift_extender">IRCX_template!$D$36</definedName>
    <definedName name="gift_extender_fmt">data!$J$111</definedName>
    <definedName name="Gross_By_22">data!$I$51</definedName>
    <definedName name="Gross_By_22_F">data!$J$51</definedName>
    <definedName name="H_MCA">data!$E$131</definedName>
    <definedName name="Higher_rate_CGT">IRCX_template!$I$75</definedName>
    <definedName name="Higher_rate_CGT_RP_CI">IRCX_template!$I$71</definedName>
    <definedName name="HR_band">data!$E$87</definedName>
    <definedName name="HR_case">'tax it (c8)'!$D$76</definedName>
    <definedName name="HR_case_MAT">'Deductions (c4)'!$R$381</definedName>
    <definedName name="HR_case_PSA">'Deductions (c4)'!$M$404</definedName>
    <definedName name="HR_gross">data!$I$50</definedName>
    <definedName name="HR_gross_F">data!$J$50</definedName>
    <definedName name="HR_limit_fmt">data!$J$113</definedName>
    <definedName name="HR_rate">data!$E$53</definedName>
    <definedName name="Hsave_rate">data!$E$53</definedName>
    <definedName name="in_year_rept">'Add pages'!$M$35</definedName>
    <definedName name="INC">'INC(1)'!$A$18</definedName>
    <definedName name="INC_A_IND">target!$A$9</definedName>
    <definedName name="INC_A_RANGE">C0!$C$10:$JG$17</definedName>
    <definedName name="INC_B_IND">target!$A$13</definedName>
    <definedName name="INC_B_RANGE">C0!$C$19:$JG$28</definedName>
    <definedName name="INC_C_IND">target!$A$17</definedName>
    <definedName name="INC_C_RANGE">C0!$C$30:$JG$35</definedName>
    <definedName name="income_Case3">IRCX_template!$D$16</definedName>
    <definedName name="income_CEG">IRCX_template!$D$19</definedName>
    <definedName name="income_D">IRCX_template!$D$7</definedName>
    <definedName name="income_D_PTR">IRCX_template!$D$8</definedName>
    <definedName name="income_DV_PTR">IRCX_template!$D$10</definedName>
    <definedName name="income_E">IRCX_template!$D$5</definedName>
    <definedName name="Income_Excluded">IRCX_template!$D$32</definedName>
    <definedName name="income_F">IRCX_template!$D$17</definedName>
    <definedName name="income_Foreign">IRCX_template!$D$12</definedName>
    <definedName name="income_IFP">IRCX_template!$D$11</definedName>
    <definedName name="income_Other">IRCX_template!$D$20</definedName>
    <definedName name="income_Pensions">IRCX_template!$D$18</definedName>
    <definedName name="income_S_PTR">IRCX_template!$D$9</definedName>
    <definedName name="income_Savings_taxfree_BR">IRCX_template!$D$55</definedName>
    <definedName name="Income_Savings_taxfree_HR">IRCX_template!$D$58</definedName>
    <definedName name="income_Shares">IRCX_template!$D$6</definedName>
    <definedName name="income_tax_gift_aid">IRCX_template!$I$13</definedName>
    <definedName name="income_Total">IRCX_template!$D$21</definedName>
    <definedName name="income_Trust">IRCX_template!$D$15</definedName>
    <definedName name="Ind_disp">CGT!$W$24</definedName>
    <definedName name="IT_after_allces">IRCX_template!$I$6</definedName>
    <definedName name="IT_after_div_tax_credits">IRCX_template!$I$23</definedName>
    <definedName name="IT_after_gift_aid">IRCX_template!$I$16</definedName>
    <definedName name="IT_plus_class4">IRCX_template!$I$45</definedName>
    <definedName name="item_1_ind">FTCR!$R$11</definedName>
    <definedName name="item_1_name">FTCR!$R$11</definedName>
    <definedName name="item_10_ind">FTCR!$R$20</definedName>
    <definedName name="item_2_ind">FTCR!$R$12</definedName>
    <definedName name="item_3_ind">FTCR!$R$13</definedName>
    <definedName name="item_4_ind">FTCR!$R$14</definedName>
    <definedName name="item_5_ind">FTCR!$R$15</definedName>
    <definedName name="item_6_ind">FTCR!$R$16</definedName>
    <definedName name="item_7_ind">FTCR!$R$17</definedName>
    <definedName name="item_8_ind">FTCR!$R$18</definedName>
    <definedName name="item_9_ind">FTCR!$R$19</definedName>
    <definedName name="Last_row">Library!$A$1</definedName>
    <definedName name="last_year">data!$E$148</definedName>
    <definedName name="Ldiv_rate">data!$E$63</definedName>
    <definedName name="LFI_amount">IRCX_template!$D$92</definedName>
    <definedName name="LFI_relief">IRCX_template!$D$93</definedName>
    <definedName name="Llir_amount">IRCX_template!$D$89</definedName>
    <definedName name="Llir_amount_restricted">IRCX_template!$D$90</definedName>
    <definedName name="Llir_relief">IRCX_template!$D$91</definedName>
    <definedName name="Lower_CGT_rate">data!$E$75</definedName>
    <definedName name="Lower_CGT_rate_RP_CI">data!$E$77</definedName>
    <definedName name="Lower_rate_CGT">IRCX_template!$I$73</definedName>
    <definedName name="Lower_rate_CGT_RP_CI">IRCX_template!$I$69</definedName>
    <definedName name="LTA_lump">data!$E$151</definedName>
    <definedName name="LTA_pension">data!$E$152</definedName>
    <definedName name="LUN">LUN!$A$1</definedName>
    <definedName name="LUN_IND">target!$A$105</definedName>
    <definedName name="LUN_RANGE">'C3'!$C$151:$JG$217</definedName>
    <definedName name="MA_transfer">'REL(2)'!$N$37</definedName>
    <definedName name="man_mca_claim">data!$D$174</definedName>
    <definedName name="MAT_IN">'REL(2)'!$N$42</definedName>
    <definedName name="MAT_Ind">target!$A$41</definedName>
    <definedName name="MAT_OUT">'REL(2)'!$N$41</definedName>
    <definedName name="MAT_RANGE">C0!$C$71:$JG$79</definedName>
    <definedName name="MAT0">tc_template!$B$46</definedName>
    <definedName name="max_NIC">data!$E$103</definedName>
    <definedName name="MCA">data!$E$129</definedName>
    <definedName name="MCA_2">data!$E$130</definedName>
    <definedName name="MCA_amount">IRCX_template!$D$83</definedName>
    <definedName name="MCA_claim">MCA!$F$5</definedName>
    <definedName name="MCA_CONTROL_RANGE">'C1'!$D$64:$JG$71</definedName>
    <definedName name="MCA_IND">target!$A$77</definedName>
    <definedName name="mca_not_claimed">data!$D$173</definedName>
    <definedName name="MCA_RANGE">'C1'!$C$74:$JG$85</definedName>
    <definedName name="MCA_relief">IRCX_template!$D$84</definedName>
    <definedName name="MCA_section">MCA!$A$1</definedName>
    <definedName name="MCA_split">data!$D$178</definedName>
    <definedName name="MCA_to_wife">data!$D$179</definedName>
    <definedName name="MCA_year">data!$E$139</definedName>
    <definedName name="min_relevant_earns">data!$E$163</definedName>
    <definedName name="months_married">MCA!$F$17</definedName>
    <definedName name="months_not_married">data!$D$183</definedName>
    <definedName name="MOR">MOR!$A$1</definedName>
    <definedName name="MOR_IND">target!$A$93</definedName>
    <definedName name="MOR_RANGE">'C2'!$C$50:$JG$89</definedName>
    <definedName name="MORE_SELECT_IND">target!$A$161</definedName>
    <definedName name="ND_limit">data!$E$114</definedName>
    <definedName name="next_year">data!$E$147</definedName>
    <definedName name="NI1_IND">target!$A$121</definedName>
    <definedName name="NI1_MOR_RANGE">'C2'!$C$96:$JG$97</definedName>
    <definedName name="NI1_RANGE">'C2'!$C$91:$JG$94</definedName>
    <definedName name="NI2_IND">target!$A$117</definedName>
    <definedName name="NI2_RANGE">'C8C9C10'!$C$130:$JG$132</definedName>
    <definedName name="NIC_amount">IRCX_template!$I$24</definedName>
    <definedName name="NIC_Band">data!$E$102</definedName>
    <definedName name="NIC_charge">IRCX_template!$I$25</definedName>
    <definedName name="NIC_ex_set">'More Select'!$A$21</definedName>
    <definedName name="NIC_exempt">data!$D$199</definedName>
    <definedName name="NIC_LEL">data!$E$101</definedName>
    <definedName name="NIC_PT_Wk">data!$E$99</definedName>
    <definedName name="NIC_rate">data!$E$45</definedName>
    <definedName name="NIC_sup_amount">IRCX_template!$I$26</definedName>
    <definedName name="NIC_sup_charge">IRCX_template!$I$27</definedName>
    <definedName name="NIC_supp_rate">data!$E$46</definedName>
    <definedName name="NIC_total">IRCX_template!$I$31</definedName>
    <definedName name="NIC_UEL">data!$E$100</definedName>
    <definedName name="NIC_UEL_Wk">data!$E$98</definedName>
    <definedName name="NIC_x">data!$D$198</definedName>
    <definedName name="NIC1_amount">IRCX_template!$I$29</definedName>
    <definedName name="NIC1_rate">data!$E$44</definedName>
    <definedName name="NIC2_amount">IRCX_template!$I$30</definedName>
    <definedName name="NIC2_annual_limit">data!$E$94</definedName>
    <definedName name="NIC2_SPT">data!$E$97</definedName>
    <definedName name="NIC2_v">data!$D$201</definedName>
    <definedName name="NIC2_Vol">'More Select'!$A$23</definedName>
    <definedName name="NIC2_voluntary">data!$D$202</definedName>
    <definedName name="NIC2_weekamt">data!$E$93</definedName>
    <definedName name="NIC2_weekamt_Selected">NI!$O$23</definedName>
    <definedName name="NIC2SF_annual_limit">data!$E$96</definedName>
    <definedName name="NIC2SF_weekamt">data!$E$95</definedName>
    <definedName name="NIC4_amount">IRCX_template!$I$28</definedName>
    <definedName name="No_of_for_gains">'Multi-foreign-gains'!$O$16</definedName>
    <definedName name="NON_DOM_Allowances">NRD!$Q$16</definedName>
    <definedName name="NON_DOM_Charge">NRD!$Q$17</definedName>
    <definedName name="non_dom_charge_amount">IRCX_template!$I$42</definedName>
    <definedName name="non_resident">NRD!$Q$6</definedName>
    <definedName name="not_to_be_coded">'REL(2)'!$N$40</definedName>
    <definedName name="notional_CEG">IRCX_template!$D$94</definedName>
    <definedName name="notional_other">IRCX_template!$D$95</definedName>
    <definedName name="notional_total">IRCX_template!$K$3</definedName>
    <definedName name="NRD">NRD!$A$1</definedName>
    <definedName name="NRD_IND">target!$A$145</definedName>
    <definedName name="NRD_RANGE">'C8C9C10'!$C$63:$JG$107</definedName>
    <definedName name="NS_gross">data!$I$49</definedName>
    <definedName name="NS_gross_F">data!$J$49</definedName>
    <definedName name="OLD_BR">data!$E$51</definedName>
    <definedName name="Older_spouse">data!$D$181</definedName>
    <definedName name="OTC_rate">data!$E$162</definedName>
    <definedName name="P_A">data!$E$120</definedName>
    <definedName name="PA_taper_limit">data!$E$122</definedName>
    <definedName name="Pay_Emp">IRCX_template!$D$2</definedName>
    <definedName name="PAYE_case">'POAs (c13)'!$A$20</definedName>
    <definedName name="Pen_AA_limit">data!$E$153</definedName>
    <definedName name="Pen_AA_rate">data!$E$155</definedName>
    <definedName name="Pen_MPAA_limit">data!$E$154</definedName>
    <definedName name="Pen_Upayts">data!$E$156</definedName>
    <definedName name="pens_tax_due">IRCX_template!$I$43</definedName>
    <definedName name="pens_tax_rel_due">IRCX_template!$I$44</definedName>
    <definedName name="Pension_charges">IRCX_template!$I$38</definedName>
    <definedName name="Pension_charges_gross">IRCX_template!$I$36</definedName>
    <definedName name="Pension_charges_tax_paid">IRCX_template!$I$37</definedName>
    <definedName name="Pension_lump_sum_amount">IRCX_template!$I$39</definedName>
    <definedName name="Pension_lump_sum_rate">IRCX_template!$I$40</definedName>
    <definedName name="Pension_lump_sum_tax">IRCX_template!$I$41</definedName>
    <definedName name="PGL_limit">data!$E$106</definedName>
    <definedName name="PGL_rate">data!$E$48</definedName>
    <definedName name="PGL_type">'REL(2)'!$N$25</definedName>
    <definedName name="PGLR">'REL(2)'!$A$20</definedName>
    <definedName name="POA_limit">data!$E$111</definedName>
    <definedName name="Post_grad_loan">IRCX_template!$I$34</definedName>
    <definedName name="ppr_extender">IRCX_template!$D$35</definedName>
    <definedName name="ppr_extender_fmt">data!$J$110</definedName>
    <definedName name="ppr_gift_extender_STp">IRCX_template!$D$38</definedName>
    <definedName localSheetId="12" name="_xlnm.Print_Area">'C3'!$C$2:$H$42</definedName>
    <definedName localSheetId="14" name="_xlnm.Print_Area">'C5'!$C$1:$J$68</definedName>
    <definedName name="PRO">PRO!$A$1</definedName>
    <definedName name="PRO_IND">target!$A$125</definedName>
    <definedName name="PRO_RANGE">'C5'!$C$1:$JG$70</definedName>
    <definedName name="PS_A_IND">target!$A$109</definedName>
    <definedName name="PS_B_IND">target!$A$113</definedName>
    <definedName name="PSA">'Deductions (c4)'!$M$430</definedName>
    <definedName name="PSA_AHR">data!$E$126</definedName>
    <definedName name="PSA_BR">data!$E$124</definedName>
    <definedName name="PSA_HR">data!$E$125</definedName>
    <definedName name="Q1AA">target!$A$10</definedName>
    <definedName name="REL">'REL(1)'!$A$2</definedName>
    <definedName name="REL_A_IND">target!$A$21</definedName>
    <definedName name="REL_A_RANGE">C0!$C$37:$JG$41</definedName>
    <definedName name="REL_B_IND">target!$A$25</definedName>
    <definedName name="REL_B_RANGE">C0!$C$43:$JG$51</definedName>
    <definedName name="REL_C_IND">target!$A$29</definedName>
    <definedName name="REL_C_RANGE">C0!$C$53:$JG$57</definedName>
    <definedName name="relief_on_qual_distn">IRCX_template!$I$5</definedName>
    <definedName name="remit_basis">NRD!$Q$10</definedName>
    <definedName name="Remit_set">'More Select'!$A$25</definedName>
    <definedName name="Res_non_dom_ch">data!$E$112</definedName>
    <definedName name="Res_non_dom_High_ch">data!$E$113</definedName>
    <definedName name="Residency_Status_in_UK">'INC(1)'!$I$8</definedName>
    <definedName name="Resident">NRD!$Q$5</definedName>
    <definedName name="SA_E_tax">IRCX_template!$I$49</definedName>
    <definedName name="SAHR_band">data!$E$90</definedName>
    <definedName name="SAHR_rate">data!$E$59</definedName>
    <definedName name="SavBR_band">data!$E$83</definedName>
    <definedName name="savings_gross">data!$I$48</definedName>
    <definedName name="savings_gross_F">data!$J$48</definedName>
    <definedName name="SBR_band">data!$E$85</definedName>
    <definedName name="SBR_rate">data!$E$56</definedName>
    <definedName name="SCH_D_case">target!$B$2</definedName>
    <definedName name="SCH_E_case">target!$B$3</definedName>
    <definedName name="SE_A_IND">target!$A$97</definedName>
    <definedName name="SE_B_IND">target!$A$101</definedName>
    <definedName name="SEIS_rate">data!$E$70</definedName>
    <definedName name="SEIS_Relief">IRCX_template!$D$79</definedName>
    <definedName name="SELECTOR_IND">target!$A$157</definedName>
    <definedName name="SHR_band">data!$E$88</definedName>
    <definedName name="SHR_rate">data!$E$58</definedName>
    <definedName name="SIR_band">data!$E$86</definedName>
    <definedName name="SIR_rate">data!$E$57</definedName>
    <definedName name="SITR">IRCX_template!$D$81</definedName>
    <definedName name="SITR_rate">data!$E$72</definedName>
    <definedName name="SL_case">'REL(2)'!$N$12</definedName>
    <definedName name="SL_limit1">data!$E$104</definedName>
    <definedName name="SL_limit2">data!$E$105</definedName>
    <definedName name="SL_type">'REL(2)'!$N$13</definedName>
    <definedName name="SL_UIT">data!$E$107</definedName>
    <definedName name="Sloan_rate">data!$E$47</definedName>
    <definedName name="SLR">'REL(2)'!$A$8</definedName>
    <definedName name="SLR_ind">target!$A$33</definedName>
    <definedName name="SLR_RANGE">C0!$C$59:$JG$64</definedName>
    <definedName name="SLSDB_rate">data!$E$161</definedName>
    <definedName name="SMP">data!$E$133</definedName>
    <definedName name="SNil_rate">data!$E$50</definedName>
    <definedName name="spare_MCA_amount">IRCX_template!$D$85</definedName>
    <definedName name="spare_MCA_relief">IRCX_template!$D$86</definedName>
    <definedName name="SPS">PS!$A$1</definedName>
    <definedName name="SPS_RANGE">'C4'!$C$2:$JG$34</definedName>
    <definedName name="SR_band">data!$E$81</definedName>
    <definedName name="SR_band_fmt">data!$J$114</definedName>
    <definedName name="SR_rate">data!$E$49</definedName>
    <definedName name="SSE">SE!$A$1</definedName>
    <definedName name="SSE_RANGE">'C3'!$C$2:$JG$42</definedName>
    <definedName name="SSR_band">data!$E$82</definedName>
    <definedName name="SSR_higher_rate">data!$E$160</definedName>
    <definedName name="SSR_lower_band">data!$E$159</definedName>
    <definedName name="SSR_lower_rate">data!$E$158</definedName>
    <definedName name="SSR_rate">data!$E$55</definedName>
    <definedName name="Student_loan">IRCX_template!$I$33</definedName>
    <definedName name="T_P_A">data!$E$128</definedName>
    <definedName name="tax_already_refunded">IRCX_template!$I$83</definedName>
    <definedName name="tax_charged">IRCX_template!$D$74</definedName>
    <definedName name="tax_on_divs_AHR">IRCX_template!$D$71</definedName>
    <definedName name="tax_on_divs_BR">IRCX_template!$D$65</definedName>
    <definedName name="tax_on_divs_HR">IRCX_template!$D$68</definedName>
    <definedName name="tax_on_excluded_inc">IRCX_template!$I$3</definedName>
    <definedName name="tax_on_gains_already_charged">IRCX_template!$I$80</definedName>
    <definedName name="tax_on_int_AHR">IRCX_template!$D$62</definedName>
    <definedName name="tax_on_int_BR">IRCX_template!$D$57</definedName>
    <definedName name="tax_on_int_HR">IRCX_template!$D$60</definedName>
    <definedName name="tax_on_int_SR">IRCX_template!$D$53</definedName>
    <definedName name="tax_on_pay_AHR">IRCX_template!$D$51</definedName>
    <definedName name="tax_on_pay_BR">IRCX_template!$D$45</definedName>
    <definedName name="tax_on_pay_HR">IRCX_template!$D$49</definedName>
    <definedName name="tax_on_pay_SIR">IRCX_template!$D$47</definedName>
    <definedName name="tax_on_pay_SSR">IRCX_template!$D$43</definedName>
    <definedName name="tax_paid_Case3">IRCX_template!$I$56</definedName>
    <definedName name="tax_paid_CEG">IRCX_template!$I$57</definedName>
    <definedName name="tax_paid_D">IRCX_template!$I$50</definedName>
    <definedName name="tax_paid_D_PTR">IRCX_template!$I$51</definedName>
    <definedName name="tax_paid_E">IRCX_template!$I$46</definedName>
    <definedName name="tax_paid_Foreign">IRCX_template!$I$53</definedName>
    <definedName name="tax_paid_IFP">IRCX_template!$I$52</definedName>
    <definedName name="tax_paid_Other">IRCX_template!$I$58</definedName>
    <definedName name="tax_paid_Overseas">IRCX_template!$I$55</definedName>
    <definedName name="tax_paid_Trust">IRCX_template!$I$54</definedName>
    <definedName name="tax_year">data!$E$146</definedName>
    <definedName name="Tax_year_end">data!$E$141</definedName>
    <definedName name="Tax_year_start">data!$E$140</definedName>
    <definedName name="Taxable_CG">IRCX_template!$I$65</definedName>
    <definedName name="taxable_divs_AHR">IRCX_template!$D$70</definedName>
    <definedName name="taxable_divs_BR">IRCX_template!$D$64</definedName>
    <definedName name="taxable_divs_HR">IRCX_template!$D$67</definedName>
    <definedName name="taxable_income">IRCX_template!$D$34</definedName>
    <definedName name="taxable_int_AHR">IRCX_template!$D$61</definedName>
    <definedName name="taxable_int_BR">IRCX_template!$D$56</definedName>
    <definedName name="taxable_int_HR">IRCX_template!$D$59</definedName>
    <definedName name="taxable_int_SR">IRCX_template!$D$52</definedName>
    <definedName name="taxable_pay_AHR">IRCX_template!$D$50</definedName>
    <definedName name="taxable_pay_BR">IRCX_template!$D$44</definedName>
    <definedName name="taxable_pay_HR">IRCX_template!$D$48</definedName>
    <definedName name="taxable_pay_SIR">IRCX_template!$D$46</definedName>
    <definedName name="taxable_pay_SSR">IRCX_template!$D$42</definedName>
    <definedName name="Taxpayer_Reference">'Add pages'!$G$5</definedName>
    <definedName name="TCR_IND">target!$A$133</definedName>
    <definedName name="TCR_RANGE">'C6'!$E$144:$JG$185</definedName>
    <definedName name="to_be_coded">'REL(2)'!$N$41</definedName>
    <definedName name="total_all_gains">'Multi-UK-gains'!$Q$20</definedName>
    <definedName name="total_CG_due">IRCX_template!$I$81</definedName>
    <definedName name="Total_CGT_tax">IRCX_template!$I$77</definedName>
    <definedName name="Total_IT_CG_class4_due">IRCX_template!$I$82</definedName>
    <definedName name="Total_IT_class4_due">IRCX_template!$I$64</definedName>
    <definedName name="Total_tax_NIC_due">IRCX_template!$I$85</definedName>
    <definedName name="total_tax_NIC_nonresS23">IRCX_template!$I$20</definedName>
    <definedName name="total_tax_NIC_nonresS811">IRCX_template!$I$21</definedName>
    <definedName name="total_tax_paid">IRCX_template!$I$60</definedName>
    <definedName localSheetId="57" name="total_tcr">FTCR_Calc!$L$42</definedName>
    <definedName name="total_tcr">TCRWS!$L$42</definedName>
    <definedName name="tp_age_ind">'INC(1)'!$I$5</definedName>
    <definedName name="TRU">TRU!$A$1</definedName>
    <definedName name="TRU_IND">target!$A$137</definedName>
    <definedName name="TRU_RANGE">'C7'!$C$1:$P$28</definedName>
    <definedName name="trust_div_gross">data!$I$53</definedName>
    <definedName name="trust_div_gross_F">data!$J$53</definedName>
    <definedName name="trust_div_gross_P">data!$L$53</definedName>
    <definedName name="trust_gross">data!$I$52</definedName>
    <definedName name="trust_gross_F">data!$J$52</definedName>
    <definedName name="TSR">IRCX_template!$D$76</definedName>
    <definedName name="TSR_due">'TSR (c17)'!$A$76</definedName>
    <definedName name="UK_allowance_claim">NRD!$Q$7</definedName>
    <definedName name="UK_FTCR">'Tax adj (c9)'!$M$101</definedName>
    <definedName name="unpaid_tax_bf">IRCX_template!$I$84</definedName>
    <definedName name="unpaid_tax_in_code">IRCX_template!$I$32</definedName>
    <definedName name="Upayts_surcharge">data!$E$157</definedName>
    <definedName name="Upper_CGT_rate">data!$E$76</definedName>
    <definedName name="Upper_CGT_rate_RP_CI">data!$E$78</definedName>
    <definedName name="VCT">IRCX_template!$D$77</definedName>
    <definedName name="VCT_rate">data!$E$68</definedName>
    <definedName name="WAHR_rate">data!$E$62</definedName>
    <definedName name="WBR_rate">data!$E$60</definedName>
    <definedName name="WHR_rate">data!$E$61</definedName>
    <definedName name="Wife_age_ind">MCA!$F$9</definedName>
    <definedName name="wife_mca_claim">data!$D$175</definedName>
    <definedName name="YPD">'INC(1)'!$A$1</definedName>
    <definedName name="YPD_IND">target!$A$5</definedName>
    <definedName name="YPD_RANGE">C0!$C$3:$JG$8</definedName>
    <definedName name="YPD1">tc_template!$B$4</definedName>
    <definedName name="YPD2">tc_template!$B$5</definedName>
    <definedName name="YPD3">tc_template!$B$6</definedName>
    <definedName name="YPD4">tc_template!$B$7</definedName>
    <definedName name="YPDTR">tc_template!$B$8</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Keith Graham</author>
  </authors>
  <commentList>
    <comment authorId="0" ref="D8" shapeId="0" xr:uid="{00000000-0006-0000-0900-000001000000}">
      <text>
        <r>
          <rPr>
            <b/>
            <sz val="9"/>
            <color indexed="81"/>
            <rFont val="Tahoma"/>
            <family val="2"/>
          </rPr>
          <t>1 = rUK; 2 = STp</t>
        </r>
      </text>
    </comment>
    <comment authorId="0" ref="D69" shapeId="0" xr:uid="{00000000-0006-0000-0900-000002000000}">
      <text>
        <r>
          <rPr>
            <b/>
            <sz val="9"/>
            <color indexed="81"/>
            <rFont val="Tahoma"/>
            <family val="2"/>
          </rPr>
          <t>a) must be a valid date DDMMYYYY
b) must be within the return year
c) if present CBC1 &amp; CBC2 must be present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aks</author>
    <author>Keith Graham</author>
  </authors>
  <commentList>
    <comment authorId="0" ref="JJ26" shapeId="0" xr:uid="{00000000-0006-0000-0B00-000001000000}">
      <text>
        <r>
          <rPr>
            <sz val="8"/>
            <color indexed="81"/>
            <rFont val="Tahoma"/>
            <family val="2"/>
          </rPr>
          <t>This must be filled in with one of the values given in the drop down box. While the drop down provides a complete set of options it doesn't provide any details about the constraints on the selected type. 
To get more details, select Column C in the row you wish to change and press the "View / Change Type" button at the top. A more advanced navigator will be shown.</t>
        </r>
      </text>
    </comment>
    <comment authorId="0" ref="JJ50" shapeId="0" xr:uid="{00000000-0006-0000-0B00-000002000000}">
      <text>
        <r>
          <rPr>
            <sz val="8"/>
            <color indexed="81"/>
            <rFont val="Tahoma"/>
            <family val="2"/>
          </rPr>
          <t>This must be filled in with one of the values given in the drop down box. While the drop down provides a complete set of options it doesn't provide any details about the constraints on the selected type. 
To get more details, select Column C in the row you wish to change and press the "View / Change Type" button at the top. A more advanced navigator will be shown.</t>
        </r>
      </text>
    </comment>
    <comment authorId="1" ref="D82" shapeId="0" xr:uid="{00000000-0006-0000-0B00-000003000000}">
      <text>
        <r>
          <rPr>
            <b/>
            <sz val="9"/>
            <color indexed="81"/>
            <rFont val="Tahoma"/>
            <family val="2"/>
          </rPr>
          <t>If MOR31 present, MOR32 must be less than or equal to (MOR31 x 10%) + £1</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aks</author>
    <author>Keith Graham</author>
  </authors>
  <commentList>
    <comment authorId="0" ref="JJ2" shapeId="0" xr:uid="{00000000-0006-0000-0C00-000001000000}">
      <text>
        <r>
          <rPr>
            <sz val="8"/>
            <color indexed="81"/>
            <rFont val="Tahoma"/>
            <family val="2"/>
          </rPr>
          <t>This must be filled in with one of the values given in the drop down box. While the drop down provides a complete set of options it doesn't provide any details about the constraints on the selected type. 
To get more details, select Column C in the row you wish to change and press the "View / Change Type" button at the top. A more advanced navigator will be shown.</t>
        </r>
      </text>
    </comment>
    <comment authorId="1" ref="D124" shapeId="0" xr:uid="{00000000-0006-0000-0C00-000002000000}">
      <text>
        <r>
          <rPr>
            <b/>
            <sz val="9"/>
            <color indexed="81"/>
            <rFont val="Tahoma"/>
            <family val="2"/>
          </rPr>
          <t>If present, must be less than or equal to FSE77.
 If FSE10 = 'Y' then FSE78 must be zero or absent.</t>
        </r>
      </text>
    </comment>
    <comment authorId="0" ref="JJ151" shapeId="0" xr:uid="{00000000-0006-0000-0C00-000003000000}">
      <text>
        <r>
          <rPr>
            <sz val="8"/>
            <color indexed="81"/>
            <rFont val="Tahoma"/>
            <family val="2"/>
          </rPr>
          <t>This must be filled in with one of the values given in the drop down box. While the drop down provides a complete set of options it doesn't provide any details about the constraints on the selected type. 
To get more details, select Column C in the row you wish to change and press the "View / Change Type" button at the top. A more advanced navigator will be shown.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aks</author>
  </authors>
  <commentList>
    <comment authorId="0" ref="JJ36" shapeId="0" xr:uid="{00000000-0006-0000-0D00-000001000000}">
      <text>
        <r>
          <rPr>
            <sz val="8"/>
            <color indexed="81"/>
            <rFont val="Tahoma"/>
            <family val="2"/>
          </rPr>
          <t>This must be filled in with one of the values given in the drop down box. While the drop down provides a complete set of options it doesn't provide any details about the constraints on the selected type. 
To get more details, select Column C in the row you wish to change and press the "View / Change Type" button at the top. A more advanced navigator will be shown.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Keith Graham</author>
  </authors>
  <commentList>
    <comment authorId="0" ref="C4" shapeId="0" xr:uid="{00000000-0006-0000-0F00-000001000000}">
      <text>
        <r>
          <rPr>
            <b/>
            <sz val="9"/>
            <color indexed="81"/>
            <rFont val="Tahoma"/>
            <family val="2"/>
          </rPr>
          <t>Column A, Row 1</t>
        </r>
      </text>
    </comment>
    <comment authorId="0" ref="C10" shapeId="0" xr:uid="{00000000-0006-0000-0F00-000002000000}">
      <text>
        <r>
          <rPr>
            <b/>
            <sz val="9"/>
            <color indexed="81"/>
            <rFont val="Tahoma"/>
            <family val="2"/>
          </rPr>
          <t>Column A, Row 2</t>
        </r>
      </text>
    </comment>
    <comment authorId="0" ref="C16" shapeId="0" xr:uid="{00000000-0006-0000-0F00-000003000000}">
      <text>
        <r>
          <rPr>
            <b/>
            <sz val="9"/>
            <color indexed="81"/>
            <rFont val="Tahoma"/>
            <family val="2"/>
          </rPr>
          <t>Column D Total</t>
        </r>
      </text>
    </comment>
    <comment authorId="0" ref="C17" shapeId="0" xr:uid="{00000000-0006-0000-0F00-000004000000}">
      <text>
        <r>
          <rPr>
            <b/>
            <sz val="9"/>
            <color indexed="81"/>
            <rFont val="Tahoma"/>
            <family val="2"/>
          </rPr>
          <t>Column F Total</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aks</author>
    <author>Keith Graham</author>
  </authors>
  <commentList>
    <comment authorId="0" ref="JL1" shapeId="0" xr:uid="{00000000-0006-0000-1100-000001000000}">
      <text>
        <r>
          <rPr>
            <sz val="8"/>
            <color indexed="81"/>
            <rFont val="Tahoma"/>
            <family val="2"/>
          </rPr>
          <t>The "Value validation" column is used to constrain the value of the current item.
For more detailed help, press the "Syntax Help" button.</t>
        </r>
      </text>
    </comment>
    <comment authorId="0" ref="JL2" shapeId="0" xr:uid="{00000000-0006-0000-1100-000002000000}">
      <text>
        <r>
          <rPr>
            <sz val="8"/>
            <color indexed="81"/>
            <rFont val="Tahoma"/>
            <family val="2"/>
          </rPr>
          <t>The "Value validation" column is used to constrain the value of the current item.
For more detailed help, press the "Syntax Help" button.</t>
        </r>
      </text>
    </comment>
    <comment authorId="1" ref="JI36" shapeId="0" xr:uid="{00000000-0006-0000-1100-000003000000}">
      <text>
        <r>
          <rPr>
            <b/>
            <sz val="8"/>
            <color indexed="81"/>
            <rFont val="Tahoma"/>
            <family val="2"/>
          </rPr>
          <t>not in JAR</t>
        </r>
      </text>
    </comment>
    <comment authorId="1" ref="D91" shapeId="0" xr:uid="{00000000-0006-0000-1100-000004000000}">
      <text>
        <r>
          <rPr>
            <b/>
            <sz val="9"/>
            <color indexed="81"/>
            <rFont val="Tahoma"/>
            <family val="2"/>
          </rPr>
          <t>If 'Y' NRD23 must be 'Y'</t>
        </r>
      </text>
    </comment>
    <comment authorId="1" ref="D94" shapeId="0" xr:uid="{00000000-0006-0000-1100-000005000000}">
      <text>
        <r>
          <rPr>
            <b/>
            <sz val="9"/>
            <color indexed="81"/>
            <rFont val="Tahoma"/>
            <family val="2"/>
          </rPr>
          <t>a) If present NRD23 must be present 
b) If present NRD26 must be absent</t>
        </r>
      </text>
    </comment>
    <comment authorId="1" ref="D95" shapeId="0" xr:uid="{00000000-0006-0000-1100-000006000000}">
      <text>
        <r>
          <rPr>
            <b/>
            <sz val="9"/>
            <color indexed="81"/>
            <rFont val="Tahoma"/>
            <family val="2"/>
          </rPr>
          <t xml:space="preserve"> If present, NRD23 must be present</t>
        </r>
      </text>
    </comment>
    <comment authorId="1" ref="D102" shapeId="0" xr:uid="{00000000-0006-0000-1100-000007000000}">
      <text>
        <r>
          <rPr>
            <b/>
            <sz val="9"/>
            <color indexed="81"/>
            <rFont val="Tahoma"/>
            <family val="2"/>
          </rPr>
          <t>If NRD28 = 'Y' and (NRD30 = 'Y' or NRD31 = 'Y' or NRD32 = 'Y') and NRD29 = 'N' and NRD33 = 'N' then
NRD34 + NRD35 must be greater than zero.</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Keith Graham</author>
  </authors>
  <commentList>
    <comment authorId="0" ref="C7" shapeId="0" xr:uid="{00000000-0006-0000-1C00-000001000000}">
      <text>
        <r>
          <rPr>
            <b/>
            <sz val="9"/>
            <color indexed="81"/>
            <rFont val="Tahoma"/>
            <family val="2"/>
          </rPr>
          <t>Pseudo Box - not on paper SA Return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Keith Graham</author>
  </authors>
  <commentList>
    <comment authorId="0" ref="C13" shapeId="0" xr:uid="{00000000-0006-0000-1F00-000001000000}">
      <text>
        <r>
          <rPr>
            <b/>
            <sz val="9"/>
            <color indexed="81"/>
            <rFont val="Tahoma"/>
            <family val="2"/>
          </rPr>
          <t>Pseudo Box not on paper SA Return. 
Select 3 for post graduate loan only
Select 4 if the customer has plan type 1 and post graduate loan
Select 5 if the customer has plan type 2 and post graduate loan</t>
        </r>
      </text>
    </comment>
    <comment authorId="0" ref="C32" shapeId="0" xr:uid="{00000000-0006-0000-1F00-000002000000}">
      <text>
        <r>
          <rPr>
            <b/>
            <sz val="9"/>
            <color indexed="81"/>
            <rFont val="Tahoma"/>
            <family val="2"/>
          </rPr>
          <t>Pseudo Box not on paper SA Return</t>
        </r>
      </text>
    </comment>
    <comment authorId="0" ref="C38" shapeId="0" xr:uid="{00000000-0006-0000-1F00-000003000000}">
      <text>
        <r>
          <rPr>
            <b/>
            <sz val="9"/>
            <color indexed="81"/>
            <rFont val="Tahoma"/>
            <family val="2"/>
          </rPr>
          <t>Pseudo Box not on paper SA Return</t>
        </r>
      </text>
    </comment>
    <comment authorId="0" ref="G38" shapeId="0" xr:uid="{00000000-0006-0000-1F00-000004000000}">
      <text>
        <r>
          <rPr>
            <b/>
            <sz val="9"/>
            <color indexed="81"/>
            <rFont val="Tahoma"/>
            <family val="2"/>
          </rPr>
          <t>Pseudo Box not on paper SA Return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4452569</author>
    <author>Keith Graham</author>
  </authors>
  <commentList>
    <comment authorId="0" ref="AB1" shapeId="0" xr:uid="{00000000-0006-0000-2F00-000001000000}">
      <text>
        <r>
          <rPr>
            <b/>
            <sz val="8"/>
            <color indexed="81"/>
            <rFont val="Tahoma"/>
            <family val="2"/>
          </rPr>
          <t>S = There is a ‘subject to tax’ condition</t>
        </r>
      </text>
    </comment>
    <comment authorId="0" ref="AC1" shapeId="0" xr:uid="{00000000-0006-0000-2F00-000002000000}">
      <text>
        <r>
          <rPr>
            <b/>
            <sz val="8"/>
            <color indexed="81"/>
            <rFont val="Tahoma"/>
            <family val="2"/>
          </rPr>
          <t>S = There is a ‘subject to tax’ condition</t>
        </r>
      </text>
    </comment>
    <comment authorId="0" ref="AD1" shapeId="0" xr:uid="{00000000-0006-0000-2F00-000003000000}">
      <text>
        <r>
          <rPr>
            <b/>
            <sz val="8"/>
            <color indexed="81"/>
            <rFont val="Tahoma"/>
            <family val="2"/>
          </rPr>
          <t>S = There is a ‘subject to tax’ condition</t>
        </r>
      </text>
    </comment>
    <comment authorId="0" ref="M8" shapeId="0" xr:uid="{00000000-0006-0000-2F00-000004000000}">
      <text>
        <r>
          <rPr>
            <sz val="8"/>
            <color indexed="81"/>
            <rFont val="Tahoma"/>
            <family val="2"/>
          </rPr>
          <t xml:space="preserve">Enter any amount that is specifically attributable to the item. Example: Phil earns £20,000 with a company in Denmark and pays Danish Income Tax.
He claims </t>
        </r>
        <r>
          <rPr>
            <b/>
            <sz val="8"/>
            <color indexed="81"/>
            <rFont val="Tahoma"/>
            <family val="2"/>
          </rPr>
          <t xml:space="preserve">£150 </t>
        </r>
        <r>
          <rPr>
            <sz val="8"/>
            <color indexed="81"/>
            <rFont val="Tahoma"/>
            <family val="2"/>
          </rPr>
          <t>for business travel and subsistence expenses in box 17 on the
Employment page for this employment.</t>
        </r>
      </text>
    </comment>
    <comment authorId="1" ref="E9" shapeId="0" xr:uid="{00000000-0006-0000-2F00-000005000000}">
      <text>
        <r>
          <rPr>
            <b/>
            <sz val="9"/>
            <color indexed="81"/>
            <rFont val="Tahoma"/>
            <family val="2"/>
          </rPr>
          <t>Optional - for use with 'Savings and gains' and 'Dividends that qualify for UK tax credits'</t>
        </r>
      </text>
    </comment>
    <comment authorId="0" ref="K11" shapeId="0" xr:uid="{00000000-0006-0000-2F00-000006000000}">
      <text>
        <r>
          <rPr>
            <b/>
            <sz val="8"/>
            <color indexed="81"/>
            <rFont val="Tahoma"/>
            <family val="2"/>
          </rPr>
          <t>(S) = There is a ‘subject to tax’ condition. Check what that is before proceeding.</t>
        </r>
      </text>
    </comment>
    <comment authorId="0" ref="K15" shapeId="0" xr:uid="{00000000-0006-0000-2F00-000007000000}">
      <text>
        <r>
          <rPr>
            <b/>
            <sz val="8"/>
            <color indexed="81"/>
            <rFont val="Tahoma"/>
            <family val="2"/>
          </rPr>
          <t>(S) = There is a ‘subject to tax’ condition. Check what that is before proceeding.</t>
        </r>
      </text>
    </comment>
    <comment authorId="0" ref="K19" shapeId="0" xr:uid="{00000000-0006-0000-2F00-000008000000}">
      <text>
        <r>
          <rPr>
            <b/>
            <sz val="8"/>
            <color indexed="81"/>
            <rFont val="Tahoma"/>
            <family val="2"/>
          </rPr>
          <t>(S) = There is a ‘subject to tax’ condition. Check what that is before proceeding.</t>
        </r>
      </text>
    </comment>
    <comment authorId="0" ref="K23" shapeId="0" xr:uid="{00000000-0006-0000-2F00-000009000000}">
      <text>
        <r>
          <rPr>
            <b/>
            <sz val="8"/>
            <color indexed="81"/>
            <rFont val="Tahoma"/>
            <family val="2"/>
          </rPr>
          <t>(S) = There is a ‘subject to tax’ condition. Check what that is before proceeding.</t>
        </r>
      </text>
    </comment>
    <comment authorId="0" ref="K27" shapeId="0" xr:uid="{00000000-0006-0000-2F00-00000A000000}">
      <text>
        <r>
          <rPr>
            <b/>
            <sz val="8"/>
            <color indexed="81"/>
            <rFont val="Tahoma"/>
            <family val="2"/>
          </rPr>
          <t>(S) = There is a ‘subject to tax’ condition. Check what that is before proceeding.</t>
        </r>
      </text>
    </comment>
    <comment authorId="0" ref="K31" shapeId="0" xr:uid="{00000000-0006-0000-2F00-00000B000000}">
      <text>
        <r>
          <rPr>
            <b/>
            <sz val="8"/>
            <color indexed="81"/>
            <rFont val="Tahoma"/>
            <family val="2"/>
          </rPr>
          <t>(S) = There is a ‘subject to tax’ condition. Check what that is before proceeding.</t>
        </r>
      </text>
    </comment>
    <comment authorId="0" ref="K35" shapeId="0" xr:uid="{00000000-0006-0000-2F00-00000C000000}">
      <text>
        <r>
          <rPr>
            <b/>
            <sz val="8"/>
            <color indexed="81"/>
            <rFont val="Tahoma"/>
            <family val="2"/>
          </rPr>
          <t>(S) = There is a ‘subject to tax’ condition. Check what that is before proceeding.</t>
        </r>
      </text>
    </comment>
    <comment authorId="0" ref="K39" shapeId="0" xr:uid="{00000000-0006-0000-2F00-00000D000000}">
      <text>
        <r>
          <rPr>
            <b/>
            <sz val="8"/>
            <color indexed="81"/>
            <rFont val="Tahoma"/>
            <family val="2"/>
          </rPr>
          <t>(S) = There is a ‘subject to tax’ condition. Check what that is before proceeding.</t>
        </r>
      </text>
    </comment>
    <comment authorId="0" ref="K43" shapeId="0" xr:uid="{00000000-0006-0000-2F00-00000E000000}">
      <text>
        <r>
          <rPr>
            <b/>
            <sz val="8"/>
            <color indexed="81"/>
            <rFont val="Tahoma"/>
            <family val="2"/>
          </rPr>
          <t>(S) = There is a ‘subject to tax’ condition. Check what that is before proceeding.</t>
        </r>
      </text>
    </comment>
    <comment authorId="0" ref="K47" shapeId="0" xr:uid="{00000000-0006-0000-2F00-00000F000000}">
      <text>
        <r>
          <rPr>
            <b/>
            <sz val="8"/>
            <color indexed="81"/>
            <rFont val="Tahoma"/>
            <family val="2"/>
          </rPr>
          <t>(S) = There is a ‘subject to tax’ condition. Check what that is before proceeding.</t>
        </r>
      </text>
    </comment>
  </commentList>
</comments>
</file>

<file path=xl/sharedStrings.xml><?xml version="1.0" encoding="utf-8"?>
<sst xmlns="http://schemas.openxmlformats.org/spreadsheetml/2006/main" count="27440" uniqueCount="9183">
  <si>
    <t>item 2 rate</t>
  </si>
  <si>
    <t>item 3 rate</t>
  </si>
  <si>
    <t>G18</t>
  </si>
  <si>
    <t>View</t>
  </si>
  <si>
    <t>c6.37</t>
  </si>
  <si>
    <t>c6.38</t>
  </si>
  <si>
    <t>ASE</t>
  </si>
  <si>
    <t>Share schemes and lump sums</t>
  </si>
  <si>
    <t xml:space="preserve">Wrekin Housing </t>
  </si>
  <si>
    <t>EMP1</t>
  </si>
  <si>
    <t>EMP2</t>
  </si>
  <si>
    <t>EMP3</t>
  </si>
  <si>
    <t>EMP4</t>
  </si>
  <si>
    <t>EMP5</t>
  </si>
  <si>
    <t>EMP6</t>
  </si>
  <si>
    <t xml:space="preserve"> </t>
  </si>
  <si>
    <t xml:space="preserve">Student loan gross repayment </t>
  </si>
  <si>
    <t>(CSL-GROSS-AMOUNT)</t>
  </si>
  <si>
    <t xml:space="preserve">Student loan PAYE repayment </t>
  </si>
  <si>
    <t>% rate</t>
  </si>
  <si>
    <t>max tax</t>
  </si>
  <si>
    <t>G10</t>
  </si>
  <si>
    <t>(CSL-PAYE-INCOME)</t>
  </si>
  <si>
    <t>TRU18</t>
  </si>
  <si>
    <t>TRU19</t>
  </si>
  <si>
    <t>TRU20</t>
  </si>
  <si>
    <t>TRU21</t>
  </si>
  <si>
    <t>TRU22</t>
  </si>
  <si>
    <t>TRU23</t>
  </si>
  <si>
    <t>TRU24</t>
  </si>
  <si>
    <t>CAL7</t>
  </si>
  <si>
    <t>CAL8</t>
  </si>
  <si>
    <t>H10</t>
  </si>
  <si>
    <t>FPS46</t>
  </si>
  <si>
    <t>FPS47</t>
  </si>
  <si>
    <t>FPS48</t>
  </si>
  <si>
    <t>4dp down</t>
  </si>
  <si>
    <t>L92</t>
  </si>
  <si>
    <t>L93</t>
  </si>
  <si>
    <t>L94</t>
  </si>
  <si>
    <t>60</t>
  </si>
  <si>
    <t>19</t>
  </si>
  <si>
    <t>61</t>
  </si>
  <si>
    <t>20</t>
  </si>
  <si>
    <t>62</t>
  </si>
  <si>
    <t>21</t>
  </si>
  <si>
    <t>63</t>
  </si>
  <si>
    <t>22</t>
  </si>
  <si>
    <t>64</t>
  </si>
  <si>
    <t>23</t>
  </si>
  <si>
    <t>Excess taken as pension</t>
  </si>
  <si>
    <t>Excess taken as lump sum</t>
  </si>
  <si>
    <t>Relief on redemption of bonus shares etc.</t>
  </si>
  <si>
    <t>Income</t>
  </si>
  <si>
    <t>Taxable Income</t>
  </si>
  <si>
    <t>Employment 1</t>
  </si>
  <si>
    <t>Employment 2</t>
  </si>
  <si>
    <t>L93a</t>
  </si>
  <si>
    <t>Pension-charges</t>
  </si>
  <si>
    <t>L31</t>
  </si>
  <si>
    <t>L32</t>
  </si>
  <si>
    <t>L33</t>
  </si>
  <si>
    <t>L34</t>
  </si>
  <si>
    <t>L35</t>
  </si>
  <si>
    <t>L36</t>
  </si>
  <si>
    <t>L37</t>
  </si>
  <si>
    <t>L38</t>
  </si>
  <si>
    <t>L39</t>
  </si>
  <si>
    <t>L40</t>
  </si>
  <si>
    <t>L41</t>
  </si>
  <si>
    <t>L43</t>
  </si>
  <si>
    <t>L44</t>
  </si>
  <si>
    <t>L45</t>
  </si>
  <si>
    <t>I12</t>
  </si>
  <si>
    <t>computation</t>
  </si>
  <si>
    <t>I14</t>
  </si>
  <si>
    <t>M14</t>
  </si>
  <si>
    <t>I16</t>
  </si>
  <si>
    <t>I18</t>
  </si>
  <si>
    <t>M18</t>
  </si>
  <si>
    <t>I22</t>
  </si>
  <si>
    <t>M22</t>
  </si>
  <si>
    <t>I24</t>
  </si>
  <si>
    <t>I26</t>
  </si>
  <si>
    <t>M26</t>
  </si>
  <si>
    <t>I28</t>
  </si>
  <si>
    <t>I30</t>
  </si>
  <si>
    <t>M30</t>
  </si>
  <si>
    <t>I32</t>
  </si>
  <si>
    <t>I34</t>
  </si>
  <si>
    <t>M34</t>
  </si>
  <si>
    <t>I36</t>
  </si>
  <si>
    <t>I38</t>
  </si>
  <si>
    <t>M38</t>
  </si>
  <si>
    <t>I40</t>
  </si>
  <si>
    <t>I42</t>
  </si>
  <si>
    <t>M42</t>
  </si>
  <si>
    <t>I44</t>
  </si>
  <si>
    <t>I46</t>
  </si>
  <si>
    <t>M46</t>
  </si>
  <si>
    <t>I48</t>
  </si>
  <si>
    <t>run 9</t>
  </si>
  <si>
    <t>run 10</t>
  </si>
  <si>
    <t>FTCR_run_1</t>
  </si>
  <si>
    <t>FTCR_run_2</t>
  </si>
  <si>
    <t>FTCR_run_3</t>
  </si>
  <si>
    <t>FTCR_run_4</t>
  </si>
  <si>
    <t>FTCR_run_5</t>
  </si>
  <si>
    <t>FTCR_run_6</t>
  </si>
  <si>
    <t>FTCR_run_7</t>
  </si>
  <si>
    <t>FTCR_run_8</t>
  </si>
  <si>
    <t>FTCR_run_9</t>
  </si>
  <si>
    <t>FTCR_run_10</t>
  </si>
  <si>
    <t>Savings &amp; Dividends</t>
  </si>
  <si>
    <t>PAYE Student Loan repayments made</t>
  </si>
  <si>
    <t>c17.13</t>
  </si>
  <si>
    <t>c17.14</t>
  </si>
  <si>
    <t>c17.15</t>
  </si>
  <si>
    <t>c17.16</t>
  </si>
  <si>
    <t>c17.17</t>
  </si>
  <si>
    <t>c17.18</t>
  </si>
  <si>
    <t>c2.1</t>
  </si>
  <si>
    <t>c3.2</t>
  </si>
  <si>
    <t>c3.3</t>
  </si>
  <si>
    <t>c3.4</t>
  </si>
  <si>
    <t>c3.5</t>
  </si>
  <si>
    <t>c3.6</t>
  </si>
  <si>
    <t>c3.7</t>
  </si>
  <si>
    <t>c3.8</t>
  </si>
  <si>
    <t>c3.9</t>
  </si>
  <si>
    <t>c3.10</t>
  </si>
  <si>
    <t>c3.11</t>
  </si>
  <si>
    <t>c3.12</t>
  </si>
  <si>
    <t>c3.13</t>
  </si>
  <si>
    <t>c3.14</t>
  </si>
  <si>
    <t>FOR_DIV_E_2</t>
  </si>
  <si>
    <t>FOR6_DIV_F_2</t>
  </si>
  <si>
    <t>FOR3_TOT</t>
  </si>
  <si>
    <t>FOR4_TOT</t>
  </si>
  <si>
    <t>FOR5_TOT</t>
  </si>
  <si>
    <t>FOR6_TOT</t>
  </si>
  <si>
    <t>FOR8_TOT</t>
  </si>
  <si>
    <t>FOR9_TOT</t>
  </si>
  <si>
    <t>FOR_DIV_A</t>
  </si>
  <si>
    <t>FOR_DIV_B</t>
  </si>
  <si>
    <t>FOR_DIV_C</t>
  </si>
  <si>
    <t>FOR_DIV_E</t>
  </si>
  <si>
    <t>FOR10_DIV_D</t>
  </si>
  <si>
    <t>FOR11_DIV_F</t>
  </si>
  <si>
    <t>FOR10_TOT</t>
  </si>
  <si>
    <t>FOR11_TOT</t>
  </si>
  <si>
    <t>FOR12_TOT</t>
  </si>
  <si>
    <t>FOR13_TOT</t>
  </si>
  <si>
    <t>FOR_ALO_A</t>
  </si>
  <si>
    <t>FOR_ALO_B</t>
  </si>
  <si>
    <t>FOR_ALO_C</t>
  </si>
  <si>
    <t>FOR12_ALO_D</t>
  </si>
  <si>
    <t>FOR_ALO_E</t>
  </si>
  <si>
    <t>FOR13_ALO_F</t>
  </si>
  <si>
    <t>FOR_L&amp;P_A_1</t>
  </si>
  <si>
    <t>FOR25_L&amp;P_B_1</t>
  </si>
  <si>
    <t>FOR28_L&amp;P_C_1</t>
  </si>
  <si>
    <t>FOR29_L&amp;P_D_1</t>
  </si>
  <si>
    <t>FOR_L&amp;P_E_1</t>
  </si>
  <si>
    <t>FOR30_L&amp;P_F_1</t>
  </si>
  <si>
    <t>FOR25_TOT</t>
  </si>
  <si>
    <t>ARG •</t>
  </si>
  <si>
    <t>ATG •</t>
  </si>
  <si>
    <t>AUS •</t>
  </si>
  <si>
    <t>AUT •</t>
  </si>
  <si>
    <t>AZE •</t>
  </si>
  <si>
    <t>BEL •</t>
  </si>
  <si>
    <t>BES •</t>
  </si>
  <si>
    <t>BGD •</t>
  </si>
  <si>
    <t>BGR •</t>
  </si>
  <si>
    <t>BIH •</t>
  </si>
  <si>
    <t>BLR •</t>
  </si>
  <si>
    <t>BLZ •</t>
  </si>
  <si>
    <t>BOL •</t>
  </si>
  <si>
    <t>BRB •</t>
  </si>
  <si>
    <t>BRN •</t>
  </si>
  <si>
    <t>BWA •</t>
  </si>
  <si>
    <t>CAN •</t>
  </si>
  <si>
    <t>CCK •</t>
  </si>
  <si>
    <t>CHE •</t>
  </si>
  <si>
    <t>CHL •</t>
  </si>
  <si>
    <t>CHN •</t>
  </si>
  <si>
    <t>CIV •</t>
  </si>
  <si>
    <t>CUW •</t>
  </si>
  <si>
    <t>CXR •</t>
  </si>
  <si>
    <t>CYM •</t>
  </si>
  <si>
    <t>CYP •</t>
  </si>
  <si>
    <t>CZE •</t>
  </si>
  <si>
    <t>DEU •</t>
  </si>
  <si>
    <t>DNK •</t>
  </si>
  <si>
    <t>EGY •</t>
  </si>
  <si>
    <t>ESP •</t>
  </si>
  <si>
    <t>EST •</t>
  </si>
  <si>
    <t>FIN •</t>
  </si>
  <si>
    <t>FJI •</t>
  </si>
  <si>
    <t>FLK •</t>
  </si>
  <si>
    <t>FRA •</t>
  </si>
  <si>
    <t>FRO •</t>
  </si>
  <si>
    <t>GEO •</t>
  </si>
  <si>
    <t>GGY •</t>
  </si>
  <si>
    <t>GHA •</t>
  </si>
  <si>
    <t>GLP •</t>
  </si>
  <si>
    <t>GMB •</t>
  </si>
  <si>
    <t>GRC •</t>
  </si>
  <si>
    <t>GRD •</t>
  </si>
  <si>
    <t>GUF •</t>
  </si>
  <si>
    <t>GUY •</t>
  </si>
  <si>
    <t>HKG •</t>
  </si>
  <si>
    <t>HRV •</t>
  </si>
  <si>
    <t>HUN •</t>
  </si>
  <si>
    <t>IDN •</t>
  </si>
  <si>
    <t>IMN •</t>
  </si>
  <si>
    <t>IND •</t>
  </si>
  <si>
    <t>IRL •</t>
  </si>
  <si>
    <t>ISL •</t>
  </si>
  <si>
    <t>ISR •</t>
  </si>
  <si>
    <t>ITA •</t>
  </si>
  <si>
    <t>JAM •</t>
  </si>
  <si>
    <t>JEY •</t>
  </si>
  <si>
    <t>JOR •</t>
  </si>
  <si>
    <t>JPN •</t>
  </si>
  <si>
    <t>KAZ •</t>
  </si>
  <si>
    <t>KEN •</t>
  </si>
  <si>
    <t>KIR •</t>
  </si>
  <si>
    <t>KNA •</t>
  </si>
  <si>
    <t>KOR •</t>
  </si>
  <si>
    <t>KWT •</t>
  </si>
  <si>
    <t>LBY •</t>
  </si>
  <si>
    <t>LKA •</t>
  </si>
  <si>
    <t>LSO •</t>
  </si>
  <si>
    <t>LTU •</t>
  </si>
  <si>
    <t>LUX •</t>
  </si>
  <si>
    <t>LVA •</t>
  </si>
  <si>
    <t>MAR •</t>
  </si>
  <si>
    <t>MDA •</t>
  </si>
  <si>
    <t>MEX •</t>
  </si>
  <si>
    <t>MKD •</t>
  </si>
  <si>
    <t>MLT •</t>
  </si>
  <si>
    <t>MMR •</t>
  </si>
  <si>
    <t>MNE •</t>
  </si>
  <si>
    <t>MNG •</t>
  </si>
  <si>
    <t>MSR •</t>
  </si>
  <si>
    <t>MTQ •</t>
  </si>
  <si>
    <t>MUS •</t>
  </si>
  <si>
    <t>MWI •</t>
  </si>
  <si>
    <t>MYS •</t>
  </si>
  <si>
    <t>NAM •</t>
  </si>
  <si>
    <t>NFK •</t>
  </si>
  <si>
    <t>NGA •</t>
  </si>
  <si>
    <t>NLD •</t>
  </si>
  <si>
    <t>NOR •</t>
  </si>
  <si>
    <t>NZL •</t>
  </si>
  <si>
    <t>OMN •</t>
  </si>
  <si>
    <t>PAK •</t>
  </si>
  <si>
    <t>PHL •</t>
  </si>
  <si>
    <t>PNG •</t>
  </si>
  <si>
    <t>POL •</t>
  </si>
  <si>
    <t>PRT •</t>
  </si>
  <si>
    <t>QAT •</t>
  </si>
  <si>
    <t>REU •</t>
  </si>
  <si>
    <t>ROU •</t>
  </si>
  <si>
    <t>RUS •</t>
  </si>
  <si>
    <t>SAU •</t>
  </si>
  <si>
    <t>SDN •</t>
  </si>
  <si>
    <t>SGP •</t>
  </si>
  <si>
    <t>SLB •</t>
  </si>
  <si>
    <t>SLE •</t>
  </si>
  <si>
    <t>SRB •</t>
  </si>
  <si>
    <t>SVK •</t>
  </si>
  <si>
    <t>SVN •</t>
  </si>
  <si>
    <t>SWE •</t>
  </si>
  <si>
    <t>SWZ •</t>
  </si>
  <si>
    <t>SXM •</t>
  </si>
  <si>
    <t>THA •</t>
  </si>
  <si>
    <t>TJK •</t>
  </si>
  <si>
    <t>TKM •</t>
  </si>
  <si>
    <t>TTO •</t>
  </si>
  <si>
    <t>TUN •</t>
  </si>
  <si>
    <t>TUR •</t>
  </si>
  <si>
    <t>TUV •</t>
  </si>
  <si>
    <t>TWN •</t>
  </si>
  <si>
    <t>UGA •</t>
  </si>
  <si>
    <t>UKR •</t>
  </si>
  <si>
    <t>USA •</t>
  </si>
  <si>
    <t>UZB •</t>
  </si>
  <si>
    <t>VEN •</t>
  </si>
  <si>
    <t>VGB •</t>
  </si>
  <si>
    <t>VNM •</t>
  </si>
  <si>
    <t>ZAF •</t>
  </si>
  <si>
    <t>ZMB •</t>
  </si>
  <si>
    <t>ZWE •</t>
  </si>
  <si>
    <t>Aruba</t>
  </si>
  <si>
    <t>Afghanistan</t>
  </si>
  <si>
    <t>Angola</t>
  </si>
  <si>
    <t>Anguilla</t>
  </si>
  <si>
    <t>Albania</t>
  </si>
  <si>
    <t>Andorra</t>
  </si>
  <si>
    <t>United Arab Emirates</t>
  </si>
  <si>
    <t>Argentina</t>
  </si>
  <si>
    <t>Armenia</t>
  </si>
  <si>
    <t>American Samoa</t>
  </si>
  <si>
    <t>Antigua and Barbuda</t>
  </si>
  <si>
    <t>Australia</t>
  </si>
  <si>
    <t>Austria</t>
  </si>
  <si>
    <t>Azerbaijan</t>
  </si>
  <si>
    <t>Burundi</t>
  </si>
  <si>
    <t>Belgium</t>
  </si>
  <si>
    <t>Benin</t>
  </si>
  <si>
    <t>Bonaire</t>
  </si>
  <si>
    <t>Saba</t>
  </si>
  <si>
    <r>
      <t>Sint Eustatius</t>
    </r>
    <r>
      <rPr>
        <i/>
        <sz val="8"/>
        <color indexed="8"/>
        <rFont val="Arial"/>
        <family val="2"/>
      </rPr>
      <t xml:space="preserve"> </t>
    </r>
  </si>
  <si>
    <t xml:space="preserve">Burkino Faso </t>
  </si>
  <si>
    <t>Bangladesh</t>
  </si>
  <si>
    <t>Bulgaria</t>
  </si>
  <si>
    <t>Bahrain</t>
  </si>
  <si>
    <t>Bahamas</t>
  </si>
  <si>
    <t>Bosnia and Herzegovina</t>
  </si>
  <si>
    <t>Belarus</t>
  </si>
  <si>
    <t>Belize</t>
  </si>
  <si>
    <t>Bermuda</t>
  </si>
  <si>
    <t>Bolivia</t>
  </si>
  <si>
    <t>Brazil</t>
  </si>
  <si>
    <t>Barbados</t>
  </si>
  <si>
    <t>Brunei Darussalam</t>
  </si>
  <si>
    <t>Bhutan</t>
  </si>
  <si>
    <t>Botswana</t>
  </si>
  <si>
    <t>Central African Republic</t>
  </si>
  <si>
    <t>Canada</t>
  </si>
  <si>
    <t>Cocos (Keeling) Islands</t>
  </si>
  <si>
    <t>Switzerland</t>
  </si>
  <si>
    <t>Chile</t>
  </si>
  <si>
    <t>China</t>
  </si>
  <si>
    <t>Côte d’Ivoire</t>
  </si>
  <si>
    <t>Cameroon</t>
  </si>
  <si>
    <t>Democratic Republic of the Congo (formerly Zaire)</t>
  </si>
  <si>
    <t>Congo</t>
  </si>
  <si>
    <t>Cook Islands</t>
  </si>
  <si>
    <t>Columbia</t>
  </si>
  <si>
    <t>Comoros</t>
  </si>
  <si>
    <t>Cape Verde</t>
  </si>
  <si>
    <t>Costa Rica</t>
  </si>
  <si>
    <t>Cuba</t>
  </si>
  <si>
    <t>Curaçao</t>
  </si>
  <si>
    <t>Christmas Island</t>
  </si>
  <si>
    <t>Cayman Islands</t>
  </si>
  <si>
    <t>Cyprus</t>
  </si>
  <si>
    <t>Czech Republic</t>
  </si>
  <si>
    <t>Germany</t>
  </si>
  <si>
    <t>Djibouti</t>
  </si>
  <si>
    <t>Dominica</t>
  </si>
  <si>
    <t>Denmark</t>
  </si>
  <si>
    <t>Dominican Republic</t>
  </si>
  <si>
    <t>Algeria</t>
  </si>
  <si>
    <t>Ecuador</t>
  </si>
  <si>
    <t>Egypt</t>
  </si>
  <si>
    <t>Eritrea</t>
  </si>
  <si>
    <t>Spain</t>
  </si>
  <si>
    <t>Estonia</t>
  </si>
  <si>
    <t>Ethiopia</t>
  </si>
  <si>
    <t>Finland</t>
  </si>
  <si>
    <t>Fiji</t>
  </si>
  <si>
    <t>Falkland Islands</t>
  </si>
  <si>
    <t>France</t>
  </si>
  <si>
    <t>Faroe Islands</t>
  </si>
  <si>
    <t>Micronesia</t>
  </si>
  <si>
    <t>Gabon</t>
  </si>
  <si>
    <t>United Kingdom</t>
  </si>
  <si>
    <t>Georgia</t>
  </si>
  <si>
    <t>Guernsey</t>
  </si>
  <si>
    <t>Ghana</t>
  </si>
  <si>
    <t>Gibraltar</t>
  </si>
  <si>
    <t>Guinea</t>
  </si>
  <si>
    <t>Guadeloupe</t>
  </si>
  <si>
    <t>Gambia</t>
  </si>
  <si>
    <t>Guinea-Bissau</t>
  </si>
  <si>
    <t>Equatorial Guinea</t>
  </si>
  <si>
    <t>Greece</t>
  </si>
  <si>
    <t>Grenada</t>
  </si>
  <si>
    <t>Greenland</t>
  </si>
  <si>
    <t>Guatemala</t>
  </si>
  <si>
    <t>French Guiana</t>
  </si>
  <si>
    <t>Guam</t>
  </si>
  <si>
    <t>Guyana</t>
  </si>
  <si>
    <t xml:space="preserve">Hong Kong (SAR) </t>
  </si>
  <si>
    <t>Honduras</t>
  </si>
  <si>
    <t>Croatia</t>
  </si>
  <si>
    <t>Haiti</t>
  </si>
  <si>
    <t>Hungary</t>
  </si>
  <si>
    <t>Indonesia</t>
  </si>
  <si>
    <t>Isle of Man</t>
  </si>
  <si>
    <t>India</t>
  </si>
  <si>
    <t>Ireland (Republic of)</t>
  </si>
  <si>
    <t>Iran</t>
  </si>
  <si>
    <t>Iraq</t>
  </si>
  <si>
    <t>Iceland</t>
  </si>
  <si>
    <t>Israel</t>
  </si>
  <si>
    <t>Italy</t>
  </si>
  <si>
    <t>Jamaica</t>
  </si>
  <si>
    <t>Jersey</t>
  </si>
  <si>
    <t>Jordan</t>
  </si>
  <si>
    <t>Japan</t>
  </si>
  <si>
    <t>Kazakhstan</t>
  </si>
  <si>
    <t>Kenya</t>
  </si>
  <si>
    <t xml:space="preserve">Kyrgyzstan </t>
  </si>
  <si>
    <t>Cambodia</t>
  </si>
  <si>
    <t>Kiribati</t>
  </si>
  <si>
    <t>St. Kitts and Nevis</t>
  </si>
  <si>
    <t>South Korea</t>
  </si>
  <si>
    <t>Kuwait</t>
  </si>
  <si>
    <t>Laos</t>
  </si>
  <si>
    <t>Lebanon</t>
  </si>
  <si>
    <t>Liberia</t>
  </si>
  <si>
    <t>Libya</t>
  </si>
  <si>
    <t>St. Lucia</t>
  </si>
  <si>
    <t>Liechtenstein</t>
  </si>
  <si>
    <t>Sri Lanka</t>
  </si>
  <si>
    <t>Lesotho</t>
  </si>
  <si>
    <t>Lithuania</t>
  </si>
  <si>
    <t>Luxembourg</t>
  </si>
  <si>
    <t>Latvia</t>
  </si>
  <si>
    <t>Macao (SAR)</t>
  </si>
  <si>
    <t>Morocco</t>
  </si>
  <si>
    <t>Monaco</t>
  </si>
  <si>
    <t>Moldova</t>
  </si>
  <si>
    <t>Madagascar</t>
  </si>
  <si>
    <t>Maldives</t>
  </si>
  <si>
    <t>Mexico</t>
  </si>
  <si>
    <t>Marshall Islands</t>
  </si>
  <si>
    <t>Macedonia (FYR)</t>
  </si>
  <si>
    <t>Mali</t>
  </si>
  <si>
    <t>Malta</t>
  </si>
  <si>
    <t>Burma (also known as Myanmar)</t>
  </si>
  <si>
    <t>Montenegro</t>
  </si>
  <si>
    <t>Mongolia</t>
  </si>
  <si>
    <t>Northern Mariana Islands</t>
  </si>
  <si>
    <t>Mozambique</t>
  </si>
  <si>
    <t>Mauritania</t>
  </si>
  <si>
    <t>Montserrat</t>
  </si>
  <si>
    <t>Martinique</t>
  </si>
  <si>
    <t>Mauritius</t>
  </si>
  <si>
    <t>Malawi</t>
  </si>
  <si>
    <t>Malaysia</t>
  </si>
  <si>
    <t>Mayotte</t>
  </si>
  <si>
    <t>Namibia</t>
  </si>
  <si>
    <t>New Caledonia</t>
  </si>
  <si>
    <t>Niger</t>
  </si>
  <si>
    <t>Norfolk Island</t>
  </si>
  <si>
    <t>Nigeria</t>
  </si>
  <si>
    <t>Nicaragua</t>
  </si>
  <si>
    <t>Niue</t>
  </si>
  <si>
    <t>Netherlands</t>
  </si>
  <si>
    <t>Norway</t>
  </si>
  <si>
    <t>Nepal</t>
  </si>
  <si>
    <t>Nauru</t>
  </si>
  <si>
    <t>New Zealand</t>
  </si>
  <si>
    <t>Oman</t>
  </si>
  <si>
    <t>Pakistan</t>
  </si>
  <si>
    <t>Panama</t>
  </si>
  <si>
    <t>Pitcairn Island</t>
  </si>
  <si>
    <t>Peru</t>
  </si>
  <si>
    <t>Philippines</t>
  </si>
  <si>
    <t>Palau</t>
  </si>
  <si>
    <t>Papua New Guinea</t>
  </si>
  <si>
    <t>Poland</t>
  </si>
  <si>
    <t>Puerto Rico</t>
  </si>
  <si>
    <t>North Korea</t>
  </si>
  <si>
    <t>Portugal</t>
  </si>
  <si>
    <t>Paraguay</t>
  </si>
  <si>
    <t>French Polynesia</t>
  </si>
  <si>
    <t>Qatar</t>
  </si>
  <si>
    <t>Reunion</t>
  </si>
  <si>
    <t>Romania</t>
  </si>
  <si>
    <t>Russian Federation</t>
  </si>
  <si>
    <t>Rwanda</t>
  </si>
  <si>
    <t>Saudi Arabia</t>
  </si>
  <si>
    <t>Sudan</t>
  </si>
  <si>
    <t>Senegal</t>
  </si>
  <si>
    <t>Singapore</t>
  </si>
  <si>
    <t>St. Helena and Dependencies</t>
  </si>
  <si>
    <t>Svalbard and Jan Mayen Islands</t>
  </si>
  <si>
    <t>Solomon Islands</t>
  </si>
  <si>
    <t>Sierra Leone</t>
  </si>
  <si>
    <t>El Salvador</t>
  </si>
  <si>
    <t>San Marino</t>
  </si>
  <si>
    <t>Somalia</t>
  </si>
  <si>
    <t>St. Pierre and Miquelon</t>
  </si>
  <si>
    <t>Serbia</t>
  </si>
  <si>
    <t>South Sudan</t>
  </si>
  <si>
    <t>Sao Tome and Principe</t>
  </si>
  <si>
    <t>Suriname</t>
  </si>
  <si>
    <t>Slovak Republic</t>
  </si>
  <si>
    <t>Slovenia</t>
  </si>
  <si>
    <t>Sweden</t>
  </si>
  <si>
    <t>Swaziland</t>
  </si>
  <si>
    <t>Sint Maarten (Dutch part)</t>
  </si>
  <si>
    <t>Seychelles</t>
  </si>
  <si>
    <t>Syria</t>
  </si>
  <si>
    <t>Turks and Caicos Islands</t>
  </si>
  <si>
    <t>Chad</t>
  </si>
  <si>
    <t>Togo</t>
  </si>
  <si>
    <t>Thailand</t>
  </si>
  <si>
    <t>Tajikistan</t>
  </si>
  <si>
    <t>Tokelau</t>
  </si>
  <si>
    <t>Turkmenistan</t>
  </si>
  <si>
    <t>Timor-Leste</t>
  </si>
  <si>
    <t>Tonga</t>
  </si>
  <si>
    <t>Trinidad and Tobago</t>
  </si>
  <si>
    <t>Tunisia</t>
  </si>
  <si>
    <t>Turkey</t>
  </si>
  <si>
    <t>Tuvalu</t>
  </si>
  <si>
    <t>Taiwan</t>
  </si>
  <si>
    <t>Tanzania</t>
  </si>
  <si>
    <t>Uganda</t>
  </si>
  <si>
    <t>Ukraine</t>
  </si>
  <si>
    <t>Uruguay</t>
  </si>
  <si>
    <t>United States of America</t>
  </si>
  <si>
    <t>Uzbekistan</t>
  </si>
  <si>
    <t>Vatican</t>
  </si>
  <si>
    <t>St. Vincent and the Grenadines</t>
  </si>
  <si>
    <t>Venezuela</t>
  </si>
  <si>
    <t>British Virgin Islands</t>
  </si>
  <si>
    <t>United States Virgin Islands</t>
  </si>
  <si>
    <t>Vietnam</t>
  </si>
  <si>
    <t>Vanuatu</t>
  </si>
  <si>
    <t>Wallis and Futuna Islands</t>
  </si>
  <si>
    <t>Samoa</t>
  </si>
  <si>
    <t>Yemen</t>
  </si>
  <si>
    <t>South Africa</t>
  </si>
  <si>
    <t>Zambia</t>
  </si>
  <si>
    <t>Zimbabwe</t>
  </si>
  <si>
    <t xml:space="preserve">None of the above </t>
  </si>
  <si>
    <t>FTCR on item 3</t>
  </si>
  <si>
    <t>FTCR on item 4</t>
  </si>
  <si>
    <t>Gift Aid</t>
  </si>
  <si>
    <t>D7</t>
  </si>
  <si>
    <t>H7</t>
  </si>
  <si>
    <t>D16</t>
  </si>
  <si>
    <t>NRD1</t>
  </si>
  <si>
    <t>NRD2</t>
  </si>
  <si>
    <t>NRD3</t>
  </si>
  <si>
    <t>NRD4</t>
  </si>
  <si>
    <t>Annual Allowance charge Rate</t>
  </si>
  <si>
    <t>Lloyd's dividends</t>
  </si>
  <si>
    <t xml:space="preserve"> income etc. </t>
  </si>
  <si>
    <t>@ 10%</t>
  </si>
  <si>
    <t>@ 40%</t>
  </si>
  <si>
    <t>@ 20%</t>
  </si>
  <si>
    <t>@ 32.5%</t>
  </si>
  <si>
    <t>c1.5</t>
  </si>
  <si>
    <t>c1.6</t>
  </si>
  <si>
    <t>c1.7</t>
  </si>
  <si>
    <t>c6.17</t>
  </si>
  <si>
    <t>c6.18</t>
  </si>
  <si>
    <t>c6.19</t>
  </si>
  <si>
    <t>c6.20</t>
  </si>
  <si>
    <t>c6.21</t>
  </si>
  <si>
    <t>c6.22</t>
  </si>
  <si>
    <t>c6.23</t>
  </si>
  <si>
    <t>c6.24</t>
  </si>
  <si>
    <t>CBC2</t>
  </si>
  <si>
    <t>L93c</t>
  </si>
  <si>
    <t>non-dom-charge-amount</t>
  </si>
  <si>
    <t>Other Income Tax losses</t>
  </si>
  <si>
    <t>CAL</t>
  </si>
  <si>
    <t>Tax Calculation</t>
  </si>
  <si>
    <t>SLR1</t>
  </si>
  <si>
    <t>SLR2</t>
  </si>
  <si>
    <t>Y</t>
  </si>
  <si>
    <t>INC1</t>
  </si>
  <si>
    <t>INC2</t>
  </si>
  <si>
    <t xml:space="preserve">Test case - This combines all the data from the selected components into a complete 'MTR'. </t>
  </si>
  <si>
    <t>Foreign tax for which tax credit relief not claimed</t>
  </si>
  <si>
    <t>Venture Capital Trust subcriptions</t>
  </si>
  <si>
    <t>Lloyd's Underwriters</t>
  </si>
  <si>
    <t>Stock Dividends</t>
  </si>
  <si>
    <t>CGT30</t>
  </si>
  <si>
    <t>CGT31</t>
  </si>
  <si>
    <t>CGT32</t>
  </si>
  <si>
    <t>CGT33</t>
  </si>
  <si>
    <t>CGT34</t>
  </si>
  <si>
    <t>CGT35</t>
  </si>
  <si>
    <t>CG_exempt</t>
  </si>
  <si>
    <t>Shares or securities gifted to charity</t>
  </si>
  <si>
    <t>Multiple UK life insurance gains</t>
  </si>
  <si>
    <t>INC3</t>
  </si>
  <si>
    <t>INC4</t>
  </si>
  <si>
    <t>INC5</t>
  </si>
  <si>
    <t>INC6</t>
  </si>
  <si>
    <t>INC7</t>
  </si>
  <si>
    <t>INC8</t>
  </si>
  <si>
    <t>INC9</t>
  </si>
  <si>
    <t>INC10</t>
  </si>
  <si>
    <t>INC11</t>
  </si>
  <si>
    <t>INC12</t>
  </si>
  <si>
    <t>INC13</t>
  </si>
  <si>
    <t>INC14</t>
  </si>
  <si>
    <t>internet sales</t>
  </si>
  <si>
    <t>dancing</t>
  </si>
  <si>
    <t>book sales</t>
  </si>
  <si>
    <t>accounts</t>
  </si>
  <si>
    <t>Allowances</t>
  </si>
  <si>
    <t xml:space="preserve">Other gains </t>
  </si>
  <si>
    <t xml:space="preserve">ER gains </t>
  </si>
  <si>
    <t xml:space="preserve"> Profit from UK Land &amp; Property</t>
  </si>
  <si>
    <t>Basic rate band</t>
  </si>
  <si>
    <t>NIC_supp_rate</t>
  </si>
  <si>
    <t>SR_rate</t>
  </si>
  <si>
    <t>BR_rate</t>
  </si>
  <si>
    <t>SR_band</t>
  </si>
  <si>
    <t>MCA</t>
  </si>
  <si>
    <t>Chargeable Event Gains</t>
  </si>
  <si>
    <t>L4</t>
  </si>
  <si>
    <t>L5</t>
  </si>
  <si>
    <t>L6</t>
  </si>
  <si>
    <t>L7</t>
  </si>
  <si>
    <t>L8</t>
  </si>
  <si>
    <t>L9</t>
  </si>
  <si>
    <t>L10</t>
  </si>
  <si>
    <t>L11</t>
  </si>
  <si>
    <t>L12</t>
  </si>
  <si>
    <t>L13</t>
  </si>
  <si>
    <t>L14</t>
  </si>
  <si>
    <t xml:space="preserve">Each case is numbered and can be selected by inputting the case number in the box </t>
  </si>
  <si>
    <t xml:space="preserve">Trusts and Estates </t>
  </si>
  <si>
    <t>H17</t>
  </si>
  <si>
    <t>c2.13</t>
  </si>
  <si>
    <t>c2.17</t>
  </si>
  <si>
    <t>Enterprise Investment Scheme</t>
  </si>
  <si>
    <t>c6.39</t>
  </si>
  <si>
    <t>c16.20</t>
  </si>
  <si>
    <t>Blind person's surplus allowance from spouse</t>
  </si>
  <si>
    <t>tax-paid-D(PTR)</t>
  </si>
  <si>
    <t>Income-Excluded</t>
  </si>
  <si>
    <t>Additional Information boxes ASE3 to ASE10 (Lump sum payments)</t>
  </si>
  <si>
    <t>Additional Information boxes AOR1 to AOR10 (Other tax reliefs)</t>
  </si>
  <si>
    <t>Income from Property</t>
  </si>
  <si>
    <t>F4</t>
  </si>
  <si>
    <t>H4</t>
  </si>
  <si>
    <t>Jobseekers Allowance</t>
  </si>
  <si>
    <t>LUN36</t>
  </si>
  <si>
    <t>LUN37</t>
  </si>
  <si>
    <t>LUN38</t>
  </si>
  <si>
    <t>Chargeable income</t>
  </si>
  <si>
    <t>Shares schemes - taxable amount</t>
  </si>
  <si>
    <t>Lump sums - EFURBS</t>
  </si>
  <si>
    <t>YPD</t>
  </si>
  <si>
    <t>Maintenance and Alimony</t>
  </si>
  <si>
    <t>FIN1</t>
  </si>
  <si>
    <t>Core Tax Return</t>
  </si>
  <si>
    <t>-</t>
  </si>
  <si>
    <t>Other deductions</t>
  </si>
  <si>
    <t>Trusts and estates</t>
  </si>
  <si>
    <t>UK pensions and state benefits</t>
  </si>
  <si>
    <t>Gains on life insurance policies etc.</t>
  </si>
  <si>
    <t>payments</t>
  </si>
  <si>
    <t>Lump sum</t>
  </si>
  <si>
    <t>H9</t>
  </si>
  <si>
    <t>H11</t>
  </si>
  <si>
    <t>H12</t>
  </si>
  <si>
    <t>H15</t>
  </si>
  <si>
    <t>H5</t>
  </si>
  <si>
    <t>H14</t>
  </si>
  <si>
    <t>c</t>
  </si>
  <si>
    <t>Income Tax due</t>
  </si>
  <si>
    <t>Annual Allowance charge</t>
  </si>
  <si>
    <t>Unauthorised payments</t>
  </si>
  <si>
    <t>(Overseas) short service refund charge</t>
  </si>
  <si>
    <t xml:space="preserve">Taxable short service refund of contributions </t>
  </si>
  <si>
    <t>Q4</t>
  </si>
  <si>
    <t>Q9</t>
  </si>
  <si>
    <t>Q10</t>
  </si>
  <si>
    <t>Q12</t>
  </si>
  <si>
    <t>Q13</t>
  </si>
  <si>
    <t>Q8</t>
  </si>
  <si>
    <t>Rabbi</t>
  </si>
  <si>
    <t>Priest</t>
  </si>
  <si>
    <t>Plumbing</t>
  </si>
  <si>
    <t>Courier</t>
  </si>
  <si>
    <t>florist</t>
  </si>
  <si>
    <t>SSE1</t>
  </si>
  <si>
    <t>SSE2</t>
  </si>
  <si>
    <t>SSE3</t>
  </si>
  <si>
    <t>SSE4</t>
  </si>
  <si>
    <t>SSE5</t>
  </si>
  <si>
    <t>Table 1</t>
  </si>
  <si>
    <t>Dividends</t>
  </si>
  <si>
    <t>Savings income etc.</t>
  </si>
  <si>
    <t>L102</t>
  </si>
  <si>
    <t>Description</t>
  </si>
  <si>
    <t>Instances</t>
  </si>
  <si>
    <t>Worksheet</t>
  </si>
  <si>
    <t>Income boxes INC1 to INC6 (Interest and Dividends)</t>
  </si>
  <si>
    <t>Student Loan repayments deducted by employer</t>
  </si>
  <si>
    <t xml:space="preserve">1. As a stand-alone tax calculator. </t>
  </si>
  <si>
    <t>FPS54</t>
  </si>
  <si>
    <t>FPS55</t>
  </si>
  <si>
    <t>FPS56</t>
  </si>
  <si>
    <t>FPS57</t>
  </si>
  <si>
    <t>FPS58</t>
  </si>
  <si>
    <t>FPS59</t>
  </si>
  <si>
    <t>FPS60</t>
  </si>
  <si>
    <t>Deductions Cap</t>
  </si>
  <si>
    <t>Deductions taper</t>
  </si>
  <si>
    <t>Dedn_cap</t>
  </si>
  <si>
    <t>Dedn_taper</t>
  </si>
  <si>
    <t>Overlap relief claimed</t>
  </si>
  <si>
    <t>Royalty payments made</t>
  </si>
  <si>
    <t>ASE15</t>
  </si>
  <si>
    <t>remittance basis charge minus POA adjustment</t>
  </si>
  <si>
    <t>c20a.52</t>
  </si>
  <si>
    <t>c20a.53</t>
  </si>
  <si>
    <t>c20a.54</t>
  </si>
  <si>
    <t>c20a.55</t>
  </si>
  <si>
    <t>c20a.56</t>
  </si>
  <si>
    <t>c20a.57</t>
  </si>
  <si>
    <t>c20a.58</t>
  </si>
  <si>
    <t>c20a.59</t>
  </si>
  <si>
    <t>c20a.60</t>
  </si>
  <si>
    <t>c20a.61</t>
  </si>
  <si>
    <t>c20a.62</t>
  </si>
  <si>
    <t>c20a.63</t>
  </si>
  <si>
    <t>c20a.64</t>
  </si>
  <si>
    <t>c20a.65</t>
  </si>
  <si>
    <t>c20a.66</t>
  </si>
  <si>
    <t>c20a.67</t>
  </si>
  <si>
    <t>c20a.68</t>
  </si>
  <si>
    <t>c20a.69</t>
  </si>
  <si>
    <t>c20a.70</t>
  </si>
  <si>
    <t>c20a.71</t>
  </si>
  <si>
    <t>c20a.72</t>
  </si>
  <si>
    <t>c20a.73</t>
  </si>
  <si>
    <t>c20a.74</t>
  </si>
  <si>
    <t>c20a.75</t>
  </si>
  <si>
    <t>c20a.76</t>
  </si>
  <si>
    <t>c20a.77</t>
  </si>
  <si>
    <t>c20a.78</t>
  </si>
  <si>
    <t>c20a.79</t>
  </si>
  <si>
    <t>c20a.80</t>
  </si>
  <si>
    <t>c20a.81</t>
  </si>
  <si>
    <t>c20a.82</t>
  </si>
  <si>
    <t>c20a.83</t>
  </si>
  <si>
    <t>c20a.84</t>
  </si>
  <si>
    <t>c20a.85</t>
  </si>
  <si>
    <t>c20a.86</t>
  </si>
  <si>
    <t>c20a.87</t>
  </si>
  <si>
    <t>c20a.88</t>
  </si>
  <si>
    <t>c20a.89</t>
  </si>
  <si>
    <t>c20a.90</t>
  </si>
  <si>
    <t>c20a.91</t>
  </si>
  <si>
    <t>c20a.92</t>
  </si>
  <si>
    <t>c20a.93</t>
  </si>
  <si>
    <t>c20a.94</t>
  </si>
  <si>
    <t>c20a.95</t>
  </si>
  <si>
    <t>c20a.96</t>
  </si>
  <si>
    <t>c20a.97</t>
  </si>
  <si>
    <t>c20a.98</t>
  </si>
  <si>
    <t>c20a.99</t>
  </si>
  <si>
    <t>c20a.100</t>
  </si>
  <si>
    <t>Problem &amp; query reporting</t>
  </si>
  <si>
    <t>SSE38</t>
  </si>
  <si>
    <t>FSE103</t>
  </si>
  <si>
    <t>103</t>
  </si>
  <si>
    <t>D35</t>
  </si>
  <si>
    <t>Benefits and expenses received</t>
  </si>
  <si>
    <t>c8.20</t>
  </si>
  <si>
    <t>c8.21</t>
  </si>
  <si>
    <t>c8.22</t>
  </si>
  <si>
    <t>L47</t>
  </si>
  <si>
    <t>L48</t>
  </si>
  <si>
    <t>L49</t>
  </si>
  <si>
    <t>L51</t>
  </si>
  <si>
    <t>L53</t>
  </si>
  <si>
    <t>L54</t>
  </si>
  <si>
    <t>L55</t>
  </si>
  <si>
    <t>L56</t>
  </si>
  <si>
    <t>SSE36</t>
  </si>
  <si>
    <t>SSE37</t>
  </si>
  <si>
    <t>FSE102</t>
  </si>
  <si>
    <t>Class 4 NIC (c16)</t>
  </si>
  <si>
    <t>TSR (c17)</t>
  </si>
  <si>
    <t>CG (c18)</t>
  </si>
  <si>
    <t>Pensions (c25c26)</t>
  </si>
  <si>
    <t>non-res (c91)</t>
  </si>
  <si>
    <t>S11</t>
  </si>
  <si>
    <t>H26</t>
  </si>
  <si>
    <t>D31</t>
  </si>
  <si>
    <t>D34</t>
  </si>
  <si>
    <t>H31</t>
  </si>
  <si>
    <t>H34</t>
  </si>
  <si>
    <t>T11</t>
  </si>
  <si>
    <t>P17</t>
  </si>
  <si>
    <t>P20</t>
  </si>
  <si>
    <t>P23</t>
  </si>
  <si>
    <t>P26</t>
  </si>
  <si>
    <t>P31</t>
  </si>
  <si>
    <t>P34</t>
  </si>
  <si>
    <t>SE</t>
  </si>
  <si>
    <t>PS</t>
  </si>
  <si>
    <t>D32</t>
  </si>
  <si>
    <t>Partnership8</t>
  </si>
  <si>
    <t>L95</t>
  </si>
  <si>
    <t>c2.4</t>
  </si>
  <si>
    <t>c2.5</t>
  </si>
  <si>
    <t>Value</t>
  </si>
  <si>
    <t>H32</t>
  </si>
  <si>
    <t>K17</t>
  </si>
  <si>
    <t>K23</t>
  </si>
  <si>
    <t>P7</t>
  </si>
  <si>
    <t>SWE</t>
  </si>
  <si>
    <t>Tax charge on Child Benefit</t>
  </si>
  <si>
    <t>c12.19</t>
  </si>
  <si>
    <t>L79B</t>
  </si>
  <si>
    <t xml:space="preserve">SA302 - This is the tax calculation formatted in the style of pages 3/4 of form SA302 </t>
  </si>
  <si>
    <t>Share of total taxable profits</t>
  </si>
  <si>
    <t>c12.1</t>
  </si>
  <si>
    <t>on Gains on life policies</t>
  </si>
  <si>
    <t xml:space="preserve">Pension tax charges </t>
  </si>
  <si>
    <t>allowances (c14c15)</t>
  </si>
  <si>
    <t xml:space="preserve">MTR Calculation </t>
  </si>
  <si>
    <t>AHR_case</t>
  </si>
  <si>
    <t>c9.36</t>
  </si>
  <si>
    <t>c11.27</t>
  </si>
  <si>
    <t>c25.37</t>
  </si>
  <si>
    <t>c25.38</t>
  </si>
  <si>
    <t>c22.9</t>
  </si>
  <si>
    <t>c22.10</t>
  </si>
  <si>
    <t>L76</t>
  </si>
  <si>
    <t>L77</t>
  </si>
  <si>
    <t>L78</t>
  </si>
  <si>
    <t>L79</t>
  </si>
  <si>
    <t>L80</t>
  </si>
  <si>
    <t>L81</t>
  </si>
  <si>
    <t>L82</t>
  </si>
  <si>
    <t>L83</t>
  </si>
  <si>
    <t>L84</t>
  </si>
  <si>
    <t>L85</t>
  </si>
  <si>
    <t>CITR_rate</t>
  </si>
  <si>
    <t>or former wife</t>
  </si>
  <si>
    <t>Void ISAs</t>
  </si>
  <si>
    <t>Income Tax due after reliefs</t>
  </si>
  <si>
    <t>UK Tax treated as paid</t>
  </si>
  <si>
    <t>Tax Credit Relief for Income Tax</t>
  </si>
  <si>
    <t>Residence etc.</t>
  </si>
  <si>
    <t>c25.1</t>
  </si>
  <si>
    <t>c25.2</t>
  </si>
  <si>
    <t>354/112</t>
  </si>
  <si>
    <t>14</t>
  </si>
  <si>
    <t>FPS24</t>
  </si>
  <si>
    <t>FPS25</t>
  </si>
  <si>
    <t>FPS26</t>
  </si>
  <si>
    <t>FPS27</t>
  </si>
  <si>
    <t>FPS28</t>
  </si>
  <si>
    <t>FPS29</t>
  </si>
  <si>
    <t>FPS30</t>
  </si>
  <si>
    <t>c11.19</t>
  </si>
  <si>
    <t>c11.20</t>
  </si>
  <si>
    <t>c11.21</t>
  </si>
  <si>
    <t>c11.22</t>
  </si>
  <si>
    <t>c11.23</t>
  </si>
  <si>
    <t>c12.11</t>
  </si>
  <si>
    <t>c12.12</t>
  </si>
  <si>
    <t>c12.13</t>
  </si>
  <si>
    <t>c12.14</t>
  </si>
  <si>
    <t>c12.15</t>
  </si>
  <si>
    <t>c12.16</t>
  </si>
  <si>
    <t>c12.17</t>
  </si>
  <si>
    <t>c9.20</t>
  </si>
  <si>
    <t>c9.21</t>
  </si>
  <si>
    <t>c9.22</t>
  </si>
  <si>
    <t>c9.23</t>
  </si>
  <si>
    <t>c9.24</t>
  </si>
  <si>
    <t>c9.25</t>
  </si>
  <si>
    <t>c9.26</t>
  </si>
  <si>
    <t>c9.27</t>
  </si>
  <si>
    <t>c9.28</t>
  </si>
  <si>
    <t>c9.29</t>
  </si>
  <si>
    <t>c9.30</t>
  </si>
  <si>
    <t xml:space="preserve">Most of the data is supplied by the test components, but some are modified, either to add boxes that are dependant </t>
  </si>
  <si>
    <t>on other components/data selected, or remove inconstistancies in the selection.</t>
  </si>
  <si>
    <t>L15</t>
  </si>
  <si>
    <t>L16</t>
  </si>
  <si>
    <t>L17</t>
  </si>
  <si>
    <t>L18</t>
  </si>
  <si>
    <t>L19</t>
  </si>
  <si>
    <t>L20</t>
  </si>
  <si>
    <t>c11.9 + c11.10 + c11.11</t>
  </si>
  <si>
    <t>c11.12 + c11.13</t>
  </si>
  <si>
    <t>Capital Gains Tax due</t>
  </si>
  <si>
    <t>Class 4 National Insurance</t>
  </si>
  <si>
    <t>Unpaid tax for earlier years in PAYE</t>
  </si>
  <si>
    <t>@ 40% =</t>
  </si>
  <si>
    <t>SMP</t>
  </si>
  <si>
    <t>Tax year start</t>
  </si>
  <si>
    <t>c17.8</t>
  </si>
  <si>
    <t>c17.9</t>
  </si>
  <si>
    <t>SCH D case</t>
  </si>
  <si>
    <t xml:space="preserve">Lump sums </t>
  </si>
  <si>
    <t>Savings and gains</t>
  </si>
  <si>
    <t>Pay from all employments</t>
  </si>
  <si>
    <t>Share schemes</t>
  </si>
  <si>
    <t>Total dividend income</t>
  </si>
  <si>
    <t xml:space="preserve">Lloyd's Underwriters </t>
  </si>
  <si>
    <t xml:space="preserve">Partnership Income </t>
  </si>
  <si>
    <t>FIN</t>
  </si>
  <si>
    <t>Test reason</t>
  </si>
  <si>
    <t>Components used</t>
  </si>
  <si>
    <t>Interest and dividends from UK banks, building societies etc.</t>
  </si>
  <si>
    <t>UK pensions, annuities and other state benefits received</t>
  </si>
  <si>
    <t>Other UK income not included on supplementary pages</t>
  </si>
  <si>
    <t>Interface to S/L Diary</t>
  </si>
  <si>
    <t>c1.5.n</t>
  </si>
  <si>
    <t>c1.6.n</t>
  </si>
  <si>
    <t>Dividend net to gross factor</t>
  </si>
  <si>
    <t>divs_gross</t>
  </si>
  <si>
    <t>Savings net to gross factor</t>
  </si>
  <si>
    <t>savings_gross</t>
  </si>
  <si>
    <t>100/80</t>
  </si>
  <si>
    <t>Non-savings net to gross factor</t>
  </si>
  <si>
    <t>INC20</t>
  </si>
  <si>
    <t>Dividends that qualify for UK tax credits</t>
  </si>
  <si>
    <t xml:space="preserve">Dividends that do not qualify </t>
  </si>
  <si>
    <t xml:space="preserve">In addition to selecting different components, multiple instances of some components can be selected. </t>
  </si>
  <si>
    <t>MOR29</t>
  </si>
  <si>
    <t>MOR30</t>
  </si>
  <si>
    <t>Total CGT charged</t>
  </si>
  <si>
    <t>coded out limit</t>
  </si>
  <si>
    <t>coded_out_limit</t>
  </si>
  <si>
    <t>c11.8</t>
  </si>
  <si>
    <t>Deficiency Relief</t>
  </si>
  <si>
    <t>UK_allowance_claim</t>
  </si>
  <si>
    <t>Maximum</t>
  </si>
  <si>
    <t>Date of Birth</t>
  </si>
  <si>
    <t>Allowance</t>
  </si>
  <si>
    <t>Married</t>
  </si>
  <si>
    <t>Couple's</t>
  </si>
  <si>
    <t>Date of Marriage between:</t>
  </si>
  <si>
    <t>Month</t>
  </si>
  <si>
    <t>Trade Union or friendly society death benefit payments</t>
  </si>
  <si>
    <t>your payments on account’</t>
  </si>
  <si>
    <t xml:space="preserve">your balancing payment’ </t>
  </si>
  <si>
    <t>Tax year end</t>
  </si>
  <si>
    <t>F. Taxable amount</t>
  </si>
  <si>
    <t>L72</t>
  </si>
  <si>
    <t>L74</t>
  </si>
  <si>
    <t xml:space="preserve">The Tax Calculation Guide style </t>
  </si>
  <si>
    <t>Gains on life policies etc. with notional tax</t>
  </si>
  <si>
    <t>attributable to the item</t>
  </si>
  <si>
    <t>1</t>
  </si>
  <si>
    <t>Total benefits and expenses</t>
  </si>
  <si>
    <t>box MCA4 = Y</t>
  </si>
  <si>
    <t>box MCA7 = Y</t>
  </si>
  <si>
    <t>None of above</t>
  </si>
  <si>
    <t>zero</t>
  </si>
  <si>
    <t>c91.34</t>
  </si>
  <si>
    <t>c91.35</t>
  </si>
  <si>
    <t>All output sheets appear between the 'Add pages' and 'INC(1)' worksheets.</t>
  </si>
  <si>
    <t>Adjustments made to produce more realistic cases</t>
  </si>
  <si>
    <t>4 Dividends</t>
  </si>
  <si>
    <t>UK tax credit qual</t>
  </si>
  <si>
    <t xml:space="preserve">See: </t>
  </si>
  <si>
    <t>Capital Gains</t>
  </si>
  <si>
    <t>Deductions etc</t>
  </si>
  <si>
    <t>Taxable</t>
  </si>
  <si>
    <t>c5.18</t>
  </si>
  <si>
    <t>No of Gains</t>
  </si>
  <si>
    <t>No of years</t>
  </si>
  <si>
    <t>BPA</t>
  </si>
  <si>
    <t>Other benefits</t>
  </si>
  <si>
    <t>Double Taxation Agreement income</t>
  </si>
  <si>
    <t>NRD37</t>
  </si>
  <si>
    <t>NRD38</t>
  </si>
  <si>
    <t>NRD39</t>
  </si>
  <si>
    <t>E23</t>
  </si>
  <si>
    <t>Tax due on annuity payments and royalty payments</t>
  </si>
  <si>
    <t>MOR31</t>
  </si>
  <si>
    <t>MOR32</t>
  </si>
  <si>
    <t>MOR33</t>
  </si>
  <si>
    <t>MOR34</t>
  </si>
  <si>
    <t>MOR35</t>
  </si>
  <si>
    <t>MOR36</t>
  </si>
  <si>
    <t>MOR37</t>
  </si>
  <si>
    <t>c17.3</t>
  </si>
  <si>
    <t>c17.4</t>
  </si>
  <si>
    <t>c17.5</t>
  </si>
  <si>
    <t>c17.6</t>
  </si>
  <si>
    <t>c17.7</t>
  </si>
  <si>
    <t>c91.14</t>
  </si>
  <si>
    <t>c91.15</t>
  </si>
  <si>
    <t>c91.16</t>
  </si>
  <si>
    <t>c91.17</t>
  </si>
  <si>
    <t>c91.18</t>
  </si>
  <si>
    <t>c91.19</t>
  </si>
  <si>
    <t>c91.20</t>
  </si>
  <si>
    <t>c91.21</t>
  </si>
  <si>
    <t>c91.22</t>
  </si>
  <si>
    <t>c91.23</t>
  </si>
  <si>
    <t>c91.24</t>
  </si>
  <si>
    <t>c91.25</t>
  </si>
  <si>
    <t>c91.26</t>
  </si>
  <si>
    <t>c91.27</t>
  </si>
  <si>
    <t>c91.28</t>
  </si>
  <si>
    <t>c91.29</t>
  </si>
  <si>
    <t>c91.30</t>
  </si>
  <si>
    <t>c91.31</t>
  </si>
  <si>
    <t>c91.32</t>
  </si>
  <si>
    <t>c91.33</t>
  </si>
  <si>
    <t>c7.11</t>
  </si>
  <si>
    <t>Additionally, when components are used, the following worksheets appear:</t>
  </si>
  <si>
    <t>Overseas property</t>
  </si>
  <si>
    <t>Number of years</t>
  </si>
  <si>
    <t xml:space="preserve">Gains on disposal of </t>
  </si>
  <si>
    <t>offshore funds</t>
  </si>
  <si>
    <t>Loss offset against income</t>
  </si>
  <si>
    <t>UK tax treated as paid</t>
  </si>
  <si>
    <t>Tax Credit Relief on gains</t>
  </si>
  <si>
    <t>Trusts etc.</t>
  </si>
  <si>
    <t>Discretionary income payment from a trust</t>
  </si>
  <si>
    <t>326/429</t>
  </si>
  <si>
    <t>455/225</t>
  </si>
  <si>
    <t>525/444</t>
  </si>
  <si>
    <t>525/236</t>
  </si>
  <si>
    <t>750/451</t>
  </si>
  <si>
    <t>Liverpool</t>
  </si>
  <si>
    <t>REL13</t>
  </si>
  <si>
    <t>REL14</t>
  </si>
  <si>
    <t>AOI1</t>
  </si>
  <si>
    <t>AOI2</t>
  </si>
  <si>
    <t>TRU25</t>
  </si>
  <si>
    <t>NRD27</t>
  </si>
  <si>
    <t>NRD28</t>
  </si>
  <si>
    <t>NRD29</t>
  </si>
  <si>
    <t>NRD30</t>
  </si>
  <si>
    <t>NRD31</t>
  </si>
  <si>
    <t>NRD32</t>
  </si>
  <si>
    <t>NRD33</t>
  </si>
  <si>
    <t>NRD34</t>
  </si>
  <si>
    <t>income-D</t>
  </si>
  <si>
    <t>IT-after-allces</t>
  </si>
  <si>
    <t>Income type</t>
  </si>
  <si>
    <t>Item 1</t>
  </si>
  <si>
    <t>Item 2</t>
  </si>
  <si>
    <t>Item 3</t>
  </si>
  <si>
    <t>Non-savings income with notional tax</t>
  </si>
  <si>
    <t>sliced gain</t>
  </si>
  <si>
    <t>Without</t>
  </si>
  <si>
    <t>With</t>
  </si>
  <si>
    <t>Multi foreign gains</t>
  </si>
  <si>
    <t>Multi UK gains without</t>
  </si>
  <si>
    <t>Multi UK gains with</t>
  </si>
  <si>
    <t>Amount in excess of Annual Allowance</t>
  </si>
  <si>
    <t>Tax_year_end</t>
  </si>
  <si>
    <t>MCA_year</t>
  </si>
  <si>
    <t>Year MCA due</t>
  </si>
  <si>
    <t>Tax Year</t>
  </si>
  <si>
    <t>Tax_year</t>
  </si>
  <si>
    <t>Next tax year</t>
  </si>
  <si>
    <t>next_year</t>
  </si>
  <si>
    <t>Enterprise Investment Scheme subscriptions</t>
  </si>
  <si>
    <t>Qualifying loan interest payments</t>
  </si>
  <si>
    <t>Maintenance/alimony payments</t>
  </si>
  <si>
    <t>Emp-A</t>
  </si>
  <si>
    <t>Emp-B</t>
  </si>
  <si>
    <t>Class 4 NIC profit adjustment</t>
  </si>
  <si>
    <t>C0</t>
  </si>
  <si>
    <t>C1</t>
  </si>
  <si>
    <t>Paying personal pensions</t>
  </si>
  <si>
    <t>Charitable giving</t>
  </si>
  <si>
    <t xml:space="preserve"> Dividends from UK companies (plus 10% tax credits)</t>
  </si>
  <si>
    <t xml:space="preserve">minus </t>
  </si>
  <si>
    <t xml:space="preserve">Total </t>
  </si>
  <si>
    <t>How I have worked out your Income Tax</t>
  </si>
  <si>
    <t>Total income on which tax has been charged</t>
  </si>
  <si>
    <t>Income Tax charged</t>
  </si>
  <si>
    <t xml:space="preserve">Capital Gains Tax due </t>
  </si>
  <si>
    <t>PRO4</t>
  </si>
  <si>
    <t>PRO5</t>
  </si>
  <si>
    <t>PRO6</t>
  </si>
  <si>
    <t>PRO7</t>
  </si>
  <si>
    <t>PRO8</t>
  </si>
  <si>
    <t>PRO9</t>
  </si>
  <si>
    <t>PRO10</t>
  </si>
  <si>
    <t>PRO11</t>
  </si>
  <si>
    <t>PRO12</t>
  </si>
  <si>
    <t xml:space="preserve"> If the test case is recorded the original figures (not amendments) will be stored.</t>
  </si>
  <si>
    <t>c6.1</t>
  </si>
  <si>
    <t>c6.2</t>
  </si>
  <si>
    <t>c6.3</t>
  </si>
  <si>
    <t>c7.1</t>
  </si>
  <si>
    <t>c7.3</t>
  </si>
  <si>
    <t>c7.5</t>
  </si>
  <si>
    <t>c7.7</t>
  </si>
  <si>
    <t>div-tax-credits</t>
  </si>
  <si>
    <t>income-Total</t>
  </si>
  <si>
    <t>c15.13</t>
  </si>
  <si>
    <t>c15.14</t>
  </si>
  <si>
    <t>c15.15</t>
  </si>
  <si>
    <t>c15.16</t>
  </si>
  <si>
    <t>NIC exempt set</t>
  </si>
  <si>
    <t>FSE1</t>
  </si>
  <si>
    <t>FSE2</t>
  </si>
  <si>
    <t>FSE3</t>
  </si>
  <si>
    <t>FSE4</t>
  </si>
  <si>
    <t>FSE5</t>
  </si>
  <si>
    <t>FSE6</t>
  </si>
  <si>
    <t>FSE7</t>
  </si>
  <si>
    <t>FSE8</t>
  </si>
  <si>
    <t>FSE9</t>
  </si>
  <si>
    <t>FSE10</t>
  </si>
  <si>
    <t>FSE11</t>
  </si>
  <si>
    <t>FSE12</t>
  </si>
  <si>
    <t>FSE13</t>
  </si>
  <si>
    <t>carpenter</t>
  </si>
  <si>
    <t>labourer</t>
  </si>
  <si>
    <t>FSE14</t>
  </si>
  <si>
    <t>FSE15</t>
  </si>
  <si>
    <t>FSE16</t>
  </si>
  <si>
    <t>FSE17</t>
  </si>
  <si>
    <t>FSE18</t>
  </si>
  <si>
    <t>Short Partnership</t>
  </si>
  <si>
    <t>Tax Reduction</t>
  </si>
  <si>
    <t>box MCA3 = Y</t>
  </si>
  <si>
    <t>box MCA6 = Y</t>
  </si>
  <si>
    <t>be ‘realistic’. The generator makes some adjustments to make the case more realistic, but they aren’t</t>
  </si>
  <si>
    <t>Higher rates due on sliced gain(s)</t>
  </si>
  <si>
    <t>Income in HR bands</t>
  </si>
  <si>
    <t>Sliced gain in HR bands</t>
  </si>
  <si>
    <t>for 1 year</t>
  </si>
  <si>
    <t>for all years</t>
  </si>
  <si>
    <t>Lloyd's underwriters (excluding class 4 NIC)</t>
  </si>
  <si>
    <t>Short partnership income (excluding class 4 NIC)</t>
  </si>
  <si>
    <t>c3.20</t>
  </si>
  <si>
    <t>c1.36</t>
  </si>
  <si>
    <t>FPS70</t>
  </si>
  <si>
    <t>FPS71</t>
  </si>
  <si>
    <t>FPS72</t>
  </si>
  <si>
    <t>FPS73</t>
  </si>
  <si>
    <t>FPS74</t>
  </si>
  <si>
    <t>Trade1</t>
  </si>
  <si>
    <t>Trade2</t>
  </si>
  <si>
    <t>Trade3</t>
  </si>
  <si>
    <t>Trade4</t>
  </si>
  <si>
    <t>Trade5</t>
  </si>
  <si>
    <t>trader</t>
  </si>
  <si>
    <t>FPS75</t>
  </si>
  <si>
    <t>BEL</t>
  </si>
  <si>
    <t>c27.25</t>
  </si>
  <si>
    <t>c27.26</t>
  </si>
  <si>
    <t>c27.27</t>
  </si>
  <si>
    <t>c27.28</t>
  </si>
  <si>
    <t>c27.29</t>
  </si>
  <si>
    <t>c27.30</t>
  </si>
  <si>
    <t>c27.7</t>
  </si>
  <si>
    <t>c27.8</t>
  </si>
  <si>
    <t>c27.9</t>
  </si>
  <si>
    <t>c27.10</t>
  </si>
  <si>
    <t>extended BR</t>
  </si>
  <si>
    <t>HR limit</t>
  </si>
  <si>
    <t>SR band</t>
  </si>
  <si>
    <t>c25.3</t>
  </si>
  <si>
    <t>c25.4</t>
  </si>
  <si>
    <t>c25.5</t>
  </si>
  <si>
    <t>c25.6</t>
  </si>
  <si>
    <t>State pension</t>
  </si>
  <si>
    <t>Special withholding tax</t>
  </si>
  <si>
    <t>Foreign Property</t>
  </si>
  <si>
    <t>NIC_UEL</t>
  </si>
  <si>
    <t>NIC rate band</t>
  </si>
  <si>
    <t>c17.44</t>
  </si>
  <si>
    <t>c17.45</t>
  </si>
  <si>
    <t>c17.46</t>
  </si>
  <si>
    <t>Partnership 1</t>
  </si>
  <si>
    <t>Partnership 2</t>
  </si>
  <si>
    <t>Tax on income excluded from this calculation</t>
  </si>
  <si>
    <t>Calculate taxable income</t>
  </si>
  <si>
    <t>c3.15</t>
  </si>
  <si>
    <t>c3.16</t>
  </si>
  <si>
    <t>c3.17</t>
  </si>
  <si>
    <t>SL_UIT</t>
  </si>
  <si>
    <t>Misc</t>
  </si>
  <si>
    <t>AOI11</t>
  </si>
  <si>
    <t>LUN3</t>
  </si>
  <si>
    <t>LUN4</t>
  </si>
  <si>
    <t>LUN5</t>
  </si>
  <si>
    <t>UK interest and dividends</t>
  </si>
  <si>
    <t>N</t>
  </si>
  <si>
    <t>Deduction specifically</t>
  </si>
  <si>
    <t>Country or</t>
  </si>
  <si>
    <t>territory Code</t>
  </si>
  <si>
    <t>item 9</t>
  </si>
  <si>
    <t>item 10</t>
  </si>
  <si>
    <t>country</t>
  </si>
  <si>
    <t>3-letter code</t>
  </si>
  <si>
    <t>ABW</t>
  </si>
  <si>
    <t>AFG</t>
  </si>
  <si>
    <t>AGO</t>
  </si>
  <si>
    <t>AIA</t>
  </si>
  <si>
    <t>ALB</t>
  </si>
  <si>
    <t>AND</t>
  </si>
  <si>
    <t>ARE</t>
  </si>
  <si>
    <t>ASM</t>
  </si>
  <si>
    <t>BDI</t>
  </si>
  <si>
    <t>BEN</t>
  </si>
  <si>
    <t>BFA</t>
  </si>
  <si>
    <t>BHS</t>
  </si>
  <si>
    <t>BRA</t>
  </si>
  <si>
    <t>BTN</t>
  </si>
  <si>
    <t>CAF</t>
  </si>
  <si>
    <t>CMR</t>
  </si>
  <si>
    <t>COD</t>
  </si>
  <si>
    <t>COG</t>
  </si>
  <si>
    <t>COK</t>
  </si>
  <si>
    <t>COL</t>
  </si>
  <si>
    <t>COM</t>
  </si>
  <si>
    <t>CPV</t>
  </si>
  <si>
    <t>CRI</t>
  </si>
  <si>
    <t>CUB</t>
  </si>
  <si>
    <t>DJI</t>
  </si>
  <si>
    <t>DMA</t>
  </si>
  <si>
    <t>DOM</t>
  </si>
  <si>
    <t>DZA</t>
  </si>
  <si>
    <t>ECU</t>
  </si>
  <si>
    <t>ERI</t>
  </si>
  <si>
    <t>FSM</t>
  </si>
  <si>
    <t>GAB</t>
  </si>
  <si>
    <t>GBR</t>
  </si>
  <si>
    <t>GIB</t>
  </si>
  <si>
    <t>GIN</t>
  </si>
  <si>
    <t>GNB</t>
  </si>
  <si>
    <t>GNQ</t>
  </si>
  <si>
    <t>GRL</t>
  </si>
  <si>
    <t>GTM</t>
  </si>
  <si>
    <t>GUM</t>
  </si>
  <si>
    <t>HND</t>
  </si>
  <si>
    <t>HTI</t>
  </si>
  <si>
    <t>IRN</t>
  </si>
  <si>
    <t>IRQ</t>
  </si>
  <si>
    <t>KGZ</t>
  </si>
  <si>
    <t>KHM</t>
  </si>
  <si>
    <t>LAO</t>
  </si>
  <si>
    <t>LBN</t>
  </si>
  <si>
    <t>LBR</t>
  </si>
  <si>
    <t>LCA</t>
  </si>
  <si>
    <t>MAC</t>
  </si>
  <si>
    <t>MCO</t>
  </si>
  <si>
    <t>MDG</t>
  </si>
  <si>
    <t>MDV</t>
  </si>
  <si>
    <t>MHL</t>
  </si>
  <si>
    <t>MLI</t>
  </si>
  <si>
    <t>MNP</t>
  </si>
  <si>
    <t>MOZ</t>
  </si>
  <si>
    <t>MRT</t>
  </si>
  <si>
    <t>MYT</t>
  </si>
  <si>
    <t>NCL</t>
  </si>
  <si>
    <t>NER</t>
  </si>
  <si>
    <t>NIU</t>
  </si>
  <si>
    <t>NPL</t>
  </si>
  <si>
    <t>NRU</t>
  </si>
  <si>
    <t>PAN</t>
  </si>
  <si>
    <t>PCN</t>
  </si>
  <si>
    <t>PER</t>
  </si>
  <si>
    <t>PLW</t>
  </si>
  <si>
    <t>PRI</t>
  </si>
  <si>
    <t>PRK</t>
  </si>
  <si>
    <t>PRY</t>
  </si>
  <si>
    <t>PYF</t>
  </si>
  <si>
    <t>RWA</t>
  </si>
  <si>
    <t>SEN</t>
  </si>
  <si>
    <t>SHN</t>
  </si>
  <si>
    <t>SJM</t>
  </si>
  <si>
    <t>SLV</t>
  </si>
  <si>
    <t>SMR</t>
  </si>
  <si>
    <t>SOM</t>
  </si>
  <si>
    <t>SPM</t>
  </si>
  <si>
    <t>SSD</t>
  </si>
  <si>
    <t>STP</t>
  </si>
  <si>
    <t>SUR</t>
  </si>
  <si>
    <t>SYC</t>
  </si>
  <si>
    <t>SYR</t>
  </si>
  <si>
    <t>TCD</t>
  </si>
  <si>
    <t>TGO</t>
  </si>
  <si>
    <t>TKL</t>
  </si>
  <si>
    <t>TLS</t>
  </si>
  <si>
    <t>TON</t>
  </si>
  <si>
    <t>TZA</t>
  </si>
  <si>
    <t>URY</t>
  </si>
  <si>
    <t>VAT</t>
  </si>
  <si>
    <t>VIR</t>
  </si>
  <si>
    <t>VUT</t>
  </si>
  <si>
    <t>WLF</t>
  </si>
  <si>
    <t>WSM</t>
  </si>
  <si>
    <t>YEM</t>
  </si>
  <si>
    <t>ZZZ</t>
  </si>
  <si>
    <t>Item 9</t>
  </si>
  <si>
    <t>Item 10</t>
  </si>
  <si>
    <t>FTCR on item 9</t>
  </si>
  <si>
    <t>FTCR on item 10</t>
  </si>
  <si>
    <t>relief-on-qual-distn</t>
  </si>
  <si>
    <t>item 1 inc</t>
  </si>
  <si>
    <t>item 1 tax</t>
  </si>
  <si>
    <t>item 1 ftcr</t>
  </si>
  <si>
    <t>item 2 inc</t>
  </si>
  <si>
    <t>item 2 tax</t>
  </si>
  <si>
    <t>item 2 ftcr</t>
  </si>
  <si>
    <t>item 3 inc</t>
  </si>
  <si>
    <t>item 3 tax</t>
  </si>
  <si>
    <t>item 3 ftcr</t>
  </si>
  <si>
    <t>item 1 type</t>
  </si>
  <si>
    <t>item 2 type</t>
  </si>
  <si>
    <t>item 3 type</t>
  </si>
  <si>
    <t>FSE63</t>
  </si>
  <si>
    <t>Trust income</t>
  </si>
  <si>
    <t>NON_DOM_Allowances</t>
  </si>
  <si>
    <t>NON_DOM_Charge</t>
  </si>
  <si>
    <t>Item 4</t>
  </si>
  <si>
    <t>Else</t>
  </si>
  <si>
    <t>Gains on life policies</t>
  </si>
  <si>
    <t>H24</t>
  </si>
  <si>
    <t>Calculate Age related Married Couple's Allowance Due (claimed by wife or the spouse or civil partner with the lower income)</t>
  </si>
  <si>
    <t xml:space="preserve">Calculate Age related Married Couple's Allowance Due (claimed by husband (marriages up to 5 December 2005), </t>
  </si>
  <si>
    <t>or spouse or civil partner with higher income (marriages on or after 5 December 2005))</t>
  </si>
  <si>
    <t>Calculate Age related Married Couple's Allowance Due (claimed by wife (marriages up to 5 December 2005),</t>
  </si>
  <si>
    <t>or the spouse or civil partner with the lower income)</t>
  </si>
  <si>
    <t>SSE31</t>
  </si>
  <si>
    <t>SSE32</t>
  </si>
  <si>
    <t>SSE33</t>
  </si>
  <si>
    <t>SSE34</t>
  </si>
  <si>
    <t>SSE35</t>
  </si>
  <si>
    <t>farmer</t>
  </si>
  <si>
    <t>Dentist</t>
  </si>
  <si>
    <t>Plumber</t>
  </si>
  <si>
    <t>Toy maker</t>
  </si>
  <si>
    <t>Bridge St</t>
  </si>
  <si>
    <t>Telford St</t>
  </si>
  <si>
    <t>M1 6FQ</t>
  </si>
  <si>
    <t>TF3 0BB</t>
  </si>
  <si>
    <t>SEIS-relief</t>
  </si>
  <si>
    <t>The selected test case can be activated by pressing 'Replay selected case' button on the 'Test case index' sheet.</t>
  </si>
  <si>
    <t>Foreign tax taken off - Foreign dividends</t>
  </si>
  <si>
    <t xml:space="preserve">Unauthorised payment charge and surcharge due </t>
  </si>
  <si>
    <t>Foreign tax deducted</t>
  </si>
  <si>
    <t>Unpaid tax calculated by reference to earlier years</t>
  </si>
  <si>
    <t>dedn-Annuity</t>
  </si>
  <si>
    <t>NIC-total</t>
  </si>
  <si>
    <t>dedn-Gift</t>
  </si>
  <si>
    <t>unpaid-tax-in-code</t>
  </si>
  <si>
    <t>Student-loan</t>
  </si>
  <si>
    <t>Allce-PA</t>
  </si>
  <si>
    <t>(See 'Adjustments made to produce more realistic cases' for more detail.)</t>
  </si>
  <si>
    <t>About test components</t>
  </si>
  <si>
    <t xml:space="preserve">The Tester is based on a number of pre-fabricated components. </t>
  </si>
  <si>
    <t>Add together savings income (not dividends)</t>
  </si>
  <si>
    <t>Add together dividends</t>
  </si>
  <si>
    <t>Add together gains on life insurance policies etc. with tax treated as paid</t>
  </si>
  <si>
    <t>The 'Calculate Now' button on the 'Add pages' sheet will cause certain outputs to be regenerated using the</t>
  </si>
  <si>
    <t>amended figures.</t>
  </si>
  <si>
    <t>c5.20</t>
  </si>
  <si>
    <t>Total BR Band</t>
  </si>
  <si>
    <t>Total HR Band</t>
  </si>
  <si>
    <t>@ 42.5%</t>
  </si>
  <si>
    <t>State pension lump sum</t>
  </si>
  <si>
    <t>c15.8</t>
  </si>
  <si>
    <t>c15.9</t>
  </si>
  <si>
    <t xml:space="preserve">Special lump sum death benefit charge due </t>
  </si>
  <si>
    <t>Lump sums - redundancy/compensation</t>
  </si>
  <si>
    <t>Lump sums - contract payments</t>
  </si>
  <si>
    <t>Foreign income</t>
  </si>
  <si>
    <t>HR_case</t>
  </si>
  <si>
    <t>Capital Gains Tax Due</t>
  </si>
  <si>
    <t xml:space="preserve"> Foreign Income</t>
  </si>
  <si>
    <t xml:space="preserve"> Other Income</t>
  </si>
  <si>
    <t>income etc.</t>
  </si>
  <si>
    <t xml:space="preserve"> Dividends from companies etc.</t>
  </si>
  <si>
    <t>minus</t>
  </si>
  <si>
    <t>Deductions (2)</t>
  </si>
  <si>
    <t>Tax taken off - UK interest</t>
  </si>
  <si>
    <t>Tax taken off - Foreign interest</t>
  </si>
  <si>
    <t>Taxable Incapacity Benefit</t>
  </si>
  <si>
    <t>Gift-aid-tax-reduced</t>
  </si>
  <si>
    <t>income-F</t>
  </si>
  <si>
    <t>IT-after-gift-aid</t>
  </si>
  <si>
    <t>income-Pensions</t>
  </si>
  <si>
    <t>annuity-amount</t>
  </si>
  <si>
    <t>income-CEG</t>
  </si>
  <si>
    <t>annuity-tax</t>
  </si>
  <si>
    <t>income-Other</t>
  </si>
  <si>
    <t>EMP7</t>
  </si>
  <si>
    <t>EMP8</t>
  </si>
  <si>
    <t>EMP9</t>
  </si>
  <si>
    <t>EMP10</t>
  </si>
  <si>
    <t>EMP11</t>
  </si>
  <si>
    <t>March</t>
  </si>
  <si>
    <t>April</t>
  </si>
  <si>
    <t>May</t>
  </si>
  <si>
    <t>June</t>
  </si>
  <si>
    <t>July</t>
  </si>
  <si>
    <t>August</t>
  </si>
  <si>
    <t>Married couple's surplus allowance</t>
  </si>
  <si>
    <t>income-Case3</t>
  </si>
  <si>
    <t>c6.25</t>
  </si>
  <si>
    <t>c6.26</t>
  </si>
  <si>
    <t>c6.27</t>
  </si>
  <si>
    <t>c6.28</t>
  </si>
  <si>
    <t>c11.25</t>
  </si>
  <si>
    <t>UK liability for FTCR purposes</t>
  </si>
  <si>
    <t>Settlor Interested</t>
  </si>
  <si>
    <t>tax-on-int-AHR</t>
  </si>
  <si>
    <t>L52</t>
  </si>
  <si>
    <t>taxable-divs-AHR</t>
  </si>
  <si>
    <t>SSE18</t>
  </si>
  <si>
    <t>Personal allowance</t>
  </si>
  <si>
    <t>Amount of Gain</t>
  </si>
  <si>
    <t>State Pension Lump Sum</t>
  </si>
  <si>
    <t>c11.6</t>
  </si>
  <si>
    <t>L122</t>
  </si>
  <si>
    <t xml:space="preserve">Date </t>
  </si>
  <si>
    <t>Total tax paid at source</t>
  </si>
  <si>
    <t>c27.31</t>
  </si>
  <si>
    <t>c27.32</t>
  </si>
  <si>
    <t>c27.33</t>
  </si>
  <si>
    <t>L117a</t>
  </si>
  <si>
    <t>CGT-adjustment</t>
  </si>
  <si>
    <t>c15.17</t>
  </si>
  <si>
    <t>c15.18</t>
  </si>
  <si>
    <t>c15.19</t>
  </si>
  <si>
    <t>c15.20</t>
  </si>
  <si>
    <t>c15.21</t>
  </si>
  <si>
    <t>c6.40</t>
  </si>
  <si>
    <t>c6.41</t>
  </si>
  <si>
    <t>c6.42</t>
  </si>
  <si>
    <t>c6.46</t>
  </si>
  <si>
    <t>Income in additional rate band</t>
  </si>
  <si>
    <t>Foreign estate income</t>
  </si>
  <si>
    <t xml:space="preserve">Relief for UK tax </t>
  </si>
  <si>
    <t>The identities of components used appear on all outputs.</t>
  </si>
  <si>
    <t>Lump Sums</t>
  </si>
  <si>
    <t>ASE3</t>
  </si>
  <si>
    <t>ASE4</t>
  </si>
  <si>
    <t>ASE5</t>
  </si>
  <si>
    <t>ASE6</t>
  </si>
  <si>
    <t>ASE7</t>
  </si>
  <si>
    <t>ASE8</t>
  </si>
  <si>
    <t>ASE9</t>
  </si>
  <si>
    <t>AIL8</t>
  </si>
  <si>
    <t>AIL9</t>
  </si>
  <si>
    <t>AIL10</t>
  </si>
  <si>
    <t>AIL11</t>
  </si>
  <si>
    <t>AIL12</t>
  </si>
  <si>
    <t>AIL13</t>
  </si>
  <si>
    <t>AIL14</t>
  </si>
  <si>
    <t>AIL15</t>
  </si>
  <si>
    <t>AIL16</t>
  </si>
  <si>
    <t>AIL17</t>
  </si>
  <si>
    <t>FOR26</t>
  </si>
  <si>
    <t>FOR27</t>
  </si>
  <si>
    <t>FOR31</t>
  </si>
  <si>
    <t>FOR32</t>
  </si>
  <si>
    <t>Top Slicing Relief</t>
  </si>
  <si>
    <t>Notional Tax</t>
  </si>
  <si>
    <t>Underpaid tax</t>
  </si>
  <si>
    <t>Payments on account</t>
  </si>
  <si>
    <t>c2.18</t>
  </si>
  <si>
    <t>c11.26</t>
  </si>
  <si>
    <t>LUN13</t>
  </si>
  <si>
    <t>LUN14</t>
  </si>
  <si>
    <t>LUN15</t>
  </si>
  <si>
    <t>LUN16</t>
  </si>
  <si>
    <t>LUN17</t>
  </si>
  <si>
    <t>LUN18</t>
  </si>
  <si>
    <t>case number (if it involves a business supplied test case) or the components used.</t>
  </si>
  <si>
    <t>Pen_AA_limit</t>
  </si>
  <si>
    <t>PRO36</t>
  </si>
  <si>
    <t>PRO37</t>
  </si>
  <si>
    <t>PRO38</t>
  </si>
  <si>
    <t>PRO39</t>
  </si>
  <si>
    <t>PRO40</t>
  </si>
  <si>
    <t>PRO41</t>
  </si>
  <si>
    <t>TRU1</t>
  </si>
  <si>
    <t>TRU2</t>
  </si>
  <si>
    <t>TRU3</t>
  </si>
  <si>
    <t>TRU4</t>
  </si>
  <si>
    <t>TRU5</t>
  </si>
  <si>
    <t>TRU6</t>
  </si>
  <si>
    <t>Revised CGT charged</t>
  </si>
  <si>
    <t>Profit from partnerships</t>
  </si>
  <si>
    <t>Child Benefit payments</t>
  </si>
  <si>
    <t>c25.7</t>
  </si>
  <si>
    <t>c25.8</t>
  </si>
  <si>
    <t>c25.9</t>
  </si>
  <si>
    <t>Social Investment Tax Relief</t>
  </si>
  <si>
    <t>AOR11</t>
  </si>
  <si>
    <t>c9.39</t>
  </si>
  <si>
    <t>Community Investment Tax relief</t>
  </si>
  <si>
    <t>L62</t>
  </si>
  <si>
    <t>SITR</t>
  </si>
  <si>
    <t>FPS67</t>
  </si>
  <si>
    <t>FPS68</t>
  </si>
  <si>
    <t>FPS69</t>
  </si>
  <si>
    <t>D15</t>
  </si>
  <si>
    <t xml:space="preserve">, </t>
  </si>
  <si>
    <t>UK Property</t>
  </si>
  <si>
    <t>Property Income</t>
  </si>
  <si>
    <t>Tax taken off</t>
  </si>
  <si>
    <t>Premiums for the grant of a lease</t>
  </si>
  <si>
    <t>BCD year</t>
  </si>
  <si>
    <t>BCD_year</t>
  </si>
  <si>
    <t>c12.9</t>
  </si>
  <si>
    <t>c12.10</t>
  </si>
  <si>
    <t>L107</t>
  </si>
  <si>
    <t>tax-paid-Other</t>
  </si>
  <si>
    <t>taxable-pay-BR</t>
  </si>
  <si>
    <t>L108</t>
  </si>
  <si>
    <t>total-tax-paid</t>
  </si>
  <si>
    <t>Total Income on which Student Loan Repayments Due</t>
  </si>
  <si>
    <t>Annuities and annual payments</t>
  </si>
  <si>
    <t>and gains</t>
  </si>
  <si>
    <t>TSR</t>
  </si>
  <si>
    <t>This box can be negative</t>
  </si>
  <si>
    <t>Deficiency relief</t>
  </si>
  <si>
    <t>Pay from this employment</t>
  </si>
  <si>
    <t>Benefits (1)</t>
  </si>
  <si>
    <t>Employment (1)</t>
  </si>
  <si>
    <t>Tips and other payments</t>
  </si>
  <si>
    <t>c7.9</t>
  </si>
  <si>
    <t>of the elder</t>
  </si>
  <si>
    <t>tax-on-pay-BR</t>
  </si>
  <si>
    <t>L110</t>
  </si>
  <si>
    <t>FOR23</t>
  </si>
  <si>
    <t>FOR24</t>
  </si>
  <si>
    <t xml:space="preserve"> Total from all employments</t>
  </si>
  <si>
    <t xml:space="preserve">Savings </t>
  </si>
  <si>
    <t>tick</t>
  </si>
  <si>
    <t>Taxpayer Ref</t>
  </si>
  <si>
    <t>or boxes below</t>
  </si>
  <si>
    <t>1) Not Claimed</t>
  </si>
  <si>
    <t>EMP18</t>
  </si>
  <si>
    <t>EMP19</t>
  </si>
  <si>
    <t>EMP20</t>
  </si>
  <si>
    <t>MOR1</t>
  </si>
  <si>
    <t>MOR2</t>
  </si>
  <si>
    <t>MOR3</t>
  </si>
  <si>
    <t>MOR4</t>
  </si>
  <si>
    <t>MOR5</t>
  </si>
  <si>
    <t>MOR6</t>
  </si>
  <si>
    <t>MOR7</t>
  </si>
  <si>
    <t>MOR8</t>
  </si>
  <si>
    <t>c91.6</t>
  </si>
  <si>
    <t>c91.7</t>
  </si>
  <si>
    <t>c91.8</t>
  </si>
  <si>
    <t>c91.9</t>
  </si>
  <si>
    <t>c91.10</t>
  </si>
  <si>
    <t>c91.11</t>
  </si>
  <si>
    <t>c91.12</t>
  </si>
  <si>
    <t>c91.13</t>
  </si>
  <si>
    <t>c12.3</t>
  </si>
  <si>
    <t>c12.4</t>
  </si>
  <si>
    <t>c12.5</t>
  </si>
  <si>
    <t>c12.6</t>
  </si>
  <si>
    <t>(taxed at 10%)</t>
  </si>
  <si>
    <t>USA</t>
  </si>
  <si>
    <t>c23.4</t>
  </si>
  <si>
    <t>c23.5</t>
  </si>
  <si>
    <t>c23.6</t>
  </si>
  <si>
    <t>c23.7</t>
  </si>
  <si>
    <t>Capital Gains Summary</t>
  </si>
  <si>
    <t>The selected test case can be activated by pressing 'Replay selected case' button on the 'Test Case index' sheet.</t>
  </si>
  <si>
    <t>335/A54</t>
  </si>
  <si>
    <t>SPS30</t>
  </si>
  <si>
    <t>FPS1</t>
  </si>
  <si>
    <t>FPS2</t>
  </si>
  <si>
    <t>FPS3</t>
  </si>
  <si>
    <t>FPS4</t>
  </si>
  <si>
    <t>FPS5</t>
  </si>
  <si>
    <t>FPS6</t>
  </si>
  <si>
    <t>FPS7</t>
  </si>
  <si>
    <t>FPS8</t>
  </si>
  <si>
    <t>FPS9</t>
  </si>
  <si>
    <t>FPS10</t>
  </si>
  <si>
    <t>FPS11</t>
  </si>
  <si>
    <t>FPS12</t>
  </si>
  <si>
    <t>FPS13</t>
  </si>
  <si>
    <t>FPS14</t>
  </si>
  <si>
    <t>FPS15</t>
  </si>
  <si>
    <t>FPS16</t>
  </si>
  <si>
    <t>FPS17</t>
  </si>
  <si>
    <t>FPS18</t>
  </si>
  <si>
    <t>FPS19</t>
  </si>
  <si>
    <t>FPS20</t>
  </si>
  <si>
    <t>FPS21</t>
  </si>
  <si>
    <t>FPS22</t>
  </si>
  <si>
    <t>D12</t>
  </si>
  <si>
    <t>D18</t>
  </si>
  <si>
    <t>H21</t>
  </si>
  <si>
    <t>D24</t>
  </si>
  <si>
    <t>Trade Union death benefit payments</t>
  </si>
  <si>
    <t>The data appear on the 'Test case' sheet (to the right of the 'Add pages' sheet).</t>
  </si>
  <si>
    <t>MOR9</t>
  </si>
  <si>
    <t>MOR10</t>
  </si>
  <si>
    <t>September</t>
  </si>
  <si>
    <t>October</t>
  </si>
  <si>
    <t>November</t>
  </si>
  <si>
    <t>December</t>
  </si>
  <si>
    <t>Lifetime Allowance charge</t>
  </si>
  <si>
    <t>Increase in tax due calculated because of earlier years</t>
  </si>
  <si>
    <t>Decrease in tax due because of earlier years</t>
  </si>
  <si>
    <t>Profit on which Class 4 NIC is due</t>
  </si>
  <si>
    <t>c7.2</t>
  </si>
  <si>
    <t>c7.4</t>
  </si>
  <si>
    <t>c7.6</t>
  </si>
  <si>
    <t>c7.8</t>
  </si>
  <si>
    <t>c7.10</t>
  </si>
  <si>
    <t>FSE81</t>
  </si>
  <si>
    <t>FSE82</t>
  </si>
  <si>
    <t>Later year tax reclaimed now</t>
  </si>
  <si>
    <t>FOR33</t>
  </si>
  <si>
    <t>FOR34</t>
  </si>
  <si>
    <t>FOR35</t>
  </si>
  <si>
    <t>FOR36</t>
  </si>
  <si>
    <t>FOR37</t>
  </si>
  <si>
    <t>FOR38</t>
  </si>
  <si>
    <t>FOR39</t>
  </si>
  <si>
    <t>FOR40</t>
  </si>
  <si>
    <t>FOR41</t>
  </si>
  <si>
    <t>FOR42</t>
  </si>
  <si>
    <t>FOR43</t>
  </si>
  <si>
    <t>FOR44</t>
  </si>
  <si>
    <t>FOR45</t>
  </si>
  <si>
    <t>FOR46</t>
  </si>
  <si>
    <t>REL6</t>
  </si>
  <si>
    <t>REL7</t>
  </si>
  <si>
    <t>REL8</t>
  </si>
  <si>
    <t>REL9</t>
  </si>
  <si>
    <t>REL10</t>
  </si>
  <si>
    <t>REL11</t>
  </si>
  <si>
    <t>REL12</t>
  </si>
  <si>
    <t>c3.18</t>
  </si>
  <si>
    <t>c3.19</t>
  </si>
  <si>
    <t>tax-on-int-SR</t>
  </si>
  <si>
    <t>taxable-int-BR</t>
  </si>
  <si>
    <t>tax-on-int-BR</t>
  </si>
  <si>
    <t>taxable-int-HR</t>
  </si>
  <si>
    <t>tax-on-int-HR</t>
  </si>
  <si>
    <t>taxable-divs-BR</t>
  </si>
  <si>
    <t>L118</t>
  </si>
  <si>
    <t>CG-trust-tax</t>
  </si>
  <si>
    <t>Paying into registered pension schemes and overseas pension schemes</t>
  </si>
  <si>
    <t>Blind Person’s Allowance</t>
  </si>
  <si>
    <t>c8.23</t>
  </si>
  <si>
    <t xml:space="preserve">Whatever mode the Tester is used in, the following worksheets are always produced: </t>
  </si>
  <si>
    <t>PRO42</t>
  </si>
  <si>
    <t>PRO43</t>
  </si>
  <si>
    <t>Taxable profit for the year (1)</t>
  </si>
  <si>
    <t>Taxable profit for the year (2)</t>
  </si>
  <si>
    <t>Gift of qualifying investments &amp; real property to charities</t>
  </si>
  <si>
    <t>Income tax for non-residents</t>
  </si>
  <si>
    <t>remove Gift Aid etc.</t>
  </si>
  <si>
    <t>taxable income for TSR</t>
  </si>
  <si>
    <t>Basic rate limit</t>
  </si>
  <si>
    <t>Extended BR band</t>
  </si>
  <si>
    <t>Tax due for TSR purposes</t>
  </si>
  <si>
    <t xml:space="preserve">Pension over Lifetime Allowance - taken as lump sum </t>
  </si>
  <si>
    <t>Pension over Lifetime Allowance - taken as pension</t>
  </si>
  <si>
    <t>951/T2</t>
  </si>
  <si>
    <t>A</t>
  </si>
  <si>
    <t>B</t>
  </si>
  <si>
    <t>Pension savings charges</t>
  </si>
  <si>
    <t>(see below) based on the selection.</t>
  </si>
  <si>
    <t>The 'Test case' sheet</t>
  </si>
  <si>
    <t>Unauthorised payments - subject to Surcharge</t>
  </si>
  <si>
    <t>102</t>
  </si>
  <si>
    <t>99</t>
  </si>
  <si>
    <t>sw6</t>
  </si>
  <si>
    <t>Swiss dividends without UK credit</t>
  </si>
  <si>
    <t>sw7</t>
  </si>
  <si>
    <t>sw8</t>
  </si>
  <si>
    <t>sw9</t>
  </si>
  <si>
    <t>sw10</t>
  </si>
  <si>
    <t>sw11</t>
  </si>
  <si>
    <t>sw12</t>
  </si>
  <si>
    <t>sw13</t>
  </si>
  <si>
    <t>sw14</t>
  </si>
  <si>
    <t>sw15</t>
  </si>
  <si>
    <t>sw16</t>
  </si>
  <si>
    <t>sw17</t>
  </si>
  <si>
    <t>sw18</t>
  </si>
  <si>
    <t>sw19</t>
  </si>
  <si>
    <t>sw20</t>
  </si>
  <si>
    <t>sw21</t>
  </si>
  <si>
    <t>Dividends in lower rate band</t>
  </si>
  <si>
    <t>sw22</t>
  </si>
  <si>
    <t>sw23</t>
  </si>
  <si>
    <t>sw24</t>
  </si>
  <si>
    <t>Tax credit on Swiss dividends that do not qualify for 10% UK tax credits</t>
  </si>
  <si>
    <t>sw25</t>
  </si>
  <si>
    <t>sw26</t>
  </si>
  <si>
    <t>Swiss Interest</t>
  </si>
  <si>
    <t>sw27</t>
  </si>
  <si>
    <t>sw28</t>
  </si>
  <si>
    <t>sw29</t>
  </si>
  <si>
    <t>Interest in additional rate band</t>
  </si>
  <si>
    <t>sw30</t>
  </si>
  <si>
    <t>sw31</t>
  </si>
  <si>
    <t>sw32</t>
  </si>
  <si>
    <t>pup</t>
  </si>
  <si>
    <t>c3.22</t>
  </si>
  <si>
    <t xml:space="preserve">Amount of  Double Taxation Agreement income </t>
  </si>
  <si>
    <t>for which partial relief is being claimed</t>
  </si>
  <si>
    <t>c3.23</t>
  </si>
  <si>
    <t>c9.32</t>
  </si>
  <si>
    <t>c9.33</t>
  </si>
  <si>
    <t>EMP6.1</t>
  </si>
  <si>
    <t>6.1</t>
  </si>
  <si>
    <t>run 5</t>
  </si>
  <si>
    <t>run 6</t>
  </si>
  <si>
    <t>run 7</t>
  </si>
  <si>
    <t>run 8</t>
  </si>
  <si>
    <t>IT-after-div-tax-credits</t>
  </si>
  <si>
    <t>ded-Loss</t>
  </si>
  <si>
    <t>NIC-amount</t>
  </si>
  <si>
    <t>dedn-Trust</t>
  </si>
  <si>
    <t>NIC-charge</t>
  </si>
  <si>
    <t>dedn-RAR</t>
  </si>
  <si>
    <t>NIC-sup-amount</t>
  </si>
  <si>
    <t>NIC-sup-charge</t>
  </si>
  <si>
    <t>L27</t>
  </si>
  <si>
    <t>L29</t>
  </si>
  <si>
    <t>NS_gross</t>
  </si>
  <si>
    <t>Tax Credit Relief on income</t>
  </si>
  <si>
    <t>Select from drop-down</t>
  </si>
  <si>
    <t>or box below</t>
  </si>
  <si>
    <t>c11.5</t>
  </si>
  <si>
    <t>SSE19</t>
  </si>
  <si>
    <t>SSE20</t>
  </si>
  <si>
    <t>c25.18</t>
  </si>
  <si>
    <t>c25.19</t>
  </si>
  <si>
    <t>c25.20</t>
  </si>
  <si>
    <t>c25.21</t>
  </si>
  <si>
    <t>Student Loan repayments</t>
  </si>
  <si>
    <t>Rate bands</t>
  </si>
  <si>
    <t>£down</t>
  </si>
  <si>
    <t>TRU13</t>
  </si>
  <si>
    <t>TRU14</t>
  </si>
  <si>
    <t>TRU15</t>
  </si>
  <si>
    <t>TRU16</t>
  </si>
  <si>
    <t>TRU17</t>
  </si>
  <si>
    <t>Adjusted Net Income for Child Benefit tax charge</t>
  </si>
  <si>
    <t xml:space="preserve"> Profit from partnerships</t>
  </si>
  <si>
    <t>c2.7</t>
  </si>
  <si>
    <t>c2.10</t>
  </si>
  <si>
    <t>c2.11</t>
  </si>
  <si>
    <t>c2.12</t>
  </si>
  <si>
    <t>c2.14</t>
  </si>
  <si>
    <t>c2.15</t>
  </si>
  <si>
    <t>c2.16</t>
  </si>
  <si>
    <t xml:space="preserve">Liability - SA110 boxes CAL1 to CAL8 </t>
  </si>
  <si>
    <t>FSE59</t>
  </si>
  <si>
    <t>MCA claim</t>
  </si>
  <si>
    <t>Wife age ind</t>
  </si>
  <si>
    <t>alloc to wife</t>
  </si>
  <si>
    <t>months married</t>
  </si>
  <si>
    <t>MCA Control data</t>
  </si>
  <si>
    <t>1 = None to spouse/partner</t>
  </si>
  <si>
    <t>2 = 50% to spouse/partner (3 or 6)</t>
  </si>
  <si>
    <t>3 = All to spouse/partner (4 or 7)</t>
  </si>
  <si>
    <t>Income boxes INC7 to INC14 (UK pensions etc. received)</t>
  </si>
  <si>
    <t>Some questions on the core Tax Return and Additional Information pages would require a large number</t>
  </si>
  <si>
    <t>Column A: Copy from boxes</t>
  </si>
  <si>
    <t>Column B: Copy from boxes</t>
  </si>
  <si>
    <t>Deductions</t>
  </si>
  <si>
    <t xml:space="preserve"> Trusts and Estates</t>
  </si>
  <si>
    <t>Non-savings income etc.</t>
  </si>
  <si>
    <t>Single</t>
  </si>
  <si>
    <t>57</t>
  </si>
  <si>
    <t>16</t>
  </si>
  <si>
    <t>58</t>
  </si>
  <si>
    <t>100</t>
  </si>
  <si>
    <t>17</t>
  </si>
  <si>
    <t>59</t>
  </si>
  <si>
    <t>101</t>
  </si>
  <si>
    <t>18</t>
  </si>
  <si>
    <t>Capital gains tax</t>
  </si>
  <si>
    <t>L64</t>
  </si>
  <si>
    <t>L65</t>
  </si>
  <si>
    <t>L68</t>
  </si>
  <si>
    <t>L69</t>
  </si>
  <si>
    <t>c15.1</t>
  </si>
  <si>
    <t>tax-paid-Trust</t>
  </si>
  <si>
    <t>ppr-extender</t>
  </si>
  <si>
    <t>L103</t>
  </si>
  <si>
    <t>Income in basic rate band</t>
  </si>
  <si>
    <t>Income in higher rate band</t>
  </si>
  <si>
    <t>Lump sum payments</t>
  </si>
  <si>
    <t>65</t>
  </si>
  <si>
    <t>24</t>
  </si>
  <si>
    <t>66</t>
  </si>
  <si>
    <t>25</t>
  </si>
  <si>
    <t>67</t>
  </si>
  <si>
    <t>26</t>
  </si>
  <si>
    <t>68</t>
  </si>
  <si>
    <t>27</t>
  </si>
  <si>
    <t>69</t>
  </si>
  <si>
    <t>28</t>
  </si>
  <si>
    <t>70</t>
  </si>
  <si>
    <t>29</t>
  </si>
  <si>
    <t>71</t>
  </si>
  <si>
    <t>30</t>
  </si>
  <si>
    <t>72</t>
  </si>
  <si>
    <t>31</t>
  </si>
  <si>
    <t>73</t>
  </si>
  <si>
    <t>32</t>
  </si>
  <si>
    <t>74</t>
  </si>
  <si>
    <t>33</t>
  </si>
  <si>
    <t>75</t>
  </si>
  <si>
    <t>34</t>
  </si>
  <si>
    <t>76</t>
  </si>
  <si>
    <t>35</t>
  </si>
  <si>
    <t>77</t>
  </si>
  <si>
    <t>36</t>
  </si>
  <si>
    <t>78</t>
  </si>
  <si>
    <t>37</t>
  </si>
  <si>
    <t>79</t>
  </si>
  <si>
    <t>38</t>
  </si>
  <si>
    <t>80</t>
  </si>
  <si>
    <t>39</t>
  </si>
  <si>
    <t>81</t>
  </si>
  <si>
    <t>40</t>
  </si>
  <si>
    <t>82</t>
  </si>
  <si>
    <t>41</t>
  </si>
  <si>
    <t>EIS_rate</t>
  </si>
  <si>
    <t>Old Basic Rate</t>
  </si>
  <si>
    <t>OLD_BR</t>
  </si>
  <si>
    <t>POA threshold</t>
  </si>
  <si>
    <t>POA_limit</t>
  </si>
  <si>
    <t>NIC_LEL</t>
  </si>
  <si>
    <t>c11.24</t>
  </si>
  <si>
    <t>Net non-UK dividends</t>
  </si>
  <si>
    <t>D10</t>
  </si>
  <si>
    <t>From all employments, UK pensions and state benefits</t>
  </si>
  <si>
    <t>Outstanding debt collected through PAYE</t>
  </si>
  <si>
    <t>L97B</t>
  </si>
  <si>
    <t xml:space="preserve">Balance of PAYE tax </t>
  </si>
  <si>
    <t>Notional tax from stock dividends and other income</t>
  </si>
  <si>
    <t>EMP12</t>
  </si>
  <si>
    <t>EMP13</t>
  </si>
  <si>
    <t>Income Tax due after Gift Aid</t>
  </si>
  <si>
    <t xml:space="preserve"> Share Schemes</t>
  </si>
  <si>
    <t>DOB Ind</t>
  </si>
  <si>
    <t>Fin 1</t>
  </si>
  <si>
    <t>Remit set</t>
  </si>
  <si>
    <t>PRO1</t>
  </si>
  <si>
    <t>PRO2</t>
  </si>
  <si>
    <t>PRO3</t>
  </si>
  <si>
    <t>C4</t>
  </si>
  <si>
    <t>F5</t>
  </si>
  <si>
    <t xml:space="preserve"> You must update 'life</t>
  </si>
  <si>
    <t xml:space="preserve"> insurance gains' boxes for</t>
  </si>
  <si>
    <t xml:space="preserve"> the Calculation to give </t>
  </si>
  <si>
    <t xml:space="preserve"> the correct result.</t>
  </si>
  <si>
    <r>
      <t xml:space="preserve">Date of issue: </t>
    </r>
    <r>
      <rPr>
        <sz val="9"/>
        <color indexed="21"/>
        <rFont val="Arial"/>
        <family val="2"/>
      </rPr>
      <t>dd/mm/yy format</t>
    </r>
  </si>
  <si>
    <t>Venture Capital Trust relief</t>
  </si>
  <si>
    <t>Enterprise Investment Scheme relief</t>
  </si>
  <si>
    <t>Other expenses</t>
  </si>
  <si>
    <t>'Test this case' will remove the amendments and restore the original figures.</t>
  </si>
  <si>
    <t>FSE83</t>
  </si>
  <si>
    <t>FSE84</t>
  </si>
  <si>
    <t>FSE85</t>
  </si>
  <si>
    <t>FSE86</t>
  </si>
  <si>
    <t>FSE87</t>
  </si>
  <si>
    <t>FSE88</t>
  </si>
  <si>
    <t>FSE89</t>
  </si>
  <si>
    <t>Select the sheets on 'Add pages' that correspond to questions on the Return.</t>
  </si>
  <si>
    <t>Nominated Capital Gains</t>
  </si>
  <si>
    <t>I23</t>
  </si>
  <si>
    <t xml:space="preserve">(Up to 2 employments, 2 self-employments (1 short &amp; 1 full) and 2 partnerships  (1 short &amp; 1 full) .) </t>
  </si>
  <si>
    <t>Trusts and Estates</t>
  </si>
  <si>
    <t>Non-residence etc.</t>
  </si>
  <si>
    <t>H18</t>
  </si>
  <si>
    <t/>
  </si>
  <si>
    <t>Post-cessation trade relief and certain other losses</t>
  </si>
  <si>
    <t>ARM</t>
  </si>
  <si>
    <t>ATG</t>
  </si>
  <si>
    <t>AUS</t>
  </si>
  <si>
    <t>AUT</t>
  </si>
  <si>
    <t>AZE</t>
  </si>
  <si>
    <t>BES</t>
  </si>
  <si>
    <t>BGD</t>
  </si>
  <si>
    <t>BGR</t>
  </si>
  <si>
    <t>BHR</t>
  </si>
  <si>
    <t>BIH</t>
  </si>
  <si>
    <t>BLR</t>
  </si>
  <si>
    <t>BLZ</t>
  </si>
  <si>
    <t>BOL</t>
  </si>
  <si>
    <t>BRB</t>
  </si>
  <si>
    <t>BRN</t>
  </si>
  <si>
    <t>BWA</t>
  </si>
  <si>
    <t>CCK</t>
  </si>
  <si>
    <t>CHL</t>
  </si>
  <si>
    <t>CHN</t>
  </si>
  <si>
    <t>CIV</t>
  </si>
  <si>
    <t>CUW</t>
  </si>
  <si>
    <t>CXR</t>
  </si>
  <si>
    <t>CYN</t>
  </si>
  <si>
    <t>CYP</t>
  </si>
  <si>
    <t>CZE</t>
  </si>
  <si>
    <t>DEU</t>
  </si>
  <si>
    <t>EGY</t>
  </si>
  <si>
    <t>ESP</t>
  </si>
  <si>
    <t>EST</t>
  </si>
  <si>
    <t>ETH</t>
  </si>
  <si>
    <t>FJI</t>
  </si>
  <si>
    <t>FLK</t>
  </si>
  <si>
    <t>FRO</t>
  </si>
  <si>
    <t>GEO</t>
  </si>
  <si>
    <t>GGY</t>
  </si>
  <si>
    <t>GHA</t>
  </si>
  <si>
    <t>GLP</t>
  </si>
  <si>
    <t>GMB</t>
  </si>
  <si>
    <t>GRC</t>
  </si>
  <si>
    <t>GRD</t>
  </si>
  <si>
    <t>GUF</t>
  </si>
  <si>
    <t>GUY</t>
  </si>
  <si>
    <t>HKG</t>
  </si>
  <si>
    <t>HRV</t>
  </si>
  <si>
    <t>HUN</t>
  </si>
  <si>
    <t>IDN</t>
  </si>
  <si>
    <t>IMN</t>
  </si>
  <si>
    <t>IRL</t>
  </si>
  <si>
    <t>ISL</t>
  </si>
  <si>
    <t>ISR</t>
  </si>
  <si>
    <t>ITA</t>
  </si>
  <si>
    <t>JAM</t>
  </si>
  <si>
    <t>JEY</t>
  </si>
  <si>
    <t>JOR</t>
  </si>
  <si>
    <t>JPN</t>
  </si>
  <si>
    <t>KAZ</t>
  </si>
  <si>
    <t>KEN</t>
  </si>
  <si>
    <t>KIR</t>
  </si>
  <si>
    <t>KNA</t>
  </si>
  <si>
    <t>KOR</t>
  </si>
  <si>
    <t>KWT</t>
  </si>
  <si>
    <t>LBY</t>
  </si>
  <si>
    <t>LIE</t>
  </si>
  <si>
    <t>LKA</t>
  </si>
  <si>
    <t>LSO</t>
  </si>
  <si>
    <t>LTU</t>
  </si>
  <si>
    <t>LUX</t>
  </si>
  <si>
    <t>LVA</t>
  </si>
  <si>
    <t>MAR</t>
  </si>
  <si>
    <t>MDA</t>
  </si>
  <si>
    <t>MEX</t>
  </si>
  <si>
    <t>MKD</t>
  </si>
  <si>
    <t>MLT</t>
  </si>
  <si>
    <t>MMR</t>
  </si>
  <si>
    <t>MNE</t>
  </si>
  <si>
    <t>MNG</t>
  </si>
  <si>
    <t>MSR</t>
  </si>
  <si>
    <t>MTQ</t>
  </si>
  <si>
    <t>MUS</t>
  </si>
  <si>
    <t>MWI</t>
  </si>
  <si>
    <t>MYS</t>
  </si>
  <si>
    <t>NFK</t>
  </si>
  <si>
    <t>NGA</t>
  </si>
  <si>
    <t>NLD</t>
  </si>
  <si>
    <t>NOR</t>
  </si>
  <si>
    <t>NZL</t>
  </si>
  <si>
    <t>OMN</t>
  </si>
  <si>
    <t>PAK</t>
  </si>
  <si>
    <t>PHL</t>
  </si>
  <si>
    <t>PNG</t>
  </si>
  <si>
    <t>POL</t>
  </si>
  <si>
    <t>PRT</t>
  </si>
  <si>
    <t>QAT</t>
  </si>
  <si>
    <t>REU</t>
  </si>
  <si>
    <t>ROU</t>
  </si>
  <si>
    <t>RUS</t>
  </si>
  <si>
    <t>SDN</t>
  </si>
  <si>
    <t>SGP</t>
  </si>
  <si>
    <t>SLB</t>
  </si>
  <si>
    <t>SLE</t>
  </si>
  <si>
    <t>SRB</t>
  </si>
  <si>
    <t>SVK</t>
  </si>
  <si>
    <t>SVN</t>
  </si>
  <si>
    <t>SWZ</t>
  </si>
  <si>
    <t>SXM</t>
  </si>
  <si>
    <t>THA</t>
  </si>
  <si>
    <t>TJK</t>
  </si>
  <si>
    <t>TKM</t>
  </si>
  <si>
    <t>TTO</t>
  </si>
  <si>
    <t>TUN</t>
  </si>
  <si>
    <t>TUR</t>
  </si>
  <si>
    <t>TUV</t>
  </si>
  <si>
    <t>TWN</t>
  </si>
  <si>
    <t>UGA</t>
  </si>
  <si>
    <t>UKR</t>
  </si>
  <si>
    <t>UZB</t>
  </si>
  <si>
    <t>VEN</t>
  </si>
  <si>
    <t>VGB</t>
  </si>
  <si>
    <t>VNM</t>
  </si>
  <si>
    <t>ZAF</t>
  </si>
  <si>
    <t>ZMB</t>
  </si>
  <si>
    <t>ZWE</t>
  </si>
  <si>
    <t>c18.2</t>
  </si>
  <si>
    <t>c18.3</t>
  </si>
  <si>
    <t>c18.4</t>
  </si>
  <si>
    <t>c18.5</t>
  </si>
  <si>
    <t>c22.1</t>
  </si>
  <si>
    <t>c22.2</t>
  </si>
  <si>
    <t>c22.3</t>
  </si>
  <si>
    <t>c22.4</t>
  </si>
  <si>
    <t>c22.5</t>
  </si>
  <si>
    <t>c22.6</t>
  </si>
  <si>
    <t>SBR_band</t>
  </si>
  <si>
    <t>item 1 rate</t>
  </si>
  <si>
    <t>c27.6</t>
  </si>
  <si>
    <t>c16.1</t>
  </si>
  <si>
    <t>c16.2</t>
  </si>
  <si>
    <t>c16.3</t>
  </si>
  <si>
    <t>c16.4</t>
  </si>
  <si>
    <t>Capital Gains Tax adjustment</t>
  </si>
  <si>
    <t>Q11</t>
  </si>
  <si>
    <t>E17</t>
  </si>
  <si>
    <t>E20</t>
  </si>
  <si>
    <t>Remit_basis</t>
  </si>
  <si>
    <t>UK allces</t>
  </si>
  <si>
    <t>CODA Partnership Tax Due</t>
  </si>
  <si>
    <t>CODA Partnership NIC Due</t>
  </si>
  <si>
    <t>Create Return Charge field entries</t>
  </si>
  <si>
    <t>Top Slicing Relief Due</t>
  </si>
  <si>
    <t xml:space="preserve">The sheets for the core Return (INC(1), INC(2) and REL) are always visible, others appear when selected. </t>
  </si>
  <si>
    <t>Enter, the sub-set of Return data required by the tax calculation and</t>
  </si>
  <si>
    <t>press the 'Calculate Now' button on 'Add pages' to reveal the outputs (see below).</t>
  </si>
  <si>
    <t xml:space="preserve">Note: The ‘Reset calculation’ button on the 'Add pages' sheet should used between tests to avoid residual entries </t>
  </si>
  <si>
    <t>corrupting the expected results.</t>
  </si>
  <si>
    <t xml:space="preserve">2. As a test case generator. </t>
  </si>
  <si>
    <t>When the TCG is used in modes 2 or 3 it will pull together all the data needed for a full Tax Return.</t>
  </si>
  <si>
    <t>LUN34</t>
  </si>
  <si>
    <t>LUN35</t>
  </si>
  <si>
    <t>AIL20</t>
  </si>
  <si>
    <t>AIL21</t>
  </si>
  <si>
    <t>c25.33</t>
  </si>
  <si>
    <t>c25.34</t>
  </si>
  <si>
    <t>c25.35</t>
  </si>
  <si>
    <t>c25.36</t>
  </si>
  <si>
    <t>Short service refund Lower Rate band</t>
  </si>
  <si>
    <t>SSR_lower_band</t>
  </si>
  <si>
    <t>SSR_higher_rate</t>
  </si>
  <si>
    <t>Special lump sum death benefit Rate</t>
  </si>
  <si>
    <t>SLSDB_rate</t>
  </si>
  <si>
    <t>min_relevant_earns</t>
  </si>
  <si>
    <t>Date stuff</t>
  </si>
  <si>
    <t>January</t>
  </si>
  <si>
    <t>February</t>
  </si>
  <si>
    <t>c5.11</t>
  </si>
  <si>
    <t>c5.12</t>
  </si>
  <si>
    <t>c5.13</t>
  </si>
  <si>
    <t>c5.14</t>
  </si>
  <si>
    <t>c5.15</t>
  </si>
  <si>
    <t>c5.16</t>
  </si>
  <si>
    <t>c5.17</t>
  </si>
  <si>
    <t>Amount of coded outstanding debt collected</t>
  </si>
  <si>
    <t>c11.29</t>
  </si>
  <si>
    <t>PAYE tax available to SA</t>
  </si>
  <si>
    <t>L97a</t>
  </si>
  <si>
    <t>debt-coded</t>
  </si>
  <si>
    <t>debt-collected</t>
  </si>
  <si>
    <t>L97b</t>
  </si>
  <si>
    <t>SA-E-tax</t>
  </si>
  <si>
    <t>FOR28_TOT</t>
  </si>
  <si>
    <t>FOR29_TOT</t>
  </si>
  <si>
    <t>FOR30_TOT</t>
  </si>
  <si>
    <t>Employment</t>
  </si>
  <si>
    <t>MOR</t>
  </si>
  <si>
    <t>SSE</t>
  </si>
  <si>
    <t>Short Self Employment</t>
  </si>
  <si>
    <t xml:space="preserve">This auto-populates the input sheets from the test components that make up the test case, and generates outputs </t>
  </si>
  <si>
    <t>Tax deducted</t>
  </si>
  <si>
    <t>Total tax deducted</t>
  </si>
  <si>
    <t>M10</t>
  </si>
  <si>
    <t>C5</t>
  </si>
  <si>
    <t xml:space="preserve">     </t>
  </si>
  <si>
    <t>Unearned Income Threshold</t>
  </si>
  <si>
    <t>ASE10</t>
  </si>
  <si>
    <t>ASE11</t>
  </si>
  <si>
    <t>ASE12</t>
  </si>
  <si>
    <t>ASE13</t>
  </si>
  <si>
    <t>ASE14</t>
  </si>
  <si>
    <t>ASE-A</t>
  </si>
  <si>
    <t>ASE-B</t>
  </si>
  <si>
    <t>ASE-C</t>
  </si>
  <si>
    <t>AOR1</t>
  </si>
  <si>
    <t>AOR2</t>
  </si>
  <si>
    <t>AOR3</t>
  </si>
  <si>
    <t>AOR4</t>
  </si>
  <si>
    <t>AOR5</t>
  </si>
  <si>
    <t>AOR6</t>
  </si>
  <si>
    <t>AOR7</t>
  </si>
  <si>
    <t>AOR8</t>
  </si>
  <si>
    <t>AOR9</t>
  </si>
  <si>
    <t>AOR10</t>
  </si>
  <si>
    <t>MCA1</t>
  </si>
  <si>
    <t>Unremit &lt; 2000</t>
  </si>
  <si>
    <t>Res_7_years</t>
  </si>
  <si>
    <t>Under_18</t>
  </si>
  <si>
    <t>c13.15</t>
  </si>
  <si>
    <t>c13.16</t>
  </si>
  <si>
    <t>c17.25</t>
  </si>
  <si>
    <t>c17.26</t>
  </si>
  <si>
    <t>c17.27</t>
  </si>
  <si>
    <t>c17.28</t>
  </si>
  <si>
    <t>3. Press the ‘Test this case’ button.</t>
  </si>
  <si>
    <t>L79A</t>
  </si>
  <si>
    <t xml:space="preserve">1. On the ‘More select’ worksheet there is a tick box to indicate the taxpayer is exempt from paying Class 4 NIC. </t>
  </si>
  <si>
    <t>REL1</t>
  </si>
  <si>
    <t>REL2</t>
  </si>
  <si>
    <t>REL3</t>
  </si>
  <si>
    <t>REL4</t>
  </si>
  <si>
    <t>REL5</t>
  </si>
  <si>
    <t>FOR1</t>
  </si>
  <si>
    <t>FOR2</t>
  </si>
  <si>
    <t xml:space="preserve">Calculate Tax Due </t>
  </si>
  <si>
    <t>Before Last Date for Coding?</t>
  </si>
  <si>
    <t>minus payments made towards POA</t>
  </si>
  <si>
    <t>Tax due is less than coded out limit</t>
  </si>
  <si>
    <t>claiming now</t>
  </si>
  <si>
    <t>of adjustments to an earlier year</t>
  </si>
  <si>
    <t>Decrease in tax due because</t>
  </si>
  <si>
    <t>larger of</t>
  </si>
  <si>
    <t>remaining Swiss interest</t>
  </si>
  <si>
    <t>sw33</t>
  </si>
  <si>
    <t>sw34</t>
  </si>
  <si>
    <t>sw35</t>
  </si>
  <si>
    <t>sw36</t>
  </si>
  <si>
    <t>sw37</t>
  </si>
  <si>
    <t>sw38</t>
  </si>
  <si>
    <t>sw39</t>
  </si>
  <si>
    <t>sw40</t>
  </si>
  <si>
    <t>sw41</t>
  </si>
  <si>
    <t>Interest in higher rate band</t>
  </si>
  <si>
    <t>sw42</t>
  </si>
  <si>
    <t>sw43</t>
  </si>
  <si>
    <t>Interest in lower rate band</t>
  </si>
  <si>
    <t>Interest in starting rate band</t>
  </si>
  <si>
    <t>Tax credit on Swiss interest</t>
  </si>
  <si>
    <t>Total tax credit on Swiss income</t>
  </si>
  <si>
    <t>How the Swiss tax credit is calculated</t>
  </si>
  <si>
    <t>Taxed</t>
  </si>
  <si>
    <t>minus 10% UK tax credit</t>
  </si>
  <si>
    <t>Total tax credit on dividends</t>
  </si>
  <si>
    <t>Total tax credit on interest</t>
  </si>
  <si>
    <t>Total Swiss Tax credit</t>
  </si>
  <si>
    <t>(Shows as foreign tax credit relief)</t>
  </si>
  <si>
    <t>c8.18</t>
  </si>
  <si>
    <t>c8.19</t>
  </si>
  <si>
    <t xml:space="preserve">Test cases 1 to 25 use identical data to STR test cases 1 to 25, and should produce identical results. </t>
  </si>
  <si>
    <t>Allowable expenses</t>
  </si>
  <si>
    <t>FSE34</t>
  </si>
  <si>
    <t>FSE35</t>
  </si>
  <si>
    <t>vacant row on the Test Case index' sheet. Once the case is stored it can be 'replayed' as any other test</t>
  </si>
  <si>
    <t>case.</t>
  </si>
  <si>
    <t>G14</t>
  </si>
  <si>
    <t>item 4 type</t>
  </si>
  <si>
    <t>item 4 inc</t>
  </si>
  <si>
    <t>item 4 tax</t>
  </si>
  <si>
    <t>item 4 ftcr</t>
  </si>
  <si>
    <t>item 4</t>
  </si>
  <si>
    <t>run 4</t>
  </si>
  <si>
    <t xml:space="preserve"> or unless your spouse is getting half or all of the allowance, see notes</t>
  </si>
  <si>
    <t>Share Schemes</t>
  </si>
  <si>
    <t>BR_band</t>
  </si>
  <si>
    <t>HR_band</t>
  </si>
  <si>
    <t>Sloan_rate</t>
  </si>
  <si>
    <t>P_A</t>
  </si>
  <si>
    <t>Total from all employments</t>
  </si>
  <si>
    <t>Venture Capital Trust shares rate</t>
  </si>
  <si>
    <t xml:space="preserve">Social Investment Tax Relief rate </t>
  </si>
  <si>
    <t>Enterprise Investment Scheme rate</t>
  </si>
  <si>
    <t>INC(2)</t>
  </si>
  <si>
    <t>D5</t>
  </si>
  <si>
    <t>D8</t>
  </si>
  <si>
    <t>D11</t>
  </si>
  <si>
    <t>D14</t>
  </si>
  <si>
    <t>D20</t>
  </si>
  <si>
    <t>D23</t>
  </si>
  <si>
    <t>D26</t>
  </si>
  <si>
    <t>H20</t>
  </si>
  <si>
    <t>D6</t>
  </si>
  <si>
    <t>D9</t>
  </si>
  <si>
    <t>D21</t>
  </si>
  <si>
    <t>D17</t>
  </si>
  <si>
    <t>H23</t>
  </si>
  <si>
    <t>D29</t>
  </si>
  <si>
    <t>H29</t>
  </si>
  <si>
    <t>with notional tax</t>
  </si>
  <si>
    <t>Total</t>
  </si>
  <si>
    <t>Item 5</t>
  </si>
  <si>
    <t>Item 6</t>
  </si>
  <si>
    <t>Item 7</t>
  </si>
  <si>
    <t>Item 8</t>
  </si>
  <si>
    <t>FTCR on item 5</t>
  </si>
  <si>
    <t>FTCR on item 6</t>
  </si>
  <si>
    <t>FTCR on item 7</t>
  </si>
  <si>
    <t>FTCR on item 8</t>
  </si>
  <si>
    <t>item 5</t>
  </si>
  <si>
    <t>item 6</t>
  </si>
  <si>
    <t>item 7</t>
  </si>
  <si>
    <t>item 8</t>
  </si>
  <si>
    <t>item 5 type</t>
  </si>
  <si>
    <t>item 5 rate</t>
  </si>
  <si>
    <t>item 5 inc</t>
  </si>
  <si>
    <t>item 5 tax</t>
  </si>
  <si>
    <t>item 5 ftcr</t>
  </si>
  <si>
    <t>G26</t>
  </si>
  <si>
    <t>item 6 type</t>
  </si>
  <si>
    <t>item 6 rate</t>
  </si>
  <si>
    <t>item 6 inc</t>
  </si>
  <si>
    <t>item 6 tax</t>
  </si>
  <si>
    <t>item 6 ftcr</t>
  </si>
  <si>
    <t>G30</t>
  </si>
  <si>
    <t>G34</t>
  </si>
  <si>
    <t>G38</t>
  </si>
  <si>
    <t>FPS31</t>
  </si>
  <si>
    <t>FPS32</t>
  </si>
  <si>
    <t>FPS33</t>
  </si>
  <si>
    <t>FPS34</t>
  </si>
  <si>
    <t>FPS35</t>
  </si>
  <si>
    <t>FPS36</t>
  </si>
  <si>
    <t>FPS37</t>
  </si>
  <si>
    <t>FPS38</t>
  </si>
  <si>
    <t>FPS39</t>
  </si>
  <si>
    <t>FPS40</t>
  </si>
  <si>
    <t>FPS41</t>
  </si>
  <si>
    <t>FPS42</t>
  </si>
  <si>
    <t>FPS43</t>
  </si>
  <si>
    <t>FPS44</t>
  </si>
  <si>
    <t>FPS45</t>
  </si>
  <si>
    <t>SA100</t>
  </si>
  <si>
    <t>SA101</t>
  </si>
  <si>
    <t>SA102</t>
  </si>
  <si>
    <t>SA103F</t>
  </si>
  <si>
    <t>SA105</t>
  </si>
  <si>
    <t>SA110</t>
  </si>
  <si>
    <t>43</t>
  </si>
  <si>
    <t>85</t>
  </si>
  <si>
    <t>2</t>
  </si>
  <si>
    <t>44</t>
  </si>
  <si>
    <t>86</t>
  </si>
  <si>
    <t>3</t>
  </si>
  <si>
    <t>45</t>
  </si>
  <si>
    <t>87</t>
  </si>
  <si>
    <t>4</t>
  </si>
  <si>
    <t>46</t>
  </si>
  <si>
    <t>88</t>
  </si>
  <si>
    <t>5</t>
  </si>
  <si>
    <t>47</t>
  </si>
  <si>
    <t>89</t>
  </si>
  <si>
    <t>6</t>
  </si>
  <si>
    <t>48</t>
  </si>
  <si>
    <t>SPS</t>
  </si>
  <si>
    <t>Calculate Adjusted Net Income for Child Benefit tax charge</t>
  </si>
  <si>
    <t>CBC(c28)</t>
  </si>
  <si>
    <t>S loans(c27)</t>
  </si>
  <si>
    <t>c27.44</t>
  </si>
  <si>
    <t>The total amount of Child Benefit received</t>
  </si>
  <si>
    <t>K15</t>
  </si>
  <si>
    <t>Res_12_years</t>
  </si>
  <si>
    <t>NRD36</t>
  </si>
  <si>
    <t>REL(1)</t>
  </si>
  <si>
    <t>REL(2)</t>
  </si>
  <si>
    <t>CAL9</t>
  </si>
  <si>
    <t>Child Benefit</t>
  </si>
  <si>
    <t>CBC1</t>
  </si>
  <si>
    <t>c20a.17</t>
  </si>
  <si>
    <t>56</t>
  </si>
  <si>
    <t>98</t>
  </si>
  <si>
    <t>15</t>
  </si>
  <si>
    <t>Income Limit for Personal Allowance</t>
  </si>
  <si>
    <t>Trust dividend rate net to gross factor</t>
  </si>
  <si>
    <t>trust_div_gross</t>
  </si>
  <si>
    <t>c3.21</t>
  </si>
  <si>
    <t xml:space="preserve">Claimed by </t>
  </si>
  <si>
    <t>Self Employment Profits</t>
  </si>
  <si>
    <t>Lloyd's Underwriter Profits</t>
  </si>
  <si>
    <t>Partnership Profits</t>
  </si>
  <si>
    <t>c6.29</t>
  </si>
  <si>
    <t>c6.30</t>
  </si>
  <si>
    <t>c6.31</t>
  </si>
  <si>
    <t>c6.32</t>
  </si>
  <si>
    <t>c6.33</t>
  </si>
  <si>
    <t>c6.34</t>
  </si>
  <si>
    <t>c6.35</t>
  </si>
  <si>
    <t>c6.36</t>
  </si>
  <si>
    <t>Test case reference</t>
  </si>
  <si>
    <t>TC ref</t>
  </si>
  <si>
    <t>tax-on-divs-AHR</t>
  </si>
  <si>
    <t>L115</t>
  </si>
  <si>
    <t>CG-at-ER-rate</t>
  </si>
  <si>
    <t>ER-rate-CGT</t>
  </si>
  <si>
    <t>L57A</t>
  </si>
  <si>
    <t>deficiency-relief</t>
  </si>
  <si>
    <t>L116</t>
  </si>
  <si>
    <t>CG-at-lower-rate</t>
  </si>
  <si>
    <t>Lower-rate-CGT</t>
  </si>
  <si>
    <t>CG-at-higher-rate</t>
  </si>
  <si>
    <t>Higher-rate-CGT</t>
  </si>
  <si>
    <t>Payments to an employer's scheme</t>
  </si>
  <si>
    <t>APA Claimed</t>
  </si>
  <si>
    <t>APA Not Claimed</t>
  </si>
  <si>
    <t>Share of Income Tax deducted</t>
  </si>
  <si>
    <t>Share of untaxed interest</t>
  </si>
  <si>
    <t>4. Press the 'Record this case' button on the 'Selector' and 'More Select' sheets</t>
  </si>
  <si>
    <t xml:space="preserve">The summary of test components and case specific data needed to re-run this case will be stored in the next </t>
  </si>
  <si>
    <t>c26.1</t>
  </si>
  <si>
    <t>c26.2</t>
  </si>
  <si>
    <t>c26.3</t>
  </si>
  <si>
    <t>SEED Enterprise Investment Scheme subscriptions</t>
  </si>
  <si>
    <t xml:space="preserve">Test case data will remain in the input sheets until the ‘Reset calculation’ button on the ‘Add pages’ sheet is </t>
  </si>
  <si>
    <t>pressed. That data can be amended, by going to the input sheet and over-typing the box entries.</t>
  </si>
  <si>
    <t>c6.9</t>
  </si>
  <si>
    <t>c6.16</t>
  </si>
  <si>
    <t>Calculate nominated income for remittance basis charge and restrict allowable losses and loan interest</t>
  </si>
  <si>
    <t>Income excluded from this calculation</t>
  </si>
  <si>
    <t>tax-paid-D</t>
  </si>
  <si>
    <t>Allce-BPA-Spare</t>
  </si>
  <si>
    <t>L99</t>
  </si>
  <si>
    <t>c20a.18</t>
  </si>
  <si>
    <t>c20a.19</t>
  </si>
  <si>
    <t>c20a.20</t>
  </si>
  <si>
    <t>c20a.21</t>
  </si>
  <si>
    <t>c20a.22</t>
  </si>
  <si>
    <t>c20a.23</t>
  </si>
  <si>
    <t>c20a.24</t>
  </si>
  <si>
    <t>c20a.25</t>
  </si>
  <si>
    <t>c20a.26</t>
  </si>
  <si>
    <t>c20a.27</t>
  </si>
  <si>
    <t>c20a.28</t>
  </si>
  <si>
    <t>c20a.29</t>
  </si>
  <si>
    <t>c20a.30</t>
  </si>
  <si>
    <t>c20a.31</t>
  </si>
  <si>
    <t>c20a.32</t>
  </si>
  <si>
    <t>c20a.33</t>
  </si>
  <si>
    <t>c20a.34</t>
  </si>
  <si>
    <t>c20a.35</t>
  </si>
  <si>
    <t>c20a.36</t>
  </si>
  <si>
    <t>c20a.37</t>
  </si>
  <si>
    <t>c20a.38</t>
  </si>
  <si>
    <t>c20a.39</t>
  </si>
  <si>
    <t>c20a.40</t>
  </si>
  <si>
    <t>c20a.41</t>
  </si>
  <si>
    <t>c20a.42</t>
  </si>
  <si>
    <t>c20a.43</t>
  </si>
  <si>
    <t>c20a.44</t>
  </si>
  <si>
    <t>c20a.45</t>
  </si>
  <si>
    <t>c20a.46</t>
  </si>
  <si>
    <t>c20a.47</t>
  </si>
  <si>
    <t>c20a.48</t>
  </si>
  <si>
    <t>c20a.49</t>
  </si>
  <si>
    <t>c20a.50</t>
  </si>
  <si>
    <t>c20a.51</t>
  </si>
  <si>
    <t>Select test case number to be replayed’. [N.B. After the case number is entered press the 'Enter' key.]</t>
  </si>
  <si>
    <t>SEIS_rate</t>
  </si>
  <si>
    <t>trust_gross</t>
  </si>
  <si>
    <t>c4.24</t>
  </si>
  <si>
    <t>c4.25</t>
  </si>
  <si>
    <t>c8.2</t>
  </si>
  <si>
    <t>c8.3</t>
  </si>
  <si>
    <t>lawyer</t>
  </si>
  <si>
    <t>83</t>
  </si>
  <si>
    <t>Income boxes INC15 to INC19 (Other UK income)</t>
  </si>
  <si>
    <t>LDC 'CEG Amount'</t>
  </si>
  <si>
    <t xml:space="preserve">Tax rates </t>
  </si>
  <si>
    <t>Total tax due</t>
  </si>
  <si>
    <t>c5.1</t>
  </si>
  <si>
    <t>c5.2</t>
  </si>
  <si>
    <t>c5.3</t>
  </si>
  <si>
    <t>c5.4</t>
  </si>
  <si>
    <t>c5.5</t>
  </si>
  <si>
    <t>c5.6</t>
  </si>
  <si>
    <t>c5.8</t>
  </si>
  <si>
    <t>c5.9</t>
  </si>
  <si>
    <t>c5.10</t>
  </si>
  <si>
    <t>Tax_year_start</t>
  </si>
  <si>
    <t>Overseas special charges</t>
  </si>
  <si>
    <t>else</t>
  </si>
  <si>
    <t>Instances of different components can be selected together to produce complete test cases.</t>
  </si>
  <si>
    <t>All new cases will comply with the business validation rules, but may not 'realistic' examples of actual MTRs.</t>
  </si>
  <si>
    <t>Additional Information boxes MCA1 to MCA11 (Married Couple's Allowance)</t>
  </si>
  <si>
    <t>Additional Information boxes AIL1 to AIL19 (Other Information)</t>
  </si>
  <si>
    <t>Ministers of religion</t>
  </si>
  <si>
    <t>income-IFP</t>
  </si>
  <si>
    <t>FSE90</t>
  </si>
  <si>
    <t>FSE91</t>
  </si>
  <si>
    <t>FSE92</t>
  </si>
  <si>
    <t>FSE93</t>
  </si>
  <si>
    <t>FSE94</t>
  </si>
  <si>
    <t>FSE95</t>
  </si>
  <si>
    <t>FSE96</t>
  </si>
  <si>
    <t>FSE97</t>
  </si>
  <si>
    <t>FSE98</t>
  </si>
  <si>
    <t>FSE99</t>
  </si>
  <si>
    <t>FSE100</t>
  </si>
  <si>
    <t>c3.24</t>
  </si>
  <si>
    <t>Married couple's allowance</t>
  </si>
  <si>
    <t>plus</t>
  </si>
  <si>
    <t>Partnership 3</t>
  </si>
  <si>
    <t>Claim to reduce payments on account</t>
  </si>
  <si>
    <t>Taxpayer's date of birth</t>
  </si>
  <si>
    <t>Benefits (2)</t>
  </si>
  <si>
    <t>CBC3</t>
  </si>
  <si>
    <t>SPS31</t>
  </si>
  <si>
    <t>SPS32</t>
  </si>
  <si>
    <t>CGT36</t>
  </si>
  <si>
    <t>CGT37</t>
  </si>
  <si>
    <t>Relief claimed on a qualifying distribution</t>
  </si>
  <si>
    <t>Relief for Pension Contributions</t>
  </si>
  <si>
    <t>AHR_band</t>
  </si>
  <si>
    <t>PA_taper_limit</t>
  </si>
  <si>
    <t>Tapered PA limit</t>
  </si>
  <si>
    <t xml:space="preserve">Total Deductions </t>
  </si>
  <si>
    <t>and Allowances</t>
  </si>
  <si>
    <t>Gift of investments etc.</t>
  </si>
  <si>
    <t>MOR17</t>
  </si>
  <si>
    <t>MOR18</t>
  </si>
  <si>
    <t>MOR19</t>
  </si>
  <si>
    <t>MOR20</t>
  </si>
  <si>
    <t>MOR21</t>
  </si>
  <si>
    <t>MOR22</t>
  </si>
  <si>
    <t>MOR23</t>
  </si>
  <si>
    <t>MOR24</t>
  </si>
  <si>
    <t>MOR25</t>
  </si>
  <si>
    <t>MOR26</t>
  </si>
  <si>
    <t>MOR27</t>
  </si>
  <si>
    <t>MOR28</t>
  </si>
  <si>
    <t>Dividends from UK companies</t>
  </si>
  <si>
    <t>Calculate miscellaneous values</t>
  </si>
  <si>
    <t>WBA Claimed</t>
  </si>
  <si>
    <t>WBA Not Claimed</t>
  </si>
  <si>
    <t>Pen_AA_rate</t>
  </si>
  <si>
    <t>Pen_Upayts</t>
  </si>
  <si>
    <t>SSR_lower_rate</t>
  </si>
  <si>
    <t>Short service refund Lower Rate</t>
  </si>
  <si>
    <t>Number of Years</t>
  </si>
  <si>
    <t>Non-payable tax credits on dividends</t>
  </si>
  <si>
    <t>FPS23</t>
  </si>
  <si>
    <t>item 4 rate</t>
  </si>
  <si>
    <t>G22</t>
  </si>
  <si>
    <t>Q14</t>
  </si>
  <si>
    <t>Max tax</t>
  </si>
  <si>
    <t>MOR39</t>
  </si>
  <si>
    <t>Vicar</t>
  </si>
  <si>
    <t>Full partnership income (excluding class 4 NIC)</t>
  </si>
  <si>
    <t>Income from property</t>
  </si>
  <si>
    <t>Capital gains</t>
  </si>
  <si>
    <t>C8</t>
  </si>
  <si>
    <t>C9</t>
  </si>
  <si>
    <t>Child Benefit Higher Rate Threshold</t>
  </si>
  <si>
    <t>CBC_HR_threshold</t>
  </si>
  <si>
    <t>c28.1</t>
  </si>
  <si>
    <t>c28.2</t>
  </si>
  <si>
    <t>c28.3</t>
  </si>
  <si>
    <t>c28.4</t>
  </si>
  <si>
    <t>c28.5</t>
  </si>
  <si>
    <t>c28.6</t>
  </si>
  <si>
    <t>c28.7</t>
  </si>
  <si>
    <t>c28.8</t>
  </si>
  <si>
    <t>c28.9</t>
  </si>
  <si>
    <t>L93d</t>
  </si>
  <si>
    <t>Child-Benefit-tax-charge</t>
  </si>
  <si>
    <t>Total tax deducted under PAYE</t>
  </si>
  <si>
    <t>c11.28</t>
  </si>
  <si>
    <t>Outstanding debt in tax code</t>
  </si>
  <si>
    <t>c22.12</t>
  </si>
  <si>
    <t>spare-MCA-amount</t>
  </si>
  <si>
    <t>spare-MCA-relief</t>
  </si>
  <si>
    <t>notional-CEG</t>
  </si>
  <si>
    <t>c1.1.n</t>
  </si>
  <si>
    <t>Residence in other countries and Double Taxation Relief</t>
  </si>
  <si>
    <t>Relief under Double Taxation Agreement</t>
  </si>
  <si>
    <t>Relief under other provisions</t>
  </si>
  <si>
    <t>Additional information</t>
  </si>
  <si>
    <t xml:space="preserve">Additional information </t>
  </si>
  <si>
    <t>months not married</t>
  </si>
  <si>
    <t>NIC</t>
  </si>
  <si>
    <t>Unauthorised payments -surcharge</t>
  </si>
  <si>
    <t>c23.1</t>
  </si>
  <si>
    <t>Payments to an overseas scheme</t>
  </si>
  <si>
    <t>Last tax year</t>
  </si>
  <si>
    <t>last_year</t>
  </si>
  <si>
    <t>BPA claimed</t>
  </si>
  <si>
    <t>Income Tax due after allowances and reliefs</t>
  </si>
  <si>
    <t>L109</t>
  </si>
  <si>
    <t>Overpayments for earlier years</t>
  </si>
  <si>
    <t>end if</t>
  </si>
  <si>
    <t>ARM •</t>
  </si>
  <si>
    <t>BHR •</t>
  </si>
  <si>
    <t>ETH •</t>
  </si>
  <si>
    <t>LIE •</t>
  </si>
  <si>
    <t>Country or Territory</t>
  </si>
  <si>
    <t>DTA</t>
  </si>
  <si>
    <t>c22.7</t>
  </si>
  <si>
    <t>c91.1</t>
  </si>
  <si>
    <t>c91.2</t>
  </si>
  <si>
    <t>c91.3</t>
  </si>
  <si>
    <t>c91.4</t>
  </si>
  <si>
    <t>c91.5</t>
  </si>
  <si>
    <t>c27.34</t>
  </si>
  <si>
    <t>c27.35</t>
  </si>
  <si>
    <t>c27.36</t>
  </si>
  <si>
    <t>c27.37</t>
  </si>
  <si>
    <t>c27.38</t>
  </si>
  <si>
    <t>c27.39</t>
  </si>
  <si>
    <t>c27.40</t>
  </si>
  <si>
    <t>c27.41</t>
  </si>
  <si>
    <t>c27.42</t>
  </si>
  <si>
    <t>c27.43</t>
  </si>
  <si>
    <t>Blind person's surplus allowance</t>
  </si>
  <si>
    <t xml:space="preserve">Multiple gains on foreign life policies </t>
  </si>
  <si>
    <t>1A</t>
  </si>
  <si>
    <t>Gains</t>
  </si>
  <si>
    <t>item 7 type</t>
  </si>
  <si>
    <t>item 7 rate</t>
  </si>
  <si>
    <t>item 7 inc</t>
  </si>
  <si>
    <t>item 7 tax</t>
  </si>
  <si>
    <t>item 7 ftcr</t>
  </si>
  <si>
    <t>item 8 type</t>
  </si>
  <si>
    <t>item 8 rate</t>
  </si>
  <si>
    <t>item 8 inc</t>
  </si>
  <si>
    <t>item 8 tax</t>
  </si>
  <si>
    <t>item 8 ftcr</t>
  </si>
  <si>
    <t>item 9 type</t>
  </si>
  <si>
    <t>item 9 rate</t>
  </si>
  <si>
    <t>item 9 inc</t>
  </si>
  <si>
    <t>item 9 tax</t>
  </si>
  <si>
    <t>item 9 ftcr</t>
  </si>
  <si>
    <t>item 10 type</t>
  </si>
  <si>
    <t>item 10 rate</t>
  </si>
  <si>
    <t>item 10 inc</t>
  </si>
  <si>
    <t>item 10 tax</t>
  </si>
  <si>
    <t>item 10 ftcr</t>
  </si>
  <si>
    <t>G42</t>
  </si>
  <si>
    <t>SAU</t>
  </si>
  <si>
    <t>BMU</t>
  </si>
  <si>
    <t>from column B</t>
  </si>
  <si>
    <t xml:space="preserve"> UK pensions &amp; state benefits</t>
  </si>
  <si>
    <t>L21</t>
  </si>
  <si>
    <t>L22</t>
  </si>
  <si>
    <t>L23</t>
  </si>
  <si>
    <t>L24</t>
  </si>
  <si>
    <t>L25</t>
  </si>
  <si>
    <t>L26</t>
  </si>
  <si>
    <t>c14.6</t>
  </si>
  <si>
    <t xml:space="preserve">Net Student Loan Repayment Due Through Self Assessment </t>
  </si>
  <si>
    <t>Income Type</t>
  </si>
  <si>
    <t>Gift Aid Payments</t>
  </si>
  <si>
    <t>on life policies etc.</t>
  </si>
  <si>
    <t xml:space="preserve">Income tax due </t>
  </si>
  <si>
    <t>Repayment of student loans</t>
  </si>
  <si>
    <t>gift aid</t>
  </si>
  <si>
    <t>L97</t>
  </si>
  <si>
    <t>Total of column above</t>
  </si>
  <si>
    <t xml:space="preserve">Employment </t>
  </si>
  <si>
    <t>Ministers of Religion</t>
  </si>
  <si>
    <t>MOR38</t>
  </si>
  <si>
    <t>c3.26</t>
  </si>
  <si>
    <t>RBC &amp; Cap (C20a)</t>
  </si>
  <si>
    <t>c20a.1</t>
  </si>
  <si>
    <t>c20a.2</t>
  </si>
  <si>
    <t>c20a.3</t>
  </si>
  <si>
    <t>c20a.4</t>
  </si>
  <si>
    <t>c20a.5</t>
  </si>
  <si>
    <t>c20a.6</t>
  </si>
  <si>
    <t>c20a.8</t>
  </si>
  <si>
    <t>c20a.9</t>
  </si>
  <si>
    <t>c20a.10</t>
  </si>
  <si>
    <t>c20a.11</t>
  </si>
  <si>
    <t>c20a.12</t>
  </si>
  <si>
    <t>c20a.13</t>
  </si>
  <si>
    <t>c20a.14</t>
  </si>
  <si>
    <t>c20a.15</t>
  </si>
  <si>
    <t>c20a.16</t>
  </si>
  <si>
    <t>FPS49</t>
  </si>
  <si>
    <t>FPS50</t>
  </si>
  <si>
    <t>FPS51</t>
  </si>
  <si>
    <t>FPS52</t>
  </si>
  <si>
    <t>FPS53</t>
  </si>
  <si>
    <t>Venture Capital Trust shares</t>
  </si>
  <si>
    <t>of you, your wife</t>
  </si>
  <si>
    <t>L89</t>
  </si>
  <si>
    <t>L90</t>
  </si>
  <si>
    <t>L91</t>
  </si>
  <si>
    <t>HR_rate</t>
  </si>
  <si>
    <t>AA_limit</t>
  </si>
  <si>
    <t>FPS76</t>
  </si>
  <si>
    <t>FPS77</t>
  </si>
  <si>
    <t>FPS78</t>
  </si>
  <si>
    <t>FPS79</t>
  </si>
  <si>
    <t>Income received (before tax taken off)</t>
  </si>
  <si>
    <t>Community Investment Tax Relief rate</t>
  </si>
  <si>
    <t>Profit from UK land and property</t>
  </si>
  <si>
    <t>Additional liability from Trusts</t>
  </si>
  <si>
    <t>Land &amp; Property</t>
  </si>
  <si>
    <t>Total income received</t>
  </si>
  <si>
    <t>D33</t>
  </si>
  <si>
    <t>P12</t>
  </si>
  <si>
    <t>H37</t>
  </si>
  <si>
    <t>H33</t>
  </si>
  <si>
    <t>P21</t>
  </si>
  <si>
    <t>L117b</t>
  </si>
  <si>
    <t>@ 50% =</t>
  </si>
  <si>
    <t>c1.25</t>
  </si>
  <si>
    <t>c1.26</t>
  </si>
  <si>
    <t>c1.27</t>
  </si>
  <si>
    <t>c1.28</t>
  </si>
  <si>
    <t>c1.29</t>
  </si>
  <si>
    <t>c1.30</t>
  </si>
  <si>
    <t>c1.32</t>
  </si>
  <si>
    <t>c1.33</t>
  </si>
  <si>
    <t>c1.1</t>
  </si>
  <si>
    <t>c1.2</t>
  </si>
  <si>
    <t>c1.4</t>
  </si>
  <si>
    <t>c2.2</t>
  </si>
  <si>
    <t>c2.3</t>
  </si>
  <si>
    <t>SA108</t>
  </si>
  <si>
    <t>SA109</t>
  </si>
  <si>
    <t>SA103L</t>
  </si>
  <si>
    <t>SA102M</t>
  </si>
  <si>
    <t>SA104S</t>
  </si>
  <si>
    <t>SA104F</t>
  </si>
  <si>
    <t>New test cases can be quickly added to the existing business test cases.</t>
  </si>
  <si>
    <t>Calculate Adjustments needed to main calculation</t>
  </si>
  <si>
    <t>Gains on life policies etc.</t>
  </si>
  <si>
    <t>c17.47</t>
  </si>
  <si>
    <t>c17.48</t>
  </si>
  <si>
    <t>Unused HR band</t>
  </si>
  <si>
    <t xml:space="preserve">Other income in HR </t>
  </si>
  <si>
    <t>bands</t>
  </si>
  <si>
    <t>Profit from self-employment</t>
  </si>
  <si>
    <t>Notional tax on Stock dividends</t>
  </si>
  <si>
    <t>c1.14</t>
  </si>
  <si>
    <t>c1.15</t>
  </si>
  <si>
    <t>c1.16</t>
  </si>
  <si>
    <t>c1.17</t>
  </si>
  <si>
    <t>Subcontractor tax paid</t>
  </si>
  <si>
    <t>FOR_INT_A_2</t>
  </si>
  <si>
    <t>FOR_INT_B_2</t>
  </si>
  <si>
    <t>FOR_INT_C_2</t>
  </si>
  <si>
    <t>FOR3_INT_D_2</t>
  </si>
  <si>
    <t>FOR_INT_E_2</t>
  </si>
  <si>
    <t>FOR4_INT_F_2</t>
  </si>
  <si>
    <t>FOR_OVE_A_1</t>
  </si>
  <si>
    <t>FOR_OVE_B_1</t>
  </si>
  <si>
    <t>FOR_OVE_C_1</t>
  </si>
  <si>
    <t>FOR8_OVE_D_1</t>
  </si>
  <si>
    <t>FOR_OVE_E_1</t>
  </si>
  <si>
    <t>FOR9_OVE_F_1</t>
  </si>
  <si>
    <t>Residence Status</t>
  </si>
  <si>
    <t>Personal allowances</t>
  </si>
  <si>
    <t>Non-savings income</t>
  </si>
  <si>
    <t>Short service refund charge</t>
  </si>
  <si>
    <t>Total pension charges</t>
  </si>
  <si>
    <t>Calculate Student Loans Repayments</t>
  </si>
  <si>
    <t>Unearned Income for Student Loan Purposes</t>
  </si>
  <si>
    <t>Total unearned income</t>
  </si>
  <si>
    <t>Single foreign gain</t>
  </si>
  <si>
    <t>Total Tax paid at source</t>
  </si>
  <si>
    <t>Income Tax Due</t>
  </si>
  <si>
    <t>Partnership 4</t>
  </si>
  <si>
    <t>builder</t>
  </si>
  <si>
    <t>FSE39</t>
  </si>
  <si>
    <t>FSE40</t>
  </si>
  <si>
    <t>FSE41</t>
  </si>
  <si>
    <t>FSE42</t>
  </si>
  <si>
    <t>FSE43</t>
  </si>
  <si>
    <t>FSE44</t>
  </si>
  <si>
    <t>FSE45</t>
  </si>
  <si>
    <t>FSE46</t>
  </si>
  <si>
    <t>FSE47</t>
  </si>
  <si>
    <t>FSE48</t>
  </si>
  <si>
    <t>FSE49</t>
  </si>
  <si>
    <t>FSE50</t>
  </si>
  <si>
    <t>FSE51</t>
  </si>
  <si>
    <t>FSE52</t>
  </si>
  <si>
    <t>FSE53</t>
  </si>
  <si>
    <t>FSE54</t>
  </si>
  <si>
    <t>FSE55</t>
  </si>
  <si>
    <t>FSE56</t>
  </si>
  <si>
    <t>FSE57</t>
  </si>
  <si>
    <t>FSE58</t>
  </si>
  <si>
    <t>Total-CGT-tax</t>
  </si>
  <si>
    <t>Notional tax from gains on life policies etc.</t>
  </si>
  <si>
    <t>c27.8 + c27.9</t>
  </si>
  <si>
    <t>pdown</t>
  </si>
  <si>
    <t>CGT4</t>
  </si>
  <si>
    <t>CGT5</t>
  </si>
  <si>
    <t>CGT6</t>
  </si>
  <si>
    <t>CGT7</t>
  </si>
  <si>
    <t>CGT8</t>
  </si>
  <si>
    <t>income-Shares</t>
  </si>
  <si>
    <t>FSE60</t>
  </si>
  <si>
    <t>FSE61</t>
  </si>
  <si>
    <t>FSE62</t>
  </si>
  <si>
    <t>L57</t>
  </si>
  <si>
    <t>L58</t>
  </si>
  <si>
    <t>L59</t>
  </si>
  <si>
    <t>L60</t>
  </si>
  <si>
    <t>L61</t>
  </si>
  <si>
    <t>L63</t>
  </si>
  <si>
    <t>726/732</t>
  </si>
  <si>
    <t>On Lloyd's dividends</t>
  </si>
  <si>
    <t xml:space="preserve">Partnership </t>
  </si>
  <si>
    <t>not present</t>
  </si>
  <si>
    <t>Selector</t>
  </si>
  <si>
    <t>DoB</t>
  </si>
  <si>
    <t>BPA_claimed</t>
  </si>
  <si>
    <t>UK land and property</t>
  </si>
  <si>
    <t>Overseas income</t>
  </si>
  <si>
    <t xml:space="preserve">plus </t>
  </si>
  <si>
    <t>Liability from off-shore trusts</t>
  </si>
  <si>
    <t>Tax already refunded in the year</t>
  </si>
  <si>
    <t>2) claimed by husband / higher income partner</t>
  </si>
  <si>
    <t xml:space="preserve">3) claimed by wife / lower income partner </t>
  </si>
  <si>
    <t>Date of birth of spouse / civil partner, if older</t>
  </si>
  <si>
    <t>1) Before 6/4/1935</t>
  </si>
  <si>
    <t>2) After 5/4/1935 or not present</t>
  </si>
  <si>
    <t>Amount allocated to lower earning spouse/partner</t>
  </si>
  <si>
    <t>1) None to spouse/partner</t>
  </si>
  <si>
    <t xml:space="preserve">2) 50% to spouse/partner </t>
  </si>
  <si>
    <t xml:space="preserve">3) All to spouse/partner </t>
  </si>
  <si>
    <t>F9</t>
  </si>
  <si>
    <t>F13</t>
  </si>
  <si>
    <t>F17</t>
  </si>
  <si>
    <t>Savings and interest</t>
  </si>
  <si>
    <t>Pensions &amp; social benefits</t>
  </si>
  <si>
    <t xml:space="preserve">Each component relates to a question or part question on the Main Tax Return. </t>
  </si>
  <si>
    <t>c11.7</t>
  </si>
  <si>
    <t>13A</t>
  </si>
  <si>
    <t>13B</t>
  </si>
  <si>
    <t>13C</t>
  </si>
  <si>
    <t>13D</t>
  </si>
  <si>
    <t>13E</t>
  </si>
  <si>
    <t>13F</t>
  </si>
  <si>
    <t>ded-loss-restricted</t>
  </si>
  <si>
    <t>Tax due on annuity and royalty payments</t>
  </si>
  <si>
    <t xml:space="preserve">Charges before tax </t>
  </si>
  <si>
    <t>c25.49</t>
  </si>
  <si>
    <t>c25.50</t>
  </si>
  <si>
    <t>Tax treated as paid</t>
  </si>
  <si>
    <t>CGT16</t>
  </si>
  <si>
    <t>CGT17</t>
  </si>
  <si>
    <t>CGT18</t>
  </si>
  <si>
    <t>Foreign tax on estates (tax credit relief not claimed)</t>
  </si>
  <si>
    <t>Payments into a retirement annuity contract etc.</t>
  </si>
  <si>
    <t>DNK</t>
  </si>
  <si>
    <t>TRU12</t>
  </si>
  <si>
    <t xml:space="preserve"> Profit from self employment</t>
  </si>
  <si>
    <t xml:space="preserve"> comprehensive.]</t>
  </si>
  <si>
    <t xml:space="preserve">The components can be viewed at any time using the ‘Show/Hide Components’ button on the ‘Test’ </t>
  </si>
  <si>
    <t>and ‘More test’ worksheets.</t>
  </si>
  <si>
    <t>UK tax taken off - Foreign dividends</t>
  </si>
  <si>
    <t>Full self-employment  (excluding class 4 NIC)</t>
  </si>
  <si>
    <t>Total tax taken off</t>
  </si>
  <si>
    <t>Total taxable profits</t>
  </si>
  <si>
    <t xml:space="preserve">Details of these can be found on the ‘Test Case index’ worksheet. </t>
  </si>
  <si>
    <t>Gift-aid-tax-due</t>
  </si>
  <si>
    <t>income-Trust</t>
  </si>
  <si>
    <t>CGT</t>
  </si>
  <si>
    <t>Pensions and benefit payments</t>
  </si>
  <si>
    <t>Expenses payments received</t>
  </si>
  <si>
    <t>c4.5</t>
  </si>
  <si>
    <t>Line</t>
  </si>
  <si>
    <t>Data name</t>
  </si>
  <si>
    <t>Pay-E</t>
  </si>
  <si>
    <t>Gift of investments and property to charity</t>
  </si>
  <si>
    <t>Other income</t>
  </si>
  <si>
    <t>Add together non-savings income etc. with notional tax</t>
  </si>
  <si>
    <t>Add together non-savings income etc. and lump sum payments</t>
  </si>
  <si>
    <t>Total Allowances</t>
  </si>
  <si>
    <t>c1.35</t>
  </si>
  <si>
    <t>Residence, Remittance Basis etc.</t>
  </si>
  <si>
    <t>Remittance basis</t>
  </si>
  <si>
    <t>H8</t>
  </si>
  <si>
    <t>H16</t>
  </si>
  <si>
    <t>Student Loan Repayment Due</t>
  </si>
  <si>
    <t>c1.37</t>
  </si>
  <si>
    <t>The business specified test cases</t>
  </si>
  <si>
    <t>ARG</t>
  </si>
  <si>
    <t>FRA</t>
  </si>
  <si>
    <t>Total income for Student Loan purposes</t>
  </si>
  <si>
    <t>A24</t>
  </si>
  <si>
    <t>A34</t>
  </si>
  <si>
    <t>c18.25</t>
  </si>
  <si>
    <t>c18.26</t>
  </si>
  <si>
    <t>c18.27</t>
  </si>
  <si>
    <t>c18.28</t>
  </si>
  <si>
    <t>Tax reliefs boxes REL1 to REL4 (Pension contributions)</t>
  </si>
  <si>
    <t>11</t>
  </si>
  <si>
    <t>53</t>
  </si>
  <si>
    <t>95</t>
  </si>
  <si>
    <t>12</t>
  </si>
  <si>
    <t>54</t>
  </si>
  <si>
    <t>96</t>
  </si>
  <si>
    <t>13</t>
  </si>
  <si>
    <t>55</t>
  </si>
  <si>
    <t>97</t>
  </si>
  <si>
    <t>FPS61</t>
  </si>
  <si>
    <t>FPS62</t>
  </si>
  <si>
    <t>FPS63</t>
  </si>
  <si>
    <t>FPS64</t>
  </si>
  <si>
    <t>FPS65</t>
  </si>
  <si>
    <t>FPS66</t>
  </si>
  <si>
    <t>Calculate Capital Gains Tax Due</t>
  </si>
  <si>
    <t>FSE19</t>
  </si>
  <si>
    <t>FSE20</t>
  </si>
  <si>
    <t>FSE21</t>
  </si>
  <si>
    <t>FSE22</t>
  </si>
  <si>
    <t>FSE23</t>
  </si>
  <si>
    <t>FSE24</t>
  </si>
  <si>
    <t>FSE25</t>
  </si>
  <si>
    <t>FSE26</t>
  </si>
  <si>
    <t>FSE27</t>
  </si>
  <si>
    <t>FSE28</t>
  </si>
  <si>
    <t>FSE29</t>
  </si>
  <si>
    <t>FSE30</t>
  </si>
  <si>
    <t>FSE31</t>
  </si>
  <si>
    <t>FSE32</t>
  </si>
  <si>
    <t>FSE33</t>
  </si>
  <si>
    <t>NRD24</t>
  </si>
  <si>
    <t>NRD25</t>
  </si>
  <si>
    <t>NRD26</t>
  </si>
  <si>
    <t>Total tax, Student Loan repayment &amp; class 4 NIC due</t>
  </si>
  <si>
    <t>Total tax, Student Loan repayment &amp; class 4 NIC overpaid</t>
  </si>
  <si>
    <t>Class 4 NICs due</t>
  </si>
  <si>
    <t>Student Loan repayment due</t>
  </si>
  <si>
    <t>Pension charges due</t>
  </si>
  <si>
    <t>tax-paid-Overseas</t>
  </si>
  <si>
    <t>gift-extender</t>
  </si>
  <si>
    <t>L104</t>
  </si>
  <si>
    <t>tax-paid-Case3</t>
  </si>
  <si>
    <t>extended-BR</t>
  </si>
  <si>
    <t>L106</t>
  </si>
  <si>
    <t>tax-paid-CEG</t>
  </si>
  <si>
    <t>c5.19</t>
  </si>
  <si>
    <t>SLR</t>
  </si>
  <si>
    <t>Student Loan Repayments</t>
  </si>
  <si>
    <t>INC</t>
  </si>
  <si>
    <t>UK interest &amp; dividends</t>
  </si>
  <si>
    <t>UK pensions received</t>
  </si>
  <si>
    <t>Other UK income</t>
  </si>
  <si>
    <t>REL</t>
  </si>
  <si>
    <t>Tax Reliefs</t>
  </si>
  <si>
    <t xml:space="preserve"> or from additional information </t>
  </si>
  <si>
    <t>c27.1</t>
  </si>
  <si>
    <t>c27.2</t>
  </si>
  <si>
    <t>c27.3</t>
  </si>
  <si>
    <t>c25.14</t>
  </si>
  <si>
    <t>c25.15</t>
  </si>
  <si>
    <t>c25.16</t>
  </si>
  <si>
    <t>c25.17</t>
  </si>
  <si>
    <t>c11.18</t>
  </si>
  <si>
    <t>50</t>
  </si>
  <si>
    <t>92</t>
  </si>
  <si>
    <t>9</t>
  </si>
  <si>
    <t>51</t>
  </si>
  <si>
    <t>93</t>
  </si>
  <si>
    <t>10</t>
  </si>
  <si>
    <t>52</t>
  </si>
  <si>
    <t>c18.29</t>
  </si>
  <si>
    <t>c18.30</t>
  </si>
  <si>
    <t>c18.31</t>
  </si>
  <si>
    <t>Taxable income</t>
  </si>
  <si>
    <t>c18.32</t>
  </si>
  <si>
    <t>c18.33</t>
  </si>
  <si>
    <t>c18.34</t>
  </si>
  <si>
    <t>Annualised Gain</t>
  </si>
  <si>
    <t>Basic Rate Band available to CG</t>
  </si>
  <si>
    <t>Select the components from the Core Tax Return and Additional Information pages to test</t>
  </si>
  <si>
    <t>Select the components from the additional pages to test</t>
  </si>
  <si>
    <t>Capital Gains Tax</t>
  </si>
  <si>
    <t>c1.3</t>
  </si>
  <si>
    <t>c1.9</t>
  </si>
  <si>
    <t>c1.18</t>
  </si>
  <si>
    <t>ppr</t>
  </si>
  <si>
    <t>c12.7</t>
  </si>
  <si>
    <t>Add pages</t>
  </si>
  <si>
    <t>INC19</t>
  </si>
  <si>
    <t>INC18</t>
  </si>
  <si>
    <t>INC17</t>
  </si>
  <si>
    <t>D. Special Withholding Tax</t>
  </si>
  <si>
    <t>Total profits for Class 4 NIC</t>
  </si>
  <si>
    <t>Class 4 NIC due</t>
  </si>
  <si>
    <t>Calculate Class 4 NIC due</t>
  </si>
  <si>
    <t>Pension Payments with basic rate tax relief at source</t>
  </si>
  <si>
    <t>c20a.7</t>
  </si>
  <si>
    <t>tax-already-refunded</t>
  </si>
  <si>
    <t>tax-charged</t>
  </si>
  <si>
    <t>L124</t>
  </si>
  <si>
    <t>unpaid-tax-bf</t>
  </si>
  <si>
    <t>item 1</t>
  </si>
  <si>
    <t>item 2</t>
  </si>
  <si>
    <t>item 3</t>
  </si>
  <si>
    <t>total</t>
  </si>
  <si>
    <t>Recoverable tax on charges</t>
  </si>
  <si>
    <t>C2</t>
  </si>
  <si>
    <t>C3</t>
  </si>
  <si>
    <t>C6</t>
  </si>
  <si>
    <t>C7</t>
  </si>
  <si>
    <t>Ministers</t>
  </si>
  <si>
    <t>of Religion</t>
  </si>
  <si>
    <t>CGT adjustments</t>
  </si>
  <si>
    <t>Additional Information:</t>
  </si>
  <si>
    <t>CGT2</t>
  </si>
  <si>
    <t>CGT3</t>
  </si>
  <si>
    <t>c25.10</t>
  </si>
  <si>
    <t>c25.11</t>
  </si>
  <si>
    <t>c25.12</t>
  </si>
  <si>
    <t>c25.13</t>
  </si>
  <si>
    <t>c8.7</t>
  </si>
  <si>
    <t>c8.8</t>
  </si>
  <si>
    <t>c8.9</t>
  </si>
  <si>
    <t>c8.10</t>
  </si>
  <si>
    <t>c9.1</t>
  </si>
  <si>
    <t>c9.2</t>
  </si>
  <si>
    <t>c9.3</t>
  </si>
  <si>
    <t>c9.4</t>
  </si>
  <si>
    <t>c9.5</t>
  </si>
  <si>
    <t>c9.6</t>
  </si>
  <si>
    <t>c9.7</t>
  </si>
  <si>
    <t>c9.8</t>
  </si>
  <si>
    <t>c9.9</t>
  </si>
  <si>
    <t>c9.10</t>
  </si>
  <si>
    <t>c9.11</t>
  </si>
  <si>
    <t>c9.12</t>
  </si>
  <si>
    <t>c9.13</t>
  </si>
  <si>
    <t>c9.14</t>
  </si>
  <si>
    <t>c9.15</t>
  </si>
  <si>
    <t>c9.16</t>
  </si>
  <si>
    <t>c9.17</t>
  </si>
  <si>
    <t>c9.18</t>
  </si>
  <si>
    <t>c9.19</t>
  </si>
  <si>
    <t>c12.8</t>
  </si>
  <si>
    <t>c13.1</t>
  </si>
  <si>
    <t>c13.2</t>
  </si>
  <si>
    <t>c13.3</t>
  </si>
  <si>
    <t>c13.4</t>
  </si>
  <si>
    <t>c13.5</t>
  </si>
  <si>
    <t>c13.6</t>
  </si>
  <si>
    <t>c13.7</t>
  </si>
  <si>
    <t>c13.8</t>
  </si>
  <si>
    <t>c13.9</t>
  </si>
  <si>
    <t>c13.10</t>
  </si>
  <si>
    <t>c13.11</t>
  </si>
  <si>
    <t>c14.1</t>
  </si>
  <si>
    <t>c14.2</t>
  </si>
  <si>
    <t>NIC_rate</t>
  </si>
  <si>
    <t>Set total tax &amp; NIC, student loan repayment amount, CGT and pension charges to customer calculated values</t>
  </si>
  <si>
    <t>c99.7</t>
  </si>
  <si>
    <t>else (customer overpaid)</t>
  </si>
  <si>
    <t xml:space="preserve">end if </t>
  </si>
  <si>
    <t>c99.8</t>
  </si>
  <si>
    <t>from CAL3</t>
  </si>
  <si>
    <t>c99.9</t>
  </si>
  <si>
    <t>from CAL4</t>
  </si>
  <si>
    <t>c99.10</t>
  </si>
  <si>
    <t>from CAL5</t>
  </si>
  <si>
    <t>c99.11</t>
  </si>
  <si>
    <t>from CAL6</t>
  </si>
  <si>
    <t>Compare customer calculated values with comparative revenue values</t>
  </si>
  <si>
    <t>Customer calculated boxes</t>
  </si>
  <si>
    <t>c99.12</t>
  </si>
  <si>
    <t>Comparable revenue values</t>
  </si>
  <si>
    <t>c99.13</t>
  </si>
  <si>
    <t>Calculate absolute difference</t>
  </si>
  <si>
    <t>Compare customer calculated values for IT due minus tax paid with comparative revenue values</t>
  </si>
  <si>
    <t>Calculate absolute difference - always use positive amount</t>
  </si>
  <si>
    <t>c99.15</t>
  </si>
  <si>
    <t>c99.16</t>
  </si>
  <si>
    <t>c99.17</t>
  </si>
  <si>
    <t xml:space="preserve">end if  </t>
  </si>
  <si>
    <t>Reduce Income tax  first</t>
  </si>
  <si>
    <t>c99.18</t>
  </si>
  <si>
    <t>work out amount of any further adjustment</t>
  </si>
  <si>
    <t>Pension-charges-gross</t>
  </si>
  <si>
    <t>Pension-charges-tax-paid</t>
  </si>
  <si>
    <t>Blind Person's surplus allowance from spouse</t>
  </si>
  <si>
    <t>Seed Enterprise Investment Scheme relief</t>
  </si>
  <si>
    <t>Community Investment Tax Relief</t>
  </si>
  <si>
    <t>Married Couple's Allowance</t>
  </si>
  <si>
    <t>Surplus Married Couple's Allowance from spouse</t>
  </si>
  <si>
    <t>High Income Child Benefit Charge</t>
  </si>
  <si>
    <t>State Pension lump sum payment</t>
  </si>
  <si>
    <t>Taxable capital gains</t>
  </si>
  <si>
    <t>taxable-pay-AHR</t>
  </si>
  <si>
    <t>tax-on-pay-AHR</t>
  </si>
  <si>
    <t>UK dividends</t>
  </si>
  <si>
    <t>c5.27</t>
  </si>
  <si>
    <t>c5.28</t>
  </si>
  <si>
    <t>c5.29</t>
  </si>
  <si>
    <t>c9.34</t>
  </si>
  <si>
    <t>L11A</t>
  </si>
  <si>
    <t>Foreign-dividends</t>
  </si>
  <si>
    <t>Dividends from foreign companies</t>
  </si>
  <si>
    <t>UK</t>
  </si>
  <si>
    <t>Amount of income</t>
  </si>
  <si>
    <t>Foreign tax paid</t>
  </si>
  <si>
    <t>Total deductions</t>
  </si>
  <si>
    <t>ER_CGT_rate</t>
  </si>
  <si>
    <t>c14.4</t>
  </si>
  <si>
    <t>c14.5</t>
  </si>
  <si>
    <t>Income Tax overpaid</t>
  </si>
  <si>
    <t>L112</t>
  </si>
  <si>
    <t>L113</t>
  </si>
  <si>
    <t>Income chargeable on settlors</t>
  </si>
  <si>
    <t>CGT19</t>
  </si>
  <si>
    <t>CGT20</t>
  </si>
  <si>
    <t>component. The 'test case' sheet is generated from components and will not show the amended figures.</t>
  </si>
  <si>
    <t>L48A</t>
  </si>
  <si>
    <t>taxable-int-AHR</t>
  </si>
  <si>
    <t xml:space="preserve">The Test Case Generator (Tester) supports the testing of the tax calculation, resulting from the successful capture of </t>
  </si>
  <si>
    <t>L60A</t>
  </si>
  <si>
    <t>Child benefit</t>
  </si>
  <si>
    <t>CBC</t>
  </si>
  <si>
    <t>G46</t>
  </si>
  <si>
    <t>More Select</t>
  </si>
  <si>
    <t>Nic X</t>
  </si>
  <si>
    <t>A21</t>
  </si>
  <si>
    <t>A23</t>
  </si>
  <si>
    <t>caterer</t>
  </si>
  <si>
    <t>baker</t>
  </si>
  <si>
    <t>CAN</t>
  </si>
  <si>
    <t>NAM</t>
  </si>
  <si>
    <t>NS income (c1)</t>
  </si>
  <si>
    <t>Savings (c2)</t>
  </si>
  <si>
    <t>Divs (c3)</t>
  </si>
  <si>
    <t>Deductions (c4)</t>
  </si>
  <si>
    <t>Taxable (c5)</t>
  </si>
  <si>
    <t>TRU7</t>
  </si>
  <si>
    <t>TRU8</t>
  </si>
  <si>
    <t>TRU9</t>
  </si>
  <si>
    <t>TRU10</t>
  </si>
  <si>
    <t>TRU11</t>
  </si>
  <si>
    <t>REL15</t>
  </si>
  <si>
    <t>REL16</t>
  </si>
  <si>
    <t>c28.10</t>
  </si>
  <si>
    <t>c28.11</t>
  </si>
  <si>
    <t>c28.12</t>
  </si>
  <si>
    <t>c28.13</t>
  </si>
  <si>
    <t>c28.14</t>
  </si>
  <si>
    <t>Child Benefit income limit</t>
  </si>
  <si>
    <t>Adjusted Net Income in excess of Child Benefit income limit</t>
  </si>
  <si>
    <t xml:space="preserve">Child Benefit Taper </t>
  </si>
  <si>
    <t>CBC_taper</t>
  </si>
  <si>
    <t>c4.1</t>
  </si>
  <si>
    <t>c5.7</t>
  </si>
  <si>
    <t>c5.21</t>
  </si>
  <si>
    <t>c5.22</t>
  </si>
  <si>
    <t>c5.23</t>
  </si>
  <si>
    <t>c6.4</t>
  </si>
  <si>
    <t>c6.8</t>
  </si>
  <si>
    <t>c27.11</t>
  </si>
  <si>
    <t>c27.12</t>
  </si>
  <si>
    <t>c27.13</t>
  </si>
  <si>
    <t>c27.14</t>
  </si>
  <si>
    <t>c27.15</t>
  </si>
  <si>
    <t>1. Select the required components on the 'Selector' and 'More Select' sheets</t>
  </si>
  <si>
    <t>2. Select any required ‘case variable data’ (e.g. date of birth - see note a).</t>
  </si>
  <si>
    <t>c12.2</t>
  </si>
  <si>
    <t>Gift aid</t>
  </si>
  <si>
    <t>gift_aid</t>
  </si>
  <si>
    <t>Ldiv_rate</t>
  </si>
  <si>
    <t>Lower Dividend rate</t>
  </si>
  <si>
    <t>A_rate</t>
  </si>
  <si>
    <t>Starting rate</t>
  </si>
  <si>
    <t xml:space="preserve">tv extra </t>
  </si>
  <si>
    <t>Lump sums etc.</t>
  </si>
  <si>
    <t>Dividends etc.</t>
  </si>
  <si>
    <t>Basic Rate Band</t>
  </si>
  <si>
    <t>Annuities</t>
  </si>
  <si>
    <t>Resident Non-domicile Higher charge</t>
  </si>
  <si>
    <t>c9.37</t>
  </si>
  <si>
    <t>c9.38</t>
  </si>
  <si>
    <t>SEED Enterprise Investment Scheme</t>
  </si>
  <si>
    <t>Total non-savings Income</t>
  </si>
  <si>
    <t>Age Allowance Income limit</t>
  </si>
  <si>
    <t>Age Allowance Income limit excess</t>
  </si>
  <si>
    <t>AA_excess</t>
  </si>
  <si>
    <t>Dates</t>
  </si>
  <si>
    <t xml:space="preserve">The Tester can auto-populate the input sheets from a number of pre-fabricated test components (see below). </t>
  </si>
  <si>
    <t xml:space="preserve">These components can be selected on the 'Selector' and 'More Select' sheets, and the 'Test this case' button will </t>
  </si>
  <si>
    <t>generate outputs (see below) based on the selection.</t>
  </si>
  <si>
    <t>The 'Clear selection' button will remove all data from the 'Selector' and 'More Select' sheets, and resets</t>
  </si>
  <si>
    <t>input sheets and calculation.</t>
  </si>
  <si>
    <t>3. As a database of business specified test cases (see below). These are pre-defined full test cases.</t>
  </si>
  <si>
    <t>PRO13</t>
  </si>
  <si>
    <t>PRO14</t>
  </si>
  <si>
    <t>tax it (c6)</t>
  </si>
  <si>
    <t>CDR (c7)</t>
  </si>
  <si>
    <t>tax it (c8)</t>
  </si>
  <si>
    <t>Tax adj (c9)</t>
  </si>
  <si>
    <t>Div Cr (c10)</t>
  </si>
  <si>
    <t>tax paid (c11)</t>
  </si>
  <si>
    <t>Tax due (c12)</t>
  </si>
  <si>
    <t>POAs (c13)</t>
  </si>
  <si>
    <t>c4.6</t>
  </si>
  <si>
    <t>c4.7</t>
  </si>
  <si>
    <t>c4.8</t>
  </si>
  <si>
    <t>c4.9</t>
  </si>
  <si>
    <t>42</t>
  </si>
  <si>
    <t>84</t>
  </si>
  <si>
    <t>NRCAL</t>
  </si>
  <si>
    <t>Grossing up factors</t>
  </si>
  <si>
    <t>Julie</t>
  </si>
  <si>
    <t>Jean</t>
  </si>
  <si>
    <t>Steve</t>
  </si>
  <si>
    <t>Jenny</t>
  </si>
  <si>
    <t>Liz</t>
  </si>
  <si>
    <t>MCA2</t>
  </si>
  <si>
    <t>MCA3</t>
  </si>
  <si>
    <t>MCA4</t>
  </si>
  <si>
    <t>MCA5</t>
  </si>
  <si>
    <t>MCA6</t>
  </si>
  <si>
    <t>MCA7</t>
  </si>
  <si>
    <t>MCA8</t>
  </si>
  <si>
    <t>Fred</t>
  </si>
  <si>
    <t>MCA9</t>
  </si>
  <si>
    <t>MCA10</t>
  </si>
  <si>
    <t>MCA11</t>
  </si>
  <si>
    <t>AIL1</t>
  </si>
  <si>
    <t>AIL2</t>
  </si>
  <si>
    <t>AIL3</t>
  </si>
  <si>
    <t>AIL4</t>
  </si>
  <si>
    <t>AIL5</t>
  </si>
  <si>
    <t>AIL6</t>
  </si>
  <si>
    <t>AIL7</t>
  </si>
  <si>
    <t>Maintenance and alimony paid</t>
  </si>
  <si>
    <t>c3.25</t>
  </si>
  <si>
    <t>EMP15</t>
  </si>
  <si>
    <t>EMP16</t>
  </si>
  <si>
    <t>EMP17</t>
  </si>
  <si>
    <t>Class 4 NIC adjustments</t>
  </si>
  <si>
    <t>Tax already refunded</t>
  </si>
  <si>
    <t>Additional Pages:</t>
  </si>
  <si>
    <t>Gains on life</t>
  </si>
  <si>
    <t>policies etc.</t>
  </si>
  <si>
    <t>Tax due included in later PAYE code</t>
  </si>
  <si>
    <t>Underpayments for earlier years</t>
  </si>
  <si>
    <t>Personal Allowance</t>
  </si>
  <si>
    <t>Outputs from the Tester</t>
  </si>
  <si>
    <t>income</t>
  </si>
  <si>
    <t>c25.22</t>
  </si>
  <si>
    <t>c25.23</t>
  </si>
  <si>
    <t>c25.24</t>
  </si>
  <si>
    <t>c25.25</t>
  </si>
  <si>
    <t>c25.26</t>
  </si>
  <si>
    <t>c25.27</t>
  </si>
  <si>
    <t>c25.28</t>
  </si>
  <si>
    <t>Pension savings charge</t>
  </si>
  <si>
    <t>UK Pensions</t>
  </si>
  <si>
    <t>Chargeable Event Gains etc.</t>
  </si>
  <si>
    <t xml:space="preserve">Other Income </t>
  </si>
  <si>
    <t>c6.15</t>
  </si>
  <si>
    <t xml:space="preserve">‘Payments you have made towards </t>
  </si>
  <si>
    <t>EMP14</t>
  </si>
  <si>
    <t>Employment (2)</t>
  </si>
  <si>
    <t>Cars and vans</t>
  </si>
  <si>
    <t>window cleaner</t>
  </si>
  <si>
    <t>hair dresser</t>
  </si>
  <si>
    <t>Not Used</t>
  </si>
  <si>
    <t>FPS80</t>
  </si>
  <si>
    <t>marked ‘Select test case number to be replayed’ on the 'Test Case index' sheet.</t>
  </si>
  <si>
    <t>L97A</t>
  </si>
  <si>
    <t>Nic Ex</t>
  </si>
  <si>
    <t>LUN1</t>
  </si>
  <si>
    <t>Calculate Swiss tax credit (to match tax liability on income)</t>
  </si>
  <si>
    <t>Swiss dividends with UK credit</t>
  </si>
  <si>
    <t>Dividends in additional rate band</t>
  </si>
  <si>
    <t>remaining Swiss dividends</t>
  </si>
  <si>
    <t>sw1</t>
  </si>
  <si>
    <t>Dividends in higher rate band</t>
  </si>
  <si>
    <t>sw2</t>
  </si>
  <si>
    <t>sw3</t>
  </si>
  <si>
    <t>sw4</t>
  </si>
  <si>
    <t>Tax credit on Swiss dividends that qualify for 10% UK tax credits</t>
  </si>
  <si>
    <t>sw5</t>
  </si>
  <si>
    <t>Short self-employment  (excluding class 4 NIC)</t>
  </si>
  <si>
    <t>c27.16</t>
  </si>
  <si>
    <t>c27.17</t>
  </si>
  <si>
    <t>c27.18</t>
  </si>
  <si>
    <t>c27.19</t>
  </si>
  <si>
    <t>c27.20</t>
  </si>
  <si>
    <t>c27.21</t>
  </si>
  <si>
    <t>c27.22</t>
  </si>
  <si>
    <t>c27.23</t>
  </si>
  <si>
    <t>c27.24</t>
  </si>
  <si>
    <t>LUN19</t>
  </si>
  <si>
    <t>LUN20</t>
  </si>
  <si>
    <t>LUN21</t>
  </si>
  <si>
    <t>LUN22</t>
  </si>
  <si>
    <t>LUN23</t>
  </si>
  <si>
    <t>LUN24</t>
  </si>
  <si>
    <t>LUN25</t>
  </si>
  <si>
    <t>LUN26</t>
  </si>
  <si>
    <t>LUN27</t>
  </si>
  <si>
    <t>LUN28</t>
  </si>
  <si>
    <t>LUN29</t>
  </si>
  <si>
    <t>LUN30</t>
  </si>
  <si>
    <t>LUN31</t>
  </si>
  <si>
    <t>LUN32</t>
  </si>
  <si>
    <t>LUN33</t>
  </si>
  <si>
    <t>Married - all year</t>
  </si>
  <si>
    <t>AIL18</t>
  </si>
  <si>
    <t>AIL19</t>
  </si>
  <si>
    <t>(not dividends)</t>
  </si>
  <si>
    <t>L86</t>
  </si>
  <si>
    <t>L87</t>
  </si>
  <si>
    <t>L88</t>
  </si>
  <si>
    <t>c25.29</t>
  </si>
  <si>
    <t>c25.30</t>
  </si>
  <si>
    <t>c25.31</t>
  </si>
  <si>
    <t>c25.32</t>
  </si>
  <si>
    <t>LUN44</t>
  </si>
  <si>
    <t>LUN45</t>
  </si>
  <si>
    <t>LUN46</t>
  </si>
  <si>
    <t>LUN47</t>
  </si>
  <si>
    <t>LUN48</t>
  </si>
  <si>
    <t>LUN49</t>
  </si>
  <si>
    <t>LUN50</t>
  </si>
  <si>
    <t>LUN51</t>
  </si>
  <si>
    <t>LUN52</t>
  </si>
  <si>
    <t>LUN53</t>
  </si>
  <si>
    <t>LUN54</t>
  </si>
  <si>
    <t>LUN55</t>
  </si>
  <si>
    <t>LUN56</t>
  </si>
  <si>
    <t>c4.29</t>
  </si>
  <si>
    <t>c4.30</t>
  </si>
  <si>
    <t>c4.31</t>
  </si>
  <si>
    <t>c4.32</t>
  </si>
  <si>
    <t>c4.33</t>
  </si>
  <si>
    <t>Nominated income</t>
  </si>
  <si>
    <t>c21.1</t>
  </si>
  <si>
    <t>c21.2</t>
  </si>
  <si>
    <t>c21.3</t>
  </si>
  <si>
    <t>c21.4</t>
  </si>
  <si>
    <t>c21.5</t>
  </si>
  <si>
    <t>c21.6</t>
  </si>
  <si>
    <t>c21.7</t>
  </si>
  <si>
    <t>c21.8</t>
  </si>
  <si>
    <t>c21.9</t>
  </si>
  <si>
    <t>c21.10</t>
  </si>
  <si>
    <t>c21.11</t>
  </si>
  <si>
    <t>c21.12</t>
  </si>
  <si>
    <t>RBC (c19)</t>
  </si>
  <si>
    <t>Q6</t>
  </si>
  <si>
    <t>Allocate income to tax bands</t>
  </si>
  <si>
    <t>TCA</t>
  </si>
  <si>
    <t>c25.48</t>
  </si>
  <si>
    <t>Unused Basic Rate Band</t>
  </si>
  <si>
    <t>Unused Higher Rate Band</t>
  </si>
  <si>
    <t>L98</t>
  </si>
  <si>
    <t>Tax paid by the pension scheme</t>
  </si>
  <si>
    <t>Allocate Dividends etc.</t>
  </si>
  <si>
    <t>Taxable short service refund (overseas schemes)</t>
  </si>
  <si>
    <t>Calculate pension savings tax charges</t>
  </si>
  <si>
    <t>c18.17</t>
  </si>
  <si>
    <t>c18.18</t>
  </si>
  <si>
    <t>c18.19</t>
  </si>
  <si>
    <t>c18.20</t>
  </si>
  <si>
    <t>c18.21</t>
  </si>
  <si>
    <t>c18.22</t>
  </si>
  <si>
    <t>Total gains after AEA and losses</t>
  </si>
  <si>
    <t>c18.23</t>
  </si>
  <si>
    <t>c18.24</t>
  </si>
  <si>
    <t>FSE72</t>
  </si>
  <si>
    <t>FSE73</t>
  </si>
  <si>
    <t>FSE74</t>
  </si>
  <si>
    <t>FSE75</t>
  </si>
  <si>
    <t>FSE76</t>
  </si>
  <si>
    <t>FSE77</t>
  </si>
  <si>
    <t>FSE78</t>
  </si>
  <si>
    <t>FSE79</t>
  </si>
  <si>
    <t>FSE80</t>
  </si>
  <si>
    <t>LUN8</t>
  </si>
  <si>
    <t>LUN9</t>
  </si>
  <si>
    <t>LUN10</t>
  </si>
  <si>
    <t>LUN11</t>
  </si>
  <si>
    <t>LUN12</t>
  </si>
  <si>
    <t>Other income before tax &amp; expenses</t>
  </si>
  <si>
    <t>Foreign earnings not taxable in the UK</t>
  </si>
  <si>
    <t>Seafarers’ Earnings Deduction</t>
  </si>
  <si>
    <t>Coding</t>
  </si>
  <si>
    <t>c1.19</t>
  </si>
  <si>
    <t>c1.20</t>
  </si>
  <si>
    <t>c1.31</t>
  </si>
  <si>
    <t>Lloyds Underwriter</t>
  </si>
  <si>
    <t>L93b</t>
  </si>
  <si>
    <t>Pension-lump-sum-amount</t>
  </si>
  <si>
    <t>Pension-lump-sum-rate</t>
  </si>
  <si>
    <t>Pension-lump-sum-tax</t>
  </si>
  <si>
    <t>Additional rate band</t>
  </si>
  <si>
    <t>FTCR on item 1</t>
  </si>
  <si>
    <t>INC16</t>
  </si>
  <si>
    <t>INC15</t>
  </si>
  <si>
    <t>Short service refund charge Higher Rate</t>
  </si>
  <si>
    <t>Minimum relevant earnings</t>
  </si>
  <si>
    <t>LTA charge - Lump sum</t>
  </si>
  <si>
    <t>LTA charge - Pension</t>
  </si>
  <si>
    <t>LTA_lump</t>
  </si>
  <si>
    <t>LTA_pension</t>
  </si>
  <si>
    <t>(CSL-PAYE-REPAYMENT)</t>
  </si>
  <si>
    <t xml:space="preserve">Student loan SA income </t>
  </si>
  <si>
    <t>(CSL-SA-INCOME)</t>
  </si>
  <si>
    <t>amount due at higher rate</t>
  </si>
  <si>
    <r>
      <t xml:space="preserve">Gains on UK life policies </t>
    </r>
    <r>
      <rPr>
        <u/>
        <sz val="10"/>
        <rFont val="Arial"/>
        <family val="2"/>
      </rPr>
      <t>with</t>
    </r>
    <r>
      <rPr>
        <sz val="10"/>
        <rFont val="Arial"/>
        <family val="2"/>
      </rPr>
      <t xml:space="preserve"> tax treated as paid</t>
    </r>
  </si>
  <si>
    <t>NRD21</t>
  </si>
  <si>
    <t>FPS</t>
  </si>
  <si>
    <t>Full Partnership</t>
  </si>
  <si>
    <t>PRO</t>
  </si>
  <si>
    <t>FOR</t>
  </si>
  <si>
    <t>TRU</t>
  </si>
  <si>
    <t>NRD</t>
  </si>
  <si>
    <t>AOI</t>
  </si>
  <si>
    <t>Gilt edged securities</t>
  </si>
  <si>
    <t>Life insurance gains</t>
  </si>
  <si>
    <t>Stock dividends</t>
  </si>
  <si>
    <t>Taxable profit for the year</t>
  </si>
  <si>
    <t xml:space="preserve">Foreign </t>
  </si>
  <si>
    <t>c9.35</t>
  </si>
  <si>
    <t>L100</t>
  </si>
  <si>
    <t>tax-paid-IFP</t>
  </si>
  <si>
    <t>Allce-dedn-total</t>
  </si>
  <si>
    <t>L101</t>
  </si>
  <si>
    <t>tax-paid-Foreign</t>
  </si>
  <si>
    <t>taxable-income</t>
  </si>
  <si>
    <t>The Tester</t>
  </si>
  <si>
    <t>Payroll giving</t>
  </si>
  <si>
    <t>Overlap relief used this year</t>
  </si>
  <si>
    <t>c19.1</t>
  </si>
  <si>
    <t>H25</t>
  </si>
  <si>
    <t>H28</t>
  </si>
  <si>
    <t>notional-other</t>
  </si>
  <si>
    <t>Benefits-E</t>
  </si>
  <si>
    <t>Exps-E</t>
  </si>
  <si>
    <t>FTCR</t>
  </si>
  <si>
    <t>income-E</t>
  </si>
  <si>
    <t>L119</t>
  </si>
  <si>
    <t>CG-FTCR</t>
  </si>
  <si>
    <t>taxable-divs-HR</t>
  </si>
  <si>
    <t>L120</t>
  </si>
  <si>
    <t>total-CG-due</t>
  </si>
  <si>
    <t>tax-on-divs-HR</t>
  </si>
  <si>
    <t>L121</t>
  </si>
  <si>
    <t>Total-IT-CG-class4-due</t>
  </si>
  <si>
    <t>tax-on-excluded-inc</t>
  </si>
  <si>
    <t>L123</t>
  </si>
  <si>
    <t>c15.2</t>
  </si>
  <si>
    <t>c15.3</t>
  </si>
  <si>
    <t>c15.4</t>
  </si>
  <si>
    <t>c15.5</t>
  </si>
  <si>
    <t>c15.6</t>
  </si>
  <si>
    <t>c15.7</t>
  </si>
  <si>
    <t>taxable-int-SR</t>
  </si>
  <si>
    <t>Reverend</t>
  </si>
  <si>
    <t>Trade7</t>
  </si>
  <si>
    <t>Butcher</t>
  </si>
  <si>
    <t>King Street</t>
  </si>
  <si>
    <t>TF3 4ER</t>
  </si>
  <si>
    <t>Trade8</t>
  </si>
  <si>
    <t>Baker</t>
  </si>
  <si>
    <t>Partnership5</t>
  </si>
  <si>
    <t>Partnership6</t>
  </si>
  <si>
    <t>of components, so have been split (into A, B &amp; C ranges). These can be selected individually or together.</t>
  </si>
  <si>
    <t>Tax due for earlier years</t>
  </si>
  <si>
    <t>Total Due</t>
  </si>
  <si>
    <t>Surplus married couple's allowance and blind person's allowance</t>
  </si>
  <si>
    <t>Recording new test cases</t>
  </si>
  <si>
    <t>Earned Income for Student Loan Purposes</t>
  </si>
  <si>
    <t xml:space="preserve"> Ministers of Religion</t>
  </si>
  <si>
    <t>R11</t>
  </si>
  <si>
    <t>R12</t>
  </si>
  <si>
    <t>T12</t>
  </si>
  <si>
    <t>R13</t>
  </si>
  <si>
    <t>T13</t>
  </si>
  <si>
    <t>R14</t>
  </si>
  <si>
    <t>T14</t>
  </si>
  <si>
    <t>R15</t>
  </si>
  <si>
    <t>T15</t>
  </si>
  <si>
    <t>R16</t>
  </si>
  <si>
    <t>T16</t>
  </si>
  <si>
    <t>R17</t>
  </si>
  <si>
    <t>T17</t>
  </si>
  <si>
    <t>R18</t>
  </si>
  <si>
    <t>T18</t>
  </si>
  <si>
    <t>R19</t>
  </si>
  <si>
    <t>T19</t>
  </si>
  <si>
    <t>R20</t>
  </si>
  <si>
    <t>T20</t>
  </si>
  <si>
    <t xml:space="preserve"> Gains on life insurance policies etc.</t>
  </si>
  <si>
    <t>PRO28</t>
  </si>
  <si>
    <t>PRO29</t>
  </si>
  <si>
    <t>PRO30</t>
  </si>
  <si>
    <t>PRO31</t>
  </si>
  <si>
    <t>PRO32</t>
  </si>
  <si>
    <t>PRO33</t>
  </si>
  <si>
    <t>PRO34</t>
  </si>
  <si>
    <t>PRO35</t>
  </si>
  <si>
    <t>D25</t>
  </si>
  <si>
    <t>D27</t>
  </si>
  <si>
    <t>Lloyds</t>
  </si>
  <si>
    <t>Foreign</t>
  </si>
  <si>
    <t>Calculate tax paid</t>
  </si>
  <si>
    <t xml:space="preserve">Other income </t>
  </si>
  <si>
    <t>Blind Person's Allowance</t>
  </si>
  <si>
    <t>Years</t>
  </si>
  <si>
    <t>Resident</t>
  </si>
  <si>
    <t>Non-Resident</t>
  </si>
  <si>
    <t xml:space="preserve">'Subject to Surcharge' amount </t>
  </si>
  <si>
    <t xml:space="preserve">Unauthorised payment charge and surcharge </t>
  </si>
  <si>
    <t>Unauthorised payments - not subject to Surcharge</t>
  </si>
  <si>
    <t>c1.34</t>
  </si>
  <si>
    <t>c23.9</t>
  </si>
  <si>
    <t>Total Gains</t>
  </si>
  <si>
    <t>c18.6</t>
  </si>
  <si>
    <t>c18.7</t>
  </si>
  <si>
    <t>c18.8</t>
  </si>
  <si>
    <t>c18.9</t>
  </si>
  <si>
    <t>Gains after losses</t>
  </si>
  <si>
    <t>c18.10</t>
  </si>
  <si>
    <t>c18.11</t>
  </si>
  <si>
    <t>c18.12</t>
  </si>
  <si>
    <t>Attributed gains</t>
  </si>
  <si>
    <t>c18.13</t>
  </si>
  <si>
    <t>c18.14</t>
  </si>
  <si>
    <t>c18.15</t>
  </si>
  <si>
    <t>Total gains after losses</t>
  </si>
  <si>
    <t>c18.16</t>
  </si>
  <si>
    <t>adjust calculation figures</t>
  </si>
  <si>
    <t>Box values in this process can be negative</t>
  </si>
  <si>
    <t>Preserve Revenue calculated values of Income tax, CGT, student loan repayment amount and class 4 NIC figures.</t>
  </si>
  <si>
    <t>c99.1</t>
  </si>
  <si>
    <t xml:space="preserve">Revenue value for box CAL1 or CAL2 </t>
  </si>
  <si>
    <t>c99.2</t>
  </si>
  <si>
    <t>Income tax</t>
  </si>
  <si>
    <t>c99.3</t>
  </si>
  <si>
    <t>student loan repayment</t>
  </si>
  <si>
    <t>c99.4</t>
  </si>
  <si>
    <t>class 4 NIC</t>
  </si>
  <si>
    <t>c99.5</t>
  </si>
  <si>
    <t xml:space="preserve">CGT </t>
  </si>
  <si>
    <t>c99.6</t>
  </si>
  <si>
    <t>Pension charges</t>
  </si>
  <si>
    <t>MOR11</t>
  </si>
  <si>
    <t>MOR12</t>
  </si>
  <si>
    <t>MOR13</t>
  </si>
  <si>
    <t>MOR14</t>
  </si>
  <si>
    <t>MOR15</t>
  </si>
  <si>
    <t>MOR16</t>
  </si>
  <si>
    <t>VCT_rate</t>
  </si>
  <si>
    <t>Class 4 National Insurance contributions</t>
  </si>
  <si>
    <t>PRO15</t>
  </si>
  <si>
    <t>PRO16</t>
  </si>
  <si>
    <t>PRO17</t>
  </si>
  <si>
    <t>PRO18</t>
  </si>
  <si>
    <t>PRO19</t>
  </si>
  <si>
    <t>PRO20</t>
  </si>
  <si>
    <t>PRO21</t>
  </si>
  <si>
    <t>PRO22</t>
  </si>
  <si>
    <t>PRO23</t>
  </si>
  <si>
    <t>PRO24</t>
  </si>
  <si>
    <t>PRO25</t>
  </si>
  <si>
    <t>PRO26</t>
  </si>
  <si>
    <t>PRO27</t>
  </si>
  <si>
    <t>from column C</t>
  </si>
  <si>
    <t>type</t>
  </si>
  <si>
    <t>FSE71</t>
  </si>
  <si>
    <t>Additional Information boxes AOI12 to AOI15 (Stock dividends etc.)</t>
  </si>
  <si>
    <t>Trade9</t>
  </si>
  <si>
    <t>Partnership7</t>
  </si>
  <si>
    <t>Additional Information boxes ASE11 to ASE15 (Other deductions)</t>
  </si>
  <si>
    <t>NRD3.1</t>
  </si>
  <si>
    <t>Best displayed in 1024 x 768 mode</t>
  </si>
  <si>
    <t>test case that uses this component.</t>
  </si>
  <si>
    <t>3. Coded underpayment will be ignored if the is no PAYE source (EMP or MOR) selected.</t>
  </si>
  <si>
    <t>c4.26</t>
  </si>
  <si>
    <t>c4.27</t>
  </si>
  <si>
    <t>c4.28</t>
  </si>
  <si>
    <t>VCT</t>
  </si>
  <si>
    <t>EIS</t>
  </si>
  <si>
    <t>CITR</t>
  </si>
  <si>
    <t>Alimony</t>
  </si>
  <si>
    <t>MCA-amount</t>
  </si>
  <si>
    <t>MCA-relief</t>
  </si>
  <si>
    <t>Taxpayer name and address</t>
  </si>
  <si>
    <t>LUN6</t>
  </si>
  <si>
    <t>LUN7</t>
  </si>
  <si>
    <t>c22.11</t>
  </si>
  <si>
    <t>c23.8</t>
  </si>
  <si>
    <t>FSE64</t>
  </si>
  <si>
    <t>FSE65</t>
  </si>
  <si>
    <t>FSE66</t>
  </si>
  <si>
    <t>FSE67</t>
  </si>
  <si>
    <t>FSE68</t>
  </si>
  <si>
    <t>FSE69</t>
  </si>
  <si>
    <t>FSE70</t>
  </si>
  <si>
    <r>
      <t xml:space="preserve">UK life insurance gains </t>
    </r>
    <r>
      <rPr>
        <u/>
        <sz val="10"/>
        <rFont val="Arial"/>
        <family val="2"/>
      </rPr>
      <t>without</t>
    </r>
    <r>
      <rPr>
        <sz val="10"/>
        <rFont val="Arial"/>
        <family val="2"/>
      </rPr>
      <t xml:space="preserve"> tax treated as paid</t>
    </r>
  </si>
  <si>
    <t>Life insurance gains with tax treated as paid</t>
  </si>
  <si>
    <t xml:space="preserve">Life insurance gains with no tax </t>
  </si>
  <si>
    <t>Gains from void ISAs</t>
  </si>
  <si>
    <t>Higher rate net to gross factor</t>
  </si>
  <si>
    <t>HR_gross</t>
  </si>
  <si>
    <t>100/60</t>
  </si>
  <si>
    <t>Each case is numbered and can be selected by inputting the case number in the box marked</t>
  </si>
  <si>
    <t>c8.11</t>
  </si>
  <si>
    <t>c8.12</t>
  </si>
  <si>
    <t>c8.13</t>
  </si>
  <si>
    <t>c8.14</t>
  </si>
  <si>
    <t>c8.15</t>
  </si>
  <si>
    <t>c8.16</t>
  </si>
  <si>
    <t>c8.17</t>
  </si>
  <si>
    <t>c8.1</t>
  </si>
  <si>
    <t>c8.4</t>
  </si>
  <si>
    <t>c8.5</t>
  </si>
  <si>
    <t>c8.6</t>
  </si>
  <si>
    <t>FSE36</t>
  </si>
  <si>
    <t>FSE37</t>
  </si>
  <si>
    <t>FSE38</t>
  </si>
  <si>
    <t>National Insurance Retirement Pension paid as a lump sum</t>
  </si>
  <si>
    <t>A divided by B</t>
  </si>
  <si>
    <t>100/55</t>
  </si>
  <si>
    <t>Digest_of_Double_Taxation_Treaties.pdf</t>
  </si>
  <si>
    <t>FOR_INT_A_1</t>
  </si>
  <si>
    <t>FOR_INT_B_1</t>
  </si>
  <si>
    <t>FOR_INT_C_1</t>
  </si>
  <si>
    <t>FOR_INT_E_1</t>
  </si>
  <si>
    <t>FOR3_INT_D_1</t>
  </si>
  <si>
    <t>FOR4_INT_F_1</t>
  </si>
  <si>
    <t>FOR_DIV_A_1</t>
  </si>
  <si>
    <t>FOR_DIV_B_1</t>
  </si>
  <si>
    <t>FOR_DIV_C_1</t>
  </si>
  <si>
    <t>FOR_DIV_E_1</t>
  </si>
  <si>
    <t>FOR5_DIV_D_1</t>
  </si>
  <si>
    <t>FOR6_DIV_F_1</t>
  </si>
  <si>
    <t>FOR_DIV_A_2</t>
  </si>
  <si>
    <t>FOR_DIV_B_2</t>
  </si>
  <si>
    <t>FOR_DIV_C_2</t>
  </si>
  <si>
    <t>FOR5_DIV_D_2</t>
  </si>
  <si>
    <t>Remittance basis charge for non-domiciles</t>
  </si>
  <si>
    <t>1 Non-savings</t>
  </si>
  <si>
    <t>2 Lump sum</t>
  </si>
  <si>
    <t xml:space="preserve">3 Savings </t>
  </si>
  <si>
    <t>Interest received from UK banks and building societies</t>
  </si>
  <si>
    <t>L96</t>
  </si>
  <si>
    <t>Land or property gifted to charity</t>
  </si>
  <si>
    <t>Your personal details</t>
  </si>
  <si>
    <t>Student Loans</t>
  </si>
  <si>
    <t>SSE7</t>
  </si>
  <si>
    <t>SSE8</t>
  </si>
  <si>
    <t>Additional Information boxes AOI1 to AOI3 (Interest from UK securities)</t>
  </si>
  <si>
    <t>Additional Information boxes AOI4 to AOI11 (Life insurance gains)</t>
  </si>
  <si>
    <t>c17.19</t>
  </si>
  <si>
    <t>c17.20</t>
  </si>
  <si>
    <t>c17.21</t>
  </si>
  <si>
    <t>c17.22</t>
  </si>
  <si>
    <t>c17.23</t>
  </si>
  <si>
    <t>c17.24</t>
  </si>
  <si>
    <t>Annual Allowance charge threshold</t>
  </si>
  <si>
    <t>AHR_rate</t>
  </si>
  <si>
    <t>NRD5</t>
  </si>
  <si>
    <t>NRD6</t>
  </si>
  <si>
    <t>NRD7</t>
  </si>
  <si>
    <t>NRD8</t>
  </si>
  <si>
    <t>NRD9</t>
  </si>
  <si>
    <t>NRD10</t>
  </si>
  <si>
    <t>NRD11</t>
  </si>
  <si>
    <t>NRD12</t>
  </si>
  <si>
    <t>NRD13</t>
  </si>
  <si>
    <t>NRD14</t>
  </si>
  <si>
    <t>NRD15</t>
  </si>
  <si>
    <t>NRD16</t>
  </si>
  <si>
    <t>NRD17</t>
  </si>
  <si>
    <t>NRD18</t>
  </si>
  <si>
    <t>NRD19</t>
  </si>
  <si>
    <t>NRD20</t>
  </si>
  <si>
    <t>coded-in-later-year</t>
  </si>
  <si>
    <t>taxable-pay-HR</t>
  </si>
  <si>
    <t>L111</t>
  </si>
  <si>
    <t>Total-IT-class4-due</t>
  </si>
  <si>
    <t>tax-on-pay-HR</t>
  </si>
  <si>
    <t>L114</t>
  </si>
  <si>
    <t>Taxable-CG</t>
  </si>
  <si>
    <t>c25.40</t>
  </si>
  <si>
    <t>c25.41</t>
  </si>
  <si>
    <t>c25.42</t>
  </si>
  <si>
    <t>c25.43</t>
  </si>
  <si>
    <t>c25.44</t>
  </si>
  <si>
    <t>c25.45</t>
  </si>
  <si>
    <t>c25.46</t>
  </si>
  <si>
    <t>c25.47</t>
  </si>
  <si>
    <t>There are a number of instances of each component, giving a variety of valid MTR entries.</t>
  </si>
  <si>
    <t>Component</t>
  </si>
  <si>
    <t xml:space="preserve"> Interest received from UK banks and building societies</t>
  </si>
  <si>
    <t>FOR14</t>
  </si>
  <si>
    <t>FOR15</t>
  </si>
  <si>
    <t>FOR16</t>
  </si>
  <si>
    <t>FOR17</t>
  </si>
  <si>
    <t>FOR18</t>
  </si>
  <si>
    <t>FOR19</t>
  </si>
  <si>
    <t>FOR20</t>
  </si>
  <si>
    <t>FOR21</t>
  </si>
  <si>
    <t>FOR22</t>
  </si>
  <si>
    <t>Higher MCA</t>
  </si>
  <si>
    <t>H_MCA</t>
  </si>
  <si>
    <t>Minimum MCA</t>
  </si>
  <si>
    <t>Half MCA</t>
  </si>
  <si>
    <t>MCA_2</t>
  </si>
  <si>
    <t>SPS2</t>
  </si>
  <si>
    <t>SPS3</t>
  </si>
  <si>
    <t>SPS4</t>
  </si>
  <si>
    <t>SPS5</t>
  </si>
  <si>
    <t>SPS6</t>
  </si>
  <si>
    <t>SPS7</t>
  </si>
  <si>
    <t>SPS8</t>
  </si>
  <si>
    <t>SPS9</t>
  </si>
  <si>
    <t>SPS10</t>
  </si>
  <si>
    <t>SPS11</t>
  </si>
  <si>
    <t>SPS12</t>
  </si>
  <si>
    <t>SPS13</t>
  </si>
  <si>
    <t>SPS14</t>
  </si>
  <si>
    <t>SPS15</t>
  </si>
  <si>
    <t>SPS16</t>
  </si>
  <si>
    <t>SPS17</t>
  </si>
  <si>
    <t>SPS18</t>
  </si>
  <si>
    <t>SPS19</t>
  </si>
  <si>
    <t>SPS20</t>
  </si>
  <si>
    <t>SPS21</t>
  </si>
  <si>
    <t>Capital Gains annual exempt amount</t>
  </si>
  <si>
    <t>CGT1</t>
  </si>
  <si>
    <t>303/113</t>
  </si>
  <si>
    <t>FTCR on item 2</t>
  </si>
  <si>
    <t>INC(1)</t>
  </si>
  <si>
    <t xml:space="preserve">Note a: The test case generator does not have true date processing capability. There are 5 pre-set dates of birth </t>
  </si>
  <si>
    <t>and these are the only dates the spreadsheet will recognise.</t>
  </si>
  <si>
    <t>Amending test cases</t>
  </si>
  <si>
    <t>c27.29 minus (c27.8 + c27.9)</t>
  </si>
  <si>
    <t>SSE16</t>
  </si>
  <si>
    <t>SSE17</t>
  </si>
  <si>
    <t>IND</t>
  </si>
  <si>
    <t>NRD35</t>
  </si>
  <si>
    <t>Pension payments</t>
  </si>
  <si>
    <t>Savings income</t>
  </si>
  <si>
    <t>Dividend income</t>
  </si>
  <si>
    <t>c6.5</t>
  </si>
  <si>
    <t>c6.6</t>
  </si>
  <si>
    <t>c6.7</t>
  </si>
  <si>
    <t>c6.10</t>
  </si>
  <si>
    <t>c6.11</t>
  </si>
  <si>
    <t>Taxpayer Age</t>
  </si>
  <si>
    <t>Wife's Age</t>
  </si>
  <si>
    <t>Older_spouse</t>
  </si>
  <si>
    <t>c17.10</t>
  </si>
  <si>
    <t>c17.11</t>
  </si>
  <si>
    <t>c17.12</t>
  </si>
  <si>
    <t>FSE</t>
  </si>
  <si>
    <t>Full Self Employment</t>
  </si>
  <si>
    <t>LUN</t>
  </si>
  <si>
    <t>c16.15</t>
  </si>
  <si>
    <t>c16.16</t>
  </si>
  <si>
    <t>c16.17</t>
  </si>
  <si>
    <t>c16.18</t>
  </si>
  <si>
    <t>c16.19</t>
  </si>
  <si>
    <t>c17.1</t>
  </si>
  <si>
    <t>c17.2</t>
  </si>
  <si>
    <t>Stock divs  and non qualifying distributions</t>
  </si>
  <si>
    <t>AOI12</t>
  </si>
  <si>
    <t>AOI13</t>
  </si>
  <si>
    <t>AOI14</t>
  </si>
  <si>
    <t>AOI15</t>
  </si>
  <si>
    <t>Other State pensions &amp; benefits</t>
  </si>
  <si>
    <t>Benefit from pre-owned assets</t>
  </si>
  <si>
    <t>AIL22</t>
  </si>
  <si>
    <t>AIL23</t>
  </si>
  <si>
    <t>Income received under the Swiss Tax Agreement where the taxpayer has elected to have the tax deducted</t>
  </si>
  <si>
    <t xml:space="preserve">From the </t>
  </si>
  <si>
    <t>foreign pages</t>
  </si>
  <si>
    <t>Interest and other income from overseas savings</t>
  </si>
  <si>
    <t>A. Country or territory code</t>
  </si>
  <si>
    <t>CHE</t>
  </si>
  <si>
    <t>The Taxable amount is included in box 6, but not box 7 of the foreign pages</t>
  </si>
  <si>
    <r>
      <t xml:space="preserve">Dividends that </t>
    </r>
    <r>
      <rPr>
        <u/>
        <sz val="9"/>
        <rFont val="Arial"/>
        <family val="2"/>
      </rPr>
      <t>do not</t>
    </r>
    <r>
      <rPr>
        <sz val="9"/>
        <rFont val="Arial"/>
        <family val="2"/>
      </rPr>
      <t xml:space="preserve"> qualify for UK tax credits</t>
    </r>
  </si>
  <si>
    <t>The Taxable amount is included in both boxes 6 &amp; 7 on the foreign pages</t>
  </si>
  <si>
    <t>Swiss</t>
  </si>
  <si>
    <t>S20</t>
  </si>
  <si>
    <t>Additional Information boxes ASE1 to ASE2 (Share schemes)</t>
  </si>
  <si>
    <t>c6.12</t>
  </si>
  <si>
    <t>c6.13</t>
  </si>
  <si>
    <t>c6.14</t>
  </si>
  <si>
    <t>Maintenance &amp; Alimony</t>
  </si>
  <si>
    <t xml:space="preserve">Note: Where components are being used, amending the input sheets will not change the figures on the </t>
  </si>
  <si>
    <t>L44A</t>
  </si>
  <si>
    <t>Business Premises Renovation Allowance</t>
  </si>
  <si>
    <t>£up</t>
  </si>
  <si>
    <t>Foreign tax</t>
  </si>
  <si>
    <t>FTCR calculation</t>
  </si>
  <si>
    <t>run 1</t>
  </si>
  <si>
    <t>run 2</t>
  </si>
  <si>
    <t>run 3</t>
  </si>
  <si>
    <t>Start</t>
  </si>
  <si>
    <t>UK liability</t>
  </si>
  <si>
    <t>It is important to note that there are differences between the test case and the components used to create it.</t>
  </si>
  <si>
    <t>SPS22</t>
  </si>
  <si>
    <t>SPS23</t>
  </si>
  <si>
    <t>SPS24</t>
  </si>
  <si>
    <t>SPS25</t>
  </si>
  <si>
    <t>SPS26</t>
  </si>
  <si>
    <t>SPS27</t>
  </si>
  <si>
    <t>SPS28</t>
  </si>
  <si>
    <t>SPS29</t>
  </si>
  <si>
    <t>c1.8</t>
  </si>
  <si>
    <t>c1.10</t>
  </si>
  <si>
    <t>c1.11</t>
  </si>
  <si>
    <t>c1.12</t>
  </si>
  <si>
    <t>c1.13</t>
  </si>
  <si>
    <t>c1.21</t>
  </si>
  <si>
    <t>c1.22</t>
  </si>
  <si>
    <t>c1.23</t>
  </si>
  <si>
    <t>c1.24</t>
  </si>
  <si>
    <t>c23.2</t>
  </si>
  <si>
    <t>c23.3</t>
  </si>
  <si>
    <t>@ 10% =</t>
  </si>
  <si>
    <t>c3.1</t>
  </si>
  <si>
    <t>c4.2</t>
  </si>
  <si>
    <t>c4.3</t>
  </si>
  <si>
    <t>c4.4</t>
  </si>
  <si>
    <t>REL-B</t>
  </si>
  <si>
    <t>REL-A</t>
  </si>
  <si>
    <t>INC-C</t>
  </si>
  <si>
    <t>INC-B</t>
  </si>
  <si>
    <t>INC-A</t>
  </si>
  <si>
    <t>Calc figure</t>
  </si>
  <si>
    <t>EMP-A</t>
  </si>
  <si>
    <t>EMP-B</t>
  </si>
  <si>
    <t>SA103S</t>
  </si>
  <si>
    <t>SA106</t>
  </si>
  <si>
    <t>SA107</t>
  </si>
  <si>
    <t>Retirement Annuity payments</t>
  </si>
  <si>
    <t>c9.31</t>
  </si>
  <si>
    <t xml:space="preserve">Student loan Total income </t>
  </si>
  <si>
    <t>(CSL-INCOME-TOTAL)</t>
  </si>
  <si>
    <t>c2.6</t>
  </si>
  <si>
    <t>c15.10</t>
  </si>
  <si>
    <t>c15.11</t>
  </si>
  <si>
    <t>c15.12</t>
  </si>
  <si>
    <t>c99.19</t>
  </si>
  <si>
    <t>increase tax deducted</t>
  </si>
  <si>
    <t>else (customers figure is higher than Revenue figure)</t>
  </si>
  <si>
    <t>c99.20</t>
  </si>
  <si>
    <t>Add difference to income tax</t>
  </si>
  <si>
    <t>Update boxes required on SA302</t>
  </si>
  <si>
    <t>c99.21</t>
  </si>
  <si>
    <t>c99.22</t>
  </si>
  <si>
    <t>c99.23</t>
  </si>
  <si>
    <t>c99.24</t>
  </si>
  <si>
    <t xml:space="preserve">IF CAL1 &gt; 0 </t>
  </si>
  <si>
    <t>c99.14</t>
  </si>
  <si>
    <t>Foreign Tax Credit Relief</t>
  </si>
  <si>
    <t>Married Couples Allowance</t>
  </si>
  <si>
    <t>Tax refunded</t>
  </si>
  <si>
    <t>EMP</t>
  </si>
  <si>
    <t>Trade6</t>
  </si>
  <si>
    <t>SA151</t>
  </si>
  <si>
    <t xml:space="preserve">Student Loan Repayment </t>
  </si>
  <si>
    <t>(CSL-SA-REPAYMENT)</t>
  </si>
  <si>
    <t>tax-on-divs-BR</t>
  </si>
  <si>
    <t>Fuel for cars etc.</t>
  </si>
  <si>
    <t>Medical insurance</t>
  </si>
  <si>
    <t>Vouchers etc.</t>
  </si>
  <si>
    <t>Goods and assets</t>
  </si>
  <si>
    <t>Accommodation</t>
  </si>
  <si>
    <t>Expenses received</t>
  </si>
  <si>
    <t>Deductions (1)</t>
  </si>
  <si>
    <t>Fixed deductions</t>
  </si>
  <si>
    <t>Travel and substistence</t>
  </si>
  <si>
    <t>Fees and subscriptions</t>
  </si>
  <si>
    <t>H22</t>
  </si>
  <si>
    <t>Non-savings net to gross old factor</t>
  </si>
  <si>
    <t>Gross_By_22</t>
  </si>
  <si>
    <t>100/78</t>
  </si>
  <si>
    <t>Trust rate net to gross factor</t>
  </si>
  <si>
    <t>already accounted for</t>
  </si>
  <si>
    <t>non-residents tax</t>
  </si>
  <si>
    <t xml:space="preserve">Non-discretionary income from a trust </t>
  </si>
  <si>
    <t>Income from foreign estates</t>
  </si>
  <si>
    <t>Foreign tax paid on estate income</t>
  </si>
  <si>
    <t>Foreign dividends</t>
  </si>
  <si>
    <t>c5.24</t>
  </si>
  <si>
    <t>c5.25</t>
  </si>
  <si>
    <t>c5.26</t>
  </si>
  <si>
    <t>FSE101</t>
  </si>
  <si>
    <t>c14.3</t>
  </si>
  <si>
    <t>LUN57</t>
  </si>
  <si>
    <t>LUN58</t>
  </si>
  <si>
    <t>LUN59</t>
  </si>
  <si>
    <t>LUN60</t>
  </si>
  <si>
    <t>LUN61</t>
  </si>
  <si>
    <t>LUN62</t>
  </si>
  <si>
    <t>LUN63</t>
  </si>
  <si>
    <t>LUN64</t>
  </si>
  <si>
    <t>LUN65</t>
  </si>
  <si>
    <t>LUN66</t>
  </si>
  <si>
    <t>SPS1</t>
  </si>
  <si>
    <t>Non-savings</t>
  </si>
  <si>
    <t>exempt</t>
  </si>
  <si>
    <t>c10.1</t>
  </si>
  <si>
    <t>c10.2</t>
  </si>
  <si>
    <t>c10.3</t>
  </si>
  <si>
    <t>c22.8</t>
  </si>
  <si>
    <t>c10.4</t>
  </si>
  <si>
    <t>c10.5</t>
  </si>
  <si>
    <t>c11.1</t>
  </si>
  <si>
    <t>c11.2</t>
  </si>
  <si>
    <t>c11.3</t>
  </si>
  <si>
    <t>c11.4</t>
  </si>
  <si>
    <t>Gift-aid-amount</t>
  </si>
  <si>
    <t>income-Foreign</t>
  </si>
  <si>
    <t>max_NIC</t>
  </si>
  <si>
    <t>Tax paid</t>
  </si>
  <si>
    <t>Lifetime Allowance charge due</t>
  </si>
  <si>
    <t>'Not subject to Surcharge' amount</t>
  </si>
  <si>
    <t>To create a new test case:</t>
  </si>
  <si>
    <t>AOR</t>
  </si>
  <si>
    <t>Other tax reliefs</t>
  </si>
  <si>
    <t>AIL</t>
  </si>
  <si>
    <t>bee keeper</t>
  </si>
  <si>
    <t>SSE9</t>
  </si>
  <si>
    <t>SSE10</t>
  </si>
  <si>
    <t>SSE11</t>
  </si>
  <si>
    <t>SSE12</t>
  </si>
  <si>
    <t>SSE6</t>
  </si>
  <si>
    <t>Rel</t>
  </si>
  <si>
    <t>I7</t>
  </si>
  <si>
    <t>I10</t>
  </si>
  <si>
    <t>I17</t>
  </si>
  <si>
    <t>I20</t>
  </si>
  <si>
    <t>N5</t>
  </si>
  <si>
    <t>N12</t>
  </si>
  <si>
    <t>Tax due on Gift Aid payments</t>
  </si>
  <si>
    <t>(B)</t>
  </si>
  <si>
    <t>L1</t>
  </si>
  <si>
    <t>L2</t>
  </si>
  <si>
    <t>L3</t>
  </si>
  <si>
    <t>H6</t>
  </si>
  <si>
    <t>CGT9</t>
  </si>
  <si>
    <t>CGT10</t>
  </si>
  <si>
    <t>CGT11</t>
  </si>
  <si>
    <t>CGT12</t>
  </si>
  <si>
    <t>CGT13</t>
  </si>
  <si>
    <t>CGT14</t>
  </si>
  <si>
    <t>CGT15</t>
  </si>
  <si>
    <t>(Gilt Edge Securities, Life Insurance Gains)</t>
  </si>
  <si>
    <t>Total due</t>
  </si>
  <si>
    <t>minus adjustments, payments and coded-out</t>
  </si>
  <si>
    <t>Adjustments, payments and coded-out</t>
  </si>
  <si>
    <t>CAL1</t>
  </si>
  <si>
    <t>CAL2</t>
  </si>
  <si>
    <t>CAL3</t>
  </si>
  <si>
    <t>CAL4</t>
  </si>
  <si>
    <t>CAL5</t>
  </si>
  <si>
    <t>CAL6</t>
  </si>
  <si>
    <t>CAL10</t>
  </si>
  <si>
    <t>CAL11</t>
  </si>
  <si>
    <t>CAL12</t>
  </si>
  <si>
    <t>CAL13</t>
  </si>
  <si>
    <t>CAL14</t>
  </si>
  <si>
    <t>CAL15</t>
  </si>
  <si>
    <t>CAL16</t>
  </si>
  <si>
    <t>CAL17</t>
  </si>
  <si>
    <t>C8C9C10</t>
  </si>
  <si>
    <t>Tax calculation summary</t>
  </si>
  <si>
    <t>c4.10</t>
  </si>
  <si>
    <t>c4.11</t>
  </si>
  <si>
    <t>c4.12</t>
  </si>
  <si>
    <t>c4.13</t>
  </si>
  <si>
    <t>c4.14</t>
  </si>
  <si>
    <t>c4.15</t>
  </si>
  <si>
    <t>c4.16</t>
  </si>
  <si>
    <t>c4.17</t>
  </si>
  <si>
    <t>c4.18</t>
  </si>
  <si>
    <t>c4.19</t>
  </si>
  <si>
    <t>c4.20</t>
  </si>
  <si>
    <t>c4.21</t>
  </si>
  <si>
    <t>c4.22</t>
  </si>
  <si>
    <t>c4.23</t>
  </si>
  <si>
    <t>POA Adjustment</t>
  </si>
  <si>
    <t>Reduced Personal Allowance</t>
  </si>
  <si>
    <t>94</t>
  </si>
  <si>
    <t>c2.8</t>
  </si>
  <si>
    <t>c2.9</t>
  </si>
  <si>
    <t>Foreign dividends (up to £300)</t>
  </si>
  <si>
    <t>REL-C</t>
  </si>
  <si>
    <t>Savings &amp; dividends</t>
  </si>
  <si>
    <t>Partnerships</t>
  </si>
  <si>
    <t>UK Land &amp; Property</t>
  </si>
  <si>
    <t>Foreign Income</t>
  </si>
  <si>
    <t>Total Income</t>
  </si>
  <si>
    <t>Lump Sums etc.</t>
  </si>
  <si>
    <t>Losses</t>
  </si>
  <si>
    <t>IT-plus-class4</t>
  </si>
  <si>
    <t>tax-paid-E</t>
  </si>
  <si>
    <t>Allce-BPA</t>
  </si>
  <si>
    <t>c12.18</t>
  </si>
  <si>
    <t>LUN39</t>
  </si>
  <si>
    <t>LUN40</t>
  </si>
  <si>
    <t>LUN41</t>
  </si>
  <si>
    <t>LUN42</t>
  </si>
  <si>
    <t>LUN43</t>
  </si>
  <si>
    <t>@ 20% =</t>
  </si>
  <si>
    <t>@ 32.5% =</t>
  </si>
  <si>
    <t>Benefit from overseas trust</t>
  </si>
  <si>
    <t xml:space="preserve">Not Used </t>
  </si>
  <si>
    <t>LUN2</t>
  </si>
  <si>
    <t>Total Deductions and Allowances</t>
  </si>
  <si>
    <t>selected</t>
  </si>
  <si>
    <t>AOI3</t>
  </si>
  <si>
    <t>Life Insurance Gains</t>
  </si>
  <si>
    <t>AOI4</t>
  </si>
  <si>
    <t>AOI5</t>
  </si>
  <si>
    <t>AOI6</t>
  </si>
  <si>
    <t>AOI7</t>
  </si>
  <si>
    <t>AOI8</t>
  </si>
  <si>
    <t>AOI9</t>
  </si>
  <si>
    <t>AOI10</t>
  </si>
  <si>
    <t>90</t>
  </si>
  <si>
    <t>7</t>
  </si>
  <si>
    <t>49</t>
  </si>
  <si>
    <t>91</t>
  </si>
  <si>
    <t>8</t>
  </si>
  <si>
    <t>Part-time teacher's excluded income</t>
  </si>
  <si>
    <t>c11.9</t>
  </si>
  <si>
    <t>c11.10</t>
  </si>
  <si>
    <t>c11.11</t>
  </si>
  <si>
    <t>c11.12</t>
  </si>
  <si>
    <t>c11.13</t>
  </si>
  <si>
    <t>c11.14</t>
  </si>
  <si>
    <t>c11.15</t>
  </si>
  <si>
    <t>c11.16</t>
  </si>
  <si>
    <t>c11.17</t>
  </si>
  <si>
    <t>SCH E case</t>
  </si>
  <si>
    <t>CGT21</t>
  </si>
  <si>
    <t>CGT22</t>
  </si>
  <si>
    <t>CGT23</t>
  </si>
  <si>
    <t>CGT24</t>
  </si>
  <si>
    <t>CGT25</t>
  </si>
  <si>
    <t>CGT26</t>
  </si>
  <si>
    <t>CGT27</t>
  </si>
  <si>
    <t>CGT28</t>
  </si>
  <si>
    <t>CGT29</t>
  </si>
  <si>
    <t>Single UK gain without</t>
  </si>
  <si>
    <t>Single UK gain with</t>
  </si>
  <si>
    <t>void ISA</t>
  </si>
  <si>
    <t xml:space="preserve">Student loan PAYE income </t>
  </si>
  <si>
    <t>c16.5</t>
  </si>
  <si>
    <t>c16.6</t>
  </si>
  <si>
    <t>c16.7</t>
  </si>
  <si>
    <t>c16.8</t>
  </si>
  <si>
    <t>c16.9</t>
  </si>
  <si>
    <t>c16.10</t>
  </si>
  <si>
    <t>c16.11</t>
  </si>
  <si>
    <t>c16.12</t>
  </si>
  <si>
    <t>c16.13</t>
  </si>
  <si>
    <t>c16.14</t>
  </si>
  <si>
    <t>It will be ignored if no component SSE, FSE, LUN, SPS or FPS is selected.</t>
  </si>
  <si>
    <t>Tax reliefs boxes REL5 to REL10 (Charitable giving)</t>
  </si>
  <si>
    <t>Tax reliefs boxes REL11 to REL14 (Blind Person's Allowance)</t>
  </si>
  <si>
    <t>amount due at additional rate</t>
  </si>
  <si>
    <t>c17.29</t>
  </si>
  <si>
    <t>c17.30</t>
  </si>
  <si>
    <t>c17.31</t>
  </si>
  <si>
    <t>c17.32</t>
  </si>
  <si>
    <t>c17.33</t>
  </si>
  <si>
    <t>c17.34</t>
  </si>
  <si>
    <t>c17.35</t>
  </si>
  <si>
    <t>c17.36</t>
  </si>
  <si>
    <t>c17.37</t>
  </si>
  <si>
    <t>c17.38</t>
  </si>
  <si>
    <t>c17.39</t>
  </si>
  <si>
    <t>c17.40</t>
  </si>
  <si>
    <t>c17.41</t>
  </si>
  <si>
    <t>full gain(s)</t>
  </si>
  <si>
    <t>sliced gain(s)</t>
  </si>
  <si>
    <t>c17.42</t>
  </si>
  <si>
    <t>c17.43</t>
  </si>
  <si>
    <t>Higher rates liability on full gain(s)</t>
  </si>
  <si>
    <t>Interest Gilt edged, UK Securities</t>
  </si>
  <si>
    <t>AOI-A</t>
  </si>
  <si>
    <t>AOI-B</t>
  </si>
  <si>
    <t>AOI-C</t>
  </si>
  <si>
    <t>ASE1</t>
  </si>
  <si>
    <t>SSE21</t>
  </si>
  <si>
    <t>SSE22</t>
  </si>
  <si>
    <t>SSE23</t>
  </si>
  <si>
    <t>SSE24</t>
  </si>
  <si>
    <t>SSE25</t>
  </si>
  <si>
    <t>SSE26</t>
  </si>
  <si>
    <t>SSE27</t>
  </si>
  <si>
    <t>SSE28</t>
  </si>
  <si>
    <t>SSE29</t>
  </si>
  <si>
    <t>SSE30</t>
  </si>
  <si>
    <t xml:space="preserve">[Whilst all the combinations of components that can be selected will be ‘valid’ in terms of the system, not all will </t>
  </si>
  <si>
    <t>NIC_Band</t>
  </si>
  <si>
    <t>Self Employment</t>
  </si>
  <si>
    <t>or</t>
  </si>
  <si>
    <t>Total taxable income</t>
  </si>
  <si>
    <t>Living accomodation</t>
  </si>
  <si>
    <t>c18.1</t>
  </si>
  <si>
    <t>Income tax due</t>
  </si>
  <si>
    <t>c13.12</t>
  </si>
  <si>
    <t>c13.13</t>
  </si>
  <si>
    <t>c13.14</t>
  </si>
  <si>
    <t>NRD22</t>
  </si>
  <si>
    <t>NRD23</t>
  </si>
  <si>
    <t>SSE13</t>
  </si>
  <si>
    <t>SSE14</t>
  </si>
  <si>
    <t>SSE15</t>
  </si>
  <si>
    <t>c27.4</t>
  </si>
  <si>
    <t>c27.5</t>
  </si>
  <si>
    <t>Taxed UK Interest etc.</t>
  </si>
  <si>
    <t>Untaxed UK interest etc.</t>
  </si>
  <si>
    <t>Max Class 4 NIC charge</t>
  </si>
  <si>
    <t>Class 4 NIC upper profit limit</t>
  </si>
  <si>
    <t>Class 4 NIC lower profit limit</t>
  </si>
  <si>
    <t>Class 4</t>
  </si>
  <si>
    <t>Transferable personal allowance</t>
  </si>
  <si>
    <t>T_P_A</t>
  </si>
  <si>
    <t>'data' worksheet (hidden)</t>
  </si>
  <si>
    <t>Q15</t>
  </si>
  <si>
    <t>else c2.7 = 0</t>
  </si>
  <si>
    <t>Band between Higher rate band</t>
  </si>
  <si>
    <t>&amp; Basic rate band</t>
  </si>
  <si>
    <t>If calculation type = non-resident</t>
  </si>
  <si>
    <t>End If</t>
  </si>
  <si>
    <t>Total Student Loan Deductions</t>
  </si>
  <si>
    <t>FOR_DIV_A_3</t>
  </si>
  <si>
    <t>FOR_DIV_B_3</t>
  </si>
  <si>
    <t>FOR_DIV_C_3</t>
  </si>
  <si>
    <t>FOR5_DIV_D_3</t>
  </si>
  <si>
    <t>FOR_DIV_E_3</t>
  </si>
  <si>
    <t>FOR6_DIV_F_3</t>
  </si>
  <si>
    <t>FOR_DIV_A_4</t>
  </si>
  <si>
    <t>FOR_DIV_B_4</t>
  </si>
  <si>
    <t>FOR_DIV_C_4</t>
  </si>
  <si>
    <t>FOR5_DIV_D_4</t>
  </si>
  <si>
    <t>FOR_DIV_E_4</t>
  </si>
  <si>
    <t>FOR6_DIV_F_4</t>
  </si>
  <si>
    <t>FOR_DIV_A_5</t>
  </si>
  <si>
    <t>FOR_DIV_B_5</t>
  </si>
  <si>
    <t>FOR_DIV_C_5</t>
  </si>
  <si>
    <t>FOR5_DIV_D_5</t>
  </si>
  <si>
    <t>FOR_DIV_E_5</t>
  </si>
  <si>
    <t>FOR6_DIV_F_5</t>
  </si>
  <si>
    <t>FOR A_1</t>
  </si>
  <si>
    <t>FORC_1</t>
  </si>
  <si>
    <t>FORE_1</t>
  </si>
  <si>
    <t>FORF_1</t>
  </si>
  <si>
    <t>FOR A_2</t>
  </si>
  <si>
    <t>FORC_2</t>
  </si>
  <si>
    <t>FORE_2</t>
  </si>
  <si>
    <t>FORF_2</t>
  </si>
  <si>
    <t>FOR A_3</t>
  </si>
  <si>
    <t>FORC_3</t>
  </si>
  <si>
    <t>FORE_3</t>
  </si>
  <si>
    <t>FORF_3</t>
  </si>
  <si>
    <t>FOR A_4</t>
  </si>
  <si>
    <t>FORC_4</t>
  </si>
  <si>
    <t>FORE_4</t>
  </si>
  <si>
    <t>FORF_4</t>
  </si>
  <si>
    <t>A_1</t>
  </si>
  <si>
    <t>B_1</t>
  </si>
  <si>
    <t>C_1</t>
  </si>
  <si>
    <t>3D_1</t>
  </si>
  <si>
    <t>E_1</t>
  </si>
  <si>
    <t>4F_1</t>
  </si>
  <si>
    <t>A_2</t>
  </si>
  <si>
    <t>B_2</t>
  </si>
  <si>
    <t>C_2</t>
  </si>
  <si>
    <t>3D_2</t>
  </si>
  <si>
    <t>E_2</t>
  </si>
  <si>
    <t>4F_2</t>
  </si>
  <si>
    <t>5D_1</t>
  </si>
  <si>
    <t>6F_1</t>
  </si>
  <si>
    <t>5D_2</t>
  </si>
  <si>
    <t>6F_2</t>
  </si>
  <si>
    <t>A_3</t>
  </si>
  <si>
    <t>B_3</t>
  </si>
  <si>
    <t>C_3</t>
  </si>
  <si>
    <t>5D_3</t>
  </si>
  <si>
    <t>E_3</t>
  </si>
  <si>
    <t>6F_3</t>
  </si>
  <si>
    <t>A_4</t>
  </si>
  <si>
    <t>B_4</t>
  </si>
  <si>
    <t>C_4</t>
  </si>
  <si>
    <t>5D_4</t>
  </si>
  <si>
    <t>E_4</t>
  </si>
  <si>
    <t>6F_4</t>
  </si>
  <si>
    <t>A_5</t>
  </si>
  <si>
    <t>B_5</t>
  </si>
  <si>
    <t>C_5</t>
  </si>
  <si>
    <t>5D_5</t>
  </si>
  <si>
    <t>E_5</t>
  </si>
  <si>
    <t>6F_5</t>
  </si>
  <si>
    <t>8D_1</t>
  </si>
  <si>
    <t>9F_1</t>
  </si>
  <si>
    <t>10D_1</t>
  </si>
  <si>
    <t>11F_1</t>
  </si>
  <si>
    <t>25B_1</t>
  </si>
  <si>
    <t>28C_1</t>
  </si>
  <si>
    <t>29D_1</t>
  </si>
  <si>
    <t>30F_1</t>
  </si>
  <si>
    <t>F_1</t>
  </si>
  <si>
    <t>F_2</t>
  </si>
  <si>
    <t>F_3</t>
  </si>
  <si>
    <t>F_4</t>
  </si>
  <si>
    <t>Premiums for the</t>
  </si>
  <si>
    <t>grant of a lease</t>
  </si>
  <si>
    <t>Savings Starting rate band</t>
  </si>
  <si>
    <t>Student Loan Unearned Income Threshold</t>
  </si>
  <si>
    <t>Resident Non-domicile Lower charge</t>
  </si>
  <si>
    <t>Non-domicile remittance basis allowance limit</t>
  </si>
  <si>
    <t>ND_limit</t>
  </si>
  <si>
    <t>Investments</t>
  </si>
  <si>
    <t>Loss from this tax year set off against other income</t>
  </si>
  <si>
    <t>Share loss relief used against income</t>
  </si>
  <si>
    <t>Loss set off against total income</t>
  </si>
  <si>
    <t>Loss set off against other income</t>
  </si>
  <si>
    <t>Untaxed UK interest etc</t>
  </si>
  <si>
    <t>Trust dividend income</t>
  </si>
  <si>
    <t>Total disregarded income</t>
  </si>
  <si>
    <t>Lower of Gains on foreign life insurance policies and</t>
  </si>
  <si>
    <t>If No Remittance Basis Claim</t>
  </si>
  <si>
    <t>If Remittance Basis Claim</t>
  </si>
  <si>
    <t>Tax treated as paid (grossed up)</t>
  </si>
  <si>
    <t>Amount of Gains on foreign life insurance policies</t>
  </si>
  <si>
    <t>where no tax treated as paid</t>
  </si>
  <si>
    <t>Adjusted Net Income</t>
  </si>
  <si>
    <t>Adjusted Total Income</t>
  </si>
  <si>
    <t>Total Income + DTA Income</t>
  </si>
  <si>
    <t>Res_17_years</t>
  </si>
  <si>
    <r>
      <rPr>
        <i/>
        <sz val="9"/>
        <rFont val="Arial"/>
        <family val="2"/>
      </rPr>
      <t xml:space="preserve">minus </t>
    </r>
    <r>
      <rPr>
        <sz val="9"/>
        <rFont val="Arial"/>
        <family val="2"/>
      </rPr>
      <t>Pension payments</t>
    </r>
  </si>
  <si>
    <r>
      <rPr>
        <i/>
        <sz val="9"/>
        <rFont val="Arial"/>
        <family val="2"/>
      </rPr>
      <t>plus</t>
    </r>
    <r>
      <rPr>
        <sz val="9"/>
        <rFont val="Arial"/>
        <family val="2"/>
      </rPr>
      <t xml:space="preserve"> Payroll Giving</t>
    </r>
  </si>
  <si>
    <t>used for calculating the limit on Relief</t>
  </si>
  <si>
    <t>Adjusted Net Income for Allowances</t>
  </si>
  <si>
    <t>Calculate income tax reliefs and allowances</t>
  </si>
  <si>
    <t>Income Tax Reliefs</t>
  </si>
  <si>
    <t>c4.34</t>
  </si>
  <si>
    <t>c4.35</t>
  </si>
  <si>
    <t>c4.36</t>
  </si>
  <si>
    <t>c4.37</t>
  </si>
  <si>
    <t>c4.38</t>
  </si>
  <si>
    <t>c4.39</t>
  </si>
  <si>
    <t>c4.40</t>
  </si>
  <si>
    <t>c4.41</t>
  </si>
  <si>
    <t>c4.42</t>
  </si>
  <si>
    <t>c4.43</t>
  </si>
  <si>
    <t>c4.44</t>
  </si>
  <si>
    <t>c4.45</t>
  </si>
  <si>
    <t>F</t>
  </si>
  <si>
    <t>Loss brought forward from earlier years</t>
  </si>
  <si>
    <t>set off against this year’s profits</t>
  </si>
  <si>
    <t>Loss brought forward used against this year’s profits</t>
  </si>
  <si>
    <t>Loss set against total income</t>
  </si>
  <si>
    <t>Total loss brought forward from earlier years</t>
  </si>
  <si>
    <t>Qualifying loan interest payable in the year</t>
  </si>
  <si>
    <t>Loan Interest</t>
  </si>
  <si>
    <t>Limit on Relief</t>
  </si>
  <si>
    <t>Income tax due after tax reductions</t>
  </si>
  <si>
    <t>Total Relief</t>
  </si>
  <si>
    <t>Uncapped Relief</t>
  </si>
  <si>
    <t>Deduction Cap</t>
  </si>
  <si>
    <t>Pension Payments paid gross without tax relief</t>
  </si>
  <si>
    <t>Net Income</t>
  </si>
  <si>
    <t>Amount for Extending Basic Rate Band</t>
  </si>
  <si>
    <t>Pension payments made net (grossed up)</t>
  </si>
  <si>
    <t>c4.46</t>
  </si>
  <si>
    <t>c4.47</t>
  </si>
  <si>
    <t>c4.48</t>
  </si>
  <si>
    <t>c4.49</t>
  </si>
  <si>
    <t>c4.50</t>
  </si>
  <si>
    <t>c4.51</t>
  </si>
  <si>
    <t>c4.52</t>
  </si>
  <si>
    <t>c4.53</t>
  </si>
  <si>
    <t>c4.54</t>
  </si>
  <si>
    <t>c4.55</t>
  </si>
  <si>
    <t>c4.56</t>
  </si>
  <si>
    <t>c4.57</t>
  </si>
  <si>
    <t>c4.58</t>
  </si>
  <si>
    <t>Annual payments</t>
  </si>
  <si>
    <t>Capped Relief Limit</t>
  </si>
  <si>
    <t>Add back</t>
  </si>
  <si>
    <t>Deduct</t>
  </si>
  <si>
    <r>
      <t xml:space="preserve">Adjusted Total Income </t>
    </r>
    <r>
      <rPr>
        <i/>
        <sz val="9"/>
        <rFont val="Arial"/>
        <family val="2"/>
      </rPr>
      <t>minus</t>
    </r>
    <r>
      <rPr>
        <sz val="9"/>
        <rFont val="Arial"/>
        <family val="2"/>
      </rPr>
      <t xml:space="preserve"> Reliefs</t>
    </r>
  </si>
  <si>
    <t>c4.59</t>
  </si>
  <si>
    <t>c4.60</t>
  </si>
  <si>
    <t>c4.61</t>
  </si>
  <si>
    <t>c4.62</t>
  </si>
  <si>
    <t>c4.63</t>
  </si>
  <si>
    <t>c4.64</t>
  </si>
  <si>
    <t>c4.65</t>
  </si>
  <si>
    <t>c4.66</t>
  </si>
  <si>
    <t>Total deductions and additions</t>
  </si>
  <si>
    <t>You choose to pay Class 2 NICs voluntarily</t>
  </si>
  <si>
    <t>M21</t>
  </si>
  <si>
    <t>M20</t>
  </si>
  <si>
    <t>Class2 Voluntarily</t>
  </si>
  <si>
    <t>P19</t>
  </si>
  <si>
    <t>Class4 NIC Exempt</t>
  </si>
  <si>
    <t>Share Loss Relief</t>
  </si>
  <si>
    <t>Seed Enterprise Investment Scheme relief is attributable</t>
  </si>
  <si>
    <t>Share loss relief to which Enterprise Investment Scheme/</t>
  </si>
  <si>
    <t>Relief not subject to Limit</t>
  </si>
  <si>
    <t>Relief subject to Limit</t>
  </si>
  <si>
    <t>Less exclusions</t>
  </si>
  <si>
    <t>Payments to trade unions or police organisations</t>
  </si>
  <si>
    <t>Sole Traders</t>
  </si>
  <si>
    <t>SL_case</t>
  </si>
  <si>
    <t>MA_transfer</t>
  </si>
  <si>
    <t>MAT</t>
  </si>
  <si>
    <t>Marriage Allowance Transfer</t>
  </si>
  <si>
    <t>Transfer of Married Allowance</t>
  </si>
  <si>
    <t>MAT1</t>
  </si>
  <si>
    <t>MAT2</t>
  </si>
  <si>
    <t>MAT3</t>
  </si>
  <si>
    <t>MAT4</t>
  </si>
  <si>
    <t>MAT5</t>
  </si>
  <si>
    <t>AA999999A</t>
  </si>
  <si>
    <t>Matt</t>
  </si>
  <si>
    <t>Barbarena</t>
  </si>
  <si>
    <t>Band between Savings rate &amp; Basic rate</t>
  </si>
  <si>
    <t>+ relevant earnings adjustment</t>
  </si>
  <si>
    <t>c4.67</t>
  </si>
  <si>
    <t>c4.68</t>
  </si>
  <si>
    <t>c4.69</t>
  </si>
  <si>
    <t>c4.70</t>
  </si>
  <si>
    <t>used for calculating the election to transfer personal allowance</t>
  </si>
  <si>
    <t>N26</t>
  </si>
  <si>
    <t>0</t>
  </si>
  <si>
    <t>Allowance Transfer</t>
  </si>
  <si>
    <t>Relief amount subject to limit</t>
  </si>
  <si>
    <t>Total allowable relief</t>
  </si>
  <si>
    <t>c4.71</t>
  </si>
  <si>
    <t>Copy to c17.7</t>
  </si>
  <si>
    <t>Boxes c20a.1 to c20a.50 not used</t>
  </si>
  <si>
    <t>O19</t>
  </si>
  <si>
    <t>D38</t>
  </si>
  <si>
    <t>H35</t>
  </si>
  <si>
    <t>c16.21</t>
  </si>
  <si>
    <t>c16.22</t>
  </si>
  <si>
    <t>c16.23</t>
  </si>
  <si>
    <t>c16.24</t>
  </si>
  <si>
    <t>c16.25</t>
  </si>
  <si>
    <t>c16.26</t>
  </si>
  <si>
    <t>c16.27</t>
  </si>
  <si>
    <t>c16.28</t>
  </si>
  <si>
    <t>Reg 100 Calculation</t>
  </si>
  <si>
    <t>Class 1 NICs due at standard rate</t>
  </si>
  <si>
    <t>Class 2</t>
  </si>
  <si>
    <t>Class 2 NIC due</t>
  </si>
  <si>
    <t>c16.29</t>
  </si>
  <si>
    <t>c16.30</t>
  </si>
  <si>
    <t>c16.31</t>
  </si>
  <si>
    <t>c16.32</t>
  </si>
  <si>
    <t>NIC2_SPT</t>
  </si>
  <si>
    <t>Class 2 NIC small profit theshhold</t>
  </si>
  <si>
    <t>Band between Basic Rate &amp; Higher rate</t>
  </si>
  <si>
    <t>Class 4 rate between lower profits limit and upper profits limit</t>
  </si>
  <si>
    <t>Class 4 rate above upper profits limit</t>
  </si>
  <si>
    <t>Student Loan deduction rate</t>
  </si>
  <si>
    <t>NIC2_weekamt</t>
  </si>
  <si>
    <t>Class 2 amount, per week</t>
  </si>
  <si>
    <t>Employees' rate between threshold and upper earnings limit</t>
  </si>
  <si>
    <t>NIC1_rate</t>
  </si>
  <si>
    <t>Subtract Class 1 and Class 2</t>
  </si>
  <si>
    <t>Subtract the LPL from the UPL, or the Actual profit figure, (whichever is lowest)</t>
  </si>
  <si>
    <t>Actual profit figure minus UPL x UPL rate</t>
  </si>
  <si>
    <t>PAY</t>
  </si>
  <si>
    <t>PT Teacher</t>
  </si>
  <si>
    <t>Benefits</t>
  </si>
  <si>
    <t>Class 4 Exempt</t>
  </si>
  <si>
    <t>Class 2 Voluntary Deductions</t>
  </si>
  <si>
    <t>NIC2_Vol</t>
  </si>
  <si>
    <t>Voluntary Class 2</t>
  </si>
  <si>
    <t>L89A</t>
  </si>
  <si>
    <t>NIC2-amount</t>
  </si>
  <si>
    <t>Class 2 National Insurance contributions</t>
  </si>
  <si>
    <t xml:space="preserve">Income Tax, Class 2 and Class 4 National Insurance contributions </t>
  </si>
  <si>
    <t>Total Income Tax, Class 2 and Class 4 NIC due</t>
  </si>
  <si>
    <t>c12.20</t>
  </si>
  <si>
    <t>c12.21</t>
  </si>
  <si>
    <t>Class 2 &amp; Class 4 National Insurance contributions</t>
  </si>
  <si>
    <t>L30</t>
  </si>
  <si>
    <t>AllceOut-TPA</t>
  </si>
  <si>
    <t>Total profit less adjustments</t>
  </si>
  <si>
    <t>Reg 100 Class 4 NIC due</t>
  </si>
  <si>
    <t>Total Class 4 NIC due</t>
  </si>
  <si>
    <t>Untaxed foreign interest (up to £2,000)</t>
  </si>
  <si>
    <t>INC21</t>
  </si>
  <si>
    <t>c2.19</t>
  </si>
  <si>
    <t>Untaxed foreign interest</t>
  </si>
  <si>
    <t>c2.18 + c3.17</t>
  </si>
  <si>
    <t>Annual Exempt Amount</t>
  </si>
  <si>
    <t>Reducing Allowances rate for MCA, Alimony etc</t>
  </si>
  <si>
    <t>Losses brought forward from earlier years</t>
  </si>
  <si>
    <t>D41</t>
  </si>
  <si>
    <t>Your share of the partnership's trading or professional profits</t>
  </si>
  <si>
    <t>Your share of the partnership’s trading or professional losses</t>
  </si>
  <si>
    <t>Class 2 and Class 4 National Insurance contributions (NICs)</t>
  </si>
  <si>
    <t>Your share of the partnership’s untaxed income</t>
  </si>
  <si>
    <t>Income from UK property</t>
  </si>
  <si>
    <t>Your share of the partnership’s taxed income</t>
  </si>
  <si>
    <t>Your share of the partnership’s total taxed and untaxed income</t>
  </si>
  <si>
    <t>Your share of the partnership’s tax paid and deductions</t>
  </si>
  <si>
    <t>Cell</t>
  </si>
  <si>
    <t>O29</t>
  </si>
  <si>
    <t>H38</t>
  </si>
  <si>
    <t>K5</t>
  </si>
  <si>
    <t>K8</t>
  </si>
  <si>
    <t>K32</t>
  </si>
  <si>
    <t>Cl2</t>
  </si>
  <si>
    <t>Other untaxed UK income</t>
  </si>
  <si>
    <t>H41</t>
  </si>
  <si>
    <t>K38</t>
  </si>
  <si>
    <t>Other untaxed foreign income</t>
  </si>
  <si>
    <t>H44</t>
  </si>
  <si>
    <t>UK interest</t>
  </si>
  <si>
    <t>Non-UK interest and other foreign sources</t>
  </si>
  <si>
    <t>Calculating Lloyd’s taxable profits or allowable losses</t>
  </si>
  <si>
    <t>Class 2 and Class 4 National Insurance contributions</t>
  </si>
  <si>
    <t>Income from overseas sources</t>
  </si>
  <si>
    <t>Income from land and property abroad</t>
  </si>
  <si>
    <t>c4.72</t>
  </si>
  <si>
    <t>Loss brought forward (1)</t>
  </si>
  <si>
    <t>Loss brought forward (2)</t>
  </si>
  <si>
    <t>c1.38</t>
  </si>
  <si>
    <t>c1.39</t>
  </si>
  <si>
    <t>c1.40</t>
  </si>
  <si>
    <t>c1.41</t>
  </si>
  <si>
    <t>c1.42</t>
  </si>
  <si>
    <t>c1.43</t>
  </si>
  <si>
    <t>c1.44</t>
  </si>
  <si>
    <t>c1.45</t>
  </si>
  <si>
    <t>Losses brought forward</t>
  </si>
  <si>
    <t>Profit from partnerships minus losses brought forward</t>
  </si>
  <si>
    <t>c4.73</t>
  </si>
  <si>
    <t>Total from self-employment</t>
  </si>
  <si>
    <t>c1.46</t>
  </si>
  <si>
    <t>c1.47</t>
  </si>
  <si>
    <t>c1.48</t>
  </si>
  <si>
    <t>c1.49</t>
  </si>
  <si>
    <t>c1.50</t>
  </si>
  <si>
    <t>c1.51</t>
  </si>
  <si>
    <t>class 2 NIC</t>
  </si>
  <si>
    <t>c99.25</t>
  </si>
  <si>
    <t>c99.26</t>
  </si>
  <si>
    <t>c99.27</t>
  </si>
  <si>
    <t>c99.28</t>
  </si>
  <si>
    <t>c99.29</t>
  </si>
  <si>
    <t>c99.30</t>
  </si>
  <si>
    <t>from CAL4.1</t>
  </si>
  <si>
    <t>copy to c12.3</t>
  </si>
  <si>
    <t>Class 2 NICs due</t>
  </si>
  <si>
    <t>Class 2 National Insurance</t>
  </si>
  <si>
    <t>Election to reduce personal allowance (Marriage Allowance transfer)</t>
  </si>
  <si>
    <t>c1.52</t>
  </si>
  <si>
    <t>c1.53</t>
  </si>
  <si>
    <t>c1.54</t>
  </si>
  <si>
    <t>c1.55</t>
  </si>
  <si>
    <t>c1.56</t>
  </si>
  <si>
    <t>c1.57</t>
  </si>
  <si>
    <t>Calculation of Class 4 without reference to Class 2 and Class 1</t>
  </si>
  <si>
    <t>NIC4-amount</t>
  </si>
  <si>
    <t>L89B</t>
  </si>
  <si>
    <t>L89C</t>
  </si>
  <si>
    <t>NIC1-amount</t>
  </si>
  <si>
    <t>Marriage Allowance transferred out</t>
  </si>
  <si>
    <t>Marriage Allowance transferred in</t>
  </si>
  <si>
    <t>AllceIn-TPA</t>
  </si>
  <si>
    <t>c12.22</t>
  </si>
  <si>
    <t>c12.23</t>
  </si>
  <si>
    <t>AllceIn-TPA-relief</t>
  </si>
  <si>
    <t>Tax reductions - Reliefs</t>
  </si>
  <si>
    <t>c1.17 + c1.20</t>
  </si>
  <si>
    <t>Marriage Allowance transfer</t>
  </si>
  <si>
    <t>Calculate adjustment to total SL income from all employments</t>
  </si>
  <si>
    <t>less</t>
  </si>
  <si>
    <t>Total tax and National Insurance contributions due</t>
  </si>
  <si>
    <t>(A)</t>
  </si>
  <si>
    <t>Pen_MPAA_limit</t>
  </si>
  <si>
    <t>Money Purchase Annual Allowance charge threshold (lower allowance)</t>
  </si>
  <si>
    <t>Calculate remittance basis charge</t>
  </si>
  <si>
    <t>c12.16 (Absolute value)</t>
  </si>
  <si>
    <t>c12.18 (Absolute value)</t>
  </si>
  <si>
    <t>Comments</t>
  </si>
  <si>
    <t>Tax allowances for vehicles and equipment (capital allowances)</t>
  </si>
  <si>
    <t>Calculating your taxable profit or loss</t>
  </si>
  <si>
    <t>CIS deductions and tax taken off</t>
  </si>
  <si>
    <t>Calculating your taxable profits</t>
  </si>
  <si>
    <t>Total taxable profits or net business loss</t>
  </si>
  <si>
    <t>CIS deductions</t>
  </si>
  <si>
    <t>c8.24</t>
  </si>
  <si>
    <t>Furnished holiday lettings</t>
  </si>
  <si>
    <t>Property income</t>
  </si>
  <si>
    <t>Income tax relief</t>
  </si>
  <si>
    <t>Gilt Edge Securities</t>
  </si>
  <si>
    <t>Income limit for age related allowances</t>
  </si>
  <si>
    <t>Rework UK tax liability to exclude those items that do not figure in TSR calculation.</t>
  </si>
  <si>
    <t xml:space="preserve">(When called from On-Line Functions Capture Return Details and Amend Return for a taxpayer with Chargeable Events the process will need to know if Top Slicing Relief is due before the calculation of liability is complete. The calling process may therefore need to call this common process twice, initially to determine if any relief is possible and secondly to undertake the complete calculation. </t>
  </si>
  <si>
    <t>When the process is called for the first time by either of these functions the signal RTN TOP SLICING CHECK REQD SIGNAL will be set to “Y” . If processing decides that Top Slicing Relief is due this signal is cleared and a second signal RTN TOP SLICING RELIEF DUE SIG set to “Y” to indicate to the calling process that the additional field ITF CEG INPUT AMOUNT should be displayed.)</t>
  </si>
  <si>
    <t xml:space="preserve">The ITF CEG INPUT AMOUNT is required where FOR43 + AOI4 + AOI6 + AOI8 &gt; 0, and either </t>
  </si>
  <si>
    <t>And</t>
  </si>
  <si>
    <t>CalculateTop Slicing Relief and appropriate fraction relief</t>
  </si>
  <si>
    <t>Short Service Refund lower band</t>
  </si>
  <si>
    <t>c5.30</t>
  </si>
  <si>
    <t>c5.31</t>
  </si>
  <si>
    <t>c5.32</t>
  </si>
  <si>
    <t>c5.33</t>
  </si>
  <si>
    <t>c5.34</t>
  </si>
  <si>
    <t>c5.35</t>
  </si>
  <si>
    <t>c5.36</t>
  </si>
  <si>
    <t>L126</t>
  </si>
  <si>
    <r>
      <t>The main body of the calculation is contained within stages 1 to 12</t>
    </r>
    <r>
      <rPr>
        <sz val="10"/>
        <color rgb="FFFF0000"/>
        <rFont val="Arial"/>
        <family val="2"/>
      </rPr>
      <t xml:space="preserve">. </t>
    </r>
    <r>
      <rPr>
        <sz val="10"/>
        <rFont val="Arial"/>
        <family val="2"/>
      </rPr>
      <t>Stages 14 to 29 may be required,</t>
    </r>
  </si>
  <si>
    <t xml:space="preserve">depending on the taxpayer’s circumstances.  They are cross-referenced with various points within stages </t>
  </si>
  <si>
    <t xml:space="preserve">1 to 12. Only the end result of processing in stages 14 to 28 (13 is not currently used) are used within </t>
  </si>
  <si>
    <t xml:space="preserve">stages 1 to 12 but all boxes leading to the end result need to be calculated. </t>
  </si>
  <si>
    <t>The annexes contain associated processing that is dependant on the calculation stages.</t>
  </si>
  <si>
    <t>Note where a box contains all instances then the rounding should be done on each instances.</t>
  </si>
  <si>
    <t>set calculation type = resident</t>
  </si>
  <si>
    <t>If NON UK RESIDENT (box NRD1 = Y)</t>
  </si>
  <si>
    <t>set calculation type = non-resident</t>
  </si>
  <si>
    <t>Swiss Tax Credit</t>
  </si>
  <si>
    <t>Accumulate tax paid from Tax Return</t>
  </si>
  <si>
    <t>Table A</t>
  </si>
  <si>
    <t>Table B</t>
  </si>
  <si>
    <t>Maximum Class 4 NIC chargeable x 9%</t>
  </si>
  <si>
    <t>Class 2 annual limit</t>
  </si>
  <si>
    <t>NIC2_annual_limit</t>
  </si>
  <si>
    <t>CL2</t>
  </si>
  <si>
    <t>L120a</t>
  </si>
  <si>
    <t>£up (for each SSE)</t>
  </si>
  <si>
    <t>£up (for each FSE)</t>
  </si>
  <si>
    <t>£up (for each SPS)</t>
  </si>
  <si>
    <t>£up (for each FPS)</t>
  </si>
  <si>
    <t>£up (for each PRO)</t>
  </si>
  <si>
    <t>£down (for each SSE)</t>
  </si>
  <si>
    <t>£down (for each FSE)</t>
  </si>
  <si>
    <t>£down (for each SPS)</t>
  </si>
  <si>
    <t>£down (for each FPS)</t>
  </si>
  <si>
    <t>Upayts_surcharge</t>
  </si>
  <si>
    <t>c25.39</t>
  </si>
  <si>
    <t>The Marriage Allowance Transfer for the recipient is not claimed on the SA Return but it is included in the SA302 tax calculation.</t>
  </si>
  <si>
    <t>OTRSA and 3rd party submissions will get this data from the Data cache during the return completion process.</t>
  </si>
  <si>
    <t>1-5</t>
  </si>
  <si>
    <t>Digital Claim</t>
  </si>
  <si>
    <t>MAT_OUT</t>
  </si>
  <si>
    <t>MAT_IN</t>
  </si>
  <si>
    <t>Marriage Allowance Transfer - Digital Claim in place</t>
  </si>
  <si>
    <t>MAT1-5</t>
  </si>
  <si>
    <t>Accessing &amp; Navigating SEES – SA Tax Calculator</t>
  </si>
  <si>
    <t>Things to note</t>
  </si>
  <si>
    <t xml:space="preserve">If the Transferor makes a claim on the return and not digitally, a relationship will be created on TBS, but it will not </t>
  </si>
  <si>
    <t xml:space="preserve">trigger a digital claim.  The fact that they are a Recipient will be stored in the background and when the Recipient </t>
  </si>
  <si>
    <t>On the 'Add pages' worksheet select the Reset calculation button to clear all entries and close pages before</t>
  </si>
  <si>
    <t>entering the details for another case</t>
  </si>
  <si>
    <t>Non-resident calculation</t>
  </si>
  <si>
    <t>Section 811 applies to taxpayers who are non-resident for the whole tax year.
Certain sources of income (mostly investment income*) are ‘disregarded’. That is no more tax can be charged than has been deducted at source.</t>
  </si>
  <si>
    <t>The disregarded income is removed from the tax calculation and only the tax deducted at source added to the liability computed on the non-disregarded income.</t>
  </si>
  <si>
    <t>UK allowances are not given in the section 811 calculation, even if the taxpayer is entitled to claim them. The taxpayer can still claim tax deductions in the section 811 calculation. (Note: Maintenance and alimony payments are a deduction, not an allowance, so any relief claimed is still given in the section 811 calculation.)</t>
  </si>
  <si>
    <t>As the use of section 811 is optional, two calculations are performed: 1) the ‘standard’ tax calculation including all income and any UK allowances due, 2) the section 811 calculation.</t>
  </si>
  <si>
    <t>The results of the two calculations are compared and the calculation that produces the better result for the taxpayer is retained.</t>
  </si>
  <si>
    <t>£down (for each PRO)</t>
  </si>
  <si>
    <t xml:space="preserve">   else</t>
  </si>
  <si>
    <t>row</t>
  </si>
  <si>
    <t>Taxed UK interest etc</t>
  </si>
  <si>
    <t>Other dividends</t>
  </si>
  <si>
    <t>Tax taken off foreign dividends</t>
  </si>
  <si>
    <t>State Pension</t>
  </si>
  <si>
    <t>State Pension lump sum</t>
  </si>
  <si>
    <t>Tax taken off box 9</t>
  </si>
  <si>
    <t>Pensions</t>
  </si>
  <si>
    <t>Tax taken off box 11</t>
  </si>
  <si>
    <t>Taxable Incapacity Benefit etc</t>
  </si>
  <si>
    <t>Tax taken off box 13</t>
  </si>
  <si>
    <t>Jobseeker’s Allowance</t>
  </si>
  <si>
    <t>Taxable State Pensions and benefits</t>
  </si>
  <si>
    <t>Other taxable income</t>
  </si>
  <si>
    <t>Total amount of allowable expenses</t>
  </si>
  <si>
    <t>Any tax taken off box 17</t>
  </si>
  <si>
    <t>Description of income in boxes 17 and 20</t>
  </si>
  <si>
    <t>Gift Aid payments</t>
  </si>
  <si>
    <t>Total of any ‘one-off’ payments in box 5</t>
  </si>
  <si>
    <t>Gift Aid payments treated as made in PY</t>
  </si>
  <si>
    <t>Gift Aid payments treated as made in CY</t>
  </si>
  <si>
    <t>Qualifying shares or securities gifted to charity</t>
  </si>
  <si>
    <t>Qualifying land and buildings gifted to charity</t>
  </si>
  <si>
    <t>Value of qualifying investments gifted to non-UK
charities in boxes 9 and 10</t>
  </si>
  <si>
    <t>Gift Aid payments to non-UK charities in box 5</t>
  </si>
  <si>
    <t>Registered blind, or severely sight impaired</t>
  </si>
  <si>
    <t>Name of the local authority or other register</t>
  </si>
  <si>
    <t>If you want your spouse, or civil partner, to have your surplus allowance, put ‘X’ in the box</t>
  </si>
  <si>
    <t>If you want your spouse’s, or civil partner’s, surplus allowance, put ‘X’ in the box</t>
  </si>
  <si>
    <t>Payments to registered pension schemes - basic rate tax relief claimed</t>
  </si>
  <si>
    <t>Payments to a retirement annuity contract - basic rate tax relief not claimed</t>
  </si>
  <si>
    <t>Payments to employer’s scheme not deducted from pay before tax</t>
  </si>
  <si>
    <t>Payments to an overseas pension scheme - eligible for tax relief not deducted from pay before tax</t>
  </si>
  <si>
    <t>total amount of Child Benefit</t>
  </si>
  <si>
    <t>number of children</t>
  </si>
  <si>
    <t>spouse or civil partner's first name</t>
  </si>
  <si>
    <t>spouse or civil partner's last name</t>
  </si>
  <si>
    <t>spouse or civil partner's NINo</t>
  </si>
  <si>
    <t>spouse or civil partner's DoB</t>
  </si>
  <si>
    <t>Date of marriage or civil partnership</t>
  </si>
  <si>
    <t>[Digital Claim for MAT to spouse/civil partner]</t>
  </si>
  <si>
    <t>[Digital Claim for MAT from spouse/civil partner]</t>
  </si>
  <si>
    <t>date stopped getting Child Benefit payments</t>
  </si>
  <si>
    <t>Annex G: Adjust figures when taxpayer’s self-calculation is used (c99 boxes)</t>
  </si>
  <si>
    <t xml:space="preserve">If the operator opts to accept the taxpayer’s supplied figure in preference to the Revenue calculated </t>
  </si>
  <si>
    <t xml:space="preserve">figure (or the taxpayer’s supplied figure is within the box CAL1 or CAL2 tolerance) then it is necessary to </t>
  </si>
  <si>
    <t xml:space="preserve">either increase or decrease the Revenue calculated figures for Income Tax, and tax paid in proportion to </t>
  </si>
  <si>
    <t>the taxpayer’s supplied figure.</t>
  </si>
  <si>
    <t xml:space="preserve">Where the calculation process is invoked during the LDC capture and the taxpayer is a Self-Calculation </t>
  </si>
  <si>
    <t xml:space="preserve">case and the calculated figure of TOTAL TAX AND NIC DUE is outside the tolerance the Revenue figure </t>
  </si>
  <si>
    <t xml:space="preserve">is output to the operator  can then choose either to accept the taxpayer’s figure or repair it to the </t>
  </si>
  <si>
    <t>Revenue calculated figure.</t>
  </si>
  <si>
    <t xml:space="preserve">Where the calculation process is invoked during the Internet load then a tolerance is allowed to enable </t>
  </si>
  <si>
    <t xml:space="preserve">acceptance of Internet returns where there is a small difference between taxpayers’ and Revenue </t>
  </si>
  <si>
    <t xml:space="preserve">calculations. </t>
  </si>
  <si>
    <t>If self-calculation (CAL1 or CAL2 present)</t>
  </si>
  <si>
    <t>Adjust calculation figures</t>
  </si>
  <si>
    <t>Set Reason Code To Taxpayer Specified</t>
  </si>
  <si>
    <t>If LDC capture and the operator has accepted CAL1 or CAL2 figure</t>
  </si>
  <si>
    <t>(This will be an error that will be caught by CPR Validate Return. If mainframe function</t>
  </si>
  <si>
    <t xml:space="preserve">difference is outside tolerance otherwise this is being called by an LDC function when the 2 </t>
  </si>
  <si>
    <t>amounts must either be the same or subject to acceptance by the operator)</t>
  </si>
  <si>
    <t>no adjustment required</t>
  </si>
  <si>
    <t>Set Reason code to Revenue Computed</t>
  </si>
  <si>
    <t xml:space="preserve">Overview of the tax calculation process </t>
  </si>
  <si>
    <t>Format SA302 and view screens (see Annex A)</t>
  </si>
  <si>
    <t>NRD40</t>
  </si>
  <si>
    <t>Class2 Voluntary</t>
  </si>
  <si>
    <t>NIC2 Vol</t>
  </si>
  <si>
    <t>Components Box</t>
  </si>
  <si>
    <t>Other tax taken off trading income</t>
  </si>
  <si>
    <t>Notification repayment of Student Loan began</t>
  </si>
  <si>
    <t>HR Case</t>
  </si>
  <si>
    <t>4.1</t>
  </si>
  <si>
    <t>CAL4.1</t>
  </si>
  <si>
    <t>PAYE_case</t>
  </si>
  <si>
    <t>before_30_Sep</t>
  </si>
  <si>
    <t>c13.17</t>
  </si>
  <si>
    <t>Class 2 cannot be coded out</t>
  </si>
  <si>
    <t>Amount that can be coded out</t>
  </si>
  <si>
    <t>Share Fisherman</t>
  </si>
  <si>
    <t>NI</t>
  </si>
  <si>
    <t>Show/Hide calculations worksheets</t>
  </si>
  <si>
    <t>Class 2 Vol</t>
  </si>
  <si>
    <t>National Insurance</t>
  </si>
  <si>
    <t>NI2</t>
  </si>
  <si>
    <t>NI1</t>
  </si>
  <si>
    <t>Class 2 NIC</t>
  </si>
  <si>
    <t>Class 1 NIC</t>
  </si>
  <si>
    <t>NIC2SF_weekamt</t>
  </si>
  <si>
    <t>NIC2SF_annual_limit</t>
  </si>
  <si>
    <t>Class 2 weekly amount</t>
  </si>
  <si>
    <t>Selected</t>
  </si>
  <si>
    <t>No NIC2</t>
  </si>
  <si>
    <t>CL2wkamt</t>
  </si>
  <si>
    <t>CL2amt</t>
  </si>
  <si>
    <t>'Ordinary' rate</t>
  </si>
  <si>
    <t>Class 2 amount, per week for Share fishermen</t>
  </si>
  <si>
    <t>Class 2 annual limit for Share fishermen</t>
  </si>
  <si>
    <t>x 20% =</t>
  </si>
  <si>
    <t>x 40% =</t>
  </si>
  <si>
    <t>x 45% =</t>
  </si>
  <si>
    <t>x 0% =</t>
  </si>
  <si>
    <t>x 10% =</t>
  </si>
  <si>
    <t>x 9% =</t>
  </si>
  <si>
    <t>x 2% =</t>
  </si>
  <si>
    <t>Dividends + other income + Gains + benefit</t>
  </si>
  <si>
    <t>Total loss to carry forward</t>
  </si>
  <si>
    <t>c1.58</t>
  </si>
  <si>
    <t>Total loss to carry forward to the following year</t>
  </si>
  <si>
    <t>`</t>
  </si>
  <si>
    <t>c1.4 + c1.58</t>
  </si>
  <si>
    <t>c1.9 + c1.58</t>
  </si>
  <si>
    <t>YPD1</t>
  </si>
  <si>
    <t>YPD2</t>
  </si>
  <si>
    <t>YPD3</t>
  </si>
  <si>
    <t>YPD4</t>
  </si>
  <si>
    <t>Your date of birth</t>
  </si>
  <si>
    <t>Your name and address - date of change</t>
  </si>
  <si>
    <t>Your phone number</t>
  </si>
  <si>
    <t>Your National Insurance number</t>
  </si>
  <si>
    <t>CGT38</t>
  </si>
  <si>
    <t>Select or Enter</t>
  </si>
  <si>
    <t>item 1 country</t>
  </si>
  <si>
    <t>E10</t>
  </si>
  <si>
    <t>item 2 country</t>
  </si>
  <si>
    <t>E14</t>
  </si>
  <si>
    <t>item 3 country</t>
  </si>
  <si>
    <t>E18</t>
  </si>
  <si>
    <t>item 4 country</t>
  </si>
  <si>
    <t>E22</t>
  </si>
  <si>
    <t>item 5 country</t>
  </si>
  <si>
    <t>E26</t>
  </si>
  <si>
    <t>item 6 country</t>
  </si>
  <si>
    <t>E30</t>
  </si>
  <si>
    <t>item 7 country</t>
  </si>
  <si>
    <t>E34</t>
  </si>
  <si>
    <t>item 8 country</t>
  </si>
  <si>
    <t>E38</t>
  </si>
  <si>
    <t>item 9 country</t>
  </si>
  <si>
    <t>E42</t>
  </si>
  <si>
    <t>item 10 country</t>
  </si>
  <si>
    <t>E46</t>
  </si>
  <si>
    <t>3-letter code + DTA 'asterix'</t>
  </si>
  <si>
    <t>3 letter code *DTA</t>
  </si>
  <si>
    <t>Notes</t>
  </si>
  <si>
    <t>ARG *</t>
  </si>
  <si>
    <t>ARM *</t>
  </si>
  <si>
    <t>1. DT treaty is effective in both Armenia and UK from 1 January 2013 for taxes withheld at source.</t>
  </si>
  <si>
    <t>no article</t>
  </si>
  <si>
    <t>not eligible</t>
  </si>
  <si>
    <t>ATG *</t>
  </si>
  <si>
    <t>15% (note 1)</t>
  </si>
  <si>
    <t>AUS *</t>
  </si>
  <si>
    <t>1. Only unfranked dividends carry withholding tax.</t>
  </si>
  <si>
    <t>AUT *</t>
  </si>
  <si>
    <t>AZE *</t>
  </si>
  <si>
    <t>1. 5% on copyright royalties.</t>
  </si>
  <si>
    <t>BEL *</t>
  </si>
  <si>
    <t>BES *</t>
  </si>
  <si>
    <t>BGD *</t>
  </si>
  <si>
    <t>BGR *</t>
  </si>
  <si>
    <t>BHR *</t>
  </si>
  <si>
    <t>1. DT treaty is effective in both Bahrain and UK from 1 January 2013 for taxes withheld at source.</t>
  </si>
  <si>
    <t>BIH *</t>
  </si>
  <si>
    <t>BLR *</t>
  </si>
  <si>
    <t>BLZ *</t>
  </si>
  <si>
    <t>BOL *</t>
  </si>
  <si>
    <t>15% (S)</t>
  </si>
  <si>
    <t>0% (S)</t>
  </si>
  <si>
    <t>BRB *</t>
  </si>
  <si>
    <t>1. 15% on cinematograph and television royalties.</t>
  </si>
  <si>
    <t>BRN *</t>
  </si>
  <si>
    <t>BWA *</t>
  </si>
  <si>
    <t>10% (note 1)</t>
  </si>
  <si>
    <t>CAN *</t>
  </si>
  <si>
    <t>1. Zero if loan guaranteed by UK ECGD or Canadian EDC or if Canadian government or local authority bond.
2. Zero if copyright royalties (excluding films and television).</t>
  </si>
  <si>
    <t>CCK *</t>
  </si>
  <si>
    <t>CHE *</t>
  </si>
  <si>
    <t>CHL *</t>
  </si>
  <si>
    <t>CHN *</t>
  </si>
  <si>
    <t>1. Exempt in certain circumstances(see Art 11 [3]).</t>
  </si>
  <si>
    <t>CIV *</t>
  </si>
  <si>
    <t>1. 18% where paid by an Ivory Cost company exempt from tax or paying at less than normal rates on profits.</t>
  </si>
  <si>
    <t>CUW *</t>
  </si>
  <si>
    <t>CXR *</t>
  </si>
  <si>
    <t>0% (note 2)</t>
  </si>
  <si>
    <t>CYN *</t>
  </si>
  <si>
    <t>1. DTA effective in UK from 6 April 2011.
2. DTA does not include provisions relieving dividends, interest or royalties.</t>
  </si>
  <si>
    <t>CYP *</t>
  </si>
  <si>
    <t>1. 5% on film and television royalties.</t>
  </si>
  <si>
    <t>CZE *</t>
  </si>
  <si>
    <t>1. Zero on copyright royalties.</t>
  </si>
  <si>
    <t>0 (S) (note 2)</t>
  </si>
  <si>
    <t>15% (S) (note 2)</t>
  </si>
  <si>
    <t>DEU *</t>
  </si>
  <si>
    <t>1.New DT treaty effective in Germany from 1 January 2011. Effective in UK from 1 January 2011 for taxes withheld at source.
2. ‘Subject to tax’ condition applies only to income paid before 1 January 2011.</t>
  </si>
  <si>
    <t>DNK *</t>
  </si>
  <si>
    <t>EGY *</t>
  </si>
  <si>
    <t>1. Exempt if loan guaranteed by UK ECGD.</t>
  </si>
  <si>
    <t>ESP *</t>
  </si>
  <si>
    <t>EST *</t>
  </si>
  <si>
    <t>1.Exempt in certain circumstances (see Art 11 [3]).
2. 5% on royalties for the use of industrial, commercial or scientific equipment (see Art 12 [2][6]).</t>
  </si>
  <si>
    <t>ETH *</t>
  </si>
  <si>
    <t>1.DT treaty is effective in both Ethiopia and UK from 1 March 2013 for taxes withheld at source.</t>
  </si>
  <si>
    <t>FIN *</t>
  </si>
  <si>
    <t>FJI *</t>
  </si>
  <si>
    <t>1. Zero if copyright royalties (excluding films and television).</t>
  </si>
  <si>
    <t>Nil (note 2)</t>
  </si>
  <si>
    <t>(note 1)</t>
  </si>
  <si>
    <t>FLK *</t>
  </si>
  <si>
    <t>1.See the Double Taxation Manual at www.hmrc.gov.uk/manuals/index.htm
2.Exempt if loan guaranteed by UK ECGD.</t>
  </si>
  <si>
    <t>FRA *</t>
  </si>
  <si>
    <t>FRO *</t>
  </si>
  <si>
    <t>1. DT treaty effective in Faroes from 1 January 2009 and in UK from 6 April 2009.</t>
  </si>
  <si>
    <t>GEO *</t>
  </si>
  <si>
    <t>GGY *</t>
  </si>
  <si>
    <t>12.5% (S)</t>
  </si>
  <si>
    <t>GHA *</t>
  </si>
  <si>
    <t>GLP *</t>
  </si>
  <si>
    <t>GMB *</t>
  </si>
  <si>
    <t>GRC *</t>
  </si>
  <si>
    <t>GRD *</t>
  </si>
  <si>
    <t>GUF *</t>
  </si>
  <si>
    <t>15% (S) (note 1)</t>
  </si>
  <si>
    <t>GUY *</t>
  </si>
  <si>
    <t>1. Exempt if loan guaranteed by UK ECGD.
2. A smaller percentage where Guyana Minister of Finance applies Section 39(10) of the Income Tax Act, Chapter 81:01.</t>
  </si>
  <si>
    <t>HKG *</t>
  </si>
  <si>
    <t>HRV *</t>
  </si>
  <si>
    <t>10% (note 2)</t>
  </si>
  <si>
    <t>HUN *</t>
  </si>
  <si>
    <t>1. New DT treaty effective in Hungary from January 2012. Effective in UK from 1 January 2012 for taxes withheld at source.
2.The prior treaty rate of 15% applies to the dividends paid before 1 January 2012.</t>
  </si>
  <si>
    <t>10% (S)</t>
  </si>
  <si>
    <t>IDN *</t>
  </si>
  <si>
    <t>1. 10% on payments for the use of industrial, commercial or scientific equipment (see Art 12 [2][6]).</t>
  </si>
  <si>
    <t>IMN *</t>
  </si>
  <si>
    <t>IND *</t>
  </si>
  <si>
    <t>1. Article includes fees for technical services. For first 5 years of Convention, 15% where payer is Government. 15% for all royalties etc. after the 5 years. Some forms of royalty 10% throughout.</t>
  </si>
  <si>
    <t>IRL *</t>
  </si>
  <si>
    <t>1. Exempt where paid to a charity, superannuation fund or insurance companies in respect of pension fund business.</t>
  </si>
  <si>
    <t>ISL *</t>
  </si>
  <si>
    <t>ISR *</t>
  </si>
  <si>
    <t>1. See treaty for cinematograph or television royalties.</t>
  </si>
  <si>
    <t>ITA *</t>
  </si>
  <si>
    <t>12.5% (note 1)</t>
  </si>
  <si>
    <t>JAM *</t>
  </si>
  <si>
    <t>JEY *</t>
  </si>
  <si>
    <t>JOR *</t>
  </si>
  <si>
    <t>JPN *</t>
  </si>
  <si>
    <t>KAZ *</t>
  </si>
  <si>
    <t>1. Exempt if loan Guaranteed by UK ECGD.
2. Unless election is made for net profit basis.</t>
  </si>
  <si>
    <t>KEN *</t>
  </si>
  <si>
    <t>KIR *</t>
  </si>
  <si>
    <t>KNA *</t>
  </si>
  <si>
    <t>KOR *</t>
  </si>
  <si>
    <t>1. Exempt if loan Guaranteed by UK ECGD.</t>
  </si>
  <si>
    <t>KWT *</t>
  </si>
  <si>
    <t>LBY *</t>
  </si>
  <si>
    <t>1. New DT treaty effective in Libya from 1 January 2011. effective in UK from 6 April 2010.</t>
  </si>
  <si>
    <t>LIE *</t>
  </si>
  <si>
    <t>1. DT treaty is effective in both Liechtenstein and UK from 1 February 2013 for taxes withheld at source.</t>
  </si>
  <si>
    <t>no limitation</t>
  </si>
  <si>
    <t>LKA *</t>
  </si>
  <si>
    <t>1. Only reduced to this rate where paid on loan, etc. made after 21 June 1989.
2. Only reduced to this rate where rights are granted after 21 June 1989.</t>
  </si>
  <si>
    <t>LSO *</t>
  </si>
  <si>
    <t>LTU *</t>
  </si>
  <si>
    <t>1. Exempt in certain circumstances(see Art 12[2][6]).
2. 5% on royalties for the use of industrial, commercial or scientific equipment (see Art 12[2][6]).</t>
  </si>
  <si>
    <t>LUX *</t>
  </si>
  <si>
    <t>LVA *</t>
  </si>
  <si>
    <t>Exempt if loan guaranteed by UK ECGD or Bank of England.</t>
  </si>
  <si>
    <t>MAR *</t>
  </si>
  <si>
    <t>5% (note 1)</t>
  </si>
  <si>
    <t>MDA *</t>
  </si>
  <si>
    <t>1. Exempt in certain circumstances (see Art 11[2]).</t>
  </si>
  <si>
    <t>MEX *</t>
  </si>
  <si>
    <t>1. A lower rate or exemption will apply in certain circumstances (see Art 11[2]).</t>
  </si>
  <si>
    <t>MKD *</t>
  </si>
  <si>
    <t>MLT *</t>
  </si>
  <si>
    <t>MMR *</t>
  </si>
  <si>
    <t>MNE *</t>
  </si>
  <si>
    <t>MNG *</t>
  </si>
  <si>
    <t>MSR *</t>
  </si>
  <si>
    <t>MTQ *</t>
  </si>
  <si>
    <t>No limit'n note1</t>
  </si>
  <si>
    <t>MUS *</t>
  </si>
  <si>
    <t>1. Exempt when paid to UK banks.</t>
  </si>
  <si>
    <t>MWI *</t>
  </si>
  <si>
    <t>10% (S) (note 1)</t>
  </si>
  <si>
    <t>MYS *</t>
  </si>
  <si>
    <t>1. Exempt if an approved loan (see Art 11).</t>
  </si>
  <si>
    <t>NAM *</t>
  </si>
  <si>
    <t>1. Copyright royalties only. Other royalties: the lesser of 5% and one half of tax that would otherwise be charged.</t>
  </si>
  <si>
    <t>NFK *</t>
  </si>
  <si>
    <t>NGA *</t>
  </si>
  <si>
    <t>NLD *</t>
  </si>
  <si>
    <t>1. 15% if dividends paid by a Property Authorised Investment Fund.</t>
  </si>
  <si>
    <t>NOR *</t>
  </si>
  <si>
    <t>NZL *</t>
  </si>
  <si>
    <t>OMN *</t>
  </si>
  <si>
    <t>1. DT treaty amended by Protocol, effective in both Oman and UK for taxes withheld at source from January 2012.
2. The prior treaty rate of Zero (S) applies to royalties paid before 1 January 2012.</t>
  </si>
  <si>
    <t>20% (note 1)</t>
  </si>
  <si>
    <t>PAK *</t>
  </si>
  <si>
    <t>1. See the Double Taxation Manual, DT14956 and Art 10 at www.hmrc.gov.uk/manuals/index.htm</t>
  </si>
  <si>
    <t>PHL *</t>
  </si>
  <si>
    <t>1. 10% where paid by public issue bond etc. Exempt where loan is guaranteed by a UK government agency.
2. 15% on royalties for films, television or radio.</t>
  </si>
  <si>
    <t>PNG *</t>
  </si>
  <si>
    <t>POL *</t>
  </si>
  <si>
    <t>PRT *</t>
  </si>
  <si>
    <t>QAT *</t>
  </si>
  <si>
    <t>1. New DT treaty effective in Qatar from 1 January 2011. Effective in UK from 1 January 2011 for taxes withheld at source.</t>
  </si>
  <si>
    <t>REU *</t>
  </si>
  <si>
    <t>ROU *</t>
  </si>
  <si>
    <t>1. 10% on copyright royalties
2. Rate applies to commissions. See the Double Taxation Manual, DT16054 at www.hmrc.gov.uk/manuals/index.htm</t>
  </si>
  <si>
    <t>RUS *</t>
  </si>
  <si>
    <t>SAU *</t>
  </si>
  <si>
    <t>1. DT treaty effective in Saudi Arabia from 1 January 2010 and in UK from 6 April 2010.
2. Income from debt claims.
3. 5% for royalties paid for the use of or the right to use, industrial, commercial, or scientific equipment, 8% in all other cases.</t>
  </si>
  <si>
    <t>SDN *</t>
  </si>
  <si>
    <t>1. Exempt if the dividends are exempt under Sudan law when paid to non-residents.</t>
  </si>
  <si>
    <t>not eligible (note 1)</t>
  </si>
  <si>
    <t>SGP *</t>
  </si>
  <si>
    <t>1. Treaty allows for 15% but there are currently no withholding taxes on dividends.</t>
  </si>
  <si>
    <t>SLB *</t>
  </si>
  <si>
    <t>SLE *</t>
  </si>
  <si>
    <t>SRB *</t>
  </si>
  <si>
    <t>SVK *</t>
  </si>
  <si>
    <t>1. Zero on copyright royalties (see Art (12[3][6]).</t>
  </si>
  <si>
    <t>SVN *</t>
  </si>
  <si>
    <t>SWE *</t>
  </si>
  <si>
    <t>SWZ *</t>
  </si>
  <si>
    <t>SXM *</t>
  </si>
  <si>
    <t>25% (note 2)</t>
  </si>
  <si>
    <t>THA *</t>
  </si>
  <si>
    <t>1. Rate only applies to a dividend from a company carrying on an industrial undertaking.
2. 10% if paid to a financial institution.
3. 15% on patent royalties.</t>
  </si>
  <si>
    <t>TJK *</t>
  </si>
  <si>
    <t>TKM *</t>
  </si>
  <si>
    <t>TTO *</t>
  </si>
  <si>
    <t>1. Copyright royalties are exempt.</t>
  </si>
  <si>
    <t>TUN *</t>
  </si>
  <si>
    <t>TUR *</t>
  </si>
  <si>
    <t>TUV *</t>
  </si>
  <si>
    <t>TWN *</t>
  </si>
  <si>
    <t>UGA *</t>
  </si>
  <si>
    <t>UKR *</t>
  </si>
  <si>
    <t>USA *</t>
  </si>
  <si>
    <t>UZB *</t>
  </si>
  <si>
    <t>VEN *</t>
  </si>
  <si>
    <t>1. Exempt if paid on a loan guaranteed by UK ECGD.</t>
  </si>
  <si>
    <t>VGB *</t>
  </si>
  <si>
    <t>1. DTA effective in UK from 6 April 2011.
2. DTA does not include provisions relieving dividends,
interest or royalties.</t>
  </si>
  <si>
    <t>VNM *</t>
  </si>
  <si>
    <t>ZAF *</t>
  </si>
  <si>
    <t>ZMB *</t>
  </si>
  <si>
    <t>ZWE *</t>
  </si>
  <si>
    <t>MaxTaxRate LookUp</t>
  </si>
  <si>
    <t>If you are excepted from paying Class 4 NICs, put ‘X’ in the box</t>
  </si>
  <si>
    <t>Adjustment to profits chargeable to Class 4 NICs</t>
  </si>
  <si>
    <t>Please give any other information in this space</t>
  </si>
  <si>
    <t>Nature of your post or appointment</t>
  </si>
  <si>
    <t>Salary or stipend</t>
  </si>
  <si>
    <t>Tax taken off box 2</t>
  </si>
  <si>
    <t>Fees and offerings</t>
  </si>
  <si>
    <t>Vicarage expenses paid for you</t>
  </si>
  <si>
    <t>Personal expenses paid for you,</t>
  </si>
  <si>
    <t>Excess mileage allowance and passenger payments</t>
  </si>
  <si>
    <t>Round-sum expenses and rent allowances</t>
  </si>
  <si>
    <t>Tax taken off box 8</t>
  </si>
  <si>
    <t>Other income from your post or appointment</t>
  </si>
  <si>
    <t>Tax taken off box 10</t>
  </si>
  <si>
    <t>Total income as a minister of religion (box 2 + boxes 4 to 8 + box 10)</t>
  </si>
  <si>
    <t>Vicarage services benefits received</t>
  </si>
  <si>
    <t>Car provided for you</t>
  </si>
  <si>
    <t>Fuel for car provided for you</t>
  </si>
  <si>
    <t>Interest-free and low interest loans</t>
  </si>
  <si>
    <t>Expenses payments made to you</t>
  </si>
  <si>
    <t>Total benefits and expenses (total of boxes 13 to 18)</t>
  </si>
  <si>
    <t>Taxable income, benefits and expenses received</t>
  </si>
  <si>
    <t>Travelling expenses and capital allowances</t>
  </si>
  <si>
    <t>Maintenance, repairs and insurance of vicarage etc.</t>
  </si>
  <si>
    <t>Rent</t>
  </si>
  <si>
    <t>Secretarial assistance</t>
  </si>
  <si>
    <t>Total expenses paid (total of boxes 21 to 25)</t>
  </si>
  <si>
    <t>Gross income (box 20 minus (box 5 + box 13))</t>
  </si>
  <si>
    <t>Payments</t>
  </si>
  <si>
    <t>Net income (box 27 + box 28 minus (box 26 + box 29 + box 30))</t>
  </si>
  <si>
    <t>10% of net income in box 31</t>
  </si>
  <si>
    <t>Amount you paid toward service benefit received</t>
  </si>
  <si>
    <t>Payments made for you and service benefit received for your vicarage (box 5 + box 13)</t>
  </si>
  <si>
    <t>Service benefit cap (box 33 + box 34 minus box 32)</t>
  </si>
  <si>
    <t>Chaplaincy and other income as a minister</t>
  </si>
  <si>
    <t>Tax taken off box 36</t>
  </si>
  <si>
    <t>Taxable income minus expenses (box 20 + box 36 minus (box 26 + box 35))</t>
  </si>
  <si>
    <t>Total tax taken off (box 3 + box 9 + box 11 + box 37)</t>
  </si>
  <si>
    <t>Gilt etc interest after tax taken off</t>
  </si>
  <si>
    <t>Gross amount before tax</t>
  </si>
  <si>
    <t>UK life insurance policy etc gains on which tax was treated as paid</t>
  </si>
  <si>
    <t>Number of years the policy has been held or since the last gain</t>
  </si>
  <si>
    <t>UK life insurance policy etc gains where no tax was treated as paid</t>
  </si>
  <si>
    <t>UK life insurance policy etc gains from voided ISAs</t>
  </si>
  <si>
    <t>Number of years the policy was held</t>
  </si>
  <si>
    <t>The amount of post-cessation or other business receipts</t>
  </si>
  <si>
    <t>Tax year income to be taxed</t>
  </si>
  <si>
    <t>Share schemes – the taxable amount</t>
  </si>
  <si>
    <t>ASE2</t>
  </si>
  <si>
    <t>Box 2 is not in use</t>
  </si>
  <si>
    <t>Taxable lump sums and certain income after the end of your job</t>
  </si>
  <si>
    <t>Lump sums or benefits received from an Employer Financed Retirement Benefits Scheme excluding pensions</t>
  </si>
  <si>
    <t>Redundancy, other lump sums and compensation payments</t>
  </si>
  <si>
    <t>Tax taken off boxes 3 to 5</t>
  </si>
  <si>
    <t>f you have left box 6 blank because the tax is included in box 2 on the ‘Employment’ page, put ‘X’ in the box</t>
  </si>
  <si>
    <t>Exemptions for amounts entered in box 4</t>
  </si>
  <si>
    <t>Compensation and lump sums up to £30,000 exemption</t>
  </si>
  <si>
    <t>Disability and foreign service deduction</t>
  </si>
  <si>
    <t>Exempt employers’ contributions to an overseas pension scheme</t>
  </si>
  <si>
    <t>UK patent royalty payments made</t>
  </si>
  <si>
    <t>Subscriptions for Venture Capital Trust shares</t>
  </si>
  <si>
    <t>Subscriptions for shares under the Enterprise Investment Scheme</t>
  </si>
  <si>
    <t>Annual payments made</t>
  </si>
  <si>
    <t>Payments to a trade union etc. for death benefits</t>
  </si>
  <si>
    <t>Relief claimed on a qualifying distribution on the redemption of bonus shares or securities</t>
  </si>
  <si>
    <t>Subscriptions for shares under the Seed Enterprise Investment Scheme</t>
  </si>
  <si>
    <t>Your spouse’s or civil partner’s full name</t>
  </si>
  <si>
    <t>Their date of birth if older than you</t>
  </si>
  <si>
    <t>If you have already agreed that half the minimum allowance is to go to your spouse or civil partner, put ‘X’ in the box</t>
  </si>
  <si>
    <t>If you have already agreed that all of the minimum allowance is to go to your spouse or civil partner, put ‘X’ in the box</t>
  </si>
  <si>
    <t>If you have already agreed that half of the minimum allowance is to be given to you, put ‘X’ in the box</t>
  </si>
  <si>
    <t>If you have already agreed that all of the minimum allowance is to be given to you, put ‘X’ in the box</t>
  </si>
  <si>
    <t>Your name</t>
  </si>
  <si>
    <t>Your Unique Taxpayer Reference (UTR)</t>
  </si>
  <si>
    <t>Gains invested under Seed Enterprise Investment Scheme and qualifying for relief</t>
  </si>
  <si>
    <t>Losses brought forward and used in the year</t>
  </si>
  <si>
    <t>Additional liability for non-resident or dual resident trusts</t>
  </si>
  <si>
    <t>Losses used against an earlier year’s gain</t>
  </si>
  <si>
    <t>Number of disposals</t>
  </si>
  <si>
    <t>Disposal proceeds</t>
  </si>
  <si>
    <t>Allowable costs (including purchase price)</t>
  </si>
  <si>
    <t>Gains in the year, before losses</t>
  </si>
  <si>
    <t>If you are making any claim or election, put the relevant code in the box</t>
  </si>
  <si>
    <t>If your computations include any estimates or valuations, put ‘X’ in the box</t>
  </si>
  <si>
    <t>Attributed gains where personal losses cannot be set off</t>
  </si>
  <si>
    <t>If you want to have your spouse’s or civil partner’s surplus allowance, put ‘X’ in the box</t>
  </si>
  <si>
    <t>If you want your spouse or civil partner to have your surplus allowance, put ‘X’ in the box</t>
  </si>
  <si>
    <t>Total unused losses carried forward</t>
  </si>
  <si>
    <t>Enter the amount of relief shown in box 3 which is not subject to the limit on Income Tax reliefs</t>
  </si>
  <si>
    <t>Amount of payroll giving</t>
  </si>
  <si>
    <t>Other information</t>
  </si>
  <si>
    <t>Married Couple’s Allowance</t>
  </si>
  <si>
    <t>Value of pension benefits in excess of your Available Lifetime Allowance, taken by you as a lump sum</t>
  </si>
  <si>
    <t>Value of pension benefits in excess of your Available Lifetime Allowance, not taken as a lump sum</t>
  </si>
  <si>
    <t>Lifetime Allowance tax paid by your pension scheme</t>
  </si>
  <si>
    <t>Amount saved towards your pension, in the period covered by this tax return, in excess of the Annual Allowance</t>
  </si>
  <si>
    <t>Annual Allowance tax paid or payable by your pension scheme</t>
  </si>
  <si>
    <t>Pension scheme tax reference number</t>
  </si>
  <si>
    <t>Amount of unauthorised payment from a pension scheme, not subject to surcharge</t>
  </si>
  <si>
    <t>Amount of unauthorised payment from a pension scheme, subject to surcharge</t>
  </si>
  <si>
    <t>Foreign tax paid on an unauthorised payment (in £ sterling)</t>
  </si>
  <si>
    <t>Taxable short service refund of contributions (overseas pension schemes only)</t>
  </si>
  <si>
    <t>Taxable lump sum payment (overseas pension schemes only)</t>
  </si>
  <si>
    <t>Foreign tax paid (in £ sterling) on boxes 16 and 17</t>
  </si>
  <si>
    <t>The scheme reference number or promoter reference number</t>
  </si>
  <si>
    <t>If you used the cash basis, money actually received and paid out, to calculate your income and expenses, put ‘X’ in the box</t>
  </si>
  <si>
    <t>Net business loss for tax purposes (if box 48 + box 63 minus (box 47 + box 61) is positive)</t>
  </si>
  <si>
    <t>Net profit or loss (box 47 or box 48)</t>
  </si>
  <si>
    <t>If special arrangements apply, put ‘X’ in the box</t>
  </si>
  <si>
    <t>Amount of income you are nominating</t>
  </si>
  <si>
    <t>Amount of capital gains you are nominating</t>
  </si>
  <si>
    <t>If you have put ‘X’ in box 23 and you were born outside the UK, enter the date that you first came to live in the UK</t>
  </si>
  <si>
    <t>SIR</t>
  </si>
  <si>
    <t>BR to HR Band</t>
  </si>
  <si>
    <t>CIS and trading income</t>
  </si>
  <si>
    <t>£down (for each EMP)</t>
  </si>
  <si>
    <t>£down (for each MOR)</t>
  </si>
  <si>
    <t>Total Savings income and gains from life policies etc. (not dividends)</t>
  </si>
  <si>
    <t>If box MCA8 present</t>
  </si>
  <si>
    <t>If box MCA1 present</t>
  </si>
  <si>
    <t>In the 'max tax % rate' box enter the maximum % allowed under the double taxation</t>
  </si>
  <si>
    <t>with the highest allowable rate of foreign tax first, and the lowest last, produces the best results.</t>
  </si>
  <si>
    <t>The order can vary with individual circumstances but usually working out the FTCR on the item</t>
  </si>
  <si>
    <t xml:space="preserve">agreement for that type of income. </t>
  </si>
  <si>
    <t>Where you get an unexpected amount of  FTCR for a later item untick the Foreign (SA106 FOR)</t>
  </si>
  <si>
    <t>in the Add pages to clear entries and recomplete the FOR and FTCR page again, calculate FTCR</t>
  </si>
  <si>
    <t>and compare results. Enter the most beneficial result in box 2 on the FOR page.</t>
  </si>
  <si>
    <t xml:space="preserve">2. The value for box FOR2 (Foreign Tax Credit Relief) is not stored in the FOR component. It is calculated for each </t>
  </si>
  <si>
    <t xml:space="preserve">This will be set to 'Y' automatically if the taxpayer is aged over 65 or is non-resident. </t>
  </si>
  <si>
    <t xml:space="preserve">If you have a problem or query you want to refer to HMRC CDIO please quote the </t>
  </si>
  <si>
    <t>CL2wkamt_Type</t>
  </si>
  <si>
    <t>Reviewed</t>
  </si>
  <si>
    <t>Or:</t>
  </si>
  <si>
    <t>Withholding Tax.pdf</t>
  </si>
  <si>
    <t>From August 2013</t>
  </si>
  <si>
    <t>FTCR - see the guidance at</t>
  </si>
  <si>
    <t>http://bg.inrev.gov.uk/tax/actionguides/40100/tax40072_main.htm</t>
  </si>
  <si>
    <t>http://bg.inrev.gov.uk/tax/helpcards/tax50104.pdf</t>
  </si>
  <si>
    <t>This is from April 2014 for year end 5 April 2013</t>
  </si>
  <si>
    <t>Total class 1 NICable earnings between the PT and UEL</t>
  </si>
  <si>
    <t>If MAT_OUT = FALSE (No Digital Claim AND MAT1 to MAT5 = null)</t>
  </si>
  <si>
    <t>if MAT_OUT = TRUE (Digital Claim OR MAT1 to MAT5 &lt;&gt; null)</t>
  </si>
  <si>
    <t>If MAT_IN</t>
  </si>
  <si>
    <t>OR (Calculation type = non-resident)</t>
  </si>
  <si>
    <t>If you have made Gift Aid payments you must pay Income Tax, at whatever rate, or Capital Gains Tax, at least equal to the basic</t>
  </si>
  <si>
    <t>rate Income Tax treated as having been deducted. The charity receiving payments from you can reclaim that Income Tax from</t>
  </si>
  <si>
    <t>us. We must make sure you pay sufficient tax to ‘cover’ the tax repaid to the charity. If you have not paid enough it may be</t>
  </si>
  <si>
    <t>necessary to restrict your personal allowances so more income is charged to tax or we may ask you to pay more.</t>
  </si>
  <si>
    <t>Stage 8: Calculate Income Tax due</t>
  </si>
  <si>
    <t>Stage 9: Calculate Income Tax due after tax adjustments</t>
  </si>
  <si>
    <t>Income tax due after tax adjustments</t>
  </si>
  <si>
    <t>Total taxable profits from Lloyd’s</t>
  </si>
  <si>
    <t>Amount that qualifies for dividend tax credit</t>
  </si>
  <si>
    <t>Details</t>
  </si>
  <si>
    <t>If you are entitled to claim personal allowances as a non-resident because of the terms of a Double Taxation Agreement, put ‘X’ in the box</t>
  </si>
  <si>
    <t>If more than 1 case of split year treatment applies, put ‘X’ in the box</t>
  </si>
  <si>
    <t>If you have made an entry in box 2 and any of your foreign earnings are for an earlier year, put ‘X’ in the box</t>
  </si>
  <si>
    <t>If you have an entry in box 3 enter the date from which the UK part of the year begins or ends DD MM YYYY</t>
  </si>
  <si>
    <t>If you meet the third automatic overseas test, put ‘X’ in the box</t>
  </si>
  <si>
    <t>Number of days in box 10 attributed to exceptional circumstances</t>
  </si>
  <si>
    <t>If you are entitled to claim personal allowances as a non-resident on some other basis, or as a dual resident remittance basis user under the terms of certain Double Taxation Agreements (read the notes), put ‘X’ in the box</t>
  </si>
  <si>
    <t>Enter the code(s) for the country or countries of which you are a national and/or resident – read the notes</t>
  </si>
  <si>
    <t>Amount of Double Taxation Agreement income for which partial relief is being claimed</t>
  </si>
  <si>
    <t>Relief under Double Taxation Agreements between the UK and other countries</t>
  </si>
  <si>
    <t>Relief claimed because of other provisions of the relevant Double Taxation Agreements</t>
  </si>
  <si>
    <t>If you have put ‘X’ in box 23 and have a domicile of origin within the UK, enter the date on which your domicile changed DD MM YYYY</t>
  </si>
  <si>
    <t>If you were born in the UK but have never been domiciled here, put ‘X’ in the box</t>
  </si>
  <si>
    <t>Adjustment to payments on account for capital gains</t>
  </si>
  <si>
    <t>If you are claiming relief from UK tax for foreign income or gains invested in a qualifying business, enter the total amount invested and the Company Registration Number(s) below</t>
  </si>
  <si>
    <t>If you have previously claimed relief for a qualifying investment and the investment no longer qualifies for relief, put ‘X’ in the box</t>
  </si>
  <si>
    <t>FIN2 not ticked</t>
  </si>
  <si>
    <t>HMRC Portal</t>
  </si>
  <si>
    <t>YES</t>
  </si>
  <si>
    <t>NO</t>
  </si>
  <si>
    <t>Used for</t>
  </si>
  <si>
    <t>Personal Savings Allowance Basic Rate</t>
  </si>
  <si>
    <t>PSA_BR</t>
  </si>
  <si>
    <t>Personal Savings Allowance Higher Rate</t>
  </si>
  <si>
    <t>PSA_HR</t>
  </si>
  <si>
    <t>Personal Savings Allowance Additional Higher Rate</t>
  </si>
  <si>
    <t>PSA_AHR</t>
  </si>
  <si>
    <t xml:space="preserve">Unauthorised payments </t>
  </si>
  <si>
    <t>Dividend Higher rate</t>
  </si>
  <si>
    <t>Dividend Investment rate</t>
  </si>
  <si>
    <t>Dividend Additional rate</t>
  </si>
  <si>
    <t>DivBR_rate</t>
  </si>
  <si>
    <t>DivHR_rate</t>
  </si>
  <si>
    <t>DivAR_rate</t>
  </si>
  <si>
    <t>Larger of all instances (SSECL2 OR FSECL2 OR SPSCL2 OR FPSCL2) OR LUNCL2 OR Total of centralised box</t>
  </si>
  <si>
    <t xml:space="preserve">If a digital Marriage Allowance transfer claim is in place and they are a Transferor or a Recipient the MAT_OUT </t>
  </si>
  <si>
    <t>=MCA</t>
  </si>
  <si>
    <t>SBR_rate</t>
  </si>
  <si>
    <t>SHR_rate</t>
  </si>
  <si>
    <t>SAHR_rate</t>
  </si>
  <si>
    <t>=NIC2_weekamt*53</t>
  </si>
  <si>
    <t>=NIC2SF_weekamt*53</t>
  </si>
  <si>
    <t>=BR_band-SR_band</t>
  </si>
  <si>
    <t>=NIC_Band*NIC_rate</t>
  </si>
  <si>
    <t>=NIC_UEL-NIC_LEL</t>
  </si>
  <si>
    <t>MCA Age</t>
  </si>
  <si>
    <t>MCA Claim Type</t>
  </si>
  <si>
    <r>
      <t> </t>
    </r>
    <r>
      <rPr>
        <b/>
        <sz val="10"/>
        <rFont val="Arial"/>
        <family val="2"/>
      </rPr>
      <t>Validation</t>
    </r>
  </si>
  <si>
    <t>Max 10 characters</t>
  </si>
  <si>
    <t>If present, must be less than or equal to £100,000</t>
  </si>
  <si>
    <t>Can be negative</t>
  </si>
  <si>
    <t>Positive only</t>
  </si>
  <si>
    <t>Must be in the format AAA</t>
  </si>
  <si>
    <t> Validation</t>
  </si>
  <si>
    <t>If present must be earlier than 6 April next after the end of the return year.</t>
  </si>
  <si>
    <t>must be valid date DDMMYYYY</t>
  </si>
  <si>
    <t>Must be in format AA999999A or AA999999 or 99A99999</t>
  </si>
  <si>
    <t>a) 0-9 and space only. b) Enter as STD CODE followed by space followed by number.</t>
  </si>
  <si>
    <t>Personal Savings Allowance</t>
  </si>
  <si>
    <t>AHR Case</t>
  </si>
  <si>
    <t>Personal savings allowance</t>
  </si>
  <si>
    <t>L46a</t>
  </si>
  <si>
    <t>L46b</t>
  </si>
  <si>
    <t>c9.15 x 10%</t>
  </si>
  <si>
    <t>c9.16 x 10%</t>
  </si>
  <si>
    <t>c9.17 x 10%</t>
  </si>
  <si>
    <t>Dividend Allowance</t>
  </si>
  <si>
    <t>Income above basic rate band</t>
  </si>
  <si>
    <t>Notional tax on Gains, charges, state pension,</t>
  </si>
  <si>
    <t>Used for Class 4 and Class 2</t>
  </si>
  <si>
    <t>Savings Interest received</t>
  </si>
  <si>
    <t>Interest from gilt-edged and other UK securities</t>
  </si>
  <si>
    <t>c9.40</t>
  </si>
  <si>
    <t>.</t>
  </si>
  <si>
    <t>00</t>
  </si>
  <si>
    <t>I5</t>
  </si>
  <si>
    <t>Dividend Allowance used</t>
  </si>
  <si>
    <t>c6.43</t>
  </si>
  <si>
    <t>L50a</t>
  </si>
  <si>
    <t>L50b</t>
  </si>
  <si>
    <t>c6.44</t>
  </si>
  <si>
    <t>c6.45</t>
  </si>
  <si>
    <t>Total untaxed savings income taxable at 20% (box 30 + box 34)</t>
  </si>
  <si>
    <t>+ Taxed income taxable at 20% (box 71 minus box 72)</t>
  </si>
  <si>
    <t>Total all instances</t>
  </si>
  <si>
    <t>Net amount of savings income – after tax taken off</t>
  </si>
  <si>
    <t>Net amount of savings income taxed at trust rate</t>
  </si>
  <si>
    <t>+ Savings income – after tax taken off</t>
  </si>
  <si>
    <t>Savings income paid gross</t>
  </si>
  <si>
    <t>+ UK life insurance policy etc gains from voided ISAs</t>
  </si>
  <si>
    <t>+ Net amount of savings income taxed at basic rate</t>
  </si>
  <si>
    <t>Relief for UK tax already accounted for</t>
  </si>
  <si>
    <t>Income from United Kingdom (UK) estates</t>
  </si>
  <si>
    <t>Discretionary income payment from a UK resident trust</t>
  </si>
  <si>
    <t>Payments from settlor-interested trusts</t>
  </si>
  <si>
    <t>Non-savings income taxed at non-repayable basic rate</t>
  </si>
  <si>
    <t>Equal to MOR2 + MOR4 + MOR5 + MOR6 + MOR7 + MOR8 + MOR10</t>
  </si>
  <si>
    <t>Equal to MOR13 + MOR14 + MOR15 + MOR16 + MOR17 + MOR18</t>
  </si>
  <si>
    <t>If MOR12 + MOR19 is less than £8,500 then MOR20 equals MOR12 minus MOR5, else MOR20 equals MOR12 + MOR19</t>
  </si>
  <si>
    <t>Equal to MOR21 + MOR22 + MOR23 + MOR24 + MOR25</t>
  </si>
  <si>
    <t>If MOR12 + MOR19 is greater than or equal to £8,500 then MOR27 equals MOR20 minus (MOR5 + MOR13)</t>
  </si>
  <si>
    <t>If present, MOR31 equals MOR27 + MOR28 minus (MOR26 + MOR29 + MOR30)</t>
  </si>
  <si>
    <t>If MOR31 present, MOR32 must be less than or equal to (MOR31 x 10%) + £1</t>
  </si>
  <si>
    <t>If present, MOR34 equals MOR5 + MOR13</t>
  </si>
  <si>
    <t>a) If MOR33 + MOR34 minus MOR32 is positive MOR35 is the value of that sum. 
b) If negative MOR35 = zero</t>
  </si>
  <si>
    <t>If present, must be less than or equal to MOR36</t>
  </si>
  <si>
    <t>Equal to MOR20 + MOR36 minus (MOR26 + MOR35)</t>
  </si>
  <si>
    <t>Equal to MOR3 + MOR9 + MOR11 + MOR37</t>
  </si>
  <si>
    <t>Must be present</t>
  </si>
  <si>
    <t>a) must be within the return year
b) must be valid date DDMMYYYY
c) if present EMP6 must be Y</t>
  </si>
  <si>
    <t>If present, must be less than or equal to £2000</t>
  </si>
  <si>
    <t>If present, must be less than or equal to INC6 + £1</t>
  </si>
  <si>
    <t>If present, must be less than £99,999</t>
  </si>
  <si>
    <t>If present, must be less than or equal to (INC9 x 45%) + £1</t>
  </si>
  <si>
    <t>If present, must be less than or equal to INC11</t>
  </si>
  <si>
    <t>If present, must be less than or equal to INC13</t>
  </si>
  <si>
    <t>If present, must be less than or equal to INC17</t>
  </si>
  <si>
    <t>If present, must be less than or equal to REL5</t>
  </si>
  <si>
    <t>If REL11 is greater than zero, REL11 must be less than or equal to REL9 + REL10</t>
  </si>
  <si>
    <t>If REL12 is greater than zero, REL12 must be less than or equal to REL5</t>
  </si>
  <si>
    <t>SLR3</t>
  </si>
  <si>
    <t>a) CBC2 must not exceed 99
b) If CBC2 present and greater than zero, then CBC1 must be present.</t>
  </si>
  <si>
    <t>a) must be a valid date DDMMYYYY
b) must be within the return year
c) if present CBC1 &amp; CBC2 must be present</t>
  </si>
  <si>
    <t>a) If any of MAT1, MAT2, MAT3, MAT4 or MAT5 are present then all must be present.
b) Must be a valid date DDMMYYYY
c) If present must be a date in the return year or before the return year</t>
  </si>
  <si>
    <t>a) Must be in format AA999999A or AA999999 or 99A99999</t>
  </si>
  <si>
    <t>a) Must be a valid date DDMMYYYY</t>
  </si>
  <si>
    <t>Components Visible</t>
  </si>
  <si>
    <t>Interest from UK banks, building societies and securities etc</t>
  </si>
  <si>
    <t>Pension and Benefits</t>
  </si>
  <si>
    <t>Tax on Taxable Incapacity Benefit</t>
  </si>
  <si>
    <t>Discretionary trust income + trust rate non-savings</t>
  </si>
  <si>
    <t>Income from UK estates tax at old BR rate 22%</t>
  </si>
  <si>
    <t>Tax taken off UK Interest etc.</t>
  </si>
  <si>
    <t>Tax taken off gilt-edged &amp; other UK securities</t>
  </si>
  <si>
    <t>Trust Savings income</t>
  </si>
  <si>
    <t>Tax taken off Trust Savings income</t>
  </si>
  <si>
    <t>Stock dividends + Non-qualifying distributions</t>
  </si>
  <si>
    <t>Disregarded income from UK sources</t>
  </si>
  <si>
    <t xml:space="preserve">Disregarded non-savings income </t>
  </si>
  <si>
    <t>SL</t>
  </si>
  <si>
    <t>dropdown</t>
  </si>
  <si>
    <t>01</t>
  </si>
  <si>
    <t>02</t>
  </si>
  <si>
    <t>Student Loan Threshold Plan 1</t>
  </si>
  <si>
    <t>Student Loan Threshold Plan 2</t>
  </si>
  <si>
    <t>SL_limit1</t>
  </si>
  <si>
    <t>SL_limit2</t>
  </si>
  <si>
    <t>N.B. SLR2 amounts relate to EMP amounts e.g. EMP=1 relates to SLR=1 (up to EMP=11 &amp; SLR=11)</t>
  </si>
  <si>
    <t>MAT_OUT amount will be set to "Y"</t>
  </si>
  <si>
    <t>For Class 4 there are no boxes for Class 1 earnings on the Return for the Reg100 Class 4 calculation.</t>
  </si>
  <si>
    <t>5 gains</t>
  </si>
  <si>
    <t xml:space="preserve">6 Non-savings </t>
  </si>
  <si>
    <t>CGT39</t>
  </si>
  <si>
    <t>CGT40</t>
  </si>
  <si>
    <t>CGT41</t>
  </si>
  <si>
    <t>CGT42</t>
  </si>
  <si>
    <t>CGT43</t>
  </si>
  <si>
    <t>CGT44</t>
  </si>
  <si>
    <t>CGT45</t>
  </si>
  <si>
    <t>CGT46</t>
  </si>
  <si>
    <t>CGT47</t>
  </si>
  <si>
    <t>CGT48</t>
  </si>
  <si>
    <t>Class 1 Earnings from P60 (earnings from PT to UEL)</t>
  </si>
  <si>
    <t>c1.51 + c2.13 + c3.9 + c3.19 + c3.20</t>
  </si>
  <si>
    <t>c6.47</t>
  </si>
  <si>
    <t>c6.48</t>
  </si>
  <si>
    <t>L46</t>
  </si>
  <si>
    <t>Nil rate</t>
  </si>
  <si>
    <t>Basic rate</t>
  </si>
  <si>
    <t>Higher rate</t>
  </si>
  <si>
    <t>Additional rate</t>
  </si>
  <si>
    <t>L42</t>
  </si>
  <si>
    <t>L50</t>
  </si>
  <si>
    <t>Dividend Nil rate</t>
  </si>
  <si>
    <t>DivNil_rate</t>
  </si>
  <si>
    <t>Starting rate for savings</t>
  </si>
  <si>
    <t>Savings Nil rate</t>
  </si>
  <si>
    <t>SNil_rate</t>
  </si>
  <si>
    <t>Used where MCA claim</t>
  </si>
  <si>
    <t>STp</t>
  </si>
  <si>
    <t>SL_type</t>
  </si>
  <si>
    <t>Student Loan Plan type</t>
  </si>
  <si>
    <t>N13</t>
  </si>
  <si>
    <t>Student Loan Plan Type (N.B. BOX NOT ON RETURN)</t>
  </si>
  <si>
    <t>MAT1-5 completed (N.B. BOX NOT ON RETURN)</t>
  </si>
  <si>
    <t>M_O</t>
  </si>
  <si>
    <t>M_I</t>
  </si>
  <si>
    <t>Hunanasesiad: Cyfrifiad Treth</t>
  </si>
  <si>
    <t xml:space="preserve">Dyddiad </t>
  </si>
  <si>
    <t>Welsh Date stuff</t>
  </si>
  <si>
    <t>Ionawr</t>
  </si>
  <si>
    <t>Chwefror</t>
  </si>
  <si>
    <t>Mawrth</t>
  </si>
  <si>
    <t>Ebrill</t>
  </si>
  <si>
    <t>Mai</t>
  </si>
  <si>
    <t>Mehefin</t>
  </si>
  <si>
    <t>Gorffennaf</t>
  </si>
  <si>
    <t>Awst</t>
  </si>
  <si>
    <t>Medi</t>
  </si>
  <si>
    <t>Hydref</t>
  </si>
  <si>
    <t>Tachwedd</t>
  </si>
  <si>
    <t>Rhagfyr</t>
  </si>
  <si>
    <t>Capital Gains Lower rate Residential Property &amp; Carried Interest</t>
  </si>
  <si>
    <t>Capital Gains Higher rate Residential Property &amp; Carried Interest</t>
  </si>
  <si>
    <t>Seed Enterprise Investment Scheme Relief rate</t>
  </si>
  <si>
    <t>Capital Gains Entrepreneurs rate</t>
  </si>
  <si>
    <t>Capital Gains Lower rate</t>
  </si>
  <si>
    <t>Capital Gains Higher rate</t>
  </si>
  <si>
    <t>100/61.9</t>
  </si>
  <si>
    <t>&amp; Trusts and estates Income</t>
  </si>
  <si>
    <t>Notional tax and tax credits</t>
  </si>
  <si>
    <t>Other dividends and qualifying distributions from UK companies</t>
  </si>
  <si>
    <t>Residential property (and carried interest)</t>
  </si>
  <si>
    <t>Other property, assets and gains</t>
  </si>
  <si>
    <t>Listed shares and securities</t>
  </si>
  <si>
    <t>Unlisted shares and securities</t>
  </si>
  <si>
    <t>Losses and adjustments</t>
  </si>
  <si>
    <t>Losses in the year</t>
  </si>
  <si>
    <t>c18.35</t>
  </si>
  <si>
    <t>c18.36</t>
  </si>
  <si>
    <t>c18.37</t>
  </si>
  <si>
    <t>c18.38</t>
  </si>
  <si>
    <t>c18.39</t>
  </si>
  <si>
    <t>c18.40</t>
  </si>
  <si>
    <t>c18.41</t>
  </si>
  <si>
    <t>c18.42</t>
  </si>
  <si>
    <t>c18.43</t>
  </si>
  <si>
    <t>c18.44</t>
  </si>
  <si>
    <t>c18.45</t>
  </si>
  <si>
    <t>c18.46</t>
  </si>
  <si>
    <t>c18.47</t>
  </si>
  <si>
    <t>c18.48</t>
  </si>
  <si>
    <t>c18.49</t>
  </si>
  <si>
    <t>c18.50</t>
  </si>
  <si>
    <t>c18.51</t>
  </si>
  <si>
    <t>c18.52</t>
  </si>
  <si>
    <t>c18.53</t>
  </si>
  <si>
    <t>c18.54</t>
  </si>
  <si>
    <t>Available Basic Rate Band after NRCGT</t>
  </si>
  <si>
    <t>CGT minus FTCR</t>
  </si>
  <si>
    <t>Worksheet changed</t>
  </si>
  <si>
    <t>Budget Rates and Allowances Updates.</t>
  </si>
  <si>
    <t>What was changed</t>
  </si>
  <si>
    <t>Adjusted profit for the year</t>
  </si>
  <si>
    <t>Losses brought forward used against this year's profits</t>
  </si>
  <si>
    <t>Scottish taxpayer signal (BOX NOT ON RETURN)</t>
  </si>
  <si>
    <t>Tax credits on all other dividends and qualifying</t>
  </si>
  <si>
    <t>distributions from UK companies</t>
  </si>
  <si>
    <t>Interest on gilts and from UK banks or building societies</t>
  </si>
  <si>
    <t>Profits from Accrued Income Scheme and deeply discounted securities</t>
  </si>
  <si>
    <t>Interest from UK banks, building societies, unit trusts etc. and any other income from UK savings and investments – after tax taken off</t>
  </si>
  <si>
    <t>Total UK interest and tax taken off (total of boxes 1 to 4)</t>
  </si>
  <si>
    <t>Stock dividends from UK companies – the amount of dividend received</t>
  </si>
  <si>
    <t>Notional tax credit on stock dividends from UK companies</t>
  </si>
  <si>
    <t>Non-qualifying distributions – the amount received</t>
  </si>
  <si>
    <t>Other dividends and qualifying distributions from UK companies – the amount received (Property Income Distributions (PIDs) go in box 3 above)</t>
  </si>
  <si>
    <t>Tax credits on all other dividends and qualifying distributions from UK companies</t>
  </si>
  <si>
    <t>Total UK company dividends and distributions (total of boxes 6 to 10)</t>
  </si>
  <si>
    <t>Net amount received</t>
  </si>
  <si>
    <t>Amount of foreign tax taken off</t>
  </si>
  <si>
    <t>Amount of UK tax taken off</t>
  </si>
  <si>
    <t>Amount received including dividend tax credit</t>
  </si>
  <si>
    <t>Total non-UK income (total of boxes 12 to 17)</t>
  </si>
  <si>
    <t>Amount received and tax taken off it that does not qualify for dividend tax credit</t>
  </si>
  <si>
    <t>Aggregate syndicate profits</t>
  </si>
  <si>
    <t>Net withdrawal/release from Special Reserve Fund</t>
  </si>
  <si>
    <t>Stop loss recoveries</t>
  </si>
  <si>
    <t>Compensation receipts</t>
  </si>
  <si>
    <t>Repayments of foreign tax previously allowed by deduction</t>
  </si>
  <si>
    <t>Other Lloyd’s non-syndicate income</t>
  </si>
  <si>
    <t>Total of other Lloyd’s receipts (total of boxes 20 to 25)</t>
  </si>
  <si>
    <t>Total Lloyd’s income (box 5 + box 11 + box 18 + box 26)</t>
  </si>
  <si>
    <t>If you have received a repayment of foreign tax on which Foreign Tax Credit Relief was given</t>
  </si>
  <si>
    <t>Aggregate syndicate losses</t>
  </si>
  <si>
    <t>Net transfer to Special Reserve Fund</t>
  </si>
  <si>
    <t>Stop loss premiums paid</t>
  </si>
  <si>
    <t>Personal Quota Share and Exeat premiums paid</t>
  </si>
  <si>
    <t>Estate Protection Plan premiums paid</t>
  </si>
  <si>
    <t>Interest paid on loans to fund underwriting</t>
  </si>
  <si>
    <t>Lloyd’s Members’ associations expenses paid</t>
  </si>
  <si>
    <t>Members’ Agent profit commission and salaries</t>
  </si>
  <si>
    <t>Fees for bank guarantees/letters of credit</t>
  </si>
  <si>
    <t>Accountancy fees</t>
  </si>
  <si>
    <t>Other Lloyd’s expenses</t>
  </si>
  <si>
    <t>Total losses and expenses (total of boxes 29 to 39)</t>
  </si>
  <si>
    <t>Amount of profit (if box 27 minus box 40 is a positive amount)</t>
  </si>
  <si>
    <t>Amount of loss (if box 27 minus box 40 is a negative amount)</t>
  </si>
  <si>
    <t>Foreign tax on personal fund income (box 13 + box 16)</t>
  </si>
  <si>
    <t>US income tax paid</t>
  </si>
  <si>
    <t>Canadian tax paid</t>
  </si>
  <si>
    <t>Syndicate foreign tax</t>
  </si>
  <si>
    <t>Additional payments of foreign tax</t>
  </si>
  <si>
    <t>Total foreign tax (total of boxes 43 to 47)</t>
  </si>
  <si>
    <t>Profit from box 41</t>
  </si>
  <si>
    <t>Foreign tax claimed as a deduction – only if Foreign Tax Credit Relief has not been claimed on the ‘Foreign’ pages</t>
  </si>
  <si>
    <t>Lloyd’s losses brought forward from earlier years used against this year’s profits – copy this amount to box 60 below</t>
  </si>
  <si>
    <t>Total taxable profits from Lloyd’s (box 49 minus (box 50 + box 51))</t>
  </si>
  <si>
    <t>Loss from box 42</t>
  </si>
  <si>
    <t>Foreign tax claimed as a deduction – from box 48</t>
  </si>
  <si>
    <t>Loss for the year 2015–16 (box 53 + box 54)</t>
  </si>
  <si>
    <t>Loss set off against other income for 2015–16</t>
  </si>
  <si>
    <t>Loss carried back to set against earlier years</t>
  </si>
  <si>
    <t>Unused loss available to carry forward after allother set-offs</t>
  </si>
  <si>
    <t>Losses brought forward used against this year’s profits – the amount from box 51</t>
  </si>
  <si>
    <t>Unused loss from 2015–16 – from box 58</t>
  </si>
  <si>
    <t>Total loss available to carry forward (box 59 minus box 60) or (box 59 + box 61)</t>
  </si>
  <si>
    <t>CGT49</t>
  </si>
  <si>
    <t>CGT50</t>
  </si>
  <si>
    <t>CGT51</t>
  </si>
  <si>
    <t>CGT52</t>
  </si>
  <si>
    <t>CGT53</t>
  </si>
  <si>
    <t>CGT54</t>
  </si>
  <si>
    <t>Gains in the year, before losses - do not include any gains subject to non-resident Capital Gains Tax</t>
  </si>
  <si>
    <t>Losses in the year - do not include any losses incurred on the disposal of a property subject to non-resident Capital Gains tax</t>
  </si>
  <si>
    <t>Amount in box 45 relating to shares to which Enterprise Investment Scheme/Seed Enterprise Investment Scheme relief is attributable</t>
  </si>
  <si>
    <t>Carried interest</t>
  </si>
  <si>
    <t>Tax on gains in box 11 already charged</t>
  </si>
  <si>
    <t>Gains in the year, before losses - do not include attributed gains included in box 18</t>
  </si>
  <si>
    <t>Tax on gains in box 21 already charged</t>
  </si>
  <si>
    <t>Tax on gains in box 29 already charged</t>
  </si>
  <si>
    <t>Tax on gains in box 37 already charged</t>
  </si>
  <si>
    <t>Gains exceeding the lifetime limit for Employee Shareholder Status shares</t>
  </si>
  <si>
    <t>Losses available to be carried forward</t>
  </si>
  <si>
    <t>Gains qualifying for Entrepreneurs’ Relief - Gains on or after 23 June 2010</t>
  </si>
  <si>
    <t>Adjustment to Capital Gains tax</t>
  </si>
  <si>
    <t>Calculate notional tax and tax credits on Lloyds and Trusts dividends</t>
  </si>
  <si>
    <t>Notional Tax on Lloyds dividends</t>
  </si>
  <si>
    <t>c9.41</t>
  </si>
  <si>
    <t>On Trust's dividends</t>
  </si>
  <si>
    <t>If CGT44 present, then must be equal to or less than CGT43</t>
  </si>
  <si>
    <t>Zero-emission goods vehicle allowance</t>
  </si>
  <si>
    <t>Costs of replacing domestic items (for furnished residential lettings only)</t>
  </si>
  <si>
    <t>If you were unable to transfer any of your overseas income to the UK, put ‘X’ in the box</t>
  </si>
  <si>
    <t>If you are calculating your tax, enter the total Foreign Tax Credit Relief on your income</t>
  </si>
  <si>
    <t>Country or territory code</t>
  </si>
  <si>
    <t>Amount of income arising or received before any tax taken off</t>
  </si>
  <si>
    <t>Foreign tax taken off or paid</t>
  </si>
  <si>
    <t>Special Withholding Tax and any UK tax taken off</t>
  </si>
  <si>
    <t>To claim Foreign Tax Credit Relief, put ‘X’ in the box</t>
  </si>
  <si>
    <t>Taxable amount</t>
  </si>
  <si>
    <t>Total rents and other receipts (excluding taxable premiums for the grant of a lease)</t>
  </si>
  <si>
    <t>Number of overseas let properties</t>
  </si>
  <si>
    <t>Premiums paid for the grant of a lease</t>
  </si>
  <si>
    <t>Property expenses (rent, repairs, legal fees, cost of services provided) – enter the total amount</t>
  </si>
  <si>
    <t>Net profit or loss (box 14 + box 16 minus box 17)  – if this is a negative figure (a loss) put a minus sign in the box</t>
  </si>
  <si>
    <t>Private use adjustment</t>
  </si>
  <si>
    <t>Balancing charges</t>
  </si>
  <si>
    <t>Capital allowances for equipment and vehicles (but not for furnished residential lettings)</t>
  </si>
  <si>
    <t>Adjusted profit or loss for the year (box 18 + box 19 + box 20 minus (boxes 21 to 23))</t>
  </si>
  <si>
    <t>Total taxable profits (if box 25 minus box 26 is a positive amount)</t>
  </si>
  <si>
    <t>Total foreign tax</t>
  </si>
  <si>
    <t>Total taxable amount</t>
  </si>
  <si>
    <t>To claim Foreign Tax Credit Relief put ‘X’ in the box</t>
  </si>
  <si>
    <t>Amount of chargeable gain under UK rules</t>
  </si>
  <si>
    <t>Number of days over which UK gain accrued</t>
  </si>
  <si>
    <t>Amount of chargeable gain under foreign tax rules</t>
  </si>
  <si>
    <t>Number of days over which foreign gain accrued</t>
  </si>
  <si>
    <t>Total Foreign Tax Credit Relief on gains</t>
  </si>
  <si>
    <t>Special Withholding Tax</t>
  </si>
  <si>
    <t>Gains on disposals of holdings in offshore funds (excluding the amounts entered in box 13) and discretionary income from non-resident trusts – enter the amount of the gain or payment</t>
  </si>
  <si>
    <t>If you have received a benefit from a person abroad, enter the value or payment received – if you are omitting income from this section because you are claiming an exemption, see box 46</t>
  </si>
  <si>
    <t>Gains on foreign life insurance policies, etc (excluding the amounts entered in box 13) – enter the amount of the gain</t>
  </si>
  <si>
    <t>If you have omitted income from boxes 11, 13 and 42 because you are claiming an exemption in relation to a transfer of assets, enter the total amount omitted (and give full details in the ‘Any other information’ box on your tax return)</t>
  </si>
  <si>
    <t>Losses brought forward and used in-year</t>
  </si>
  <si>
    <t>Adjustments to Capital Gains tax</t>
  </si>
  <si>
    <t>c18.55</t>
  </si>
  <si>
    <t>Residential Property &amp; Carried Interest</t>
  </si>
  <si>
    <t>Entrepreneurs' Relief</t>
  </si>
  <si>
    <t>Tax adjustments to 2016-17 capital gains</t>
  </si>
  <si>
    <t>Tax on gains in box 11 already charged (RTT)</t>
  </si>
  <si>
    <t>Tax on gains in box 21 already charged (RTT)</t>
  </si>
  <si>
    <t>Tax on gains in box 29 already charged (RTT)</t>
  </si>
  <si>
    <t>Tax on gains in box 37 already charged (RTT)</t>
  </si>
  <si>
    <t>M5</t>
  </si>
  <si>
    <t>Q5</t>
  </si>
  <si>
    <t>Amount in box 41 relating to share loss relief to which Enterprise Investment Scheme/Seed Enterprise Investment Scheme relief is attributable</t>
  </si>
  <si>
    <t>If CGT42 present, then must be equal to or less than CGT41</t>
  </si>
  <si>
    <t>Gains that qualify for Entrepreneurs' Relief - Gains on or after 23 June 2010</t>
  </si>
  <si>
    <t>LDC only</t>
  </si>
  <si>
    <t>If CGT34 is present, CGT31 and CGT32 must be present</t>
  </si>
  <si>
    <t>L113a</t>
  </si>
  <si>
    <t>L115a</t>
  </si>
  <si>
    <t>L116a</t>
  </si>
  <si>
    <t>CG-at-lower-rate-RP-CI</t>
  </si>
  <si>
    <t>Lower-rate-CGT-RP-CI</t>
  </si>
  <si>
    <t>CG-at-higher-rate-RP-CI</t>
  </si>
  <si>
    <t>Higher-rate-CGT-RP-CI</t>
  </si>
  <si>
    <t>L120b</t>
  </si>
  <si>
    <t>tax-on-gains-already-charged</t>
  </si>
  <si>
    <t>If present NRD3 must be present</t>
  </si>
  <si>
    <t>a) must be within the return year
b) must be a valid date DDMMYYYY
c) If either NRD3 or NRD6 present then both must be present</t>
  </si>
  <si>
    <t>If present NRD1 must be present</t>
  </si>
  <si>
    <t>Must be present if NRD1= 'Y'</t>
  </si>
  <si>
    <t>a) If present, must be less than or equal to NRD10
b) If present NRD10 must be present</t>
  </si>
  <si>
    <t>3 Iterations</t>
  </si>
  <si>
    <t>2 Iterations</t>
  </si>
  <si>
    <t xml:space="preserve">2 Iterations. </t>
  </si>
  <si>
    <t>If 'Y' NRD23 must be 'Y'</t>
  </si>
  <si>
    <t>If present NRD23 must be 'Y'</t>
  </si>
  <si>
    <t>a) If present NRD23 must be present 
b) If present NRD25 must be absent</t>
  </si>
  <si>
    <t>a) If present NRD23 must be present 
b) If present NRD26 must be absent</t>
  </si>
  <si>
    <t>If NRD28 = 'Y' and (NRD30 = 'Y' or NRD31 = 'Y' or NRD32 = 'Y') and NRD29 = 'N' and NRD33 = 'N' then
NRD34 + NRD35 must be greater than zero.</t>
  </si>
  <si>
    <t>a)If CAL1 greater than zero then CAL2 must be zero or absent
b) If CAL2 greater than zero then CAL1 must be zero or absent.
CAL1 and CAL2 can be zero.</t>
  </si>
  <si>
    <t>If present, must be less than or equal to £182.85 (see note)</t>
  </si>
  <si>
    <t>If present, must be less than or equal to 9999</t>
  </si>
  <si>
    <t>If CAL10 is present CAL11 must be present 
Entry may be zero.</t>
  </si>
  <si>
    <t>If present, must be less than or equal to £2,290 for the year.</t>
  </si>
  <si>
    <t>If present, must be less than or equal to £8,355 for the year.</t>
  </si>
  <si>
    <t>Total tax due for Return year</t>
  </si>
  <si>
    <t>Total tax overpaid for Return year</t>
  </si>
  <si>
    <t>Class 4 NIC Due</t>
  </si>
  <si>
    <t>Capital Gains tax due</t>
  </si>
  <si>
    <t>Pension charges due(enter amount from SA125 Working Sheet</t>
  </si>
  <si>
    <t>Unpaid tax for earlier years included in PAYE code for the Return year</t>
  </si>
  <si>
    <t>Tax due for the Return year included in PAYE code for later year</t>
  </si>
  <si>
    <t>Outstanding debt included in your tax code for the year</t>
  </si>
  <si>
    <t>Claim to reduce your payments on account</t>
  </si>
  <si>
    <t>Your first payment on account</t>
  </si>
  <si>
    <t>Blind person’s surplus allowance</t>
  </si>
  <si>
    <t>Married couple’s surplus allowance</t>
  </si>
  <si>
    <t>Tax due calculated by reference to earlier years</t>
  </si>
  <si>
    <t>Reduction in tax due calculated by reference to earlier years.</t>
  </si>
  <si>
    <t>Overpaid tax for following year</t>
  </si>
  <si>
    <t>Note: See 'cross-schedules' tab. If Box 1A present, boxes AOI5, AOI7, AOI9 and FOR44 must be absent</t>
  </si>
  <si>
    <t>a) If AOI14 present then AOI15 must also be present.
B) If AOI15 present then AOI14 must also be present</t>
  </si>
  <si>
    <t>Must be N if there is an entry greater than zero in box ASE6</t>
  </si>
  <si>
    <t>If present, must be less than or equal to £30,000</t>
  </si>
  <si>
    <t>If present, must be less than or equal to £200,000</t>
  </si>
  <si>
    <t>If present, must be less than or equal to £1,000,000</t>
  </si>
  <si>
    <t>If present, must be less than or equal to £100</t>
  </si>
  <si>
    <t>If present must be less than or equal to £1,000,000</t>
  </si>
  <si>
    <t xml:space="preserve">If MAT1 present MCA1 must be absent </t>
  </si>
  <si>
    <t>If present, must be before 06/04/1935</t>
  </si>
  <si>
    <t>If 'Y' MCA1 must be present</t>
  </si>
  <si>
    <t>a) If 'Y' MCA3 must be 'N'.
b) If 'Y' MCA1 must be present</t>
  </si>
  <si>
    <t>If MCA1 present MCA6 must be 'N'</t>
  </si>
  <si>
    <t>a) If 'Y' MCA3 must be 'N'.
b) If MCA1 present MCA7 must be 'N'</t>
  </si>
  <si>
    <t xml:space="preserve">a) If MCA6 or MCA7 equals Y, MCA8 must be present.
b) If MCA8 is present, one of MCA6 or MCA7 must be Y
c) If MAT1 present MCA8 must be absent                        </t>
  </si>
  <si>
    <t>a) Must be a date in the return year.
b) If present either MCA1 or MCA8 must be present.</t>
  </si>
  <si>
    <t>Either Boxes MCA1 to MCA5 and, if appropriate MCA9, MCA10 or MCA11 should be completed 
or boxes MCA6 to MCA8 and, if appropriate MCA9, MCA10 or MCA11 should be completed</t>
  </si>
  <si>
    <t>If present AIL4 cannot exceed AIL3</t>
  </si>
  <si>
    <t>Must be a valid pair of consecutive years in the format YYYY YY</t>
  </si>
  <si>
    <t>If present, must be less than AIL10</t>
  </si>
  <si>
    <t>Allows a combination of letters and numbers up to a maximum of 10 characters</t>
  </si>
  <si>
    <t>Maximum 8 digits</t>
  </si>
  <si>
    <t>Must be a valid year in the format YYYY YY</t>
  </si>
  <si>
    <t>must be within the current return year.</t>
  </si>
  <si>
    <t>a) must be within return year.
b) If SSE5 is present, SSE6 must be the same as or later than SSE5</t>
  </si>
  <si>
    <t>If present, must be less than or equal to SSE28</t>
  </si>
  <si>
    <t>If SSE28 + SSE30 minus SSE29 is positive or zero SSE31 must equal that sum.
Cannot be negative.</t>
  </si>
  <si>
    <t>If present, must be less than or equal to SSE32. 
If SSE8 = 'Y' then SSE33 must be zero or absent.</t>
  </si>
  <si>
    <t>If present, must be less than or equal to SSE32 minus SSE33</t>
  </si>
  <si>
    <t>Description of Business</t>
  </si>
  <si>
    <t>Postcode of Business</t>
  </si>
  <si>
    <t>Tick if details have changed</t>
  </si>
  <si>
    <t>Foster Carer or adult placement carer</t>
  </si>
  <si>
    <t>Date of Commencement</t>
  </si>
  <si>
    <t>Date of Cessation</t>
  </si>
  <si>
    <t>Accounting period end</t>
  </si>
  <si>
    <t>Cash basis</t>
  </si>
  <si>
    <t>Sales/business income</t>
  </si>
  <si>
    <t>Other income/profits</t>
  </si>
  <si>
    <t>Cost of sales</t>
  </si>
  <si>
    <t>Motor expenses</t>
  </si>
  <si>
    <t>Employee costs</t>
  </si>
  <si>
    <t>Premises costs</t>
  </si>
  <si>
    <t>Repairs</t>
  </si>
  <si>
    <t>Legal and professional costs</t>
  </si>
  <si>
    <t>Other finance charges</t>
  </si>
  <si>
    <t>General administrative expenses</t>
  </si>
  <si>
    <t>Total expenses</t>
  </si>
  <si>
    <t>Net profit</t>
  </si>
  <si>
    <t>Net loss</t>
  </si>
  <si>
    <t>Annual Investment Allowance</t>
  </si>
  <si>
    <t>Unrelieved expenditure</t>
  </si>
  <si>
    <t>Other capital allowances</t>
  </si>
  <si>
    <t>Total balancing charges</t>
  </si>
  <si>
    <t>Personal Use</t>
  </si>
  <si>
    <t>Net profit for tax purposes</t>
  </si>
  <si>
    <t>Losses used this year</t>
  </si>
  <si>
    <t>Any other business income</t>
  </si>
  <si>
    <t>Total taxable profits from this business</t>
  </si>
  <si>
    <t>Allowable loss for year</t>
  </si>
  <si>
    <t>Loss offset against other income for year</t>
  </si>
  <si>
    <t>Loss to carry back</t>
  </si>
  <si>
    <t>Losses brought forward from last year</t>
  </si>
  <si>
    <t>Deductions made by contractors on account of tax</t>
  </si>
  <si>
    <t>2 lines in total, 2 lines of 14</t>
  </si>
  <si>
    <t>1 line in total, 8 for postcode</t>
  </si>
  <si>
    <t>must be within the current return year</t>
  </si>
  <si>
    <t>a) must be within return year.
b) If FSE6 is present, FSE7 must be the same as or later than FSE6</t>
  </si>
  <si>
    <t>a) If FSE9 is present FSE8 must be present
b) If FSE8 is present FSE9 must be present
c) If FSE8 present, FSE9 must be the same as or later than FSE8</t>
  </si>
  <si>
    <t>If FSE15 or FSE16 is present then FSE8 must also be present</t>
  </si>
  <si>
    <t>Equal to FSE57 + FSE62</t>
  </si>
  <si>
    <t>If FSE67 present, FSE66 must be present
If FSE66 present, FSE67 must be the same as or later than FSE66</t>
  </si>
  <si>
    <t>Less than or equal to (the larger of FSE64 and FSE73)</t>
  </si>
  <si>
    <t>a. If (FSE64 minus FSE65 + FSE68 minus FSE69) is negative, then FSE77 equals the positive equivalent of that sum
b. if (FSE64 minus FSE65 + FSE68 minus FSE69) is greater than or equal to zero, then FSE77 equals zero or absent</t>
  </si>
  <si>
    <t>If present, must be less than or equal to FSE77.
 If FSE10 = 'Y' then FSE78 must be zero or absent.</t>
  </si>
  <si>
    <t>If present, must be less than or equal to (FSE77 minus FSE78)</t>
  </si>
  <si>
    <t>Equal to FSE83 + FSE84 + FSE85 + FSE86 + FSE87 + FSE88 + FSE89</t>
  </si>
  <si>
    <t>Equal to FSE90 minus (FSE91 + FSE92 + FSE93)</t>
  </si>
  <si>
    <t xml:space="preserve">If FSE96 is present, FSE96 = FSE47, if FSE47 is greater than or equal to 0 (and FSE48 is absent or zero), 
else FSE96 = ‘negative equivalent of’ FSE48 if FSE48 is greater than or equal 0 (and FSE47 is absent or zero). </t>
  </si>
  <si>
    <t>Equal to FSE95 + FSE96 + FSE97 minus FSE98</t>
  </si>
  <si>
    <t>Name of Business</t>
  </si>
  <si>
    <t>Address of Business</t>
  </si>
  <si>
    <t>Date of commencement</t>
  </si>
  <si>
    <t>Date of cessation</t>
  </si>
  <si>
    <t>Accounting period start</t>
  </si>
  <si>
    <t>Tick Box - Accounting Date has changed</t>
  </si>
  <si>
    <t>Tick Box - Second or further change</t>
  </si>
  <si>
    <t>If FSE101 is 'Y', FSE102 must be zero or absent</t>
  </si>
  <si>
    <t>Entered Details elsewhere</t>
  </si>
  <si>
    <t>Construction industry sub contractor costs</t>
  </si>
  <si>
    <t>Advertising etc</t>
  </si>
  <si>
    <t>Interest and alternative finance payments</t>
  </si>
  <si>
    <t>Bad debts</t>
  </si>
  <si>
    <t>Depreciation etc</t>
  </si>
  <si>
    <t>Disallowable cost of sales</t>
  </si>
  <si>
    <t>Disallowable construction industry sub contractor costs</t>
  </si>
  <si>
    <t>Disallowable employee costs</t>
  </si>
  <si>
    <t>Disallowable motor expenses</t>
  </si>
  <si>
    <t>Disallowable premises costs</t>
  </si>
  <si>
    <t>Disallowable repairs</t>
  </si>
  <si>
    <t>Disallowable General administrative expenses</t>
  </si>
  <si>
    <t>Disallowable advertising etc</t>
  </si>
  <si>
    <t>Disallowable Interest and alternative finance payments</t>
  </si>
  <si>
    <t>Disallowable other finance charges</t>
  </si>
  <si>
    <t>Disallowable bad debts</t>
  </si>
  <si>
    <t>Disallowable legal and professional costs</t>
  </si>
  <si>
    <t>Disallowable depreciation etc</t>
  </si>
  <si>
    <t>Disallowable other expenses</t>
  </si>
  <si>
    <t>Disallowable expenses</t>
  </si>
  <si>
    <t>Annual allowances at higher rate</t>
  </si>
  <si>
    <t>Annual allowances at lower rate</t>
  </si>
  <si>
    <t>Motor cars costing more than £12000</t>
  </si>
  <si>
    <t>Other capital allowances claimed this year</t>
  </si>
  <si>
    <t>Allowances on sale of cessation of business</t>
  </si>
  <si>
    <t>Total allowances</t>
  </si>
  <si>
    <t>Charges on cessation of business</t>
  </si>
  <si>
    <t>Total charges on sale or cessation</t>
  </si>
  <si>
    <t>Total additions to net profit</t>
  </si>
  <si>
    <t>Other Deductions</t>
  </si>
  <si>
    <t>Deductions from net profit</t>
  </si>
  <si>
    <t>Net business profit</t>
  </si>
  <si>
    <t>Basis Period Begins</t>
  </si>
  <si>
    <t>Basis Period Ends</t>
  </si>
  <si>
    <t>Adjustment to arrive at profit or loss. New business</t>
  </si>
  <si>
    <t>Overlap relief used</t>
  </si>
  <si>
    <t>Overlap Profit CF</t>
  </si>
  <si>
    <t>This years instalment of adjustment on withdrawal of cash basis, or adjustment on other change of basis</t>
  </si>
  <si>
    <t>Adjustment for farmers' and literary/artistic averaging</t>
  </si>
  <si>
    <t>Net Profit for year</t>
  </si>
  <si>
    <t>Losses carried back to previous year</t>
  </si>
  <si>
    <t>Total loss to carry forward after all other set offs</t>
  </si>
  <si>
    <t>Tax deducted from trading income (excluding  CIS25)</t>
  </si>
  <si>
    <t>Plant machinery and motor vehicles</t>
  </si>
  <si>
    <t>Other fixed assets</t>
  </si>
  <si>
    <t>Stock and work in progress</t>
  </si>
  <si>
    <t>Trade debtors</t>
  </si>
  <si>
    <t>Bank/building society balances</t>
  </si>
  <si>
    <t>Cash in hand</t>
  </si>
  <si>
    <t>Other current assets and prepayments</t>
  </si>
  <si>
    <t>Total Assets</t>
  </si>
  <si>
    <t>Trade creditors and accruals</t>
  </si>
  <si>
    <t>Loans and overdrawn bank accounts</t>
  </si>
  <si>
    <t>Other liabilities</t>
  </si>
  <si>
    <t>Net Business Assets</t>
  </si>
  <si>
    <t>Balance at start of period</t>
  </si>
  <si>
    <t>Capital introduced</t>
  </si>
  <si>
    <t>Drawings</t>
  </si>
  <si>
    <t>Capital Account - Balance At End of Period</t>
  </si>
  <si>
    <t>If present, must be less than LUN3</t>
  </si>
  <si>
    <t>Equal to LUN1 + LUN2 + LUN3 + LUN4</t>
  </si>
  <si>
    <t>Equal to LUN12 + LUN13 + LUN14 + LUN15 + LUN16 + LUN17</t>
  </si>
  <si>
    <t>Equal to LUN20 + LUN21 + LUN22 + LUN23 + LUN24 + LUN25</t>
  </si>
  <si>
    <t>Equal to LUN5 + LUN11 + LUN18 + LUN26</t>
  </si>
  <si>
    <t>If LUN29 is present then LUN20 must be zero or space</t>
  </si>
  <si>
    <t>Equal to LUN29 + LUN30 + LUN31 + LUN32 + LUN33 + LUN34 + LUN35 + LUN36 + LUN37 + LUN38 + LUN39</t>
  </si>
  <si>
    <t>If (LUN27 minus LUN40) is positive or zero, then LUN41 equals that sum.
Cannot be negative.</t>
  </si>
  <si>
    <t>If (LUN40 minus LUN27) is positive or zero, then LUN42 equals that sum.
Cannot be negative.</t>
  </si>
  <si>
    <t>Equal to LUN13 + LUN16</t>
  </si>
  <si>
    <t>Equal to LUN43 + LUN44 + LUN45 + LUN46 + LUN47</t>
  </si>
  <si>
    <t>Equal to LUN41 
LDC Only</t>
  </si>
  <si>
    <t>If LUN50 is present and greater than zero, LUN41 must also be present and greater than zero</t>
  </si>
  <si>
    <t>If LUN51 is present and greater than zero, LUN41 must also be present and greater than zero</t>
  </si>
  <si>
    <t>If (LUN41 minus (LUN50 + LUN51)) is positive or zero, then LUN52 equals that sum.
Cannot be negative.</t>
  </si>
  <si>
    <t>Equal to LUN42</t>
  </si>
  <si>
    <t>If LUN42 is present and greater than zero, LUN54 is less than or equal to LUN48 
If LUN54 is present and greater than zero, LUN42 must be present and greater than zero.</t>
  </si>
  <si>
    <t>Equal to LUN53 + LUN54</t>
  </si>
  <si>
    <t>Less than or equal to LUN55</t>
  </si>
  <si>
    <t>Less than or equal to LUN55 minus LUN56</t>
  </si>
  <si>
    <t>Equal to LUN51</t>
  </si>
  <si>
    <t>Equal to LUN58</t>
  </si>
  <si>
    <t>If (LUN59 + LUN61 minus LUN60) is positive or zero, then LUN62 equals that sum.
Cannot be negative.</t>
  </si>
  <si>
    <t>If LUN64 is 'Y', LUN65 must be zero or absent</t>
  </si>
  <si>
    <t>Must be present. Must enter Unique Taxpayer Reference in standard format. 10 numeric characters: NNNNNNNNNN. Check character (first character) must be correct. Must not be 1111111111, 2222222222, 3333333333, 4444444444, 5555555555, 6666666666, 7777777777, 8888888888, or 9999999999.
Must be valid against the UTR algorithm provided on the BVR Constraints sheet.</t>
  </si>
  <si>
    <t>must be within the return period</t>
  </si>
  <si>
    <t>a) must be within return year.
b) If SPS3 is present, SPS4 must be the same as or later than SPS3</t>
  </si>
  <si>
    <t>a) If SPS7 is present SPS6 must be present
b) If SPS6 present, SPS7 must be the same as or later than SPS6</t>
  </si>
  <si>
    <t>a) If (SPS8 + SPS9 minus (SPS12 + SPS13)) is positive, then SPS16 equals (SPS8 + SPS9 minus (SPS12 + SPS13) + SPS10 + SPS11)
b) if (SPS8 + SPS9 minus (SPS12 + SPS13)) is negative or zero, then if SPS10 + SPS11 &gt; 0, SPS16 = SPS10 + SPS11 else SPS16 must be zero or absent</t>
  </si>
  <si>
    <t>If present, must be less than or equal to SPS16</t>
  </si>
  <si>
    <t>Equal to SPS16 minus SPS17</t>
  </si>
  <si>
    <t>Equal to SPS18 + SPS19</t>
  </si>
  <si>
    <t>a) If (SPS8 + SPS9 minus (SPS12 + SPS13)) is negative, then SPS21 equals the positive equivalent of that sum.
b) if (SPS8 + SPS9 minus (SPS12 + SPS13))is greater than or equal to zero, then SPS21 = zero or absent
c) Cannot be negative</t>
  </si>
  <si>
    <t>If present, must be less than or equal to SPS21                                If SPS5 = 'Y' then SPS 22 must be zero or absent</t>
  </si>
  <si>
    <t>If present, must be less than or equal to SPS21 minus SPS22.</t>
  </si>
  <si>
    <t>If SPS26 is 'Y', SPS27 must be zero or absent</t>
  </si>
  <si>
    <t>Partnership reference number</t>
  </si>
  <si>
    <t>Partnership Trade or profession</t>
  </si>
  <si>
    <t>Date started as a partner (If during year of Return)</t>
  </si>
  <si>
    <t>Date stopped being a partner  (If during year of Return)</t>
  </si>
  <si>
    <t>Income tax basis period begins</t>
  </si>
  <si>
    <t>Income tax basis period ends</t>
  </si>
  <si>
    <t>Your share of the profit or loss</t>
  </si>
  <si>
    <t>Adjustment to arrive at profit or loss for this basis period</t>
  </si>
  <si>
    <t>This year's instalment of adjustment on withdrawal of cash basis, or other adjustment for change of basis</t>
  </si>
  <si>
    <t>Adjustment for farmers’ averaging</t>
  </si>
  <si>
    <t>Foreign tax claimed as a deduction</t>
  </si>
  <si>
    <t>Overlap used</t>
  </si>
  <si>
    <t>Overlap CF</t>
  </si>
  <si>
    <t>Adjusted profit</t>
  </si>
  <si>
    <t>Losses brought forward from last year used this year</t>
  </si>
  <si>
    <t>Taxable profit after losses brought forward</t>
  </si>
  <si>
    <t>Add amounts not included in the partnership accounts</t>
  </si>
  <si>
    <t>Allowable loss</t>
  </si>
  <si>
    <t>Loss offset against other income</t>
  </si>
  <si>
    <t>Loss to carry forward</t>
  </si>
  <si>
    <t>Taxed income (taxed at 20%)</t>
  </si>
  <si>
    <t>Share of income tax</t>
  </si>
  <si>
    <t>Share of /CIS25 deductions</t>
  </si>
  <si>
    <t>Share of tax deducted from trading income (not /CIS25)</t>
  </si>
  <si>
    <t>Must be present. Must enter Unique Taxpayer Reference in standard format. 10 numeric characters: NNNNNNNNNN. Check character (first character) must be correct. Must not be 1111111111, 2222222222, 3333333333, 4444444444, 5555555555, 6666666666, 7777777777, 8888888888, or 9999999999.</t>
  </si>
  <si>
    <t xml:space="preserve"> If present must be within the return period</t>
  </si>
  <si>
    <t>a) If present must be within return year.
b) If FPS3 is present, FPS4 must be the same as or later than FPS3</t>
  </si>
  <si>
    <t>a) If FPS7 is present FPS6 must be present
b) If FPS6 present, FPS7 must be the same as or later than FPS6</t>
  </si>
  <si>
    <t>a) If (FPS8 + FPS9 minus (FPS12 + FPS13)) is positive, then FPS16 equals (FPS8 + FPS9 minus (FPS12 + FPS13) + FPS10 + FPS11)
b) if (FPS8 + FPS9 minus (FPS12 + FPS13)) is negative or zero, then if FPS10 + FPS11 &gt; 0, FPS16 = FPS10 + FPS11 else FPS16 must be zero or absent</t>
  </si>
  <si>
    <t>If present, must be less than or equal to FPS16</t>
  </si>
  <si>
    <t>Equal to FPS16 minus FPS17</t>
  </si>
  <si>
    <t>Equal to FPS18 + FPS19</t>
  </si>
  <si>
    <t>a) If (FPS8 + FPS9 minus (FPS12 + FPS13)) is negative, then FPS21 equals the positive equivalent of that sum.
b) if (FPS8 + FPS9 minus (FPS12 + FPS13))is greater than or equal to zero, then FPS21 = zero or absent
c) Cannot be negative</t>
  </si>
  <si>
    <t xml:space="preserve">If present, must be less than or equal to FPS21
If FPS5 = 'Y' then FPS22 must be zero or absent
</t>
  </si>
  <si>
    <t xml:space="preserve">If present, must be less than or equal to FPS21 minus FPS22
</t>
  </si>
  <si>
    <t>If FPS26 is 'Y', FPS27 must be zero or absent</t>
  </si>
  <si>
    <t>Equal to FPS28 + FPS29</t>
  </si>
  <si>
    <t>Equal to FPS31 + FPS32 minus FPS33</t>
  </si>
  <si>
    <t>Equal to FPS30 + FPS34</t>
  </si>
  <si>
    <t>If present, must be less than or equal to FPS36 + FPS37 where that sum is positive</t>
  </si>
  <si>
    <t xml:space="preserve">If the sum of FPS36 + FPS37 is negative, FPS39 is less than or equal to the positive equivalent of that sum. 
</t>
  </si>
  <si>
    <t>a) If (FPS36 + FPS37 minus FPS38) is positive or zero FPS41 equals that sum.
b) If (FPS36 + FPS37 minus FPS38) is negative FPS41 equals zero.</t>
  </si>
  <si>
    <t>If FPS42 or FPS43 present, 
if FPS42 + FPS43 is greater than zero FPS44 must equal FPS42 + FPS43 
else FPS44 must equal zero.
Cannot be negative.</t>
  </si>
  <si>
    <t>If present, must be less than or equal to FPS45 + FPS46</t>
  </si>
  <si>
    <t>If present, must be less than or equal to FPS45 + FPS46 minus FPS47</t>
  </si>
  <si>
    <t>Equal to FPS52 + FPS53 minus FPS54</t>
  </si>
  <si>
    <t>If present, must be less than or equal to FPS56 + FPS57</t>
  </si>
  <si>
    <t>a) If (FPS56 + FPS57) minus (FPS58 + FPS59) is greater than or equal to zero then FPS60 equals that sum.
b) If (FPS56 + FPS57) minus (FPS58 + FPS59) is negative then FPS60 equals zero.</t>
  </si>
  <si>
    <t>Equal to FPS41 + FPS44 + FPS48 + FPS55 + FPS60</t>
  </si>
  <si>
    <t>Equal to FPS64 minus FPS65</t>
  </si>
  <si>
    <t>Equal to FPS68 minus FPS69</t>
  </si>
  <si>
    <t>Equal to FPS71 minus FPS72</t>
  </si>
  <si>
    <t>Equal to FPS20 + FPS67 + FPS74 minus FPS75</t>
  </si>
  <si>
    <t>Total tax credit relief on your income</t>
  </si>
  <si>
    <t>Adjusted Profit</t>
  </si>
  <si>
    <t>adjustment to Class 4 NIC profits</t>
  </si>
  <si>
    <t>UK untaxed savings income share</t>
  </si>
  <si>
    <t>basis period adjustment</t>
  </si>
  <si>
    <t>adjusted UK savings income</t>
  </si>
  <si>
    <t>foreign untaxed savings income share</t>
  </si>
  <si>
    <t>total foreign tax taken off</t>
  </si>
  <si>
    <t>adjusted foreign savings income</t>
  </si>
  <si>
    <t xml:space="preserve">total untaxed savings income </t>
  </si>
  <si>
    <t>Share of profit or loss from UK land &amp; property</t>
  </si>
  <si>
    <t>Adjustment to profit or loss for basis period</t>
  </si>
  <si>
    <t>UK Land &amp; Property - Loss Brought Forward</t>
  </si>
  <si>
    <t>UK Land &amp; Property - Loss Carried Forward</t>
  </si>
  <si>
    <t>Taxable profit after losses (UK land and property)</t>
  </si>
  <si>
    <t>Share of FHL profit</t>
  </si>
  <si>
    <t>Adjustments to FHL profit</t>
  </si>
  <si>
    <t>Taxable FHL profit</t>
  </si>
  <si>
    <t>Other Untaxed UK Income - Allocated income</t>
  </si>
  <si>
    <t>Other Untaxed UK Income - Adjustment to income</t>
  </si>
  <si>
    <t>Other Untaxed UK Income - Loss Brought Forward</t>
  </si>
  <si>
    <t>Taxable profit after adjustment and losses (other untaxed UK income)</t>
  </si>
  <si>
    <t>Other  Untaxed UK Income - Allocated Loss</t>
  </si>
  <si>
    <t>Other Untaxed UK Income - Adjustment to Loss For Basis Period</t>
  </si>
  <si>
    <t>Other Untaxed UK Income - Loss Carried Forward</t>
  </si>
  <si>
    <t>Allocated income</t>
  </si>
  <si>
    <t>Adjustment to income</t>
  </si>
  <si>
    <t>Total Foreign Tax Deducted If Tax Credit Relief Not Claimed</t>
  </si>
  <si>
    <t>Taxable profit after adjustments (offshore funds)</t>
  </si>
  <si>
    <t>Other Untaxed Foreign Income - Allocated Profit</t>
  </si>
  <si>
    <t>Other Untaxed Foreign Income - Adjustment to Income For Basis Period</t>
  </si>
  <si>
    <t>Loss brought forward from earlier years  set off against income</t>
  </si>
  <si>
    <t>Taxable profit after adjustments and losses (other untaxed foreign income)</t>
  </si>
  <si>
    <t>Other Untaxed Foreign Income - Allocated Loss</t>
  </si>
  <si>
    <t>Other Untaxed Foreign Income - Adjustment to Loss For Basis Period</t>
  </si>
  <si>
    <t>Other Untaxed Foreign Income - Loss Carried Forward</t>
  </si>
  <si>
    <t>Untaxed Income</t>
  </si>
  <si>
    <t>Untaxed income from this business (other than that liable at 20%)</t>
  </si>
  <si>
    <t xml:space="preserve">Foreign tax deducted </t>
  </si>
  <si>
    <t>Share of Taxed income (income taxed at 20%)</t>
  </si>
  <si>
    <t xml:space="preserve">Foreign Tax Deducted </t>
  </si>
  <si>
    <t>Share of other taxed income</t>
  </si>
  <si>
    <t>Share of taxed and untaxed income (other than liable at 10% and 20%)</t>
  </si>
  <si>
    <t>If present, must be less than or equal to PRO6 + PRO7 + PRO8 + PRO9</t>
  </si>
  <si>
    <t>a) If PRO5 + PRO10 + PRO11 minus (PRO6 + PRO7 + PRO8 + PRO9 + PRO12) is positive or zero PRO13 equals that sum.
b) Cannot be negative.</t>
  </si>
  <si>
    <t>a) If PRO13 minus PRO14 is positive or zero PRO15 equals that sum.
b) Cannot be negative.</t>
  </si>
  <si>
    <t>If present, must be less than or equal to (PRO20 x 10%) + £1</t>
  </si>
  <si>
    <t>a) If present PRO4 must be 'N'.
b) If present, must be less than or equal to £7,500</t>
  </si>
  <si>
    <t>a) If (PRO20 + PRO22 + PRO23 + PRO30 + PRO31 minus (PRO15 + PRO24 + PRO25 + PRO26 + PRO27 + PRO28 + PRO29 + PRO32 + PRO33 + PRO34 + PRO36 + PRO37)) is positive, then PRO38 equals that sum.
b) cannot be negative</t>
  </si>
  <si>
    <t>a) Equal to PRO38 minus PRO39
b) cannot be negative</t>
  </si>
  <si>
    <t>a) If (PRO24 + PRO25 + PRO26 + PRO27 + PRO28 + PRO29 + PRO32 + PRO33 + PRO34 + PRO36 + PRO37 minus (PRO20 + PRO22 + PRO23 + PRO30 + PRO31)) is positive, then PRO41 equals that sum.
b) cannot be negative</t>
  </si>
  <si>
    <t>How many properties do you rent out</t>
  </si>
  <si>
    <t>Property income ceased in year</t>
  </si>
  <si>
    <t>Property let jointly</t>
  </si>
  <si>
    <t>Claiming Rent a Room relief</t>
  </si>
  <si>
    <t>Income from furnished holiday lettings</t>
  </si>
  <si>
    <t>Rent rates insurances and ground rents etc.</t>
  </si>
  <si>
    <t>Finance charges including interest</t>
  </si>
  <si>
    <t>Private use proportions</t>
  </si>
  <si>
    <t>Capital allowances</t>
  </si>
  <si>
    <t>Adjusted profit for the period</t>
  </si>
  <si>
    <t>furnished holiday lettings losses brought forward</t>
  </si>
  <si>
    <t>furnished holiday lettings taxable profit for year</t>
  </si>
  <si>
    <t>furnished holiday lettings loss for year</t>
  </si>
  <si>
    <t>furnished holiday lettings loss to carry forward</t>
  </si>
  <si>
    <t>FHL in EEA</t>
  </si>
  <si>
    <t>Furnished lets period of grace election</t>
  </si>
  <si>
    <t>Total rents and other income including furnished holiday lettings</t>
  </si>
  <si>
    <t>Chargeable premium</t>
  </si>
  <si>
    <t>Reverse Premiums</t>
  </si>
  <si>
    <t>Rent rates insurance ground rents etc.</t>
  </si>
  <si>
    <t>Repairs and maintenance</t>
  </si>
  <si>
    <t>Cost of services provided including wages</t>
  </si>
  <si>
    <t>Investment allowance</t>
  </si>
  <si>
    <t>Rent a room exempt amount</t>
  </si>
  <si>
    <t>Adjusted Profit for year</t>
  </si>
  <si>
    <t>Loss B/F from P/Y</t>
  </si>
  <si>
    <t>Taxable Profit</t>
  </si>
  <si>
    <t>Adjusted loss</t>
  </si>
  <si>
    <t>Loss set off against total income of the year</t>
  </si>
  <si>
    <t>Loss to carry forward to following year</t>
  </si>
  <si>
    <t>Discretionary income payment from a trust. Net amount</t>
  </si>
  <si>
    <t>Total payments in tax year from settlor interested trusts</t>
  </si>
  <si>
    <t>Non-discretionary income taxed at basic rate. Net Amount</t>
  </si>
  <si>
    <t>Non-discretionary income taxed at lower rate. Net amount</t>
  </si>
  <si>
    <t>Non-discretionary income taxed at non-payable dividend rate. Net amount</t>
  </si>
  <si>
    <t>Tick box - trust or settlement income with non-resident trustees included elsewhere on the return</t>
  </si>
  <si>
    <t xml:space="preserve">Income on settlors taxed at basic rate. Net amount </t>
  </si>
  <si>
    <t>Income on settlors taxed at lower rate. Net amount</t>
  </si>
  <si>
    <t>Income on settlors taxed at dividend rate. Net amount</t>
  </si>
  <si>
    <t>Income on settlors taxed at special trust rate. Net amount</t>
  </si>
  <si>
    <t>savings income on settlor at trust rate</t>
  </si>
  <si>
    <t>Income on settlors taxed at dividend trust rate. Net amount</t>
  </si>
  <si>
    <t>Nonsavings income at basic rate</t>
  </si>
  <si>
    <t>Non savings income paid gross</t>
  </si>
  <si>
    <t>amount of UK life insurance policy</t>
  </si>
  <si>
    <t>Income from estates taxed at Basic Rate Tax. Net amount</t>
  </si>
  <si>
    <t>Income from estates taxed at lower rate. Net amount</t>
  </si>
  <si>
    <t>Income from estates taxed at dividend rate. Net amount</t>
  </si>
  <si>
    <t xml:space="preserve">Income from estates taxed at  non repayable Basic Rate </t>
  </si>
  <si>
    <t>income taxed at non-repayable lower rate</t>
  </si>
  <si>
    <t>income taxed at non-payable dividend rate</t>
  </si>
  <si>
    <t xml:space="preserve">Income from estates taxed at non repayable lower rate. Net amount </t>
  </si>
  <si>
    <t>Income from estates taxed at non-payable dividend rate. Net amount</t>
  </si>
  <si>
    <t>Total foreign tax for which tax credit relief not claimed</t>
  </si>
  <si>
    <t>Additional Information</t>
  </si>
  <si>
    <t>Dividend income - from boxes 14A and 22A on the Partnership Statement</t>
  </si>
  <si>
    <t>Total dividend income (box 68 minus box 69)</t>
  </si>
  <si>
    <t>Share of total tax taken off (boxes 77 to 79)</t>
  </si>
  <si>
    <t>Equal to FPS77 + FPS78 + FPS79</t>
  </si>
  <si>
    <t>Losses in the year excluding NRCGT losses</t>
  </si>
  <si>
    <t>Gains in the year, before losses excluding attributed gains</t>
  </si>
  <si>
    <t>Tax on NRCGT Gains already charged</t>
  </si>
  <si>
    <t>Tax on RTT Gains already charged</t>
  </si>
  <si>
    <t>NRCGT</t>
  </si>
  <si>
    <t>Losses used against an earlier year's gains</t>
  </si>
  <si>
    <t>Q16</t>
  </si>
  <si>
    <t>c18.56</t>
  </si>
  <si>
    <t>c18.57</t>
  </si>
  <si>
    <t>Dividends from UK companies - the amount received</t>
  </si>
  <si>
    <t>Other Dividends - the amount received</t>
  </si>
  <si>
    <t>Other pensions, retirement annuities and lump sums treated as pensions</t>
  </si>
  <si>
    <t>Stock dividends - the amount received</t>
  </si>
  <si>
    <t>Bonus issues of securities and redeemable shares</t>
  </si>
  <si>
    <t>Other dividends and distributions from UK companies</t>
  </si>
  <si>
    <t>off it that does not qualify for dividend tax credits</t>
  </si>
  <si>
    <t xml:space="preserve">Total payments from </t>
  </si>
  <si>
    <t>settlor-interested trusts</t>
  </si>
  <si>
    <t>Net amount - after tax taken off</t>
  </si>
  <si>
    <t>Net amount of dividend</t>
  </si>
  <si>
    <t>income - after tax taken off</t>
  </si>
  <si>
    <t>Net amount of savings income</t>
  </si>
  <si>
    <t>Net amount of non-savings income</t>
  </si>
  <si>
    <t>- after tax taken off</t>
  </si>
  <si>
    <t>Income from trusts and settlements</t>
  </si>
  <si>
    <t>taxed at basic rate - after tax taken off</t>
  </si>
  <si>
    <t>taxed at dividend rate - after tax taken off</t>
  </si>
  <si>
    <t>Net amount of dividend income</t>
  </si>
  <si>
    <t>taxed at trust rate - after tax taken off</t>
  </si>
  <si>
    <t>taxed at dividend trust rate - after tax taken off</t>
  </si>
  <si>
    <t>Non-savings income paid gross</t>
  </si>
  <si>
    <t>Additional tax paid by the trustees on</t>
  </si>
  <si>
    <t>certain UK life insurance policy etc gains</t>
  </si>
  <si>
    <t>Income from the estates of deceased persons</t>
  </si>
  <si>
    <t xml:space="preserve">Non-savings income </t>
  </si>
  <si>
    <t xml:space="preserve">Savings income </t>
  </si>
  <si>
    <t>Non-savings income taxed at non-repayable</t>
  </si>
  <si>
    <t>basic rate - after tax taken off</t>
  </si>
  <si>
    <t>Income taxed at 22%</t>
  </si>
  <si>
    <t>Foreign tax for which Foreign Tax Credit Relief</t>
  </si>
  <si>
    <t>has not been claimed</t>
  </si>
  <si>
    <t>Gains in the year, before losses - excluding NRCGT gains</t>
  </si>
  <si>
    <t>Box 29 is not in use</t>
  </si>
  <si>
    <t>c96.1</t>
  </si>
  <si>
    <t>c96.2</t>
  </si>
  <si>
    <t>c96.3</t>
  </si>
  <si>
    <t>c96.4</t>
  </si>
  <si>
    <t>c96.5</t>
  </si>
  <si>
    <t>c96.6</t>
  </si>
  <si>
    <t>c96.7</t>
  </si>
  <si>
    <t>c96.8</t>
  </si>
  <si>
    <t>c96.9</t>
  </si>
  <si>
    <t>c96.10</t>
  </si>
  <si>
    <t>c96.11</t>
  </si>
  <si>
    <t>c96.12</t>
  </si>
  <si>
    <t>c96.13</t>
  </si>
  <si>
    <t>c96.14</t>
  </si>
  <si>
    <t>c96.15</t>
  </si>
  <si>
    <t>c96.16</t>
  </si>
  <si>
    <t>c96.17</t>
  </si>
  <si>
    <t>Class 4 NIC exempt</t>
  </si>
  <si>
    <r>
      <t xml:space="preserve">Total Income Tax and NIC due </t>
    </r>
    <r>
      <rPr>
        <i/>
        <sz val="9"/>
        <rFont val="Arial"/>
        <family val="2"/>
      </rPr>
      <t>minus</t>
    </r>
  </si>
  <si>
    <t>Total Losses</t>
  </si>
  <si>
    <t>c18.58</t>
  </si>
  <si>
    <t>RS Dropdown</t>
  </si>
  <si>
    <t>Additional Rate UK rate for Scotland</t>
  </si>
  <si>
    <t>I8</t>
  </si>
  <si>
    <t>c18.27 + c18.28 + c18.29</t>
  </si>
  <si>
    <t>Other gains basic rate</t>
  </si>
  <si>
    <t>Adjusted profit for the year (1)</t>
  </si>
  <si>
    <t>Adjusted profit for the year (2)</t>
  </si>
  <si>
    <t>Furnished holiday lettings UK businesses page</t>
  </si>
  <si>
    <t>Furnished holiday lettings EEA businesses page</t>
  </si>
  <si>
    <t>D22</t>
  </si>
  <si>
    <t>c4.74</t>
  </si>
  <si>
    <t>c4.75</t>
  </si>
  <si>
    <t>c4.77</t>
  </si>
  <si>
    <t>c4.78</t>
  </si>
  <si>
    <t>c4.79</t>
  </si>
  <si>
    <t>Total income</t>
  </si>
  <si>
    <t>Student Loan Repayment</t>
  </si>
  <si>
    <t>Notional tax</t>
  </si>
  <si>
    <t>Amount collected against small debt</t>
  </si>
  <si>
    <t>Voluntary Class 2 NICs via SA</t>
  </si>
  <si>
    <t>No Collection of Class 2 NICs via SA</t>
  </si>
  <si>
    <t>Current Class 2 NICs Charge held on NPS</t>
  </si>
  <si>
    <t>IF NIC Exception</t>
  </si>
  <si>
    <t>Endif</t>
  </si>
  <si>
    <t>Basic rate UK rate for Scotland</t>
  </si>
  <si>
    <t>Used in SA110 Notes</t>
  </si>
  <si>
    <t>If (MCA3 or MCA4 or MCA6 or MCA7) = Y, then</t>
  </si>
  <si>
    <t>The reference to box NICL2 in the calculation does not appear in the schema. This is for the calculation</t>
  </si>
  <si>
    <t xml:space="preserve">only and this figure is expected to be taken from the data sent in 1 (or more if you choose) of SSECL2, </t>
  </si>
  <si>
    <t xml:space="preserve">FSECL2, FPSCL2, SPSCL2 and LUNCL2 which are in the schema and would be sent in the xml. To </t>
  </si>
  <si>
    <t xml:space="preserve">support the rendering of NIC Class 2 Contributions you may want to render on one Self Employment, </t>
  </si>
  <si>
    <t>Partnership or Lloyds schedule and have the ability to choose the schedule that should be used.</t>
  </si>
  <si>
    <t>Where customer has multiple sources of income subject to Class 2 the Class 2 amount due should not be duplicated across the sources</t>
  </si>
  <si>
    <t>Gains after losses brought forward</t>
  </si>
  <si>
    <t>c97.1</t>
  </si>
  <si>
    <t>c97.2</t>
  </si>
  <si>
    <t>c97.3</t>
  </si>
  <si>
    <t>c97.4</t>
  </si>
  <si>
    <t>c97.5</t>
  </si>
  <si>
    <t>c97.6</t>
  </si>
  <si>
    <t>c97.7</t>
  </si>
  <si>
    <t>3) Coded out underpayments.</t>
  </si>
  <si>
    <t>A mainframe only process that sets up data required by TUTC.</t>
  </si>
  <si>
    <t>Underpayment coding limit</t>
  </si>
  <si>
    <t>Savings income in excess of the savings starting rate band, up to the lower of the amount of the excess or the individual's savings allowance, is charged at the savings nil rate.</t>
  </si>
  <si>
    <t>Non-payable notional tax and tax credits on dividends</t>
  </si>
  <si>
    <t xml:space="preserve">Calculate tax due </t>
  </si>
  <si>
    <t>c9.42</t>
  </si>
  <si>
    <t>Calculate reduction for marriage in year</t>
  </si>
  <si>
    <t>Calculate HR charge for TSR</t>
  </si>
  <si>
    <t>Calculate HR threshold for TSR</t>
  </si>
  <si>
    <t>from c98.17</t>
  </si>
  <si>
    <t>Calculate appropriate fraction</t>
  </si>
  <si>
    <t>c12.1+c12.8+c12.9+c12.10+c12.11-NRD36</t>
  </si>
  <si>
    <t>c12.17+NRD36</t>
  </si>
  <si>
    <t>Personal Allowance/Reduced Personal Allowance</t>
  </si>
  <si>
    <t>Total pensions savings charges</t>
  </si>
  <si>
    <t>Student Loan repayments (plan 01)</t>
  </si>
  <si>
    <t>Student Loan repayments (plan 02)</t>
  </si>
  <si>
    <t>EMPCL1</t>
  </si>
  <si>
    <t>MORCL1</t>
  </si>
  <si>
    <t>£up (for each EMP + MOR)</t>
  </si>
  <si>
    <t>Calculate if correct Pension Tax Relief at source received</t>
  </si>
  <si>
    <t>Gross pension payments</t>
  </si>
  <si>
    <t>Basic rate tax relief at source</t>
  </si>
  <si>
    <t>Basic rate tax relief at source due</t>
  </si>
  <si>
    <t>TR</t>
  </si>
  <si>
    <t>Basic rate additional tax due for pension payments</t>
  </si>
  <si>
    <t>c25.51</t>
  </si>
  <si>
    <t>c25.52</t>
  </si>
  <si>
    <t>c25.53</t>
  </si>
  <si>
    <t>c25.54</t>
  </si>
  <si>
    <t>c25.55</t>
  </si>
  <si>
    <t>Basic rate additional tax relief due for pension payments</t>
  </si>
  <si>
    <t>S</t>
  </si>
  <si>
    <t>U</t>
  </si>
  <si>
    <t>1) U = rUK rest of UK status</t>
  </si>
  <si>
    <t>2) S = STp Scottish taxpayer status</t>
  </si>
  <si>
    <t>c9.43</t>
  </si>
  <si>
    <t>Additonal tax due on pension payments</t>
  </si>
  <si>
    <t>L93e</t>
  </si>
  <si>
    <t>L93f</t>
  </si>
  <si>
    <t>Additional tax relief due on pension payments</t>
  </si>
  <si>
    <t>pens-tax-due</t>
  </si>
  <si>
    <t>pens-tax-rel-due</t>
  </si>
  <si>
    <t>PT</t>
  </si>
  <si>
    <t>Income Tax Relief - Losses</t>
  </si>
  <si>
    <t>The SA tax calculator follows the steps in s23 ITA 2007. Step 1 is to identify total income. Reliefs are deductible at step 2. HMRC introduced the term "limit on income tax reliefs" for step 2 deductions. This includes trade and property losses but there are other reliefs and deductions.</t>
  </si>
  <si>
    <t>- calculate the limit on relief with the correct adjusted total income x 25% where more than £50,000.</t>
  </si>
  <si>
    <t>- update the SA302 so it included the reliefs, including losses, in the 'income received' section and include them as "Income tax relief" in the 'minus' section below that. "Income tax relief" replaced both "Loan interest payments" and "Losses".</t>
  </si>
  <si>
    <t>The change to ensure adjusted total income is calculated correctly presents the total income received for the year before losses brought forward from an earlier year and before losses ocurring in the year for other income. The SA302 adds back the brought forward losses to show the total profit for the year and then deducts them as income tax relief.</t>
  </si>
  <si>
    <t>See Limit on Income Tax reliefs: HS204 Self Assessment helpsheet</t>
  </si>
  <si>
    <t>https://www.gov.uk/government/publications/limit-on-income-tax-reliefs-hs204-self-assessment-helpsheet</t>
  </si>
  <si>
    <t>From 2015-16 changes were made to:</t>
  </si>
  <si>
    <t>£1000 for basic rate customers (20%)</t>
  </si>
  <si>
    <t>£500 for higher rate customers (40%)</t>
  </si>
  <si>
    <t>Savings Income</t>
  </si>
  <si>
    <t>From 06 April 2016 the Personal Savings Allowance (PSA) introduces a new 0% band for Income Tax on income from savings interest.</t>
  </si>
  <si>
    <t xml:space="preserve">This will apply up to a maximum of </t>
  </si>
  <si>
    <t>- Interest from Individual Savings Accounts (ISAs) is already tax-free so this will not count towards the Personal Savings Allowance.</t>
  </si>
  <si>
    <t>- PSA is not affected by the Scottish Rate of Income Tax and will be applied at the same rate for all taxpayers across the UK.</t>
  </si>
  <si>
    <t>- PSA is affected by the £100 rule for children's savings and investments. If a parent's gift to a child exceeds this amount in any tax year it counts toward the parent's income for tax purposes.</t>
  </si>
  <si>
    <t>- The PSA will not apply to savings income received by additional rate customers (45%).</t>
  </si>
  <si>
    <t>- Income that is within an individual's savings allowance will still count towards their basic or higher rate limits.</t>
  </si>
  <si>
    <t>- Higher/Additional rate income is income on which tax is charged, or would be but for the dividend nil rate.</t>
  </si>
  <si>
    <t>- PSA is in addition to the starter savings rate which allows low income earners to receive up to £5,000 tax free savings interest.</t>
  </si>
  <si>
    <t>From April 2016 the Dividend Tax Credit will be abolished and a new £5,000 tax free allowance for dividend income will be introduced. This allowance will not reduce total income for tax purposes and will only apply to dividend income.</t>
  </si>
  <si>
    <t xml:space="preserve">The new rates of tax on dividend income above the allowance will be: </t>
  </si>
  <si>
    <t>7.5% for basic rate customers</t>
  </si>
  <si>
    <t>32.5% for higher rate customers</t>
  </si>
  <si>
    <t>38.1% for additional rate customers</t>
  </si>
  <si>
    <t>- An allowance will be introduced so that everyone can receive up to £5,000 of dividend income, on top of any dividends received on shares held in an ISA. If a customer earns less than £5,000 of dividend they will not pay any tax.</t>
  </si>
  <si>
    <t>- Dividend tax is in addition to and outside of ISA allowances.</t>
  </si>
  <si>
    <t>- Dividend tax is not affected by the Scottish Rate of Income Tax and will be applied at the same rate for all taxpayers across the UK.</t>
  </si>
  <si>
    <t>- No tax will be deducted at source; it will be paid through self-assessment.</t>
  </si>
  <si>
    <t>2016/17 - The age allowance ceases to exist.</t>
  </si>
  <si>
    <t>Age related allowances</t>
  </si>
  <si>
    <t>From 6 April 2016 there will be 2 Student Loan thresholds known as Plan 1 and Plan 2. Previously there was only 1. Each plan will have a different threshold and employers will need to deduct student loan repayments using the appropriate plan type.</t>
  </si>
  <si>
    <t>Plan 1</t>
  </si>
  <si>
    <t>·         Scottish and Northern Irish students</t>
  </si>
  <si>
    <t>·         English and Welsh students who started their course before 1 September 2012</t>
  </si>
  <si>
    <t>Plan 2</t>
  </si>
  <si>
    <t>The threshold will be £21,000 for employees who are:</t>
  </si>
  <si>
    <t>·         English and Welsh students who started their course on or after 1 September 2012</t>
  </si>
  <si>
    <t>Student Loan changes</t>
  </si>
  <si>
    <t>Each year, individuals have an annual exemption amount that allows them to receive some gains tax-free. Above this, you pay capital gains tax on all gains.</t>
  </si>
  <si>
    <t>Annual exemption amount</t>
  </si>
  <si>
    <t>Standard capital gains tax rate</t>
  </si>
  <si>
    <t>18% on residential property, 10% on other assets</t>
  </si>
  <si>
    <t>Higher capital gains tax rate</t>
  </si>
  <si>
    <t>28% on residential property, 20% on other assets</t>
  </si>
  <si>
    <t>Capital Gains tax</t>
  </si>
  <si>
    <t>llai</t>
  </si>
  <si>
    <t>Rhyddhad Diffyg</t>
  </si>
  <si>
    <t>Rhyddhad Haenen Uchaf</t>
  </si>
  <si>
    <t>Rhyddhad Ymddiriedolaeth Cyfalaf Mentro</t>
  </si>
  <si>
    <t>Rhyddhad Cynllun Buddsoddiad Menter</t>
  </si>
  <si>
    <t xml:space="preserve">Rhyddhad Cynllun Buddsoddiad Menter Seed </t>
  </si>
  <si>
    <t>Rhyddhad Treth am Fuddsoddiad Cymunedol</t>
  </si>
  <si>
    <t xml:space="preserve">Rhyddhad Treth am Fuddsoddiad Cymdeithasol </t>
  </si>
  <si>
    <t xml:space="preserve">Cynhaliaeth ac alimoni a dalwyd </t>
  </si>
  <si>
    <t>Lwfans Pâr Priod</t>
  </si>
  <si>
    <t>Lwfans Pâr Priod sydd dros ben oddi wrth briod</t>
  </si>
  <si>
    <t>Treth Dybiannol o enillion ar bolisïau bywyd ac ati</t>
  </si>
  <si>
    <t>Treth Dybiannol o ddifidendau stoc ac incwm arall</t>
  </si>
  <si>
    <t>Rhyddhad Credyd Treth Dramor</t>
  </si>
  <si>
    <t>Rhyddhad a hawliwyd ar ddosbarthiad cymwys</t>
  </si>
  <si>
    <t>Treth Incwm ar ôl Lwfansau a Rhyddhad</t>
  </si>
  <si>
    <t>Incwm a dderbyniwyd (cyn didynnu treth)</t>
  </si>
  <si>
    <t>Tâl ar gyfer pob cyflogaeth</t>
  </si>
  <si>
    <t>plws</t>
  </si>
  <si>
    <t>Buddiannau a threuliau a gafwyd</t>
  </si>
  <si>
    <t>Treuliau a ganiateir</t>
  </si>
  <si>
    <t>Cynlluniau Cyfranddaliadau</t>
  </si>
  <si>
    <t>Elw o hunangyflogaeth</t>
  </si>
  <si>
    <t>Elw o bartneriaethau</t>
  </si>
  <si>
    <t>Elw o dir ac eiddo yn y DU</t>
  </si>
  <si>
    <t>Incwm o dramor</t>
  </si>
  <si>
    <t>Difidendau gan gwmnïau dramor</t>
  </si>
  <si>
    <t>Ymddiriedolaethau ac Ystadau</t>
  </si>
  <si>
    <t>Pensiynau'r DU a budd-daliadau'r Wladwriaeth</t>
  </si>
  <si>
    <t>Enillion ar bolisïau yswiriant bywyd etc</t>
  </si>
  <si>
    <t>Incwm arall</t>
  </si>
  <si>
    <t>'Cyfanswm yr incwm a gafwyd''</t>
  </si>
  <si>
    <t>Difidendau o gwmnïau yn y DU</t>
  </si>
  <si>
    <t>Taliadau i gytundeb Blwydd-dal Ymddeol ac ati</t>
  </si>
  <si>
    <t>Treth dramor ar Ystadau (Rhyddhad Credyd Treth heb ei hawlio)</t>
  </si>
  <si>
    <t>Rhyddhad treth incwm</t>
  </si>
  <si>
    <t>Blwydd-daliadau</t>
  </si>
  <si>
    <t>Rhodd o fuddsoddiadau ac eiddo i elusen</t>
  </si>
  <si>
    <t>trosglwyddiad Lwfans Priodasol</t>
  </si>
  <si>
    <t>Lwfans Person Dall</t>
  </si>
  <si>
    <t>Lwfans Person Dall sydd dros ben oddi wrth briod</t>
  </si>
  <si>
    <t>lncwm heb ei gynnwys yn y cyfrifiad hwn</t>
  </si>
  <si>
    <t>Cyfanswm</t>
  </si>
  <si>
    <t>Sut rydw' i wedi cyfrifo eich treth incwm</t>
  </si>
  <si>
    <t>Difidendau o gwmnïau ac ati</t>
  </si>
  <si>
    <t xml:space="preserve">Cyfanswm yr incwm y codwyd treth arno </t>
  </si>
  <si>
    <t>Treth ar incwm a eithriwyd o'r cyfrifiad hwn</t>
  </si>
  <si>
    <t>Treth Incwm sy'n ddyledus</t>
  </si>
  <si>
    <t>Treth incwm a godwyd</t>
  </si>
  <si>
    <t>Treth sy'n ddyledus ar Daliadau Rhodd Cymorth</t>
  </si>
  <si>
    <t>Treth Enillion Cyfalaf sy'n ddyledus</t>
  </si>
  <si>
    <t>Tâl sail trosglwyddo ar gyfer y rhai nad yw eu domisil yn y DU</t>
  </si>
  <si>
    <t>Treth Incwm sy'n Ddyledus ar ôl Rhodd Cymorth</t>
  </si>
  <si>
    <t>Treth ar flwydd-daliadau a breindaliadau</t>
  </si>
  <si>
    <t>Cyfraniadau Yswiriant Gwladol Dosbarth 4</t>
  </si>
  <si>
    <t>cyfraniadau Yswiriant Gwladol Dosbarth 4</t>
  </si>
  <si>
    <t xml:space="preserve">plws </t>
  </si>
  <si>
    <t>cyfraniadau Yswiriant Gwladol Dosbarth 2</t>
  </si>
  <si>
    <t>Tal incwm uchel budd-dal plant</t>
  </si>
  <si>
    <t>Cyfandaliad pensiwn y Wladwriaeth</t>
  </si>
  <si>
    <t>Treth a ddidynnwyd</t>
  </si>
  <si>
    <t>O bob cyflogaeth, pensiynau'r DU a budd-daliadau'r Wladwriaeth</t>
  </si>
  <si>
    <t>O bob cyflogaeth, pensiynau'r DU a budd-daliadau'r wladwriaeth</t>
  </si>
  <si>
    <t>Dyled a gesglir drwy TWE</t>
  </si>
  <si>
    <t>Balans treth TWE</t>
  </si>
  <si>
    <t>CIS ac incwm masnachu</t>
  </si>
  <si>
    <t>Partneriaethau</t>
  </si>
  <si>
    <t>Tir ac eiddo yn y DU</t>
  </si>
  <si>
    <t xml:space="preserve">Incwm o Dramor </t>
  </si>
  <si>
    <t xml:space="preserve">Ymddiriedolaethau ac Ystadau </t>
  </si>
  <si>
    <t>Incwm o Dros y Môr</t>
  </si>
  <si>
    <t>Llog a gawsoch o fanciau a chymdeithasau adeiladu yn y DU</t>
  </si>
  <si>
    <t>Cyfrifon ISA sy'n Ddi-rym</t>
  </si>
  <si>
    <t xml:space="preserve">Incwm Arall </t>
  </si>
  <si>
    <t>Cyfanswm y dreth a ddidynnwyd</t>
  </si>
  <si>
    <t>Treth Incwm a ordalwyd</t>
  </si>
  <si>
    <t xml:space="preserve">Treth Enillion Cyfalaf </t>
  </si>
  <si>
    <t>Enillion cyfalaf trethadwy</t>
  </si>
  <si>
    <t>Addasiad ar gyfer Treth Enillion Cyfalaf</t>
  </si>
  <si>
    <t>Treth Enillion Cyfalaf sy'n Ddyledus</t>
  </si>
  <si>
    <t>Rhyddhad Credyd Treth Dramor ar enillion cyfalaf</t>
  </si>
  <si>
    <t>Rhwymedigaeth o ymddiriedolaethau alltraeth</t>
  </si>
  <si>
    <t xml:space="preserve">Treth a ad-dalwyd eisoes yn ystod y flwyddyn </t>
  </si>
  <si>
    <t>Treth heb ei thalu a gyfrifwyd ar gyfer blynyddoedd blaenorol</t>
  </si>
  <si>
    <t xml:space="preserve"> trosglwyddiad Lwfans Priodasol</t>
  </si>
  <si>
    <t>Cyfanswm y dreth a chyfraniadau Yswiriant Gwladol sy'n ddyledus</t>
  </si>
  <si>
    <t>Cyfanswm y dreth sy'n ddyledus</t>
  </si>
  <si>
    <t>Foreign Tax Credit Relief on capital gains</t>
  </si>
  <si>
    <t>In-Year calculation</t>
  </si>
  <si>
    <t>In-Year</t>
  </si>
  <si>
    <t>c4.80</t>
  </si>
  <si>
    <t>Election to reduce the personal allowance or entitlement to receive a tax reduction (Marriage Allowance transfer)</t>
  </si>
  <si>
    <t>Where you are liable to tax at the savings nil rate the savings nil rate applies.</t>
  </si>
  <si>
    <t>Where you are liable to tax at the dividend nil rate, and if the dividend nil rate were omitted would you be liable to tax at</t>
  </si>
  <si>
    <t>the dividend upper rate or additional rate? If yes, the transfer is invalid.</t>
  </si>
  <si>
    <t>HR_case for MAT</t>
  </si>
  <si>
    <t>HR_case for PSA</t>
  </si>
  <si>
    <t>AHR_case for PSA</t>
  </si>
  <si>
    <t>in year repayment PA amount</t>
  </si>
  <si>
    <t>Not part of SA tax calculation requirements - for in year repayments only</t>
  </si>
  <si>
    <t>c8.25</t>
  </si>
  <si>
    <t>c8.26</t>
  </si>
  <si>
    <t>Total Tax and NIC due</t>
  </si>
  <si>
    <t>Select the 'Additional Information' and 'Additional Pages' from the Return that are required.</t>
  </si>
  <si>
    <t>Note that the National Insurance page does not equate to a Return page but should be completed</t>
  </si>
  <si>
    <t>where Class 2 is payable or Class 1 paid affects Class 4 due</t>
  </si>
  <si>
    <t>Insert the Return entries as shown below</t>
  </si>
  <si>
    <t>Complete all the Return pages and select 'Add pages'</t>
  </si>
  <si>
    <t>Select the 'Calculate Now' button to reveal the SA302 tax calculation</t>
  </si>
  <si>
    <t>The SA302 Calculation – here you can see what the customers SA302 looks like based on the entries you have made</t>
  </si>
  <si>
    <t>The government froze age-related personal allowances in April 2013.In the 2015/16 tax year this was restricted to individuals born before 6 April 1938.</t>
  </si>
  <si>
    <t xml:space="preserve"> Individuals born on or after this date were entitled to the basic Personal Allowance instead. However, due to increases in the basic Personal Allowance, this is now the same for everyone, irrespective of when they were born.</t>
  </si>
  <si>
    <t>Llog o fanciau, cymdeithasau adeiladu a gwarantau etc yn y DU</t>
  </si>
  <si>
    <t>Cyfradd sylfaenol</t>
  </si>
  <si>
    <t>Cyfradd uwch</t>
  </si>
  <si>
    <t>Cyfradd Ychwanegol</t>
  </si>
  <si>
    <t>Cyfradd gychwynnol</t>
  </si>
  <si>
    <t>plws ad-daliadau Benthyciadau Myfyrwyr (cynllun 01)</t>
  </si>
  <si>
    <t>plws treth ychwanegol sy'n ddyledus ar daliadau pensiwn</t>
  </si>
  <si>
    <t>yn llai rhyddhad treth ychwanegol sy'n ddyledus ar daliadau pensiwn</t>
  </si>
  <si>
    <t>Eiddo preswyl a 'carried interest'</t>
  </si>
  <si>
    <t>Eiddo preswyl a 'carried interest' Cyfradd sylfaenol</t>
  </si>
  <si>
    <t>plws ad-daliadau Benthyciadau Myfyrwyr (cynllun 02)</t>
  </si>
  <si>
    <t>L79C</t>
  </si>
  <si>
    <t>Additional tax due on pension payments</t>
  </si>
  <si>
    <t>used in calc?</t>
  </si>
  <si>
    <t>All other capital allowances</t>
  </si>
  <si>
    <t>Costs of replacing domestic items – for residential lettings only</t>
  </si>
  <si>
    <t>Your share of untaxed interest etc.</t>
  </si>
  <si>
    <t>Your share of untaxed interest etc</t>
  </si>
  <si>
    <t>Your share of untaxed interest etc - from box 13 on the Partership Statement</t>
  </si>
  <si>
    <t>Your share of CIS deductions made by contractors</t>
  </si>
  <si>
    <t>Share of any tax taken off trading income (not contractor deductions)</t>
  </si>
  <si>
    <t>Any other information</t>
  </si>
  <si>
    <t>Adjustment to profit chargeable to Class 4 NICs</t>
  </si>
  <si>
    <t>If you are excempt from paying Class 4 NICs, put ‘X’ in the box</t>
  </si>
  <si>
    <t>CGT losses to carry forward of -GBP9,685.83</t>
  </si>
  <si>
    <t>Partnership9</t>
  </si>
  <si>
    <t>If CGT11 is positive then CGT6 must be present
If CGT11 is positive it must be less than or equal to CGT6
IfCGT11 is negative then VGT7 must be present
If CGT11 is negative then its absolute value must be less than or equal to CGT7</t>
  </si>
  <si>
    <t>If CGT14 is present then at least one of CGT17 and CGT19 must be present</t>
  </si>
  <si>
    <t>If CGT21 is positive then CGT17 must be present
If CGT21 is positive it must be less than or equal to CGT17
If CGT21 is negative then CGT19 must be present
If CGT21 is negative then its absolute value must be less than or equal to CGT19</t>
  </si>
  <si>
    <t>If CGT23 is present then at least one of CGT26 and CGT27 must be present</t>
  </si>
  <si>
    <t>If CGT31 is present then at least one of CGT34 and CGT35 must be present</t>
  </si>
  <si>
    <t>If Present</t>
  </si>
  <si>
    <t>{{419}}CGT23</t>
  </si>
  <si>
    <t>{{674}} &lt;= [TRAB-SEED-EIS-RELIEF-LIMIT]</t>
  </si>
  <si>
    <t>Value validation</t>
  </si>
  <si>
    <t>{{697}} &lt;= CGT41</t>
  </si>
  <si>
    <t>{{698}} &lt;= CGT43</t>
  </si>
  <si>
    <t>{{418}} &lt;= [TRAL-CG-ENTREPRENEURS-RELIEF]</t>
  </si>
  <si>
    <t>{{416}} &lt;= [TRAL-NEW-CG-ENTREPRENEURS-REL]</t>
  </si>
  <si>
    <t>Type</t>
  </si>
  <si>
    <t>SA string</t>
  </si>
  <si>
    <t>UTR</t>
  </si>
  <si>
    <t>Integer value greater &gt; 0</t>
  </si>
  <si>
    <t>SA Monetary value (2dp) &gt; 0.00</t>
  </si>
  <si>
    <t>SA CGT Relief Code (3 upper case letters)</t>
  </si>
  <si>
    <t>SA Monetary value (2dp)</t>
  </si>
  <si>
    <t>"yes"</t>
  </si>
  <si>
    <t>SA non-empty string</t>
  </si>
  <si>
    <t>If CGT3 present then at least one of CGT6, CGT7, or CGT9 must be present</t>
  </si>
  <si>
    <t>Available unused Basic Rate Band</t>
  </si>
  <si>
    <t>PRR</t>
  </si>
  <si>
    <t>c18.56 + c18.57</t>
  </si>
  <si>
    <t>YPDTR</t>
  </si>
  <si>
    <t>3.1</t>
  </si>
  <si>
    <t>Total-tax-NIC-due</t>
  </si>
  <si>
    <t>L66</t>
  </si>
  <si>
    <t>c12.21 (Absolute value)</t>
  </si>
  <si>
    <t>DA</t>
  </si>
  <si>
    <t>Tax deducted at source</t>
  </si>
  <si>
    <t>SA Monetary value (2dp) &gt;= 0.00</t>
  </si>
  <si>
    <t>"yes" or "no"</t>
  </si>
  <si>
    <t>SA MTR date</t>
  </si>
  <si>
    <t>SA Monetary value (2dp) except 0.00</t>
  </si>
  <si>
    <t>Monetary value (2dp)</t>
  </si>
  <si>
    <t>Monetary value (2dp) &gt;= 0.00</t>
  </si>
  <si>
    <t>Not in use</t>
  </si>
  <si>
    <t>SLRPT</t>
  </si>
  <si>
    <t>Integer value &gt;= 0</t>
  </si>
  <si>
    <t>The Dividend Allowance nil rate is omitted when establishing the tax rate on income; the Personal Savings  Allowance nil rate is applied when establishing the tax rate on income</t>
  </si>
  <si>
    <t>Total income on which tax is due</t>
  </si>
  <si>
    <t>100/92.5</t>
  </si>
  <si>
    <t>D</t>
  </si>
  <si>
    <t>*100/</t>
  </si>
  <si>
    <t>used as</t>
  </si>
  <si>
    <t>P</t>
  </si>
  <si>
    <t>Non-discretionary income entitlement from a trust</t>
  </si>
  <si>
    <t>Non-discretionary income entitlement from a trust at trust rate</t>
  </si>
  <si>
    <t>c11.30</t>
  </si>
  <si>
    <t>c11.31</t>
  </si>
  <si>
    <t>c11.27 + c11.28</t>
  </si>
  <si>
    <t>Total Trust and estates dividends</t>
  </si>
  <si>
    <t>Total allowances and deductions</t>
  </si>
  <si>
    <t>HR 0%</t>
  </si>
  <si>
    <t>AR 0%</t>
  </si>
  <si>
    <t>c5.37</t>
  </si>
  <si>
    <t>c5.38</t>
  </si>
  <si>
    <t>c5.39</t>
  </si>
  <si>
    <t>lower of</t>
  </si>
  <si>
    <t>Step 2</t>
  </si>
  <si>
    <t>Step 1</t>
  </si>
  <si>
    <t>Dividends income</t>
  </si>
  <si>
    <t>Allowances and deductions</t>
  </si>
  <si>
    <t>c5.40</t>
  </si>
  <si>
    <t>c5.41</t>
  </si>
  <si>
    <t>c5.42</t>
  </si>
  <si>
    <t>c5.43</t>
  </si>
  <si>
    <t>c5.44</t>
  </si>
  <si>
    <t>c5.45</t>
  </si>
  <si>
    <t>c5.46</t>
  </si>
  <si>
    <t>c5.47</t>
  </si>
  <si>
    <t>c5.48</t>
  </si>
  <si>
    <t>c5.49</t>
  </si>
  <si>
    <t>c5.50</t>
  </si>
  <si>
    <t>c5.51</t>
  </si>
  <si>
    <t>PA available minus Dividends in HR</t>
  </si>
  <si>
    <t>SNil_rate 0%</t>
  </si>
  <si>
    <t>DivNil_rate 0%</t>
  </si>
  <si>
    <t>c5.52</t>
  </si>
  <si>
    <t>c5.53</t>
  </si>
  <si>
    <t>c5.54</t>
  </si>
  <si>
    <t>c5.55</t>
  </si>
  <si>
    <t>c5.56</t>
  </si>
  <si>
    <t>c5.57</t>
  </si>
  <si>
    <t>c5.58</t>
  </si>
  <si>
    <t>c5.59</t>
  </si>
  <si>
    <t>c5.60</t>
  </si>
  <si>
    <t>c5.61</t>
  </si>
  <si>
    <t>c5.62</t>
  </si>
  <si>
    <t>c5.63</t>
  </si>
  <si>
    <t>c5.64</t>
  </si>
  <si>
    <t>c5.65</t>
  </si>
  <si>
    <t>c5.66</t>
  </si>
  <si>
    <t>c5.67</t>
  </si>
  <si>
    <t>c5.68</t>
  </si>
  <si>
    <t>c5.69</t>
  </si>
  <si>
    <t>c5.70</t>
  </si>
  <si>
    <t>c5.71</t>
  </si>
  <si>
    <t>c5.72</t>
  </si>
  <si>
    <t>c5.73</t>
  </si>
  <si>
    <t>c5.74</t>
  </si>
  <si>
    <t>c5.75</t>
  </si>
  <si>
    <t>c5.76</t>
  </si>
  <si>
    <t>c5.77</t>
  </si>
  <si>
    <t>c5.78</t>
  </si>
  <si>
    <t>c5.79</t>
  </si>
  <si>
    <t>c5.80</t>
  </si>
  <si>
    <t>c5.81</t>
  </si>
  <si>
    <t>c5.82</t>
  </si>
  <si>
    <t>c5.83</t>
  </si>
  <si>
    <t>c5.84</t>
  </si>
  <si>
    <t>c5.85</t>
  </si>
  <si>
    <t>c5.86</t>
  </si>
  <si>
    <t>Total Dividend income</t>
  </si>
  <si>
    <t>Lower income spouse claiming MCA, in year marriage( STR 7)</t>
  </si>
  <si>
    <t xml:space="preserve">Self Assessment: Tax Calculation </t>
  </si>
  <si>
    <t>Prohibited if NRD1 = Y</t>
  </si>
  <si>
    <t>Integer value &gt; 0</t>
  </si>
  <si>
    <t>SA Country Code (3 upper case letters)</t>
  </si>
  <si>
    <t>@ 7.5% =</t>
  </si>
  <si>
    <t>@ 38.1% =</t>
  </si>
  <si>
    <t>@ 38.5% =</t>
  </si>
  <si>
    <t>SavBR_band</t>
  </si>
  <si>
    <t>Scottish Basic rate band</t>
  </si>
  <si>
    <t>Scottish Band between Basic Rate &amp; Higher rate</t>
  </si>
  <si>
    <t>SHR_band</t>
  </si>
  <si>
    <t>=AHR_band-BR_band</t>
  </si>
  <si>
    <t>Scottish Additional rate band</t>
  </si>
  <si>
    <t>SAHR_band</t>
  </si>
  <si>
    <t>ALL</t>
  </si>
  <si>
    <t>highlighting removed</t>
  </si>
  <si>
    <t>years and data items that have changed highlighted</t>
  </si>
  <si>
    <t>2017-18</t>
  </si>
  <si>
    <t xml:space="preserve"> else</t>
  </si>
  <si>
    <t>c23.10</t>
  </si>
  <si>
    <t>c23.11</t>
  </si>
  <si>
    <t>(i) income on which income tax is charged at the higher rate or dividend upper rate,</t>
  </si>
  <si>
    <t>(ii) income on which income tax would be charged at the higher rate but for section 12A (income charged at savings nil rate),</t>
  </si>
  <si>
    <t>(iii) income on which income tax would be charged at the dividend upper rate but for section 13A (income charged at dividend nil rate), and</t>
  </si>
  <si>
    <t>s12B (8) (a) ITA 2007 - each of the following is “additional-rate income”—</t>
  </si>
  <si>
    <t>(i) income on which income tax is charged at the additional rate or dividend additional rate,</t>
  </si>
  <si>
    <t>(ii) income on which income tax would be charged at the dividend additional rate but for section 13A (income charged at dividend nil rate), and</t>
  </si>
  <si>
    <t>s12B (8) (b) ITA 2007 - each of the following is “higher-rate income”—</t>
  </si>
  <si>
    <t>basic rate, the Scottish basic rate, the dividend nil rate, the savings nil rate, the dividend ordinary rate or the starting rate for savings</t>
  </si>
  <si>
    <t>c24.1</t>
  </si>
  <si>
    <t>c24.2</t>
  </si>
  <si>
    <t>c24.3</t>
  </si>
  <si>
    <t>c24.4</t>
  </si>
  <si>
    <t>c24.5</t>
  </si>
  <si>
    <t>c24.6</t>
  </si>
  <si>
    <t>c24.7</t>
  </si>
  <si>
    <t>c24.8</t>
  </si>
  <si>
    <t>c24.9</t>
  </si>
  <si>
    <t>Relief for finance costs</t>
  </si>
  <si>
    <t>Calculate relief for finance costs</t>
  </si>
  <si>
    <t>LLIR (c24)</t>
  </si>
  <si>
    <t>Notional (c21c23)</t>
  </si>
  <si>
    <t>H40</t>
  </si>
  <si>
    <t>PRO44</t>
  </si>
  <si>
    <t>Partnership property income</t>
  </si>
  <si>
    <t>Adjusted total income</t>
  </si>
  <si>
    <t>Net income</t>
  </si>
  <si>
    <t>c24.10</t>
  </si>
  <si>
    <t>c24.11</t>
  </si>
  <si>
    <t>c24.12</t>
  </si>
  <si>
    <t>c24.13</t>
  </si>
  <si>
    <t>c24.14</t>
  </si>
  <si>
    <t>c24.15</t>
  </si>
  <si>
    <t>c24.16</t>
  </si>
  <si>
    <t>c24.17</t>
  </si>
  <si>
    <t>Allowable amount</t>
  </si>
  <si>
    <t>Relievable amount</t>
  </si>
  <si>
    <t>L67</t>
  </si>
  <si>
    <t>Llir-relief</t>
  </si>
  <si>
    <t>Llir-amount</t>
  </si>
  <si>
    <t>Llir-amount-restricted</t>
  </si>
  <si>
    <t>Unique Taxpayer Reference (UTR)</t>
  </si>
  <si>
    <t>Finance costs</t>
  </si>
  <si>
    <t>Allowable finance costs</t>
  </si>
  <si>
    <t>Partnership foreign property income</t>
  </si>
  <si>
    <t>Trust and Estate UK property and income from land and property abroad</t>
  </si>
  <si>
    <t>Calculate if, after the personal allowance is reduced or tax reduction received, you are liable to tax at a rate other than the</t>
  </si>
  <si>
    <t>Ratified rate</t>
  </si>
  <si>
    <t>=SAHR_band-SBR_band</t>
  </si>
  <si>
    <t>Announced December/Ratified March</t>
  </si>
  <si>
    <t>Relief for residential finance costs</t>
  </si>
  <si>
    <t>P6</t>
  </si>
  <si>
    <t>Taxable profit after adjustment and losses</t>
  </si>
  <si>
    <t>Taxable profit</t>
  </si>
  <si>
    <t>S19</t>
  </si>
  <si>
    <t>N14</t>
  </si>
  <si>
    <t>K20</t>
  </si>
  <si>
    <t>residential property income</t>
  </si>
  <si>
    <t>TRU26</t>
  </si>
  <si>
    <t>P37</t>
  </si>
  <si>
    <t>Class1_PT</t>
  </si>
  <si>
    <t>Class1_UEL</t>
  </si>
  <si>
    <t>Class 1 Primary Threshold (employee)</t>
  </si>
  <si>
    <t>Class 1 Upper Earnings Limit</t>
  </si>
  <si>
    <t>not for requirements</t>
  </si>
  <si>
    <t>Not used in requirements</t>
  </si>
  <si>
    <t>Step 3</t>
  </si>
  <si>
    <t>Step 4</t>
  </si>
  <si>
    <t>Step 5</t>
  </si>
  <si>
    <t>Step 6</t>
  </si>
  <si>
    <t>Step 7</t>
  </si>
  <si>
    <t>Step 6 x 2%</t>
  </si>
  <si>
    <t>Step 8</t>
  </si>
  <si>
    <t>Individual annual maximum Step 2 + Step 5 + Step 7</t>
  </si>
  <si>
    <t>Upper earnings limit (weekly)</t>
  </si>
  <si>
    <t>NIC_UEL_Wk</t>
  </si>
  <si>
    <t>Not for requirements</t>
  </si>
  <si>
    <t>Primary earnings threshold (weekly)</t>
  </si>
  <si>
    <t>NIC_PT_Wk</t>
  </si>
  <si>
    <t>This is the reduced Class 2 calculation</t>
  </si>
  <si>
    <t>Enter the full amount of Class 2</t>
  </si>
  <si>
    <t>CL2A</t>
  </si>
  <si>
    <t>that would have been payable</t>
  </si>
  <si>
    <t>CL2B</t>
  </si>
  <si>
    <t>Step 3 minus Step 1</t>
  </si>
  <si>
    <t>Adj CL2</t>
  </si>
  <si>
    <t>O23</t>
  </si>
  <si>
    <t>D30</t>
  </si>
  <si>
    <t>Income net of losses</t>
  </si>
  <si>
    <t>H36</t>
  </si>
  <si>
    <t>Further Scottish Income Tax Powers</t>
  </si>
  <si>
    <t xml:space="preserve">The UK basic, higher and additional rates, paid by Scottish taxpayers are reduced by 10% (10p in the pound). </t>
  </si>
  <si>
    <t>The Scottish rate is then set annually by the Scottish Parliament at any value from 0% upwards in half pence units.</t>
  </si>
  <si>
    <t xml:space="preserve">Scottish income tax applies to non-savings and non-dividend income </t>
  </si>
  <si>
    <t>The personal allowance and thresholds and taxes on savings and dividends remain a UK ‘reserved’ matter</t>
  </si>
  <si>
    <t xml:space="preserve">Capital Gains Tax (CGT) has not been devolved (nor NIC, IHT or corporation tax) </t>
  </si>
  <si>
    <r>
      <t xml:space="preserve">basic rate, the </t>
    </r>
    <r>
      <rPr>
        <b/>
        <sz val="9"/>
        <rFont val="Arial"/>
        <family val="2"/>
      </rPr>
      <t>Scottish basic rate</t>
    </r>
    <r>
      <rPr>
        <sz val="9"/>
        <rFont val="Arial"/>
        <family val="2"/>
      </rPr>
      <t>, the dividend nil rate, the savings nil rate, the dividend ordinary rate or the starting rate for savings</t>
    </r>
  </si>
  <si>
    <r>
      <t xml:space="preserve">(iv) income of an individual who is a </t>
    </r>
    <r>
      <rPr>
        <b/>
        <sz val="9"/>
        <rFont val="Arial"/>
        <family val="2"/>
      </rPr>
      <t xml:space="preserve">Scottish taxpayer </t>
    </r>
    <r>
      <rPr>
        <sz val="9"/>
        <rFont val="Arial"/>
        <family val="2"/>
      </rPr>
      <t>or Welsh taxpayer which would, if the individual were not a Scottish taxpayer or Welsh taxpayer (as the case may be), be income on which income tax is charged at the higher rate.”</t>
    </r>
  </si>
  <si>
    <r>
      <t xml:space="preserve">(iii) income of an individual who is a </t>
    </r>
    <r>
      <rPr>
        <b/>
        <sz val="9"/>
        <rFont val="Arial"/>
        <family val="2"/>
      </rPr>
      <t>Scottish taxpayer</t>
    </r>
    <r>
      <rPr>
        <sz val="9"/>
        <rFont val="Arial"/>
        <family val="2"/>
      </rPr>
      <t xml:space="preserve"> or Welsh taxpayer which would, if the individual were not a </t>
    </r>
    <r>
      <rPr>
        <b/>
        <sz val="9"/>
        <rFont val="Arial"/>
        <family val="2"/>
      </rPr>
      <t xml:space="preserve">Scottish taxpayer </t>
    </r>
    <r>
      <rPr>
        <sz val="9"/>
        <rFont val="Arial"/>
        <family val="2"/>
      </rPr>
      <t>or Welsh taxpayer (as the case may be), be income on which income tax is charged at the additional rate</t>
    </r>
  </si>
  <si>
    <t>Scottish income tax rates 2017-18</t>
  </si>
  <si>
    <t>Scottish income tax bands 2017-18</t>
  </si>
  <si>
    <t>Scottish basic rate - 20%</t>
  </si>
  <si>
    <t>£11,501 - £43,000 (£31,500)</t>
  </si>
  <si>
    <t>Scottish higher rate - 40%</t>
  </si>
  <si>
    <t>£43,001 - £150,000</t>
  </si>
  <si>
    <t>Scottish addittional rate - 45%</t>
  </si>
  <si>
    <t>£150,001 and above</t>
  </si>
  <si>
    <t>Extended basic rate band for non-saving-non-dividend income</t>
  </si>
  <si>
    <t>Capital gains tax in 2017/18</t>
  </si>
  <si>
    <t>£11,300 for individuals</t>
  </si>
  <si>
    <t>c6.49</t>
  </si>
  <si>
    <t>c6.50</t>
  </si>
  <si>
    <t>c6.51</t>
  </si>
  <si>
    <t>UK rate paid in Scotland</t>
  </si>
  <si>
    <t>Scottish rate</t>
  </si>
  <si>
    <t>Total rate for Scottish taxpayers</t>
  </si>
  <si>
    <t>The threshold will be £17,775 for employees who are :</t>
  </si>
  <si>
    <t>c7.12</t>
  </si>
  <si>
    <t>c7.13</t>
  </si>
  <si>
    <t>c7.14</t>
  </si>
  <si>
    <t>c7.15</t>
  </si>
  <si>
    <t>c7.16</t>
  </si>
  <si>
    <t>The calc figure should be test case 209 + Remittance Basis Charge RBC for 7 of 9 years</t>
  </si>
  <si>
    <t>The calc figure should be test case 209 + Remittance Basis Charge RBC for 12 of 14 years</t>
  </si>
  <si>
    <t>-OUT</t>
  </si>
  <si>
    <t>-IN</t>
  </si>
  <si>
    <t>Class 1</t>
  </si>
  <si>
    <t>Above BR for non-savings</t>
  </si>
  <si>
    <t xml:space="preserve">Every member of the Scottish Parliament, every MP who represents a Scottish constituency and every MEP who represents Scotland is automatically taxed as a Scottish taxpayer, regardless of where they live.  </t>
  </si>
  <si>
    <t xml:space="preserve">Subject to the rule for politicians, a Scottish person not living in Scotland will not pay the Scottish rates. Liability is determined by residence and not nationality.  </t>
  </si>
  <si>
    <t xml:space="preserve">Having established UK residence, the next determinant is whether the taxpayer’s sole or main residence is in Scotland. If it is, they are a Scottish taxpayer. </t>
  </si>
  <si>
    <t>Those who pay Scottish income tax</t>
  </si>
  <si>
    <t xml:space="preserve">Who is a Scottish resident? </t>
  </si>
  <si>
    <t>The Scottish rate is charged on the non-savings income of Scottish residents.</t>
  </si>
  <si>
    <t xml:space="preserve">A Scottish taxpayer must first be a UK resident. A non-resident can never be a Scottish taxpayer. If someone has earnings subject to UK income tax, it will be at the UK rates.  </t>
  </si>
  <si>
    <t>Non-UK resident</t>
  </si>
  <si>
    <t>if you pay the maximum amount of annual NIC by way of Class 1 and Class 2,</t>
  </si>
  <si>
    <t>you may not need to pay the full amount of Class 4 NIC. Complete the following boxes.</t>
  </si>
  <si>
    <t>This will enable the reduced Class 2 and Class 4 calculations.</t>
  </si>
  <si>
    <t>Do not complete these boxes - complete the page opposite to calculate the adjusted Class 2 amount</t>
  </si>
  <si>
    <t>This is the adjusted Class 2 from</t>
  </si>
  <si>
    <t>and then enter lower of CL2A and CL2B</t>
  </si>
  <si>
    <t>Complete the boxes below to update the reduced Class 2 calculation and CL2B above,</t>
  </si>
  <si>
    <t>This populates box CL2B</t>
  </si>
  <si>
    <t>This is required for the Reg 100 Class 4 calculation</t>
  </si>
  <si>
    <t>c4.63a</t>
  </si>
  <si>
    <t>c4.63b</t>
  </si>
  <si>
    <t>c4.63c</t>
  </si>
  <si>
    <t>c4.76a</t>
  </si>
  <si>
    <t>c4.76b</t>
  </si>
  <si>
    <t>c5.2a</t>
  </si>
  <si>
    <t>c5.20a</t>
  </si>
  <si>
    <t>c5.20b</t>
  </si>
  <si>
    <t>c5.20c</t>
  </si>
  <si>
    <t>c5.34a</t>
  </si>
  <si>
    <t>c5.34b</t>
  </si>
  <si>
    <t>c5.34c</t>
  </si>
  <si>
    <t>c5.34d</t>
  </si>
  <si>
    <t>c5.45a</t>
  </si>
  <si>
    <t>c5.45b</t>
  </si>
  <si>
    <t>c5.50a</t>
  </si>
  <si>
    <t>c5.50b</t>
  </si>
  <si>
    <t>c5.50c</t>
  </si>
  <si>
    <t>c5.68a</t>
  </si>
  <si>
    <t>Set to zero</t>
  </si>
  <si>
    <t>c6.52</t>
  </si>
  <si>
    <t>c6.53</t>
  </si>
  <si>
    <t>Higher rate band available</t>
  </si>
  <si>
    <t>c6.54</t>
  </si>
  <si>
    <t>c6.55</t>
  </si>
  <si>
    <t>c6.56</t>
  </si>
  <si>
    <t>c3a.1</t>
  </si>
  <si>
    <t>c3a.2</t>
  </si>
  <si>
    <t>c3a.3</t>
  </si>
  <si>
    <t>Status (c3a)</t>
  </si>
  <si>
    <t>The Class 2 Reg 21 calculation reduces Class 2 with reference to Class 1 Earnings. There are two new boxes within the 'NI' screen to help calculate the reduced amount when requested from a customer.</t>
  </si>
  <si>
    <t>The deferment of Class 4 NIC has been removed from 2015-2016 onwards. There are two new boxes within the 'NI' screen in relation to Class 1 Earnings for the Reg100 Clas 4 calculation.</t>
  </si>
  <si>
    <t xml:space="preserve">Where a person is liable to pay Class 2 National Insurance contributions (NICs), Class 2 NICs are due for each contribution week or part of a week that a person was self-employed. </t>
  </si>
  <si>
    <t xml:space="preserve">So, where a person was self-employed and liable to pay Class 2 NICs for part or all of one day in a week, liability arises for one week’s NICs due at the weekly flat rate. </t>
  </si>
  <si>
    <t xml:space="preserve">A ‘contribution week’ is defined as a period of seven days beginning with midnight between Saturday and Sunday. The first day of the contribution week is Sunday and Saturday is the last. </t>
  </si>
  <si>
    <t>The first week of the contribution year starts on the first Sunday after 5 April. Some contribution years will include 53 contribution weeks.</t>
  </si>
  <si>
    <t>Class 4 NI payable with income from employment and self-employment</t>
  </si>
  <si>
    <t xml:space="preserve">Annual maximum of Class 4 contributions due under section 15 of the Act </t>
  </si>
  <si>
    <t xml:space="preserve">100.—(1) Where for any year there are payable by or in respect of an earner Class 4 contributions under section 15 of the Act and also primary Class1 or Class2 contributions or both primary Class 1 or Class 2 contributions, </t>
  </si>
  <si>
    <t>the liability of that earner for such Class 4 contributions for that year shall (without prejudice to his liability in the ﬁrst instance for the full amount payable apart from this regulation) not exceed such amount as, when added to</t>
  </si>
  <si>
    <t xml:space="preserve">the amount of such other of those contributions as are ultimately payable by or in respect of him for that year, equals in value the sum of the amount which, but for the provisions of this regulation, would be payable by that earner </t>
  </si>
  <si>
    <t xml:space="preserve">on proﬁts or gains equal to the higher of the two money sums speciﬁed in section 15(3) of the Act and, subject to the provisions of section 12 of the Act and regulations 63 to 65, 53 times the amount of a Class2 contribution payable for that year. </t>
  </si>
  <si>
    <t xml:space="preserve">2) For the purpose only of determining the extent of an earner’s liability for Class 4 contributions under paragraph (1), the amount of any primary Class 1 contributions paid at less than the primary percentage speciﬁed in section 8(2) of the Act </t>
  </si>
  <si>
    <t>shall be treated as equal to the amount of any primary Class 1 contributions payable at that percentage on the same amount of earnings.</t>
  </si>
  <si>
    <t xml:space="preserve">So that a person with earnings from both an employment and self-employment does not pay considerably more NI than a person who has a similar level of earnings but from only one employment, the Class 4 NI payable is sometimes restricted. </t>
  </si>
  <si>
    <t>The objective is to limit the self-employed profits charged at the main 9% rate to the employee-only equivalent, but still leave higher earnings charged at the uncapped 2% rate.</t>
  </si>
  <si>
    <t>Class 1 Earnings</t>
  </si>
  <si>
    <t>The two boxes in question are to be filled in if the customer has employment and is also self-employed. They are to be filled in as follows:</t>
  </si>
  <si>
    <t>On NPS &gt; Employment &gt; P14 Summary take the figures from column 1c and 1d</t>
  </si>
  <si>
    <t>c5.45c</t>
  </si>
  <si>
    <t>c5.50d</t>
  </si>
  <si>
    <t>Beneficial Ordering</t>
  </si>
  <si>
    <t>c5.58a</t>
  </si>
  <si>
    <t>c5.58b</t>
  </si>
  <si>
    <t>c5.58c</t>
  </si>
  <si>
    <t>c5.58d</t>
  </si>
  <si>
    <t>c5.58e</t>
  </si>
  <si>
    <t>c5.58f</t>
  </si>
  <si>
    <t>Savings Rate</t>
  </si>
  <si>
    <t>c3a.4</t>
  </si>
  <si>
    <t>c3a.5</t>
  </si>
  <si>
    <t>c3a.6</t>
  </si>
  <si>
    <t>Tax rates</t>
  </si>
  <si>
    <t>Box not in use</t>
  </si>
  <si>
    <t>c4.76c</t>
  </si>
  <si>
    <t>ERL</t>
  </si>
  <si>
    <t>pre-calculation rule h) If ASE11 is present and greater than zero then AIL21 must be present</t>
  </si>
  <si>
    <t>c5.56h</t>
  </si>
  <si>
    <t>c5.56i</t>
  </si>
  <si>
    <t>Income from land and property abroad chargeable as transfer of assets</t>
  </si>
  <si>
    <t>Residential propery income or restricted finance costs</t>
  </si>
  <si>
    <t>FOR24.1</t>
  </si>
  <si>
    <t>AF1</t>
  </si>
  <si>
    <t>AF2</t>
  </si>
  <si>
    <t>FOR13.1</t>
  </si>
  <si>
    <t>Property inc or finance costs</t>
  </si>
  <si>
    <t>FPSAF1</t>
  </si>
  <si>
    <t>FPSAF2</t>
  </si>
  <si>
    <t>Total Cl1</t>
  </si>
  <si>
    <t>Status</t>
  </si>
  <si>
    <t>c91.30a</t>
  </si>
  <si>
    <t>c91.34a</t>
  </si>
  <si>
    <t>c91.3a</t>
  </si>
  <si>
    <t>Tax deducted from disregarded income</t>
  </si>
  <si>
    <t>L70</t>
  </si>
  <si>
    <t>Tax-credits-on-FOR-divs</t>
  </si>
  <si>
    <t>L110a</t>
  </si>
  <si>
    <t>L110b</t>
  </si>
  <si>
    <t>L110c</t>
  </si>
  <si>
    <t>s23 calc</t>
  </si>
  <si>
    <t>s811 calc</t>
  </si>
  <si>
    <t>UK resident income tax liability</t>
  </si>
  <si>
    <t>Non-UK resident income tax liability upper limit</t>
  </si>
  <si>
    <t>Income Tax and Class 2 National Insurance contributions due</t>
  </si>
  <si>
    <t>Income Tax and Class 4 National Insurance contributions due</t>
  </si>
  <si>
    <t>Income Tax, Class 2 and Class 4 National Insurance contributions due</t>
  </si>
  <si>
    <t>Treth Incwm a Chyfraniadau Yswiriant Gwladol Dosbarth 4 sy'n Ddyledus</t>
  </si>
  <si>
    <t>Treth Incwm a Chyfraniadau Yswiriant Gwladol Dosbarth 2 sy'n Ddyledus</t>
  </si>
  <si>
    <t>Cyfanswm yr incwm</t>
  </si>
  <si>
    <t>Cyfanswm yr incwm sy'n drethadwy</t>
  </si>
  <si>
    <t>L39s</t>
  </si>
  <si>
    <t>extended-BR-STp</t>
  </si>
  <si>
    <t>Chargeable event gains (without top slicing) are included in an individual's income.</t>
  </si>
  <si>
    <t>Lower of (A) or (B)</t>
  </si>
  <si>
    <t>c5.56j</t>
  </si>
  <si>
    <t>Section 530 ITTOIA 2005 requires a reduction in the amount of tax treated as paid on a UK life insurance policy if:</t>
  </si>
  <si>
    <t xml:space="preserve">“the individual's total income is reduced by any deductions which fall to be made [at Step 2 or 3 of the calculation in section 23 of ITA 2007 </t>
  </si>
  <si>
    <t>(calculation of income tax liability)] from the part of the income charged to tax under this Chapter.”</t>
  </si>
  <si>
    <t>Reduction of dividend tax</t>
  </si>
  <si>
    <t>c25.56</t>
  </si>
  <si>
    <t>c25.57</t>
  </si>
  <si>
    <t>Value of pension benefits transferred subject to OTC</t>
  </si>
  <si>
    <t>Overseas Transfer Charge</t>
  </si>
  <si>
    <t>OTC_rate</t>
  </si>
  <si>
    <t>AIL11.1</t>
  </si>
  <si>
    <t>AIL11.2</t>
  </si>
  <si>
    <t>Value of pension benefits transferred subject to the overseas transfer charge</t>
  </si>
  <si>
    <t>Tax paid or payable by your pension scheme</t>
  </si>
  <si>
    <t>11.1</t>
  </si>
  <si>
    <t>11.2</t>
  </si>
  <si>
    <t>PA offered to Dividends in HR</t>
  </si>
  <si>
    <t>divs-taxfree-BR</t>
  </si>
  <si>
    <t>L50c</t>
  </si>
  <si>
    <t>L51a</t>
  </si>
  <si>
    <t>divs-taxfree-HR</t>
  </si>
  <si>
    <t>Basic rate band at nil rate</t>
  </si>
  <si>
    <t>Higher rate band at nil rate</t>
  </si>
  <si>
    <t>Additional rate band at nil rate</t>
  </si>
  <si>
    <t>c6.25 minus (c6.27 + c6.32)</t>
  </si>
  <si>
    <t>c91.22a</t>
  </si>
  <si>
    <t>Dividend income etc.</t>
  </si>
  <si>
    <t>Lump sum income etc.</t>
  </si>
  <si>
    <t>c91.34b</t>
  </si>
  <si>
    <t>c91.34c</t>
  </si>
  <si>
    <t>c91.34d</t>
  </si>
  <si>
    <t>Tax on Discretionary trust income</t>
  </si>
  <si>
    <t>Tax on trust rate non-savings</t>
  </si>
  <si>
    <t>c91.31a</t>
  </si>
  <si>
    <t>s399 ITA 2007</t>
  </si>
  <si>
    <t>PA available to DivHR_rate</t>
  </si>
  <si>
    <t>TotalCL1</t>
  </si>
  <si>
    <t>SR_rate 0%</t>
  </si>
  <si>
    <t>Above BR for savings and dividends #2</t>
  </si>
  <si>
    <t>c4.75a</t>
  </si>
  <si>
    <t>c4.75b</t>
  </si>
  <si>
    <t>c4.76b1</t>
  </si>
  <si>
    <t>PSA in BR</t>
  </si>
  <si>
    <t>PSA in HR</t>
  </si>
  <si>
    <t>total-tax-NIC-nonresS23</t>
  </si>
  <si>
    <t>total-tax-NIC-nonresS811</t>
  </si>
  <si>
    <t>total-tax-NIC-nonres</t>
  </si>
  <si>
    <t>total_tax_NIC_nonres</t>
  </si>
  <si>
    <t>total_tax_NIC_nonresS23</t>
  </si>
  <si>
    <t>divs-taxfree-AHR</t>
  </si>
  <si>
    <t>Equal to FSE46 + FSE59 + FSE60</t>
  </si>
  <si>
    <t>Equal to LUN6 + LUN8 + LUN9</t>
  </si>
  <si>
    <t>If present, must be less than or equal to PRO38</t>
  </si>
  <si>
    <t>(DOB spouse  post 1935) MCA in year marriage (STR 8)</t>
  </si>
  <si>
    <t>510/200</t>
  </si>
  <si>
    <t>325/78</t>
  </si>
  <si>
    <t>120/E720</t>
  </si>
  <si>
    <t>Total Class 4 National Insurance contributions due</t>
  </si>
  <si>
    <t>Income and Capital Gains Tax due</t>
  </si>
  <si>
    <t>Total Class 2 and Class 4 National Insurance contributions due</t>
  </si>
  <si>
    <t>Income Tax, Capital Gains Tax, Class 2 and Class 4 National Insurance contributions due</t>
  </si>
  <si>
    <t>Income Tax due after dividend tax credits</t>
  </si>
  <si>
    <t>Income Tax, Capital Gains Tax, and Class 4 National Insurance contributions due</t>
  </si>
  <si>
    <t xml:space="preserve">7.5% tax treated as paid on dividends from UK companies (not repayable) </t>
  </si>
  <si>
    <t>Multiple employment and share scheme. Box Fin1, CAL7/8 completed, Income over £100,000 PA reduced to Nil, Enterprise Investment Scheme relief EIS, &amp; Social Investment Tax Relief SITR</t>
  </si>
  <si>
    <t>Relief for residential finance costs not included in box 17</t>
  </si>
  <si>
    <t>c24.3a</t>
  </si>
  <si>
    <t>c24.4a</t>
  </si>
  <si>
    <t>c24.15a</t>
  </si>
  <si>
    <t>Total finance costs</t>
  </si>
  <si>
    <t>£up (for each FOR)</t>
  </si>
  <si>
    <t>If NRD 1 = Y calculate c12.22 and c12.23</t>
  </si>
  <si>
    <t>c12.22 and c12.23 equal zero</t>
  </si>
  <si>
    <t>The following 2 boxes are calculated at stage 29 (Income tax for non residents (c91 boxes))</t>
  </si>
  <si>
    <t>Total Income Tax due</t>
  </si>
  <si>
    <t>Total Class 2 National Insurance contributions due</t>
  </si>
  <si>
    <t>Income Tax, Capital Gains Tax, and Class 2 National Insurance contributions due</t>
  </si>
  <si>
    <t>CGTax</t>
  </si>
  <si>
    <t>63.1</t>
  </si>
  <si>
    <t>41.1</t>
  </si>
  <si>
    <t>FPS63.1</t>
  </si>
  <si>
    <t>FPS41.1</t>
  </si>
  <si>
    <t>If present NRD7 must be present</t>
  </si>
  <si>
    <t>a) If present, must be less than or equal to £1000 (Property Allowance)
b) If both PRO5.2 &amp; PRO20.1 are present the total of both must be less than or equal to £1000 (Property Allowance)
c) If present, PRO24, PRO25, PRO26, PRO27,PRO28, PRO29, PRO30, PRO32, PRO33,PRO34, PRO35,PRO36,PRO37, BPR41, PRO42 &amp; PRO44 must be absent.</t>
  </si>
  <si>
    <t>PRO20.1</t>
  </si>
  <si>
    <t>PRO20.2</t>
  </si>
  <si>
    <t>a) If PRO6 + PRO7 + PRO8 + PRO9 + PRO12 minus (PRO5 + PRO10 + PRO11) is positive or zero  equals that sum.
b) Cannot be negative.
c) If entries in any of PRO6,PRO7,PRO8,PRO9,PRO10, PRO12 &amp; PRO16 then PRO5.1 must be absent</t>
  </si>
  <si>
    <t xml:space="preserve">Property income allowance </t>
  </si>
  <si>
    <t>If you've used traditional accounting rather than cash basis</t>
  </si>
  <si>
    <t>PRO5.1</t>
  </si>
  <si>
    <t>PRO5.2</t>
  </si>
  <si>
    <t>a)If present, must be less than or equal to £1000 (Property allowance)
b)If present, PRO6,PRO7,PRO8,PRO9,PRO10, PRO12 &amp; PRO16 must be absent</t>
  </si>
  <si>
    <t>PRO5.1 must be less than or equal to the sum of PRO5 &amp; PRO11</t>
  </si>
  <si>
    <t xml:space="preserve">a) Only one instance of PRO18 can be Y
b) If absent, PRO5.2 &amp; PRO20.2 must be the same value
</t>
  </si>
  <si>
    <r>
      <t>a)</t>
    </r>
    <r>
      <rPr>
        <sz val="8"/>
        <color theme="1"/>
        <rFont val="Arial"/>
        <family val="2"/>
      </rPr>
      <t xml:space="preserve"> If present, PRO5.2, PRO20.2 &amp; PRO18 must be absent</t>
    </r>
  </si>
  <si>
    <t>5.1</t>
  </si>
  <si>
    <t>5.2</t>
  </si>
  <si>
    <t>20.2</t>
  </si>
  <si>
    <t>20.1</t>
  </si>
  <si>
    <t>FOR14.1</t>
  </si>
  <si>
    <t>FOR14.2</t>
  </si>
  <si>
    <t>Property income allowance</t>
  </si>
  <si>
    <t>If NRD30 present then NRD28 and NRD29 must NOT be present
If NRD30 present then NRD23.1 or NRD23.2 must be present</t>
  </si>
  <si>
    <t>If NRD28 present then NRD23.1 and NRD23.2 must NOT be present
If present, NRD23 must be present</t>
  </si>
  <si>
    <t>a) If present NRD35 must be present 
b) If NRD36 present, must be less than or equal to £30,000 if NRD32 = Y
c) If NRD36 present, must be less than or equal to £60,000 if NRD31 = Y</t>
  </si>
  <si>
    <r>
      <t xml:space="preserve">If NRD31 = 'Y' then NRD28 = 'Y' and/or NRD29 = 'Y' 
If NRD31 present then </t>
    </r>
    <r>
      <rPr>
        <sz val="8"/>
        <rFont val="Arial"/>
        <family val="2"/>
      </rPr>
      <t>NRD32 must NOT be present</t>
    </r>
  </si>
  <si>
    <r>
      <t xml:space="preserve">If NRD32 = 'Y' then NRD28 = 'Y' and/or NRD29 = 'Y' 
If NRD32 present then </t>
    </r>
    <r>
      <rPr>
        <sz val="8"/>
        <rFont val="Arial"/>
        <family val="2"/>
      </rPr>
      <t>NRD31 must NOT be present</t>
    </r>
  </si>
  <si>
    <t>NRD23.1</t>
  </si>
  <si>
    <t>NRD23.2</t>
  </si>
  <si>
    <t>NRD23.3</t>
  </si>
  <si>
    <t>If you were deemed UK domicle under Condition A, put 'X' in the box</t>
  </si>
  <si>
    <t>If you were deemed UK domicle under Condition B, put 'X' in the box</t>
  </si>
  <si>
    <t>Deemed UK domicile for 2017-18 and remitted to the UK any foreign income/gains that arose when you previously claimed the remittance basis</t>
  </si>
  <si>
    <t>23.1</t>
  </si>
  <si>
    <t>23.2</t>
  </si>
  <si>
    <t>23.3</t>
  </si>
  <si>
    <t>SSE10.1</t>
  </si>
  <si>
    <t>Trading income allowance</t>
  </si>
  <si>
    <t>FSE16.1</t>
  </si>
  <si>
    <t>FSE69 must be present if FSE16.1 &amp; FSE77 are present</t>
  </si>
  <si>
    <t>10.1</t>
  </si>
  <si>
    <t>16.1</t>
  </si>
  <si>
    <t>Enter the number of years you’ve been resident in the UK in the previous 20 years</t>
  </si>
  <si>
    <t>Where both an occurrence of [FOR14] and a [PRO5-19] with [PRO5] and [PRO18] present, the value of [FOR14.2] and the value of [PRO5.2] from that occurrence of [PRO5-19] must be the same.' (validation constraint {{1029}})</t>
  </si>
  <si>
    <t>If this goes beyond this line you will need to change the Range at the end of the 'Sub test_this_case()' as shown below</t>
  </si>
  <si>
    <t>'Write Test case sheet</t>
  </si>
  <si>
    <t>Sheets("tc_template").Range("A1:BJ77").Copy</t>
  </si>
  <si>
    <t>Worksheets("Test case").Visible = True</t>
  </si>
  <si>
    <t>Sheets("Test case").Select</t>
  </si>
  <si>
    <t>Range("A1").Select</t>
  </si>
  <si>
    <t>Selection.PasteSpecial Paste:=xlValues, Operation:=xlNone, SkipBlanks:= _</t>
  </si>
  <si>
    <t xml:space="preserve">        False, Transpose:=False</t>
  </si>
  <si>
    <t>Selection.PasteSpecial Paste:=xlFormats, Operation:=xlNone, SkipBlanks:= _</t>
  </si>
  <si>
    <t>Sheets("Test case").Range("A1").Select</t>
  </si>
  <si>
    <t>Sheets("SA302").Select</t>
  </si>
  <si>
    <t>End Sub</t>
  </si>
  <si>
    <t>Pre-calculation rule</t>
  </si>
  <si>
    <t>CL1</t>
  </si>
  <si>
    <t>financier</t>
  </si>
  <si>
    <t>007/123</t>
  </si>
  <si>
    <t>477/WA4668</t>
  </si>
  <si>
    <t>477/WA4669</t>
  </si>
  <si>
    <t>477/WA4671</t>
  </si>
  <si>
    <t>325/300</t>
  </si>
  <si>
    <t>gifts</t>
  </si>
  <si>
    <t>Partnership11</t>
  </si>
  <si>
    <t>Changes v0.1.0</t>
  </si>
  <si>
    <t>v0.1.0 created</t>
  </si>
  <si>
    <t>non-savings after allowances</t>
  </si>
  <si>
    <t>remaining allowances</t>
  </si>
  <si>
    <t>savings in PSA</t>
  </si>
  <si>
    <t>c4.75c</t>
  </si>
  <si>
    <t>savings in addition to PSA</t>
  </si>
  <si>
    <t>c4.75d</t>
  </si>
  <si>
    <t>savings after allowances</t>
  </si>
  <si>
    <t>c4.75e</t>
  </si>
  <si>
    <t>c4.75f</t>
  </si>
  <si>
    <t>dividends after allowances</t>
  </si>
  <si>
    <t>c4.75g</t>
  </si>
  <si>
    <t>remaining BR after non-savings and dividends</t>
  </si>
  <si>
    <t>c4.75h</t>
  </si>
  <si>
    <t>SavNil in BR</t>
  </si>
  <si>
    <t>c4.75i</t>
  </si>
  <si>
    <t>SavNil in HR</t>
  </si>
  <si>
    <t>c4.75j</t>
  </si>
  <si>
    <t>Sav in HR</t>
  </si>
  <si>
    <t>c4.75k</t>
  </si>
  <si>
    <t>remaining BR after non-savings and savings</t>
  </si>
  <si>
    <t>c4.75l</t>
  </si>
  <si>
    <t>DivNil in BR</t>
  </si>
  <si>
    <t>c4.75m</t>
  </si>
  <si>
    <t>DivNil in HR</t>
  </si>
  <si>
    <t>c4.75n</t>
  </si>
  <si>
    <t>c4.75o</t>
  </si>
  <si>
    <t>Gains etc after allowances</t>
  </si>
  <si>
    <t>c4.75p</t>
  </si>
  <si>
    <t>Above BR for all income</t>
  </si>
  <si>
    <t>Changes v1.0.0</t>
  </si>
  <si>
    <t>c5.11a</t>
  </si>
  <si>
    <t>BR_rate (20%)</t>
  </si>
  <si>
    <t>HR_rate (40%)</t>
  </si>
  <si>
    <t>AHR_rate (45%)</t>
  </si>
  <si>
    <t>DivBR_rate (7.5%)</t>
  </si>
  <si>
    <t>DivHR_rate (32.5%)</t>
  </si>
  <si>
    <t>DivAR_rate (38.1%)</t>
  </si>
  <si>
    <t>c5.52a</t>
  </si>
  <si>
    <t>c5.52b</t>
  </si>
  <si>
    <t>maximum amount of SR_band</t>
  </si>
  <si>
    <t>c5.52c</t>
  </si>
  <si>
    <t>c5.52d</t>
  </si>
  <si>
    <t>c5.58k</t>
  </si>
  <si>
    <t>allowances available required to acquire SR_band</t>
  </si>
  <si>
    <t>c5.43a</t>
  </si>
  <si>
    <t>c5.52e</t>
  </si>
  <si>
    <t>c5.52f</t>
  </si>
  <si>
    <t>c5.43b</t>
  </si>
  <si>
    <t>c5.52g</t>
  </si>
  <si>
    <t>c5.52h</t>
  </si>
  <si>
    <t>c5.52i</t>
  </si>
  <si>
    <t>c5.48a</t>
  </si>
  <si>
    <t>c5.52j</t>
  </si>
  <si>
    <t>c5.52k</t>
  </si>
  <si>
    <t>c5.48b</t>
  </si>
  <si>
    <t>c5.52l</t>
  </si>
  <si>
    <t>c5.61a</t>
  </si>
  <si>
    <t>c5.52m</t>
  </si>
  <si>
    <t>c5.52n</t>
  </si>
  <si>
    <t>c5.52o</t>
  </si>
  <si>
    <t>c5.52p</t>
  </si>
  <si>
    <t>c5.52q</t>
  </si>
  <si>
    <t>c5.55.1</t>
  </si>
  <si>
    <t>c5.55.2</t>
  </si>
  <si>
    <t>c5.55.3</t>
  </si>
  <si>
    <t>c5.55.4</t>
  </si>
  <si>
    <t>c5.55.5</t>
  </si>
  <si>
    <t>c5.55.6</t>
  </si>
  <si>
    <t>c5.55.7</t>
  </si>
  <si>
    <t>saving for PA to Lump Sum</t>
  </si>
  <si>
    <t>c5.55.8</t>
  </si>
  <si>
    <t>c5.55.9</t>
  </si>
  <si>
    <t>saving for PA to Pay</t>
  </si>
  <si>
    <t>c5.55.10</t>
  </si>
  <si>
    <t>c5.55.11</t>
  </si>
  <si>
    <t>c5.55.12</t>
  </si>
  <si>
    <t>c5.55.13</t>
  </si>
  <si>
    <t>c5.55.14</t>
  </si>
  <si>
    <t>c5.55.15</t>
  </si>
  <si>
    <t>c5.55.16</t>
  </si>
  <si>
    <t>c5.55.17</t>
  </si>
  <si>
    <t>c5.58g</t>
  </si>
  <si>
    <t>c5.58h</t>
  </si>
  <si>
    <t>from c5.11</t>
  </si>
  <si>
    <t>c5.44 + c5.45 + c5.46</t>
  </si>
  <si>
    <t>c5.38 = 0 (zero)</t>
  </si>
  <si>
    <t>c5.38 = c3.5</t>
  </si>
  <si>
    <t>c5.58i</t>
  </si>
  <si>
    <t>c5.58j</t>
  </si>
  <si>
    <t>c5.39 = 0 (zero)</t>
  </si>
  <si>
    <t>c5.39 = c3.12 + c3.13</t>
  </si>
  <si>
    <t>c5.40 = c91.23</t>
  </si>
  <si>
    <t>c5.40 = c3.15 minus (c5.38 + c5.39)</t>
  </si>
  <si>
    <t>from c3.18</t>
  </si>
  <si>
    <t xml:space="preserve"> from c3.19</t>
  </si>
  <si>
    <t xml:space="preserve"> from c3.20</t>
  </si>
  <si>
    <t>SR_band savings</t>
  </si>
  <si>
    <t>c17.23a</t>
  </si>
  <si>
    <t>c17.23b</t>
  </si>
  <si>
    <t>c17.24a</t>
  </si>
  <si>
    <t>c17.25a</t>
  </si>
  <si>
    <t>c17.25b</t>
  </si>
  <si>
    <t>c17.38a</t>
  </si>
  <si>
    <t>c17.38b</t>
  </si>
  <si>
    <t>c17.38c</t>
  </si>
  <si>
    <t>c17.38d</t>
  </si>
  <si>
    <t>c17.38e</t>
  </si>
  <si>
    <t>c17.38f</t>
  </si>
  <si>
    <t>c17.38g</t>
  </si>
  <si>
    <t>c17.38h</t>
  </si>
  <si>
    <t>c17.38i</t>
  </si>
  <si>
    <t>c17.27a</t>
  </si>
  <si>
    <t>c17.28a</t>
  </si>
  <si>
    <t>Savings (except gains on</t>
  </si>
  <si>
    <t>life policies without notional tax</t>
  </si>
  <si>
    <t xml:space="preserve">Chargeable Event Gains </t>
  </si>
  <si>
    <t>Gains in SR_band</t>
  </si>
  <si>
    <t>Gains in Nil_band</t>
  </si>
  <si>
    <t>BR_band used by other income</t>
  </si>
  <si>
    <t>Gains in BR_band</t>
  </si>
  <si>
    <t>HR_band used by other income</t>
  </si>
  <si>
    <t>Gains in HR_band</t>
  </si>
  <si>
    <t>Gains in additional rate band</t>
  </si>
  <si>
    <t>Basic rate liability</t>
  </si>
  <si>
    <t>c3a.1a</t>
  </si>
  <si>
    <t>c3a.2a</t>
  </si>
  <si>
    <t xml:space="preserve"> intermediate rate band available</t>
  </si>
  <si>
    <t>c6.7a</t>
  </si>
  <si>
    <t>c6.7b</t>
  </si>
  <si>
    <t>c6.41a</t>
  </si>
  <si>
    <t>c6.41b</t>
  </si>
  <si>
    <t>Income in Scottish starter rate band</t>
  </si>
  <si>
    <t>Scottish starter rate band</t>
  </si>
  <si>
    <t>SSR_band</t>
  </si>
  <si>
    <t>Scottish intermediate rate band</t>
  </si>
  <si>
    <t>SIR_band</t>
  </si>
  <si>
    <t>Intermediate rate for Scotland</t>
  </si>
  <si>
    <t>SIR_rate</t>
  </si>
  <si>
    <t>Starter rate for Scotland</t>
  </si>
  <si>
    <t>SSR_rate</t>
  </si>
  <si>
    <t>c3a.3a</t>
  </si>
  <si>
    <t>c3a.4a</t>
  </si>
  <si>
    <t>c8.1a</t>
  </si>
  <si>
    <t>c8.2a</t>
  </si>
  <si>
    <t>Starter rate</t>
  </si>
  <si>
    <t>Intermediate rate</t>
  </si>
  <si>
    <t>L43a</t>
  </si>
  <si>
    <t>L42a</t>
  </si>
  <si>
    <t>x 21% =</t>
  </si>
  <si>
    <t>ANY template rows added will need to be merged from left as far as possible without messing up alignment so the SA302 calc will get the formatting correct on sees letter</t>
  </si>
  <si>
    <t>c5.3a</t>
  </si>
  <si>
    <t>taxable-pay-SSR</t>
  </si>
  <si>
    <t>tax-on-pay-SSR</t>
  </si>
  <si>
    <t>taxable-pay-SIR</t>
  </si>
  <si>
    <t>tax-on-pay-SIR</t>
  </si>
  <si>
    <t>SSR_rate (19%)</t>
  </si>
  <si>
    <t>c5.4a</t>
  </si>
  <si>
    <t>SIR_rate (21%)</t>
  </si>
  <si>
    <t>c5.34a1</t>
  </si>
  <si>
    <t>c5.34b1</t>
  </si>
  <si>
    <t>c3a.3b</t>
  </si>
  <si>
    <t>c5.56.1</t>
  </si>
  <si>
    <t>c5.56.2</t>
  </si>
  <si>
    <t>c5.56a</t>
  </si>
  <si>
    <t>c5.56b</t>
  </si>
  <si>
    <t>c5.56c</t>
  </si>
  <si>
    <t>c5.56c1</t>
  </si>
  <si>
    <t>c5.56d</t>
  </si>
  <si>
    <t>c5.56c2</t>
  </si>
  <si>
    <t>c5.56e</t>
  </si>
  <si>
    <t>c5.56e1</t>
  </si>
  <si>
    <t>c5.56f</t>
  </si>
  <si>
    <t>c5.56g</t>
  </si>
  <si>
    <t>c5.57a</t>
  </si>
  <si>
    <t>c5.43c</t>
  </si>
  <si>
    <t>c5.43d</t>
  </si>
  <si>
    <t>c5.43e</t>
  </si>
  <si>
    <t>c5.43f</t>
  </si>
  <si>
    <t>More beneficial for c5.1 to free up savings starting rate</t>
  </si>
  <si>
    <t>c5.49 = non-savings</t>
  </si>
  <si>
    <t>c5.50 = lump sum</t>
  </si>
  <si>
    <t>c5.51 = savings</t>
  </si>
  <si>
    <t>Income in Higher rate before c5.1</t>
  </si>
  <si>
    <t xml:space="preserve">More beneficial c5.1 to non-savings </t>
  </si>
  <si>
    <t>c5.55.18</t>
  </si>
  <si>
    <t>c5.55.19</t>
  </si>
  <si>
    <t>c5.55.20</t>
  </si>
  <si>
    <t>c5.55.21</t>
  </si>
  <si>
    <t>c5.55.22</t>
  </si>
  <si>
    <t>c5.55.23</t>
  </si>
  <si>
    <t>c5.55.24</t>
  </si>
  <si>
    <t>c5.55.25</t>
  </si>
  <si>
    <t>Reduction of non-savings/savings tax</t>
  </si>
  <si>
    <t>SSR_band non-savings</t>
  </si>
  <si>
    <t xml:space="preserve">Investment into property partnerships loan Interest </t>
  </si>
  <si>
    <t>c5.55.26</t>
  </si>
  <si>
    <t>c5.58.1</t>
  </si>
  <si>
    <t>c5.58.2</t>
  </si>
  <si>
    <t>c5.58.3</t>
  </si>
  <si>
    <t>c5.58.4</t>
  </si>
  <si>
    <t>c5.58.5</t>
  </si>
  <si>
    <t>c5.58.6</t>
  </si>
  <si>
    <t>c5.58.7</t>
  </si>
  <si>
    <t>c5.58.8</t>
  </si>
  <si>
    <t>c5.66.1</t>
  </si>
  <si>
    <t>c5.66.2</t>
  </si>
  <si>
    <t>c5.66.3</t>
  </si>
  <si>
    <t>c5.66.4</t>
  </si>
  <si>
    <t>c5.66.5</t>
  </si>
  <si>
    <t>c5.66.6</t>
  </si>
  <si>
    <t>c5.66.7</t>
  </si>
  <si>
    <t>c5.66.8</t>
  </si>
  <si>
    <t>c5.66.9</t>
  </si>
  <si>
    <t>c5.58.9</t>
  </si>
  <si>
    <t>c5.62a</t>
  </si>
  <si>
    <t>Unused finance costs brought forward</t>
  </si>
  <si>
    <t>Unsused finance costs brought forward</t>
  </si>
  <si>
    <t xml:space="preserve"> and Box 41.1 + Box 41.2</t>
  </si>
  <si>
    <t xml:space="preserve"> and Box 63.1 + Box 63.2</t>
  </si>
  <si>
    <t>Unused Relief for residential finance costs</t>
  </si>
  <si>
    <t>Unsused residential finance costs</t>
  </si>
  <si>
    <t>c9.23b</t>
  </si>
  <si>
    <t>c9.23a</t>
  </si>
  <si>
    <t>L67a</t>
  </si>
  <si>
    <t>Relief for loan interest from investments</t>
  </si>
  <si>
    <t>LFI-relief</t>
  </si>
  <si>
    <t>LFI-amount</t>
  </si>
  <si>
    <t>AOR12</t>
  </si>
  <si>
    <t>Loan Interest from investments relief</t>
  </si>
  <si>
    <t>FPS41.2</t>
  </si>
  <si>
    <t>FPS63.2</t>
  </si>
  <si>
    <t>Unused reflief for finance costs brought forward</t>
  </si>
  <si>
    <t>N23</t>
  </si>
  <si>
    <t>Share of total taxed and untaxed income</t>
  </si>
  <si>
    <t>Complete boxes FPS41, FPS41.1 &amp; FPS41.2 OR FPSAF1</t>
  </si>
  <si>
    <t>For multiple pages calculate for each page the lower of Box 41</t>
  </si>
  <si>
    <t>Complete boxes FPS60, FPS63.1 &amp; FPS63.2 OR FPSAF2</t>
  </si>
  <si>
    <t>For multiple pages calculate for each page the lower of Box 60</t>
  </si>
  <si>
    <t>K35</t>
  </si>
  <si>
    <t>K47</t>
  </si>
  <si>
    <t>H47</t>
  </si>
  <si>
    <t>H50</t>
  </si>
  <si>
    <t>K50</t>
  </si>
  <si>
    <t>N38</t>
  </si>
  <si>
    <t>N35</t>
  </si>
  <si>
    <t>FOR24.2</t>
  </si>
  <si>
    <t>P9</t>
  </si>
  <si>
    <t>D39</t>
  </si>
  <si>
    <t>H39</t>
  </si>
  <si>
    <t>P16</t>
  </si>
  <si>
    <t>PRO45</t>
  </si>
  <si>
    <t>H43</t>
  </si>
  <si>
    <t>TRU25.1</t>
  </si>
  <si>
    <t>P36</t>
  </si>
  <si>
    <t>c5.58a.1</t>
  </si>
  <si>
    <t>c5.55.27</t>
  </si>
  <si>
    <t>BR_band/SBR_band non savings</t>
  </si>
  <si>
    <t>BR_band savings</t>
  </si>
  <si>
    <t>c5.55.28</t>
  </si>
  <si>
    <t>non-PAYE disguised renumeration employment income</t>
  </si>
  <si>
    <t>self-employed and partnership disguised renumeration</t>
  </si>
  <si>
    <t>where trading ceased</t>
  </si>
  <si>
    <t>Non-PAYE disguised renumeration employment income</t>
  </si>
  <si>
    <t>Self-employed and partnership disguised renumeration income where trading ceased</t>
  </si>
  <si>
    <t>Amount of disguised renumeration treated as income of an earlier year</t>
  </si>
  <si>
    <t>Disguised renumeration</t>
  </si>
  <si>
    <t>D36</t>
  </si>
  <si>
    <t>AIL21 + AIL22</t>
  </si>
  <si>
    <t>c1.56a</t>
  </si>
  <si>
    <t>c27.16a</t>
  </si>
  <si>
    <t>c5.58.10</t>
  </si>
  <si>
    <t>c8.1b</t>
  </si>
  <si>
    <t>c8.2b</t>
  </si>
  <si>
    <t>Trading loss relief for sole traders and partnerships</t>
  </si>
  <si>
    <t>Totals for trading loss relief for sole traders and partnerships</t>
  </si>
  <si>
    <t>Disguised Remuneration</t>
  </si>
  <si>
    <t>c5.52e1</t>
  </si>
  <si>
    <t>c5.52e2</t>
  </si>
  <si>
    <t>c5.52e3</t>
  </si>
  <si>
    <t>c5.52e4</t>
  </si>
  <si>
    <t>c5.52e5</t>
  </si>
  <si>
    <t>c5.52e6</t>
  </si>
  <si>
    <t>c5.52e7</t>
  </si>
  <si>
    <t>c5.52e8</t>
  </si>
  <si>
    <t>c5.52e9</t>
  </si>
  <si>
    <t>c5.52e10</t>
  </si>
  <si>
    <t>c1.56 + c1.56a</t>
  </si>
  <si>
    <t>(i)     income on which income tax is charged at the higher rate[, default higher rate]2 or dividend upper rate,</t>
  </si>
  <si>
    <t>(ii)     income on which income tax would be charged at the higher rate[, or default higher rate,]2 but for section 12A (income charged at savings nil rate),</t>
  </si>
  <si>
    <t>(iii)     income on which income tax would be charged at the dividend upper rate but for section 13A (income charged at dividend nil rate), and</t>
  </si>
  <si>
    <t>(i)     income on which income tax is charged at the additional rate[, default additional rate]2 or dividend additional rate,</t>
  </si>
  <si>
    <t>(ii)     income on which income tax would be charged at the additional rate[, or default additional rate,]2 but for section 12A (income charged at savings nil rate),</t>
  </si>
  <si>
    <t>(iii)     income on which income tax would be charged at the dividend additional rate but for section 13A (income charged at dividend nil rate), and</t>
  </si>
  <si>
    <t>(iv)     income of an individual who is a Scottish taxpayer or Welsh taxpayer which would, if the individual were not a Scottish taxpayer or Welsh taxpayer (as the case may be), be income on which income tax is charged at the additional rate [or default additional rate]2]1</t>
  </si>
  <si>
    <t>s6C ITA 2007 The default rates of income tax for the tax year 2018–19 are: default basic rate 20%; default higher rate 40%; default additional rate 45% (FA 2018 s 4(1)) (unchanged from tax year 2017–18).</t>
  </si>
  <si>
    <t>Rate Bands</t>
  </si>
  <si>
    <t>Pension Charges</t>
  </si>
  <si>
    <t>Res_non_dom_High_ch</t>
  </si>
  <si>
    <t>Key</t>
  </si>
  <si>
    <r>
      <rPr>
        <b/>
        <sz val="10"/>
        <rFont val="Arial"/>
        <family val="2"/>
      </rPr>
      <t>Version change</t>
    </r>
    <r>
      <rPr>
        <sz val="10"/>
        <rFont val="Arial"/>
        <family val="2"/>
      </rPr>
      <t xml:space="preserve"> Prime colours per change log</t>
    </r>
  </si>
  <si>
    <r>
      <t xml:space="preserve">Other changes </t>
    </r>
    <r>
      <rPr>
        <sz val="10"/>
        <color theme="1"/>
        <rFont val="Arial"/>
        <family val="2"/>
      </rPr>
      <t>shade variation of Prime colour</t>
    </r>
  </si>
  <si>
    <t>roll forward annual changes OE</t>
  </si>
  <si>
    <t>c17.22a</t>
  </si>
  <si>
    <t>c17.22b</t>
  </si>
  <si>
    <t>c17.22c</t>
  </si>
  <si>
    <t>c17.22d</t>
  </si>
  <si>
    <t>c17.22e</t>
  </si>
  <si>
    <t>c17.22f</t>
  </si>
  <si>
    <t>c17.22g</t>
  </si>
  <si>
    <t>c17.22h</t>
  </si>
  <si>
    <t>c17.22i</t>
  </si>
  <si>
    <t>c17.22j</t>
  </si>
  <si>
    <t>c17.22k</t>
  </si>
  <si>
    <t>c17.38j</t>
  </si>
  <si>
    <t>Top rate</t>
  </si>
  <si>
    <t>Allocate Deficiency Relief to dividends in the higher rate band</t>
  </si>
  <si>
    <t>Allocate Deficiency Relief to dividends in the upper rate band</t>
  </si>
  <si>
    <t>Allocate Deficiency Relief to savings &amp; non-savings in the higher rate band</t>
  </si>
  <si>
    <t>Allocate Deficiency Relief to income that is liable at the higher of the Scottish higher rate and the higher rate</t>
  </si>
  <si>
    <t>Allocate Deficiency Relief to income that is liable at the lower of the Scottish higher rate and the higher rate</t>
  </si>
  <si>
    <t>Commercial Software Developers only:</t>
  </si>
  <si>
    <t>c9.25 + c9.28</t>
  </si>
  <si>
    <t>£up (for each EMP)</t>
  </si>
  <si>
    <t>c6.7c</t>
  </si>
  <si>
    <t>Income in basic rate band before Personal Savings/Dividend Allowance</t>
  </si>
  <si>
    <t>c6.17b</t>
  </si>
  <si>
    <t>c6.17a</t>
  </si>
  <si>
    <t>Unused amount for extending basic rate band</t>
  </si>
  <si>
    <t>c6.17c</t>
  </si>
  <si>
    <t>c6.41c</t>
  </si>
  <si>
    <t>c6.51a</t>
  </si>
  <si>
    <t>c6.51b</t>
  </si>
  <si>
    <t>c6.51c</t>
  </si>
  <si>
    <t>income-Savings-taxfree-BR</t>
  </si>
  <si>
    <t>L47A</t>
  </si>
  <si>
    <t>income-Savings-taxfree-HR</t>
  </si>
  <si>
    <t>c6.20a</t>
  </si>
  <si>
    <t>c6.20b</t>
  </si>
  <si>
    <t>c6.54a</t>
  </si>
  <si>
    <t>c6.54b</t>
  </si>
  <si>
    <t>c6.17c + c6.51c</t>
  </si>
  <si>
    <t>c6.20b + c6.54b</t>
  </si>
  <si>
    <t>L47a</t>
  </si>
  <si>
    <t xml:space="preserve">no formula needed in this box </t>
  </si>
  <si>
    <t>Allocate Non-savings Income etc.</t>
  </si>
  <si>
    <t>Allocate Lump sum payments etc.</t>
  </si>
  <si>
    <t>Allocate gains on life policies (with notional tax) etc.</t>
  </si>
  <si>
    <t>Employment benefits</t>
  </si>
  <si>
    <t>Employment expenses</t>
  </si>
  <si>
    <t>Pay</t>
  </si>
  <si>
    <t>Total taxable profits without losses</t>
  </si>
  <si>
    <t>Share of total taxable profits without losses</t>
  </si>
  <si>
    <t>Taxable profit for the year without losses</t>
  </si>
  <si>
    <t>Foreign Income without losses</t>
  </si>
  <si>
    <t>Total interest from UK banks and building societies</t>
  </si>
  <si>
    <t>Total dividends from UK companies</t>
  </si>
  <si>
    <t>Adjusted Total Income used for calculating the limit on Relief</t>
  </si>
  <si>
    <t>Relief Limited to £50,000, or if more, 25% of adjusted total income</t>
  </si>
  <si>
    <t>Loss brought forward from earlier years set off against this year’s profits</t>
  </si>
  <si>
    <t>Lloyd’s losses brought forward from earlier years used against this year’s profits</t>
  </si>
  <si>
    <t>Lower of Foreign tax for which FTCR not claimed</t>
  </si>
  <si>
    <t>c4.76</t>
  </si>
  <si>
    <t>DivBR 0%</t>
  </si>
  <si>
    <t>DivBR 7.5%</t>
  </si>
  <si>
    <t>Settlor Interested Trust income</t>
  </si>
  <si>
    <t>Amount in higher rate band</t>
  </si>
  <si>
    <t>Amount moved to lower rate band</t>
  </si>
  <si>
    <t>Tax Adjustment</t>
  </si>
  <si>
    <t>Remaining Deficiency Relief</t>
  </si>
  <si>
    <t>Total Tax Adjustment</t>
  </si>
  <si>
    <t>Additional/Top rate</t>
  </si>
  <si>
    <t>Married Couples Allowance &amp; Married couples surplus allowance</t>
  </si>
  <si>
    <t>or Calculation type = non-resident</t>
  </si>
  <si>
    <t>Married Couples Surplus Allowance</t>
  </si>
  <si>
    <t>on trusts (TRU2 and TRU23) and estates (TRU19)</t>
  </si>
  <si>
    <t>Personal Savings/Dividend Allowance</t>
  </si>
  <si>
    <t>Personal Savings/Dividend Allowance used</t>
  </si>
  <si>
    <t>Personal Savings Allowance used</t>
  </si>
  <si>
    <t>Personal Savings/Dividend Allowance set against Savings/Dividend income in basic rate</t>
  </si>
  <si>
    <t>Personal Savings Allowance set against Savings income in basic rate</t>
  </si>
  <si>
    <t>Personal Dividend Allowance set against Dividend income in basic rate</t>
  </si>
  <si>
    <t>Total from Trusts and Estates</t>
  </si>
  <si>
    <t>Only used for display</t>
  </si>
  <si>
    <t>Income above Scottish starter rate band</t>
  </si>
  <si>
    <t>Income above Scottish basic rate band</t>
  </si>
  <si>
    <t>Income in higher rate band before Personal Savings Allowance</t>
  </si>
  <si>
    <t>Personal Savings Allowance set against Savings income in higher rate</t>
  </si>
  <si>
    <t>Income in basic rate band before Personal Savings Allowance</t>
  </si>
  <si>
    <t>Income in basic rate band before Dividend Allowance</t>
  </si>
  <si>
    <t>Income in higher rate band before Dividend Allowance</t>
  </si>
  <si>
    <t>Dividend Allowance set against Dividend income in higher rate</t>
  </si>
  <si>
    <t>Income in intermediate rate band</t>
  </si>
  <si>
    <t xml:space="preserve">Allocate Savings etc. (except Dividends) </t>
  </si>
  <si>
    <t>and gains on life policies without notional tax</t>
  </si>
  <si>
    <t>Basic rate employment, savings and property with LLIR (STR 2)</t>
  </si>
  <si>
    <t>Scottish Customer with self employment profit, Savings starter rate, RAR,  Digital claim to Marriage Allowance Transfer (MAT) in place where customer is recipient, Class 4 NIC + Class 2 NIC  (STR 5)</t>
  </si>
  <si>
    <t>BR Non savings, Savings BR, Dividends HR, Gift Aid. Beneficial ordering of reliefs and allowances - PA set against pension even though dividends at HR. (STR 10)</t>
  </si>
  <si>
    <t>Scottish customer with  Intermediate rate Non savings, Savings reduced by PA, higher rate dividends, PPR, Gift Aid, LLIR, Small Debt Coded with PAYE Tax to cover ( STR11)</t>
  </si>
  <si>
    <t>Student Loan SL repayment case Plan 02, Basic rate employment, DA, DOR, Small Debt Coded with PAYE Tax to cover (STR 14)</t>
  </si>
  <si>
    <t>Student Loan SL repayment case Plan 01, RAR, BR self employment, SAV SR, DA, DOR, Class 4 NIC + Class 2 NIC ( STR 15)</t>
  </si>
  <si>
    <t>BR Employment, underpaid Tax for earlier years, Small Debt coded with PAYE tax to cover (STR 18)</t>
  </si>
  <si>
    <t>BR/Employment/ Pension, SAV SR, PSA (HR), SAV BR, DA, DOR, DUR, Small debt coded no PAYE Tax (STR19)</t>
  </si>
  <si>
    <t>SAV SR, PSA (HR), SAV BR, DA, DOR, DUR, Tax deducted on interest ( STR 20)</t>
  </si>
  <si>
    <t>BR employment, SAV SR, PSA (HR), SAV BR, SAV HR,  DA, DUR, Tax deducted on interest ( STR 21)</t>
  </si>
  <si>
    <t>BR Self employment, PSA, SAV BR, DA, Class 4 NIC + Class 2 NIC, Tax deducted on interest ( STR 22)</t>
  </si>
  <si>
    <t>Higher Rate (HR)BR employment/PRO, PSA (HR), DA, DOR, DUR,  Marriage Allowance Transfer (MAT) Digital Claim (out) not allowed as HR,  Small Debt Coded with PAYE Tax to cover (STR 23)</t>
  </si>
  <si>
    <t xml:space="preserve">Scottish customer with BPR, Pension/OI, SSR, SBR, SIR, PSA (HR), DA, DOR, DUR,  Tax deducted on interest (STR 24) </t>
  </si>
  <si>
    <t>BR Employment/self employment/PRO/Pension/OI, PSA (HR), DA, DOR, DUR ,LLIR reduced to max allowable, Class 4 NIC + Class 2 NIC (STR 25)</t>
  </si>
  <si>
    <t>SAV SR, PSA, SAV BR, DA, Dividend Ordinary Rate DOR, Tax already refunded during year (STR 12)</t>
  </si>
  <si>
    <t>Scottish Customer with PRO loss B/F, BPR, SSR, SBR, SIR, SHR, Pension/PRO income, PSA (HR), SAV HR, DA, Dividend Upper Rate DUR, LLIR</t>
  </si>
  <si>
    <t>This ensures you receive additional relief on your contributions at your highest marginal rate of tax.</t>
  </si>
  <si>
    <t>ppr-gift-extender-STp</t>
  </si>
  <si>
    <t>Basic rate band for saving and dividend income</t>
  </si>
  <si>
    <t>c5.4b</t>
  </si>
  <si>
    <t>Since the Scottish rates and thresholds apply to non-savings and non-dividend income only, a Scottish taxpayer who has both earned income, such as employment salary, pension, profits from self-employment or rental profits, and taxable savings income, such as bank interest may have to consider both the UK rates and thresholds and the Scottish rates and thresholds in order to work out their income tax liability.</t>
  </si>
  <si>
    <t>total_tax_NIC_nonresS811</t>
  </si>
  <si>
    <t>For Class 2 you may find it more efficient to centralise and have one box rather than</t>
  </si>
  <si>
    <t>have multiple pseudo boxes for each self-employed, partnership and Lloyds page.</t>
  </si>
  <si>
    <t>on the employment and minister of religion pages etc.</t>
  </si>
  <si>
    <t>The Class 1 can also be centralised rather than have, for example, the pseudo boxes</t>
  </si>
  <si>
    <t>Where the Class 1 figure is supplied for pre-population it is one figure of “Total class 1</t>
  </si>
  <si>
    <t xml:space="preserve">pseudo boxes on the Employment page. </t>
  </si>
  <si>
    <t>NICable earnings between the PT and UEL”. The xml can feed into one or both of the</t>
  </si>
  <si>
    <t>Scottish Parliament can only set the rates and the limits for non-savings and non-dividend income, then</t>
  </si>
  <si>
    <t>for savings, dividends and capital gains, it is necessary to ignore the Scottish threshold and refer to the UK limit instead.</t>
  </si>
  <si>
    <t>Remove lump sums and reverse premiums</t>
  </si>
  <si>
    <t>(iv)     income of an individual who is a Scottish taxpayer or Welsh taxpayer which would, if the individual were not a Scottish taxpayer or Welsh taxpayer (as the case may be), be income on which income tax is charged at the higher rate [or default higher rate]2.]1</t>
  </si>
  <si>
    <t>Income from personal funds at Lloyd’s UK dividends</t>
  </si>
  <si>
    <t>Foreign sources income from assets in personal funds at Lloyds</t>
  </si>
  <si>
    <t>On a qualifying distribution</t>
  </si>
  <si>
    <t>The following 2 boxes are used on SA302 only</t>
  </si>
  <si>
    <t>c27.9a</t>
  </si>
  <si>
    <t>c27.9b</t>
  </si>
  <si>
    <t>c27.9c</t>
  </si>
  <si>
    <t>£up (for each MOR)</t>
  </si>
  <si>
    <t>£down (for each SPS and FPS)</t>
  </si>
  <si>
    <t>Total Non-savings income</t>
  </si>
  <si>
    <t>Gilt-edged &amp; other UK securities Gross amount before tax</t>
  </si>
  <si>
    <t>Total savings income</t>
  </si>
  <si>
    <t>Gains on life policies with notional tax</t>
  </si>
  <si>
    <t>Non-savings income etc. with notional tax</t>
  </si>
  <si>
    <t>Total Disregarded income from UK sources</t>
  </si>
  <si>
    <t>Total Chargeable income</t>
  </si>
  <si>
    <t>Total Tax deducted from disregarded income</t>
  </si>
  <si>
    <t>income-Savings-taxfree</t>
  </si>
  <si>
    <t>set to zero</t>
  </si>
  <si>
    <t>Pay, pensions, profit etc.</t>
  </si>
  <si>
    <t>Pay, pensions, profit etc. (Scottish income tax rate)</t>
  </si>
  <si>
    <t>Savings interest from banks or building societies, securities etc</t>
  </si>
  <si>
    <t>Savings interest from banks or building societies, securities and gains on life policies</t>
  </si>
  <si>
    <t>c5.2a + c4.59</t>
  </si>
  <si>
    <t>Your basic rate limit for income not subject to Scottish rates has also been increased.</t>
  </si>
  <si>
    <t>c1.5a</t>
  </si>
  <si>
    <t>c1.5b</t>
  </si>
  <si>
    <t>c1.5c</t>
  </si>
  <si>
    <t>c27.1a</t>
  </si>
  <si>
    <t>c27.1b</t>
  </si>
  <si>
    <t>c27.1c</t>
  </si>
  <si>
    <t>c27.6a</t>
  </si>
  <si>
    <t>c27.6b</t>
  </si>
  <si>
    <t>c27.6c</t>
  </si>
  <si>
    <t>Scottish Customer with pension payments (RAS) and gift aid contributions increasing basic rate band</t>
  </si>
  <si>
    <t xml:space="preserve">Scottish customer with State pension Lump sum (starter rate), Minister of Religion, CGT. Balance of Basic rate to CGT </t>
  </si>
  <si>
    <t>Scottish customer with employment up to rUK basic rate band paying pension payments with RAR to extend Scottish starter, basic and intermediate rate band to equivelant of rUK (STR 1)</t>
  </si>
  <si>
    <t>Scottish customer with Higher rate non-savings; higher rate savings; higher rate dividends; RAR; PPR; Gift Aid; Digital claim to Marriage Allowance Transfer (MAT) in place where customer is recipient but disallowed because not BR; Class 4 NIC + Class 2 NIC; Small Debt Coded with PAYE Tax to cover (STR 3)</t>
  </si>
  <si>
    <t>State pension Lump sum HR, Lloyds Underwriters and Self Employment , Enterprise Investment Scheme relief EISR, &amp; Social Investment Tax Relief SITR</t>
  </si>
  <si>
    <t>Scottish customer SSR, SBR, SIR, SHR, SAV HR , DA Nil rate, DAR, CGT.</t>
  </si>
  <si>
    <t>Partnership and pensions. Corresponding Deficiency Relief CDR reduces dividends and savings. Class 4</t>
  </si>
  <si>
    <t xml:space="preserve">Self employed, Trusts, Student Loan repayment SL (Plan 01), S/E Losses set against other income. CIS deductions, </t>
  </si>
  <si>
    <t>Self employed, Pension and other income. Gift aid, CGT chargeable at more than one CGT rate</t>
  </si>
  <si>
    <t>Property income, Dividends and CGT.</t>
  </si>
  <si>
    <t xml:space="preserve">Pension and CGT including entreprenueral gains </t>
  </si>
  <si>
    <t>Employment, Pension and Property income. Gift Aid including carry back gift aid, MCA and CGT.</t>
  </si>
  <si>
    <t>Incapacity Benefit, BPA. Gift Aid with no tax paid.</t>
  </si>
  <si>
    <t xml:space="preserve">Employment, Self employment, Pension, Property and Dividends income. In year MCA claimed reduced due to income limits and RAR. </t>
  </si>
  <si>
    <t>Pension, Other income and State Pension lump sum. RAR, Gift Aid  and gift aid relief backdated (REL8)</t>
  </si>
  <si>
    <t xml:space="preserve">Employment and Dividend income. RAR and Pension taxable short service refund, stock dividends </t>
  </si>
  <si>
    <t>Employment income, Self employment Losses set off against other income + no digital claim to Marriage Allowance Transfer (MAT_OUT) but MAT claimed on Return. Class 2 NIC</t>
  </si>
  <si>
    <t>Self employment, Pension and other Income. State pension lump sum.</t>
  </si>
  <si>
    <t>Partnership, Intersest and Foreign Dividends. RAR, Losses from property on partnerships,  Deficiency Relief. Gift Aid to Charity and BPA.</t>
  </si>
  <si>
    <t>Self employment, Property income and CEG. Income over £150,000, Property and S/E losses, Gift Aid.CGT, VCT, EIS and SEIS</t>
  </si>
  <si>
    <t>Employment, Self employment, Partnership income and CEG. TSR and gift aid</t>
  </si>
  <si>
    <t>Employment income, Redundancy Lump sum, Dividends and CEG.</t>
  </si>
  <si>
    <t>Self employment, Partnership and Trust income. Student Loan (plan2) SL, CGT, Income over £100000 with losses, RAR, PPR and Gift Aid. VCT, SEISR and EIS</t>
  </si>
  <si>
    <t xml:space="preserve">MOR, Employments and Trusts income. </t>
  </si>
  <si>
    <t>Self Employment and Share Schemes. Class 2 and 4 NIC.</t>
  </si>
  <si>
    <t xml:space="preserve">Pension income, S/E Losses. CGT. </t>
  </si>
  <si>
    <t>Pension, Savings and Divs. Corresponding Deficiency Relief CDR reduces dividends, no HR liability on non-savings income</t>
  </si>
  <si>
    <t>Employment, Lump sum,  foreign income and Foreign dividends. Student Loan repayment Plan 1 SL, FOR Relief for Finance Costs (Landlord Loan Savings Relief)</t>
  </si>
  <si>
    <t>Employment, Foreign income, Foreign dividends, Trust income, Savings, Dividends, VCT/Alimony claim.</t>
  </si>
  <si>
    <t>Property income, Pension, Savings, Dividends, Chargeable Event Gains CEG with Top Slicing Relief TSR due</t>
  </si>
  <si>
    <t>employment, Savings, Dividends, Losses from SSE set against other income + Marriage Allowance Transfer transferred  (MAT_OUT) Voluntary Class 2</t>
  </si>
  <si>
    <t>Employment income over £100,000, Savings and dividends, no PA, Blind Person Relief BPR due, CGT</t>
  </si>
  <si>
    <t>Property income, Relief for Finance Costs (Landlord Loan Savings Relief), UK and Foreign Chargeable Event Gains CEG, Top Slicing Relief TSR due; Notional tax; Basic  MCA , 50% to partner.</t>
  </si>
  <si>
    <t>Pension, Savings and dividends. Non-UK Resident, 'normal' s23 calculation more beneficial (s811)</t>
  </si>
  <si>
    <t>Propert Income, Pensions, Dividends. Non-UK Resident, non resident calculation more beneficial (s811 disregarded income).Relief for Finance Costs (Landlord Loan Savings Relief)</t>
  </si>
  <si>
    <t>Property Income, Pensions and Dividends.Non-UK Resident, non resident calculation more beneficial (s811 disregarded income); MAT_IN but removed from calculation; Relief for Finance Costs (Landlord Loan Savings Relief)</t>
  </si>
  <si>
    <t>Employment, Foreign and Partnership income. Losses from FPS20 set against other income; balance BR to CGT; FPS Relief for Finance Costs (Landlord Loan Savings Relief).Voluntary Class 2, CGT.</t>
  </si>
  <si>
    <t xml:space="preserve">Partnership, Foreign Income, Foreign Dividends, Trust Income, RAR, Annuities, trade union death benefit, widows and orphan relief.Class 2. FOR Relief for Finance Costs (Landlord Loan Savings Relief). </t>
  </si>
  <si>
    <t>Kitchen sink, multiple sources, PA reduced to Nil,Losses, RAR, TRU &amp; FOR Relief for Finance Costs (Landlord Loan Savings Relief), CEG, MCA, CGT</t>
  </si>
  <si>
    <t>Self employment, Foreign income and Foreign Dividends. Class 4 and Class 2 NIC,  Reduced PA and Losses. FOR Relief for Finance Costs (Landlord Loan Savings Relief)</t>
  </si>
  <si>
    <t>Pension, Other income, Savings and Dividends.</t>
  </si>
  <si>
    <t>Trust, Savings, Dividends and CEG,TSR not due</t>
  </si>
  <si>
    <t>Employment, Pension Savings and CEG, top slicing relief due, State pension lump sum.</t>
  </si>
  <si>
    <t>Pension Foreign Dividends and Savings. In year MCA claim and gift aid.</t>
  </si>
  <si>
    <t>Pension, Other income, Savings, Dividends and Gift Aid</t>
  </si>
  <si>
    <t>Employment, Pension, Other income, Dividends, Foreign Dividends and Savings.</t>
  </si>
  <si>
    <t>Pension, Other income, Savings, Dividends, Gift Aid and CGT</t>
  </si>
  <si>
    <t>Savings and Dividends. MCA. CGT</t>
  </si>
  <si>
    <t>Property income, Other income, Pension, Savings and Dividends. Losses and MCA reduced due to Age related income limits.</t>
  </si>
  <si>
    <t>Pension, Savings, Dividends and Gift Aid, Tax due on Gift Aid more than tax paid by individual</t>
  </si>
  <si>
    <t>Pension, Savings, Dividends and In year MCA claim.</t>
  </si>
  <si>
    <t>Property income, Trust and CEG. Losses, Relief for Finance Costs (Landlord Loan Savings Relief) and CITR claimed.</t>
  </si>
  <si>
    <t>Employment, Self employment, Pension, Savings and Dividends. RAR, in year MCA reduced due to income limits.</t>
  </si>
  <si>
    <t>Foreign Income, Foreign Dividends, Divenden and Savings. CEG, Non-Resident, Remittance basis charge for Non Dom and TSR = 0 (previously incorrectly £0.02)</t>
  </si>
  <si>
    <t>Pension, Savings and Dividend income. In year Repayment results in underpaid amount on SA302</t>
  </si>
  <si>
    <t>Scottish Customer, Self employment, Property income, Savings and Dividends. Property losses from FL to c/f to lettings inc (PRO17), Deficiency relief on both savings and dividends.</t>
  </si>
  <si>
    <t>Self employment, Property income, Savings and Dividends. RAR, S/E Losses, Annuity, Gift Aid to charity.Deficiency relief on both savings and dividends. Class 4 and Class 2 NIC.</t>
  </si>
  <si>
    <t xml:space="preserve">MOR, Property income, Foreign income, Foreign Dividends Other income, CEG, Savings and Dividens. RAR. PPR, Gift Aid. CGT. </t>
  </si>
  <si>
    <t>Self employment, Savings and Dividends. RAR, S/E Losses. Cash basis adjustment FSE70 and Class 4 NIC adjustment FSE101, Class 2 NIC</t>
  </si>
  <si>
    <t>Partnership, Other income and Savings. Basis adjustment SPS9, tax deducted partnerships SPS27 and SPS29. EIS releif. Class 2 and 4 NIC.</t>
  </si>
  <si>
    <t>Partnership, Other income, Pension, CEG, Savings and Dividends. State Pension Lump Sum. Voluntary Class 2 NIC</t>
  </si>
  <si>
    <t>Partnership, Property and Dividend income. Partnership and Property Losses. FPS Relief for Finance Costs (Landlord Loan Savings Relief). No PA.</t>
  </si>
  <si>
    <t>Partnership, Property, Dividends and CEG. Gift Aid, Losses, FPS Relief for Finance Costs (Landlord Loan Savings Relief). Class 2 and 4 NIC. CGT.</t>
  </si>
  <si>
    <t>Employment income, Savings, Divendends and Foreign Dividends. Student Loan SL (plan 1).</t>
  </si>
  <si>
    <t>Employment, Pension, Property, Savings and CEG. Relief for Finance Costs (Landlord Loan Savings Relief).</t>
  </si>
  <si>
    <t>Partnership, Savings, Dividends and CEG income. CGT and PPR. Class 2 and 4 NIC.</t>
  </si>
  <si>
    <t>Property income, Trust income, Pension, Savings and Dividends. Losses,  Relief for Finance Costs (Landlord Loan Savings Relief) and CITR.</t>
  </si>
  <si>
    <t>Employment, Pension, Dividends, Foreign income and Foreign dividends. Losses, Relief for Finance Costs (Landlord Loan Savings Relief) and Community investment relief.</t>
  </si>
  <si>
    <t xml:space="preserve">Employment income, Savings.  Relief for Finance Costs (Landlord Loan Savings Relief). Lump sum, CAL7/8, PA reduced to Nil </t>
  </si>
  <si>
    <t>Partnership, Property, Trusts, Other income, Savings, Dividends, Foreign income and Foreign Dividends. Losses, PA reduced to Nil, gifts to charity,  Relief for Finance Costs (Landlord Loan Savings Relief), CGT. Class 2 and 4 NIC.</t>
  </si>
  <si>
    <t>Scottish customer, Self employment Deficiency Relief DR reduces dividends only. Class 4 and voluntary Class 2.</t>
  </si>
  <si>
    <t>Relief Limited to £50,000, or if more,</t>
  </si>
  <si>
    <t>25% of adjusted total income</t>
  </si>
  <si>
    <t xml:space="preserve">Kitchen sink with in year MCA to wife (reduced to minimum amount); NIC exempt (STR 13) </t>
  </si>
  <si>
    <t>Employment, Dividends, Foreign Income. Remitted Basis - income less than £2000 tick box.</t>
  </si>
  <si>
    <t xml:space="preserve">Employment, Pension and Share Schemes. Student Loan (plan 1). </t>
  </si>
  <si>
    <t xml:space="preserve">Pension, Other and shares income, MCA claim with basic MCA to wife   </t>
  </si>
  <si>
    <t>Ministers of Religion employment and Pensions.</t>
  </si>
  <si>
    <t>Ministers of Religion employment, Other income and Dividends AHR.</t>
  </si>
  <si>
    <t>Employment and Self Employment. CGT</t>
  </si>
  <si>
    <t>Employment, Other income. S/E losses reduced PA , CEG and Class 2 NIC.</t>
  </si>
  <si>
    <t>Employment income and voluntary Class 2 NIC. CGT.</t>
  </si>
  <si>
    <t>Employment, Self employment and Partnership. Losses. PA reduced to nil.</t>
  </si>
  <si>
    <t>Scottish Customer, Employment, Income from Property and CEG.</t>
  </si>
  <si>
    <t xml:space="preserve">Employment and Dividend income. Student Loan (plan 1) SL.  investment income &gt;2000, SL repayments via empt </t>
  </si>
  <si>
    <t>Scottish Customer. Self employment. Losses, Class 2 and 4 NIC. Pension tax charges (AIL10)</t>
  </si>
  <si>
    <t>Scottish Customer. Employment. Reduced PA. Pension tax charges for AIL 7,8 and 9</t>
  </si>
  <si>
    <t>Scottish Customer, Lloyds underwriter, Losses, class 4 NIC, voluntary Class 2 NIC and CGT.</t>
  </si>
  <si>
    <t xml:space="preserve">Scottish customer, Lloyds underwriter. Losses, aged over 65 Nic exempt </t>
  </si>
  <si>
    <t xml:space="preserve">Scottish Customer. Lloyds underwriter, Pension and CEG with TSR </t>
  </si>
  <si>
    <t>Scottish Customer, Lloyds underwriter losses set off against income from property and Voluntary Class 2</t>
  </si>
  <si>
    <t>Lloyds underwriter, Losses income with pension savings and capital gains, balance BR to gains</t>
  </si>
  <si>
    <t xml:space="preserve">Scottish Customer, Minister of Religion, Pension income. In year marriage. </t>
  </si>
  <si>
    <t xml:space="preserve">Partnership, Voluntary Class 2, CGT. </t>
  </si>
  <si>
    <t>CEG and other income. CGT.</t>
  </si>
  <si>
    <t>Employment income, CEG and CGT. Reduced PA.</t>
  </si>
  <si>
    <t>Employment income. CGT with Deficiency Relief</t>
  </si>
  <si>
    <t xml:space="preserve">Scottish Customer. Employment income. CGT with Deficiency Relief. </t>
  </si>
  <si>
    <t>Employment income including Lump Sum and Chargeable event gain.</t>
  </si>
  <si>
    <t>Employment income, Student loan repayments (plan 1) SL, EMP8 entry, PT Teacher earnings &gt; SL limit but PT teacher earnings on own &lt; SL limit</t>
  </si>
  <si>
    <t>Self employment, Pension. Lifetime allowance charge -further tax due  (lump sum and pension amounts)</t>
  </si>
  <si>
    <t>Employment income. Small Debt coded but not enough PAYE tax to cover. CEG.</t>
  </si>
  <si>
    <t>Employment, Self employment. Losses. HICBC. Gift Aid. Class 4 and Voluntary Class 2 NIC.</t>
  </si>
  <si>
    <t>Employment income, Lloyds Underwriters, Lump Sums, savings and Dividends. Losses and Class 2 NIC.</t>
  </si>
  <si>
    <t>Lloyds Underwriters, Trust and savings. Foreign tax on estates. Class 2 and 4 NIC. CIS deductions.</t>
  </si>
  <si>
    <t>Foreign Tax on Estates, income from Property, Trusts, savings and Dividends. AHR and Ahdiv rates PA reduced to Nil. Relief for Finance Costs (Landlord Loan savings Relief)</t>
  </si>
  <si>
    <t>savings and Dividends. Remittance basis for non-dom. BPA and MCA not due as taxpayer is Non resident</t>
  </si>
  <si>
    <t>Employment, Partnership savings income. Student Loan (Plan 1) SL box EMP8 entry, eligible income below £15795</t>
  </si>
  <si>
    <t>Self employment, savings, Dividends and Foreign Dividends. MCA ( half basic to wife ).</t>
  </si>
  <si>
    <t>savings and Dividends. In year MCA claim.</t>
  </si>
  <si>
    <t xml:space="preserve">Ministers of Religion employment, savings and Dividends, Gift Aid. </t>
  </si>
  <si>
    <t xml:space="preserve">Self Employment, Foreign Dividends, savings and Dividends. Class 4 and 2 NIC. </t>
  </si>
  <si>
    <t>Employment, Partnership income, savings and Dividends. Losses, Class 1 NIC contributions reducing Class 4 NIC due and voluntary Class 2.</t>
  </si>
  <si>
    <t>Scottish Customer. Self employment and Income from Property. Losses, Relief for Finance Costs (Landlord Loan savings Relief), Pension tax charges (AIL10) and Voluntary Class 2 NIC.</t>
  </si>
  <si>
    <t>Scottish Customer. Employment, Foreign income and Foreign Dividends. Overseas pension charge; Relief for Finance Costs (Landlord Loan savings Relief). PA reduced to nil.</t>
  </si>
  <si>
    <t>Lloyds underwriter and savings.</t>
  </si>
  <si>
    <t>Scottish Customer, Employment, Other Income, savings and Foreign income.</t>
  </si>
  <si>
    <t>Scottish Customer. Employment income, Partnership Foreign Income savings and other income. Reduced PA. Voluntary Class 2 NIC</t>
  </si>
  <si>
    <t>Self employment, savings and Dividends below Personal Alowance.  CGT and Voluntary Class 2</t>
  </si>
  <si>
    <t>Scottish Customer. Self emaployment, Partnership, Property Income, Other income, savings and Dividends. CGT, Class 2 and 4 NIC.</t>
  </si>
  <si>
    <t>Employment income, savings and Dividends. Voluntary Class 2 NIC. Ent Gains plus other gains. AEA, loss and balance BR band to other gains</t>
  </si>
  <si>
    <t xml:space="preserve">Scottish Customer. Self employment, savings and Dividends. Losses. Class 2 and 4 NIC. ENT Gains plus other gains. </t>
  </si>
  <si>
    <t>Scottish Customer, Partnership. Losses, FPS Relief for Finance Costs (Landlord Loan savings Relief). Class 2 and 4 NIC. CGT</t>
  </si>
  <si>
    <t xml:space="preserve">Employment, savings and dividend income. AIL 16. </t>
  </si>
  <si>
    <t xml:space="preserve">Property Income, Dividends and Pension. Losses. Relief for Finance Costs (Landlord Loan savings Relief). Non Resident with AOI12 </t>
  </si>
  <si>
    <t>Property Income, Dividends and Pension. Losses. Relief for Finance Costs (Landlord Loan savings Relief). Non resident with AOI13</t>
  </si>
  <si>
    <t>Non resident, Partnership, Pension, Property, savings and Dividend income.</t>
  </si>
  <si>
    <t>Employment, Trust, savings and Dividend income. Test for TRU18.</t>
  </si>
  <si>
    <t>Proerty Income, savings and  Dividends. AIL16 over £20,000</t>
  </si>
  <si>
    <t>Pension, Other income and savings. MCA</t>
  </si>
  <si>
    <t>Pension, Other income and savings. MCA1, half basic  to partner</t>
  </si>
  <si>
    <t>Pension, Other income and savings. MCA, all basic to partner</t>
  </si>
  <si>
    <t>Pension, Other income and savings. MCA claim lower income partner</t>
  </si>
  <si>
    <t>Employment, Foreign Income and savings. Student Loan repayments (plan 1) SL, CAL7 and CAL 8 entries.</t>
  </si>
  <si>
    <t>Property Income from both EEA and UK lettings. Pension CEG, savings and Dividends.</t>
  </si>
  <si>
    <t>Employment income, Property Income from EEA and UK lettings, Foreign land and property income and Foreign Dividends. FOR Relief for Finance Costs (Landlord Loan savings Relief). PA reduced to Nil.</t>
  </si>
  <si>
    <t xml:space="preserve">Property and Trust income, savings and Dividends, CEG. Income over £100,000 reduced PA. Student Loan repayments (plan 1)   </t>
  </si>
  <si>
    <t>Pension, savings, Dividends and Foreign Dividends. Lifetime allowance charge (lump sum amount)</t>
  </si>
  <si>
    <t>Self employment, Property Income, Other income, savings and Dividends, CRG. Annual allowance charge and unauthorised payment charge (@40% and 55%). Reduced PA</t>
  </si>
  <si>
    <t>Partnership, Other income and savings. PPR and Gift Aid. Losses. Class 4 and Voluntary Class 2. AOR9</t>
  </si>
  <si>
    <t>Partnership, Other income and savings. PPR and Gift Aid. Losses. Class 4 and Voluntary Class 2. EIS and AOR9.</t>
  </si>
  <si>
    <t>Self employment and savings. HICBC. Class 4 and Voluntary Class 2.</t>
  </si>
  <si>
    <t>Employment, Self employment and savings. Losses. HICBC. Class 4 and Voluntary Class 2 NIC.</t>
  </si>
  <si>
    <t>Employment, savings and Dividends. HICBC.  ANI between 50,000 and 60,000</t>
  </si>
  <si>
    <t>Employment income, savings and Dividends. PPR. HICBC.</t>
  </si>
  <si>
    <t xml:space="preserve">Employment, Other income, savings and Dividends. PA reduced to Nil. Gift Aid to charity. Unauthorised payments charge. VCT relief maintenance payments </t>
  </si>
  <si>
    <t>Employment and Property Income. Capped loan and losses with payroll giving. Relief for Finance Costs (Landlord Loan savings Relief).</t>
  </si>
  <si>
    <t>Partnership income and savings. Partnership losses Capped.  PPR, Gift Aid and Voluntary Class 2.</t>
  </si>
  <si>
    <t>Employment income, savings and Dividends. Capped Partnership losses with pension savings charges and royalty payments. Voluntary Class 2.</t>
  </si>
  <si>
    <t>325/T1</t>
  </si>
  <si>
    <t>consultant</t>
  </si>
  <si>
    <t>Claim for remittance basis (NRD 28) resident claim for 12 of 14 years (NRD 31),Partnership Losses SPS22 reduced to maximum allowable, BR pay, CL2 NIC, remitance basis charge</t>
  </si>
  <si>
    <t>Scottish customer with multiple source losses with total exceeding £50k where 25% &gt; £50k, AHR Pay, No PSA (AHR), SAV AHR, relief for finance costs reduced to max allowable, CG, minus tax on gains already charged</t>
  </si>
  <si>
    <t>Restricted loan interest (AOR 5), BPR surplus, HR profit, CL4 NIC (adjusted FSE 102), CL2 NIC</t>
  </si>
  <si>
    <t>Non-UK resident, PRO loss B/F and set off, income excluded,  Gift Aid payments, BR pay, Tax excluded, 7.5% tax treated as paid on dividends, non-UK resident calculation used as lower.</t>
  </si>
  <si>
    <t>Box 33 is not in use</t>
  </si>
  <si>
    <t>Partnership Losses (PS 39) reduced to maximum allowable. AHR profit, CL4 NIC, CL2 NIC</t>
  </si>
  <si>
    <t xml:space="preserve">Non-UK resident, income potentially excluded from  tax calc under s128 FA 1995 for Annual Allowance Charge, BR pay, pension savings charge, non-Uk resident liability accepted as lower, </t>
  </si>
  <si>
    <t>Non-UK resident, income potentially excluded from  tax calc under s128 FA 1995 for Annual Allowance Charge &amp; for Capital Gains, BR pay, pension savings charge, non-Uk resident liability accepted as lower, CG</t>
  </si>
  <si>
    <t>Resident with multiple FTCR items claimed, tax due on gift aid payments</t>
  </si>
  <si>
    <t>Claim for remittance basis (NRD 28) resident claim for 12 of 14 years (NRD 31), Gift aid 250,000 (net) , BR pay, remitance basis charge, CG, CG tax adjustment, Liability from off-shore trust</t>
  </si>
  <si>
    <t>Double taxation agreement income (NRD 20), claim for remittance basis (NRD 28) resident claim for 7 of 9 years (NRD 32), FOR prop loss offset against income, AHR pay/pension, FTCR, remitance basis charge, CG residential property, FTCR on CG</t>
  </si>
  <si>
    <t>Double taxation agreement income (NRD 20), claim for remittance basis (NRD 28) resident claim for 12 of 14 years (NRD 31) following FB2 of 2017-18, FOR prop loss offset against income, AHR pay/pension, FTCR, remitance basis charge, CG residential property, FTCR on CG</t>
  </si>
  <si>
    <t>Double taxation agreement income (NRD 20), deemed domicile claim (NRD 30), FOR prop loss offset against income, AHR pay/pension, FTCR, CG residential property, FTCR on CG, Test for NRD36 POA Adjustment (changed from NRD35 for 2015-16)</t>
  </si>
  <si>
    <t>Scottish customer claiming remittance basis and unremitted income below deminimus, savings and dividend income</t>
  </si>
  <si>
    <t>Scottish customer, SIR profit/pension, PSA (BR), SAV BR, DA, CG</t>
  </si>
  <si>
    <t>profit/ pension below PA, SAV SR, PSA (HR), SAV BR, DA (nil rate br and nil rate hr), DOR</t>
  </si>
  <si>
    <t>non-UK resident, Excluded income, BR profit, tax on income excluded, 7.5% treated as paid on DIVS, Class 4 NIC, Non-resident liability used as lower.</t>
  </si>
  <si>
    <t>Remittance Basis (NRD 28) - Age under 18 tick box NRD33 test. SAV SR, PSA (HR), SAV BR,SAV HR, EIS Relief, Seed EIS Relief.</t>
  </si>
  <si>
    <t>non-UK resident claiming PA under DTA (NRD1 = Y and NRD15 = Y) SAV SR, PSA (BR), DA, DOR, FCTR, 7.5% tax treated as paid, UK IT liability used as lower CG, CG tax adjustment, Liability from off-shore trust</t>
  </si>
  <si>
    <t>MAT transfer out where income greater than PA, income covered by SAV SR and DA</t>
  </si>
  <si>
    <t>LUN income/loss, SIR profit, PSA (BR), DA, DOR, MAT_in, FCTR, CL4 NIC, CL2 NIC</t>
  </si>
  <si>
    <t>Profit under losses relief of £62,547 (sps20), dividends £828,319. SAV SR, DA, DOR, DUR, DAR. No tax paid</t>
  </si>
  <si>
    <t>BR pension, SAV SR, PSA (BR), SAV BR, DA, DOR. Beneficial ordering - PA allocated against pension to release SAV SR</t>
  </si>
  <si>
    <t>BR Pension, PSA (HR), SAV HR, DA, DUR. Beneficial ordering - Part PA allocated to Pension so that PSA given against SAV HR.</t>
  </si>
  <si>
    <t>BR employment, PSA (HR), SAV HR, DA, DUR. Beneficial ordering - Full PA allocated to employment so that PSA given against SAV HR.</t>
  </si>
  <si>
    <t>179,999 gift of inv and PRO to charity, No taxable income, Tax due on gift aid payments</t>
  </si>
  <si>
    <t>No earned income, INT and gains on Life insurance,  SAV SR, PSA (HR), BR, HR, DA, DOR, DUR. TSR and notional tax. Beneficial ordering</t>
  </si>
  <si>
    <t>BR Employment/Pension, PSA (HR), DA, DOR, DUR. Beneficial ordering</t>
  </si>
  <si>
    <t>Scottish customer, Gift aid, Int/FOR int, SAV SR, PSA (HR), SAV BR, DA, DOR, DUR. Beneficial ordering</t>
  </si>
  <si>
    <t>Scottish Customer, SIR pension, PSA (BR), SAV BR, DA, DOR. Beneficial ordering</t>
  </si>
  <si>
    <t>Scottish customer, 256421 gift of inv and prop to charity, Gift aid, Int/FOR Int SAV SR, PSA (BR), DA, DOR, FTCR, CG</t>
  </si>
  <si>
    <t>Scottish customer,  PPR, SSR Employment, SAV SR, PSA (HR), SAV BR, DA, DOR, DUR. Beneficial ordering</t>
  </si>
  <si>
    <t>Scottish customer, SHR Employment(including redundancy lump sum), SAV SR, PSA (BR) SAV BR Beneficial ordering</t>
  </si>
  <si>
    <t>HR redundancy lump sum, Chargeable gains, SAV SR, PSA (HR), SAV BR, SAV HR, DA, DOR. Notional tax from gains. Beneficial ordering</t>
  </si>
  <si>
    <t>HR employment (inc redundancy lump sum), SAV SR, PSA (HR), SAV BR, DA, DOR, DUR. Beneficial ordering</t>
  </si>
  <si>
    <t>HR OI/Employment ( inc redundancy lump sum), SAV SR, PSA (HR), BR, DA, DOR. Beneficial ordering</t>
  </si>
  <si>
    <t>Scottish customer, Scot SR pension, SAV SR, PSA(HR), SAV BR, SAV HR, MAT-IN relinquished as SAV HR. Beneficial ordering</t>
  </si>
  <si>
    <t>BR pension, SAV (HR), Divs covered by PA rather than DA so MAT-IN retained as beneficial.</t>
  </si>
  <si>
    <t>PTNRS loss set against other income, HR employment (inc redundancy lump sum)/PTNRS/PRO, PSA (BR), CL2 NIC</t>
  </si>
  <si>
    <t>EMPCL1_A</t>
  </si>
  <si>
    <t>EMPCL1_B</t>
  </si>
  <si>
    <t>NI1_MOR</t>
  </si>
  <si>
    <t xml:space="preserve">Earnings above the PT, up to and including the UEL. From col.1c on P60/NPS.
</t>
  </si>
  <si>
    <t>Case to check CL2 and CL4 NIC calculations. SBR profit/pay, PSA (BR), Class 4 calculation taking into account Class 1 NICable earnings.</t>
  </si>
  <si>
    <t>More beneficial to set all allowances against non-savings income to reduce income in SR_band than setting allowances against savings. CGT due at 10%.</t>
  </si>
  <si>
    <t>FOR13.2</t>
  </si>
  <si>
    <t>Unused residential finance costs</t>
  </si>
  <si>
    <t>If present, must be less than or equal to £3,360</t>
  </si>
  <si>
    <t>AIL24</t>
  </si>
  <si>
    <t>a) If AIL23 present then AIL24 must also be present.
b) If AIL24 present then AIL23 must also be present</t>
  </si>
  <si>
    <t>EMP8.1</t>
  </si>
  <si>
    <t>If box 1 includes any disguised remuneration, put 'X' in the box</t>
  </si>
  <si>
    <t>FSE75.1</t>
  </si>
  <si>
    <t>Equal to FSE73 minus FSE74 + FSE75 + FSE75.1</t>
  </si>
  <si>
    <t>Disguised remuneration additions to profits</t>
  </si>
  <si>
    <t>If box 8 includes any disguised remuneration income, put 'X' in the box</t>
  </si>
  <si>
    <t>a) Total of PRO5, PRO11, PRO20, PRO22, PRO23, PRO31 must not exceed £150,000 (Cash basis threshold) if PRO5.2 &amp; PRO20.2 &amp; PRO18 are absent
b) Total of PRO20, PRO22, PRO23, PRO31 must not exceed £150,000 (Cash basis threshold) if PRO5.2 is absent but PRO18 is present
c) PRO20.1 must be less than or equal to the sum of PRO20, PRO22, PRO23 &amp; PRO31</t>
  </si>
  <si>
    <t>a) If present, must be less than or equal to £400,000*b) If present, PRO5.2, PRO20.2 &amp; PRO18 must be absent
c)  If present, PRO20.1 must be absent</t>
  </si>
  <si>
    <t>SA Monetary value (2dp) &gt; = 0.00</t>
  </si>
  <si>
    <t>a) Prohibited if PRO20.1 is present 
b) If present PRO26 or PRO29 or both must be present
c) If present must be less than or equal to PRO26 + PRO29</t>
  </si>
  <si>
    <t>a) Can be negative
b) If CGT29 positive, then must be less than or equal to CGT26
c) If CGT29 negative, then absolute value CGT29 must be less than or equal to CGT27
d) if entry in CGT23 present then CGT26 OR CGT27 OR CGT29 must also be present
e) If CGT29 is positive then CGT26 must be present
f) If CGT29 is negative then CGT27 must be present</t>
  </si>
  <si>
    <t>a) Can be negative
b) If CGT37 positive, then must be less than or equal to CGT34
c) If CGT37 negative, then absolute value CGT37 must be less than or equal to CGT35
d) if entry in CGT31 present then CGT34 OR CGT35 OR CGT37 must also be present
e) If CGT37 positive, then CGT34 must be present
f) If CGT37 negative, then CGT35 must be present</t>
  </si>
  <si>
    <t>If CGT38 present, CGT37 must be present</t>
  </si>
  <si>
    <t xml:space="preserve">If CGT40 present, must be less than or equal to £100,000 </t>
  </si>
  <si>
    <t>If CGT41 presnt, CGT35 must be present</t>
  </si>
  <si>
    <t xml:space="preserve">If CGT43 present, then CGT41 + CGT43 must be equal to or less than CGT35   
</t>
  </si>
  <si>
    <t xml:space="preserve">If CGT47 present,  must be greater than CGT7, CGT19, CGT27 + (CGT35 - CGT41 + CGT43)
</t>
  </si>
  <si>
    <t>If CGT48 present, must be less than or equal to (CGT7 + absolute value CGT9 (if negative) + CGT19 + CGT27 + (CGT35 - (CGT41 + CGT43) + CGT46)</t>
  </si>
  <si>
    <t>If CGT49 present, must be less than or equal to £2,000,000</t>
  </si>
  <si>
    <t>If CGT50 present, must be less than or equal to £10,000,000</t>
  </si>
  <si>
    <t>If NRD28 present then NRD23.1 and NRD23.2 must NOT be present unless NRD29 is also present
If present, NRD23 must be present</t>
  </si>
  <si>
    <t>2014-15</t>
  </si>
  <si>
    <t>2015-16</t>
  </si>
  <si>
    <t>007/A123</t>
  </si>
  <si>
    <t>Pay from this employment – the total from your P45 or P6</t>
  </si>
  <si>
    <t>UK tax taken off pay in box 1</t>
  </si>
  <si>
    <t>Tips and other payments not on your P60</t>
  </si>
  <si>
    <t>PAYE tax reference of your employer (on your P45/P60)</t>
  </si>
  <si>
    <t xml:space="preserve">Your employer’s name
</t>
  </si>
  <si>
    <t xml:space="preserve"> If you were a company director, put ‘X’ in the box</t>
  </si>
  <si>
    <t xml:space="preserve">And, if the company was a close company, put ‘X’ in the box </t>
  </si>
  <si>
    <t>If you’re a part-time teacher in England or Wales and are on the Repayment of Teachers’ Loans Scheme for this employment, put ‘X’ in the box</t>
  </si>
  <si>
    <t xml:space="preserve"> If box 1 includes any disguised remuneration income, put ‘X’ in the box</t>
  </si>
  <si>
    <t>Company cars and vans</t>
  </si>
  <si>
    <t>Fuel for company cars and vans</t>
  </si>
  <si>
    <t>Private medical and dental insurance</t>
  </si>
  <si>
    <t>Vouchers, credit cards and excess mileage allowance</t>
  </si>
  <si>
    <t xml:space="preserve">Accommodation provided by your employer </t>
  </si>
  <si>
    <t xml:space="preserve">Goods and other assets provided by your employer </t>
  </si>
  <si>
    <t>Other benefits (including interest-free and low interest loans)</t>
  </si>
  <si>
    <t>Expenses payments received and balancing charges</t>
  </si>
  <si>
    <t>Business travel and subsistence expenses</t>
  </si>
  <si>
    <t>Fixed deductions for expenses</t>
  </si>
  <si>
    <t xml:space="preserve">Professional fees and subscriptions </t>
  </si>
  <si>
    <t xml:space="preserve"> Other expenses and capital allowances </t>
  </si>
  <si>
    <t>524/A4</t>
  </si>
  <si>
    <t>film partnership</t>
  </si>
  <si>
    <t>Solicitors</t>
  </si>
  <si>
    <t>Scottish customer with Pension, Savings, Dividends and Foreign Dividends. Overseas short service refund charge and overseas Lump sum death benefit , State Pension Lump Sum SBR20%. BPA.</t>
  </si>
  <si>
    <t>Pension, savings and Dividends. State pension lump sum 0%. MCA claimed husband, Relief for Finance Costs (Landlord Loan savings Relief). Losses</t>
  </si>
  <si>
    <t>Scottish customer with Pension, Other income, State PensionLump Sum 0%</t>
  </si>
  <si>
    <t>914/G5</t>
  </si>
  <si>
    <t>Scottish customer with Employment, Self employment, Partnership, Property income, Trusts,Other income, CEG, Interst and Dividends.  PA reduced to nil. Class 4 and Voluntary Class 2. HICBC.</t>
  </si>
  <si>
    <t>213/A3</t>
  </si>
  <si>
    <t>Scottish customer with Non-Savings, Savings and Dividends where more beneficial to have some of PA against Dividends before Non-Savings/Savings (Exclusion 70) (STR 6)</t>
  </si>
  <si>
    <t>Res_non_dom_ch</t>
  </si>
  <si>
    <t>c5.54a</t>
  </si>
  <si>
    <t>c5.54a1</t>
  </si>
  <si>
    <t>c5.54b</t>
  </si>
  <si>
    <t>c5.54c</t>
  </si>
  <si>
    <t>Components: YPD=1, INC-A=1, INC-B=1, INC-C=1, REL-A=1, REL-B=1, REL-C=1, SLR=1, CBC=1, MAT=1, FIN=1, Emp-A=1, DoB =not present</t>
  </si>
  <si>
    <t>Components: YPD=8, INC-A=8, INC-B=8, INC-C=8, REL-A=8, REL-B=8, REL-C=8, SLR=8, CBC=8, MAT=8, FIN=1, MCA=8, FSE=8, NI2=10, DoB =03/06/1934, NIC exempt</t>
  </si>
  <si>
    <t>Components: YPD=11, INC-A=11, INC-B=11, INC-C=11, REL-A=11, REL-B=11, REL-C=11, SLR=11, CBC=11, MAT=11, FIN=1, Emp-A=11, PRO=11, CAL=4, DoB =03/06/1934, NIC exempt</t>
  </si>
  <si>
    <t>Components: YPD=12, INC-A=12, INC-B=12, INC-C=12, REL-A=12, REL-B=12, REL-C=12, SLR=12, CBC=12, MAT=12, FIN=1, DoB =03/06/1934</t>
  </si>
  <si>
    <t>Components: YPD=13, INC-A=13, INC-B=13, INC-C=13, REL-A=13, REL-B=13, REL-C=13, SLR=13, CBC=13, MAT=13, FIN=1, MCA=13, Emp-A=13, FSE=13, NI2=10, NI1=13, PRO=13, CAL=4, DoB =03/06/1934, FIN1 =£617, NIC exempt</t>
  </si>
  <si>
    <t>Components: YPD=14, INC-A=14, INC-B=14, INC-C=14, REL-A=14, REL-B=14, REL-C=14, SLR=14, CBC=14, MAT=14, FIN=1, Emp-A=14, CAL=4, DoB =not present</t>
  </si>
  <si>
    <t>Components: YPD=15, INC-A=15, INC-B=15, INC-C=15, REL-A=15, REL-B=15, REL-C=15, SLR=15, CBC=15, MAT=15, FIN=1, FSE=15, NI2=10, DoB =not present</t>
  </si>
  <si>
    <t>Components: YPD=17, INC-A=17, INC-B=17, INC-C=17, REL-A=17, REL-B=17, REL-C=17, SLR=17, CBC=17, MAT=17, FIN=1, Emp-A=17, PRO=17, CAL=4, DoB =not present</t>
  </si>
  <si>
    <t>Components: YPD=18, INC-A=18, INC-B=18, INC-C=18, REL-A=18, REL-B=18, REL-C=18, SLR=18, CBC=18, MAT=18, FIN=1, Emp-A=18, CAL=6, DoB =not present</t>
  </si>
  <si>
    <t>Components: YPD=23, INC-A=23, INC-B=23, INC-C=23, REL-A=23, REL-B=23, REL-C=23, SLR=23, CBC=23, MAT=23, FIN=1, Emp-A=23, PRO=23, CAL=4, DoB =not present</t>
  </si>
  <si>
    <t>Components: YPD=24, INC-A=24, INC-B=24, INC-C=24, REL-A=24, REL-B=24, REL-C=24, SLR=24, CBC=24, MAT=24, FIN=1, DoB =not present</t>
  </si>
  <si>
    <t>Components: YPD=25, INC-A=25, INC-B=25, INC-C=25, REL-A=25, REL-B=25, REL-C=25, SLR=25, CBC=25, MAT=25, FIN=1, Emp-A=25, SSE=25, FSE=25, NI2=10, NI1=25, PRO=25, DoB =not present</t>
  </si>
  <si>
    <t>wfans Personol wedi ei ostwng</t>
  </si>
  <si>
    <t>Lwfans Personol</t>
  </si>
  <si>
    <t>Cyflog, pensiynau, elw etc.</t>
  </si>
  <si>
    <t>From 2016-17 the P11ws and P60 were changed so that the columns for 1c and 1d are combined into one column that has earnings from PT to UEL.</t>
  </si>
  <si>
    <t>Cyflog, pensiynau, elw etc. (cyfradd yr Alban o dreth incwm)</t>
  </si>
  <si>
    <t>Cyflog, pensiynau, elw etc. (cyfradd y DU ar gyfer Cymru, Lloegr a Gogledd Iwerddon)</t>
  </si>
  <si>
    <t>Llog o gynilion o fanciau neu gymdeithasau adeiladu, gwarantau ac enillion ar bolisïau bywyd</t>
  </si>
  <si>
    <t>Enillion ar bolisïau bywyd</t>
  </si>
  <si>
    <t>Llog o gynilion o fanciau neu gymdeithasau adeiladu, gwarantau etc.</t>
  </si>
  <si>
    <t>Cyfanswm y Cyfraniadau Yswiriant Gwladol Dosbarth 2 sy'n ddyledus</t>
  </si>
  <si>
    <t>Cyfanswm y Cyfraniadau Yswiriant Gwladol Dosbarth 2 a Dosbarth 4 sy'n ddyledus</t>
  </si>
  <si>
    <t>Cyfanswm y Cyfraniadau Yswiriant Gwladol Dosbarth 4 sy'n ddyledus</t>
  </si>
  <si>
    <t>c17.23c</t>
  </si>
  <si>
    <t>c17.23d</t>
  </si>
  <si>
    <t>SITR_rate</t>
  </si>
  <si>
    <t>Cyfanswm o bob cyflogaeth</t>
  </si>
  <si>
    <t xml:space="preserve">Treth o 7.5% yn cael ei thrin fel wedi'i thalu ar ddifidendau o gwmnïau yn y DU (na ellir ei had-dalu) </t>
  </si>
  <si>
    <t>Rhyddhad am gostau ariannol preswyl</t>
  </si>
  <si>
    <t>Treth Incwm sy'n Ddyledus ar ôl difidendau credydau treth</t>
  </si>
  <si>
    <t>Rhwymedigaeth treth preswylydd yn y DU</t>
  </si>
  <si>
    <t>Terfyn uwch rhwymedigaeth treth preswylydd heb fod yn y DU</t>
  </si>
  <si>
    <t>Yr isaf o A neu B</t>
  </si>
  <si>
    <t>Enillion eraill cyfradd sylfaenol</t>
  </si>
  <si>
    <t xml:space="preserve">Enillion eraill </t>
  </si>
  <si>
    <t xml:space="preserve">Treth Incwm, Enillion Cyfalaf a Chyfraniadau Yswiriant Gwladol Dosbarth 4 sy'n ddyledus </t>
  </si>
  <si>
    <t xml:space="preserve">Treth Incwm, Enillion Cyfalaf a Chyfraniadau Yswiriant Gwladol Dosbarth 2 a Dosbarth 4 sy'n ddyledus </t>
  </si>
  <si>
    <t xml:space="preserve">Treth Incwm, Enillion Cyfalaf a Chyfraniadau Yswiriant Gwladol Dosbarth 2 sy'n ddyledus </t>
  </si>
  <si>
    <t xml:space="preserve">Cyfradd sylfaenol ar y gyfradd sero </t>
  </si>
  <si>
    <t xml:space="preserve">Cyfradd uwch ar y gyfradd sero </t>
  </si>
  <si>
    <t>Cyfradd Ychwanegol ar y gyfradd sero</t>
  </si>
  <si>
    <t>c3a.2b</t>
  </si>
  <si>
    <t>c5.50.1</t>
  </si>
  <si>
    <t>If any box on this stage is negative substitute zero</t>
  </si>
  <si>
    <t xml:space="preserve">If Tax Status used in calculation = S </t>
  </si>
  <si>
    <t>If any box in this stage is negative substitute zero</t>
  </si>
  <si>
    <t>If any box in this stage is negative substitute zero, unless otherwise stated</t>
  </si>
  <si>
    <t>Andrea Gail</t>
  </si>
  <si>
    <t>G5</t>
  </si>
  <si>
    <t>M24</t>
  </si>
  <si>
    <t>M35</t>
  </si>
  <si>
    <t>N7</t>
  </si>
  <si>
    <t>N8</t>
  </si>
  <si>
    <t>N9</t>
  </si>
  <si>
    <t>N10</t>
  </si>
  <si>
    <t>N11</t>
  </si>
  <si>
    <t>P8</t>
  </si>
  <si>
    <t>P10</t>
  </si>
  <si>
    <t>P11</t>
  </si>
  <si>
    <t>R7</t>
  </si>
  <si>
    <t>R8</t>
  </si>
  <si>
    <t>R9</t>
  </si>
  <si>
    <t>R10</t>
  </si>
  <si>
    <t>pallet furniture</t>
  </si>
  <si>
    <t>leaflet distribution</t>
  </si>
  <si>
    <t>41.2</t>
  </si>
  <si>
    <t>63.2</t>
  </si>
  <si>
    <t>25.1</t>
  </si>
  <si>
    <t>Employment, Self employment, Pension, Savings and Dividend income, RAR, Property Losses and Relief for Finance Costs (Landlord Loan Savings Relief), including AOR12. Class 2 and 4 NIC.</t>
  </si>
  <si>
    <t>Self employment, Savings and Dividends. RAR, PPR Losses, Gifts of property to charity, Disguised Remuneration DR AIL22.</t>
  </si>
  <si>
    <t>Employment income, PPR and Disguised Remuneration DR AIL21</t>
  </si>
  <si>
    <t xml:space="preserve">£up </t>
  </si>
  <si>
    <t>Changes v0.0.1</t>
  </si>
  <si>
    <t>Taken from MTR_Tester-2018-19-V-v2.3.0</t>
  </si>
  <si>
    <t>v0.0.1 created</t>
  </si>
  <si>
    <t>Change Reason</t>
  </si>
  <si>
    <t>NONE</t>
  </si>
  <si>
    <t>This is the baseline</t>
  </si>
  <si>
    <t>roll forward</t>
  </si>
  <si>
    <t>Changes Log</t>
  </si>
  <si>
    <t>Previous Year PY changes removed</t>
  </si>
  <si>
    <t>c27.8a</t>
  </si>
  <si>
    <t>c27.8b</t>
  </si>
  <si>
    <t>c27.29a</t>
  </si>
  <si>
    <t>c27.40a</t>
  </si>
  <si>
    <t>c27.43a</t>
  </si>
  <si>
    <t>c27.43b</t>
  </si>
  <si>
    <t>c27.43c</t>
  </si>
  <si>
    <t>c27.45</t>
  </si>
  <si>
    <t>Calculate adjustment to total PGL income from all employments</t>
  </si>
  <si>
    <t>c12.7a</t>
  </si>
  <si>
    <t>L93a1</t>
  </si>
  <si>
    <t>Post-grad-loan</t>
  </si>
  <si>
    <t>PGL_rate</t>
  </si>
  <si>
    <t>PGL_limit</t>
  </si>
  <si>
    <t>PGL</t>
  </si>
  <si>
    <t>PGL rate and threshold added</t>
  </si>
  <si>
    <t>ReL(2)</t>
  </si>
  <si>
    <t>PGL box added</t>
  </si>
  <si>
    <t>c12</t>
  </si>
  <si>
    <t>New box c12.7a "from c27.45"</t>
  </si>
  <si>
    <t>c12.12 changed to include c12.7a</t>
  </si>
  <si>
    <t>c27</t>
  </si>
  <si>
    <t>SA302_template</t>
  </si>
  <si>
    <t>New line L93a1 added</t>
  </si>
  <si>
    <t>L94 updated</t>
  </si>
  <si>
    <t>L95 updated</t>
  </si>
  <si>
    <t>IRCX_template</t>
  </si>
  <si>
    <t>SA302_interface</t>
  </si>
  <si>
    <t>Welsh project</t>
  </si>
  <si>
    <t>c27.29 changed from "c27.17 + c27.28" to "c27.8 + c27.17 + c27.28"</t>
  </si>
  <si>
    <t xml:space="preserve"> This reduces the amount of income charged to higher rates of tax.</t>
  </si>
  <si>
    <t>Mae hyn yn lleihau'r incwm sy'n daladwy ar y graddfeydd uwch o dreth.</t>
  </si>
  <si>
    <t>deducted by employer</t>
  </si>
  <si>
    <t>Post graduate loan repayments</t>
  </si>
  <si>
    <t>2019-20</t>
  </si>
  <si>
    <t>Bug fix</t>
  </si>
  <si>
    <t>L126 formual changed to match SA302 requirements</t>
  </si>
  <si>
    <t>and</t>
  </si>
  <si>
    <t>Enter the amount deducted (U)</t>
  </si>
  <si>
    <t>Enter the amount deducted (P)</t>
  </si>
  <si>
    <t>CAL3.1</t>
  </si>
  <si>
    <t>Student loan repayment due (U)</t>
  </si>
  <si>
    <t>Student loan repayment due (P)</t>
  </si>
  <si>
    <t>tc_template</t>
  </si>
  <si>
    <t>target</t>
  </si>
  <si>
    <t>SLR3 added</t>
  </si>
  <si>
    <t>Components</t>
  </si>
  <si>
    <t>CAL3.1 added</t>
  </si>
  <si>
    <t>C8C9C10 CAL3.1 added</t>
  </si>
  <si>
    <t>SLR3 wording amended</t>
  </si>
  <si>
    <t>Pay, pensions, profit etc. (UK rate for England and Northern Ireland)</t>
  </si>
  <si>
    <t>Pay, pensions, profit etc. (Welsh income tax rate)</t>
  </si>
  <si>
    <t>To be a Scottish or Welsh taxpayer a person must first be a UK resident for tax purposes.</t>
  </si>
  <si>
    <t>Basic rate UK rate for England Northern Ireland</t>
  </si>
  <si>
    <t>Higher rate UK rate for England Northern Ireland</t>
  </si>
  <si>
    <t>Additional Rate UK rate for England and Northern Ireland</t>
  </si>
  <si>
    <t>Welsh status added</t>
  </si>
  <si>
    <t>L42 Wales removed so line only refers to UK or N Ireland</t>
  </si>
  <si>
    <t>L42 Or added for Welsh tax</t>
  </si>
  <si>
    <t>Status (3a)</t>
  </si>
  <si>
    <t>c96.6a</t>
  </si>
  <si>
    <t xml:space="preserve">C1 formula added AIL21 to AIL24 </t>
  </si>
  <si>
    <t>(CPGL-PAYE-INCOME)</t>
  </si>
  <si>
    <t>(CPGL-INCOME-TOTAL)</t>
  </si>
  <si>
    <t>(CPGL-GROSS-AMOUNT)</t>
  </si>
  <si>
    <t>(CPGL-PAYE-REPAYMENT)</t>
  </si>
  <si>
    <t>(CPGL-SA-INCOME)</t>
  </si>
  <si>
    <t>(CPGL-SA-REPAYMENT)</t>
  </si>
  <si>
    <t>SA302_template (W)</t>
  </si>
  <si>
    <t>New box c27.8b "c27.5 minus c27.8a"</t>
  </si>
  <si>
    <t>New box c27.29a "c27.8b + c27.17 + c27.28"</t>
  </si>
  <si>
    <t>New box c27.40a "c27.29a minus c27.39"</t>
  </si>
  <si>
    <t>New box c27.43b "c27.43a x PGL_rate (6%)"</t>
  </si>
  <si>
    <t>New box c27.43c "from SLR3"</t>
  </si>
  <si>
    <t>New box c27.45 "c27.43b minus c27.43c"</t>
  </si>
  <si>
    <t>CRC_template</t>
  </si>
  <si>
    <t>Formula in L93 updated to include multiple plan types</t>
  </si>
  <si>
    <t>L42 to L44A - formula in cell changed to match requirements</t>
  </si>
  <si>
    <t>c97.6a</t>
  </si>
  <si>
    <t>c97.6b</t>
  </si>
  <si>
    <t>c97.6c</t>
  </si>
  <si>
    <t>c97.6d</t>
  </si>
  <si>
    <t>c97.6e</t>
  </si>
  <si>
    <t>c97.6f</t>
  </si>
  <si>
    <t>c97.6a to c97.6f added</t>
  </si>
  <si>
    <t>L40 formula amended to include check for Welsh status</t>
  </si>
  <si>
    <t>L39 formula amended to include check for Welsh status</t>
  </si>
  <si>
    <t xml:space="preserve">If Tax Status used in calculation = C </t>
  </si>
  <si>
    <t>C</t>
  </si>
  <si>
    <t>WBR_rate</t>
  </si>
  <si>
    <t>WHR_rate</t>
  </si>
  <si>
    <t>WAHR_rate</t>
  </si>
  <si>
    <t xml:space="preserve">c3a.4 changed from "if c3a.1 = 2
c3a.4 = SBR_rate (20%)
else
c3a.4 = BR_rate (20%)
end if"
to
" if c3a.1 = 3
c3a.4 = WBR_rate (20%)
else
if c3a.1 = 2
c3a.4 = SBR_rate (20%)
else
c3a.4 = BR_rate (20%)
end if
end if"
</t>
  </si>
  <si>
    <t>L39 formulas amended to include check for Welsh status</t>
  </si>
  <si>
    <t>L43 Or added for Welsh BR band</t>
  </si>
  <si>
    <t>L44 Or added for Welsh HR band</t>
  </si>
  <si>
    <t>L44A Or added for Welsh AHR band</t>
  </si>
  <si>
    <t>3) C = WTp Welsh taxpayer status</t>
  </si>
  <si>
    <t>Taxpayer status</t>
  </si>
  <si>
    <t>D19</t>
  </si>
  <si>
    <t>J16</t>
  </si>
  <si>
    <t>J19</t>
  </si>
  <si>
    <t>J22</t>
  </si>
  <si>
    <t>c6</t>
  </si>
  <si>
    <t>c5</t>
  </si>
  <si>
    <t>c7</t>
  </si>
  <si>
    <t>Additional Rate rate for Wales</t>
  </si>
  <si>
    <t>If resident-result &lt;= non-resident-result</t>
  </si>
  <si>
    <t>data</t>
  </si>
  <si>
    <t>PGLR</t>
  </si>
  <si>
    <t>PGL_type</t>
  </si>
  <si>
    <t>PGLRPT</t>
  </si>
  <si>
    <t>Post Graduate Loan Plan Type (N.B. BOX NOT ON RETURN)</t>
  </si>
  <si>
    <t>Post graduate Loan Plan type</t>
  </si>
  <si>
    <t>N25</t>
  </si>
  <si>
    <t>N37</t>
  </si>
  <si>
    <t>N41</t>
  </si>
  <si>
    <t>N42</t>
  </si>
  <si>
    <t>D46</t>
  </si>
  <si>
    <t>PT for PGLRPT added</t>
  </si>
  <si>
    <t>PGLRPT added</t>
  </si>
  <si>
    <t>Non-resident Capital Gains Tax (NRCGT) on UK land &amp; property and indirect disposals</t>
  </si>
  <si>
    <t>Total gain chargeable to NRCGT</t>
  </si>
  <si>
    <t>UK residential properties</t>
  </si>
  <si>
    <t>Non-residential UK properties</t>
  </si>
  <si>
    <t>c18.2a</t>
  </si>
  <si>
    <t>Ind_disp</t>
  </si>
  <si>
    <t>New box c18.2a "From CGT52.2"</t>
  </si>
  <si>
    <t>Intermediate rate band</t>
  </si>
  <si>
    <t>Unused Intermediate Rate Band</t>
  </si>
  <si>
    <t>Income above Intermediate Rate Band</t>
  </si>
  <si>
    <t>c25.16a</t>
  </si>
  <si>
    <t>c25.16b</t>
  </si>
  <si>
    <t>c25.16c</t>
  </si>
  <si>
    <t>c25.16d</t>
  </si>
  <si>
    <t>c25.16e</t>
  </si>
  <si>
    <t>c25.16f</t>
  </si>
  <si>
    <t>Income above Basic Rate Band</t>
  </si>
  <si>
    <t>Higher rate band</t>
  </si>
  <si>
    <t>Income above Higher Rate Band</t>
  </si>
  <si>
    <t>c25.16c new "lower of c25.16 and c25.16b"</t>
  </si>
  <si>
    <t>c25.16d new "c25.16c x c3a.4a"</t>
  </si>
  <si>
    <t>c25.16e new "c25.11 minus (c3a.1a + c25.10 + c25.16a)"</t>
  </si>
  <si>
    <t>c25.16f new "c25.16 minus c25.16c"</t>
  </si>
  <si>
    <t>c25.18 changed from "c25.17 minus c25.15" to "c25.17 minus c25.16e"</t>
  </si>
  <si>
    <t>c25.19 changed from "lower of c25.16 and c25.18" to "lower of c25.16f and c25.18"</t>
  </si>
  <si>
    <t>c25.21 changed from "c25.16 minus c25.19" to "c25.16f minus c25.19"</t>
  </si>
  <si>
    <t>c25.23 changed from "c25.14 + c25.20 + c25.22" to "c25.14 + c25.16d + c25.20 + c25.22"</t>
  </si>
  <si>
    <t>new box c18.6a "c18.5 minus (c18.1 + c18.2)"</t>
  </si>
  <si>
    <t>c18.13 changed from "if CGT9 less than 0 (zero)
c18.13 = CGT7 minus CGT9
else
c18.13 = from CGT7
end if"
 to 
"from CGT7"</t>
  </si>
  <si>
    <t>c18</t>
  </si>
  <si>
    <t>c25c26</t>
  </si>
  <si>
    <t>Any gains in box 52.2 from indirect disposals?</t>
  </si>
  <si>
    <t>CGT52.1</t>
  </si>
  <si>
    <t>CGT52.2</t>
  </si>
  <si>
    <t>CGT52.3</t>
  </si>
  <si>
    <t>CGT52.4</t>
  </si>
  <si>
    <t>Direct disposals residential - total gain NRCGT chargeable</t>
  </si>
  <si>
    <t>Direct disposals non-residential - total gain NRCGT chargeable</t>
  </si>
  <si>
    <t>Any gains in CGT52.2 indirect disposals?</t>
  </si>
  <si>
    <t>CGT52.5</t>
  </si>
  <si>
    <t>Tax on gains already paid</t>
  </si>
  <si>
    <t>Allowable losses</t>
  </si>
  <si>
    <t>52.2</t>
  </si>
  <si>
    <t>52.3</t>
  </si>
  <si>
    <t>52.4</t>
  </si>
  <si>
    <t>52.5</t>
  </si>
  <si>
    <t>52.1</t>
  </si>
  <si>
    <t>W24</t>
  </si>
  <si>
    <t>c17</t>
  </si>
  <si>
    <t>UK non-residential properties</t>
  </si>
  <si>
    <t>c18.19a</t>
  </si>
  <si>
    <t>c18.19b</t>
  </si>
  <si>
    <t>c18.16a</t>
  </si>
  <si>
    <t>c18.16b</t>
  </si>
  <si>
    <t>If statement changed above c17.1 changed to "If boxes ((CGT6 + CGT17 + CGT26 + CGT34) minus ((CGT7 + CGT19 + CGT27 + CGT35) minus (CGT41 + CGT43)) + CGT52 + ((52.1 + 52.2) minus 52.5) is greater than zero) or CGT51 is not zero or Null or (box CGT18 is not zero or null)"</t>
  </si>
  <si>
    <t>c18.7 changed from "c18.5 minus (c18.1 + c18.2)" to "c18.5 minus c18.1"</t>
  </si>
  <si>
    <t>c18.8 changed from "c18.5 minus (c18.1 + c18.2 + c18.3)" to "c18.5 minus (c18.1 + c18.3)"</t>
  </si>
  <si>
    <t>c18.6 changed to "set to zero"</t>
  </si>
  <si>
    <t>c18.10 changed to "set to zero"</t>
  </si>
  <si>
    <t>new box c18.16a "From CGT52.5"</t>
  </si>
  <si>
    <t>new box c18.16b "c18.16a minus c18.2"</t>
  </si>
  <si>
    <t>new box c18.19a "c18.2 minus c18.16a"</t>
  </si>
  <si>
    <t>new box c18.19b "c18.2a minus c18.16b"</t>
  </si>
  <si>
    <t>c18.23 changed from "c18.20 + c18.22" to "c18.19b + c18.20 + c18.22"</t>
  </si>
  <si>
    <t>c18.25 changed from "c18.24 minus c18.19" to "c18.24 minus (c18.19 + c18.19a)"</t>
  </si>
  <si>
    <t>c18.27 changed from "c18.19 minus c18.24" to "(c18.19 + c18.19a) minus c18.24"</t>
  </si>
  <si>
    <t>POAs</t>
  </si>
  <si>
    <t>c13.11 changed from "c12.16 minus (c12.3 + c12.7 + c13.8 + NRD36)" to "c12.16 minus (c12.3 + c12.7 + c12.7a + c13.8 + NRD36)"</t>
  </si>
  <si>
    <t>L45 formula amended so line space printed</t>
  </si>
  <si>
    <t>L49 formula amended so line space printed</t>
  </si>
  <si>
    <t>c5.68b</t>
  </si>
  <si>
    <t>c5.69 changed from “c5.46 + c5.58h + c5.64 + c5.68a” to “c5.46 + c5.58h + c5.64 + c5.68a + c5.68b”</t>
  </si>
  <si>
    <t xml:space="preserve">Treth Incwm a Chyfraniadau Yswiriant Gwladol Dosbarth 2 a Dosbarth 4 sy'n ddyledus </t>
  </si>
  <si>
    <t>Components: YPD=4, INC-A=4, INC-B=4, INC-C=4, REL-A=4, REL-B=4, REL-C=4, SLR=4, CBC=4, MAT=4, Emp-A=4, DoB =17/11/1980</t>
  </si>
  <si>
    <t>Components: YPD=2, INC-A=2, INC-B=2, INC-C=2, REL-A=2, REL-B=2, REL-C=2, SLR=2, CBC=2, MAT=2, FIN=1, Emp-A=2, PRO=2, CAL=4, DoB =17/11/1980</t>
  </si>
  <si>
    <t>Components: YPD=5, INC-A=5, INC-B=5, INC-C=5, REL-A=5, REL-B=5, REL-C=5, SLR=5, CBC=5, MAT=5, FIN=1, FSE=5, NI2=10, DoB =17/11/1980</t>
  </si>
  <si>
    <t>Components: YPD=6, INC-A=6, INC-B=6, INC-C=6, REL-A=6, REL-B=6, REL-C=6, SLR=6, CBC=6, MAT=6, FIN=1, NI2=10, DoB =03/01/1957, NIC exempt</t>
  </si>
  <si>
    <t>Components: YPD=9, INC-A=9, INC-B=9, INC-C=9, REL-A=9, REL-B=9, REL-C=9, SLR=9, CBC=9, MAT=9, FIN=1, SSE=9, PRO=9, DoB =17/11/1980</t>
  </si>
  <si>
    <t>Components: YPD=10, INC-A=10, INC-B=10, INC-C=10, REL-A=10, REL-B=10, REL-C=10, SLR=10, CBC=10, MAT=10, FIN=1, DoB =17/11/1980</t>
  </si>
  <si>
    <t>Components: YPD=16, INC-A=16, INC-B=16, INC-C=16, REL-A=16, REL-B=16, REL-C=16, SLR=16, CBC=16, MAT=16, FIN=1, PRO=16, DoB =17/11/1980</t>
  </si>
  <si>
    <t>Components: YPD=19, INC-A=19, INC-B=19, INC-C=19, REL-A=19, REL-B=19, REL-C=19, SLR=19, CBC=19, MAT=19, FIN=1, Emp-A=19, DoB =17/11/1980</t>
  </si>
  <si>
    <t>Components: YPD=20, INC-A=20, INC-B=20, INC-C=20, REL-A=20, REL-B=20, REL-C=20, SLR=20, CBC=20, MAT=20, FIN=1, Emp-A=20, DoB =17/11/1980</t>
  </si>
  <si>
    <t>Components: YPD=21, INC-A=21, INC-B=21, INC-C=21, REL-A=21, REL-B=21, REL-C=21, SLR=21, CBC=21, MAT=21, FIN=1, Emp-A=21, DoB =17/11/1980</t>
  </si>
  <si>
    <t>Components: YPD=22, INC-A=22, INC-B=22, INC-C=22, REL-A=22, REL-B=22, REL-C=22, SLR=22, CBC=22, MAT=22, FIN=1, SSE=22, NI2=4, DoB =17/11/1980</t>
  </si>
  <si>
    <t>Components: YPD=95, INC-A=95, INC-B=95, INC-C=95, REL-A=95, REL-B=95, REL-C=95, SLR=95, CBC=95, MAT=95, FIN=1, FPS=95, NI2=6, PRO=95, DoB =17/11/1980</t>
  </si>
  <si>
    <t>c5.68c</t>
  </si>
  <si>
    <t>new box c5.68b "lower of c5.41 and (c5.1 minus (c5.46 + c5.58h + c5.64 + c5.68a))"</t>
  </si>
  <si>
    <t>new box c5.68c "if (c5.12 + c5.14 + c5.19 + c5.20c) = (c5.37 minus (c5.46 + c5.58h + c5.64 + c5.68a))
and c5.22 &gt; 0 (zero)
c5.68c = lower of c5.68b and (c5.14 + c5.19 + c5.20c)
else
c5.68c = 0 (zero)
end if"</t>
  </si>
  <si>
    <t>c5.17 changed from "HR_band (£115,500) minus c5.5" to "(c3a.3a + c4.59) minus (c5.3 + c5.15 + c5.16)"</t>
  </si>
  <si>
    <t>c5.26 changed from "HR_band (£115,500) minus (c5.5 + c5.20)" to "(c3a.3a + c4.59) minus (c5.3 + c5.11 + c5.24 + c5.25)"</t>
  </si>
  <si>
    <t>c5.70 changed from “larger of (c5.1 minus (c5.67 + c5.68 + c5.69 + c5.41)) and
(c5.48 + c5.58 + c5.58k + c5.66)”
to
“larger of (c5.1 minus (c5.67 + c5.68 + c5.69)) and
((c5.48 + c5.58 + c5.58k + c5.66) minus c5.68b”</t>
  </si>
  <si>
    <t xml:space="preserve">Test cases </t>
  </si>
  <si>
    <t>Temporary test cases 241 to 251 added for NRCGT show and tell.</t>
  </si>
  <si>
    <t>where Scottish and SAHR_rate &gt; AHR_rate</t>
  </si>
  <si>
    <t>Exclusion 101</t>
  </si>
  <si>
    <t>c5.20 changed from "lower of (c5.11 minus (c5.15 + c5.16 + c5.19) and
c5.17)" to 
"lower of (c5.11 minus (c5.15 + c5.16 + c5.19) and
(c5.17 minus c5.19)"</t>
  </si>
  <si>
    <t>c7.13 changed from "if SHR_rate (41%) &lt; HR_rate (40%)
c7.13 = c6.9 + c6.43
else
c7.13 = c6.21 + c6.55
end if"
to
"if c3a.5 &lt; HR_rate (40%)
c7.13 = c6.9 + c6.43
else
c7.13 = c6.21 + c6.55
end if"</t>
  </si>
  <si>
    <t>c7.11 changed from "if SHR_rate (41%) &gt;= HR_rate (40%)
c7.11 = c7.10 x (SHR_rate (41%) minus SBR_rate (20%)) (21%)
else
c7.11 = c7.10 x (HR_rate (40%) minus BR_rate (40%)) (20%)
end if"
to
"if c3a.5 &gt;= HR_rate (40%)
c7.11 = c7.10 x (c3a.5 minus c3a.4)
else
c7.11 = c7.10 x (HR_rate (40%) minus BR_rate (40%)) (20%)
end if"</t>
  </si>
  <si>
    <t>non resident/resident calc changed from "If NON UK RESIDENT (box NRD1 = Y)
set calculation type = non-resident
Calculate boxes c91.1 through c91.35
Calculate boxes c4.64 through c12.21
non-resident-result = c12.18
If resident-result &lt; non-resident-result
set calculation type = resident
Calculate boxes c1.1 through c12.21
end if
end if"
to
"If NON UK RESIDENT (box NRD1 = Y)
set calculation type = non-resident
Calculate boxes c91.1 through c91.35
Calculate boxes c4.64 through c12.21
non-resident-result = c12.18
If resident-result &lt;= non-resident-result
set calculation type = resident
Calculate boxes c1.1 through c12.21
end if
end if"</t>
  </si>
  <si>
    <t>c18.2 changed from "if CGT9 greater than 0 (zero)
c18.2 = from CGT9
else
c18.2 = 0 (zero)
end if"
to
"from CGT52.1"</t>
  </si>
  <si>
    <t>c91</t>
  </si>
  <si>
    <t>c10</t>
  </si>
  <si>
    <t>Exclusion 57</t>
  </si>
  <si>
    <t>Exclusion 106</t>
  </si>
  <si>
    <t>Total available NRCGT losses in the year</t>
  </si>
  <si>
    <t>Residential property and carried interest basic rate</t>
  </si>
  <si>
    <t>Residential property and carried interest</t>
  </si>
  <si>
    <t>c6.41c changed from "if c3a.1 = 1 (rUK)
c6.41c = c4.59
else
c6.41c = lower of c4.59 and (c6.41a minus c6.41b)
end if"
to
"if c3a.1 = 1 (rUK) or 03
c6.41c = c4.59
else
c6.41c = lower of c4.59 and (c6.41a minus c6.41b)
end if"</t>
  </si>
  <si>
    <t>c6.51a changed from "if c3a.1 = 1 (rUK) 
c6.51a = c4.59
else
c6.51a = c6.41c
end if"
to
"if c3a.1 = 1 (rUK) or 03
c6.51a = c4.59
else
c6.51a = c6.41c
end if"</t>
  </si>
  <si>
    <t>c7.9 changed from "if SHR_rate (41%) &gt;= HR_rate (40%)
c7.9 = c6.9 + c6.43
else
c7.9 = c6.21 + c6.55
end if"
to
"if c3a.5 &gt;= HR_rate (40%)
c7.9 = c6.9 + c6.43
else
c7.9 = c6.21 + c6.55
end if"</t>
  </si>
  <si>
    <t>c7.15 changed from "if SHR_rate (41%) &lt; HR_rate (40%)
c7.15 = c7.14 x (SHR_rate (41%) minus SBR_rate (20%)) (21%)
else
c7.15 = c7.14 x (HR_rate (40%) minus BR_rate (40%)) (20%)
end if"
to
"if c3a.5 &lt; HR_rate (40%)
c7.15 = c7.14 x (c3a.5 minus c3a.4)
else
c7.15 = c7.14 x (HR_rate (40%) minus BR_rate (40%)) (20%)
end if"</t>
  </si>
  <si>
    <t>If statement below c17.20 changed to "If box c17.20 = 0 (zero) and
boxes ((CGT6 + CGT17 + CGT26 + CGT34) minus ((CGT7 + CGT19 + CGT27 + CGT35) minus (CGT41 + CGT43)) + CGT52 + ((52.1 + 52.2) minus 52.5) &lt;= 0 (zero)) and
(CGT51 = 0 (zero) or null) and (box CGT18 = zero or null)) no Top Slicing relief is due
set c17.21 to c17.22 to 1"</t>
  </si>
  <si>
    <t>If statement at beginning of stage changed to "If boxes ((CGT6 + CGT17 + CGT26 + CGT34) minus ((CGT7 + CGT19 + CGT27 + CGT35) minus (CGT41 + CGT43)) + CGT52 + ((52.1 + 52.2) minus 52.5) is greater than zero) or (box CGT51 is not zero or null) or (box CGT18 is not zero or null)
Calculate c18.1 to c18.58"</t>
  </si>
  <si>
    <t>Calculation Class 2 maximum</t>
  </si>
  <si>
    <t>Step 5 changed from "Step 4 x 1%" to "Step 4 x 2%"</t>
  </si>
  <si>
    <t>SEES Only</t>
  </si>
  <si>
    <t>Step 4 x 2%</t>
  </si>
  <si>
    <t>Lower_CGT_rate</t>
  </si>
  <si>
    <t>Upper_CGT_rate</t>
  </si>
  <si>
    <t>Lower_CGT_rate_RP_CI</t>
  </si>
  <si>
    <t>Upper_CGT_rate_RP_CI</t>
  </si>
  <si>
    <t>data (+ Name Manager)</t>
  </si>
  <si>
    <r>
      <t>"</t>
    </r>
    <r>
      <rPr>
        <sz val="10"/>
        <color rgb="FFFF0000"/>
        <rFont val="Arial"/>
        <family val="2"/>
      </rPr>
      <t>l</t>
    </r>
    <r>
      <rPr>
        <sz val="10"/>
        <rFont val="Arial"/>
        <family val="2"/>
      </rPr>
      <t>ower_CGT_rate" changed to "</t>
    </r>
    <r>
      <rPr>
        <sz val="10"/>
        <color rgb="FF008080"/>
        <rFont val="Arial"/>
        <family val="2"/>
      </rPr>
      <t>L</t>
    </r>
    <r>
      <rPr>
        <sz val="10"/>
        <rFont val="Arial"/>
        <family val="2"/>
      </rPr>
      <t>ower_CGT_rate"</t>
    </r>
  </si>
  <si>
    <r>
      <t>"</t>
    </r>
    <r>
      <rPr>
        <sz val="10"/>
        <color rgb="FFFF0000"/>
        <rFont val="Arial"/>
        <family val="2"/>
      </rPr>
      <t>u</t>
    </r>
    <r>
      <rPr>
        <sz val="10"/>
        <rFont val="Arial"/>
        <family val="2"/>
      </rPr>
      <t>pper_CGT_rate" changed to "</t>
    </r>
    <r>
      <rPr>
        <sz val="10"/>
        <color rgb="FF008080"/>
        <rFont val="Arial"/>
        <family val="2"/>
      </rPr>
      <t>U</t>
    </r>
    <r>
      <rPr>
        <sz val="10"/>
        <rFont val="Arial"/>
        <family val="2"/>
      </rPr>
      <t>pper_CGT_rate"</t>
    </r>
  </si>
  <si>
    <t>Note this results in rate in the Requirements 'Tax rates, rate bands and parameters' matching c18.47</t>
  </si>
  <si>
    <r>
      <t>"</t>
    </r>
    <r>
      <rPr>
        <sz val="10"/>
        <color rgb="FFFF0000"/>
        <rFont val="Arial"/>
        <family val="2"/>
      </rPr>
      <t>l</t>
    </r>
    <r>
      <rPr>
        <sz val="10"/>
        <rFont val="Arial"/>
        <family val="2"/>
      </rPr>
      <t>ower_CGT_rate_RP_CI" changed to "</t>
    </r>
    <r>
      <rPr>
        <sz val="10"/>
        <color rgb="FF008080"/>
        <rFont val="Arial"/>
        <family val="2"/>
      </rPr>
      <t>L</t>
    </r>
    <r>
      <rPr>
        <sz val="10"/>
        <rFont val="Arial"/>
        <family val="2"/>
      </rPr>
      <t>ower_CGT_rate_RP_CI"</t>
    </r>
  </si>
  <si>
    <r>
      <t>"</t>
    </r>
    <r>
      <rPr>
        <sz val="10"/>
        <color rgb="FFFF0000"/>
        <rFont val="Arial"/>
        <family val="2"/>
      </rPr>
      <t>u</t>
    </r>
    <r>
      <rPr>
        <sz val="10"/>
        <rFont val="Arial"/>
        <family val="2"/>
      </rPr>
      <t>pper_CGT_rate_RP_CI" changed to "</t>
    </r>
    <r>
      <rPr>
        <sz val="10"/>
        <color rgb="FF008080"/>
        <rFont val="Arial"/>
        <family val="2"/>
      </rPr>
      <t>U</t>
    </r>
    <r>
      <rPr>
        <sz val="10"/>
        <rFont val="Arial"/>
        <family val="2"/>
      </rPr>
      <t>pper_CGT_rate_RP_CI"</t>
    </r>
  </si>
  <si>
    <t>Note this results in rate in the Requirements 'Tax rates, rate bands and parameters' changing to match c18.42</t>
  </si>
  <si>
    <t>Note this results in rate in the Requirements 'Tax rates, rate bands and parameters' changing to match to match c18.49</t>
  </si>
  <si>
    <t>Note this results in rate in the Requirements 'Tax rates, rate bands and parameters' changing to match c18.44</t>
  </si>
  <si>
    <t>c5.55.25 formula in cell updated to match text above cell</t>
  </si>
  <si>
    <t>Update</t>
  </si>
  <si>
    <t>Updated to include new test case table</t>
  </si>
  <si>
    <t>NIC_exempt changed to NIC_ex_set</t>
  </si>
  <si>
    <t>update</t>
  </si>
  <si>
    <t>DTA used instead of DA</t>
  </si>
  <si>
    <t>Election to transfer personal allowance (box MAT_1 to MAT_5 all completed)</t>
  </si>
  <si>
    <t>c5.20a changed from "HR_band (£112,500) minus c5.6" to "from c4.79</t>
  </si>
  <si>
    <t>Exclusion 56</t>
  </si>
  <si>
    <t>c4</t>
  </si>
  <si>
    <t>c4.67 changed rom "Total boxes c4.64 to c4.66" to "c4.64 + c4.65 + c4.66"</t>
  </si>
  <si>
    <t>4.76a brackets added to formula to match step</t>
  </si>
  <si>
    <t>4.76b brackets added to formula to match step</t>
  </si>
  <si>
    <t>c5.48 changed so sum runs in numerical order</t>
  </si>
  <si>
    <t>No change to sum - Clarification only</t>
  </si>
  <si>
    <t>c9</t>
  </si>
  <si>
    <t>c9.40 changed to use "larger of" instead of "higher of"</t>
  </si>
  <si>
    <t>No change to instruction - Clarification only</t>
  </si>
  <si>
    <t>c11</t>
  </si>
  <si>
    <t>changed to show all boxes in the sum rather than just "c11.8 to c11.15 + c11.25 to c11.30</t>
  </si>
  <si>
    <t>c14c15</t>
  </si>
  <si>
    <t>c15.2 formula updated to match step</t>
  </si>
  <si>
    <t xml:space="preserve">c91.2 formula updated to match step so sum runs in numerical order </t>
  </si>
  <si>
    <t>c5.25 changed so sum runs in numerical order</t>
  </si>
  <si>
    <t xml:space="preserve">c5.67 formula updated to match step so sum runs in numerical order </t>
  </si>
  <si>
    <t xml:space="preserve">c5.66.3 formula updated to match step so sum runs in numerical order </t>
  </si>
  <si>
    <t xml:space="preserve">c5.58.5 formula updated to match step so sum runs in numerical order </t>
  </si>
  <si>
    <t xml:space="preserve">c27.17 formula updated to match step so sum runs in numerical order </t>
  </si>
  <si>
    <t>"If any box in this stage is negative substitute zero" added to top of stage 26</t>
  </si>
  <si>
    <t>"If any box in this stage is negative substitute zero" added to top of stage 22 and 23</t>
  </si>
  <si>
    <t>"If any box in this stage is negative substitute zero" added to top of stage 15</t>
  </si>
  <si>
    <t>c21c23</t>
  </si>
  <si>
    <t>So line appears in word doc</t>
  </si>
  <si>
    <t>8.1</t>
  </si>
  <si>
    <t>75.1</t>
  </si>
  <si>
    <t>c24</t>
  </si>
  <si>
    <t>c24.4 updated so FPS41 is returned as zero when blank</t>
  </si>
  <si>
    <t>c24.5 updated so FPS41 is returned as zero when blank</t>
  </si>
  <si>
    <t>Formula now refers to FPS41 via cell A27</t>
  </si>
  <si>
    <t>Formula now refers to FPS60 via cell A29</t>
  </si>
  <si>
    <t>Basic rate for Wales</t>
  </si>
  <si>
    <t>Higher rate for Wales</t>
  </si>
  <si>
    <t>Higher rate UK rate for Scotland</t>
  </si>
  <si>
    <t>If statement before c27.44 changed from "if SLR1 = N
c27.44 = 0 (zero)
else
Calculate c27.44"
to "if SLR1 = Y
and
If pseudo box SLRPT = 01 or 02
Calculate c27.44
else
c27.44 = 0 (zero)"</t>
  </si>
  <si>
    <t>New IF before c27.45 "if SLR1 = Y
and
If pseudo box PGLRPT = 03
Calculate c27.45
else
c27.45 = 0 (zero)"</t>
  </si>
  <si>
    <t>New box c27.43a "If pseudo box PGLRPT = 03
c27.40a minus PGL_limit (£21,000)
else
c27.43a 0 (zero)"</t>
  </si>
  <si>
    <t>New box 27.8a "If pseudo box PGLRPT = 03
and
all instances c27.6c are greater than PG_limit (£21,000)
c27.8a = all instances c27.6c minus PG_limit (£21,000)
else
c27.8a = 0 (zero)
end if"</t>
  </si>
  <si>
    <t>c27.17 changed from "c27.8 + c27.9 + c27.10 + c27.11 + 
c27.12 + c27.13 + c27.14 + c27.15 + c27.16 + c27.16a" to "c27.9 + c27.10 + c27.11 + 
c27.12 + c27.13 + c27.14 + c27.15 + c27.16 + c27.16a"</t>
  </si>
  <si>
    <t>c3a.1 changed from "If Tax Status used in calculation = S 
c3a.1 = 2
else
c3a.1 = 1
end if
to "If Tax Status used in calculation = S 
c3a.1 = 2
else
If Tax Status used in calculation = C
c3a.1 = 3
else
c3a.1 = 1
end if
end if"</t>
  </si>
  <si>
    <t>c3a.5 changed from "if c3a.1 = 2
c3a.5 = SHR_rate (41%)
else
c3a.5 = HR_rate (40%)
end if"
to
"if c3a.1 = 3
c3a.5 = WHR_rate (40%)
else
if c3a.1 = 2
c3a.5 = SHR_rate (41%)
else
c3a.5 = HR_rate (40%)
end if
end if"</t>
  </si>
  <si>
    <t>c3a.6 changed from "if c3a.1 = 2
c3a.6 = SAHR_rate (46%)
else
c3a.6 = AHR_rate (45%)
end if"
to
"if c3a.1 = 3
c3a.6 = WAHR_rate (45%)
else
if c3a.1 = 2
c3a.6 = SAHR_rate (46%)
else
c3a.6 = AHR_rate (45%)
end if
end if"</t>
  </si>
  <si>
    <t>L9a</t>
  </si>
  <si>
    <t>Interest from partnerships</t>
  </si>
  <si>
    <t>L9b</t>
  </si>
  <si>
    <t>Dividends from partnerships</t>
  </si>
  <si>
    <t>L11B</t>
  </si>
  <si>
    <t>Foreign savings</t>
  </si>
  <si>
    <t>income-D-(PTR)</t>
  </si>
  <si>
    <t>income-S-(PTR)</t>
  </si>
  <si>
    <t>income-DV-(PTR)</t>
  </si>
  <si>
    <t>Foreign-savings</t>
  </si>
  <si>
    <t>L9 changed to "c1.27"</t>
  </si>
  <si>
    <t>New line L9a added</t>
  </si>
  <si>
    <t>New line L9b added</t>
  </si>
  <si>
    <t>L11 changed to "c1.35 + c1.40 + c1.44"</t>
  </si>
  <si>
    <t>New line L11B added</t>
  </si>
  <si>
    <t>VBA macro Sub Draw_IRCX() uses 'Range ("A1:I100") .Copy". Will need to change VBA macro if rows exceed row 100.</t>
  </si>
  <si>
    <t>c1.35 + c1.40 + c1.44</t>
  </si>
  <si>
    <t>c2.9 + c3.16</t>
  </si>
  <si>
    <t>c5.2a changed from "BR_band" to "BR_band + c4.59"</t>
  </si>
  <si>
    <t>Exclusion 96</t>
  </si>
  <si>
    <t>c5.4b changed to "Set to zero"</t>
  </si>
  <si>
    <t>c5.14 changed from "lower of c5.13 and ((c5.2a + c5.4b) minus c5.3)"to "lower of c5.13 and (c5.2 minus c5.3)"</t>
  </si>
  <si>
    <t>c5.16 changed from "lower of (c5.11 minus c5.15) and ((c5.2a + c5.4b) minus (c5.3a + c5.4 + c5.4a + c5.5 + c5.15))" to "lower of (c5.11 minus c5.15) and (c5.2a minus (c5.3 + c5.15))"</t>
  </si>
  <si>
    <t>c5.24 changed from "lower of (c5.23 and ((c5.2a + c5.4b) minus (c5.3a + c5.4 + c5.4a + c5.15 + c5.16)))" to "lower of (c5.23 and (c5.2a minus (c5.3 + c5.11)))"</t>
  </si>
  <si>
    <t>c5.25 changed from "lower of ((c5.22 minus c5.24) and ((c5.2a + c5.4b) minus (c5.3a + c5.4 + c5.4a + c5.15 + c5.5 + c5.16 + c5.24)))" to "lower of (c5.22 minus c5.24) and (c5.2a minus (c5.3 + c5.11 + c5.24))"</t>
  </si>
  <si>
    <t>IR</t>
  </si>
  <si>
    <t>L114 amended to include Investors' relief</t>
  </si>
  <si>
    <t>c5.58d changed to "Set to zero"</t>
  </si>
  <si>
    <t>c6.7c changed to "Set to zero"</t>
  </si>
  <si>
    <t>c6.17a changed to "Set to zero"</t>
  </si>
  <si>
    <t>Exclusion 98</t>
  </si>
  <si>
    <t>struck through items un-struck through to match SA302 as still to be shown even if set to zreo/not used</t>
  </si>
  <si>
    <t>c6.26 changed from "lower of (c6.23 and (BR_band + c6.17a) minus (c6.1 + c6.11))" to "lower of (c6.23 and (BR_band + c4.59) minus (c6.6 + c6.9 + c6.14 + c6.17 + c6.18))"</t>
  </si>
  <si>
    <t>c6.40 changed from "lower of (c6.35 minus c6.36) and ((c3a.2 + c6.17a) minus c6.37)" to "lower of c6.35 and ((c3a.2 + c4.59) minus (c6.6 + c6.14 + c6.17 + c6.18 + c6.26))"</t>
  </si>
  <si>
    <t>c6.41c changed to "Set to zero"</t>
  </si>
  <si>
    <t>c6.51a changed to "Set to zero"</t>
  </si>
  <si>
    <t>c6.51b changed from "lower of (c6.45 minus c6.48) and
((BR_band (£37,500) + c6.51a) minus
(c6.1 + c6.11 + c6.23 +  c6.35 + c6.48))"
to
"lower of (c6.45 minus c6.48) and
((BR_band (£37,500) + c4.59) minus
(c6.1 + c6.11 + c6.23 +  c6.35 + c6.48))"</t>
  </si>
  <si>
    <t>c6.17b changed from "lower of (c6.11 minus c6.14) and
((BR_band (£37,500) + c4.59)
minus (c6.1 + c6.14 + c6.17a))"
to
"lower of (c6.11 minus c6.14) and
((BR_band (£37,500) + c4.59)
minus (c6.1 + c6.14))"</t>
  </si>
  <si>
    <t>and NRD1 = N</t>
  </si>
  <si>
    <t>If statement at start of stage updated to include "and NRD1 = N" If (FOR43 + AOI4 + AOI6 + AOI8) is greater than 0 (zero)
and NRD1 = N</t>
  </si>
  <si>
    <t>c17.48 formula updated to include if non-resident = 0</t>
  </si>
  <si>
    <t>Tester only</t>
  </si>
  <si>
    <t>c11.1 set to "This box can be negative"</t>
  </si>
  <si>
    <t>c11.3 set to "This box can be negative"</t>
  </si>
  <si>
    <t>Exclusion 99</t>
  </si>
  <si>
    <t>c5.66a</t>
  </si>
  <si>
    <t>c5.66b</t>
  </si>
  <si>
    <t>c5.66c</t>
  </si>
  <si>
    <t>c5.66d</t>
  </si>
  <si>
    <t>c5.66e</t>
  </si>
  <si>
    <t>c5.66f</t>
  </si>
  <si>
    <t>c5.66g</t>
  </si>
  <si>
    <t>c5.66h</t>
  </si>
  <si>
    <t>c5.66i</t>
  </si>
  <si>
    <t>c5.66j</t>
  </si>
  <si>
    <t>c5.66k</t>
  </si>
  <si>
    <t>c5.66l</t>
  </si>
  <si>
    <t>c5.66m</t>
  </si>
  <si>
    <t>c5.66n</t>
  </si>
  <si>
    <t>c5.66o</t>
  </si>
  <si>
    <t>c5.66p</t>
  </si>
  <si>
    <t>c5.66q</t>
  </si>
  <si>
    <t>Taxable NS</t>
  </si>
  <si>
    <t>Taxable Sav</t>
  </si>
  <si>
    <t>SR_available</t>
  </si>
  <si>
    <t>MaxSR_band</t>
  </si>
  <si>
    <t>SavNil</t>
  </si>
  <si>
    <t>BR_band available to Sav</t>
  </si>
  <si>
    <t>Max SavNilBR_band</t>
  </si>
  <si>
    <t>Max SavNilHR_band</t>
  </si>
  <si>
    <t>BR_band available to CEG</t>
  </si>
  <si>
    <t>CEGNil</t>
  </si>
  <si>
    <t>Max CEGNilBR_band</t>
  </si>
  <si>
    <t>Max CEGNilHR_band</t>
  </si>
  <si>
    <t>Allowances from Div</t>
  </si>
  <si>
    <t>Allowances from NS</t>
  </si>
  <si>
    <t>c96.12 formula updated to match human readable text (was pointing to c9.30 instead of c9.28 and still inluded c10.4 and c10.5)</t>
  </si>
  <si>
    <t>New box c5.66d “lower of c5.66b and c5.66c”</t>
  </si>
  <si>
    <t>New box c5.66e “c5.14 + c5.19 + c5.20c”</t>
  </si>
  <si>
    <t>New box c5.66f “c5.35 minus (c5.44 + c5.52h + c5.58.7 + c5.62 + c5.66.7)”</t>
  </si>
  <si>
    <t>New box c5.66g “c5.2a minus c5.66f”</t>
  </si>
  <si>
    <t>New box c5.66h “lower of c5.66e and c5.66g”</t>
  </si>
  <si>
    <t>New box c5.66i “c5.66e minus c5.66h”</t>
  </si>
  <si>
    <t>New box c5.66j “c5.2a minus (c4.74 minus c3.18)”</t>
  </si>
  <si>
    <t>New box c5.66k “lower of c4.79 and c5.41”</t>
  </si>
  <si>
    <t>New box c5.66l “lower of c5.66j and c5.66k”</t>
  </si>
  <si>
    <t>New box c5.66m “c5.66k minus c5.66l”</t>
  </si>
  <si>
    <t>New box c5.66n “c5.48 + c5.58 + c5.58k + c5.66”</t>
  </si>
  <si>
    <t>New box c5.66p “c5.44 + c5.52h + c5.58.7 + c5.62 + c5.66.7”</t>
  </si>
  <si>
    <t>New box c5.66q “if (c5.66d + c5.66p) &gt;= c5.66b and
c5.66m minus c5.66i &gt; c5.66d
c5.66q = lower of (c5.37 minus (c5.46 + c5.52l + c5.64 + c5.68a)) and c5.66p
else
c5.66q = 0 (zero)
end if”</t>
  </si>
  <si>
    <t>New box c5.66a “(c5.35 + c5.42) minus (c5.44 + c5.52h + c5.58.7 + c5.62 + c5.66.7)”</t>
  </si>
  <si>
    <t>New box c5.66b “c5.37 minus (c5.46 + c5.52l + c5.64 + c5.68a))”</t>
  </si>
  <si>
    <t>New box c5.66c “SR_band (£5,000) minus c5.66a”</t>
  </si>
  <si>
    <t>c5.67 changed from “c5.44 + c5.52h + c5.58d + c5.58.7 + c5.62 + c5.66.7” to “(c5.44 + c5.52h + c5.58d + c5.58.7 + c5.62 + c5.66.7) minus c5.66q”</t>
  </si>
  <si>
    <t>Exclusion 101 change now deleted</t>
  </si>
  <si>
    <t>new box c5.68b made in earlier version of v1.0.0 now deleted</t>
  </si>
  <si>
    <t xml:space="preserve">new box c5.68c made in earlier version of v1.0.0 now deleted
</t>
  </si>
  <si>
    <t xml:space="preserve">c5.69 changed from “c5.46 + c5.58h + c5.64 + c5.68a” to “c5.46 + c5.52l + c5.64 + c5.68a + c5.66o + c5.66q” </t>
  </si>
  <si>
    <t>Exclusion 101 &amp; reference to c5.41 removed = Exclusion 102 change now deleted</t>
  </si>
  <si>
    <t>c5.70 changed from “larger of (c5.1 minus (c5.67 + c5.68 + c5.69 + c5.41)) and
(c5.48 + c5.58 + c5.58k + c5.66)” to “larger of
(c5.1 minus (c5.67 + c5.68 + c5.69)) and
((c5.48 + c5.58 + c5.58k + c5.66) minus c5.66o)”</t>
  </si>
  <si>
    <t>Exclusion 103</t>
  </si>
  <si>
    <t>c5.52b changed from "lower of (c5.1 minus (c5.47 + c5.48 + c5.52)) and c5.52a" to "c5.52a minus c5.30"</t>
  </si>
  <si>
    <t>c5.52c changed from "lower of c5.12 and c5.52b" to "lower of (((c5.3 + (c5.11 minus c5.15)) minus c5.52b) and (c5.52a minus c5.52b))"</t>
  </si>
  <si>
    <t>NS in HR_band/SIR_band+SHR_band</t>
  </si>
  <si>
    <t>c5.52e2 changed from "lower of (c5.35 minus c5.52e) and (c5.52b minus c5.52e)" to "Set to zero"</t>
  </si>
  <si>
    <t>c5.52e3 changed from "lower of c5.52e2 and c3a.2" to "Set to zero"</t>
  </si>
  <si>
    <t>c5.52e4 changed from "c5.52e3 x c3a.4" to "Set to zero"</t>
  </si>
  <si>
    <t>c5.52e5 changed from "lower of (c5.11 minus (c5.15 + c5.19 + c5.20c)) and (c5.52b minus (c5.52e + c5.52e3))" to "Set to zero"</t>
  </si>
  <si>
    <t>c5.52e6 changed from "c5.52e5 x BR_rate (20%)" to "Set to zero"</t>
  </si>
  <si>
    <t>c5.52e7 changed from "c5.35 minus (c5.52e + c5.52e3 + c5.52e5)" to "Set to zero"</t>
  </si>
  <si>
    <t>c5.52e8 changed from "c5.52b minus (c5.52e + c5.52e3 + c5.52e5)" to "Set to zero"</t>
  </si>
  <si>
    <t>c5.52e9 changed from "lower of c5.52e7 and c5.52e8" to "Set to zero"</t>
  </si>
  <si>
    <t>c5.52e10 changed from "(lower of c5.52e9 and c3a.1a) x SSR_rate (19%)" to "Set to zero"</t>
  </si>
  <si>
    <t>c5.52g changed from "if c5.52f = 0 (zero), c5.52g = 0 (zero), else, c5.52g = c5.52f divided by c5.52b, end if" to "lower of (c5.1 minus (c5.47 + c5.48 + c5.50 + c5.52c)) and c5.52f"</t>
  </si>
  <si>
    <t>SR_band available</t>
  </si>
  <si>
    <t>More beneficial to keep PSA Nil in HR_band?</t>
  </si>
  <si>
    <t>c5.52j changed from "lower of (c5.1 minus (c5.47 + c5.48 + c5.52h)) and c5.34c" to "larger of ((c5.49 + c5.51) and c5.52h) minus c5.52h"</t>
  </si>
  <si>
    <t>c5.52k changed from "(c5.3a + c5.4 + c5.4a + c5.5 + c5.15 + c5.16 + c5.19 + c5.20) minus c5.1" to "lower of c5.52i and c5.52j"</t>
  </si>
  <si>
    <t>c5.52l changed from "c5.2 minus c5.52k" to "lower of c5.52k and (c5.37 minus c5.46)"</t>
  </si>
  <si>
    <t>c5.54a changed from "Set to zero" to "c5.35 minus (c5.44 + c5.52h)"</t>
  </si>
  <si>
    <t>c5.54a1 changed from "Set to zero" to "c5.37 minus (c5.46 + c5.52l)"</t>
  </si>
  <si>
    <t>c5.54b changed from "Set to zero" to "lower of c5.54a1 and SR_band (£5,000)"</t>
  </si>
  <si>
    <t>c5.54c changed from "Set to zero" to "lower of c5.54b and (SR_band (£5,000) minus c5.54a)"</t>
  </si>
  <si>
    <t>c5.55.8 changed from "lower of (c5.55 and c5.55.5) x DivBR_rate (7.5%)" to "lower of (c5.55.6 and c5.55.5) x DivBR_rate (7.5%)"</t>
  </si>
  <si>
    <t>c5.55.9 changed from "(c5.55 minus (lower of c5.55 and c5.55.5)) x DivHR_rate (32.5%)" to "(c5.55.6 minus (lower of c5.55.6 and c5.55.5)) x DivHR_rate (32.5%)"</t>
  </si>
  <si>
    <t>NS Income after Allcs</t>
  </si>
  <si>
    <t>Sav Income after Allcs</t>
  </si>
  <si>
    <t>Savings Starter rate</t>
  </si>
  <si>
    <t>Allcs offered to NS</t>
  </si>
  <si>
    <t>Allcs offered to Sav</t>
  </si>
  <si>
    <t>c5.55.11 changed from "lower of SR_band (£5,000) and ((c5.1 + SR_band (£5,000)) minus c5.3)" to "lower of c5.54a and c3a.1a"</t>
  </si>
  <si>
    <t>NS income in SSR_rate</t>
  </si>
  <si>
    <t>NS income in BR_rate/SBR_rate</t>
  </si>
  <si>
    <t>c5.55.12 changed from "lower of SR_band (£5,000) and (((c5.1 minus c5.55) + SR_band (£5,000)) minus c5.3)" to "lower of (c5.54a minus c5.55.11) and c5.2"</t>
  </si>
  <si>
    <t>c5.55.13 changed from "c5.1 minus (c5.47 + c5.48 + c5.50 + c5.55)" to "lower of (c5.54a minus (c5.55.11 + c5.55.12)) and c3a.2a"</t>
  </si>
  <si>
    <t>NS income in SIR_rate</t>
  </si>
  <si>
    <t>NS income in HR_rate/SHR_rate</t>
  </si>
  <si>
    <t>c5.55.14 changed from "lower of (c5.12 and (c5.3 minus c5.55.13))" to "lower of (c5.54a minus (c5.55.11 + c5.55.12 + c5.55.13)) and c3a.3"</t>
  </si>
  <si>
    <t>c5.55.15 changed from "lower of (c5.55.14 and ((c5.49 + c5.51 + c5.53 + SR_band (£5,000)) minus c5.3)) x BR_rate (20%)" to "lower of (c5.54a1 minus c5.54c) and c4.79"</t>
  </si>
  <si>
    <t>c5.55.16 changed from "lower of c5.55 and c3a.2a" to "lower of c5.55.15 and (c5.2a minus c5.54a)"</t>
  </si>
  <si>
    <t>Sav income in PSA BR_rate</t>
  </si>
  <si>
    <t>Sav income in BR_rate</t>
  </si>
  <si>
    <t>c5.55.17 changed from "lower of (c5.35 minus (c3a.1a + c3a.2)) and (c5.55 minus (c3a.1a + c3a.2))" to "lower of (c5.54a1 minus (c5.54c + c5.55.16)) and (c5.2a minus (c5.54a + c5.54c + c5.55.16))"</t>
  </si>
  <si>
    <t>c5.55.18 changed from "c5.55.17 x SIR_rate (21%)" to "(c3a.3a + c4.59) minus (c5.54a + c5.54c + c5.55.16 + c5.55.17)"</t>
  </si>
  <si>
    <t>c5.55.19 changed from "lower of (c5.35 minus c5.55.17) and (c5.55 minus c5.55.17)" to "lower of (c5.55.18 and (c4.79 minus c5.55.16))"</t>
  </si>
  <si>
    <t>Sav income in PSA HR_rate</t>
  </si>
  <si>
    <t>c5.55.20 changed from "lower of c5.55.19 and c3a.2" to "lower of c5.55.19 and (c5.54a1 minus (c5.54c + c5.55.16 + c5.55.17))"</t>
  </si>
  <si>
    <t>c5.55.21 changed from "c5.55.20 x c3a.4" to "lower of (c5.54a1 minus (c5.54c + c5.55.16 + c5.55.17 + c5.55.20) and c5.55.18"</t>
  </si>
  <si>
    <t>Sav income in HR_rate</t>
  </si>
  <si>
    <t>NS Income after Allcs, inc Allcs offered to Div</t>
  </si>
  <si>
    <t>c5.55.22 changed from "lower of (c5.11 minus (c5.15 + c5.19 + c5.20c)) and (c5.55 minus (c5.55.17 + c5.55.20))" to "c5.54a minus c5.55.6"</t>
  </si>
  <si>
    <t>c5.55.23 changed from "c5.55.22 x BR_rate (20%)" to "lower of c5.55.22 and c3a.1a"</t>
  </si>
  <si>
    <t>c5.55.24 changed from "c5.35 minus (c5.55.17 + c5.55.20 + c5.55.22)" to "lower of (c5.55.22 minus c5.55.23) and c5.2"</t>
  </si>
  <si>
    <t>c5.55.25 changed from "c5.55 minus (c5.55.17 + c5.55.20 + c5.55.22)" to "lower of (c5.55.22 minus (c5.55.23 + c5.55.24)) and c3a.2a"</t>
  </si>
  <si>
    <t>c5.55.26 changed from "lower of c5.55.24 and c5.55.25" to "lower of (c5.55.22 minus (c5.55.23 + c5.55.24 + c5.55.25)) and c3a.3"</t>
  </si>
  <si>
    <t>c5.55.27 changed from "(lower of c5.55.26 and c3a.1a) x SSR_rate (19%)" to "lower of c5.54a1 and SR_band (£5,000)"</t>
  </si>
  <si>
    <t>c5.55.28 changed from "c5.55.15 + c5.55.18 + c5.55.21 + c5.55.23 + c5.55.27" to "lower of c5.55.27 and (SR_band (£5,000) minus c5.55.22)"</t>
  </si>
  <si>
    <t>c5.55.29</t>
  </si>
  <si>
    <t>c5.55.30</t>
  </si>
  <si>
    <t>c5.55.31</t>
  </si>
  <si>
    <t>c5.55.32</t>
  </si>
  <si>
    <t>c5.55.33</t>
  </si>
  <si>
    <t>c5.55.34</t>
  </si>
  <si>
    <t>c5.55.35</t>
  </si>
  <si>
    <t>c5.55.36</t>
  </si>
  <si>
    <t>c5.55.37</t>
  </si>
  <si>
    <t>c5.55.38</t>
  </si>
  <si>
    <t>c5.55.39</t>
  </si>
  <si>
    <t>c5.55.40</t>
  </si>
  <si>
    <t>c5.55.41</t>
  </si>
  <si>
    <t>c5.55.42</t>
  </si>
  <si>
    <t>NS Scottish Starter rate</t>
  </si>
  <si>
    <t>NS Basic/Scottish Basic rate</t>
  </si>
  <si>
    <t>NS Scottish Intermediate rate</t>
  </si>
  <si>
    <t>NS Higher/Scottish Higher rate</t>
  </si>
  <si>
    <t>Sav Basic rate</t>
  </si>
  <si>
    <t>Sav Higher rate</t>
  </si>
  <si>
    <t>c5.55.29 new "lower of (c5.54a1 minus c5.55.28) and c4.79"</t>
  </si>
  <si>
    <t>c5.55.30 new "lower of c5.55.29 and (c5.2a minus c5.55.24)"</t>
  </si>
  <si>
    <t>c5.55.31 new "lower of (c5.54a1 minus (c5.55.28 + c5.55.30)) and (c5.2a minus (c5.55.22 + c5.55.28 + c5.55.30))"</t>
  </si>
  <si>
    <t>c5.55.32 new "(c3a.3a + c4.59) minus (c5.55.22 + c5.55.28 + c5.55.30 + c5.55.31)"</t>
  </si>
  <si>
    <t>c5.55.33 new "lower of (c5.55.32 and (c4.79 minus c5.55.30))"</t>
  </si>
  <si>
    <t>c5.55.34 new "lower of c5.55.33 and (c5.54a1 minus (c5.55.28 + c5.55.30 + c5.55.31))"</t>
  </si>
  <si>
    <t>c5.55.35 new "lower of (c5.54a1 minus (c5.55.28 + c5.55.30 + c5.55.31 + c5.55.34) and c5.55.32"</t>
  </si>
  <si>
    <t>c5.55.37 new "(c5.55.12 minus c5.55.24) x c3a.4"</t>
  </si>
  <si>
    <t>c5.55.38 new "(c5.55.13 minus c5.55.25) x c3a.4a"</t>
  </si>
  <si>
    <t>c5.55.39 new "(c5.55.14 minus c5.55.26) x c3a.5"</t>
  </si>
  <si>
    <t>c5.55.40 new "(c5.55.17 minus c5.55.31) x BR_rate (20%)"</t>
  </si>
  <si>
    <t>c5.55.41 new "(c5.55.18 minus c5.55.32) x HR_rate (40%)"</t>
  </si>
  <si>
    <t>c5.55.42 new "c5.55.36 + c5.55.37 + c5.55.38 + c5.55.39 + c5.55.40 + c5.55.41"</t>
  </si>
  <si>
    <t>c5.56 changed from "If c5.55.28 larger than c5.55.10,c5.56 = c5.53, else, c5.56 = 0 (zero), end if" to "If c5.55.42 larger than c5.55.10,c5.56 = c5.55.6, else, c5.56 = 0 (zero), end if"</t>
  </si>
  <si>
    <t>c5.56k</t>
  </si>
  <si>
    <t>c5.56l</t>
  </si>
  <si>
    <t>c5.56m</t>
  </si>
  <si>
    <t>c5.56n</t>
  </si>
  <si>
    <t>c5.56o</t>
  </si>
  <si>
    <t>c5.56p</t>
  </si>
  <si>
    <t>c5.55a</t>
  </si>
  <si>
    <t>c5.49a</t>
  </si>
  <si>
    <t>c5.49a new "lower of (c5.36 minus c5.45) and c5.34c"</t>
  </si>
  <si>
    <t>Exclusion 85</t>
  </si>
  <si>
    <t>c5.50 changed from "lower of (c5.1 minus (c5.47 + c5.48b)) and c5.49" to "lower of (c5.1 minus (c5.47 + c5.48b)) and c5.49a"</t>
  </si>
  <si>
    <t>Exclusion 90</t>
  </si>
  <si>
    <t>Div Income in basic rate band</t>
  </si>
  <si>
    <t>Reduction of savings tax</t>
  </si>
  <si>
    <t>c5.56.1 changed from Set to zero to c5.54a minus c5.56</t>
  </si>
  <si>
    <t>c5.56.2 changed from Set to zero to c5.54a1 minus c5.55.7</t>
  </si>
  <si>
    <t>c5.56b changed from Set to zero to lower of c5.23 and c5.56a</t>
  </si>
  <si>
    <t>c5.56c changed from Set to zero to c5.56a minus c5.56b</t>
  </si>
  <si>
    <t>c5.56c1 changed from Set to zero to lower of (c5.55.7 and c5.56c) x DivBR_rate (7.5%)</t>
  </si>
  <si>
    <t>c5.56c2 changed from Set to zero to (c5.55.7 minus (lower of c5.55.7 and c5.56c)) x DivHR_rate (32.5%)</t>
  </si>
  <si>
    <t>c5.56d changed from Set to zero to c5.56c1 + c5.56c2</t>
  </si>
  <si>
    <t>c5.56e changed from Set to zero to lower of c5.56.2 and SR_band (£5,000)</t>
  </si>
  <si>
    <t>c5.56e1 changed from Set to zero to lower of c5.56e and (SR_band (£5,000) minus c5.56.1)</t>
  </si>
  <si>
    <t>c5.56f changed from Set to zero to lower of (c5.56.2 minus c5.56e1) and c4.79</t>
  </si>
  <si>
    <t>c5.56g changed from Set to zero to lower of c5.56f and (c5.2a minus c5.56.1)</t>
  </si>
  <si>
    <t>c5.56h changed from Set to zero to lower of (c5.56.2 minus (c5.56e1 + c5.56g)) and (c5.2a minus (c5.56.1 + c5.56e1 + c5.56g))</t>
  </si>
  <si>
    <t>c5.56i changed from Set to zero to (c3a.3a + c4.59) minus (c5.56.1 + c5.56e1 + c5.56g + c5.56h)</t>
  </si>
  <si>
    <t>c5.56j changed from Set to zero to lower of (c5.56i and (c4.79 minus c5.56g))</t>
  </si>
  <si>
    <t>c5.56k new "lower of c5.56j and (c5.56.2 minus (c5.56e1 + c5.56g + c5.56h))"</t>
  </si>
  <si>
    <t>c5.56l new "lower of (c5.56.2 minus (c5.56e1 + c5.56g + c5.56h + c5.56k) and c5.56i"</t>
  </si>
  <si>
    <t>c5.56m new if c5.56 = 0 (zero), c5.56m = (lower of c5.55.7 and (c5.55.17 minus c5.56h)) x BR_rate (20%), else, c5.56m = (lower of c5.55.7 and (c5.55.31 minus c5.56h)) x BR_rate (20%), end if</t>
  </si>
  <si>
    <t>c5.56o new c5.56m + c5.56n</t>
  </si>
  <si>
    <t>c5.56p new If c5.56o larger than c5.56d, c5.56p = c5.55.7, else, c5.56p = 0 (zero), end if</t>
  </si>
  <si>
    <t>c5.57a changed from Set to zero to "lower of (c5.56p and (((c5.3a + c5.4 + c5.4a) minus c5.56) + c5.16))"</t>
  </si>
  <si>
    <t>L83a</t>
  </si>
  <si>
    <t>c9.44</t>
  </si>
  <si>
    <t>Non-UK resident tax on Excluded income (s811(4) ITA 2007 Amount A)</t>
  </si>
  <si>
    <t>L55 deleted</t>
  </si>
  <si>
    <t>Exclusion 104</t>
  </si>
  <si>
    <t>L83a new</t>
  </si>
  <si>
    <t>L83a Data --&gt; Name Manager updated for tax_on_excluded_inc</t>
  </si>
  <si>
    <t>L85 crriteria changed to add + tax_on_excluded_inc so where new line L83a prints L85 prints</t>
  </si>
  <si>
    <t>c12.1 changed from "c9.43 minus (c10.4 + c10.5)" to "(c9.43 + c9.44) minus (c10.4 + c10.5)"</t>
  </si>
  <si>
    <t>Exclusion 105</t>
  </si>
  <si>
    <t>c8</t>
  </si>
  <si>
    <t>c8.25 changed from "If calculation type = non-resident, c8.25 = c91.35, else, c8.25 = 0 (zero), end if" to "set to zero"</t>
  </si>
  <si>
    <t>c9.44 new calculation box (was c8.25) "If calculation type = non-resident, c8.25 = c91.35, else, c8.25 = 0 (zero), end if"</t>
  </si>
  <si>
    <t>c4.75q</t>
  </si>
  <si>
    <t>c4.75r</t>
  </si>
  <si>
    <t>Max SavNilBR</t>
  </si>
  <si>
    <t>c4.75s</t>
  </si>
  <si>
    <t>c4.75t</t>
  </si>
  <si>
    <t>c4.75u</t>
  </si>
  <si>
    <t>Max SavNilHR</t>
  </si>
  <si>
    <t>Income in BR + HR</t>
  </si>
  <si>
    <t>*</t>
  </si>
  <si>
    <t>c4.76b changed from "if (c4.75a + c4.75e + c4.75g + c4.75i + c4.75k + c4.75p) &gt; (BR_band (£34,500) + c4.75), c4.76b = 1 (HR_case? 'Y'), else, c4.76b = 0 (HR_case? 'N'), end if" to "if c4.75u &gt; (BR_band (£33,500) + c4.75), c4.76b = 1 (HR_case? 'Y'), else, c4.76b = 0 (HR_case? 'N'), end if"</t>
  </si>
  <si>
    <t>c4.75q new "c4.70 minus (c4.75d + c4.75g)"</t>
  </si>
  <si>
    <t>c4.75r new "c1.57 minus c4.75q"</t>
  </si>
  <si>
    <t>c4.75s new "lower of c4.75c and ((BR_band (£33,500) + c4.75) minus c4.75r)"</t>
  </si>
  <si>
    <t>c4.75t new "c4.75c minus c4.75s"</t>
  </si>
  <si>
    <t>c4.75u new "c4.74 minus c4.75t"</t>
  </si>
  <si>
    <t>c5.55b</t>
  </si>
  <si>
    <t>c5.55c</t>
  </si>
  <si>
    <t>c5.55c1</t>
  </si>
  <si>
    <t>c17.6 updated from "from c4.70" to "c4.70 minus c4.63b"</t>
  </si>
  <si>
    <t>c25.24 £down rounding removed</t>
  </si>
  <si>
    <t>Special 32</t>
  </si>
  <si>
    <t>L93b criteria for printing changed from "=IF(Pension_charges&gt;0,1,0)" to "=IF(Pension_charges_gross&gt;0,1,0)"</t>
  </si>
  <si>
    <t>Special 32 SA189243</t>
  </si>
  <si>
    <t>c5.58.3 changed from "lower of ((c5.3a + c5.4 + c5.4a + c5.5) minus (c5.52h + c5.58d)) and c5.58.2" to "lower of ((c5.4a + c5.5 + c5.6) minus (c5.44 + c5.52h)) and c5.58.2"</t>
  </si>
  <si>
    <t>c5.58.5 changed from "lower of ((c5.3a + c5.4 + c5.4a + c5.5) minus (c5.52h + c5.58d)) and c5.58.4" to "lower of ((c5.4a + c5.5 + c5.6) minus (c5.44 + c5.52h)) and c5.58.4"</t>
  </si>
  <si>
    <t xml:space="preserve">New box 5.66o "if (c5.66b minus c5.66d) &gt; 0 (zero)
and c5.66n &gt; 0 (zero)
c5.66o = lower of c5.66k and c5.66n
else
c5.66o = 0 (zero)
end if"
</t>
  </si>
  <si>
    <t>c5.60 changed from "lower of ((c5.3a + c5.4 + c5.4a + c5.5) minus (c5.52h + c5.58d + c5.58.7)) and c5.59" to "lower of ((c5.34a + c5.4 + c5.4a + c5.5 + c5.6) minus (c5.44 + c5.52h + c5.58.7)) and c5.59"</t>
  </si>
  <si>
    <t>c5.61a changed from "lower of ((c5.3a + c5.4 + c5.4a + c5.5) minus (c5.52h + c5.58d + c5.58.7 + c5.62)) and c5.61" to "lower of ((c5.34a + c5.4 + c5.4a + c5.5 + c5.6) minus (c5.44 + c5.52h + c5.58.7 + c5.62)) and c5.61"</t>
  </si>
  <si>
    <t>c5.66.3 changed from "lower of ((c5.3a + c5.4 + c5.4a + c5.5) minus (c5.52h + c5.58d + c5.58.7 + c5.62)) and c5.66.2" to "lower of ((c5.4 + c5.4a + c5.5 + c5.6) minus (c5.44 + c5.52h + c5.58.7 + c5.62)) and c5.66.2"</t>
  </si>
  <si>
    <t>c5.66.5 changed from "lower of ((c5.3a + c5.4 + c5.4a + c5.5) minus (c5.52h + c5.58d + c5.58.7)) and c5.66.4" to "lower of ((c5.4 + c5.4a + c5.5 + c5.6) minus (c5.44 + c5.52h + c5.58.7)) and c5.66.4"</t>
  </si>
  <si>
    <t>c5.62a changed from "lower of (c5.1 minus (c5.47 + c5.48 + c5.58i + c5.58k + c5.58.7 + c5.58.9 + c5.62)) and (c5.34b + (c5.34b1 minus c5.58.9) + (c5.34c minus c5.52q) + (c5.34d minus c5.45))" to "Set to zero"</t>
  </si>
  <si>
    <t>c5.48b changed from "Set to zero" to "(c1.57 + c2.19 + c3.15) minus c5.1"</t>
  </si>
  <si>
    <t>03</t>
  </si>
  <si>
    <t>Postgraduate Loan repayments</t>
  </si>
  <si>
    <t xml:space="preserve">Net Postgraduate Loan Repayment Due Through Self Assessment </t>
  </si>
  <si>
    <t>Postgraduate Loan Repayment Due</t>
  </si>
  <si>
    <t>PAYE Postgraduate Loan repayments made</t>
  </si>
  <si>
    <t>Total Income on which Postgraduate Loan Repayments Due</t>
  </si>
  <si>
    <t>Total income for Postgraduate Loan purposes</t>
  </si>
  <si>
    <t>Repayment of postgraduate loans</t>
  </si>
  <si>
    <t>Postgraduate loan PAYE income</t>
  </si>
  <si>
    <t xml:space="preserve">Postgraduate loan Total income </t>
  </si>
  <si>
    <t xml:space="preserve">Postgraduate loan gross repayment </t>
  </si>
  <si>
    <t xml:space="preserve">Postgraduate loan PAYE repayment </t>
  </si>
  <si>
    <t xml:space="preserve">Postgraduate loan SA income </t>
  </si>
  <si>
    <t xml:space="preserve">Postgraduate Loan Repayment </t>
  </si>
  <si>
    <t>Postgraduate Loan Repayment</t>
  </si>
  <si>
    <t>Postgraduate Loan Threshold</t>
  </si>
  <si>
    <t>Postgraduate loan rate</t>
  </si>
  <si>
    <t>(Class 2, Repayment of student loans +  Repayment of postgraduate loans + amount coded + POA adjustment</t>
  </si>
  <si>
    <t>L39 amended to refer to c5.2a only</t>
  </si>
  <si>
    <t>L39s amended to remove reference to "Scottish"</t>
  </si>
  <si>
    <t>L40 "Or" struck through</t>
  </si>
  <si>
    <t>c5.56n new if c5.56 = 0 (zero)
c5.56n = (lower of c5.55.7( and c5.55.21 minus c5.56l)) x HR_rate (40%)
else
c5.56n = (lower of c5.55.7 and (c5.55.35 minus c5.56l)) x HR_rate (40%)
end if</t>
  </si>
  <si>
    <t>c5.58 cchanged from "lower of (c5.1 minus (c5.47 + c5.48 + c5.52 + c5.52h + c5.57)) and (c5.30 minus (c5.50 minus c5.52q))" to "lower of (c5.1 minus
(c5.47 + c5.48 + c5.52h + c5.55c1 + c5.57 + c5.57a))
and (c5.55.6 minus c5.55.7) minus (c5.56 + c5.56p)"</t>
  </si>
  <si>
    <t>Ringfenced Allce for Lump Sum offered to NS</t>
  </si>
  <si>
    <t>c5.58a.2</t>
  </si>
  <si>
    <t>c5.58a.3</t>
  </si>
  <si>
    <t>c5.58a.4</t>
  </si>
  <si>
    <t>c5.58a.5</t>
  </si>
  <si>
    <t>c5.58a.6</t>
  </si>
  <si>
    <t>c5.58a.7</t>
  </si>
  <si>
    <t>c5.58a.8</t>
  </si>
  <si>
    <t>c5.58a.9</t>
  </si>
  <si>
    <t>c5.58a.10</t>
  </si>
  <si>
    <t>c5.58a.11</t>
  </si>
  <si>
    <t>c5.58a.12</t>
  </si>
  <si>
    <t>c5.58a.13</t>
  </si>
  <si>
    <t>c5.58a.14</t>
  </si>
  <si>
    <t>c5.58a.15</t>
  </si>
  <si>
    <t>c5.58a.16</t>
  </si>
  <si>
    <t>c5.58a.17</t>
  </si>
  <si>
    <t>c5.58a.18</t>
  </si>
  <si>
    <t>c5.58a.19</t>
  </si>
  <si>
    <t>c5.58a.20</t>
  </si>
  <si>
    <t>c5.58a.21</t>
  </si>
  <si>
    <t>c5.58a.22</t>
  </si>
  <si>
    <t>c5.58a.23</t>
  </si>
  <si>
    <t>c5.58a.24</t>
  </si>
  <si>
    <t>c5.58a.25</t>
  </si>
  <si>
    <t>c5.58a.26</t>
  </si>
  <si>
    <t>c5.58a.27</t>
  </si>
  <si>
    <t>c5.58a.28</t>
  </si>
  <si>
    <t>c5.58a.29</t>
  </si>
  <si>
    <t>c5.58a.30</t>
  </si>
  <si>
    <t>c5.58a.31</t>
  </si>
  <si>
    <t>c5.58a.32</t>
  </si>
  <si>
    <t>c5.58a.33</t>
  </si>
  <si>
    <t>c5.58a.34</t>
  </si>
  <si>
    <t>c5.58a.35</t>
  </si>
  <si>
    <t>c5.58a.36</t>
  </si>
  <si>
    <t>c5.58a.37</t>
  </si>
  <si>
    <t>c5.58a.38</t>
  </si>
  <si>
    <t>c5.58a.39</t>
  </si>
  <si>
    <t>c5.58a.40</t>
  </si>
  <si>
    <t>c5.58a.41</t>
  </si>
  <si>
    <t>c5.58a.42</t>
  </si>
  <si>
    <t>c5.58a.43</t>
  </si>
  <si>
    <t>c5.58a.44</t>
  </si>
  <si>
    <t>c5.58a.45</t>
  </si>
  <si>
    <t>c5.58a.46</t>
  </si>
  <si>
    <t>c5.58a.47</t>
  </si>
  <si>
    <t>c5.58a.48</t>
  </si>
  <si>
    <t>c5.58a.49</t>
  </si>
  <si>
    <t>c5.58a.50</t>
  </si>
  <si>
    <t>c5.58a.51</t>
  </si>
  <si>
    <t>c5.58a.52</t>
  </si>
  <si>
    <t>c5.58a.53</t>
  </si>
  <si>
    <t>c5.58a.54</t>
  </si>
  <si>
    <t>c5.58a.55</t>
  </si>
  <si>
    <t>c5.58a.56</t>
  </si>
  <si>
    <t>c5.58a.57</t>
  </si>
  <si>
    <t>c5.58a.58</t>
  </si>
  <si>
    <t>c5.58a.59</t>
  </si>
  <si>
    <t>c5.58a.60</t>
  </si>
  <si>
    <t>c5.58a.61</t>
  </si>
  <si>
    <t>c5.58a.62</t>
  </si>
  <si>
    <t>c5.58a.63</t>
  </si>
  <si>
    <t>c5.58a.64</t>
  </si>
  <si>
    <t>c5.58a.65</t>
  </si>
  <si>
    <t>c5.58a.66</t>
  </si>
  <si>
    <t>c5.58a.67</t>
  </si>
  <si>
    <t>c5.58a.68</t>
  </si>
  <si>
    <t>c5.58a.69</t>
  </si>
  <si>
    <t>c5.58a.70</t>
  </si>
  <si>
    <t>c5.58a.71</t>
  </si>
  <si>
    <t>c5.58a.72</t>
  </si>
  <si>
    <t>c5.58a.73</t>
  </si>
  <si>
    <t>c5.58a.74</t>
  </si>
  <si>
    <t>c5.58a.75</t>
  </si>
  <si>
    <t>c5.58a.76</t>
  </si>
  <si>
    <t>c5.58a.77</t>
  </si>
  <si>
    <t>c5.58a.78</t>
  </si>
  <si>
    <t>c5.58a.79</t>
  </si>
  <si>
    <t>c5.58a.80</t>
  </si>
  <si>
    <t>c5.58a.81</t>
  </si>
  <si>
    <t>c5.58a.82</t>
  </si>
  <si>
    <t>c5.58a.83</t>
  </si>
  <si>
    <t>c5.58a.84</t>
  </si>
  <si>
    <t>c5.58a.85</t>
  </si>
  <si>
    <t>c5.58a.86</t>
  </si>
  <si>
    <t>c5.58a.87</t>
  </si>
  <si>
    <t>c5.58a.88</t>
  </si>
  <si>
    <t>c5.58a.89</t>
  </si>
  <si>
    <t>c5.58a.90</t>
  </si>
  <si>
    <t>Ringfenced Allce for Lump Sum offered to Sav</t>
  </si>
  <si>
    <t>Div Income after Allcs</t>
  </si>
  <si>
    <t>DivHR 0%</t>
  </si>
  <si>
    <t>DivHR 32.5%</t>
  </si>
  <si>
    <t>LS income in SSR_rate</t>
  </si>
  <si>
    <t>LS income in BR_rate/SBR_rate</t>
  </si>
  <si>
    <t>LS income in SIR_rate</t>
  </si>
  <si>
    <t>LS income in HR_rate/SHR_rate</t>
  </si>
  <si>
    <t>Total tax on Lump Sum income</t>
  </si>
  <si>
    <t>Reduction of Lump Sum tax</t>
  </si>
  <si>
    <t>NS Income after Allcs, inc Allcs offered to Lump Sum</t>
  </si>
  <si>
    <t>Total tax on non-savings &amp; Lump Sum income</t>
  </si>
  <si>
    <t>Total tax on savings &amp; dividend income</t>
  </si>
  <si>
    <t>NS Sav Div LS tax after Allce to NS</t>
  </si>
  <si>
    <t>non-savings</t>
  </si>
  <si>
    <t>savings</t>
  </si>
  <si>
    <t>dividends</t>
  </si>
  <si>
    <t>NS Sav Div LS tax before Allce to NS</t>
  </si>
  <si>
    <t xml:space="preserve"> Reduction of NS/Sav/Div/LS tax</t>
  </si>
  <si>
    <t>PA to reduce NS</t>
  </si>
  <si>
    <t>Lump Sum Income after Allcs</t>
  </si>
  <si>
    <t>savings dividends</t>
  </si>
  <si>
    <t>PA to reduce Sav</t>
  </si>
  <si>
    <t>Not for Requirements</t>
  </si>
  <si>
    <t>c5.52i to c5.52q (now all "Set to zero") moved to between c5.52h and c5.53</t>
  </si>
  <si>
    <t>Insert 4 x columns at W, X, Y &amp; Z. copy S, T, U &amp; V and paste special 'column widths' for W, X, Y &amp; Z and remove highlighting. Calculation boxes c5.58a.1 now in columns Y and Z</t>
  </si>
  <si>
    <t>c5.58a.1 changed from "lower of (c5.35 minus (c5.44 + c5.52h)) and c5.4a" to "lower of c5.50 and c5.56.1"</t>
  </si>
  <si>
    <t>c5.58d changed from "if c5.12 = 0 (zero) and (c5.3 + c5.11) minus (c5.49 + c5.51 + c5.56) &gt; (c5.2a + c5.4b), c5.58d = lower of (c5.49 + c5.58a.1) and c5.58c, else, c5.58d = lower of (c5.49 + c5.51) and c5.58c, end if" to "c5.58c minus c5.58a"</t>
  </si>
  <si>
    <t>c5.58f changed from "larger of ((c5.49 + c5.51) and c5.58d) minus c5.58d" to "lower of c5.58d and (c5.3 + c5.16)"</t>
  </si>
  <si>
    <t>c5.58g changed from "lower of c5.58e and c5.58f" to "lower of (c5.58e and ((c5.3 minus c5.58d) + c5.16))"</t>
  </si>
  <si>
    <t>c5.58i changed from "c5.52h + c5.52q + c5.58 + c5.58d + c5.58h" to "c5.52h + c5.55c1 + c5.58 + c5.58h"</t>
  </si>
  <si>
    <t>c5.66.8 changed from "lower of (c5.1 minus (c5.47 + c5.48 + c5.58i + c5.58k + c5.65 + c5.66 + c5.66.7) and (c5.34a1 + (c5.34b minus c5.63) + (c5.34b1 minus c5.58.9)) + (c5.34c minus c5.52q) + (c5.34d minus c5.45))" to "lower of (c5.1 minus (c5.47 + c5.48 + c5.58i + c5.58k + c5.65 + c5.66 + c5.66.7) and (c5.34a1 + c5.34b + c5.34b1 + c5.34c + c5.34d) minus (c5.45 + c5.58h + c5.58.9 + c5.63))"</t>
  </si>
  <si>
    <t>c5.68 changed from "c5.45 + c5.52q + c5.58.9 + c5.63 + c5.66.9" to "c5.45 + c5.58h + c5.58.9 + c5.63 + c5.66.9"</t>
  </si>
  <si>
    <t>c5.63 changed from "lower of c5.62a and c3a.2" to "lower of (c5.1 minus (c5.47 + c5.48 + c5.58i + c5.58k + c5.58.7 + c5.58.9 + c5.62)) and ((c5.34b + c5.34b1 + c5.34c + c5.34d) minus (c5.45 + c5.58h + c5.58.9))"</t>
  </si>
  <si>
    <t>c5.52h (c5.52e3) changed from "if c5.12 = 0 (zero) and (c5.3 + c5.11) minus (c5.49 + c5.51 + c5.56) &gt; (c5.2a + c5.4b),c5.58d = lower of (c5.49 + c5.58a.1) and c5.58c, else, c5.58d = lower of (c5.49 + c5.51) and c5.58c, end if" to "if c5.12 = 0 (zero) and,c5.49 &gt; 0 (zero) and, (c5.3 + c5.11) minus (c5.1 minus (c5.47 + c5.48 + c5.50 + c5.55)) &gt; (c5.2a + c5.4b), c5.58d = lower of (c5.49 + c5.58a.1) and c5.58c, else, c5.58d = lower of (c5.35 minus c5.44) and (c5.1 minus (c5.47 + c5.48 + c5.50 + c5.55 + c5.55a)), end if"</t>
  </si>
  <si>
    <t>c5.58.1 changed from “c5.35 minus (c5.44 + c5.52h + c5.58d)” to “c5.35 minus (c5.44 + c5.52h)”</t>
  </si>
  <si>
    <t>c5.58.4 changed from “larger of (c5.56 minus c5.58d) and c5.58.3” to “larger of c5.56 and c5.58.3”</t>
  </si>
  <si>
    <t>c5.58.10 changed from “c5.35 minus (c5.44 + c5.52h + c5.58d + c5.58.7)” to “c5.35 minus (c5.44 + c5.52h + c5.58.7)”</t>
  </si>
  <si>
    <t>c5.61 changed from “larger of (c5.56 minus (c5.58d + c5.58.7)) and c5.60” to “larger of (c5.56 minus c5.58.7) and c5.60”</t>
  </si>
  <si>
    <t>c5.66.1 changed from “c5.35 minus (c5.44 + c5.52h + c5.58d + c5.58.7 + c5.62)” to “c5.35 minus (c5.44 + c5.52h + c5.58.7 + c5.62)”</t>
  </si>
  <si>
    <t xml:space="preserve">c5.66.4 changed from “larger of (c5.56 minus (c5.58d + c5.58.7 + c5.62)) and c5.66.3” to “larger of (c5.56 minus (c5.58.7 + c5.62)) and c5.66.3” </t>
  </si>
  <si>
    <t>Gains that qualify for Investors' Relief</t>
  </si>
  <si>
    <t>c18.4 changed from "from CGT50" to "CGT50 + CGT49"</t>
  </si>
  <si>
    <t>c91.34d changed from "INC4 x DivBR_rate (7.5%)" to "c10.5 = (c3.6 + c3.7 + c3.8 + c3.10 + c3.11) x DivBR_rate (7.5%)"</t>
  </si>
  <si>
    <t>Investors' Relief</t>
  </si>
  <si>
    <t>Gains qualifying for Entrepreneurs' and or Investors' Relief</t>
  </si>
  <si>
    <t xml:space="preserve">Gains qualifying for Investors’ Relief </t>
  </si>
  <si>
    <t>Updated to include CGT49</t>
  </si>
  <si>
    <t>CGT49 updated</t>
  </si>
  <si>
    <t xml:space="preserve">Investors Relief </t>
  </si>
  <si>
    <t>Scottish Rates of Income Tax (SRIT)</t>
  </si>
  <si>
    <t>Postgraduate loans (PGL)</t>
  </si>
  <si>
    <t>Welsh Rates of Income Tax (WRIT)</t>
  </si>
  <si>
    <t>NRCGT on Immovable Property</t>
  </si>
  <si>
    <t>Roll forward annual changes OE</t>
  </si>
  <si>
    <t>PA more beneficial against non-savings or savings?</t>
  </si>
  <si>
    <t>c5.52e changed from "lower of (c5.35 minus (c3a.1a + c3a.2)) and (c5.52b minus (c3a.1a + c3a.2))" to "lower of (c5.35 minus c5.44) and c5.4a"</t>
  </si>
  <si>
    <t>c5.52f changed from "c5.52d + c5.52e1 + c5.52e4 + c5.52e6 + c5.52e10" to "if c5.43b &gt; 0 (zero), and (c5.5 + c5.20) &gt; 0 (zero), c5.52f = c5.43a minus c5.44, else, c5.52f = c5.52e1, end if"</t>
  </si>
  <si>
    <t>c5.52i changed from "c5.52h minus c5.52a" to "c5.1 minus (c5.47 + c5.48 + c5.52h + c5.52c)"</t>
  </si>
  <si>
    <t>c5.52m changed from "c5.29 minus c5.52l" to "set to zero"</t>
  </si>
  <si>
    <t>c5.52n changed from "c5.29 minus c5.52m" to "set to zero"</t>
  </si>
  <si>
    <t>c5.52o changed from "c5.52n x (DivHR_rate minus DivBR_rate) (32.5% minus 7.5%)" to "set to zero"</t>
  </si>
  <si>
    <t>c5.52p changed from "lower of (c5.12 and (c5.15 minus c4.79)) x BR_rate (20%)" to "set to zero"</t>
  </si>
  <si>
    <t>c5.53 changed from "c5.1 minus (c5.47 + c5.48 + c5.52 + c5.52h)" "set to zero"</t>
  </si>
  <si>
    <t>IF statement above c5.54 "if c5.53 = 0 (zero)
set c5.54 to c5.56 to 0 (zero)
else
calculate c5.54 to c5.56" deleted</t>
  </si>
  <si>
    <t>c5.54 changed from "c5.53 minus c5.30" to "set to zero"</t>
  </si>
  <si>
    <t>c5.55 changed from “lower of (((c5.3 + (c5.11 minus c5.15)) minus c5.54) and (c5.53 minus c5.54))” to “set to zero”</t>
  </si>
  <si>
    <t>c5.55.6 changed from "lower of c5.55.2 and (c5.29 minus c5.55.3)" to "lower of c5.52c and (c5.35 minus (c5.44 + c5.52h))"</t>
  </si>
  <si>
    <t>c5.55.7 changed from "lower of (c5.55.2 minus c5.55.6) and c5.30" to "lower of (c5.52c minus c5.55.6) and (c5.37 minus (c5.14 + c5.19 + c5.20c + c5.46))"</t>
  </si>
  <si>
    <t>c5.56a changed from Set to zero to "lower of (c5.22 minus c5.48) and ((BR_band (£37,500) + c4.75) minus (c5.56.1 + c5.54a1))"</t>
  </si>
  <si>
    <t>c5.58j (c5.52e8) changed from "If MAT_IN and c4.76c = 0 (zero), and c4.74 &gt; (BR_band (£33,500) + c4.75), c5.58j = c4.75n, else, c5.58j = 0 (zero), end if" to "set to zero"</t>
  </si>
  <si>
    <t>Sav Income after Allcs, inc Allcs offered to Lump Sum</t>
  </si>
  <si>
    <t>NS Sav Div LS tax after Allce to Sav</t>
  </si>
  <si>
    <t>c5.58a.91</t>
  </si>
  <si>
    <t>c5.58k changed from “lower of (c5.1 minus (c5.47 + c5.48 + c5.58i)) and c5.58j” to “lower of (c5.1 minus (c5.47 + c5.48 + c5.58i)) and c5.52d”</t>
  </si>
  <si>
    <t>c5.58a.2 new "from c5.56.1"</t>
  </si>
  <si>
    <t>c5.58a.3 new "c5.56.2 minus (c5.55.7 minus c5.56p)"</t>
  </si>
  <si>
    <t>c5.58a.4 new "c5.22 minus (c5.48 + c5.58))"</t>
  </si>
  <si>
    <t>c5.58a.5 new "(BR_band (£37,500) + c4.75) minus (c5.58a.2 + c5.58a.3)"</t>
  </si>
  <si>
    <t>c5.58a.6 new "lower of c5.56b and c5.58a.5"</t>
  </si>
  <si>
    <t>c5.58a.7 new "c5.58a.5 minus c5.58a.6"</t>
  </si>
  <si>
    <t>c5.58a.8 new "lower of (c4.80 minus c5.58a.6) and (c5.58a.4 minus (c5.58a.6 + c5.58a.7))"</t>
  </si>
  <si>
    <t>c5.58a.9 new "c5.58a.4 minus (c5.58a.6 + c5.58a.7 + c5.58a.8)"</t>
  </si>
  <si>
    <t>c5.58a.11 new "lower of (c5.36 minus (c5.45 + c5.58a.10)) and ((c3a.1a + c5.2) minus (c5.58a.2 + c5.58a.3 + c5.58a.4 + c5.58a.10))"</t>
  </si>
  <si>
    <t>c5.58a.12 new "lower of (c5.36 minus (c5.45 + c5.58a.10 + c5.58a.11)) and ((c3a.1a + c5.2 + c3a.2a) minus (c5.58a.2 + c5.58a.3 + c5.58a.4 + c5.58a.10 + c5.58a.11))"</t>
  </si>
  <si>
    <t>c5.58a.14 new "(c5.58a.10 x c3a.3b) + (c5.58a.11 x c3a.4) + (c5.58a.12 x c3a.4a) + (c5.58a.13 x c3a.5)"</t>
  </si>
  <si>
    <t>c5.58a.16 new "lower of (c5.36 minus (c5.45 + c5.58a.1 + c5.58a.15)) and ((c3a.1a + c5.2) minus (c5.58a.2 + c5.58a.3 + c5.58a.4 + c5.58a.15))"</t>
  </si>
  <si>
    <t>c5.58a.17 new "lower of (c5.36 minus (c5.45 + c5.58a.1 + c5.58a.15 + c5.58a.16)) and ((c3a.1a + c5.2 + c3a.2a) minus (c5.58a.2 + c5.58a.3 + c5.58a.4 + c5.58a.15 + c5.58a.16))"</t>
  </si>
  <si>
    <t>c5.58a.18 new "lower of (c5.36 minus (c5.45 + c5.58a.1 + c5.58a.15 + c5.58a.16 + c5.58a.17)) and ((c3a.1a + c5.2 + c3a.2a + c3a.3) minus (c5.58a.2 + c5.58a.3 + c5.58a.4 + c5.58a.15 + c5.58a.16 + c5.58a.17))"</t>
  </si>
  <si>
    <t>c5.58a.19 new "(c5.58a.15 x c3a.3b) + (c5.58a.16 x c3a.4) + (c5.58a.17 x c3a.4a) + (c5.58a.18 x c3a.5)"</t>
  </si>
  <si>
    <t>c5.58a.20 new "c5.58a.14 minus c5.58a.19"</t>
  </si>
  <si>
    <t>c5.58a.21 new "c5.56.1 minus c5.58a.1"</t>
  </si>
  <si>
    <t>c5.58a.22 new "lower of c5.58a.21 and c3a.1a"</t>
  </si>
  <si>
    <t>c5.58a.23 new "lower of (c5.58a.21 minus c5.58a.22) and c5.2"</t>
  </si>
  <si>
    <t>c5.58a.24 new "lower of (c5.58a.21 minus (c5.58a.23 + c5.58a.24)) and c3a.2a"</t>
  </si>
  <si>
    <t>c5.58a.25 new "lower of (c5.58a.21 minus (c5.58a.22 + c5.58a.23 + c5.58a.24)) and c3a.3"</t>
  </si>
  <si>
    <t>c5.58a.26 new "lower of c5.58a.3 and SR_band (£5,000)"</t>
  </si>
  <si>
    <t>TCR</t>
  </si>
  <si>
    <t>915/M15</t>
  </si>
  <si>
    <t>120/J90</t>
  </si>
  <si>
    <t>126/126</t>
  </si>
  <si>
    <t>collector</t>
  </si>
  <si>
    <t>captain</t>
  </si>
  <si>
    <t>Tester Performance MTR_Tester Only</t>
  </si>
  <si>
    <t>Library</t>
  </si>
  <si>
    <t>Insert new TCR column to the right of the FOR column and identify where TCR calculated with appropriate number</t>
  </si>
  <si>
    <t>• "FTCR" rows moved to beneath "FOR" rows. Added blue box at cell A133 and set as TCR_IND
• FTCR rows bottom row updated to reference "C6" component sheet column B. Note remove "if FTCR" from formula and note later columns referecing RJ rather than B</t>
  </si>
  <si>
    <t>N.B. need to go back and add the FTCR amounts to C6 for each test case</t>
  </si>
  <si>
    <t>• "Add pages" row insterted for FTCR
• update green index ref from "27" to "28"</t>
  </si>
  <si>
    <t>vba</t>
  </si>
  <si>
    <r>
      <t xml:space="preserve">test_this_case 'make input sheets visible…' For inPage_Flag = 11 to </t>
    </r>
    <r>
      <rPr>
        <sz val="10"/>
        <color rgb="FF009999"/>
        <rFont val="Arial"/>
        <family val="2"/>
      </rPr>
      <t>28</t>
    </r>
    <r>
      <rPr>
        <sz val="10"/>
        <color theme="0" tint="-0.34998626667073579"/>
        <rFont val="Arial"/>
        <family val="2"/>
      </rPr>
      <t xml:space="preserve"> Step 1</t>
    </r>
  </si>
  <si>
    <t>Testing only</t>
  </si>
  <si>
    <t>cell A1 updated from 241 to 246</t>
  </si>
  <si>
    <t>cells B27:AO241 copy and paste to cell B32</t>
  </si>
  <si>
    <t>reset new test cases 26 to 30 (rows 27 to 31) to "1" for columns AOI-A onwards</t>
  </si>
  <si>
    <t>add 241 to 245 to end of column A</t>
  </si>
  <si>
    <t>renumber test cases from test case 31 onwards in columns B to K, and T to AH (new TCR) with the exception of column AA and AD for LUN and NI2</t>
  </si>
  <si>
    <t>move test case scenarios from first test cases to actual test case for AOI-A, AOI-B, AOI-C, ASE-A, ASE-B, ASE-C, AOR (partial) e.g. moving test case scenario 1 to test case 69 for AOI-A</t>
  </si>
  <si>
    <t xml:space="preserve">renumber test cases for AOI-A, AOI-B, AOI-C, ASE-A, ASE-B, ASE-C, AOR (partial) </t>
  </si>
  <si>
    <t>INC-A details added for tc 26, 27, 28, 29 &amp;30</t>
  </si>
  <si>
    <t>INC-B details added for tc 27</t>
  </si>
  <si>
    <t>REL-A details added for tc 29 &amp; 30</t>
  </si>
  <si>
    <t>REL-B details added for tc 26 &amp; 28</t>
  </si>
  <si>
    <t>MAT details added for tc 26</t>
  </si>
  <si>
    <t>EMP-A details added for tc 26, 27, 29 &amp; 30</t>
  </si>
  <si>
    <t>FSE details added for tc 27 &amp; 30</t>
  </si>
  <si>
    <t>PRO details added for tc 27</t>
  </si>
  <si>
    <t>updated with INC-A, INC-B, REL-A, REL-B, MAT, EMP-A, FSE &amp; PRO details for test cases 26, 27, 28, 29 &amp;30</t>
  </si>
  <si>
    <t>FTCR claim</t>
  </si>
  <si>
    <t>Item 1 type</t>
  </si>
  <si>
    <t>Item 1 % max</t>
  </si>
  <si>
    <t>Item 1 Income</t>
  </si>
  <si>
    <t>Item 1 tax</t>
  </si>
  <si>
    <t>Item 2 type</t>
  </si>
  <si>
    <t>Item 2 % max</t>
  </si>
  <si>
    <t>Item 2 Income</t>
  </si>
  <si>
    <t>Item 2 tax</t>
  </si>
  <si>
    <t>Item 3 type</t>
  </si>
  <si>
    <t>Item 3 % max</t>
  </si>
  <si>
    <t>Item 3 Income</t>
  </si>
  <si>
    <t>Item 3 tax</t>
  </si>
  <si>
    <t>Item 4 type</t>
  </si>
  <si>
    <t>Item 4 % max</t>
  </si>
  <si>
    <t>Item 4 Income</t>
  </si>
  <si>
    <t>Item 4 tax</t>
  </si>
  <si>
    <t>Item 5 type</t>
  </si>
  <si>
    <t>Item 5 % max</t>
  </si>
  <si>
    <t>Item 5 Income</t>
  </si>
  <si>
    <t>Item 5 tax</t>
  </si>
  <si>
    <t>Item 6 type</t>
  </si>
  <si>
    <t>Item 6 % max</t>
  </si>
  <si>
    <t>Item 6 Income</t>
  </si>
  <si>
    <t>Item 6 tax</t>
  </si>
  <si>
    <t>Item 7 type</t>
  </si>
  <si>
    <t>Item 7 % max</t>
  </si>
  <si>
    <t>Item 7 Income</t>
  </si>
  <si>
    <t>Item 7 tax</t>
  </si>
  <si>
    <t>Item 8 type</t>
  </si>
  <si>
    <t>Item 8 % max</t>
  </si>
  <si>
    <t>Item 8 Income</t>
  </si>
  <si>
    <t>Item 8 tax</t>
  </si>
  <si>
    <t>Item 9 type</t>
  </si>
  <si>
    <t>Item 9 % max</t>
  </si>
  <si>
    <t>Item 9 Income</t>
  </si>
  <si>
    <t>Item 9 tax</t>
  </si>
  <si>
    <t>Item 10 type</t>
  </si>
  <si>
    <t>Item 10 % max</t>
  </si>
  <si>
    <t>Item 10 Income</t>
  </si>
  <si>
    <t>Item 10 tax</t>
  </si>
  <si>
    <t>M19</t>
  </si>
  <si>
    <t>Q19</t>
  </si>
  <si>
    <t>M27</t>
  </si>
  <si>
    <t>Q31</t>
  </si>
  <si>
    <t>Q35</t>
  </si>
  <si>
    <t>Test Case index</t>
  </si>
  <si>
    <t>Copied date for test case 26 etc and paste to 31 then changed 26 to 30 and renumbered column A</t>
  </si>
  <si>
    <t>Exclusion 85/Exclusion 103</t>
  </si>
  <si>
    <t>c5.58a.27 new "lower of c5.58a.26 and (SR_band (£5,000) minus c5.58a.21)"</t>
  </si>
  <si>
    <t>c5.58a.28 new "lower of (c5.58a.3 minus c5.58a.27) and c4.79"</t>
  </si>
  <si>
    <t>c5.58a.29 new "lower of c5.58a.28 and (c5.2a minus c5.58a.21)"</t>
  </si>
  <si>
    <t>c5.58a.30 new "lower of (c5.58a.3 minus (c5.58a.27 + c5.58a.29)) and (c5.2a minus (c5.58a.21 + c5.58a.27 + c5.58a.29))"</t>
  </si>
  <si>
    <t>c5.58a.31 new "(c3a.3a + c4.59) minus (c5.58a.21 + c5.58a.27 + c5.58a.29 + c5.58a.30)"</t>
  </si>
  <si>
    <t>c5.58a.32 new "lower of (c5.58a.31 and (c4.79 minus c5.58a.29))"</t>
  </si>
  <si>
    <t>c5.58a.33 new "lower of c5.58a.32 and (c5.58a.3 minus (c5.58a.27 + c5.58a.29 + c5.58a.30))"</t>
  </si>
  <si>
    <t>c5.58a.34 new "lower of (c5.58a.3 minus (c5.58a.27 + c5.58a.29 + c5.58a.30 + c5.58a.33) and c5.58a.31"</t>
  </si>
  <si>
    <t>c5.58a.35 new "(BR_band (£37,500) + c4.75) minus (c5.58a.21 + c5.58a.3)"</t>
  </si>
  <si>
    <t>c5.58a.36 new "lower of c5.56b and c5.58a.35"</t>
  </si>
  <si>
    <t>c5.58a.37 new "c5.58a.35 minus c5.58a.36"</t>
  </si>
  <si>
    <t>c5.58a.38 new "lower of (c4.80 minus c5.58a.36) and (c5.58a.4 minus (c5.58a.36 + c5.58a.37))"</t>
  </si>
  <si>
    <t>c5.58a.39 new "c5.58a.4 minus (c5.58a.36 + c5.58a.37 + c5.58a.38)"</t>
  </si>
  <si>
    <t>c5.58a.43 new "lower of (c5.36 minus (c5.45 + c5.58a.40 + c5.58a.41 + c5.58a.42)) and ((c3a.1a + c5.2 + c3a.2a + c3a.3) minus (c5.58a.3 + c5.58a.4 + c5.58a.23 + c5.58a.40 + c5.58a.41 + c5.58a.42))"</t>
  </si>
  <si>
    <t>c5.58a.44 new "((c5.58a.22 + c5.58a.40) x c3a.3b) + ((c5.58a.23 + c5.58a.41) x c3a.4) + ((c5.58a.24 + c5.58a.42) x c3a.4a) + ((c5.58a.25 + c5.58a.43) x c3a.5)"</t>
  </si>
  <si>
    <t>c5.58a.45 new "(c5.58a.30 x BR_rate (20%) + (c5.58a.34 x HR_rate (40%) + (c5.58a.37 x DivBR_rate (7.5%)) + (c5.58a.39 x DivHR_rate (32.5%))"</t>
  </si>
  <si>
    <t>c5.58a.46 new "c5.58a.44 + c5.58a.45"</t>
  </si>
  <si>
    <t>c5.58a.50 new "(c5.58a.7 x DivBR_rate (7.5%)) + (c5.58a.9 x DivHR_rate (32.5%))"</t>
  </si>
  <si>
    <t>c5.58a.51 new "c5.58a.14 + c5.58a.47 + c5.58a.49 + c5.58a.50"</t>
  </si>
  <si>
    <t>c5.58a.52 new "c5.58a.51 minus c5.58a.46"</t>
  </si>
  <si>
    <t>c5.58a.54 new "lower of (c5.36 minus c5.45) and (c5.50 minus c5.58a.1)"</t>
  </si>
  <si>
    <t>c5.58a.55 new "c5.58a.2 minus c5.58a.53"</t>
  </si>
  <si>
    <t>c5.58a.56 new "c5.56.2 minus c5.58a.54"</t>
  </si>
  <si>
    <t>c5.58a.57 new "c5.36 minus (c5.45 + (c5.58a.1 minus c5.58a.53))"</t>
  </si>
  <si>
    <t>c5.58a.58 new "lower of (c5.36 minus c5.45) and (c3a.1a minus (c5.58a.3 + c5.58a.4 + c5.58a.55))"</t>
  </si>
  <si>
    <t>c5.58a.59 new "lower of (c5.36 minus (c5.45 + c5.58a.58)) and ((c3a.1a + c5.2) minus (c5.58a.3 + c5.58a.4 + c5.58a.10 + c5.58a.55))"</t>
  </si>
  <si>
    <t>c5.58a.60 new "lower of (c5.36 minus (c5.45 + c5.58a.58 + c5.58a.59)) and ((c3a.1a + c5.2 + c3a.2a) minus (c5.58a.3 + c5.58a.4 + c5.58a.55 + c5.58a.58 + c5.58a.59))"</t>
  </si>
  <si>
    <t>c5.58a.61 new "lower of (c5.36 minus (c5.45 + c5.58a.58 + c5.58a.59 + c5.58a.60)) and ((c3a.1a + c5.2 + c3a.2a + c3a.3) minus (c5.58a.3 + c5.58a.4 + c5.58a.55 + c5.58a.58 + c5.58a.59 + c5.58a.60))"</t>
  </si>
  <si>
    <t>c5.58a.62 new "(c5.58a.58 x c3a.3b) + (c5.58a.59 x c3a.4) + (c5.58a.60 x c3a.4a) + (c5.58a.61 x c3a.5)"</t>
  </si>
  <si>
    <t>c5.58a.63 new "lower of (c5.36 minus (c5.45 + c5.58a.54) and (c3a.1a minus (c5.58a.3 + c5.58a.4 + c5.58a.55))"</t>
  </si>
  <si>
    <t>c5.58a.64 new "lower of (c5.36 minus (c5.45 + c5.58a.54 + c5.58a.63)) and ((c3a.1a + c5.2) minus (c5.58a.3 + c5.58a.4 + c5.58a.55 + c5.58a.63))"</t>
  </si>
  <si>
    <t>c5.58a.65 new "lower of (c5.36 minus (c5.45 + c5.58a.54 + c5.58a.63 + c5.58a.64)) and ((c3a.1a + c5.2 + c3a.2a) minus (c5.58a.3 + c5.58a.4 + c5.58a.55 + c5.58a.63 + c5.58a.64))"</t>
  </si>
  <si>
    <t>c5.58a.66 new "lower of (c5.36 minus (c5.45 + c5.58a.54 + c5.58a.63 + c5.58a.64 + c5.58a.65)) and ((c3a.1a + c5.2 + c3a.2a + c3a.3) minus (c5.58a.3 + c5.58a.4 + c5.58a.55 + c5.58a.63 + c5.58a.64 + c5.58a.65))"</t>
  </si>
  <si>
    <t>c5.58a.67 new "(c5.58a.63 x c3a.3b) + (c5.58a.64 x c3a.4) + (c5.58a.65 x c3a.4a) + (c5.58a.66 x c3a.5)"</t>
  </si>
  <si>
    <t>c5.58a.68 new "c5.58a.62 minus c5.58a.67"</t>
  </si>
  <si>
    <t>c5.58a.69 new "lower of c5.58a.56 and SR_band (£5,000)"</t>
  </si>
  <si>
    <t>c5.58a.70 new "lower of c5.58a.69 and (SR_band (£5,000) minus c5.58a.55)"</t>
  </si>
  <si>
    <t>c5.58a.71 new "lower of (c5.58a.56 minus c5.58a.70) and c4.79"</t>
  </si>
  <si>
    <t>c5.58a.72 new "lower of c5.58a.71 and (c5.2a minus c5.58a.55)"</t>
  </si>
  <si>
    <t>c5.58a.73 new "lower of (c5.58a.56 minus (c5.58a.70 + c5.58a.72)) and (c5.2a minus (c5.58a.55 + c5.58a.70 + c5.58a.72))"</t>
  </si>
  <si>
    <t>c5.58a.74 new "(c3a.3a + c4.59) minus (c5.58a.55 + c5.58a.70 + c5.58a.72 + c5.58a.73)"</t>
  </si>
  <si>
    <t>c5.58a.75 new "lower of (c5.58a.74 and (c4.79 minus c5.58a.72))"</t>
  </si>
  <si>
    <t>c5.58a.76 new "lower of c5.58a.75 and (c5.58a.56 minus (c5.58a.70 + c5.58a.72 + c5.58a.73))"</t>
  </si>
  <si>
    <t>c5.58a.77 new "lower of (c5.58a.56 minus (c5.58a.70 + c5.58a.72 + c5.58a.73 + c5.58a.76) and c5.58a.74"</t>
  </si>
  <si>
    <t>c5.58a.78 new "lower of c5.58a.4 and ((BR_band (£37,500) + c4.75) minus (c5.58a.56 + c5.58a.55))"</t>
  </si>
  <si>
    <t>c5.58a.79 new "lower of c5.56b and c5.58a.35"</t>
  </si>
  <si>
    <t>c5.58a.80 new "c5.58a.78 minus c5.58a.79"</t>
  </si>
  <si>
    <t>c5.58a.81 new "lower of (c4.80 minus c5.58a.79) and (c5.58a.4 minus (c5.58a.79 + c5.58a.80))"</t>
  </si>
  <si>
    <t>c5.58a.82 new "c5.58a.4 minus (c5.58a.79 + c5.58a.80 + c5.58a.81)"</t>
  </si>
  <si>
    <t>c5.58a.83 new "lower of c5.58a.57 and (c3a.1a minus (c5.58a.4 + c5.58a.56 + c5.58a.55))"</t>
  </si>
  <si>
    <t>c5.58a.84 new "lower of (c5.58a.57 minus c5.58a.83) and ((c3a.1a + c5.2) minus (c5.58a.4 + c5.58a.55 + c5.58a.56 + c5.58a.83))"</t>
  </si>
  <si>
    <t>c5.58a.85 new "lower of (c5.58a.57 minus (c5.58a.83 + c5.58a.84)) and ((c3a.1a + c5.2 + c3a.2a) minus (c5.58a.4 + c5.58a.55 + c5.58a.56 + c5.58a.83 + c5.58a.84))"</t>
  </si>
  <si>
    <t>c5.58a.87 new "(c5.58a.83 x c3a.3b) + (c5.58a.84 x c3a.4) + (c5.58a.85 x c3a.4a) + (c5.58a.86 x c3a.5)"</t>
  </si>
  <si>
    <t>c5.58a.88 "(c5.58a.73 x BR_rate (20%) + (c5.58a.77 x HR_rate (40%) + (c5.58a.80 x DivBR_rate (7.5%)) + (c5.58a.82 x DivHR_rate (32.5%))"</t>
  </si>
  <si>
    <t>c5.58a changed from "if c5.49 &gt; 0 (zero), c5.58a = lower of (c5.35 minus (c5.44 + c5.52h)) and (c5.49  + c5.58a.1), else, c5.58a = c5.35 minus (c5.44 + c5.52h), end if" to "c5.58a.87 + c5.58a.88"</t>
  </si>
  <si>
    <t>c5.58c changed from "lower of (c5.1 minus (c5.47 + c5.48 + c5.52h + c5.52q + c5.58)) and c5.58b" to "c5.58a.14 + c5.58b"</t>
  </si>
  <si>
    <t>c5.58a.10 new "lower of (c5.36 minus c5.45) and (c3a.1a minus (c5.58a.2 + c5.58a.3 + c5.58a.4))"</t>
  </si>
  <si>
    <t>c5.58a.13 new "lower of (c5.36 minus (c5.45 + c5.58a.10 + c5.58a.11 + c5.58a.12)) and ((c3a.1a + c5.2 + c3a.2a + c3a.3) minus (c5.58a.2 + c5.58a.3 + c5.58a.4 + c5.58a.10 + c5.58a.11 + c5.58a.12))"</t>
  </si>
  <si>
    <t>c5.58a.15 new "lower of (c5.36 minus (c5.45 + c5.58a.1) and (c3a.1a minus (c5.58a.2 + c5.58a.3 + c5.58a.4))"</t>
  </si>
  <si>
    <t>c5.58a.40 new "lower of (c5.36 minus c5.45) and (c3a.1a minus (c5.58a.3 + c5.58a.4 + c5.58a.23)) )"</t>
  </si>
  <si>
    <t>c5.58a.41 new "lower of (c5.36 minus (c5.45 + c5.58a.40)) and ((c3a.1a + c5.2) minus (c5.58a.3 + c5.58a.4 + c5.58a.23 + c5.58a.40))"</t>
  </si>
  <si>
    <t>c5.58a.42 new "lower of (c5.36 minus (c5.45 + c5.58a.40 + c5.58a.41)) and ((c3a.1a + c5.2 + c3a.2a) minus (c5.58a.3 + c5.58a.4 + c5.58a.23 + c5.58a.40 + c5.58a.41))"</t>
  </si>
  <si>
    <t>c5.64 changed from “lower of
(c5.1 minus (c5.47 + c5.48 +
c5.58i + c5.58k + c5.58.7 + c5.58.9 + c5.62 + c5.63)) and
(c5.16 + (c5.20 minus c5.58h) + (c5.21 minus c5.46))” to “lower of
(c5.1 minus (c5.47 + c5.48 +
c5.58i + c5.58k + c5.58.7 + c5.58.9 + c5.62 + c5.63)) and
(c5.16 + (c5.20 minus c5.52l) + (c5.21 minus c5.46))
”</t>
  </si>
  <si>
    <t xml:space="preserve">c5.45a changed from "lower of c5.21 and (c5.11 minus (c4.79 + SR_band (£5,000)))" to "lower of (c5.43d minus c5.44) and (c5.11 minus (c4.79 + SR_band (£5,000)))" </t>
  </si>
  <si>
    <t>L84a</t>
  </si>
  <si>
    <t>L84b</t>
  </si>
  <si>
    <t>L84c</t>
  </si>
  <si>
    <t>(1)</t>
  </si>
  <si>
    <t>(2)</t>
  </si>
  <si>
    <t>Lower of (1) or (2)</t>
  </si>
  <si>
    <t>Income tax liability</t>
  </si>
  <si>
    <t>Limit on liability to income tax</t>
  </si>
  <si>
    <t>Income tax liability limited to</t>
  </si>
  <si>
    <t>Yr isaf o (1) neu (2)</t>
  </si>
  <si>
    <t>c12.1 Name Manager - new = box_c12_1_tax</t>
  </si>
  <si>
    <t>c12.22 Name Manager - updated = box_c12_1_s23</t>
  </si>
  <si>
    <t>c12.23 Name Manager - updated = box_c12_1_s811</t>
  </si>
  <si>
    <t>New L84a, L84b &amp; L84c</t>
  </si>
  <si>
    <t>L110a, L110b &amp; L110c cross through and set to zero</t>
  </si>
  <si>
    <t>VBA</t>
  </si>
  <si>
    <t>Exclusion 57 Not for Requirements</t>
  </si>
  <si>
    <t>sub_calculate_now ()</t>
  </si>
  <si>
    <t>sub_calculate_now_W ()</t>
  </si>
  <si>
    <t>sub_clear_SA302 ()</t>
  </si>
  <si>
    <t>c5.58a.86 new "lower of (c5.58a.57 minus (c5.58a.83 + c5.58a.84 + c5.58a.85)) and ((c3a.1a + c5.2 + c3a.2a + c3a.3) minus (c5.58a.4 + c5.58a.55 + c5.58a.56 + c5.58a.83 + c5.58a.84 + c5.58a.85))"</t>
  </si>
  <si>
    <t>TC7 updated to match STR</t>
  </si>
  <si>
    <t>TC11 updated to Scottish to match STR</t>
  </si>
  <si>
    <t>TC24 updated to Scottish to match STR</t>
  </si>
  <si>
    <t>C1 updated</t>
  </si>
  <si>
    <t>c5.68 changed  from "c5.45 + c5.52h + c5.58.9 + c5.63 + c5.66.9" to "c5.45 + c5.58h + c5.58.9 + c5.63 + c5.66.9"</t>
  </si>
  <si>
    <t>c10.5 changed from "INC4 x DivBR_rate (7.5%)" to "If NRD1 = N, c10.5 = 0 (zero), else, c10.5 = (c3.1 + c3.6 + c3.8 + c3.10 + c3.11) x DivBR_rate (7.5%), end if"</t>
  </si>
  <si>
    <t>updated to match changes to IRCX_template</t>
  </si>
  <si>
    <t>c10.5 updated to remove c3.7/TRU18 from the change</t>
  </si>
  <si>
    <t>changes to test case 168</t>
  </si>
  <si>
    <t>TC17 updated</t>
  </si>
  <si>
    <t>golf instructor</t>
  </si>
  <si>
    <t>Changed 2019-20</t>
  </si>
  <si>
    <t>New for 2019-20</t>
  </si>
  <si>
    <t>Welsh, MAT_IN with Gift Aid payments where beneficial to allocate PA £997 to dividends which is less beneficial than set against non-savings but retains MAT_IN (STR26)</t>
  </si>
  <si>
    <t>Scottish, PA + BPR, MAT_IN with Gift Aid payments where taxable at SIR_band rate (STR27)</t>
  </si>
  <si>
    <t>No beneficial ordering and all PA to non-savings (STR28)</t>
  </si>
  <si>
    <t>Scottish Additional Rate customer (STR29)</t>
  </si>
  <si>
    <t>Welsh Additional Rate customer (STR30)</t>
  </si>
  <si>
    <t>Non-UK resident where s399 ITTOIA 2005 applies to INC4, INC5, TRU5, TRU9 &amp; TRU12</t>
  </si>
  <si>
    <t>Non-UK resident where s399 ITTOIA 2005 applies to INC4, INC5, &amp; FPS70</t>
  </si>
  <si>
    <t>Sottish customer, self employment, pensions Savings and dividends, Gift Aid. MAT_IN. Insufficient tax paid to cover tax repaid to charity.</t>
  </si>
  <si>
    <t>Employment, Partnership, Pension, Property and Dividends income with state pension Lump Sum. Losses, Relief for Finance Costs (Landlord Loan Savings Relief) and Community investment relief.</t>
  </si>
  <si>
    <t xml:space="preserve">Employment, Other income, Savings, Student Loan repayment (plan 01) SL, Chargeable Event Gains CEG, Top Slicing Relief TSR, Additional rate  </t>
  </si>
  <si>
    <t>Partnership12</t>
  </si>
  <si>
    <t>Test case index</t>
  </si>
  <si>
    <t>Calc figures updated for TC1 to TC245 with v0.1.0 calc figure for RMS compare</t>
  </si>
  <si>
    <t>Changes v1.0.1</t>
  </si>
  <si>
    <t>c5.63a</t>
  </si>
  <si>
    <t>new box c5.63a "c5.56 minus (c5.58.7 + c5.62)"</t>
  </si>
  <si>
    <t>c17.22a changed from “c1.57 minus c17.3” to “c4.63c minus c17.3”</t>
  </si>
  <si>
    <t>c5.64 changed from "lower of (c5.1 minus (c5.47 + c5.48 + c5.58i + c5.58k + c5.62 + c5.63)) and c5.16 + (c5.20 minus c5.58l) + (c5.21 minus c5.46))" to "lower of (c5.1 minus (c5.47 + c5.48 + c5.58i + c5.58k + c5.62 + c5.63 + c5.63a)) and c5.16 + (c5.20 minus c5.58l) + (c5.21 minus c5.46))"</t>
  </si>
  <si>
    <t>c5.66.2 changed from "lower of (c5.1 + c5.63a) minus (c5.47 + c5.48 +  c5.58i + c5.58k + c5.65 + c5.66) and c5.66.1" to "lower of c5.1 minus (c5.47 + c5.48 +  c5.58i + c5.58k + c5.65 + c5.66) and c5.66.1"</t>
  </si>
  <si>
    <t>c5.65 changed from "c5.58.7 + c5.58.9 + c5.62 + c5.63 + c5.64" to "c5.58.7 + c5.58.9 + c5.62 + c5.63 + c5.63a + c5.64"</t>
  </si>
  <si>
    <t>c5.56a changed from "lower of (c5.22 minus c5.48) and ((BR_band (£37,500) + c4.75) minus (c5.56.1 + c5.54a1))" to "lower of (c5.22 minus c5.48) and ((BR_band (£37,500) + c4.75) minus (c5.56.1 + c5.56.2))"</t>
  </si>
  <si>
    <t>Exclusion under consideration</t>
  </si>
  <si>
    <t>Exclusion 103. This is an update to existing change in v1.0.0. Identified through test case 231.</t>
  </si>
  <si>
    <t>Exclusion under consideration. Identified through test case 224 &amp; 226.</t>
  </si>
  <si>
    <t>Repayment of postgraduate loan repayment</t>
  </si>
  <si>
    <t>c99.3a</t>
  </si>
  <si>
    <t>c99.9a</t>
  </si>
  <si>
    <t>from CAL3.1</t>
  </si>
  <si>
    <t>c99</t>
  </si>
  <si>
    <t>c99.3a new</t>
  </si>
  <si>
    <t>c99.9a new</t>
  </si>
  <si>
    <t>c99.14 changed</t>
  </si>
  <si>
    <t>c99.15 changed</t>
  </si>
  <si>
    <t>c99.23 changed</t>
  </si>
  <si>
    <t>c5.58e changed from "c5.1 minus (c5.47 + c5.48 + c5.52h + c5.52q + c5.58 + c5.58d)" to "if c5.58d larger than c5.58a.68
c5.58e = c5.58a.54
else
c5.58e = 0 (zero)
end if"</t>
  </si>
  <si>
    <t>c5.58h changed from "lower of c5.58g and (c5.37 minus c5.46)" to "c5.58h lower of (c5.1 minus
(c5.47 + c5.48 + c5.52h + c5.52l + c5.58 + c5.58a.53 + c5.58e))
and (c5.58a.1 + c5.58a.54) minus (c5.58a.53 + c5.58e)"</t>
  </si>
  <si>
    <t>c5.58.8 change from "lower of (c5.1 minus (c5.47 + c5.48 + c5.58i + c5.58k + c5.58.7)) and (c5.34b1 + (c5.34c minus c5.52q) + (c5.34d minus c5.45))" to "lower of
(c5.1 minus (c5.47 + c5.48 + c5.58e + c5.58i + c5.58k + c5.58.7)) and
(c5.34b1 + c5.34c + c5.34d) minus (c5.45 + c5.58h)"</t>
  </si>
  <si>
    <t>c5.63 changed from "lower of c5.62a and c3a.2 " to "lower of (c5.1 minus (c5.47 + c5.48 + c5.58e + c5.58i +
c5.58k + c5.58.7 + c5.58.9 + c5.62)) and
((c5.34b + c5.34b1 + c5.34c + c5.34d) minus 
(c5.45 + c5.58h + c5.58.9))"</t>
  </si>
  <si>
    <t>c5.58b changed from "if c5.43b &gt; 0 (zero), and (c5.5 + c5.20) &gt; 0 (zero), c5.58b = (c5.43a minus (c5.44 + c5.52h)), else, c5.58b = c5.58a, end if" to "if c5.58a.53 larger than 0 (zero)
c5.58b = c5.58a.45
else
c5.58b = (c5.58a.49 + c5.58a.50)
end if"</t>
  </si>
  <si>
    <t>c5.58a.53 new "If c5.58a.52 larger than c5.58a.20
c5.58a.53 = c5.58a.1
else
c5.58a.53 = 0 (zero)
end if"</t>
  </si>
  <si>
    <t>c5.58a.49 new "if c5.56p larger than 0 (zero)
c5.58a.49 = (c5.56h x BR_rate (20%)) + (c5.56l x HR_rate (40%))
else
c5.58a.49 = c5.58a.48
end if"</t>
  </si>
  <si>
    <t>c5.58a.48 new "if c5.56 larger than 0 (zero)
c5.58a.48 = (c5.55.31 x BR_rate (20%)) + (c5.55.35 x HR_rate (40%))
else
c5.58a.48 = (c5.55.17 x BR_rate (20%)) + (c5.55.21 x HR_rate (40%))
end if"</t>
  </si>
  <si>
    <t>c5.58a.47 new "if c5.56 larger than 0 (zero)
c5.58a.47 = (c5.55.23 x c3a.3b) + (c5.55.24 x c3a.4) + (c5.55.25 x c3a.4a) + (c5.55.26 x c3a.5)
else
c5.58a.47 = (c5.55.11 x c3a.3b) + (c5.55.12 x c3a.4) + (c5.55.13 x c3a.4a) + (c5.55.14 x c3a.5)
end if"</t>
  </si>
  <si>
    <t>c5.52a changed from "c5.35 minus (c5.49 + c5.51)" to "if c5.48b &lt;= BR_band (£37,500) + c4.59
c5.52a = 0 (zero)
else
c5.52a = c5.1 minus (c5.47 + c5.48 + c5.52)
end if"</t>
  </si>
  <si>
    <t>c5.52d changed from "lower of (c5.52c and ((c5.49 + c5.51 + SR_band (£5,000)) minus c5.52a)) x BR_rate (20%)" to "If MAT_IN and c4.76c = 0 (zero)
and c4.74 &gt; (BR_band (£37,500) + c4.75)
c5.52d = c4.75m + c4.75n
else
c5.52d = 0 (zero)
end if"</t>
  </si>
  <si>
    <t>c5.52e1 changed from "c5.52e x SIR_rate (21%)" to "if c5.49 &gt; 0 (zero)
c5.52e1 = lower of (c5.35 minus c5.44) and (c5.49  + c5.52e)
else
c5.52e1 = lower of (c5.35 minus c5.44) and (c5.1 minus (c5.47 + c5.48))
end if"</t>
  </si>
  <si>
    <t>c5.68a changed from “lower of (c5.1 minus
(c5.47 + c5.48 + c5.58 + c5.58i + c5.58k + c5.65 + c5.66 + c5.66.7 + c5.66.9))
and (c5.11 minus (c5.46 + c5.58h + c5.64))” to “lower of (c5.1 minus
(c5.47 + c5.48 + c5.58 + c5.58i + c5.58k + c5.65 + c5.66 + c5.66.7 + c5.66.9))
and (c5.11 minus (c5.46 + c5.52l + c5.64))”</t>
  </si>
  <si>
    <t>c5.52h changed from "if c5.52g &gt; DivHR_rate (0.325), c5.52h = c5.52b, else, c5.52h = 0 (zero), end if" to "if c5.12 = 0 (zero) and
c5.19 + c5.20c &gt; 0 (zero) and
(c5.3 + c5.11) minus (c5.1 minus (c5.47 + c5.48 + c5.50 + c5.52c + c5.52d)) &gt; c5.2a
c5.52h = lower of (c5.49 + c5.52e) and c5.52g
else
c5.52h = lower of (c5.35 minus c5.44) and
(c5.1 minus (c5.47 + c5.48 + c5.50 + c5.52c + c5.52d))
end if"</t>
  </si>
  <si>
    <t>c5.52q changed from "if c5.52p &gt; c5.52o
c5.52q = 0 (zero)
else
c5.52q = c5.52j
end if" to 
"set to zero"</t>
  </si>
  <si>
    <t xml:space="preserve">c17.1 changed from “If calculation type = non-resident
c17.1 = c91.28
else
c17.1 = c3.21
end if” to
“from c3.21” </t>
  </si>
  <si>
    <t>c5.58a.54 changed from "lower of (c5.36 minus c5.45) and (c5.50 minus c5.58a.1)" to "if c5.58a.53 greater than 0 (zero), lower of (c5.50 minus c5.58a.1) and (c5.58a.3 minus (c5.58a.27 + c5.58a.29 + c5.58a.33)), else, lower of (c5.50 minus c5.58a.1) and (c5.56.2 minus (c5.56e1 + c5.56g + c5.56k)), end if"</t>
  </si>
  <si>
    <t>Exclusion 85. This is an update to existing change in v1.0.0. Identified through updated test case 53.</t>
  </si>
  <si>
    <t>120/P2000</t>
  </si>
  <si>
    <t>Exclusion 101 Previous change update</t>
  </si>
  <si>
    <t>c5.66n changed from "c5.48 + c5.58 + c5.58k + c5.66" to "lower of (c5.44 + c5.52h + c5.58.7 + c5.62 + c5.66.7) and c5.66b"</t>
  </si>
  <si>
    <t>c5.66p changed from "c5.44 + c5.52h + c5.58.7 + c5.62 + c5.66.7" to "lower of (c5.48 + c5.58 + c5.58k + c5.66) and (c5.66b minus c5.66d)"</t>
  </si>
  <si>
    <t>c5.67 changed from "(c5.44 + c5.52h + c5.58.7 + c5.62 + c5.66.7) minus c5.66q" to "(c5.44 + c5.52h + c5.58.7 + c5.62 + c5.66.7) minus c5.66o"</t>
  </si>
  <si>
    <t>c5.70 changed from "larger of (c5.1 minus (c5.67 + c5.68 + c5.69)) and ((c5.48 + c5.58 + c5.58k + c5.66) minus c5.66o)" to " larger of (c5.1 minus (c5.67 + c5.68 + c5.69)) and ((c5.48 + c5.58 + c5.58k + c5.66) minus c5.66q)"</t>
  </si>
  <si>
    <t>SA302_template_W</t>
  </si>
  <si>
    <t>c9.15a new "c9.15 x A_rate (10%)"</t>
  </si>
  <si>
    <t>c9.18 changed from "c9.15 + c9.16 + c9.17" to "c9.16 + c9.17"</t>
  </si>
  <si>
    <t>c9.30 changed from "c9.1 minus (c9.14 + c9.19 + c9.21 + c9.23 + c9.25 + c9.28 + c9.29)" to "c9.1 minus (c9.14 + c9.15a + c9.19 + c9.21 + c9.23 + c9.25 + c9.28 + c9.29)"</t>
  </si>
  <si>
    <t>c9.40 changed from "Higher of boxes c9.42 and c9.39" to "c9.32 + c9.39"</t>
  </si>
  <si>
    <t>L76 changed</t>
  </si>
  <si>
    <t>L78 changed</t>
  </si>
  <si>
    <t>L79 changed</t>
  </si>
  <si>
    <t>L79b changed</t>
  </si>
  <si>
    <t>L79b crossed through and new line L79b inserted</t>
  </si>
  <si>
    <t>L80 changed</t>
  </si>
  <si>
    <t>L81 changed</t>
  </si>
  <si>
    <t>Exclusion tbc Gift Aid Franking of tax claimed</t>
  </si>
  <si>
    <t>c9.15a</t>
  </si>
  <si>
    <t>Gift Aid tax charge</t>
  </si>
  <si>
    <t>income-tax-gift-aid</t>
  </si>
  <si>
    <t>L94 print criteria changed</t>
  </si>
  <si>
    <t>L95 print criteria changed</t>
  </si>
  <si>
    <t>Allowances to NS available</t>
  </si>
  <si>
    <t>Allowances to Div available</t>
  </si>
  <si>
    <t>Self employment, Savings, Dividends, Lump Sum income. Class 2, No Class 4 due. Student Loan Undergraduate and Postgraduate Loans Plan Types 02 and 03.</t>
  </si>
  <si>
    <t>v0.0.1</t>
  </si>
  <si>
    <t>Treth Incwm sy'n Ddyledus</t>
  </si>
  <si>
    <t>As a non-UK resident with Chargeable Event Gains no Top Slicing Relief due</t>
  </si>
  <si>
    <t>c9.37 changed from "from c28.14" to "c9.1 minus (c9.14 + c9.19 + c9.21 + c9.23 + c9.23b + c9.25 + c9.28 + c9.29 + c10.5)"</t>
  </si>
  <si>
    <t>Higher rate Scottish taxpayer with non-savings and savings income with pension payments with relief at source increasing Scottish and English &amp; NI basic rates</t>
  </si>
  <si>
    <t>Pension, savings, and dividend income with Chargeable Event Gain, Stock Dividends and taxable short service refund (overseas schemes) and Capital Gains. More beneficial to have CEG in HRNilBand than savings in BRNilBand</t>
  </si>
  <si>
    <t>c5.66q changed from "if (c5.66d + c5.66p) &gt;= c5.66b and
c5.66m minus c5.66i &gt; c5.66d
c5.66q = lower of (c5.37 minus (c5.46 + c5.52l + c5.64 + c5.68a)) and c5.66p
else
c5.66q = 0 (zero)
end if" to 
"if (c5.66b minus c5.66d) &gt; 0 (zero)
and c5.41 &gt; 0 (zero)
c5.66q = lower of (c5.37 minus (c5.46 + c5.52l + c5.64 + c5.68a + c5.66d + c5.66o)) and c5.66p
else
c5.66q = 0 (zero)
end if"</t>
  </si>
  <si>
    <t>Pension, savings, and dividend income with Chargeable Event Gain, Stock Dividends and taxable short service refund (overseas schemes) and Capital Gains (inc Investor's Relief). More beneficial to have CEG in HRNilBand than savings in BRNilBand</t>
  </si>
  <si>
    <t>Pay, Dividends and Chargeable Event Gains ensuring no Allcs allocated to CEG</t>
  </si>
  <si>
    <t>Where There's a Will</t>
  </si>
  <si>
    <t>Employment, Savings and Dividend income and Qualifying Loan Interest Payments</t>
  </si>
  <si>
    <t>Non-UK resident with Taxed Savings, Property income, and Venture Capital Trust subcriptions</t>
  </si>
  <si>
    <t>International Trading</t>
  </si>
  <si>
    <t>estate agents</t>
  </si>
  <si>
    <t>NVC</t>
  </si>
  <si>
    <t>property management</t>
  </si>
  <si>
    <t>land agents</t>
  </si>
  <si>
    <t>325/X98</t>
  </si>
  <si>
    <t>Import Ant Software</t>
  </si>
  <si>
    <t>Exclusion 106 (see c5.17 &amp; c5.26 (test case 153))</t>
  </si>
  <si>
    <t>AOI13.1</t>
  </si>
  <si>
    <t>Close company loans written off or released</t>
  </si>
  <si>
    <t>Non-qualifying distributions</t>
  </si>
  <si>
    <t>13.1</t>
  </si>
  <si>
    <t>C1 Component Sheet</t>
  </si>
  <si>
    <t>AOI13.1 added</t>
  </si>
  <si>
    <t>The Structures and Buildings Allowance</t>
  </si>
  <si>
    <t>SSE25.1</t>
  </si>
  <si>
    <t>PRO11.1</t>
  </si>
  <si>
    <t>PRO33.1</t>
  </si>
  <si>
    <t>Electric charge-point allowance</t>
  </si>
  <si>
    <t>33.1</t>
  </si>
  <si>
    <t>FOR22.1</t>
  </si>
  <si>
    <t>FOR22.2</t>
  </si>
  <si>
    <t>C3 Component Sheet</t>
  </si>
  <si>
    <t>SSE25.1, FSE53 &amp; FSE54 added</t>
  </si>
  <si>
    <t>C5 Component Sheet</t>
  </si>
  <si>
    <t>PRO11.1, PRO33 &amp; PRO33.1 added</t>
  </si>
  <si>
    <t>C6 Component Sheet</t>
  </si>
  <si>
    <t>FOR22.1 &amp; FOR22.2 added</t>
  </si>
  <si>
    <t>C8C9C10 Component Sheet</t>
  </si>
  <si>
    <t>CGT9 &amp; CGT10 crossed through and CGT52.1, CGT52.2, CGT52.3, CGT52.4, &amp; CGT42.5 added</t>
  </si>
  <si>
    <t>c3.13a</t>
  </si>
  <si>
    <t>c3</t>
  </si>
  <si>
    <t>c3.14 changed from "c3.10 + c3.11 + c3.12 + c3.13" to "c3.10 + c3.11 + c3.12 + c3.13 + c3.13a"</t>
  </si>
  <si>
    <t>c3.13a new "from AOI13.1"</t>
  </si>
  <si>
    <r>
      <t>c91.34d changed from "(c3.6</t>
    </r>
    <r>
      <rPr>
        <sz val="10"/>
        <color rgb="FFFF0000"/>
        <rFont val="Arial"/>
        <family val="2"/>
      </rPr>
      <t xml:space="preserve"> + c3.7</t>
    </r>
    <r>
      <rPr>
        <sz val="10"/>
        <rFont val="Arial"/>
        <family val="2"/>
      </rPr>
      <t xml:space="preserve"> + c3.8 + c3.10 + c3.11) x DivBR_rate (7.5%)" to "(c3.6 + c3.8 + c3.10 + c3.11 </t>
    </r>
    <r>
      <rPr>
        <sz val="10"/>
        <color rgb="FF00B050"/>
        <rFont val="Arial"/>
        <family val="2"/>
      </rPr>
      <t>+ c3.13</t>
    </r>
    <r>
      <rPr>
        <sz val="10"/>
        <rFont val="Arial"/>
        <family val="2"/>
      </rPr>
      <t>) x DivBR_rate (7.5%)"</t>
    </r>
  </si>
  <si>
    <r>
      <t xml:space="preserve">c10.5 changed from "If NRD1 = N, c10.5 = 0 (zero), else, c10.5 = (c3.1 + c3.6 </t>
    </r>
    <r>
      <rPr>
        <sz val="10"/>
        <color rgb="FFFF0000"/>
        <rFont val="Arial"/>
        <family val="2"/>
      </rPr>
      <t xml:space="preserve">+ c3.7 </t>
    </r>
    <r>
      <rPr>
        <sz val="10"/>
        <rFont val="Arial"/>
        <family val="2"/>
      </rPr>
      <t xml:space="preserve">+ c3.8 + c3.10 + c3.11) x DivBR_rate (7.5%), end if" to "If NRD1 = N, c10.5 = 0 (zero), else, c10.5 = (c3.1 + c3.6 + c3.8 + c3.10 + c3.11 </t>
    </r>
    <r>
      <rPr>
        <sz val="10"/>
        <color rgb="FF00B050"/>
        <rFont val="Arial"/>
        <family val="2"/>
      </rPr>
      <t>+ c3.13</t>
    </r>
    <r>
      <rPr>
        <sz val="10"/>
        <rFont val="Arial"/>
        <family val="2"/>
      </rPr>
      <t>) x DivBR_rate (7.5%), end if"</t>
    </r>
  </si>
  <si>
    <t>c91.17 changed from "c3.12 + c3.13" to "c3.12 + c3.13 + c3.13a"</t>
  </si>
  <si>
    <t>Loan interest and other financial costs (75%)</t>
  </si>
  <si>
    <t>Non-UK resident, Pension income, Bonus issue of securities where s399 applies, Loan written off</t>
  </si>
  <si>
    <t>Welsh, Student Loan SL repayment case PGL Plan 03, PPR, BR Employment/PRO, PSA (HR), DA, DOR, DUR, LLIR to max allowable,  Small Debt Coded with PAYE Tax to cover (STR 17)</t>
  </si>
  <si>
    <t>Scottish customer with Non savings income 'covered' by PA, SAV Starter rate, PSA, DA, Gift Aid, LLIR reduced to max allowable, additional tax due on gift aid SL repayment case PT 01 &amp; PGL 03. ( STR 9)</t>
  </si>
  <si>
    <t>Welsh customer with Non-Savings, Savings and Dividends where more beneficial to have some of PA against Dividends before Non-Savings/Savings, SL repayment case PT02 &amp; PGL 03 (STR 4)</t>
  </si>
  <si>
    <t>335/A55</t>
  </si>
  <si>
    <t>126/57</t>
  </si>
  <si>
    <t>Scottish, Employment income, Savings income &amp; loss relief. CGT without deficiency.</t>
  </si>
  <si>
    <t>L85 print criteria changed</t>
  </si>
  <si>
    <t>s399 ITTOIA 2005 tax treated as paid on dividends from UK companies</t>
  </si>
  <si>
    <t>c5.34c changed from "lower of (c5.34a minus (c5.34a1 + c5.34b + c5.34b1)) and (c3a.3 minus (c5.5 + c5.20 + c5.30))" to "lower of (c5.34a minus (c5.34a1 + c5.34b + c5.34b1)) and ((c3a.3a + c4.59) minus (c5.3 + c5.11 + c5.22 + c5.34a1 + c5.34b + c5.34b1))"</t>
  </si>
  <si>
    <t>for pension payments and Gift Aid payments. This reduces the amount of income charged to higher rates of tax.</t>
  </si>
  <si>
    <t>Components: YPD=3, INC-A=3, INC-B=3, INC-C=3, REL-A=3, REL-B=3, REL-C=3, SLR=3, CBC=3, MAT=3, FIN=1, Emp-A=3, FSE=3, NI2=10, NI1=3, CAL=3, DoB =17/11/1980, FIN1 =£600</t>
  </si>
  <si>
    <t>Components: YPD=7, INC-A=7, INC-B=7, INC-C=7, REL-A=7, REL-B=7, REL-C=7, SLR=7, CBC=7, MAT=7, FIN=1, MCA=7, Emp-A=7, CAL=4, DoB =05/03/1945, NIC exempt</t>
  </si>
  <si>
    <t>Components: YPD=26, INC-A=26, REL-B=26, MAT=26, FIN=1, Emp-A=26, DoB =02/05/2005</t>
  </si>
  <si>
    <t>Components: YPD=27, INC-A=27, REL-C=27, MAT=27, FIN=1, Emp-A=27, FSE=27, PRO=27, DoB =17/11/1980</t>
  </si>
  <si>
    <t>Components: YPD=28, INC-A=28, INC-B=28, REL-B=28, FIN=1, DoB =17/11/1980</t>
  </si>
  <si>
    <t>Components: YPD=29, INC-A=29, REL-A=29, FIN=1, Emp-A=29, DoB =02/05/2005</t>
  </si>
  <si>
    <t>Components: YPD=30, INC-A=30, REL-A=30, FIN=1, Emp-A=30, FSE=30, NI2=5, CAL=9, DoB =17/11/1980</t>
  </si>
  <si>
    <t>Components: YPD=31, INC-B=31, INC-C=31, REL-A=31, REL-B=31, REL-C=31, SLR=31, CBC=31, MAT=31, FIN=1, Emp-A=31, MOR=31, CGT=4, DoB =not present</t>
  </si>
  <si>
    <t>Components: YPD=32, INC-A=32, INC-B=32, INC-C=32, REL-A=32, REL-B=32, REL-C=32, SLR=32, CBC=32, MAT=32, FIN=1, AOR=32, Emp-A=32, Emp-B=32, FSE=32, LUN=1, SPS=32, NI2=4, NI1=32, PRO=32, DoB =17/11/1980</t>
  </si>
  <si>
    <t>Components: YPD=33, INC-A=33, INC-B=33, INC-C=33, REL-A=33, REL-B=33, REL-C=33, SLR=33, CBC=33, MAT=33, FIN=1, ASE-A=33, Emp-A=33, CGT=4, DoB =17/11/1980</t>
  </si>
  <si>
    <t>Components: YPD=34, INC-A=34, INC-B=34, INC-C=34, REL-A=34, REL-B=34, REL-C=34, SLR=34, CBC=34, MAT=34, FIN=1, AOI-B=34, FSE=34, NI2=4, DoB =17/11/1980</t>
  </si>
  <si>
    <t>Components: YPD=35, INC-A=35, INC-B=35, INC-C=35, REL-A=35, REL-B=35, REL-C=35, SLR=35, CBC=35, MAT=35, FIN=1, AOI-B=35, FPS=35, DoB =03/01/1957</t>
  </si>
  <si>
    <t>Components: YPD=36, INC-A=36, INC-B=36, INC-C=36, REL-A=36, REL-B=36, REL-C=36, SLR=36, CBC=36, MAT=36, FIN=1, AOI-B=36, DoB =03/01/1957</t>
  </si>
  <si>
    <t>Components: YPD=37, INC-A=37, INC-B=37, INC-C=37, REL-A=37, REL-B=37, REL-C=37, SLR=37, CBC=37, MAT=37, FIN=1, AOI-C=37, SSE=37, CGT=13, DoB =17/11/1980</t>
  </si>
  <si>
    <t>Components: YPD=38, INC-B=38, INC-C=38, REL-A=38, REL-B=38, REL-C=38, SLR=38, CBC=38, MAT=38, FIN=1, ASE-B=38, Emp-A=38, FOR=38, TCR=38, DoB =17/11/1980</t>
  </si>
  <si>
    <t>Components: YPD=39, INC-A=39, INC-B=39, INC-C=39, REL-A=39, REL-B=39, REL-C=39, SLR=39, CBC=39, MAT=39, FIN=1, AOR=39, Emp-A=39, FOR=39, TCR=39, TRU=3, DoB =03/01/1957</t>
  </si>
  <si>
    <t>Components: YPD=40, INC-A=40, INC-B=40, INC-C=40, REL-A=40, REL-B=40, REL-C=40, SLR=40, CBC=40, MAT=40, FIN=1, AOI-B=40, PRO=40, DoB =not present</t>
  </si>
  <si>
    <t>Components: YPD=41, INC-A=41, INC-B=41, INC-C=41, REL-A=41, REL-B=41, REL-C=41, SLR=41, CBC=41, MAT=41, FIN=1, AOI-B=41, Emp-A=41, Emp-B=41, DoB =not present</t>
  </si>
  <si>
    <t>Components: YPD=42, INC-A=42, INC-B=42, INC-C=42, REL-A=42, REL-B=42, REL-C=42, SLR=42, CBC=42, MAT=42, FIN=1, Emp-A=42, SSE=42, NI2=6, NI1=42, DoB =not present, NIC2 voluntary</t>
  </si>
  <si>
    <t>Components: YPD=43, INC-A=43, INC-B=43, INC-C=43, REL-A=43, REL-B=43, REL-C=43, SLR=43, CBC=43, MAT=43, FIN=1, Emp-A=43, CGT=2, DoB =03/01/1957</t>
  </si>
  <si>
    <t>Components: YPD=44, INC-B=44, INC-C=44, REL-A=44, REL-B=44, REL-C=44, SLR=44, CBC=44, MAT=44, FIN=1, SSE=44, FSE=44, NI2=4, TRU=2, DoB =not present</t>
  </si>
  <si>
    <t>Components: YPD=45, INC-B=45, INC-C=45, REL-A=45, REL-B=45, REL-C=45, SLR=45, CBC=45, MAT=45, FIN=1, AOI-B=45, MCA=45, PRO=45, FOR=45, DoB =03/06/1934, NIC exempt</t>
  </si>
  <si>
    <t>Components: YPD=46, INC-A=46, INC-B=46, INC-C=46, REL-A=46, REL-B=46, REL-C=46, SLR=46, CBC=46, MAT=46, FIN=1, NRD=1, DoB =05/03/1945, NIC exempt</t>
  </si>
  <si>
    <t>Components: YPD=47, INC-A=47, INC-B=47, INC-C=47, REL-A=47, REL-B=47, REL-C=47, SLR=47, CBC=47, MAT=47, FIN=1, PRO=47, NRD=1, DoB =17/11/1980, NIC exempt</t>
  </si>
  <si>
    <t>Components: YPD=48, INC-A=48, INC-B=48, INC-C=48, REL-A=48, REL-B=48, REL-C=48, SLR=48, CBC=48, MAT=48, FIN=1, PRO=48, NRD=1, DoB =17/11/1980, NIC exempt</t>
  </si>
  <si>
    <t>Components: YPD=49, INC-B=49, INC-C=49, REL-A=49, REL-B=49, REL-C=49, SLR=49, CBC=49, MAT=49, FIN=1, ASE-A=49, AOR=2, Emp-A=49, Emp-B=49, CAL=2, DoB =not present, FIN1 =£671</t>
  </si>
  <si>
    <t>Components: YPD=50, INC-B=50, INC-C=50, REL-A=50, REL-B=50, REL-C=50, SLR=50, CBC=50, MAT=50, FIN=1, Emp-A=50, Emp-B=50, FPS=50, NI2=4, NI1=50, FOR=50, TCR=50, CGT=2, DoB =not present, NIC2 voluntary</t>
  </si>
  <si>
    <t>Components: YPD=51, INC-B=51, INC-C=51, REL-A=51, REL-B=51, REL-C=51, SLR=51, CBC=51, MAT=51, FIN=1, AOR=5, SPS=51, FPS=51, NI2=8, FOR=51, TCR=51, TRU=6, DoB =not present</t>
  </si>
  <si>
    <t>Components: YPD=52, INC-A=52, INC-B=52, INC-C=52, REL-A=52, REL-B=52, REL-C=52, SLR=52, CBC=52, MAT=52, FIN=1, AOI-A=52, AOI-B=52, AOI-C=52, ASE-A=52, ASE-B=52, ASE-C=52, AOR=52, MCA=52, Emp-A=52, Emp-B=52, SSE=52, SPS=52, NI2=8, NI1=52, PRO=52, FOR=52, TCR=52, TRU=7, CGT=3, DoB =03/01/1957, FIN1 =£671</t>
  </si>
  <si>
    <t>Components: YPD=53, INC-A=53, SLR=53, FIN=1, ASE-B=53, Emp-A=53, SSE=53, NI2=4, DoB =17/11/1980</t>
  </si>
  <si>
    <t>Components: YPD=54, INC-A=54, REL-A=54, SLR=54, FIN=1, Emp-A=54, Emp-B=54, DoB =17/11/1980</t>
  </si>
  <si>
    <t>Components: YPD=55, INC-A=55, INC-B=55, FIN=1, AOI-B=55, CGT=55, DoB =17/11/1980</t>
  </si>
  <si>
    <t>Components: YPD=56, INC-A=56, FIN=1, AOI-B=56, Emp-A=56, DoB =22/02/1936, NIC exempt</t>
  </si>
  <si>
    <t>Components: YPD=57, INC-A=57, FIN=1, AOR=57, Emp-A=57, NI2=4, DoB =22/02/1936</t>
  </si>
  <si>
    <t>Components: YPD=58, INC-B=58, INC-C=58, REL-A=58, REL-B=58, REL-C=58, SLR=58, CBC=58, MAT=58, FIN=1, FSE=58, NI2=4, FOR=58, TCR=58, DoB =17/11/1980</t>
  </si>
  <si>
    <t>Components: YPD=59, INC-A=59, FIN=1, AOR=59, PRO=59, NRD=59, DoB =05/03/1945, NIC exempt</t>
  </si>
  <si>
    <t>Components: YPD=60, INC-A=60, INC-B=60, INC-C=60, REL-A=60, REL-B=60, REL-C=60, SLR=60, CBC=60, MAT=60, FIN=1, AOI-B=60, TRU=2, DoB =17/11/1980</t>
  </si>
  <si>
    <t>Components: YPD=61, INC-A=61, INC-B=61, INC-C=61, REL-A=61, REL-B=61, REL-C=61, SLR=61, CBC=61, MAT=61, FIN=1, AOI-B=61, Emp-A=61, DoB =22/02/1936, NIC exempt</t>
  </si>
  <si>
    <t>Components: YPD=62, INC-A=62, INC-B=62, INC-C=62, REL-A=62, REL-B=62, REL-C=62, SLR=62, CBC=62, MAT=62, FIN=1, MCA=62, DoB =05/03/1945, NIC exempt</t>
  </si>
  <si>
    <t>Components: YPD=63, INC-A=63, INC-B=63, INC-C=63, REL-A=63, REL-B=63, REL-C=63, SLR=63, CBC=63, MAT=63, FIN=1, AOI-B=63, AOR=63, Emp-A=63, DoB =05/03/1945, FIN1 =£617</t>
  </si>
  <si>
    <t>Components: YPD=64, INC-B=64, INC-C=64, REL-A=64, REL-B=64, REL-C=64, SLR=64, CBC=64, MAT=64, FIN=1, FSE=64, NI2=10, CGT=3, DoB =05/03/1945, NIC exempt</t>
  </si>
  <si>
    <t>Components: YPD=65, INC-A=65, INC-B=65, INC-C=65, REL-A=65, REL-B=65, REL-C=65, SLR=65, CBC=65, MAT=65, FIN=1, DoB =03/06/1934, NIC exempt</t>
  </si>
  <si>
    <t>Components: YPD=66, INC-A=66, INC-B=66, INC-C=66, REL-A=66, REL-B=66, REL-C=66, SLR=66, CBC=66, MAT=66, FIN=1, DoB =03/01/1957, NIC exempt</t>
  </si>
  <si>
    <t>Components: YPD=67, INC-A=67, INC-B=67, INC-C=67, REL-A=67, REL-B=67, REL-C=67, SLR=67, CBC=67, MAT=67, FIN=1, AOI-C=67, Emp-A=67, DoB =03/06/1934, NIC exempt</t>
  </si>
  <si>
    <t>Components: YPD=68, INC-A=68, INC-B=68, INC-C=68, REL-A=68, REL-B=68, REL-C=68, SLR=68, CBC=68, MAT=68, FIN=1, PRO=68, CGT=5, DoB =22/02/1936, NIC exempt</t>
  </si>
  <si>
    <t>Components: YPD=69, INC-A=69, INC-B=69, INC-C=69, REL-A=69, REL-B=69, REL-C=69, SLR=69, CBC=69, MAT=69, FIN=1, AOI-A=69, CGT=1, DoB =05/03/1945, NIC exempt</t>
  </si>
  <si>
    <t>Components: YPD=70, INC-A=70, INC-B=70, INC-C=70, REL-A=70, REL-B=70, REL-C=70, SLR=70, CBC=70, MAT=70, FIN=1, MCA=70, SSE=70, NI2=5, PRO=70, DoB =03/06/1934, NIC exempt</t>
  </si>
  <si>
    <t>Components: YPD=71, INC-A=71, INC-B=71, INC-C=71, REL-A=71, REL-B=71, REL-C=71, SLR=71, CBC=71, MAT=71, FIN=1, MCA=71, CGT=3, DoB =03/06/1934, NIC exempt</t>
  </si>
  <si>
    <t>Components: YPD=72, INC-A=72, INC-B=72, INC-C=72, REL-A=72, REL-B=72, REL-C=72, SLR=72, CBC=72, MAT=72, FIN=1, MCA=72, PRO=72, DoB =03/06/1934, NIC exempt</t>
  </si>
  <si>
    <t>Components: YPD=73, INC-A=73, INC-B=73, INC-C=73, REL-A=73, REL-B=73, REL-C=73, SLR=73, CBC=73, MAT=73, FIN=1, MCA=73, DoB =03/06/1934, NIC exempt</t>
  </si>
  <si>
    <t>Components: YPD=74, INC-B=74, INC-C=74, REL-A=74, REL-B=74, REL-C=74, SLR=74, CBC=74, MAT=74, FIN=1, CGT=3, DoB =05/03/1945, NIC exempt</t>
  </si>
  <si>
    <t>Components: YPD=75, INC-A=75, INC-B=75, INC-C=75, REL-A=75, REL-B=75, REL-C=75, SLR=75, CBC=75, MAT=75, FIN=1, MCA=75, DoB =05/03/1945, NIC exempt</t>
  </si>
  <si>
    <t>Components: YPD=76, INC-B=76, INC-C=76, REL-A=76, REL-B=76, REL-C=76, SLR=76, CBC=76, MAT=76, FIN=1, MCA=76, FSE=76, NI2=4, DoB =17/11/1980</t>
  </si>
  <si>
    <t>Components: YPD=77, INC-B=77, INC-C=77, REL-A=77, REL-B=77, REL-C=77, SLR=77, CBC=77, MAT=77, FIN=1, AOI-B=77, AOR=77, PRO=77, TRU=3, DoB =17/11/1980</t>
  </si>
  <si>
    <t>Components: YPD=78, INC-B=78, INC-C=78, REL-A=78, REL-B=78, REL-C=78, SLR=78, CBC=78, MAT=78, FIN=1, MCA=78, Emp-A=78, PRO=78, CGT=1, DoB =03/06/1934, NIC exempt</t>
  </si>
  <si>
    <t>Components: YPD=79, INC-B=79, INC-C=79, REL-A=79, REL-B=79, REL-C=79, SLR=79, CBC=79, MAT=79, FIN=1, AIL=79, Emp-A=79, Emp-B=79, DoB =03/01/1957</t>
  </si>
  <si>
    <t>Components: YPD=80, INC-A=80, INC-B=80, INC-C=80, REL-A=80, REL-B=80, REL-C=80, SLR=80, CBC=80, MAT=80, FIN=1, MCA=80, Emp-A=80, FSE=80, NI2=4, NI1=80, DoB =03/06/1934, NIC exempt</t>
  </si>
  <si>
    <t>Components: YPD=81, INC-A=81, INC-B=81, INC-C=81, REL-A=81, REL-B=81, REL-C=81, SLR=81, CBC=81, MAT=81, FIN=1, DoB =17/11/1980</t>
  </si>
  <si>
    <t>Components: YPD=82, INC-A=82, INC-B=82, INC-C=82, REL-A=82, REL-B=82, REL-C=82, SLR=82, CBC=82, MAT=82, FIN=1, MCA=82, Emp-A=82, FSE=82, NI2=10, NI1=82, PRO=82, DoB =03/06/1934, FIN1 =£617, NIC exempt</t>
  </si>
  <si>
    <t>Components: YPD=83, INC-A=83, INC-B=83, INC-C=83, REL-A=83, REL-B=83, REL-C=83, SLR=83, CBC=83, MAT=83, FIN=1, AOI-A=83, AOR=83, MOR=83, SSE=83, SPS=83, PRO=83, CAL=3, DoB =05/03/1945, NIC exempt</t>
  </si>
  <si>
    <t>Components: YPD=84, INC-A=84, INC-B=84, INC-C=84, REL-A=84, REL-B=84, REL-C=84, SLR=84, CBC=84, MAT=84, FIN=1, AOI-B=84, FOR=84, NRD=3, DoB =not present</t>
  </si>
  <si>
    <t>Components: YPD=85, INC-A=85, INC-B=85, INC-C=85, REL-A=85, REL-B=85, REL-C=85, SLR=85, CBC=85, MAT=85, FIN=1, DoB =05/03/1945, FIN1 =£865, NIC exempt</t>
  </si>
  <si>
    <t>Components: YPD=86, INC-A=86, INC-B=86, INC-C=86, REL-A=86, REL-B=86, REL-C=86, SLR=86, CBC=86, MAT=86, FIN=1, AIL=86, FSE=86, NI2=4, DoB =not present</t>
  </si>
  <si>
    <t>Components: YPD=87, INC-B=87, INC-C=87, REL-A=87, REL-B=87, REL-C=87, SLR=87, CBC=87, MAT=87, FIN=1, DoB =not present</t>
  </si>
  <si>
    <t>Components: YPD=88, INC-B=88, INC-C=88, REL-A=88, REL-B=88, REL-C=88, SLR=88, CBC=88, MAT=88, FIN=1, AOI-C=88, AIL=88, Emp-A=88, Emp-B=88, DoB =not present</t>
  </si>
  <si>
    <t>Components: YPD=89, INC-B=89, INC-C=89, REL-A=89, REL-B=89, REL-C=89, SLR=89, CBC=89, MAT=89, FIN=1, Emp-A=89, SSE=89, NI2=6, NI1=89, DoB =17/11/1980, NIC2 voluntary</t>
  </si>
  <si>
    <t>Components: YPD=90, INC-A=90, INC-B=90, INC-C=90, REL-A=90, REL-B=90, REL-C=90, SLR=90, CBC=90, MAT=90, FIN=1, SSE=90, FPS=90, NI2=5, DoB =05/03/1945, NIC exempt</t>
  </si>
  <si>
    <t>Components: YPD=91, INC-A=91, INC-B=91, INC-C=91, REL-A=91, REL-B=91, REL-C=91, SLR=91, CBC=91, MAT=91, FIN=1, ASE-C=91, AIL=91, Emp-A=91, PRO=91, DoB =17/11/1980</t>
  </si>
  <si>
    <t>Components: YPD=92, INC-A=92, INC-B=92, INC-C=92, REL-A=92, REL-B=92, REL-C=92, SLR=92, CBC=92, MAT=92, FIN=1, AOI-B=92, AOR=92, FSE=92, NI2=4, PRO=92, DoB =17/11/1980</t>
  </si>
  <si>
    <t>Components: YPD=93, INC-A=93, INC-B=93, INC-C=93, REL-A=93, REL-B=93, REL-C=93, SLR=93, CBC=93, MAT=93, FIN=1, AOI-B=93, AOR=93, FSE=93, NI2=4, PRO=93, DoB =17/11/1980</t>
  </si>
  <si>
    <t>Components: YPD=94, INC-A=94, INC-B=94, INC-C=94, REL-A=94, REL-B=94, REL-C=94, SLR=94, CBC=94, MAT=94, FIN=1, AOI-B=94, AOI-C=94, MOR=94, PRO=94, FOR=94, TCR=94, CGT=1, CAL=1, DoB =17/11/1980, FIN1 =£289</t>
  </si>
  <si>
    <t>Components: YPD=95, INC-B=95, INC-C=95, REL-A=95, REL-B=95, REL-C=95, SLR=95, CBC=95, MAT=95, FIN=1, AOI-A=95, AOI-C=95, FSE=95, NI2=4, DoB =17/11/1980</t>
  </si>
  <si>
    <t>Components: YPD=96, INC-B=96, INC-C=96, REL-A=96, REL-B=96, REL-C=96, SLR=96, CBC=96, MAT=96, FIN=1, AOI-A=96, AOI-C=96, ASE-C=2, AOR=96, Emp-A=96, FSE=96, NI2=4, NI1=96, PRO=96, DoB =03/01/1957</t>
  </si>
  <si>
    <t>Components: YPD=97, INC-B=97, INC-C=97, REL-A=97, REL-B=97, REL-C=97, SLR=97, CBC=97, MAT=97, FIN=1, AOI-A=97, AOR=97, SPS=97, NI2=4, DoB =17/11/1980, FIN1 =£650.29</t>
  </si>
  <si>
    <t>Components: YPD=98, INC-B=98, INC-C=98, REL-A=98, REL-B=98, REL-C=98, SLR=98, CBC=98, MAT=98, FIN=1, AOI-A=98, AOI-B=98, SPS=98, NI2=4, DoB =03/01/1957, NIC2 voluntary</t>
  </si>
  <si>
    <t>Components: YPD=99, INC-A=99, INC-B=99, INC-C=99, REL-A=99, REL-B=99, REL-C=99, SLR=99, CBC=99, MAT=99, FIN=1, AOI-B=99, FPS=99, NI2=9, DoB =17/11/1980</t>
  </si>
  <si>
    <t>Components: YPD=100, INC-A=100, INC-B=100, INC-C=100, REL-A=100, REL-B=100, REL-C=100, SLR=100, CBC=100, MAT=100, FIN=1, FPS=100, NI2=6, PRO=100, DoB =17/11/1980</t>
  </si>
  <si>
    <t>Components: YPD=101, INC-A=101, INC-B=101, INC-C=101, REL-A=101, REL-B=101, REL-C=101, SLR=101, CBC=101, MAT=101, FIN=1, AOI-B=101, AOI-C=101, AOR=101, FPS=101, NI2=6, PRO=101, CGT=3, DoB =17/11/1980</t>
  </si>
  <si>
    <t>Components: YPD=102, INC-A=102, INC-B=102, INC-C=102, REL-A=102, REL-B=102, REL-C=102, SLR=102, CBC=102, MAT=102, FIN=1, Emp-A=102, Emp-B=102, CAL=2, DoB =17/11/1980</t>
  </si>
  <si>
    <t>Components: YPD=103, INC-B=103, INC-C=103, REL-A=103, REL-B=103, REL-C=103, SLR=103, CBC=103, MAT=103, FIN=1, AOI-B=103, AOR=103, FSE=103, NI2=4, PRO=103, CGT=2, DoB =not present</t>
  </si>
  <si>
    <t>Components: YPD=104, INC-B=104, INC-C=104, REL-A=104, REL-B=104, REL-C=104, SLR=104, CBC=104, MAT=104, FIN=1, AOI-B=104, Emp-A=104, SSE=104, SPS=104, NI2=4, DoB =03/01/1957</t>
  </si>
  <si>
    <t>Components: YPD=105, INC-A=105, INC-B=105, INC-C=105, REL-A=105, REL-B=105, REL-C=105, SLR=105, CBC=105, MAT=105, FIN=1, AOI-B=105, Emp-A=105, DoB =03/01/1957</t>
  </si>
  <si>
    <t>Components: YPD=106, INC-A=106, INC-B=106, INC-C=106, REL-A=106, REL-B=106, REL-C=106, SLR=106, CBC=106, MAT=106, FIN=1, AOI-B=106, ASE-B=106, Emp-A=106, DoB =17/11/1980</t>
  </si>
  <si>
    <t>Components: YPD=107, INC-A=107, INC-B=107, INC-C=107, REL-A=107, REL-B=107, REL-C=107, SLR=107, CBC=107, MAT=107, FIN=1, AOI-B=107, SPS=107, NI2=4, CGT=2, DoB =17/11/1980</t>
  </si>
  <si>
    <t>Components: YPD=108, INC-B=108, INC-C=108, REL-A=108, REL-B=108, REL-C=108, SLR=108, CBC=108, MAT=108, FIN=1, AOI-A=108, AOI-C=108, AOR=108, FPS=108, TRU=1, DoB =05/03/1945, NIC exempt</t>
  </si>
  <si>
    <t>Components: YPD=109, INC-B=109, INC-C=109, REL-A=109, REL-B=109, REL-C=109, SLR=109, CBC=109, MAT=109, FIN=1, AOI-C=109, AOR=109, Emp-A=109, Emp-B=109, PRO=109, FOR=109, TCR=109, DoB =05/03/1945, NIC exempt</t>
  </si>
  <si>
    <t>Components: YPD=110, INC-B=110, INC-C=110, REL-A=110, REL-B=110, REL-C=110, SLR=110, CBC=110, MAT=110, FIN=1, AOR=110, FSE=110, FPS=110, NI2=9, TRU=3, CGT=4, DoB =17/11/1980</t>
  </si>
  <si>
    <t>Components: YPD=111, INC-B=111, INC-C=111, REL-A=111, REL-B=111, REL-C=111, SLR=111, CBC=111, MAT=111, FIN=1, Emp-A=111, MOR=111, TRU=2, CAL=5, DoB =03/01/1957</t>
  </si>
  <si>
    <t>Components: YPD=112, INC-A=112, INC-B=112, INC-C=112, REL-A=112, REL-B=112, REL-C=112, SLR=112, CBC=112, MAT=112, FIN=1, ASE-B=112, Emp-A=112, Emp-B=112, PRO=112, CAL=5, DoB =not present</t>
  </si>
  <si>
    <t>Components: YPD=113, INC-A=113, INC-B=113, INC-C=113, REL-A=113, REL-B=113, REL-C=113, SLR=113, CBC=113, MAT=113, FIN=1, SPS=113, FPS=113, NI2=9, PRO=113, FOR=113, TCR=113, TRU=5, CGT=4, DoB =17/11/1980</t>
  </si>
  <si>
    <t>Components: YPD=114, INC-B=114, INC-C=114, REL-A=114, REL-B=114, REL-C=114, SLR=114, CBC=114, MAT=114, FIN=1, ASE-A=114, SSE=114, NI2=4, DoB =17/11/1980</t>
  </si>
  <si>
    <t>Components: YPD=115, INC-B=115, INC-C=115, REL-A=115, REL-B=115, REL-C=115, SLR=115, CBC=115, MAT=115, FIN=1, SSE=115, FSE=115, NI2=4, CGT=5, DoB =17/11/1980</t>
  </si>
  <si>
    <t>Components: YPD=116, INC-A=116, INC-B=116, INC-C=116, REL-A=116, REL-B=116, REL-C=116, SLR=116, CBC=116, MAT=116, FIN=1, ASE-B=116, Emp-A=116, LUN=1, NI2=4, DoB =not present, NIC2 voluntary</t>
  </si>
  <si>
    <t>Components: YPD=117, INC-A=117, INC-B=117, INC-C=117, REL-A=117, REL-B=117, REL-C=117, SLR=117, CBC=117, MAT=117, FIN=1, LUN=6, NI2=4, TRU=4, DoB =03/01/1957</t>
  </si>
  <si>
    <t>Components: YPD=118, INC-A=118, INC-B=118, INC-C=118, REL-A=118, REL-B=118, REL-C=118, SLR=118, CBC=118, MAT=118, FIN=1, PRO=118, TRU=4, DoB =17/11/1980</t>
  </si>
  <si>
    <t>Components: YPD=119, INC-A=119, INC-B=119, INC-C=119, REL-A=119, REL-B=119, REL-C=119, SLR=119, CBC=119, MAT=119, FIN=1, MCA=119, NRD=3, DoB =03/06/1934, NIC exempt</t>
  </si>
  <si>
    <t>Components: YPD=120, INC-A=120, INC-B=120, INC-C=120, REL-A=120, REL-B=120, REL-C=120, SLR=120, CBC=120, MAT=120, FIN=1, Emp-A=120, FOR=120, TCR=120, NRD=5, DoB =not present</t>
  </si>
  <si>
    <t>Components: YPD=121, INC-A=121, INC-B=121, INC-C=121, REL-A=121, REL-B=121, REL-C=121, SLR=121, CBC=121, MAT=121, FIN=1, Emp-A=121, SPS=121, NI2=6, DoB =17/11/1980</t>
  </si>
  <si>
    <t>Components: YPD=122, INC-B=122, INC-C=122, REL-A=122, REL-B=122, REL-C=122, SLR=122, CBC=122, MAT=122, FIN=1, ASE-A=122, Emp-A=122, DoB =not present</t>
  </si>
  <si>
    <t>Components: YPD=123, INC-A=123, INC-B=123, INC-C=123, REL-A=123, REL-B=123, REL-C=123, SLR=123, CBC=123, MAT=123, FIN=1, MCA=123, AIL=123, PRO=123, DoB =03/01/1957</t>
  </si>
  <si>
    <t>Components: YPD=124, INC-A=124, INC-B=124, INC-C=124, REL-A=124, REL-B=124, REL-C=124, SLR=124, CBC=124, MAT=124, FIN=1, MCA=124, SSE=124, NI2=5, DoB =03/06/1934, NIC exempt</t>
  </si>
  <si>
    <t>Components: YPD=125, INC-A=125, INC-B=125, INC-C=125, REL-A=125, REL-B=125, REL-C=125, SLR=125, CBC=125, MAT=125, FIN=1, AOI-C=125, MCA=125, DoB =05/03/1945, NIC exempt</t>
  </si>
  <si>
    <t>Components: YPD=126, INC-B=126, INC-C=126, REL-A=126, REL-B=126, REL-C=126, SLR=126, CBC=126, MAT=126, FIN=1, ASE-A=126, MCA=126, DoB =03/06/1934</t>
  </si>
  <si>
    <t>Components: YPD=127, INC-B=127, INC-C=127, REL-A=127, REL-B=127, REL-C=127, SLR=127, CBC=127, MAT=127, FIN=1, Emp-A=127, MOR=127, DoB =not present</t>
  </si>
  <si>
    <t>Components: YPD=128, INC-A=128, INC-B=128, INC-C=128, REL-A=128, REL-B=128, REL-C=128, SLR=128, CBC=128, MAT=128, FIN=1, MOR=128, DoB =03/01/1957</t>
  </si>
  <si>
    <t>Components: YPD=129, INC-A=129, INC-B=129, INC-C=129, REL-A=129, REL-B=129, REL-C=129, SLR=129, CBC=129, MAT=129, FIN=1, MOR=129, DoB =not present</t>
  </si>
  <si>
    <t>Components: YPD=130, INC-B=130, INC-C=130, REL-A=130, REL-B=130, REL-C=130, SLR=130, CBC=130, MAT=130, FIN=1, Emp-A=130, SSE=130, NI1=130, CGT=5, DoB =17/11/1980, NIC exempt</t>
  </si>
  <si>
    <t>Components: YPD=131, INC-B=131, INC-C=131, REL-A=131, REL-B=131, REL-C=131, SLR=131, CBC=131, MAT=131, FIN=1, Emp-A=131, Emp-B=131, SSE=131, NI2=4, NI1=131, CGT=10, DoB =not present, NIC2 voluntary</t>
  </si>
  <si>
    <t>Components: YPD=132, INC-A=132, INC-B=132, INC-C=132, REL-A=132, REL-B=132, REL-C=132, SLR=132, CBC=132, MAT=132, FIN=1, FSE=132, NI2=4, DoB =not present</t>
  </si>
  <si>
    <t>Components: YPD=133, INC-B=133, INC-C=133, REL-A=133, REL-B=133, REL-C=133, SLR=133, CBC=133, MAT=133, FIN=1, Emp-A=133, FSE=133, NI2=4, NI1=133, CGT=5, DoB =17/11/1980, NIC2 voluntary</t>
  </si>
  <si>
    <t>Components: YPD=134, INC-A=134, INC-B=134, INC-C=134, REL-A=134, REL-B=134, REL-C=134, SLR=134, CBC=134, MAT=134, FIN=1, Emp-A=134, FPS=134, NI2=4, NI1=134, CGT=7, DoB =not present</t>
  </si>
  <si>
    <t>Components: YPD=135, INC-B=135, INC-C=135, REL-A=135, REL-B=135, REL-C=135, SLR=135, CBC=135, MAT=135, FIN=1, Emp-A=135, FSE=135, FPS=135, NI2=7, NI1=135, DoB =05/03/1945, NIC exempt</t>
  </si>
  <si>
    <t>Components: YPD=136, INC-B=136, INC-C=136, REL-A=136, REL-B=136, REL-C=136, SLR=136, CBC=136, MAT=136, FIN=1, AOI-B=136, Emp-A=136, PRO=136, DoB =03/01/1957</t>
  </si>
  <si>
    <t>Components: YPD=137, INC-A=137, INC-B=137, INC-C=137, REL-A=137, REL-B=137, REL-C=137, SLR=137, CBC=137, MAT=137, FIN=1, Emp-A=137, DoB =17/11/1980</t>
  </si>
  <si>
    <t>Components: YPD=139, INC-B=139, INC-C=139, REL-A=139, REL-B=139, REL-C=139, SLR=139, CBC=139, MAT=139, FIN=1, AIL=139, FSE=139, NI2=4, DoB =not present</t>
  </si>
  <si>
    <t>Components: YPD=140, INC-B=140, INC-C=140, REL-A=140, REL-B=140, REL-C=140, SLR=140, CBC=140, MAT=140, FIN=1, AIL=140, SSE=140, NI2=4, PRO=140, DoB =not present, NIC2 voluntary</t>
  </si>
  <si>
    <t>Components: YPD=141, INC-B=141, INC-C=141, REL-A=141, REL-B=141, REL-C=141, SLR=141, CBC=141, MAT=141, FIN=1, AIL=141, Emp-A=141, FOR=4, DoB =not present</t>
  </si>
  <si>
    <t>Components: YPD=142, INC-B=142, INC-C=142, REL-A=142, REL-B=142, REL-C=142, SLR=142, CBC=142, MAT=142, FIN=1, AIL=142, Emp-A=142, DoB =not present</t>
  </si>
  <si>
    <t>Components: YPD=143, INC-A=143, INC-B=143, INC-C=143, REL-A=143, REL-B=143, REL-C=143, SLR=143, CBC=143, MAT=143, FIN=1, LUN=3, NI2=5, DoB =not present</t>
  </si>
  <si>
    <t>Components: YPD=144, INC-B=144, INC-C=144, REL-A=144, REL-B=144, REL-C=144, SLR=144, CBC=144, MAT=144, FIN=1, LUN=6, NI2=4, CGT=5, DoB =not present</t>
  </si>
  <si>
    <t>Components: YPD=145, INC-B=145, INC-C=145, REL-A=145, REL-B=145, REL-C=145, SLR=145, CBC=145, MAT=145, FIN=1, LUN=6, DoB =05/03/1945, NIC exempt</t>
  </si>
  <si>
    <t>Components: YPD=146, INC-B=146, INC-C=146, REL-A=146, REL-B=146, REL-C=146, SLR=146, CBC=146, MAT=146, FIN=1, AOI-B=2, LUN=6, DoB =05/03/1945, NIC exempt</t>
  </si>
  <si>
    <t>Components: YPD=147, INC-B=147, INC-C=147, REL-A=147, REL-B=147, REL-C=147, SLR=147, CBC=147, MAT=147, FIN=1, LUN=1, NI2=4, PRO=147, DoB =17/11/1980, NIC2 voluntary</t>
  </si>
  <si>
    <t>Components: YPD=148, INC-B=148, INC-C=148, REL-A=148, REL-B=148, REL-C=148, SLR=148, CBC=148, MAT=148, FIN=1, AIL=148, LUN=4, CGT=1, DoB =05/03/1945, NIC exempt</t>
  </si>
  <si>
    <t>Components: YPD=149, INC-B=149, INC-C=149, REL-A=149, REL-B=149, REL-C=149, SLR=149, CBC=149, MAT=149, FIN=1, LUN=3, NI2=5, TRU=2, DoB =not present</t>
  </si>
  <si>
    <t>Components: YPD=150, INC-B=150, INC-C=150, REL-A=150, REL-B=150, REL-C=150, SLR=150, CBC=150, MAT=150, FIN=1, LUN=6, NI2=4, FOR=150, TCR=150, DoB =not present</t>
  </si>
  <si>
    <t>Components: YPD=151, INC-B=151, INC-C=151, REL-A=151, REL-B=151, REL-C=151, SLR=151, CBC=151, MAT=151, FIN=1, FSE=151, LUN=4, NI2=4, CGT=4, DoB =not present</t>
  </si>
  <si>
    <t>Components: YPD=152, INC-B=152, INC-C=152, REL-A=152, REL-B=152, REL-C=152, SLR=152, CBC=152, MAT=152, FIN=1, Emp-A=152, LUN=4, NI2=4, DoB =03/01/1957</t>
  </si>
  <si>
    <t>Components: YPD=153, INC-A=153, INC-B=153, INC-C=153, REL-A=153, REL-B=153, REL-C=153, SLR=153, CBC=153, MAT=153, FIN=1, ASE-B=153, LUN=6, FPS=153, NI2=9, DoB =17/11/1980</t>
  </si>
  <si>
    <t>Components: YPD=154, INC-B=154, INC-C=154, REL-A=154, REL-B=154, REL-C=154, SLR=154, CBC=154, MAT=154, FIN=1, MCA=154, MOR=154, DoB =03/01/1957</t>
  </si>
  <si>
    <t>Components: YPD=155, INC-A=155, INC-B=155, INC-C=155, REL-A=155, REL-B=155, REL-C=155, SLR=155, CBC=155, MAT=155, FIN=1, Emp-A=155, DoB =not present</t>
  </si>
  <si>
    <t>Components: YPD=156, INC-A=156, INC-B=156, INC-C=156, REL-A=156, REL-B=156, REL-C=156, SLR=156, CBC=156, MAT=156, FIN=1, Emp-A=156, SPS=156, NI2=8, NI1=156, DoB =not present, NIC2 voluntary</t>
  </si>
  <si>
    <t>Components: YPD=157, INC-A=157, INC-B=157, INC-C=157, REL-A=157, REL-B=157, REL-C=157, SLR=157, CBC=157, MAT=157, FIN=1, SSE=157, NI2=5, CGT=5, DoB =not present, NIC2 voluntary</t>
  </si>
  <si>
    <t>Components: YPD=158, INC-A=158, INC-B=158, INC-C=158, REL-A=158, REL-B=158, REL-C=158, SLR=158, CBC=158, MAT=158, FIN=1, FSE=158, SPS=158, NI2=8, PRO=158, CGT=5, DoB =not present</t>
  </si>
  <si>
    <t>Components: YPD=159, INC-A=159, INC-B=159, INC-C=159, REL-A=159, REL-B=159, REL-C=159, SLR=159, CBC=159, MAT=159, FIN=1, SSE=159, NI2=5, CGT=3, DoB =not present, NIC2 voluntary</t>
  </si>
  <si>
    <t>Components: YPD=160, INC-A=160, INC-B=160, INC-C=160, REL-A=160, REL-B=160, REL-C=160, SLR=160, CBC=160, MAT=160, FIN=1, SSE=160, FSE=160, NI2=5, CGT=3, DoB =not present</t>
  </si>
  <si>
    <t>Components: YPD=161, INC-B=161, INC-C=161, REL-A=161, REL-B=161, REL-C=161, SLR=161, CBC=161, MAT=161, FIN=1, SPS=161, NI2=8, CGT=2, DoB =not present, NIC2 voluntary</t>
  </si>
  <si>
    <t>Components: YPD=162, INC-B=162, INC-C=162, REL-A=162, REL-B=162, REL-C=162, SLR=162, CBC=162, MAT=162, FIN=1, SPS=162, NI2=8, CGT=2, DoB =22/02/1936, NIC exempt</t>
  </si>
  <si>
    <t>Components: YPD=163, INC-B=163, INC-C=163, REL-A=163, REL-B=163, REL-C=163, SLR=163, CBC=163, MAT=163, FIN=1, FPS=163, NI2=6, CGT=2, DoB =not present</t>
  </si>
  <si>
    <t>Components: YPD=164, INC-B=164, INC-C=164, REL-A=164, REL-B=164, REL-C=164, SLR=164, CBC=164, MAT=164, FIN=1, AOI-B=164, CGT=4, DoB =not present</t>
  </si>
  <si>
    <t>Components: YPD=165, INC-B=165, INC-C=165, REL-A=165, REL-B=165, REL-C=165, SLR=165, CBC=165, MAT=165, FIN=1, AOI-B=165, Emp-A=165, CGT=4, DoB =not present</t>
  </si>
  <si>
    <t>Components: YPD=166, INC-B=166, INC-C=166, REL-A=166, REL-B=166, REL-C=166, SLR=166, CBC=166, MAT=166, FIN=1, AOI-B=166, Emp-A=166, CGT=5, DoB =not present</t>
  </si>
  <si>
    <t>Components: YPD=167, INC-B=167, INC-C=167, REL-A=167, REL-B=167, REL-C=167, SLR=167, CBC=167, MAT=167, FIN=1, AOI-B=167, Emp-A=167, CGT=5, DoB =not present</t>
  </si>
  <si>
    <t>Components: YPD=168, INC-A=168, INC-B=168, INC-C=168, REL-A=168, REL-B=168, REL-C=168, SLR=168, CBC=168, MAT=168, FIN=1, AOR=168, Emp-A=168, SSE=168, CGT=5, DoB =not present</t>
  </si>
  <si>
    <t>Components: YPD=169, INC-A=169, INC-B=169, INC-C=169, REL-A=169, REL-B=169, REL-C=169, SLR=169, CBC=169, MAT=169, FIN=1, AIL=169, Emp-A=169, DoB =not present</t>
  </si>
  <si>
    <t>Components: YPD=170, INC-B=170, INC-C=170, REL-A=170, REL-B=170, REL-C=170, SLR=170, CBC=170, MAT=170, FIN=1, AOI-B=170, ASE-B=170, DoB =not present</t>
  </si>
  <si>
    <t>Components: YPD=171, INC-B=171, INC-C=171, REL-A=171, REL-B=171, REL-C=171, SLR=171, CBC=171, MAT=171, FIN=1, AOI-B=171, DoB =not present</t>
  </si>
  <si>
    <t>Components: YPD=172, INC-A=172, INC-B=172, INC-C=172, REL-A=172, REL-B=172, REL-C=172, SLR=172, CBC=172, MAT=172, FIN=1, AOI-C=172, PRO=172, NRD=1, DoB =not present, NIC exempt</t>
  </si>
  <si>
    <t>Components: YPD=173, INC-A=173, INC-B=173, INC-C=173, REL-A=173, REL-B=173, REL-C=173, SLR=173, CBC=173, MAT=173, FIN=1, AOI-C=173, PRO=173, NRD=1, DoB =not present, NIC exempt</t>
  </si>
  <si>
    <t>Components: YPD=174, INC-A=174, INC-B=174, INC-C=174, REL-A=174, REL-B=174, REL-C=174, SLR=174, CBC=174, MAT=174, FIN=1, FPS=174, NI2=4, PRO=174, NRD=1, DoB =05/03/1945, NIC exempt</t>
  </si>
  <si>
    <t>Components: YPD=175, INC-A=175, INC-B=175, INC-C=175, REL-A=175, REL-B=175, REL-C=175, SLR=175, CBC=175, MAT=175, FIN=1, Emp-A=175, TRU=1, DoB =not present</t>
  </si>
  <si>
    <t>Components: YPD=176, INC-A=176, INC-B=176, INC-C=176, REL-A=176, REL-B=176, REL-C=176, SLR=176, CBC=176, MAT=176, FIN=1, AIL=176, PRO=176, DoB =17/11/1980</t>
  </si>
  <si>
    <t>Components: YPD=177, INC-A=177, INC-B=177, INC-C=177, REL-A=177, REL-B=177, REL-C=177, SLR=177, CBC=177, MAT=177, FIN=1, MCA=177, DoB =03/06/1934</t>
  </si>
  <si>
    <t>Components: YPD=178, INC-A=178, INC-B=178, INC-C=178, REL-A=178, REL-B=178, REL-C=178, SLR=178, CBC=178, MAT=178, FIN=1, MCA=178, DoB =03/06/1934</t>
  </si>
  <si>
    <t>Components: YPD=179, INC-A=179, INC-B=179, INC-C=179, REL-A=179, REL-B=179, REL-C=179, SLR=179, CBC=179, MAT=179, FIN=1, MCA=179, DoB =03/06/1934</t>
  </si>
  <si>
    <t>Components: YPD=180, INC-A=180, INC-B=180, INC-C=180, REL-A=180, REL-B=180, REL-C=180, SLR=180, CBC=180, MAT=180, FIN=1, MCA=180, DoB =03/06/1934</t>
  </si>
  <si>
    <t>Components: YPD=181, INC-A=181, INC-B=181, INC-C=181, REL-A=181, REL-B=181, REL-C=181, SLR=181, CBC=181, MAT=181, FIN=1, Emp-A=181, Emp-B=181, CAL=5, DoB =17/11/1980</t>
  </si>
  <si>
    <t>Components: YPD=182, INC-B=182, INC-C=182, REL-A=182, REL-B=182, REL-C=182, SLR=182, CBC=182, MAT=182, FIN=1, Emp-A=182, Emp-B=182, DoB =17/11/1980</t>
  </si>
  <si>
    <t>Components: YPD=183, INC-A=183, INC-B=183, INC-C=183, REL-A=183, REL-B=183, REL-C=183, SLR=183, CBC=183, MAT=183, FIN=1, AOI-B=183, PRO=183, DoB =05/03/1945</t>
  </si>
  <si>
    <t>Components: YPD=184, INC-B=184, INC-C=184, REL-A=184, REL-B=184, REL-C=184, SLR=184, CBC=184, MAT=184, FIN=1, Emp-A=184, PRO=184, FOR=184, TCR=184, DoB =not present</t>
  </si>
  <si>
    <t>Components: YPD=185, INC-A=185, INC-B=185, INC-C=185, REL-A=185, REL-B=185, REL-C=185, SLR=185, CBC=185, MAT=185, FIN=1, AOI-B=185, PRO=185, TRU=2, DoB =17/11/1980</t>
  </si>
  <si>
    <t>Components: YPD=186, INC-A=186, INC-B=186, INC-C=186, REL-A=186, REL-B=186, REL-C=186, SLR=186, CBC=186, MAT=186, FIN=1, AOI-C=186, AIL=186, DoB =03/01/1957</t>
  </si>
  <si>
    <t>Components: YPD=187, INC-B=187, INC-C=187, REL-A=187, REL-B=187, REL-C=187, SLR=187, CBC=187, MAT=187, FIN=1, AIL=187, SSE=187, NI2=5, DoB =05/03/1945, NIC exempt</t>
  </si>
  <si>
    <t>Components: YPD=188, INC-A=188, INC-B=188, INC-C=188, REL-A=188, REL-B=188, REL-C=188, SLR=188, CBC=188, MAT=188, FIN=1, AOI-B=188, AOI-C=188, AIL=188, FSE=188, NI2=7, PRO=188, DoB =05/03/1945, NIC exempt</t>
  </si>
  <si>
    <t>Components: YPD=189, INC-B=189, INC-C=189, REL-A=189, REL-B=189, REL-C=189, SLR=189, CBC=189, MAT=189, FIN=1, Emp-A=189, CGT=11, CAL=4, DoB =17/11/1980</t>
  </si>
  <si>
    <t>Components: YPD=190, INC-B=190, INC-C=190, REL-A=190, REL-B=190, REL-C=190, SLR=190, CBC=190, MAT=190, FIN=1, AOI-A=190, AOR=190, SPS=190, NI2=4, DoB =17/11/1980</t>
  </si>
  <si>
    <t>Components: YPD=191, INC-B=191, INC-C=191, REL-A=191, REL-B=191, REL-C=191, SLR=191, CBC=191, MAT=191, FIN=1, AOI-A=191, AOR=191, SPS=191, NI2=4, DoB =17/11/1980</t>
  </si>
  <si>
    <t>Components: YPD=192, INC-A=192, INC-B=192, INC-C=192, REL-A=192, REL-B=192, REL-C=192, SLR=192, CBC=192, MAT=192, FIN=1, SSE=192, NI2=4, DoB =17/11/1980</t>
  </si>
  <si>
    <t>Components: YPD=193, INC-A=193, INC-B=193, INC-C=193, REL-A=193, REL-B=193, REL-C=193, SLR=193, CBC=193, MAT=193, FIN=1, Emp-A=193, SSE=193, NI2=4, NI1=193, DoB =17/11/1980</t>
  </si>
  <si>
    <t>Components: YPD=194, INC-A=194, INC-B=194, INC-C=194, REL-A=194, REL-B=194, REL-C=194, SLR=194, CBC=194, MAT=194, FIN=1, Emp-A=194, DoB =17/11/1980</t>
  </si>
  <si>
    <t>Components: YPD=195, INC-B=195, INC-C=195, REL-A=195, REL-B=195, REL-C=195, SLR=195, CBC=195, MAT=195, FIN=1, Emp-A=195, SSE=195, NI2=4, NI1=195, DoB =17/11/1980</t>
  </si>
  <si>
    <t>Components: YPD=196, INC-A=196, INC-B=196, INC-C=196, REL-A=196, REL-B=196, REL-C=196, SLR=196, CBC=196, MAT=196, FIN=1, Emp-A=196, DoB =17/11/1980</t>
  </si>
  <si>
    <t>Components: YPD=197, INC-A=197, INC-B=197, INC-C=197, REL-A=197, REL-B=197, REL-C=197, SLR=197, CBC=197, MAT=197, FIN=1, AOR=197, AIL=197, Emp-A=197, DoB =03/01/1957</t>
  </si>
  <si>
    <t>Components: YPD=198, INC-A=198, INC-B=198, INC-C=198, REL-A=198, REL-B=198, REL-C=198, SLR=198, CBC=198, MAT=198, FIN=1, AOI-A=198, AIL=198, DoB =03/01/1957</t>
  </si>
  <si>
    <t>Components: YPD=199, INC-A=199, INC-B=199, INC-C=199, REL-A=199, REL-B=199, REL-C=199, SLR=199, CBC=199, MAT=199, FIN=1, AOI-B=199, AOI-C=199, AIL=199, CGT=199, DoB =03/01/1957</t>
  </si>
  <si>
    <t>Components: YPD=200, INC-B=200, INC-C=200, REL-A=200, REL-B=200, REL-C=200, SLR=200, CBC=200, MAT=200, FIN=1, Emp-A=200, DoB =05/03/1945, NIC exempt</t>
  </si>
  <si>
    <t>Components: YPD=201, INC-A=201, INC-B=201, INC-C=201, REL-A=201, REL-B=201, REL-C=201, SLR=201, CBC=201, MAT=201, FIN=1, AOI-B=201, AOI-C=201, Emp-A=201, Emp-B=201, SSE=201, FPS=201, NI2=4, NI1=201, PRO=201, TRU=2, DoB =not present</t>
  </si>
  <si>
    <t>Components: YPD=202, INC-B=202, INC-C=202, REL-A=202, REL-B=202, REL-C=202, SLR=202, CBC=202, MAT=202, FIN=1, AOR=202, AIL=202, Emp-A=202, Emp-B=202, FSE=202, NI2=6, NI1=202, PRO=202, DoB =not present, NIC2 voluntary</t>
  </si>
  <si>
    <t>Components: YPD=203, INC-A=203, INC-B=203, INC-C=203, REL-A=203, REL-B=203, REL-C=203, SLR=203, CBC=203, MAT=203, FIN=1, FPS=203, NI2=4, DoB =not present, NIC2 voluntary</t>
  </si>
  <si>
    <t>Components: YPD=204, INC-A=204, INC-B=204, INC-C=204, REL-A=204, REL-B=204, REL-C=204, SLR=204, CBC=204, MAT=204, FIN=1, ASE-C=204, AIL=204, Emp-A=204, SPS=204, NI2=4, NI1=204, DoB =not present, NIC2 voluntary</t>
  </si>
  <si>
    <t>Components: YPD=205, INC-B=205, INC-C=205, REL-A=205, REL-B=205, REL-C=205, SLR=205, CBC=205, MAT=205, FIN=1, AIL=205, Emp-A=205, SPS=205, NI2=4, NI1=205, NRD=3, DoB =not present, NIC2 voluntary</t>
  </si>
  <si>
    <t>Components: YPD=206, INC-B=206, INC-C=206, REL-A=206, REL-B=206, REL-C=206, SLR=206, CBC=206, MAT=206, FIN=1, Emp-A=206, Emp-B=206, SSE=206, FSE=206, SPS=206, NI2=11, NI1=206, PRO=206, CGT=6, DoB =not present</t>
  </si>
  <si>
    <t>Components: YPD=207, INC-B=207, INC-C=207, REL-A=207, REL-B=207, REL-C=207, SLR=207, CBC=207, MAT=207, FIN=1, AOR=207, FSE=207, NI2=4, CAL=7, DoB =not present</t>
  </si>
  <si>
    <t>Components: YPD=208, INC-A=208, INC-B=208, INC-C=208, REL-A=208, REL-B=208, REL-C=208, SLR=208, CBC=208, MAT=208, FIN=1, PRO=208, NRD=6, DoB =not present, NIC exempt</t>
  </si>
  <si>
    <t>Components: YPD=209, INC-B=209, INC-C=209, REL-A=209, REL-B=209, REL-C=209, SLR=209, CBC=209, MAT=209, FIN=1, FPS=209, NI2=4, DoB =not present</t>
  </si>
  <si>
    <t>Components: YPD=210, INC-A=210, INC-B=210, INC-C=210, REL-A=210, REL-B=210, REL-C=210, SLR=210, CBC=210, MAT=210, FIN=1, ASE-C=210, AIL=210, Emp-A=210, PRO=210, NRD=6, DoB =not present, NIC exempt</t>
  </si>
  <si>
    <t>Components: YPD=211, INC-A=211, INC-B=211, INC-C=211, REL-A=211, REL-B=211, REL-C=211, SLR=211, CBC=211, MAT=211, FIN=1, ASE-C=211, AIL=211, Emp-A=211, PRO=211, CGT=5, NRD=6, DoB =not present, NIC exempt</t>
  </si>
  <si>
    <t>Components: YPD=212, INC-A=212, INC-B=212, INC-C=212, REL-A=212, REL-B=212, REL-C=212, SLR=212, CBC=212, MAT=212, FIN=1, FOR=212, TCR=212, DoB =not present</t>
  </si>
  <si>
    <t>Components: YPD=213, INC-B=213, INC-C=213, REL-A=213, REL-B=213, REL-C=213, SLR=213, CBC=213, MAT=213, FIN=1, Emp-A=213, CGT=8, NRD=3, DoB =not present</t>
  </si>
  <si>
    <t>Components: YPD=214, INC-A=214, INC-B=214, INC-C=214, REL-A=214, REL-B=214, REL-C=214, SLR=214, CBC=214, MAT=214, FIN=1, FOR=214, TCR=214, CGT=9, NRD=4, DoB =03/01/1957</t>
  </si>
  <si>
    <t>Components: YPD=215, INC-B=215, INC-C=215, REL-A=215, REL-B=215, REL-C=215, SLR=215, CBC=215, MAT=215, FIN=1, FOR=215, TCR=215, CGT=9, NRD=8, DoB =03/01/1957</t>
  </si>
  <si>
    <t>Components: YPD=216, INC-B=216, INC-C=216, REL-A=216, REL-B=216, REL-C=216, SLR=216, CBC=216, MAT=216, FIN=1, FOR=216, TCR=216, CGT=9, NRD=9, DoB =03/01/1957</t>
  </si>
  <si>
    <t>Components: YPD=217, INC-B=217, INC-C=217, REL-A=217, REL-B=217, REL-C=217, SLR=217, CBC=217, MAT=217, FIN=1, FOR=217, TCR=217, CGT=9, NRD=10, DoB =03/01/1957</t>
  </si>
  <si>
    <t>Components: YPD=218, INC-A=218, INC-B=218, INC-C=218, REL-A=218, REL-B=218, REL-C=218, SLR=218, CBC=218, MAT=218, FIN=1, AOI-A=218, AOR=218, NRD=7, DoB =02/05/2005</t>
  </si>
  <si>
    <t>Components: YPD=219, INC-A=219, INC-B=219, INC-C=219, REL-A=219, REL-B=219, REL-C=219, SLR=219, CBC=219, MAT=219, FIN=1, Emp-A=219, FSE=219, NI2=10, NI1=219, DoB =not present</t>
  </si>
  <si>
    <t>Components: YPD=220, INC-A=220, INC-B=220, INC-C=220, REL-A=220, REL-B=220, REL-C=220, SLR=220, CBC=220, MAT=220, FIN=1, FOR=220, TCR=220, CGT=8, NRD=2, DoB =03/06/1934, NIC exempt</t>
  </si>
  <si>
    <t>Components: YPD=221, INC-A=221, INC-B=221, INC-C=221, REL-A=221, REL-B=221, REL-C=221, SLR=221, CBC=221, MAT=221, FIN=1, DoB =not present</t>
  </si>
  <si>
    <t>Components: YPD=222, INC-B=222, INC-C=222, REL-A=222, REL-B=222, REL-C=222, SLR=222, CBC=222, MAT=222, FIN=1, LUN=6, NI2=4, FOR=222, TCR=222, DoB =not present</t>
  </si>
  <si>
    <t>Components: YPD=223, INC-A=223, INC-B=223, INC-C=223, REL-A=223, REL-B=223, REL-C=223, SLR=223, CBC=223, MAT=223, PRO=223, CGT=12, DoB =not present</t>
  </si>
  <si>
    <t>Components: YPD=224, INC-A=224, INC-B=224, INC-C=224, REL-A=224, REL-B=224, REL-C=224, SLR=224, CBC=224, MAT=224, SSE=224, DoB =not present</t>
  </si>
  <si>
    <t>Components: YPD=225, INC-A=225, INC-B=225, INC-C=225, REL-A=225, REL-B=225, REL-C=225, SLR=225, CBC=225, MAT=225, SSE=225, NRD=6, DoB =not present</t>
  </si>
  <si>
    <t>Components: YPD=226, INC-A=226, INC-B=226, INC-C=226, REL-A=226, REL-B=226, REL-C=226, SLR=226, CBC=226, MAT=226, SSE=226, SPS=226, DoB =not present</t>
  </si>
  <si>
    <t>Components: YPD=227, INC-A=227, INC-B=227, INC-C=227, REL-A=227, REL-B=227, REL-C=227, SLR=227, CBC=227, MAT=227, DoB =not present</t>
  </si>
  <si>
    <t>Components: YPD=228, INC-A=228, INC-B=228, INC-C=228, REL-A=228, REL-B=228, REL-C=228, SLR=228, CBC=228, MAT=228, DoB =not present</t>
  </si>
  <si>
    <t>Components: YPD=229, INC-A=229, INC-B=229, INC-C=229, REL-A=229, REL-B=229, REL-C=229, SLR=229, CBC=229, MAT=229, Emp-A=229, DoB =not present</t>
  </si>
  <si>
    <t>Components: YPD=230, INC-A=230, INC-B=230, INC-C=230, REL-A=230, REL-B=230, REL-C=230, SLR=230, CBC=230, MAT=230, DoB =not present</t>
  </si>
  <si>
    <t>Components: YPD=231, INC-A=231, INC-B=231, INC-C=231, REL-A=231, REL-B=231, REL-C=231, SLR=231, CBC=231, MAT=231, AOI-B=231, DoB =not present</t>
  </si>
  <si>
    <t>Components: YPD=232, INC-A=232, INC-B=232, INC-C=232, REL-A=232, REL-B=232, REL-C=232, SLR=232, CBC=232, MAT=232, ASE-B=232, DoB =not present</t>
  </si>
  <si>
    <t>Components: YPD=233, INC-A=233, INC-B=233, INC-C=233, REL-A=233, REL-B=233, REL-C=233, SLR=233, CBC=233, MAT=233, FOR=233, DoB =not present</t>
  </si>
  <si>
    <t>Components: YPD=234, INC-A=234, INC-B=234, INC-C=234, REL-A=234, REL-B=234, REL-C=234, SLR=234, CBC=234, MAT=234, DoB =not present</t>
  </si>
  <si>
    <t>Components: YPD=235, INC-A=235, INC-B=235, INC-C=235, REL-A=235, REL-B=235, REL-C=235, SLR=235, CBC=235, MAT=235, Emp-A=235, DoB =not present</t>
  </si>
  <si>
    <t>Components: YPD=236, INC-A=236, INC-B=236, INC-C=236, REL-A=236, REL-B=236, REL-C=236, SLR=236, CBC=236, MAT=236, AOI-A=236, Emp-A=236, FOR=236, TCR=236, CGT=14, DoB =not present</t>
  </si>
  <si>
    <t>Components: YPD=237, INC-A=237, INC-B=237, INC-C=237, REL-A=237, REL-B=237, REL-C=237, SLR=237, CBC=237, MAT=237, Emp-A=237, DoB =not present</t>
  </si>
  <si>
    <t>Components: YPD=238, INC-A=238, INC-B=238, INC-C=238, REL-A=238, REL-B=238, REL-C=238, SLR=238, CBC=238, MAT=238, AOI-A=6, Emp-A=238, FOR=238, CGT=15, DoB =not present</t>
  </si>
  <si>
    <t>Components: YPD=239, INC-A=239, INC-B=239, INC-C=239, REL-A=239, REL-B=239, REL-C=239, SLR=239, CBC=239, MAT=239, ASE-B=239, Emp-A=239, DoB =not present</t>
  </si>
  <si>
    <t>Components: YPD=240, INC-A=240, INC-B=240, INC-C=240, REL-A=240, REL-B=240, REL-C=240, SLR=240, CBC=240, MAT=240, AOI-B=240, ASE-B=240, DoB =not present</t>
  </si>
  <si>
    <t>Components: YPD=241, INC-A=241, INC-B=241, INC-C=241, REL-A=241, REL-B=241, REL-C=241, SLR=241, CBC=241, MAT=241, ASE-B=241, Emp-A=241, DoB =not present</t>
  </si>
  <si>
    <t>Components: YPD=242, INC-A=242, INC-B=242, INC-C=242, REL-A=242, REL-B=242, REL-C=242, SLR=242, CBC=242, MAT=242, ASE-B=242, DoB =not present</t>
  </si>
  <si>
    <t>Components: YPD=243, INC-A=243, INC-B=243, INC-C=243, REL-A=243, REL-B=243, REL-C=243, SLR=243, CBC=243, MAT=243, DoB =not present</t>
  </si>
  <si>
    <t>Components: YPD=244, INC-A=244, INC-B=244, INC-C=244, REL-A=244, REL-B=244, REL-C=244, SLR=244, CBC=244, MAT=244, DoB =not present</t>
  </si>
  <si>
    <t>Components: YPD=245, INC-A=245, INC-B=245, INC-C=245, REL-A=245, REL-B=245, REL-C=245, SLR=245, CBC=245, MAT=245, ASE-B=245, Emp-A=245, FPS=245, NI2=4, PRO=245, DoB =not present, NIC2 voluntary</t>
  </si>
  <si>
    <t>Components: YPD=246, INC-A=246, PRO=246, TRU=8, NRD=246, DoB =not present</t>
  </si>
  <si>
    <t>Components: YPD=247, INC-A=247, AOR=247, FPS=247, NRD=247, DoB =05/03/1945, NIC exempt</t>
  </si>
  <si>
    <t>Components: YPD=248, INC-A=248, INC-B=248, AOI-B=248, NRD=248, DoB =05/03/1945</t>
  </si>
  <si>
    <t>Components: YPD=249, INC-A=249, INC-B=249, CBC=249, Emp-A=249, PRO=249, CGT=249, DoB =not present</t>
  </si>
  <si>
    <t>Components: YPD=250, INC-A=250, FPS=250, NI2=250, PRO=250, CGT=250, NRD=250, DoB =not present</t>
  </si>
  <si>
    <t>Components: YPD=251, INC-B=251, PRO=251, CGT=251, DoB =not present</t>
  </si>
  <si>
    <t>Components: YPD=252, INC-A=252, INC-B=252, PRO=252, CGT=252, DoB =not present</t>
  </si>
  <si>
    <t>Components: YPD=253, INC-A=253, PRO=253, CGT=253, NRD=253, DoB =not present</t>
  </si>
  <si>
    <t>Components: YPD=254, INC-A=254, INC-B=254, INC-C=254, PRO=254, FOR=254, CGT=254, DoB =not present</t>
  </si>
  <si>
    <t>Components: YPD=255, INC-A=255, INC-B=255, INC-C=255, REL-A=255, REL-B=255, REL-C=255, SLR=255, CBC=255, MAT=255, CGT=255, NRD=255, DoB =not present</t>
  </si>
  <si>
    <t>Components: YPD=256, INC-A=256, INC-B=256, INC-C=256, REL-A=256, REL-B=256, REL-C=256, SLR=256, CBC=256, MAT=256, CGT=256, NRD=256, DoB =not present</t>
  </si>
  <si>
    <t>Components: YPD=258, INC-A=258, INC-B=258, INC-C=258, REL-A=258, REL-B=258, REL-C=258, SLR=258, CBC=258, MAT=258, CGT=258, NRD=258, DoB =not present</t>
  </si>
  <si>
    <t>c18.3 changed from "(CGT17 minus CGT50) + CGT26 + CGT34" to "(CGT17 minus CGT50) + CGT26 + (CGT34 minus CGT49)"</t>
  </si>
  <si>
    <t>c5.66o changed from "if (c5.66b minus c5.66d) &gt; 0 (zero)
and c5.66n &gt; 0 (zero)
c5.66o = lower of c5.66k and c5.66n
else
c5.66o = 0 (zero)
end if" to 
"if (c5.66d + c5.66n) &gt;= c5.66b and
c5.66h &gt; c5.66l
c5.41 &gt; 0 (zero)
c5.66o = lower of (c5.37 minus (c5.46 + c5.52l + c5.64 + c5.68a + c5.66d)) and c5.66n
else
c5.66o = 0 (zero)
end if"</t>
  </si>
  <si>
    <t>c25.10 changed from "c3a.2 + c4.59" to "c3a.1a + c3a.2 + c4.59"</t>
  </si>
  <si>
    <t>c25.11 changed from "c25.11 minus (c3a.1a + c25.10)" to "c25.11 minus c25.10"</t>
  </si>
  <si>
    <t>Basic rate band or Scottish Starter + Basic rate band</t>
  </si>
  <si>
    <t>Exclusion 104 change to v1.0.0 change</t>
  </si>
  <si>
    <t>L73</t>
  </si>
  <si>
    <t>c9.31a new calculation box (was c8.25 and was c9.44 in v1.0.0) "If calculation type = non-resident, c8.25 = c91.35, else, c8.25 = 0 (zero), end if"</t>
  </si>
  <si>
    <t>c9.31a</t>
  </si>
  <si>
    <t>c9.31b</t>
  </si>
  <si>
    <t>Exclusion 57 change to v1.0.0 change for Exclusion 104</t>
  </si>
  <si>
    <t>Exclusion 104/Exclusion 57</t>
  </si>
  <si>
    <t>c9.31b new calculation box "from c10.5"</t>
  </si>
  <si>
    <t>c9.32 changed from "c9.30 minus c9.31" to "(c9.30 + c9.31a) minus (c9.31 + c9.31b)"</t>
  </si>
  <si>
    <t>L73A</t>
  </si>
  <si>
    <t>L83a deleted (new for 2019-20) --&gt; moved to L73</t>
  </si>
  <si>
    <t>L73 new</t>
  </si>
  <si>
    <t>L85 2nd line (or) criteria reverted to remove div_tax_credit</t>
  </si>
  <si>
    <t>L85 1st line deleted</t>
  </si>
  <si>
    <t>L56 for 2 lines removed "A" from wording</t>
  </si>
  <si>
    <t>div-tax-credits-s399</t>
  </si>
  <si>
    <t>L84 deleted and moved to new L73A. Renamed div_tax_credit to div_tax_credit_s399</t>
  </si>
  <si>
    <t>L56 deleted 2 lines referencing gift aid with "A" from wording and removed reference for printing criteria for remaining 2</t>
  </si>
  <si>
    <t>c12.1 changed from "c9.43 minus (c10.4 + c10.5)" to "c9.43 minus c10.4"</t>
  </si>
  <si>
    <t>L76 3rd line (or) print criteria changed to include L73, L73A, and L74</t>
  </si>
  <si>
    <t>L77 print criteria changed</t>
  </si>
  <si>
    <t>Scottish, Employment and Property income. Seafarers deduction ASE11. Pension taxf charge AIL10. Relief for Finance Costs (Landlord Loan Savings Relief).</t>
  </si>
  <si>
    <t>tc91 AIL10 amount changed</t>
  </si>
  <si>
    <t>C0 Component Sheet</t>
  </si>
  <si>
    <t>tc91 TR changed to Scottish</t>
  </si>
  <si>
    <t>Components: YPD=138, INC-A=138, INC-C=138, SLR=138, FIN=1, AIL=138, Emp-A=138, DoB =not present</t>
  </si>
  <si>
    <t>Scottish Customer, Employment, and other income. Interest and dividends. Pension tax charges (AIL10)</t>
  </si>
  <si>
    <t>tc138 TR changed to Scottish, INC-A added, INC-B details deleted</t>
  </si>
  <si>
    <t>tc138 AIL10 amount added</t>
  </si>
  <si>
    <t>C2 Component Sheet</t>
  </si>
  <si>
    <t>tc138 EMP-A details changed</t>
  </si>
  <si>
    <t>library</t>
  </si>
  <si>
    <t>tc138 INC-A added, INC-B details deleted</t>
  </si>
  <si>
    <t xml:space="preserve">Lloyds underwriter with Trust income and Student Loan (plan 1) repayments </t>
  </si>
  <si>
    <t>Lloyds underwriter with Foreign Income and Foreign Dividends. Losses. Class 2 and 4 NIC</t>
  </si>
  <si>
    <t>Lloyds underwriter with Self Employment Income. Losses Class 2 and 4 NIC. CGT</t>
  </si>
  <si>
    <t>Lloyds underwriter with employment income. Losses and voluntary Class 2 NIC.</t>
  </si>
  <si>
    <t xml:space="preserve">Lloyds underwriter, employment income with Lump Sum , Partnership, savings, Dividends and Other Income, PA reduced to Nil. PPR  </t>
  </si>
  <si>
    <t>TR changed to 2 Scottish for test cases 139 - 142, 144 - 147, 154 - 156, 158, 160, 162 &amp; 163 (they were shown as Scottish on Test case index)</t>
  </si>
  <si>
    <t>Scottish customer, Partnership, Gift Aid charge. CGT.</t>
  </si>
  <si>
    <t>tc162 TR changed to Scottish as above + REL-B changed</t>
  </si>
  <si>
    <t>C4 Component Sheet</t>
  </si>
  <si>
    <t>tc162 SPS amount changed</t>
  </si>
  <si>
    <t>tc259 (new) TR &amp; INC-A</t>
  </si>
  <si>
    <t xml:space="preserve">tc259 (new) YPD, INC-A, AOR, FPS &amp; NRD added </t>
  </si>
  <si>
    <t>Non-UK resident Partnership and dividend income with annuity</t>
  </si>
  <si>
    <t>Components: YPD=259, INC-A=259, AOR=259, FPS=259, NRD=247, DoB =05/03/1945, NIC exempt</t>
  </si>
  <si>
    <t>Non-UK resident with s399 tax treated as paid on dividends and Gift Aid charge</t>
  </si>
  <si>
    <t>Components: YPD=260, INC-A=260, REL-B=260, Emp-A=260, NRD=260, DoB =05/03/1945, NIC exempt</t>
  </si>
  <si>
    <t>Family Life</t>
  </si>
  <si>
    <t>Welsh customer Employment and self-employment large dividend income with  large Gift Aid payment, Gift Aid charge and HICBC</t>
  </si>
  <si>
    <t>007/P99</t>
  </si>
  <si>
    <t>007/A125</t>
  </si>
  <si>
    <t>Logistical Analysis</t>
  </si>
  <si>
    <t>Components: YPD=261, INC-A=261, REL-B=261, CBC=261, Emp-A=261, SSE=261, DoB =05/03/1945</t>
  </si>
  <si>
    <t>Sales</t>
  </si>
  <si>
    <t>Components: YPD=262, INC-A=262, REL-B=262, Emp-A=262, FOR=262, DoB =05/03/1945</t>
  </si>
  <si>
    <t>Property Management</t>
  </si>
  <si>
    <t>UK &amp; Foreign Dividends with tax franking Gift Aid. FTCR does not create Gift Aid charge.</t>
  </si>
  <si>
    <t>tc259 (new) AOR</t>
  </si>
  <si>
    <t>tc259 (new) FPS</t>
  </si>
  <si>
    <t>tc259 (new) NRD</t>
  </si>
  <si>
    <t>tc260 (new) NRD</t>
  </si>
  <si>
    <t>tc260 (new) EMP-A</t>
  </si>
  <si>
    <t xml:space="preserve">tc260 (new) YPD, INC-A, REL-B, EMP-A &amp; NRD added </t>
  </si>
  <si>
    <t>tc260 (new) TR (YPD), INC-A, REL-B</t>
  </si>
  <si>
    <t>tc261 (new) TR (YPD), INC-A, REL-B</t>
  </si>
  <si>
    <t>tc261 (new) EMP-A</t>
  </si>
  <si>
    <t xml:space="preserve">tc261 (new) YPD, INC-A, REL-B, EMP-A &amp; SSE added </t>
  </si>
  <si>
    <t>tc261 (new) SSE</t>
  </si>
  <si>
    <t>tc262 (new) TR (YPD), INC-A, REL-B</t>
  </si>
  <si>
    <t>tc262 (new) EMP-A</t>
  </si>
  <si>
    <t xml:space="preserve">tc262 (new) YPD, INC-A, REL-B, EMP-A &amp; FOR added </t>
  </si>
  <si>
    <t>tc262 (new) FOR</t>
  </si>
  <si>
    <t>Treth incwm</t>
  </si>
  <si>
    <t>c17.48 formula updated from "IF(OR(F216=M101,F186=0,non_resident),0,MAX(0,Q165-M232))" to "IF(OR(F216=M101,F186=0,box_NRD1),0,MAX(0,Q165-M232))"</t>
  </si>
  <si>
    <t>C0 Components</t>
  </si>
  <si>
    <t>PGL Plan Type changed from 03 to 01</t>
  </si>
  <si>
    <t>tc255 CGT49 amount moved to CGT50 to avoid validation error</t>
  </si>
  <si>
    <t>Employment, Savings and Dividends. PA reduced to nil BPA claim, FIN1 entry, Deficiency relief, EIS, relief for qualifying distribution.</t>
  </si>
  <si>
    <t>Self employment, Pension, Property income and Savings. MCA.</t>
  </si>
  <si>
    <t>Employment, Savings and Dividend income and Qualifying Loan Interest Payments &amp; Qualifying loan interest payable in the year</t>
  </si>
  <si>
    <t>tc76 INC-A added REL-B added</t>
  </si>
  <si>
    <t>tc76 FSE updated</t>
  </si>
  <si>
    <t>tc76 INC-A, REL-B &amp; AOR added, MCA deleted</t>
  </si>
  <si>
    <t>Number (2dp)</t>
  </si>
  <si>
    <t>a) If present must be less than or equal to TRADING-ALLOWANCE (£1000)</t>
  </si>
  <si>
    <t>If present, FSE16.1 must be absent</t>
  </si>
  <si>
    <t>a) If entry in any of FSE17, FSE18, FSE19, FSE20, FSE21, FSE22, FSE23, FSE24, FSE25, FSE26, FSE27, FSE28, FSE29 or FSE30 total of all boxes must = FSE31 &amp; FSE31 is mandatory
b) If present, FSE16.1 must be absent</t>
  </si>
  <si>
    <t>If FSE15 + FSE16 minus FSE31 is positive or zero, FSE47 is mandatory &amp; must equal that sum
Cannot be negative.</t>
  </si>
  <si>
    <t>If FSE31 minus (FSE15 + FSE16) is positive or zero, FSE48 is mandatory &amp; must equal that sum
Cannot be negative.</t>
  </si>
  <si>
    <t>a) If present, must be less than or equal to TRAL-CA-ANNUAL-INV-ALLCE (£1307946)
b) If present, FSE16.1 must be absent</t>
  </si>
  <si>
    <t>If FSE47 + FSE61 minus (FSE48 + FSE63) is positive or zero FSE64 is mandatory &amp; must equal that sum.
Cannot be negative.</t>
  </si>
  <si>
    <t>If FSE48 + FSE63 minus (FSE47 + FSE61) is positive or zero FSE65 is mandatory &amp; must equal that sum.
Cannot be negative.
At least one of FSE64 or FSE65 must be present</t>
  </si>
  <si>
    <t>a. If (FSE64 minus FSE65) + (FSE68 minus FSE69) minus FSE16.1  is positive, then FSE73 is mandatory  and equals FSE64 minus (FSE65 + FSE68) minus FSE69 minus FSE16.1 + FSE71 + FSE72) 
b. if (FSE64 minus FSE65) + (FSE68 minus FSE69) minus FSE16.1 is negative or zero, then  if FSE71 + FSE72  &gt; 0, FSE73 is mandatory and equals FSE71 + FSE72 else FSE73 must be zero or absent.</t>
  </si>
  <si>
    <t xml:space="preserve"> `</t>
  </si>
  <si>
    <t>a)Equal to FSE49 + FSE50 + FSE51 + FSE52 + FSE53 + FSE54 + FSE55 + FSE56 
b)If present, FSE16.1 must be absent</t>
  </si>
  <si>
    <r>
      <rPr>
        <b/>
        <sz val="8"/>
        <rFont val="Arial"/>
        <family val="2"/>
      </rPr>
      <t>a)</t>
    </r>
    <r>
      <rPr>
        <sz val="8"/>
        <rFont val="Arial"/>
        <family val="2"/>
      </rPr>
      <t xml:space="preserve">If entry in any of FSE32, FSE33, FSE34, FSE35, FSE36, FSE37, FSE38, FSE39, FSE40, FSE41, FSE42, FSE43, FSE44 or FSE45 total of all boxes must = FSE46 
</t>
    </r>
    <r>
      <rPr>
        <b/>
        <sz val="8"/>
        <rFont val="Arial"/>
        <family val="2"/>
      </rPr>
      <t>b</t>
    </r>
    <r>
      <rPr>
        <sz val="8"/>
        <rFont val="Arial"/>
        <family val="2"/>
      </rPr>
      <t>)if present, FSE16.1 must be absent</t>
    </r>
  </si>
  <si>
    <t>tc76 AOR added &amp; MCA deleted</t>
  </si>
  <si>
    <t>1) If no entry in SSE5 or SSE6, amount must be below RRUL-MAX-TURNOVER-AMT (£85,000 0
2) If SSE5 present but SSE6 is absent, amount must be below (no of days/(365 or 366) x RRUL-MAX-TURNOVER-AMT (£85,000)) where no of days = no of days from SSE5 to 5 April 2018;
3) If SSE6 present but SSE5 is absent, amount must be below (no of days/(365 or 366) x RRUL-MAX-TURNOVER-AMT (£85,000) where no of days = no of days from 6 April 2015 to SSE6
4) If SSE5 and SSE6 present, amount must be below (no of days/(365 or 366) x RRUL-MAX-TURNOVER-AMT (£85,000)) where no of days = no of days from SSE5 to SSE6</t>
  </si>
  <si>
    <t>If present, SSE10.1 must be absent</t>
  </si>
  <si>
    <t>a) If SSE20 is present and greater than zero and SSE9 is equal to or greater than RRUL-SMALL-TURNOVER-LIMIT (£85,000), there must be an entry in at least one of SSE11 to SSE19 and SSE20 must equal the total of those boxes. 
b) If present, SSE10.1 must be absent</t>
  </si>
  <si>
    <t>If SSE9 + SSE10 minus SSE20 is positive or zero, SSE21 is mandatory and must equal that sum
Cannot be negative.</t>
  </si>
  <si>
    <t>a) If SSE20 minus (SSE9 + SSE10) is positive or zero, SSE22 is mandatory and must equal that sum
b) If present, SSE10.1 must be absent
Cannot be negative.</t>
  </si>
  <si>
    <t>a) If present, must be less than or equal to TRAL-CA-ANNULA-INV-ALLCE (£1307946)
b) If present, SSE10.1 must be absent</t>
  </si>
  <si>
    <t>SSE10.1 must be less than or equal to SSE21 + SSE26 + SSE27</t>
  </si>
  <si>
    <r>
      <t xml:space="preserve">If SSE21 + SSE26 + SSE27 minus (SSE10.1 + SSE22 + SSE23 + SSE24 + SSE25 </t>
    </r>
    <r>
      <rPr>
        <sz val="8"/>
        <color rgb="FFFF0000"/>
        <rFont val="Arial"/>
        <family val="2"/>
      </rPr>
      <t>+ SSE25.1</t>
    </r>
    <r>
      <rPr>
        <sz val="8"/>
        <color theme="1"/>
        <rFont val="Arial"/>
        <family val="2"/>
      </rPr>
      <t>) is positive or zero SSE28 must equal that sum.
Cannot be negative.</t>
    </r>
  </si>
  <si>
    <r>
      <t xml:space="preserve">a)Where SSE22 + SSE23 + SSE24 + SSE25 </t>
    </r>
    <r>
      <rPr>
        <sz val="8"/>
        <color rgb="FFFF0000"/>
        <rFont val="Arial"/>
        <family val="2"/>
      </rPr>
      <t>+ SSE25.1</t>
    </r>
    <r>
      <rPr>
        <sz val="8"/>
        <rFont val="Arial"/>
        <family val="2"/>
      </rPr>
      <t xml:space="preserve"> minus (SSE21 + SSE26 + SSE27) is positive or zero SSE32 is mandatory and must equal that sum. 
b)Cannot be negative.
c)If present, SSE10.1 must be absent</t>
    </r>
  </si>
  <si>
    <t>N/A</t>
  </si>
  <si>
    <t>c5.58 changed from “lower of (c5.1 minus
(c5.47 + c5.48 + c5.52 + c5.52h + c5.57))
and (c5.30 minus (c5.50 minus c5.52q))”
to
“lower of (c5.1 minus
(c5.47 + c5.48 + c5.52h + c5.52l + c5.57 + c5.57a))
and (c5.55.6 + c5.55.7) minus (c5.56 + c5.56p)"</t>
  </si>
  <si>
    <t>c4.76b1 changed from "if c4.75n &gt; 0 (zero), and c4.75n &gt;= c4.75j, c4.76b1 = 1 (HR_case? 'Y'), else c4.76b1 = 0 (HR_case? 'N'), end if, end if" to "if c4.75n &gt; 0 (zero)
and (c4.75n &gt; c4.75j
c4.75m + c4.75n &gt; T_P_A (£1,250))
c4.76b1 = 1 (HR_case? 'Y')
else
c4.76b1 = 0 (HR_case? 'N')
end if
"</t>
  </si>
  <si>
    <t>L39s "ppr-gift-extender-STp" set to zero</t>
  </si>
  <si>
    <t>VBA macro Sub Draw_SA302() uses 'Range ("B1:K232") .Copy, and "For intSA302_Count = 1 To 232 Step 1".' Will need to change VBA macro if rows exceed row 232.</t>
  </si>
  <si>
    <t>L113 "tax-on-gains-already-charged" added</t>
  </si>
  <si>
    <t>L120a "tax-on-gains-already-charged" added</t>
  </si>
  <si>
    <t>L121 "tax-on-gains-already-charged" added</t>
  </si>
  <si>
    <t>Pet Food</t>
  </si>
  <si>
    <t>Wind Farm</t>
  </si>
  <si>
    <t>LET</t>
  </si>
  <si>
    <t>Components: YPD=257, INC-A=257, INC-B=257, PRO=257, CGT=257, NRD=257, DoB =not present</t>
  </si>
  <si>
    <t>Non-UK resident, Pension, Dividends and NRCGT</t>
  </si>
  <si>
    <t>Pension, Property, Savings and NRCGT</t>
  </si>
  <si>
    <t>Non-UK resident, Property, Savings, Dividends and NRCGT</t>
  </si>
  <si>
    <t>Pension, Property, Savings and Dividends</t>
  </si>
  <si>
    <t>Non-UK resident, Property, Savings and NRCGT</t>
  </si>
  <si>
    <t>Non-UK resident, Pension, Property, Savings and NRCGT</t>
  </si>
  <si>
    <t>Changes v1.0.2</t>
  </si>
  <si>
    <t>c3.14 formula updated from "E37+E38+E39+E40" to "E37+E38+E39+E40+E41"</t>
  </si>
  <si>
    <t>tc173 result updated (tc250 unchanged because = AOI13 excluded income and addition of AOI13.1 did not change result)</t>
  </si>
  <si>
    <t>VBA macro Sub clear_SA302() uses range A1:K171 - ensure the maximum number of lines (excluding "or") cannot exceed that</t>
  </si>
  <si>
    <t>L85 print condition changed from "IF(AND(annuity_amount+tax_on_excluded_inc&gt;0),1,0)" to "IF(annuity_amount&gt;0),1,0)</t>
  </si>
  <si>
    <t>Not for Requirements - now matches SA302 Requirements</t>
  </si>
  <si>
    <t>Not for Requirements - N.B. not in SA302 Requirements</t>
  </si>
  <si>
    <t>L43 (2nd "or") print condition changed from "IF(AND('Status (c3a)'!E21=2,(taxable_pay_BR+taxable_pay_HR+taxable_pay_AHR)&gt;0),1,0)" to "IF(AND('Status (c3a)'!E21=2,(taxable_pay_BR+taxable_pay_SIR+taxable_pay_HR+taxable_pay_AHR)&gt;0),1,0)"</t>
  </si>
  <si>
    <t>Sub Replay_test_case () the line for "Worksheets("SA302_interface").Range("B81") = Component_string" updated to "  Worksheets("SA302_interface").Range("B101") = Component_string"</t>
  </si>
  <si>
    <t>Sub Draw_CRC () the line for "Sheets("CRC_template").Range("A1:D41").Copy" updated to "  Sheets("CRC_template").Range("A1:D54").Copy"</t>
  </si>
  <si>
    <t>VBA macro Sub Replay_test_case() uses Cell ("B101"). Will need to change VBA macro if rows exceed row 101.</t>
  </si>
  <si>
    <t>BUG fix</t>
  </si>
  <si>
    <t>Changes v1.1.0</t>
  </si>
  <si>
    <t>Exclusion 57 Disregarded tax deducted to mirror s399 tax treated as paid for TRU5, TRU9 &amp; TRU12 already in c91.34b and c91.34c</t>
  </si>
  <si>
    <t>c91.34d changed from "(c3.6 + c3.8 + c3.10 + c3.11 + c3.13D) x DivBR_rate (7.5%)" to "(c3.10 + c3.11 + c3.13) x DivBR_rate (7.5%)"</t>
  </si>
  <si>
    <t>c10.5 changed from pdown to pup</t>
  </si>
  <si>
    <t>Exclusion 57 Now in customer favour</t>
  </si>
  <si>
    <t>TC76 updated for AIA limit, ECP and SBA</t>
  </si>
  <si>
    <t>TC54 updated forto include part-time teacher for PGL test</t>
  </si>
  <si>
    <t xml:space="preserve">c5.58h changed from “lower of (c5.1 minus
(c5.47 + c5.48 + c5.52h + c5.52l + c5.58 + c5.58a.53 + c5.58e))
and (c5.58a.1 + c5.58a.54) minus (c5.58a.53 + c5.58e)”
to
“lower of (c5.1 minus
(c5.47 + c5.48 + c5.52h + c5.52l + c5.58 + c5.58a.53 + c5.58e))
and ((c5.58a.1 + c5.58a.54) minus (c5.58a.53 + c5.58e))”
</t>
  </si>
  <si>
    <t>Clarification, brackets added to final line of step</t>
  </si>
  <si>
    <t xml:space="preserve">c5.58.8 changed from “lower of
(c5.1 minus (c5.47 + c5.48 + c5.58e + c5.58i + c5.58k + c5.58.7)) and
(c5.34b1 + c5.34c + c5.34d) minus (c5.45 + c5.58h)”
to
“lower of
(c5.1 minus (c5.47 + c5.48 + c5.58e + c5.58i + c5.58k + c5.58.7)) and
((c5.34b1 + c5.34c + c5.34d) minus (c5.45 + c5.58h))”
</t>
  </si>
  <si>
    <t xml:space="preserve">Clarification, "c27.43a =" had been missing </t>
  </si>
  <si>
    <t>c12.7b</t>
  </si>
  <si>
    <t>c27.7 "and " added back to line "If pseudo box SLRPT = 01 and" no change from last year</t>
  </si>
  <si>
    <t>If pseudo box PGLRPT = 03
c27.40a minus PGL_limit (£21,000)
else
c27.43a 0 (zero)
to
“If pseudo box PGLRPT = 03
c27.43a = c27.40a minus PGL_limit (£21,000)
else
c27.43a = 0 (zero)”
end if</t>
  </si>
  <si>
    <t>Box name CGT missing from "((52.1 + 52.2) minus 52.5)" part of IF statement above c18.1. Changed to "((CGT52.1 + CGT52.2) minus CGT52.5)"</t>
  </si>
  <si>
    <t>L94 formula changed from using old item "Pension_charges" to "Pension_charges_gross"</t>
  </si>
  <si>
    <t>L94 formula changed to add in "pens_tax_rel_due"</t>
  </si>
  <si>
    <t>L94 formula changed to add in "pens_tax_rel_due</t>
  </si>
  <si>
    <t>L95 formula changed to add in "pens_tax_rel_due"</t>
  </si>
  <si>
    <t>L95 formula changed to add in "pens_tax_rel_due</t>
  </si>
  <si>
    <t>L95 formula changed from using old item "Pension_charges" to "Pension_charges_gross"</t>
  </si>
  <si>
    <t>Changes v1.2.0</t>
  </si>
  <si>
    <t>c5.66r</t>
  </si>
  <si>
    <t>c5.66s</t>
  </si>
  <si>
    <t>c5.66t</t>
  </si>
  <si>
    <t>Max allcs reqd by CEG</t>
  </si>
  <si>
    <t xml:space="preserve">c5.66n changed from “lower of (c5.44 + c5.52h + c5.58.7 + c5.62 + c5.66.7) and c5.66b” 
to “((c5.66b minus c5.66d) + c5.41) minus c4.79”
</t>
  </si>
  <si>
    <t xml:space="preserve">c5.66o changed from “if (c5.66d + c5.66n) &gt;= c5.66b and
c5.66h &gt; c5.66l
c5.41 &gt; 0 (zero)
c5.66o = lower of (c5.37 minus (c5.46 + c5.52l + c5.64 + c5.68a + c5.66d)) and c5.66n
else
c5.66o = 0 (zero)
end if”
to
“lower of (c5.44 + c5.52h + c5.58.7 + c5.62 + c5.66.7) and c5.66b”
</t>
  </si>
  <si>
    <t xml:space="preserve">c5.66p changed from “lower of (c5.48 + c5.58 + c5.58k + c5.66) and (c5.66b minus c5.66d)”
to
“lower of (c5.37 minus (c5.46 + c5.52l + c5.64 + c5.68a + c5.66d)) and c5.66o”
</t>
  </si>
  <si>
    <t xml:space="preserve">c5.66q changed from “if (c5.66b minus c5.66d) &gt; 0 (zero)
and c5.41 &gt; 0 (zero)
c5.66q = lower of (c5.37 minus (c5.46 + c5.52l + c5.64 + c5.68a + c5.66d + c5.66o)) and c5.66p
else
c5.66q = 0 (zero)
end if”
to
“if (c5.66b minus c5.66d) &gt; 0 (zero) and
(c5.66b + c5.41) &gt; (c5.66d + c4.79) and
c5.66m &gt; 0 (zero) and
c5.41 &gt; 0 (zero)
c5.66q = lower of c5.66n and c5.66p
else
c5.66q = 0 (zero)
end if”
</t>
  </si>
  <si>
    <t>new box c5.66r “lower of (c5.48 + c5.58 + c5.58k + c5.66) and (c5.66b minus c5.66d)”</t>
  </si>
  <si>
    <t>new box c5.66s “lower of (c5.37 minus (c5.46 + c5.52l + c5.64 + c5.68a + c5.66d + c5.66q)) and c5.66r”</t>
  </si>
  <si>
    <t>c5.67 changed from “(c5.44 + c5.52h + c5.58.7 + c5.62 + c5.66.7) minus c5.66o” to “(c5.44 + c5.52h + c5.58.7 + c5.62 + c5.66.7) minus c5.66q”</t>
  </si>
  <si>
    <t xml:space="preserve">new box c5.66t “if (c5.66b minus c5.66d) &gt; 0 (zero) and
(c5.66b + c5.41) &gt; (c5.66d + c4.79) and
c5.41 &gt; 0 (zero)
c5.66t = lower of c5.66n and c5.66s
else
c5.66t = 0 (zero)
end if”
</t>
  </si>
  <si>
    <t>c5.67 changed from "(c5.44 + c5.52h + c5.58.7 + c5.62 + c5.66.7) minus c5.66o" to "(c5.44 + c5.52h + c5.58.7 + c5.62 + c5.66.7) minus c5.66q"</t>
  </si>
  <si>
    <t xml:space="preserve">c5.70 changed from "larger of (c5.1 minus (c5.67 + c5.68 + c5.69)) and
((c5.48 + c5.58 + c5.58k + c5.66) minus c5.66q)" to "larger of (c5.1 minus (c5.67 + c5.68 + c5.69)) and
((c5.48 + c5.58 + c5.58k + c5.66) minus c5.66t)"
</t>
  </si>
  <si>
    <t>Rhwymedigaeth Treth Incwm</t>
  </si>
  <si>
    <t>Terfyn ar rwymedigaeth i dreth incwm</t>
  </si>
  <si>
    <t>Rhwymedigaeth treth incwm wedi’i chyfyngu i</t>
  </si>
  <si>
    <t>Tâl treth Rhodd Cymorth</t>
  </si>
  <si>
    <t>Cyfradd uchaf</t>
  </si>
  <si>
    <t>Cyfradd ganolradd</t>
  </si>
  <si>
    <t>Cyfradd cychwyn</t>
  </si>
  <si>
    <t>Cyflog, pensiynau, elw ac ati (cyfradd treth incwm Cymru)</t>
  </si>
  <si>
    <t>Selected  = 0/0/0</t>
  </si>
  <si>
    <t>Selected  = 0</t>
  </si>
  <si>
    <t>Changes v1.3.0</t>
  </si>
  <si>
    <t xml:space="preserve">c5.66q changed from “if (c5.66b minus c5.66d) &gt; 0 (zero) and
(c5.66b + c5.41) &gt; (c5.66d + c4.79) and
c5.66m &gt; 0 (zero) and
c5.41 &gt; 0 (zero)
c5.66q = lower of c5.66n and c5.66p
else
c5.66q = 0 (zero)
end if”
to
“if (c5.66d + c5.66p) &gt;= c5.66b and
(c5.66b minus c5.66d) &gt; 0 (zero) and
(c5.66b + c5.41) &gt; (c5.66d + c4.79) and
c5.66m &gt; 0 (zero) and
c5.41 &gt; 0 (zero)
c5.66q = lower of c5.66n and c5.66p
else
c5.66q = 0 (zero)
end if”
</t>
  </si>
  <si>
    <t>c5.66t changed from “if (c5.66b minus c5.66d) &gt; 0 (zero) and
(c5.66b + c5.41) &gt; (c5.66d + c4.79) and
c5.41 &gt; 0 (zero)
c5.66t = lower of c5.66n and c5.66s
else
c5.66t = 0 (zero)
end if”
to
“if (c5.66d + c5.66s) &gt;= c5.66b and
(c5.66b minus c5.66d) &gt; 0 (zero) and
(c5.66b + c5.41) &gt; (c5.66d + c4.79) and
c5.41 &gt; 0 (zero)
c5.66t = lower of c5.66n and c5.66s
else
c5.66t = 0 (zero)
end if”</t>
  </si>
  <si>
    <t>Mae hyn yn sicrhau eich bod yn cael rhyddhad ychwanegol ar eich cyfraniadau ar eich cyfradd dreth ffiniol uchaf.</t>
  </si>
  <si>
    <t>ar gyfer taliadau pensiwn a thaliadau Rhodd Cymorth. Mae hyn yn gostwng swm yr incwm y codir treth arno ar y cyfraddau treth uwch.</t>
  </si>
  <si>
    <t>Ad-daliadau Benthyciad Ôl-raddedig</t>
  </si>
  <si>
    <t>Llog o bartneriaethau</t>
  </si>
  <si>
    <t>Difidendau o bartneriaethau</t>
  </si>
  <si>
    <t>Cynilion tramor</t>
  </si>
  <si>
    <t>Rhyddhad ar gyfer llog ar fenthyciadau o fuddsoddiadau</t>
  </si>
  <si>
    <t>L43 Translation updated</t>
  </si>
  <si>
    <t>L44a Translation updated</t>
  </si>
  <si>
    <t>L78 Translation updated</t>
  </si>
  <si>
    <t>L79b Translation updated</t>
  </si>
  <si>
    <t>L80 Translation updated</t>
  </si>
  <si>
    <t>L84a Translation updated</t>
  </si>
  <si>
    <t>L84b Translation updated</t>
  </si>
  <si>
    <t>L84c Translation updated</t>
  </si>
  <si>
    <t>L93a1 Translation updated</t>
  </si>
  <si>
    <t>L9a Translation updated</t>
  </si>
  <si>
    <t>L9b Translation updated</t>
  </si>
  <si>
    <t>L11b Translation updated</t>
  </si>
  <si>
    <t>L39 Translation updated</t>
  </si>
  <si>
    <t>L39s Translation updated</t>
  </si>
  <si>
    <t>c5.55.36 TRUNC added to formula</t>
  </si>
  <si>
    <t>c5.55.37 TRUNC added to formula</t>
  </si>
  <si>
    <t>c5.55.38 TRUNC added to formula</t>
  </si>
  <si>
    <t>c5.55.39 TRUNC added to formula</t>
  </si>
  <si>
    <t>c5.55.40 TRUNC added to formula</t>
  </si>
  <si>
    <t>c5.55.41 TRUNC added to formula</t>
  </si>
  <si>
    <t>extra</t>
  </si>
  <si>
    <t>INV</t>
  </si>
  <si>
    <t>c0</t>
  </si>
  <si>
    <t>TC7 MCA control data updated</t>
  </si>
  <si>
    <t>TC250 CL2 amount updated</t>
  </si>
  <si>
    <t>TC258 basis period date corrected</t>
  </si>
  <si>
    <t>TC246, TC253 and TC256 country code corrected</t>
  </si>
  <si>
    <t>PGLRPT updated to use 03</t>
  </si>
  <si>
    <t>L93a1 formula updated to use PGL_type=3</t>
  </si>
  <si>
    <t>FSE76 to FSE103 and EMP-B9 to EMP-BTotalCL1 formulae corrected to point to correct cell</t>
  </si>
  <si>
    <t>TC27 and TC30 business name added</t>
  </si>
  <si>
    <t>Cell B97 formula corrected to use NI1_MOR_RANGE</t>
  </si>
  <si>
    <t>TC250 FPS18 updated</t>
  </si>
  <si>
    <t>Schematron invalidity error 6090</t>
  </si>
  <si>
    <t>TC250 FPS35 updated</t>
  </si>
  <si>
    <t>Schematron invalidity error 6094</t>
  </si>
  <si>
    <t>Schematron invalidity error 6095</t>
  </si>
  <si>
    <t>TC247 FPS41 updated</t>
  </si>
  <si>
    <t>TC254 INC21 updated</t>
  </si>
  <si>
    <t>Schematron invalidity error 6568</t>
  </si>
  <si>
    <t>TC247 FPS7 updated</t>
  </si>
  <si>
    <t>Schematron invalidity error 6733</t>
  </si>
  <si>
    <t>Schematron invalidity error 6739</t>
  </si>
  <si>
    <t>TC250 PRO38 and PRO40 updated</t>
  </si>
  <si>
    <t>Schematron invalidity error 8269</t>
  </si>
  <si>
    <t>TC55 and TC199 CGT20 updated</t>
  </si>
  <si>
    <t>Schematron invalidity error 8316</t>
  </si>
  <si>
    <t>TC250 FPS25 and FPS26 updated</t>
  </si>
  <si>
    <t>Schematron invalidity error 8374</t>
  </si>
  <si>
    <t>TC250 to TC258 CGT6 updated</t>
  </si>
  <si>
    <t>Schematron invalidity error 8383</t>
  </si>
  <si>
    <t>TC249 CGT3 updated</t>
  </si>
  <si>
    <t>TC76 PRO20.2 updated</t>
  </si>
  <si>
    <t>Schematron invalidity error 8506 and 8507</t>
  </si>
  <si>
    <t>TC27 PRO44 updated</t>
  </si>
  <si>
    <t>Schematron invalidity error 8534 and 8569</t>
  </si>
  <si>
    <t>c27.45 and c27.8a formula in cell updated to use PGL_type=3</t>
  </si>
  <si>
    <t>Enillion sy’n gymwys ar gyfer Rhyddhad Mentrwyr a/neu Ryddhad Buddsoddwyr</t>
  </si>
  <si>
    <t>Treth ar enillion a dalwyd eisoes</t>
  </si>
  <si>
    <t>Changes v1.3.1</t>
  </si>
  <si>
    <t>Residential property income</t>
  </si>
  <si>
    <t>or restricted finance costs</t>
  </si>
  <si>
    <t>Dividends from trusts etc.</t>
  </si>
  <si>
    <t>Other income from trusts etc.</t>
  </si>
  <si>
    <t>Headings above boxes 10, 11, 12, 13 and 13.1 added back in.</t>
  </si>
  <si>
    <t>Not yet issued</t>
  </si>
  <si>
    <t>TC247 FPS64 updated</t>
  </si>
  <si>
    <t>c18.2a rounding £down added</t>
  </si>
  <si>
    <t>Changes v1.4.0</t>
  </si>
  <si>
    <t>c18.16a rounding £up added</t>
  </si>
  <si>
    <t>No longer in use</t>
  </si>
  <si>
    <r>
      <t>total earned income</t>
    </r>
    <r>
      <rPr>
        <strike/>
        <sz val="9"/>
        <rFont val="Arial"/>
        <family val="2"/>
      </rPr>
      <t xml:space="preserve"> (excluding employment income)</t>
    </r>
  </si>
  <si>
    <t>Not used</t>
  </si>
  <si>
    <t>c27.6a changed from “EMP1 + EMP3 + EMP12 + EMP16” to “set to zero”</t>
  </si>
  <si>
    <t>c27.6b changed from “EMP17 + EMP18 + EMP19 + EMP20” to “set to zero”</t>
  </si>
  <si>
    <t>c27.6c changed from “c27.6a minus c27.6b” to “set to zero”</t>
  </si>
  <si>
    <t>c27.8 changed from “c27.5 minus c27.7” to “set to zero”</t>
  </si>
  <si>
    <t xml:space="preserve">c27.8a changed from “If pseudo box PGLRPT = 03
and
all instances c27.6c are greater than PG_limit (£21,000)
c27.8a = all instances c27.6c minus PG_limit (£21,000)
else
c27.8a = 0 (zero)
end if”
to
“set to zero”
</t>
  </si>
  <si>
    <t>c27.8b changed from “c27.5 minus c27.8a” to “set to zero”</t>
  </si>
  <si>
    <t>c27.29 changed from “c27.8 + c27.17 + c27.28” to “c27.17 + c27.28”</t>
  </si>
  <si>
    <t>c27.29a changed from “c27.8b + c27.17 + c27.28” to “set to zero”</t>
  </si>
  <si>
    <t>c27.40a changed from “c27.29a minus c27.39” to “set to zero”</t>
  </si>
  <si>
    <t>c2 EMP8 struck through</t>
  </si>
  <si>
    <t>EMP8 struck through</t>
  </si>
  <si>
    <t>c97.6a set as "not in use"</t>
  </si>
  <si>
    <t>c97.6b set as "not in use"</t>
  </si>
  <si>
    <t>c97.6e set as "not in use"</t>
  </si>
  <si>
    <t>c97.1 changed from "c27.8 + c27.9" to "c27.5 + c27.9"</t>
  </si>
  <si>
    <t>c97.5 changed from "c27.29 minus (c27.8 + c27.9)" to "c27.29 minus (c27.5 + c27.9)</t>
  </si>
  <si>
    <t>c5.66j1</t>
  </si>
  <si>
    <t>c5.66j2</t>
  </si>
  <si>
    <t>c27.43a changed from “If pseudo box PGLRPT = 03
c27.43a = c27.40a minus PGL_limit (£21,000)
else
c27.43a = 0 (zero)
end if
c27.43a changed from “ to “If pseudo box PGLRPT = 03
c27.43a = c27.40 minus PGL_limit (£21,000)
else
c27.43a = 0 (zero)
end if”</t>
  </si>
  <si>
    <t xml:space="preserve">c27.41 changed from “If pseudo box SLRPT = 01
c27.41 = c27.40 minus SL_limit1 (£18,935)
else
If pseudo box SLRPT = 02
c27.41 = c27.40 minus SL_limit2 (£25,725)
end if
end if”
to
“If pseudo box SLRPT = 01
c27.41 = c27.40 minus SL_limit1 (£18,935)
else
If pseudo box SLRPT = 02
c27.41 = c27.40 minus SL_limit2 (£25,725)
else
c27.41 = 0 (zero)
end if
end if” </t>
  </si>
  <si>
    <t>c27.17 changed from “c27.9 + c27.10 + c27.11 + 
c27.12 + c27.13 + c27.14 + c27.15 + c27.16 + c27.16a”
to
“c27.5 + c27.9 + c27.10 + c27.11 + 
c27.12 + c27.13 + c27.14 + c27.15 + c27.16 + c27.16a”</t>
  </si>
  <si>
    <t>c27.7 changed from “If pseudo box SLRPT = 01 and
all instances c27.6c are greater than SL_limit1 (£18,935)
c27.7 = all instances c27.6c minus SL_limit1 (£18,935)
else
If pseudo box SLRPT = 02 and
all instances c27.6c are greater than SL_limit2 (£25,725)
c27.7 = all instances c27.6c minus SL_limit2 (£25,725)
else
c27.7 = 0 (zero)
end if
end if”
to
“set to zero”</t>
  </si>
  <si>
    <t>c5.54c changed from “lower of c5.21 and
(c5.1 minus (c5.44 + c5.45 + c5.20c))”
to
lower of (c5.43d minus c5.44) and
(c5.1 minus (c5.44 + c5.45 + c5.20c))</t>
  </si>
  <si>
    <t>Changes v1.5.0</t>
  </si>
  <si>
    <t>c5.66p1</t>
  </si>
  <si>
    <t>c5.66p5</t>
  </si>
  <si>
    <t>c5.66p2</t>
  </si>
  <si>
    <t>c5.66p3</t>
  </si>
  <si>
    <t>c5.66p4</t>
  </si>
  <si>
    <t>c5.66p6</t>
  </si>
  <si>
    <r>
      <t>c5.66k changed from "lower of</t>
    </r>
    <r>
      <rPr>
        <sz val="10"/>
        <color rgb="FFFF0000"/>
        <rFont val="Arial"/>
        <family val="2"/>
      </rPr>
      <t xml:space="preserve"> c4.79</t>
    </r>
    <r>
      <rPr>
        <sz val="10"/>
        <rFont val="Arial"/>
        <family val="2"/>
      </rPr>
      <t xml:space="preserve"> and c5.41" to "lower of </t>
    </r>
    <r>
      <rPr>
        <sz val="10"/>
        <color theme="9" tint="-0.249977111117893"/>
        <rFont val="Arial"/>
        <family val="2"/>
      </rPr>
      <t>c5.66j2</t>
    </r>
    <r>
      <rPr>
        <sz val="10"/>
        <rFont val="Arial"/>
        <family val="2"/>
      </rPr>
      <t xml:space="preserve"> and c5.41"</t>
    </r>
  </si>
  <si>
    <t>c5.66p7</t>
  </si>
  <si>
    <t>c5.66p8</t>
  </si>
  <si>
    <t>c5.66p1 new box “lower of c5.66n and c5.66p”</t>
  </si>
  <si>
    <t>c5.66p3 new box “c5.66p1 minus (c5.66d + c5.66h + c5.66i + c5.66p2)”</t>
  </si>
  <si>
    <t>c5.66p4 new box “lower of (c3a.1a minus c5.66a) and c5.66p1”</t>
  </si>
  <si>
    <t>c5.66p5 new box “lower of ((c3a.1a + c3a.2) minus c5.66a) and (c5.66p1 minus c5.66p4)”</t>
  </si>
  <si>
    <t>c5.66p6 new box “lower of ((c3a.1a + c3a.2 + c3a.2a) minus c5.66a) and (c5.66p1 minus (c5.66p4 + c5.66p5))”</t>
  </si>
  <si>
    <t>c5.66p7 new box “c5.66p1 minus (c5.66p4 + c5.66p5 + c5.66p6)”</t>
  </si>
  <si>
    <t xml:space="preserve">c5.66p8 new box “((c5.66p2 x BR_rate (20%)) + (c5.66p3 x HR_rate (40%)) + (c5.66l x BR_rate (20%)) + (c5.66m x HR_rate (40%))) minus
((c5.66p4 x c3a.3b) + (c5.66p5 x c3a.4) + (c5.66p6 x c3a.4a) + (c5.66p7 x c3a.5))”
</t>
  </si>
  <si>
    <t xml:space="preserve">c5.66q changed from “if (c5.66d + c5.66p) &gt;= c5.66b and
(c5.66b minus c5.66d) &gt; 0 (zero) and
(c5.66b + c5.41) &gt; (c5.66d + c4.79) and
c5.66m &gt; 0 (zero) and
c5.41 &gt; 0 (zero)
c5.66q = lower of c5.66n and c5.66p
else
c5.66q = 0 (zero)
end if”
to
“if (c5.66d + c5.66p) &gt;= c5.66b and
(c5.66b minus c5.66d) &gt; 0 (zero) and
(c5.66b + c5.41) &gt; (c5.66d + c4.79) and
c5.66p8 &gt; 0 (zero) and
c5.41 &gt; 0 (zero)
c5.66q = c5.66p1
else
c5.66q = 0 (zero)
end if”
</t>
  </si>
  <si>
    <t>c5.66j1 new box “(larger of ((c5.44 + c5.52h + c5.58.7 + c5.62 + c5.66.7) and c5.66d) + c5.66e) minus c5.66b”</t>
  </si>
  <si>
    <t>c5.66j2 new box “lower of c5.66j1 and c4.79”</t>
  </si>
  <si>
    <t>c5.66p2 new box “lower of (c5.66p1 minus (c5.66d + c5.66j2)) and (c5.66g minus (c5.66d + c5.66h))”</t>
  </si>
  <si>
    <t>L39 to L41 formulas updated</t>
  </si>
  <si>
    <t>Test Case Index</t>
  </si>
  <si>
    <t>TC249 and TC251 noted as YES for "Used for HMRC Portal</t>
  </si>
  <si>
    <t>Named cells in SA102 and SA103F updated</t>
  </si>
  <si>
    <t>AER-60</t>
  </si>
  <si>
    <t>TC6 updated so NIC2 not included in test case data</t>
  </si>
  <si>
    <t>Stranded "end if" deleted from cell R301</t>
  </si>
  <si>
    <t>Postgraduate loan repayment due</t>
  </si>
  <si>
    <t>liability_template</t>
  </si>
  <si>
    <t>last revised 18/11/2019</t>
  </si>
  <si>
    <t>Version E1.5.0</t>
  </si>
  <si>
    <t xml:space="preserve">files their SA Return the credit will be given.  </t>
  </si>
  <si>
    <t>Underpaid tax for earlier years included in 2019-20 tax code</t>
  </si>
  <si>
    <t>2019-20 underpaid tax included in 2020-21 tax code</t>
  </si>
  <si>
    <t>Outstanding debt included in your tax code for 2019-20</t>
  </si>
  <si>
    <t xml:space="preserve">Unique Taxpayer Reference (UTR) </t>
  </si>
  <si>
    <t>21 November 2019</t>
  </si>
  <si>
    <t>Tax Calculation for 2019-20</t>
  </si>
  <si>
    <t xml:space="preserve"> (year ended 5 April 2020)</t>
  </si>
  <si>
    <t>Your pension payments of $1,000 and Gift Aid contributions of $625 have increased your basic rate limits.</t>
  </si>
  <si>
    <t>x 19% =</t>
  </si>
  <si>
    <t>x 41% =</t>
  </si>
  <si>
    <t>x 7.5% =</t>
  </si>
  <si>
    <t>x 32.5% =</t>
  </si>
  <si>
    <t>Your Class 4 has been adjusted for Class 2 due and $2,954.64 primary Class 1 contributions</t>
  </si>
  <si>
    <t>Underpaid tax for earlier years in your tax code for 2019-20</t>
  </si>
  <si>
    <t>Test case 3</t>
  </si>
  <si>
    <t>Selected  = 3/3/3</t>
  </si>
  <si>
    <t>Selected  = 3</t>
  </si>
  <si>
    <t>17/11/1980</t>
  </si>
  <si>
    <t>06/04/2019</t>
  </si>
  <si>
    <t>30/12/2019</t>
  </si>
  <si>
    <t>05/04/2020</t>
  </si>
  <si>
    <t>Selected  = 10</t>
  </si>
  <si>
    <t>MAT0</t>
  </si>
  <si>
    <t>MAT-OUT</t>
  </si>
  <si>
    <t>MAT-IN</t>
  </si>
  <si>
    <t>FIN2</t>
  </si>
  <si>
    <t>FIN3</t>
  </si>
  <si>
    <t>FIN4</t>
  </si>
  <si>
    <t>FIN5</t>
  </si>
  <si>
    <t>FIN6</t>
  </si>
  <si>
    <t>FIN7</t>
  </si>
  <si>
    <t>FIN8</t>
  </si>
  <si>
    <t>FIN9</t>
  </si>
  <si>
    <t>FIN10</t>
  </si>
  <si>
    <t>FIN11</t>
  </si>
  <si>
    <t>FIN12</t>
  </si>
  <si>
    <t>FIN13</t>
  </si>
  <si>
    <t>FIN14</t>
  </si>
  <si>
    <t>FIN15</t>
  </si>
  <si>
    <t>FIN16</t>
  </si>
  <si>
    <t>FIN17</t>
  </si>
  <si>
    <t>FIN18</t>
  </si>
  <si>
    <t>FIN19</t>
  </si>
  <si>
    <t>FIN20</t>
  </si>
  <si>
    <t>FIN21</t>
  </si>
  <si>
    <t>FIN22</t>
  </si>
  <si>
    <t>FIN23</t>
  </si>
  <si>
    <t>FIN24</t>
  </si>
  <si>
    <t>FIN25</t>
  </si>
  <si>
    <t>FIN26</t>
  </si>
  <si>
    <t>FORA</t>
  </si>
  <si>
    <t>FORB</t>
  </si>
  <si>
    <t>FORC</t>
  </si>
  <si>
    <t>FOR3D</t>
  </si>
  <si>
    <t>FORE</t>
  </si>
  <si>
    <t>FOR4F</t>
  </si>
  <si>
    <t>FOR3</t>
  </si>
  <si>
    <t>FOR4</t>
  </si>
  <si>
    <t>FOR5D</t>
  </si>
  <si>
    <t>FOR6F</t>
  </si>
  <si>
    <t>FOR5</t>
  </si>
  <si>
    <t>FOR6</t>
  </si>
  <si>
    <t>FOR7</t>
  </si>
  <si>
    <t>FOR8D</t>
  </si>
  <si>
    <t>FOR9F</t>
  </si>
  <si>
    <t>FOR8</t>
  </si>
  <si>
    <t>FOR9</t>
  </si>
  <si>
    <t>FOR10D</t>
  </si>
  <si>
    <t>FOR11F</t>
  </si>
  <si>
    <t>FOR10</t>
  </si>
  <si>
    <t>FOR11</t>
  </si>
  <si>
    <t>FOR13A</t>
  </si>
  <si>
    <t>FOR13B</t>
  </si>
  <si>
    <t>FOR13C</t>
  </si>
  <si>
    <t>FOR13D</t>
  </si>
  <si>
    <t>FOR13E</t>
  </si>
  <si>
    <t>FOR13F</t>
  </si>
  <si>
    <t>FOR12</t>
  </si>
  <si>
    <t>FOR13</t>
  </si>
  <si>
    <t>FOR25B</t>
  </si>
  <si>
    <t>FOR28C</t>
  </si>
  <si>
    <t>FOR29D</t>
  </si>
  <si>
    <t>FOR30F</t>
  </si>
  <si>
    <t>FOR25</t>
  </si>
  <si>
    <t>FOR28</t>
  </si>
  <si>
    <t>FOR29</t>
  </si>
  <si>
    <t>FOR30</t>
  </si>
  <si>
    <t>FORF</t>
  </si>
  <si>
    <t xml:space="preserve"> Cl1</t>
  </si>
  <si>
    <t>c1.5a-2</t>
  </si>
  <si>
    <t>c1.5b-2</t>
  </si>
  <si>
    <t>c1.5c-2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</si>
</sst>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6">
    <numFmt numFmtId="164" formatCode="&quot;£&quot;#,##0;[Red]\-&quot;£&quot;#,##0"/>
    <numFmt numFmtId="165" formatCode="&quot;£&quot;#,##0.00;\-&quot;£&quot;#,##0.00"/>
    <numFmt numFmtId="166" formatCode="&quot;£&quot;#,##0.00;[Red]\-&quot;£&quot;#,##0.00"/>
    <numFmt numFmtId="167" formatCode="_-&quot;£&quot;* #,##0_-;\-&quot;£&quot;* #,##0_-;_-&quot;£&quot;* &quot;-&quot;_-;_-@_-"/>
    <numFmt numFmtId="168" formatCode="_-* #,##0_-;\-* #,##0_-;_-* &quot;-&quot;_-;_-@_-"/>
    <numFmt numFmtId="169" formatCode="_-&quot;£&quot;* #,##0.00_-;\-&quot;£&quot;* #,##0.00_-;_-&quot;£&quot;* &quot;-&quot;??_-;_-@_-"/>
    <numFmt numFmtId="170" formatCode="_-* #,##0.00_-;\-* #,##0.00_-;_-* &quot;-&quot;??_-;_-@_-"/>
    <numFmt numFmtId="171" formatCode="0.0"/>
    <numFmt numFmtId="172" formatCode="#,##0_ ;\-#,##0\ "/>
    <numFmt numFmtId="173" formatCode="#,##0.00_ ;\-#,##0.00\ "/>
    <numFmt numFmtId="174" formatCode="0.000"/>
    <numFmt numFmtId="175" formatCode="0.0000"/>
    <numFmt numFmtId="176" formatCode="_-* #,##0_-;\-* #,##0_-;_-* &quot;-&quot;??_-;_-@_-"/>
    <numFmt numFmtId="177" formatCode="0.0%"/>
    <numFmt numFmtId="178" formatCode="&quot;£&quot;#,##0.00"/>
    <numFmt numFmtId="179" formatCode="&quot;£&quot;#,##0"/>
    <numFmt numFmtId="180" formatCode="0.00_ ;\-0.00\ "/>
    <numFmt numFmtId="181" formatCode="dd/mm/yyyy;@"/>
    <numFmt numFmtId="182" formatCode="0.00;[Red]0.00"/>
    <numFmt numFmtId="183" formatCode="0.00000000000000"/>
    <numFmt numFmtId="184" formatCode="0.0000000000"/>
    <numFmt numFmtId="185" formatCode="0_ ;\-0\ "/>
    <numFmt numFmtId="186" formatCode="0.0000000000000"/>
    <numFmt numFmtId="187" formatCode="0.000000000"/>
    <numFmt numFmtId="188" formatCode="0;[Red]0"/>
    <numFmt numFmtId="189" formatCode="_-* #,##0.000_-;\-* #,##0.000_-;_-* &quot;-&quot;??_-;_-@_-"/>
  </numFmts>
  <fonts count="219" x14ac:knownFonts="1">
    <font>
      <sz val="10"/>
      <name val="Arial"/>
    </font>
    <font>
      <sz val="10"/>
      <name val="Arial"/>
      <family val="2"/>
    </font>
    <font>
      <b/>
      <sz val="9"/>
      <color indexed="9"/>
      <name val="Arial"/>
      <family val="2"/>
    </font>
    <font>
      <sz val="9"/>
      <color indexed="9"/>
      <name val="Arial"/>
      <family val="2"/>
    </font>
    <font>
      <sz val="9"/>
      <name val="Arial"/>
      <family val="2"/>
    </font>
    <font>
      <sz val="8"/>
      <name val="Arial"/>
      <family val="2"/>
    </font>
    <font>
      <b/>
      <sz val="8"/>
      <name val="Arial"/>
      <family val="2"/>
    </font>
    <font>
      <b/>
      <sz val="10"/>
      <name val="Arial"/>
      <family val="2"/>
    </font>
    <font>
      <b/>
      <sz val="9"/>
      <name val="Arial"/>
      <family val="2"/>
    </font>
    <font>
      <b/>
      <sz val="9"/>
      <color indexed="9"/>
      <name val="Arial"/>
      <family val="2"/>
    </font>
    <font>
      <sz val="10"/>
      <name val="Arial"/>
      <family val="2"/>
    </font>
    <font>
      <sz val="8"/>
      <color indexed="9"/>
      <name val="Arial"/>
      <family val="2"/>
    </font>
    <font>
      <u/>
      <sz val="10"/>
      <name val="Arial"/>
      <family val="2"/>
    </font>
    <font>
      <sz val="10"/>
      <name val="Times New Roman"/>
      <family val="1"/>
    </font>
    <font>
      <b/>
      <sz val="10"/>
      <color indexed="9"/>
      <name val="Arial"/>
      <family val="2"/>
    </font>
    <font>
      <b/>
      <sz val="8"/>
      <color indexed="9"/>
      <name val="Arial"/>
      <family val="2"/>
    </font>
    <font>
      <sz val="8"/>
      <color indexed="17"/>
      <name val="Arial"/>
      <family val="2"/>
    </font>
    <font>
      <b/>
      <sz val="8"/>
      <color indexed="17"/>
      <name val="Arial"/>
      <family val="2"/>
    </font>
    <font>
      <sz val="10"/>
      <color indexed="56"/>
      <name val="Arial"/>
      <family val="2"/>
    </font>
    <font>
      <b/>
      <sz val="10"/>
      <color indexed="18"/>
      <name val="Arial"/>
      <family val="2"/>
    </font>
    <font>
      <sz val="8"/>
      <color indexed="18"/>
      <name val="Arial"/>
      <family val="2"/>
    </font>
    <font>
      <sz val="9"/>
      <color indexed="12"/>
      <name val="Arial"/>
      <family val="2"/>
    </font>
    <font>
      <b/>
      <sz val="9"/>
      <color indexed="12"/>
      <name val="Arial"/>
      <family val="2"/>
    </font>
    <font>
      <b/>
      <sz val="8"/>
      <color indexed="16"/>
      <name val="Arial"/>
      <family val="2"/>
    </font>
    <font>
      <sz val="8"/>
      <color indexed="16"/>
      <name val="Arial"/>
      <family val="2"/>
    </font>
    <font>
      <b/>
      <sz val="10"/>
      <color indexed="12"/>
      <name val="Arial"/>
      <family val="2"/>
    </font>
    <font>
      <sz val="8"/>
      <color indexed="12"/>
      <name val="Arial"/>
      <family val="2"/>
    </font>
    <font>
      <i/>
      <sz val="8"/>
      <name val="Arial"/>
      <family val="2"/>
    </font>
    <font>
      <b/>
      <i/>
      <sz val="8"/>
      <name val="Arial"/>
      <family val="2"/>
    </font>
    <font>
      <i/>
      <sz val="9"/>
      <name val="Arial"/>
      <family val="2"/>
    </font>
    <font>
      <b/>
      <i/>
      <sz val="9"/>
      <name val="Arial"/>
      <family val="2"/>
    </font>
    <font>
      <b/>
      <i/>
      <sz val="10"/>
      <name val="Arial"/>
      <family val="2"/>
    </font>
    <font>
      <b/>
      <sz val="11"/>
      <name val="Arial"/>
      <family val="2"/>
    </font>
    <font>
      <sz val="9"/>
      <color indexed="17"/>
      <name val="Arial"/>
      <family val="2"/>
    </font>
    <font>
      <u/>
      <sz val="9"/>
      <name val="Arial"/>
      <family val="2"/>
    </font>
    <font>
      <sz val="9"/>
      <color indexed="21"/>
      <name val="Arial"/>
      <family val="2"/>
    </font>
    <font>
      <i/>
      <sz val="9"/>
      <color indexed="18"/>
      <name val="Arial"/>
      <family val="2"/>
    </font>
    <font>
      <i/>
      <sz val="8"/>
      <color indexed="17"/>
      <name val="Arial"/>
      <family val="2"/>
    </font>
    <font>
      <u/>
      <sz val="10"/>
      <color indexed="12"/>
      <name val="Arial"/>
      <family val="2"/>
    </font>
    <font>
      <sz val="9"/>
      <name val="Arial"/>
      <family val="2"/>
    </font>
    <font>
      <b/>
      <sz val="9"/>
      <name val="Arial"/>
      <family val="2"/>
    </font>
    <font>
      <sz val="9"/>
      <color indexed="17"/>
      <name val="Arial"/>
      <family val="2"/>
    </font>
    <font>
      <b/>
      <sz val="9"/>
      <color indexed="49"/>
      <name val="Arial"/>
      <family val="2"/>
    </font>
    <font>
      <sz val="10"/>
      <name val="Arial"/>
      <family val="2"/>
    </font>
    <font>
      <b/>
      <sz val="10"/>
      <name val="Arial"/>
      <family val="2"/>
    </font>
    <font>
      <sz val="10"/>
      <name val="Arial"/>
      <family val="2"/>
    </font>
    <font>
      <sz val="10"/>
      <name val="Arial"/>
      <family val="2"/>
    </font>
    <font>
      <i/>
      <sz val="9"/>
      <color indexed="38"/>
      <name val="Arial"/>
      <family val="2"/>
    </font>
    <font>
      <b/>
      <i/>
      <sz val="9"/>
      <color indexed="38"/>
      <name val="Arial"/>
      <family val="2"/>
    </font>
    <font>
      <b/>
      <i/>
      <sz val="10"/>
      <color indexed="38"/>
      <name val="Arial"/>
      <family val="2"/>
    </font>
    <font>
      <b/>
      <sz val="9"/>
      <color indexed="38"/>
      <name val="Arial"/>
      <family val="2"/>
    </font>
    <font>
      <sz val="8"/>
      <color indexed="38"/>
      <name val="Arial"/>
      <family val="2"/>
    </font>
    <font>
      <b/>
      <i/>
      <sz val="9"/>
      <color indexed="38"/>
      <name val="Arial"/>
      <family val="2"/>
    </font>
    <font>
      <sz val="9"/>
      <color indexed="38"/>
      <name val="Arial"/>
      <family val="2"/>
    </font>
    <font>
      <i/>
      <sz val="9"/>
      <color indexed="38"/>
      <name val="Arial"/>
      <family val="2"/>
    </font>
    <font>
      <sz val="9"/>
      <color indexed="56"/>
      <name val="Arial"/>
      <family val="2"/>
    </font>
    <font>
      <sz val="9"/>
      <color indexed="8"/>
      <name val="Arial"/>
      <family val="2"/>
    </font>
    <font>
      <b/>
      <sz val="9"/>
      <color indexed="21"/>
      <name val="Arial"/>
      <family val="2"/>
    </font>
    <font>
      <sz val="9"/>
      <name val="Times New Roman"/>
      <family val="1"/>
    </font>
    <font>
      <b/>
      <sz val="10"/>
      <color indexed="8"/>
      <name val="Arial"/>
      <family val="2"/>
    </font>
    <font>
      <sz val="9"/>
      <color indexed="23"/>
      <name val="Arial"/>
      <family val="2"/>
    </font>
    <font>
      <sz val="8"/>
      <color indexed="56"/>
      <name val="Arial"/>
      <family val="2"/>
    </font>
    <font>
      <b/>
      <sz val="9"/>
      <color indexed="17"/>
      <name val="Arial"/>
      <family val="2"/>
    </font>
    <font>
      <sz val="9"/>
      <color indexed="43"/>
      <name val="Arial"/>
      <family val="2"/>
    </font>
    <font>
      <sz val="8"/>
      <color indexed="21"/>
      <name val="Arial"/>
      <family val="2"/>
    </font>
    <font>
      <i/>
      <sz val="8"/>
      <color indexed="21"/>
      <name val="Arial"/>
      <family val="2"/>
    </font>
    <font>
      <b/>
      <sz val="12"/>
      <color indexed="21"/>
      <name val="Arial"/>
      <family val="2"/>
    </font>
    <font>
      <sz val="8"/>
      <name val="Arial"/>
      <family val="2"/>
    </font>
    <font>
      <sz val="8"/>
      <color indexed="17"/>
      <name val="Arial"/>
      <family val="2"/>
    </font>
    <font>
      <sz val="9"/>
      <color indexed="62"/>
      <name val="Arial"/>
      <family val="2"/>
    </font>
    <font>
      <sz val="9"/>
      <color indexed="21"/>
      <name val="Arial"/>
      <family val="2"/>
    </font>
    <font>
      <sz val="9"/>
      <color indexed="57"/>
      <name val="Arial"/>
      <family val="2"/>
    </font>
    <font>
      <i/>
      <sz val="9"/>
      <color indexed="21"/>
      <name val="Arial"/>
      <family val="2"/>
    </font>
    <font>
      <sz val="9"/>
      <color indexed="18"/>
      <name val="Arial"/>
      <family val="2"/>
    </font>
    <font>
      <b/>
      <sz val="9"/>
      <color indexed="62"/>
      <name val="Arial"/>
      <family val="2"/>
    </font>
    <font>
      <sz val="9"/>
      <color indexed="48"/>
      <name val="Arial"/>
      <family val="2"/>
    </font>
    <font>
      <b/>
      <sz val="9"/>
      <color indexed="21"/>
      <name val="Arial"/>
      <family val="2"/>
    </font>
    <font>
      <sz val="9"/>
      <color indexed="18"/>
      <name val="Arial"/>
      <family val="2"/>
    </font>
    <font>
      <sz val="9"/>
      <color indexed="55"/>
      <name val="Arial"/>
      <family val="2"/>
    </font>
    <font>
      <sz val="12"/>
      <color indexed="12"/>
      <name val="Arial"/>
      <family val="2"/>
    </font>
    <font>
      <sz val="9"/>
      <color indexed="56"/>
      <name val="Arial"/>
      <family val="2"/>
    </font>
    <font>
      <b/>
      <sz val="9"/>
      <color indexed="23"/>
      <name val="Arial"/>
      <family val="2"/>
    </font>
    <font>
      <sz val="10"/>
      <color indexed="23"/>
      <name val="Arial"/>
      <family val="2"/>
    </font>
    <font>
      <sz val="9"/>
      <color indexed="10"/>
      <name val="Arial"/>
      <family val="2"/>
    </font>
    <font>
      <sz val="9"/>
      <color indexed="10"/>
      <name val="Arial"/>
      <family val="2"/>
    </font>
    <font>
      <sz val="10"/>
      <color indexed="21"/>
      <name val="Arial"/>
      <family val="2"/>
    </font>
    <font>
      <sz val="10"/>
      <color indexed="8"/>
      <name val="Arial"/>
      <family val="2"/>
    </font>
    <font>
      <shadow/>
      <sz val="10"/>
      <name val="Arial"/>
      <family val="2"/>
    </font>
    <font>
      <i/>
      <sz val="10"/>
      <name val="Arial"/>
      <family val="2"/>
    </font>
    <font>
      <strike/>
      <sz val="9"/>
      <name val="Arial"/>
      <family val="2"/>
    </font>
    <font>
      <strike/>
      <sz val="10"/>
      <name val="Arial"/>
      <family val="2"/>
    </font>
    <font>
      <u/>
      <sz val="9"/>
      <color indexed="12"/>
      <name val="Arial"/>
      <family val="2"/>
    </font>
    <font>
      <sz val="8"/>
      <color indexed="81"/>
      <name val="Tahoma"/>
      <family val="2"/>
    </font>
    <font>
      <b/>
      <sz val="8"/>
      <color indexed="81"/>
      <name val="Tahoma"/>
      <family val="2"/>
    </font>
    <font>
      <sz val="8"/>
      <color indexed="8"/>
      <name val="Arial"/>
      <family val="2"/>
    </font>
    <font>
      <i/>
      <sz val="8"/>
      <color indexed="8"/>
      <name val="Arial"/>
      <family val="2"/>
    </font>
    <font>
      <sz val="10"/>
      <color rgb="FFFF0000"/>
      <name val="Arial"/>
      <family val="2"/>
    </font>
    <font>
      <b/>
      <sz val="9"/>
      <color indexed="18"/>
      <name val="Arial"/>
      <family val="2"/>
    </font>
    <font>
      <sz val="10"/>
      <color rgb="FF000000"/>
      <name val="Arial"/>
      <family val="2"/>
    </font>
    <font>
      <b/>
      <sz val="11"/>
      <color rgb="FFFF0000"/>
      <name val="Arial"/>
      <family val="2"/>
    </font>
    <font>
      <b/>
      <sz val="10"/>
      <color rgb="FF008080"/>
      <name val="Arial"/>
      <family val="2"/>
    </font>
    <font>
      <b/>
      <sz val="12"/>
      <color rgb="FF008080"/>
      <name val="Arial"/>
      <family val="2"/>
    </font>
    <font>
      <b/>
      <sz val="14"/>
      <color rgb="FF800000"/>
      <name val="Arial"/>
      <family val="2"/>
    </font>
    <font>
      <b/>
      <sz val="12"/>
      <color rgb="FF008000"/>
      <name val="Arial"/>
      <family val="2"/>
    </font>
    <font>
      <b/>
      <sz val="11"/>
      <color rgb="FF008080"/>
      <name val="Arial"/>
      <family val="2"/>
    </font>
    <font>
      <sz val="9"/>
      <color indexed="62"/>
      <name val="Arial"/>
      <family val="2"/>
    </font>
    <font>
      <b/>
      <strike/>
      <sz val="10"/>
      <name val="Arial"/>
      <family val="2"/>
    </font>
    <font>
      <strike/>
      <sz val="9"/>
      <name val="Arial"/>
      <family val="2"/>
    </font>
    <font>
      <b/>
      <strike/>
      <sz val="9"/>
      <name val="Arial"/>
      <family val="2"/>
    </font>
    <font>
      <strike/>
      <u/>
      <sz val="10"/>
      <name val="Arial"/>
      <family val="2"/>
    </font>
    <font>
      <strike/>
      <sz val="10"/>
      <name val="Arial"/>
      <family val="2"/>
    </font>
    <font>
      <b/>
      <sz val="9"/>
      <color rgb="FFFF0000"/>
      <name val="Arial"/>
      <family val="2"/>
    </font>
    <font>
      <sz val="9"/>
      <color rgb="FFFF0000"/>
      <name val="Arial"/>
      <family val="2"/>
    </font>
    <font>
      <sz val="9"/>
      <color rgb="FF008080"/>
      <name val="Arial"/>
      <family val="2"/>
    </font>
    <font>
      <b/>
      <u/>
      <sz val="9"/>
      <name val="Arial"/>
      <family val="2"/>
    </font>
    <font>
      <strike/>
      <sz val="8"/>
      <name val="Arial"/>
      <family val="2"/>
    </font>
    <font>
      <sz val="9"/>
      <color rgb="FFFFFFCC"/>
      <name val="Arial"/>
      <family val="2"/>
    </font>
    <font>
      <i/>
      <sz val="9"/>
      <color indexed="57"/>
      <name val="Arial"/>
      <family val="2"/>
    </font>
    <font>
      <sz val="9"/>
      <color rgb="FF0000FF"/>
      <name val="Arial"/>
      <family val="2"/>
    </font>
    <font>
      <b/>
      <i/>
      <sz val="9"/>
      <color indexed="18"/>
      <name val="Arial"/>
      <family val="2"/>
    </font>
    <font>
      <b/>
      <sz val="9"/>
      <color rgb="FF008080"/>
      <name val="Arial"/>
      <family val="2"/>
    </font>
    <font>
      <b/>
      <sz val="12"/>
      <name val="Arial"/>
      <family val="2"/>
    </font>
    <font>
      <i/>
      <sz val="9"/>
      <color rgb="FFFF0000"/>
      <name val="Arial"/>
      <family val="2"/>
    </font>
    <font>
      <i/>
      <strike/>
      <sz val="9"/>
      <name val="Arial"/>
      <family val="2"/>
    </font>
    <font>
      <sz val="12"/>
      <name val="Arial"/>
      <family val="2"/>
    </font>
    <font>
      <i/>
      <sz val="12"/>
      <name val="Arial"/>
      <family val="2"/>
    </font>
    <font>
      <b/>
      <u/>
      <sz val="14"/>
      <name val="Arial"/>
      <family val="2"/>
    </font>
    <font>
      <b/>
      <u/>
      <sz val="12"/>
      <name val="Arial"/>
      <family val="2"/>
    </font>
    <font>
      <b/>
      <u/>
      <sz val="10"/>
      <name val="Arial"/>
      <family val="2"/>
    </font>
    <font>
      <strike/>
      <sz val="9"/>
      <color rgb="FFFF0000"/>
      <name val="Arial"/>
      <family val="2"/>
    </font>
    <font>
      <strike/>
      <sz val="9"/>
      <color indexed="56"/>
      <name val="Arial"/>
      <family val="2"/>
    </font>
    <font>
      <b/>
      <sz val="9"/>
      <color indexed="81"/>
      <name val="Tahoma"/>
      <family val="2"/>
    </font>
    <font>
      <sz val="10"/>
      <name val="Calibri"/>
      <family val="2"/>
    </font>
    <font>
      <sz val="8"/>
      <name val="Calibri"/>
      <family val="2"/>
    </font>
    <font>
      <sz val="9"/>
      <color theme="0" tint="-0.34998626667073579"/>
      <name val="Arial"/>
      <family val="2"/>
    </font>
    <font>
      <sz val="10"/>
      <color theme="0" tint="-0.34998626667073579"/>
      <name val="Arial"/>
      <family val="2"/>
    </font>
    <font>
      <u/>
      <sz val="12"/>
      <color indexed="12"/>
      <name val="Arial"/>
      <family val="2"/>
    </font>
    <font>
      <b/>
      <sz val="14"/>
      <name val="Arial"/>
      <family val="2"/>
    </font>
    <font>
      <strike/>
      <sz val="9"/>
      <color indexed="21"/>
      <name val="Arial"/>
      <family val="2"/>
    </font>
    <font>
      <strike/>
      <sz val="9"/>
      <color indexed="10"/>
      <name val="Arial"/>
      <family val="2"/>
    </font>
    <font>
      <b/>
      <sz val="12"/>
      <color rgb="FFFF0000"/>
      <name val="Arial"/>
      <family val="2"/>
    </font>
    <font>
      <sz val="9"/>
      <color rgb="FF339966"/>
      <name val="Arial"/>
      <family val="2"/>
    </font>
    <font>
      <strike/>
      <sz val="9"/>
      <color theme="0" tint="-0.34998626667073579"/>
      <name val="Arial"/>
      <family val="2"/>
    </font>
    <font>
      <i/>
      <sz val="8"/>
      <color indexed="38"/>
      <name val="Arial"/>
      <family val="2"/>
    </font>
    <font>
      <i/>
      <sz val="8"/>
      <color rgb="FF339966"/>
      <name val="Arial"/>
      <family val="2"/>
    </font>
    <font>
      <i/>
      <sz val="8"/>
      <color indexed="57"/>
      <name val="Arial"/>
      <family val="2"/>
    </font>
    <font>
      <u/>
      <sz val="10"/>
      <color rgb="FFFF0000"/>
      <name val="Arial"/>
      <family val="2"/>
    </font>
    <font>
      <sz val="10"/>
      <color theme="0" tint="-0.499984740745262"/>
      <name val="Arial"/>
      <family val="2"/>
    </font>
    <font>
      <b/>
      <strike/>
      <sz val="9"/>
      <color indexed="62"/>
      <name val="Arial"/>
      <family val="2"/>
    </font>
    <font>
      <b/>
      <sz val="9"/>
      <color theme="0" tint="-0.34998626667073579"/>
      <name val="Arial"/>
      <family val="2"/>
    </font>
    <font>
      <sz val="8"/>
      <color rgb="FFFF0000"/>
      <name val="Arial"/>
      <family val="2"/>
    </font>
    <font>
      <b/>
      <strike/>
      <sz val="9"/>
      <color rgb="FFFF0000"/>
      <name val="Arial"/>
      <family val="2"/>
    </font>
    <font>
      <sz val="9"/>
      <color theme="1"/>
      <name val="Arial"/>
      <family val="2"/>
    </font>
    <font>
      <strike/>
      <sz val="10"/>
      <color rgb="FFFF0000"/>
      <name val="Arial"/>
      <family val="2"/>
    </font>
    <font>
      <b/>
      <sz val="10"/>
      <color rgb="FFFF0000"/>
      <name val="Arial"/>
      <family val="2"/>
    </font>
    <font>
      <i/>
      <sz val="10"/>
      <color rgb="FF339966"/>
      <name val="Arial"/>
      <family val="2"/>
    </font>
    <font>
      <sz val="9"/>
      <color rgb="FF000080"/>
      <name val="Arial"/>
      <family val="2"/>
    </font>
    <font>
      <sz val="8"/>
      <color rgb="FF000000"/>
      <name val="Arial"/>
      <family val="2"/>
    </font>
    <font>
      <sz val="9"/>
      <color rgb="FF000000"/>
      <name val="Arial"/>
      <family val="2"/>
    </font>
    <font>
      <strike/>
      <sz val="8"/>
      <color indexed="56"/>
      <name val="Arial"/>
      <family val="2"/>
    </font>
    <font>
      <strike/>
      <sz val="9"/>
      <color indexed="18"/>
      <name val="Arial"/>
      <family val="2"/>
    </font>
    <font>
      <strike/>
      <sz val="9"/>
      <color indexed="62"/>
      <name val="Arial"/>
      <family val="2"/>
    </font>
    <font>
      <b/>
      <strike/>
      <sz val="9"/>
      <color indexed="18"/>
      <name val="Arial"/>
      <family val="2"/>
    </font>
    <font>
      <strike/>
      <sz val="8"/>
      <color indexed="12"/>
      <name val="Arial"/>
      <family val="2"/>
    </font>
    <font>
      <sz val="8"/>
      <color theme="1"/>
      <name val="Arial"/>
      <family val="2"/>
    </font>
    <font>
      <sz val="10"/>
      <color theme="1"/>
      <name val="Arial"/>
      <family val="2"/>
    </font>
    <font>
      <b/>
      <sz val="10"/>
      <color theme="1"/>
      <name val="Arial"/>
      <family val="2"/>
    </font>
    <font>
      <sz val="10"/>
      <color theme="4" tint="-0.249977111117893"/>
      <name val="Arial"/>
      <family val="2"/>
    </font>
    <font>
      <b/>
      <sz val="9"/>
      <color theme="4" tint="-0.249977111117893"/>
      <name val="Arial"/>
      <family val="2"/>
    </font>
    <font>
      <sz val="9"/>
      <color rgb="FF7030A0"/>
      <name val="Arial"/>
      <family val="2"/>
    </font>
    <font>
      <b/>
      <sz val="9"/>
      <color rgb="FF7030A0"/>
      <name val="Arial"/>
      <family val="2"/>
    </font>
    <font>
      <i/>
      <sz val="9"/>
      <color rgb="FF7030A0"/>
      <name val="Arial"/>
      <family val="2"/>
    </font>
    <font>
      <sz val="9"/>
      <color rgb="FF009999"/>
      <name val="Arial"/>
      <family val="2"/>
    </font>
    <font>
      <u/>
      <sz val="9"/>
      <color rgb="FF7030A0"/>
      <name val="Arial"/>
      <family val="2"/>
    </font>
    <font>
      <i/>
      <sz val="9"/>
      <color rgb="FF009999"/>
      <name val="Arial"/>
      <family val="2"/>
    </font>
    <font>
      <sz val="10"/>
      <color rgb="FF7030A0"/>
      <name val="Arial"/>
      <family val="2"/>
    </font>
    <font>
      <b/>
      <sz val="14"/>
      <color rgb="FF7030A0"/>
      <name val="Arial"/>
      <family val="2"/>
    </font>
    <font>
      <sz val="14"/>
      <color rgb="FF7030A0"/>
      <name val="Arial"/>
      <family val="2"/>
    </font>
    <font>
      <b/>
      <sz val="16"/>
      <color rgb="FF7030A0"/>
      <name val="Arial"/>
      <family val="2"/>
    </font>
    <font>
      <b/>
      <sz val="10"/>
      <color rgb="FF7030A0"/>
      <name val="Arial"/>
      <family val="2"/>
    </font>
    <font>
      <b/>
      <sz val="18"/>
      <color rgb="FF7030A0"/>
      <name val="Arial"/>
      <family val="2"/>
    </font>
    <font>
      <i/>
      <sz val="10"/>
      <color rgb="FF7030A0"/>
      <name val="Arial"/>
      <family val="2"/>
    </font>
    <font>
      <b/>
      <u/>
      <sz val="9"/>
      <color rgb="FF7030A0"/>
      <name val="Arial"/>
      <family val="2"/>
    </font>
    <font>
      <sz val="10"/>
      <color indexed="17"/>
      <name val="Arial"/>
      <family val="2"/>
    </font>
    <font>
      <strike/>
      <sz val="10"/>
      <color indexed="17"/>
      <name val="Arial"/>
      <family val="2"/>
    </font>
    <font>
      <b/>
      <sz val="9"/>
      <color rgb="FF009999"/>
      <name val="Arial"/>
      <family val="2"/>
    </font>
    <font>
      <sz val="9"/>
      <color theme="4"/>
      <name val="Arial"/>
      <family val="2"/>
    </font>
    <font>
      <b/>
      <sz val="10"/>
      <color theme="2"/>
      <name val="Arial"/>
      <family val="2"/>
    </font>
    <font>
      <sz val="10"/>
      <color theme="2"/>
      <name val="Arial"/>
      <family val="2"/>
    </font>
    <font>
      <b/>
      <sz val="10"/>
      <color theme="2" tint="-9.9978637043366805E-2"/>
      <name val="Arial"/>
      <family val="2"/>
    </font>
    <font>
      <sz val="10"/>
      <color theme="2" tint="-9.9978637043366805E-2"/>
      <name val="Arial"/>
      <family val="2"/>
    </font>
    <font>
      <sz val="10"/>
      <color rgb="FF008080"/>
      <name val="Arial"/>
      <family val="2"/>
    </font>
    <font>
      <sz val="8"/>
      <color rgb="FF0033CC"/>
      <name val="Arial"/>
      <family val="2"/>
    </font>
    <font>
      <strike/>
      <sz val="8"/>
      <color rgb="FF0033CC"/>
      <name val="Arial"/>
      <family val="2"/>
    </font>
    <font>
      <b/>
      <sz val="10"/>
      <color theme="0" tint="-0.34998626667073579"/>
      <name val="Arial"/>
      <family val="2"/>
    </font>
    <font>
      <sz val="10"/>
      <color rgb="FF009999"/>
      <name val="Arial"/>
      <family val="2"/>
    </font>
    <font>
      <b/>
      <strike/>
      <sz val="10"/>
      <color indexed="12"/>
      <name val="Arial"/>
      <family val="2"/>
    </font>
    <font>
      <sz val="10"/>
      <color theme="0" tint="-0.249977111117893"/>
      <name val="Arial"/>
      <family val="2"/>
    </font>
    <font>
      <b/>
      <sz val="10"/>
      <color theme="0" tint="-0.249977111117893"/>
      <name val="Arial"/>
      <family val="2"/>
    </font>
    <font>
      <sz val="10"/>
      <color rgb="FF00B050"/>
      <name val="Arial"/>
      <family val="2"/>
    </font>
    <font>
      <sz val="8"/>
      <color rgb="FF0000FF"/>
      <name val="Arial"/>
      <family val="2"/>
    </font>
    <font>
      <b/>
      <strike/>
      <sz val="8"/>
      <name val="Arial"/>
      <family val="2"/>
    </font>
    <font>
      <b/>
      <sz val="8"/>
      <color rgb="FFFF0000"/>
      <name val="Arial"/>
      <family val="2"/>
    </font>
    <font>
      <b/>
      <sz val="10"/>
      <color theme="0" tint="-0.14999847407452621"/>
      <name val="Arial"/>
      <family val="2"/>
    </font>
    <font>
      <sz val="10"/>
      <color theme="0" tint="-0.14999847407452621"/>
      <name val="Arial"/>
      <family val="2"/>
    </font>
    <font>
      <b/>
      <sz val="9"/>
      <color rgb="FFFFC000"/>
      <name val="Arial"/>
      <family val="2"/>
    </font>
    <font>
      <sz val="9"/>
      <color rgb="FFFFC000"/>
      <name val="Arial"/>
      <family val="2"/>
    </font>
    <font>
      <sz val="10"/>
      <color rgb="FFFFC000"/>
      <name val="Arial"/>
      <family val="2"/>
    </font>
    <font>
      <u/>
      <sz val="9"/>
      <color rgb="FFFFC000"/>
      <name val="Arial"/>
      <family val="2"/>
    </font>
    <font>
      <u/>
      <sz val="10"/>
      <color rgb="FFFFC000"/>
      <name val="Arial"/>
      <family val="2"/>
    </font>
    <font>
      <b/>
      <u/>
      <sz val="9"/>
      <color rgb="FFFFC000"/>
      <name val="Arial"/>
      <family val="2"/>
    </font>
    <font>
      <b/>
      <sz val="10"/>
      <color theme="0" tint="-4.9989318521683403E-2"/>
      <name val="Arial"/>
      <family val="2"/>
    </font>
    <font>
      <sz val="10"/>
      <color theme="0" tint="-4.9989318521683403E-2"/>
      <name val="Arial"/>
      <family val="2"/>
    </font>
    <font>
      <strike/>
      <sz val="9"/>
      <color rgb="FF7030A0"/>
      <name val="Arial"/>
      <family val="2"/>
    </font>
    <font>
      <i/>
      <strike/>
      <sz val="9"/>
      <color rgb="FFFF0000"/>
      <name val="Arial"/>
      <family val="2"/>
    </font>
    <font>
      <i/>
      <strike/>
      <sz val="9"/>
      <color rgb="FF7030A0"/>
      <name val="Arial"/>
      <family val="2"/>
    </font>
    <font>
      <strike/>
      <sz val="10"/>
      <color rgb="FFFFC000"/>
      <name val="Arial"/>
      <family val="2"/>
    </font>
    <font>
      <strike/>
      <sz val="9"/>
      <color rgb="FF000080"/>
      <name val="Arial"/>
      <family val="2"/>
    </font>
    <font>
      <sz val="10"/>
      <color theme="9" tint="-0.249977111117893"/>
      <name val="Arial"/>
      <family val="2"/>
    </font>
  </fonts>
  <fills count="47">
    <fill>
      <patternFill patternType="none"/>
    </fill>
    <fill>
      <patternFill patternType="gray125"/>
    </fill>
    <fill>
      <patternFill patternType="solid">
        <fgColor indexed="57"/>
        <bgColor indexed="64"/>
      </patternFill>
    </fill>
    <fill>
      <patternFill patternType="solid">
        <fgColor indexed="63"/>
        <bgColor indexed="64"/>
      </patternFill>
    </fill>
    <fill>
      <patternFill patternType="solid">
        <fgColor indexed="41"/>
        <bgColor indexed="64"/>
      </patternFill>
    </fill>
    <fill>
      <patternFill patternType="solid">
        <fgColor indexed="26"/>
        <bgColor indexed="64"/>
      </patternFill>
    </fill>
    <fill>
      <patternFill patternType="solid">
        <fgColor indexed="48"/>
        <bgColor indexed="64"/>
      </patternFill>
    </fill>
    <fill>
      <patternFill patternType="solid">
        <fgColor indexed="41"/>
        <bgColor indexed="26"/>
      </patternFill>
    </fill>
    <fill>
      <patternFill patternType="solid">
        <fgColor indexed="47"/>
        <bgColor indexed="64"/>
      </patternFill>
    </fill>
    <fill>
      <patternFill patternType="solid">
        <fgColor indexed="42"/>
        <bgColor indexed="64"/>
      </patternFill>
    </fill>
    <fill>
      <patternFill patternType="solid">
        <fgColor indexed="22"/>
        <bgColor indexed="64"/>
      </patternFill>
    </fill>
    <fill>
      <patternFill patternType="solid">
        <fgColor indexed="14"/>
        <bgColor indexed="64"/>
      </patternFill>
    </fill>
    <fill>
      <patternFill patternType="solid">
        <fgColor indexed="52"/>
        <bgColor indexed="64"/>
      </patternFill>
    </fill>
    <fill>
      <patternFill patternType="solid">
        <fgColor indexed="43"/>
        <bgColor indexed="64"/>
      </patternFill>
    </fill>
    <fill>
      <patternFill patternType="solid">
        <fgColor rgb="FFFFFF99"/>
        <bgColor indexed="64"/>
      </patternFill>
    </fill>
    <fill>
      <patternFill patternType="solid">
        <fgColor theme="0" tint="-4.9989318521683403E-2"/>
        <bgColor indexed="64"/>
      </patternFill>
    </fill>
    <fill>
      <patternFill patternType="solid">
        <fgColor rgb="FFFFFFCC"/>
        <bgColor indexed="64"/>
      </patternFill>
    </fill>
    <fill>
      <patternFill patternType="solid">
        <fgColor theme="0" tint="-0.249977111117893"/>
        <bgColor indexed="64"/>
      </patternFill>
    </fill>
    <fill>
      <patternFill patternType="solid">
        <fgColor rgb="FFCCFFFF"/>
        <bgColor indexed="64"/>
      </patternFill>
    </fill>
    <fill>
      <patternFill patternType="solid">
        <fgColor indexed="55"/>
        <bgColor indexed="64"/>
      </patternFill>
    </fill>
    <fill>
      <patternFill patternType="solid">
        <fgColor indexed="9"/>
        <bgColor indexed="64"/>
      </patternFill>
    </fill>
    <fill>
      <patternFill patternType="solid">
        <fgColor indexed="27"/>
        <bgColor indexed="64"/>
      </patternFill>
    </fill>
    <fill>
      <patternFill patternType="solid">
        <fgColor theme="0" tint="-0.14996795556505021"/>
        <bgColor indexed="64"/>
      </patternFill>
    </fill>
    <fill>
      <patternFill patternType="solid">
        <fgColor theme="0" tint="-0.499984740745262"/>
        <bgColor indexed="64"/>
      </patternFill>
    </fill>
    <fill>
      <patternFill patternType="solid">
        <fgColor theme="0"/>
        <bgColor indexed="64"/>
      </patternFill>
    </fill>
    <fill>
      <patternFill patternType="solid">
        <fgColor rgb="FFCCFFCC"/>
        <bgColor indexed="64"/>
      </patternFill>
    </fill>
    <fill>
      <patternFill patternType="solid">
        <fgColor rgb="FFFFFFFF"/>
        <bgColor rgb="FF000000"/>
      </patternFill>
    </fill>
    <fill>
      <patternFill patternType="solid">
        <fgColor rgb="FFFFFF00"/>
        <bgColor indexed="64"/>
      </patternFill>
    </fill>
    <fill>
      <patternFill patternType="solid">
        <fgColor rgb="FFFF0000"/>
        <bgColor indexed="64"/>
      </patternFill>
    </fill>
    <fill>
      <patternFill patternType="solid">
        <fgColor theme="0" tint="-0.14999847407452621"/>
        <bgColor indexed="64"/>
      </patternFill>
    </fill>
    <fill>
      <patternFill patternType="solid">
        <fgColor theme="5" tint="0.39997558519241921"/>
        <bgColor indexed="64"/>
      </patternFill>
    </fill>
    <fill>
      <patternFill patternType="solid">
        <fgColor theme="4" tint="0.59999389629810485"/>
        <bgColor indexed="64"/>
      </patternFill>
    </fill>
    <fill>
      <patternFill patternType="solid">
        <fgColor theme="7" tint="0.39997558519241921"/>
        <bgColor indexed="64"/>
      </patternFill>
    </fill>
    <fill>
      <patternFill patternType="solid">
        <fgColor rgb="FF66FFFF"/>
        <bgColor indexed="64"/>
      </patternFill>
    </fill>
    <fill>
      <patternFill patternType="solid">
        <fgColor rgb="FFFFCCFF"/>
        <bgColor indexed="64"/>
      </patternFill>
    </fill>
    <fill>
      <patternFill patternType="solid">
        <fgColor rgb="FFB482DA"/>
        <bgColor indexed="64"/>
      </patternFill>
    </fill>
    <fill>
      <patternFill patternType="solid">
        <fgColor rgb="FFBE97C5"/>
        <bgColor indexed="64"/>
      </patternFill>
    </fill>
    <fill>
      <patternFill patternType="solid">
        <fgColor rgb="FFFF33CC"/>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rgb="FFFFC000"/>
        <bgColor indexed="64"/>
      </patternFill>
    </fill>
    <fill>
      <patternFill patternType="solid">
        <fgColor theme="5" tint="0.59999389629810485"/>
        <bgColor indexed="64"/>
      </patternFill>
    </fill>
    <fill>
      <patternFill patternType="solid">
        <fgColor rgb="FF92D050"/>
        <bgColor indexed="64"/>
      </patternFill>
    </fill>
    <fill>
      <patternFill patternType="solid">
        <fgColor rgb="FF00FFCC"/>
        <bgColor indexed="64"/>
      </patternFill>
    </fill>
    <fill>
      <patternFill patternType="solid">
        <fgColor rgb="FF33CCFF"/>
        <bgColor indexed="64"/>
      </patternFill>
    </fill>
    <fill>
      <patternFill patternType="solid">
        <fgColor theme="5" tint="-0.249977111117893"/>
        <bgColor indexed="64"/>
      </patternFill>
    </fill>
    <fill>
      <patternFill patternType="solid">
        <fgColor theme="3" tint="0.39997558519241921"/>
        <bgColor indexed="64"/>
      </patternFill>
    </fill>
  </fills>
  <borders count="23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55"/>
      </top>
      <bottom style="thin">
        <color indexed="55"/>
      </bottom>
      <diagonal/>
    </border>
    <border>
      <left/>
      <right style="thin">
        <color indexed="55"/>
      </right>
      <top style="thin">
        <color indexed="55"/>
      </top>
      <bottom style="thin">
        <color indexed="55"/>
      </bottom>
      <diagonal/>
    </border>
    <border>
      <left style="thin">
        <color indexed="55"/>
      </left>
      <right/>
      <top style="thin">
        <color indexed="55"/>
      </top>
      <bottom style="thin">
        <color indexed="55"/>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38"/>
      </left>
      <right style="thin">
        <color indexed="38"/>
      </right>
      <top style="thin">
        <color indexed="38"/>
      </top>
      <bottom style="thin">
        <color indexed="38"/>
      </bottom>
      <diagonal/>
    </border>
    <border>
      <left style="thin">
        <color indexed="38"/>
      </left>
      <right/>
      <top style="thin">
        <color indexed="38"/>
      </top>
      <bottom/>
      <diagonal/>
    </border>
    <border>
      <left/>
      <right/>
      <top style="thin">
        <color indexed="38"/>
      </top>
      <bottom/>
      <diagonal/>
    </border>
    <border>
      <left/>
      <right style="thin">
        <color indexed="38"/>
      </right>
      <top style="thin">
        <color indexed="38"/>
      </top>
      <bottom/>
      <diagonal/>
    </border>
    <border>
      <left style="thin">
        <color indexed="38"/>
      </left>
      <right/>
      <top/>
      <bottom/>
      <diagonal/>
    </border>
    <border>
      <left/>
      <right style="thin">
        <color indexed="38"/>
      </right>
      <top/>
      <bottom/>
      <diagonal/>
    </border>
    <border>
      <left style="thin">
        <color indexed="38"/>
      </left>
      <right/>
      <top/>
      <bottom style="thin">
        <color indexed="38"/>
      </bottom>
      <diagonal/>
    </border>
    <border>
      <left/>
      <right/>
      <top/>
      <bottom style="thin">
        <color indexed="38"/>
      </bottom>
      <diagonal/>
    </border>
    <border>
      <left/>
      <right style="thin">
        <color indexed="38"/>
      </right>
      <top/>
      <bottom style="thin">
        <color indexed="38"/>
      </bottom>
      <diagonal/>
    </border>
    <border>
      <left/>
      <right/>
      <top style="thin">
        <color indexed="64"/>
      </top>
      <bottom style="thin">
        <color indexed="64"/>
      </bottom>
      <diagonal/>
    </border>
    <border>
      <left style="thin">
        <color indexed="21"/>
      </left>
      <right style="thin">
        <color indexed="21"/>
      </right>
      <top style="thin">
        <color indexed="21"/>
      </top>
      <bottom style="thin">
        <color indexed="21"/>
      </bottom>
      <diagonal/>
    </border>
    <border>
      <left/>
      <right style="thin">
        <color indexed="38"/>
      </right>
      <top style="thin">
        <color indexed="38"/>
      </top>
      <bottom style="thin">
        <color indexed="38"/>
      </bottom>
      <diagonal/>
    </border>
    <border>
      <left/>
      <right/>
      <top/>
      <bottom style="thin">
        <color indexed="64"/>
      </bottom>
      <diagonal/>
    </border>
    <border>
      <left style="thin">
        <color indexed="55"/>
      </left>
      <right style="thin">
        <color indexed="55"/>
      </right>
      <top style="thin">
        <color indexed="55"/>
      </top>
      <bottom style="thin">
        <color indexed="55"/>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right style="thin">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21"/>
      </right>
      <top/>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right/>
      <top style="thin">
        <color indexed="38"/>
      </top>
      <bottom style="thin">
        <color indexed="38"/>
      </bottom>
      <diagonal/>
    </border>
    <border>
      <left/>
      <right/>
      <top style="thin">
        <color indexed="22"/>
      </top>
      <bottom/>
      <diagonal/>
    </border>
    <border>
      <left/>
      <right/>
      <top style="thin">
        <color indexed="55"/>
      </top>
      <bottom/>
      <diagonal/>
    </border>
    <border>
      <left/>
      <right/>
      <top/>
      <bottom style="thick">
        <color indexed="38"/>
      </bottom>
      <diagonal/>
    </border>
    <border>
      <left/>
      <right style="medium">
        <color indexed="64"/>
      </right>
      <top/>
      <bottom/>
      <diagonal/>
    </border>
    <border>
      <left/>
      <right style="thin">
        <color auto="1"/>
      </right>
      <top/>
      <bottom style="thin">
        <color auto="1"/>
      </bottom>
      <diagonal/>
    </border>
    <border>
      <left/>
      <right/>
      <top style="thin">
        <color rgb="FF969696"/>
      </top>
      <bottom style="thin">
        <color rgb="FF969696"/>
      </bottom>
      <diagonal/>
    </border>
    <border>
      <left/>
      <right/>
      <top/>
      <bottom style="thin">
        <color rgb="FF008080"/>
      </bottom>
      <diagonal/>
    </border>
    <border>
      <left/>
      <right/>
      <top style="thin">
        <color rgb="FF008080"/>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38"/>
      </top>
      <bottom/>
      <diagonal/>
    </border>
    <border>
      <left style="thin">
        <color auto="1"/>
      </left>
      <right style="thin">
        <color auto="1"/>
      </right>
      <top style="thin">
        <color auto="1"/>
      </top>
      <bottom style="thin">
        <color auto="1"/>
      </bottom>
      <diagonal/>
    </border>
    <border>
      <left style="thin">
        <color theme="0"/>
      </left>
      <right style="thin">
        <color theme="0"/>
      </right>
      <top style="thin">
        <color theme="0"/>
      </top>
      <bottom style="thin">
        <color theme="0"/>
      </bottom>
      <diagonal/>
    </border>
    <border>
      <left style="thin">
        <color rgb="FFFFFF99"/>
      </left>
      <right style="thin">
        <color rgb="FFFFFF99"/>
      </right>
      <top style="thin">
        <color rgb="FFFFFF99"/>
      </top>
      <bottom style="thin">
        <color rgb="FFFFFF99"/>
      </bottom>
      <diagonal/>
    </border>
    <border>
      <left/>
      <right style="thin">
        <color theme="0"/>
      </right>
      <top style="thin">
        <color theme="0"/>
      </top>
      <bottom style="thin">
        <color theme="0"/>
      </bottom>
      <diagonal/>
    </border>
    <border>
      <left style="thin">
        <color theme="0"/>
      </left>
      <right style="thin">
        <color theme="0"/>
      </right>
      <top/>
      <bottom style="thin">
        <color theme="0"/>
      </bottom>
      <diagonal/>
    </border>
    <border>
      <left style="thin">
        <color indexed="64"/>
      </left>
      <right style="thin">
        <color indexed="64"/>
      </right>
      <top style="thin">
        <color indexed="64"/>
      </top>
      <bottom/>
      <diagonal/>
    </border>
    <border>
      <left style="thin">
        <color indexed="64"/>
      </left>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medium">
        <color rgb="FF009999"/>
      </bottom>
      <diagonal/>
    </border>
    <border>
      <left/>
      <right/>
      <top style="medium">
        <color rgb="FF009999"/>
      </top>
      <bottom/>
      <diagonal/>
    </border>
    <border>
      <left style="thin">
        <color indexed="38"/>
      </left>
      <right/>
      <top style="thin">
        <color indexed="38"/>
      </top>
      <bottom style="thin">
        <color indexed="38"/>
      </bottom>
      <diagonal/>
    </border>
    <border>
      <left/>
      <right style="thin">
        <color indexed="38"/>
      </right>
      <top style="thin">
        <color indexed="38"/>
      </top>
      <bottom style="thin">
        <color indexed="38"/>
      </bottom>
      <diagonal/>
    </border>
    <border>
      <left style="thin">
        <color auto="1"/>
      </left>
      <right/>
      <top style="thin">
        <color auto="1"/>
      </top>
      <bottom style="thin">
        <color auto="1"/>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style="thin">
        <color indexed="64"/>
      </left>
      <right/>
      <top style="medium">
        <color indexed="64"/>
      </top>
      <bottom style="thin">
        <color indexed="64"/>
      </bottom>
      <diagonal/>
    </border>
    <border>
      <left/>
      <right/>
      <top style="thin">
        <color indexed="64"/>
      </top>
      <bottom style="thin">
        <color indexed="64"/>
      </bottom>
      <diagonal/>
    </border>
    <border>
      <left/>
      <right/>
      <top/>
      <bottom style="thin">
        <color rgb="FF009999"/>
      </bottom>
      <diagonal/>
    </border>
    <border>
      <left/>
      <right/>
      <top style="thin">
        <color rgb="FF009999"/>
      </top>
      <bottom/>
      <diagonal/>
    </border>
    <border>
      <left/>
      <right style="thin">
        <color indexed="64"/>
      </right>
      <top style="thin">
        <color indexed="64"/>
      </top>
      <bottom style="thin">
        <color indexed="64"/>
      </bottom>
      <diagonal/>
    </border>
    <border>
      <left/>
      <right/>
      <top/>
      <bottom style="medium">
        <color indexed="64"/>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medium">
        <color rgb="FF002060"/>
      </left>
      <right style="medium">
        <color rgb="FF002060"/>
      </right>
      <top style="hair">
        <color theme="0" tint="-0.499984740745262"/>
      </top>
      <bottom style="hair">
        <color theme="0" tint="-0.499984740745262"/>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style="medium">
        <color auto="1"/>
      </left>
      <right style="thin">
        <color auto="1"/>
      </right>
      <top style="thin">
        <color auto="1"/>
      </top>
      <bottom style="thin">
        <color auto="1"/>
      </bottom>
      <diagonal/>
    </border>
    <border>
      <left style="thin">
        <color indexed="64"/>
      </left>
      <right style="medium">
        <color auto="1"/>
      </right>
      <top style="thin">
        <color indexed="64"/>
      </top>
      <bottom style="thin">
        <color indexed="64"/>
      </bottom>
      <diagonal/>
    </border>
    <border>
      <left style="thin">
        <color rgb="FFFFFF99"/>
      </left>
      <right/>
      <top style="thin">
        <color rgb="FFFFFF99"/>
      </top>
      <bottom style="thin">
        <color rgb="FFFFFF99"/>
      </bottom>
      <diagonal/>
    </border>
    <border>
      <left style="thin">
        <color rgb="FF339966"/>
      </left>
      <right/>
      <top/>
      <bottom/>
      <diagonal/>
    </border>
    <border>
      <left style="thin">
        <color rgb="FF339966"/>
      </left>
      <right/>
      <top/>
      <bottom style="thin">
        <color rgb="FF339966"/>
      </bottom>
      <diagonal/>
    </border>
    <border>
      <left/>
      <right/>
      <top/>
      <bottom style="thin">
        <color rgb="FF339966"/>
      </bottom>
      <diagonal/>
    </border>
    <border>
      <left style="thin">
        <color rgb="FF339966"/>
      </left>
      <right/>
      <top style="thin">
        <color rgb="FF339966"/>
      </top>
      <bottom/>
      <diagonal/>
    </border>
    <border>
      <left/>
      <right/>
      <top style="thin">
        <color rgb="FF339966"/>
      </top>
      <bottom/>
      <diagonal/>
    </border>
    <border>
      <left/>
      <right style="thin">
        <color rgb="FF339966"/>
      </right>
      <top style="thin">
        <color rgb="FF339966"/>
      </top>
      <bottom/>
      <diagonal/>
    </border>
    <border>
      <left/>
      <right style="thin">
        <color rgb="FF339966"/>
      </right>
      <top/>
      <bottom/>
      <diagonal/>
    </border>
    <border>
      <left/>
      <right style="thin">
        <color rgb="FF339966"/>
      </right>
      <top/>
      <bottom style="thin">
        <color rgb="FF339966"/>
      </bottom>
      <diagonal/>
    </border>
    <border>
      <left style="thin">
        <color auto="1"/>
      </left>
      <right style="thin">
        <color auto="1"/>
      </right>
      <top style="thin">
        <color auto="1"/>
      </top>
      <bottom style="mediumDashDotDot">
        <color auto="1"/>
      </bottom>
      <diagonal/>
    </border>
    <border>
      <left style="medium">
        <color indexed="64"/>
      </left>
      <right style="thin">
        <color indexed="64"/>
      </right>
      <top style="thin">
        <color auto="1"/>
      </top>
      <bottom style="mediumDashDotDot">
        <color auto="1"/>
      </bottom>
      <diagonal/>
    </border>
    <border>
      <left style="thin">
        <color auto="1"/>
      </left>
      <right style="thin">
        <color auto="1"/>
      </right>
      <top style="mediumDashDotDot">
        <color auto="1"/>
      </top>
      <bottom style="thin">
        <color indexed="64"/>
      </bottom>
      <diagonal/>
    </border>
    <border>
      <left style="medium">
        <color indexed="64"/>
      </left>
      <right style="thin">
        <color indexed="64"/>
      </right>
      <top style="mediumDashDotDot">
        <color auto="1"/>
      </top>
      <bottom style="thin">
        <color indexed="64"/>
      </bottom>
      <diagonal/>
    </border>
    <border>
      <left style="medium">
        <color indexed="64"/>
      </left>
      <right style="thin">
        <color indexed="64"/>
      </right>
      <top style="thin">
        <color indexed="64"/>
      </top>
      <bottom style="medium">
        <color indexed="64"/>
      </bottom>
      <diagonal/>
    </border>
    <border>
      <left style="thin">
        <color auto="1"/>
      </left>
      <right style="thin">
        <color auto="1"/>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auto="1"/>
      </left>
      <right style="medium">
        <color auto="1"/>
      </right>
      <top style="thin">
        <color auto="1"/>
      </top>
      <bottom/>
      <diagonal/>
    </border>
    <border>
      <left style="medium">
        <color auto="1"/>
      </left>
      <right style="medium">
        <color auto="1"/>
      </right>
      <top style="thin">
        <color auto="1"/>
      </top>
      <bottom style="hair">
        <color rgb="FF808080"/>
      </bottom>
      <diagonal/>
    </border>
    <border>
      <left style="medium">
        <color auto="1"/>
      </left>
      <right style="medium">
        <color auto="1"/>
      </right>
      <top style="hair">
        <color rgb="FF808080"/>
      </top>
      <bottom style="hair">
        <color rgb="FF808080"/>
      </bottom>
      <diagonal/>
    </border>
    <border>
      <left style="medium">
        <color auto="1"/>
      </left>
      <right style="medium">
        <color auto="1"/>
      </right>
      <top/>
      <bottom/>
      <diagonal/>
    </border>
    <border>
      <left style="medium">
        <color auto="1"/>
      </left>
      <right style="medium">
        <color auto="1"/>
      </right>
      <top style="thin">
        <color auto="1"/>
      </top>
      <bottom style="thin">
        <color auto="1"/>
      </bottom>
      <diagonal/>
    </border>
    <border>
      <left style="medium">
        <color auto="1"/>
      </left>
      <right style="thin">
        <color auto="1"/>
      </right>
      <top style="thin">
        <color auto="1"/>
      </top>
      <bottom style="thin">
        <color auto="1"/>
      </bottom>
      <diagonal/>
    </border>
    <border>
      <left style="thin">
        <color indexed="64"/>
      </left>
      <right style="medium">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indexed="64"/>
      </left>
      <right style="thin">
        <color indexed="64"/>
      </right>
      <top/>
      <bottom style="thin">
        <color indexed="64"/>
      </bottom>
      <diagonal/>
    </border>
    <border>
      <left/>
      <right/>
      <top style="thin">
        <color indexed="38"/>
      </top>
      <bottom/>
      <diagonal/>
    </border>
    <border>
      <left/>
      <right/>
      <top/>
      <bottom style="thin">
        <color indexed="38"/>
      </bottom>
      <diagonal/>
    </border>
    <border>
      <left style="thin">
        <color indexed="64"/>
      </left>
      <right style="thin">
        <color indexed="64"/>
      </right>
      <top style="thin">
        <color indexed="64"/>
      </top>
      <bottom/>
      <diagonal/>
    </border>
    <border>
      <left style="thin">
        <color indexed="38"/>
      </left>
      <right/>
      <top style="thin">
        <color indexed="38"/>
      </top>
      <bottom/>
      <diagonal/>
    </border>
    <border>
      <left/>
      <right/>
      <top style="thin">
        <color indexed="38"/>
      </top>
      <bottom/>
      <diagonal/>
    </border>
    <border>
      <left/>
      <right style="thin">
        <color indexed="38"/>
      </right>
      <top style="thin">
        <color indexed="38"/>
      </top>
      <bottom/>
      <diagonal/>
    </border>
    <border>
      <left style="thin">
        <color indexed="38"/>
      </left>
      <right style="thin">
        <color indexed="38"/>
      </right>
      <top style="thin">
        <color indexed="38"/>
      </top>
      <bottom style="thin">
        <color indexed="38"/>
      </bottom>
      <diagonal/>
    </border>
    <border>
      <left/>
      <right style="thin">
        <color rgb="FFFFFF99"/>
      </right>
      <top style="thin">
        <color rgb="FFFFFF99"/>
      </top>
      <bottom style="thin">
        <color rgb="FFFFFF99"/>
      </bottom>
      <diagonal/>
    </border>
    <border>
      <left style="thin">
        <color rgb="FF339966"/>
      </left>
      <right style="thin">
        <color indexed="38"/>
      </right>
      <top style="thin">
        <color indexed="38"/>
      </top>
      <bottom style="thin">
        <color indexed="38"/>
      </bottom>
      <diagonal/>
    </border>
    <border>
      <left/>
      <right style="thin">
        <color indexed="38"/>
      </right>
      <top/>
      <bottom style="thin">
        <color indexed="38"/>
      </bottom>
      <diagonal/>
    </border>
    <border>
      <left/>
      <right style="thin">
        <color theme="0"/>
      </right>
      <top/>
      <bottom style="thin">
        <color theme="0"/>
      </bottom>
      <diagonal/>
    </border>
    <border>
      <left style="thin">
        <color rgb="FFFFFF99"/>
      </left>
      <right style="thin">
        <color rgb="FFFFFF99"/>
      </right>
      <top/>
      <bottom style="thin">
        <color rgb="FFFFFF99"/>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indexed="38"/>
      </left>
      <right/>
      <top style="thin">
        <color indexed="38"/>
      </top>
      <bottom/>
      <diagonal/>
    </border>
    <border>
      <left style="thin">
        <color indexed="38"/>
      </left>
      <right style="thin">
        <color indexed="38"/>
      </right>
      <top style="thin">
        <color indexed="38"/>
      </top>
      <bottom style="thin">
        <color indexed="38"/>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38"/>
      </left>
      <right style="thin">
        <color indexed="38"/>
      </right>
      <top style="thin">
        <color indexed="64"/>
      </top>
      <bottom style="thin">
        <color indexed="38"/>
      </bottom>
      <diagonal/>
    </border>
    <border>
      <left style="thin">
        <color indexed="64"/>
      </left>
      <right/>
      <top style="thin">
        <color indexed="64"/>
      </top>
      <bottom style="thin">
        <color indexed="64"/>
      </bottom>
      <diagonal/>
    </border>
    <border>
      <left style="thin">
        <color auto="1"/>
      </left>
      <right style="thin">
        <color auto="1"/>
      </right>
      <top style="thin">
        <color auto="1"/>
      </top>
      <bottom style="thin">
        <color auto="1"/>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55"/>
      </left>
      <right/>
      <top style="thin">
        <color indexed="55"/>
      </top>
      <bottom style="thin">
        <color indexed="55"/>
      </bottom>
      <diagonal/>
    </border>
    <border>
      <left/>
      <right/>
      <top style="thin">
        <color indexed="55"/>
      </top>
      <bottom style="thin">
        <color indexed="55"/>
      </bottom>
      <diagonal/>
    </border>
    <border>
      <left/>
      <right style="thin">
        <color indexed="55"/>
      </right>
      <top style="thin">
        <color indexed="55"/>
      </top>
      <bottom style="thin">
        <color indexed="55"/>
      </bottom>
      <diagonal/>
    </border>
    <border>
      <left style="thin">
        <color indexed="64"/>
      </left>
      <right style="thin">
        <color indexed="64"/>
      </right>
      <top style="thin">
        <color indexed="64"/>
      </top>
      <bottom/>
      <diagonal/>
    </border>
    <border>
      <left style="medium">
        <color auto="1"/>
      </left>
      <right style="medium">
        <color rgb="FF002060"/>
      </right>
      <top style="hair">
        <color theme="0" tint="-0.499984740745262"/>
      </top>
      <bottom style="hair">
        <color theme="0" tint="-0.499984740745262"/>
      </bottom>
      <diagonal/>
    </border>
    <border>
      <left/>
      <right style="medium">
        <color auto="1"/>
      </right>
      <top style="thin">
        <color indexed="64"/>
      </top>
      <bottom style="thin">
        <color indexed="64"/>
      </bottom>
      <diagonal/>
    </border>
    <border>
      <left style="medium">
        <color auto="1"/>
      </left>
      <right style="thin">
        <color auto="1"/>
      </right>
      <top style="hair">
        <color theme="0" tint="-0.499984740745262"/>
      </top>
      <bottom style="hair">
        <color theme="0" tint="-0.499984740745262"/>
      </bottom>
      <diagonal/>
    </border>
    <border>
      <left style="thin">
        <color indexed="64"/>
      </left>
      <right/>
      <top style="thin">
        <color indexed="64"/>
      </top>
      <bottom style="medium">
        <color indexed="64"/>
      </bottom>
      <diagonal/>
    </border>
    <border>
      <left style="thin">
        <color auto="1"/>
      </left>
      <right style="thin">
        <color auto="1"/>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55"/>
      </left>
      <right/>
      <top style="thin">
        <color indexed="55"/>
      </top>
      <bottom style="thin">
        <color indexed="55"/>
      </bottom>
      <diagonal/>
    </border>
    <border>
      <left/>
      <right/>
      <top style="thin">
        <color indexed="55"/>
      </top>
      <bottom style="thin">
        <color indexed="55"/>
      </bottom>
      <diagonal/>
    </border>
    <border>
      <left/>
      <right style="thin">
        <color indexed="55"/>
      </right>
      <top style="thin">
        <color indexed="55"/>
      </top>
      <bottom style="thin">
        <color indexed="55"/>
      </bottom>
      <diagonal/>
    </border>
    <border>
      <left/>
      <right/>
      <top/>
      <bottom style="thin">
        <color indexed="55"/>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ck">
        <color rgb="FFFF0000"/>
      </left>
      <right style="thick">
        <color rgb="FFFF0000"/>
      </right>
      <top style="thick">
        <color rgb="FFFF0000"/>
      </top>
      <bottom style="thick">
        <color rgb="FFFF0000"/>
      </bottom>
      <diagonal/>
    </border>
    <border>
      <left style="thick">
        <color rgb="FF00B050"/>
      </left>
      <right style="thick">
        <color rgb="FF00B050"/>
      </right>
      <top style="thick">
        <color rgb="FF00B050"/>
      </top>
      <bottom style="thick">
        <color rgb="FF00B050"/>
      </bottom>
      <diagonal/>
    </border>
    <border>
      <left style="thick">
        <color rgb="FF0000FF"/>
      </left>
      <right style="thick">
        <color rgb="FF0000FF"/>
      </right>
      <top style="thick">
        <color rgb="FF0000FF"/>
      </top>
      <bottom style="thick">
        <color rgb="FF0000FF"/>
      </bottom>
      <diagonal/>
    </border>
    <border>
      <left style="thin">
        <color indexed="64"/>
      </left>
      <right style="thin">
        <color auto="1"/>
      </right>
      <top style="thin">
        <color indexed="64"/>
      </top>
      <bottom/>
      <diagonal/>
    </border>
    <border>
      <left style="thin">
        <color indexed="38"/>
      </left>
      <right/>
      <top/>
      <bottom style="thin">
        <color indexed="38"/>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38"/>
      </left>
      <right style="thin">
        <color indexed="38"/>
      </right>
      <top style="thin">
        <color indexed="38"/>
      </top>
      <bottom style="thin">
        <color indexed="38"/>
      </bottom>
      <diagonal/>
    </border>
    <border>
      <left style="medium">
        <color auto="1"/>
      </left>
      <right style="thin">
        <color auto="1"/>
      </right>
      <top style="thin">
        <color auto="1"/>
      </top>
      <bottom/>
      <diagonal/>
    </border>
    <border>
      <left style="thin">
        <color indexed="38"/>
      </left>
      <right style="thin">
        <color indexed="38"/>
      </right>
      <top style="thin">
        <color indexed="38"/>
      </top>
      <bottom/>
      <diagonal/>
    </border>
    <border>
      <left style="thin">
        <color indexed="38"/>
      </left>
      <right/>
      <top style="thin">
        <color indexed="38"/>
      </top>
      <bottom/>
      <diagonal/>
    </border>
    <border>
      <left/>
      <right/>
      <top style="thin">
        <color indexed="38"/>
      </top>
      <bottom/>
      <diagonal/>
    </border>
    <border>
      <left/>
      <right style="thin">
        <color indexed="38"/>
      </right>
      <top style="thin">
        <color indexed="38"/>
      </top>
      <bottom/>
      <diagonal/>
    </border>
    <border>
      <left style="thin">
        <color indexed="38"/>
      </left>
      <right style="thin">
        <color indexed="38"/>
      </right>
      <top style="thin">
        <color indexed="38"/>
      </top>
      <bottom style="thin">
        <color indexed="38"/>
      </bottom>
      <diagonal/>
    </border>
    <border>
      <left style="thin">
        <color indexed="64"/>
      </left>
      <right style="thin">
        <color auto="1"/>
      </right>
      <top style="thin">
        <color indexed="64"/>
      </top>
      <bottom/>
      <diagonal/>
    </border>
    <border>
      <left/>
      <right/>
      <top/>
      <bottom style="thin">
        <color indexed="38"/>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medium">
        <color auto="1"/>
      </left>
      <right/>
      <top/>
      <bottom style="medium">
        <color auto="1"/>
      </bottom>
      <diagonal/>
    </border>
    <border>
      <left style="thin">
        <color indexed="64"/>
      </left>
      <right style="medium">
        <color indexed="64"/>
      </right>
      <top/>
      <bottom style="thin">
        <color indexed="64"/>
      </bottom>
      <diagonal/>
    </border>
    <border>
      <left style="medium">
        <color auto="1"/>
      </left>
      <right style="medium">
        <color auto="1"/>
      </right>
      <top style="hair">
        <color rgb="FF808080"/>
      </top>
      <bottom/>
      <diagonal/>
    </border>
    <border>
      <left style="medium">
        <color auto="1"/>
      </left>
      <right style="medium">
        <color auto="1"/>
      </right>
      <top/>
      <bottom style="hair">
        <color rgb="FF808080"/>
      </bottom>
      <diagonal/>
    </border>
    <border>
      <left style="thin">
        <color auto="1"/>
      </left>
      <right style="thin">
        <color auto="1"/>
      </right>
      <top style="thin">
        <color auto="1"/>
      </top>
      <bottom style="medium">
        <color auto="1"/>
      </bottom>
      <diagonal/>
    </border>
    <border>
      <left style="thin">
        <color indexed="55"/>
      </left>
      <right/>
      <top style="thin">
        <color indexed="55"/>
      </top>
      <bottom style="thin">
        <color indexed="55"/>
      </bottom>
      <diagonal/>
    </border>
    <border>
      <left/>
      <right/>
      <top style="thin">
        <color indexed="55"/>
      </top>
      <bottom style="thin">
        <color indexed="55"/>
      </bottom>
      <diagonal/>
    </border>
    <border>
      <left/>
      <right/>
      <top style="thin">
        <color indexed="38"/>
      </top>
      <bottom/>
      <diagonal/>
    </border>
    <border>
      <left/>
      <right style="thin">
        <color indexed="38"/>
      </right>
      <top style="thin">
        <color indexed="38"/>
      </top>
      <bottom/>
      <diagonal/>
    </border>
    <border>
      <left/>
      <right style="thin">
        <color indexed="38"/>
      </right>
      <top/>
      <bottom style="thin">
        <color indexed="38"/>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rgb="FF008080"/>
      </left>
      <right/>
      <top style="thin">
        <color rgb="FF008080"/>
      </top>
      <bottom/>
      <diagonal/>
    </border>
    <border>
      <left style="thin">
        <color rgb="FF008080"/>
      </left>
      <right/>
      <top/>
      <bottom/>
      <diagonal/>
    </border>
    <border>
      <left/>
      <right style="thin">
        <color rgb="FF008080"/>
      </right>
      <top/>
      <bottom/>
      <diagonal/>
    </border>
    <border>
      <left style="thin">
        <color rgb="FF008080"/>
      </left>
      <right/>
      <top/>
      <bottom style="thin">
        <color rgb="FF008080"/>
      </bottom>
      <diagonal/>
    </border>
    <border>
      <left/>
      <right style="thin">
        <color rgb="FF008080"/>
      </right>
      <top/>
      <bottom style="thin">
        <color rgb="FF008080"/>
      </bottom>
      <diagonal/>
    </border>
    <border>
      <left style="thin">
        <color indexed="64"/>
      </left>
      <right style="medium">
        <color indexed="64"/>
      </right>
      <top style="thin">
        <color indexed="64"/>
      </top>
      <bottom style="thin">
        <color indexed="64"/>
      </bottom>
      <diagonal/>
    </border>
    <border>
      <left style="medium">
        <color auto="1"/>
      </left>
      <right style="medium">
        <color auto="1"/>
      </right>
      <top style="thin">
        <color auto="1"/>
      </top>
      <bottom style="thin">
        <color auto="1"/>
      </bottom>
      <diagonal/>
    </border>
    <border>
      <left style="thin">
        <color indexed="64"/>
      </left>
      <right style="medium">
        <color indexed="64"/>
      </right>
      <top style="thin">
        <color indexed="64"/>
      </top>
      <bottom/>
      <diagonal/>
    </border>
    <border>
      <left style="medium">
        <color auto="1"/>
      </left>
      <right style="medium">
        <color auto="1"/>
      </right>
      <top style="thin">
        <color auto="1"/>
      </top>
      <bottom/>
      <diagonal/>
    </border>
    <border>
      <left style="medium">
        <color auto="1"/>
      </left>
      <right style="medium">
        <color auto="1"/>
      </right>
      <top/>
      <bottom style="thin">
        <color auto="1"/>
      </bottom>
      <diagonal/>
    </border>
    <border>
      <left style="thin">
        <color indexed="64"/>
      </left>
      <right style="thin">
        <color indexed="64"/>
      </right>
      <top/>
      <bottom style="thin">
        <color indexed="64"/>
      </bottom>
      <diagonal/>
    </border>
  </borders>
  <cellStyleXfs count="6">
    <xf borderId="0" fillId="0" fontId="0" numFmtId="0"/>
    <xf applyAlignment="0" applyBorder="0" applyFill="0" applyFont="0" applyProtection="0" borderId="0" fillId="0" fontId="1" numFmtId="170"/>
    <xf applyAlignment="0" applyBorder="0" applyFill="0" applyFont="0" applyProtection="0" borderId="0" fillId="0" fontId="1" numFmtId="169"/>
    <xf applyAlignment="0" applyBorder="0" applyFill="0" applyNumberFormat="0" applyProtection="0" borderId="0" fillId="0" fontId="38" numFmtId="0">
      <alignment vertical="top"/>
      <protection locked="0"/>
    </xf>
    <xf applyAlignment="0" applyBorder="0" applyFill="0" applyFont="0" applyProtection="0" borderId="0" fillId="0" fontId="1" numFmtId="9"/>
    <xf borderId="0" fillId="0" fontId="1" numFmtId="0"/>
  </cellStyleXfs>
  <cellXfs count="4549">
    <xf borderId="0" fillId="0" fontId="0" numFmtId="0" xfId="0"/>
    <xf applyBorder="1" borderId="0" fillId="0" fontId="0" numFmtId="0" xfId="0"/>
    <xf applyBorder="1" applyFont="1" borderId="0" fillId="0" fontId="5" numFmtId="0" xfId="0"/>
    <xf applyBorder="1" borderId="1" fillId="0" fontId="0" numFmtId="0" xfId="0"/>
    <xf applyFill="1" applyFont="1" borderId="0" fillId="0" fontId="5" numFmtId="0" xfId="0"/>
    <xf applyFont="1" borderId="0" fillId="0" fontId="7" numFmtId="0" xfId="0"/>
    <xf applyFont="1" borderId="0" fillId="0" fontId="5" numFmtId="0" xfId="0"/>
    <xf applyFill="1" borderId="0" fillId="0" fontId="0" numFmtId="0" xfId="0"/>
    <xf applyAlignment="1" borderId="0" fillId="0" fontId="0" numFmtId="0" xfId="0">
      <alignment horizontal="right"/>
    </xf>
    <xf applyAlignment="1" applyBorder="1" applyFont="1" borderId="2" fillId="0" fontId="5" numFmtId="0" xfId="0">
      <alignment horizontal="center"/>
    </xf>
    <xf applyAlignment="1" applyBorder="1" applyFont="1" borderId="3" fillId="0" fontId="5" numFmtId="0" xfId="0">
      <alignment horizontal="center"/>
    </xf>
    <xf applyAlignment="1" applyBorder="1" applyFont="1" borderId="4" fillId="0" fontId="5" numFmtId="0" xfId="0">
      <alignment horizontal="center"/>
    </xf>
    <xf applyBorder="1" applyProtection="1" borderId="1" fillId="0" fontId="0" numFmtId="0" xfId="0">
      <protection locked="0"/>
    </xf>
    <xf applyBorder="1" applyFill="1" applyFont="1" applyNumberFormat="1" applyProtection="1" borderId="1" fillId="0" fontId="4" numFmtId="3" xfId="0">
      <protection locked="0"/>
    </xf>
    <xf applyBorder="1" applyFill="1" applyProtection="1" borderId="1" fillId="0" fontId="0" numFmtId="0" xfId="0">
      <protection locked="0"/>
    </xf>
    <xf applyFont="1" borderId="0" fillId="0" fontId="10" numFmtId="0" xfId="0"/>
    <xf applyFill="1" applyFont="1" borderId="0" fillId="0" fontId="10" numFmtId="0" xfId="0"/>
    <xf applyAlignment="1" applyBorder="1" applyFill="1" applyFont="1" borderId="4" fillId="2" fontId="5" numFmtId="0" xfId="0">
      <alignment horizontal="center"/>
    </xf>
    <xf applyAlignment="1" applyBorder="1" applyFill="1" applyFont="1" applyNumberFormat="1" borderId="0" fillId="2" fontId="15" numFmtId="1" xfId="0">
      <alignment horizontal="right"/>
    </xf>
    <xf applyAlignment="1" applyBorder="1" applyFill="1" applyFont="1" borderId="2" fillId="0" fontId="5" numFmtId="0" xfId="0">
      <alignment horizontal="center"/>
    </xf>
    <xf applyAlignment="1" applyBorder="1" applyFill="1" applyFont="1" borderId="3" fillId="0" fontId="5" numFmtId="0" xfId="0">
      <alignment horizontal="center"/>
    </xf>
    <xf applyAlignment="1" applyBorder="1" applyFill="1" applyFont="1" borderId="4" fillId="0" fontId="5" numFmtId="0" xfId="0">
      <alignment horizontal="center"/>
    </xf>
    <xf applyBorder="1" applyFill="1" applyFont="1" borderId="5" fillId="2" fontId="14" numFmtId="0" xfId="0"/>
    <xf applyAlignment="1" applyBorder="1" applyFill="1" applyFont="1" borderId="2" fillId="2" fontId="15" numFmtId="0" xfId="0">
      <alignment horizontal="center"/>
    </xf>
    <xf applyAlignment="1" applyBorder="1" applyFill="1" applyFont="1" borderId="3" fillId="2" fontId="15" numFmtId="0" xfId="0">
      <alignment horizontal="center"/>
    </xf>
    <xf applyAlignment="1" applyBorder="1" applyFill="1" applyFont="1" borderId="4" fillId="2" fontId="15" numFmtId="0" xfId="0">
      <alignment horizontal="center"/>
    </xf>
    <xf applyProtection="1" borderId="0" fillId="0" fontId="0" numFmtId="0" xfId="0">
      <protection locked="0"/>
    </xf>
    <xf applyBorder="1" borderId="6" fillId="0" fontId="0" numFmtId="0" xfId="0"/>
    <xf applyBorder="1" borderId="7" fillId="0" fontId="0" numFmtId="0" xfId="0"/>
    <xf applyBorder="1" borderId="8" fillId="0" fontId="0" numFmtId="0" xfId="0"/>
    <xf applyBorder="1" borderId="9" fillId="0" fontId="0" numFmtId="0" xfId="0"/>
    <xf applyBorder="1" borderId="10" fillId="0" fontId="0" numFmtId="0" xfId="0"/>
    <xf applyBorder="1" applyFill="1" borderId="0" fillId="0" fontId="0" numFmtId="0" xfId="0"/>
    <xf applyAlignment="1" borderId="0" fillId="0" fontId="0" numFmtId="0" xfId="0">
      <alignment horizontal="left"/>
    </xf>
    <xf applyFont="1" borderId="0" fillId="0" fontId="4" numFmtId="0" xfId="0"/>
    <xf applyBorder="1" applyFont="1" borderId="0" fillId="0" fontId="4" numFmtId="0" xfId="0"/>
    <xf applyAlignment="1" applyBorder="1" applyFill="1" applyFont="1" borderId="0" fillId="0" fontId="4" numFmtId="0" xfId="0">
      <alignment horizontal="left"/>
    </xf>
    <xf applyBorder="1" applyFill="1" applyFont="1" borderId="0" fillId="0" fontId="4" numFmtId="0" xfId="0"/>
    <xf applyAlignment="1" applyBorder="1" applyFill="1" applyFont="1" borderId="0" fillId="0" fontId="4" numFmtId="0" xfId="0">
      <alignment horizontal="right"/>
    </xf>
    <xf applyBorder="1" applyFill="1" borderId="1" fillId="3" fontId="0" numFmtId="0" xfId="0"/>
    <xf applyBorder="1" applyFill="1" applyFont="1" applyNumberFormat="1" borderId="1" fillId="3" fontId="10" numFmtId="1" xfId="0"/>
    <xf applyBorder="1" applyFont="1" borderId="1" fillId="0" fontId="17" numFmtId="0" xfId="0"/>
    <xf applyBorder="1" applyFont="1" borderId="2" fillId="0" fontId="5" numFmtId="0" xfId="0"/>
    <xf applyBorder="1" applyFont="1" borderId="3" fillId="0" fontId="23" numFmtId="0" xfId="0"/>
    <xf applyBorder="1" applyFont="1" borderId="3" fillId="0" fontId="17" numFmtId="0" xfId="0"/>
    <xf applyAlignment="1" applyBorder="1" applyFont="1" borderId="4" fillId="0" fontId="23" numFmtId="0" xfId="0">
      <alignment horizontal="right"/>
    </xf>
    <xf applyBorder="1" applyFont="1" borderId="4" fillId="0" fontId="5" numFmtId="0" xfId="0"/>
    <xf applyAlignment="1" applyBorder="1" applyFont="1" borderId="3" fillId="0" fontId="23" numFmtId="0" xfId="0">
      <alignment horizontal="right"/>
    </xf>
    <xf applyBorder="1" applyFont="1" borderId="2" fillId="0" fontId="17" numFmtId="0" xfId="0"/>
    <xf applyAlignment="1" applyBorder="1" applyFont="1" borderId="0" fillId="0" fontId="5" numFmtId="0" xfId="0">
      <alignment horizontal="center"/>
    </xf>
    <xf applyAlignment="1" applyBorder="1" applyFill="1" applyFont="1" borderId="0" fillId="0" fontId="4" numFmtId="0" xfId="0">
      <alignment horizontal="center"/>
    </xf>
    <xf applyBorder="1" applyFill="1" applyFont="1" borderId="0" fillId="0" fontId="8" numFmtId="0" xfId="0"/>
    <xf applyBorder="1" applyFill="1" applyFont="1" applyNumberFormat="1" borderId="0" fillId="0" fontId="4" numFmtId="176" xfId="1"/>
    <xf applyBorder="1" applyFill="1" applyFont="1" applyProtection="1" borderId="1" fillId="4" fontId="5" numFmtId="0" xfId="0">
      <protection locked="0"/>
    </xf>
    <xf applyAlignment="1" applyBorder="1" applyFill="1" applyFont="1" applyNumberFormat="1" borderId="0" fillId="2" fontId="11" numFmtId="1" xfId="0">
      <alignment horizontal="right" wrapText="1"/>
    </xf>
    <xf applyAlignment="1" applyBorder="1" applyFill="1" applyFont="1" applyNumberFormat="1" borderId="0" fillId="0" fontId="5" numFmtId="1" xfId="0">
      <alignment horizontal="right" wrapText="1"/>
    </xf>
    <xf applyBorder="1" applyFill="1" applyFont="1" borderId="1" fillId="0" fontId="5" numFmtId="0" xfId="0"/>
    <xf applyFill="1" borderId="0" fillId="5" fontId="0" numFmtId="0" xfId="0"/>
    <xf applyFill="1" applyFont="1" applyProtection="1" borderId="0" fillId="5" fontId="7" numFmtId="0" xfId="0"/>
    <xf applyBorder="1" applyFill="1" borderId="0" fillId="5" fontId="0" numFmtId="0" xfId="0"/>
    <xf applyBorder="1" applyFill="1" applyFont="1" borderId="0" fillId="5" fontId="5" numFmtId="0" xfId="0"/>
    <xf applyFill="1" applyProtection="1" borderId="0" fillId="5" fontId="0" numFmtId="0" xfId="0"/>
    <xf applyAlignment="1" applyFill="1" applyProtection="1" borderId="0" fillId="5" fontId="0" numFmtId="0" xfId="0">
      <alignment horizontal="right"/>
    </xf>
    <xf applyBorder="1" applyFill="1" applyFont="1" applyProtection="1" borderId="0" fillId="5" fontId="4" numFmtId="0" xfId="0"/>
    <xf applyAlignment="1" applyFill="1" applyFont="1" borderId="0" fillId="5" fontId="18" numFmtId="0" xfId="0">
      <alignment horizontal="right"/>
    </xf>
    <xf applyBorder="1" applyFill="1" applyFont="1" applyProtection="1" borderId="0" fillId="5" fontId="19" numFmtId="0" xfId="0"/>
    <xf applyBorder="1" applyFill="1" borderId="7" fillId="4" fontId="0" numFmtId="0" xfId="0"/>
    <xf applyBorder="1" applyFill="1" borderId="9" fillId="4" fontId="0" numFmtId="0" xfId="0"/>
    <xf applyBorder="1" applyFill="1" borderId="10" fillId="4" fontId="0" numFmtId="0" xfId="0"/>
    <xf applyBorder="1" applyFill="1" borderId="11" fillId="4" fontId="0" numFmtId="0" xfId="0"/>
    <xf applyBorder="1" applyFill="1" borderId="12" fillId="4" fontId="0" numFmtId="0" xfId="0"/>
    <xf applyFill="1" applyProtection="1" borderId="0" fillId="5" fontId="0" numFmtId="0" xfId="0">
      <protection locked="0"/>
    </xf>
    <xf applyBorder="1" applyFill="1" applyFont="1" applyNumberFormat="1" applyProtection="1" borderId="0" fillId="5" fontId="5" numFmtId="1" xfId="0">
      <protection locked="0"/>
    </xf>
    <xf applyBorder="1" applyFill="1" applyFont="1" applyNumberFormat="1" applyProtection="1" borderId="9" fillId="5" fontId="5" numFmtId="1" xfId="0">
      <protection locked="0"/>
    </xf>
    <xf applyFill="1" applyFont="1" applyProtection="1" borderId="0" fillId="5" fontId="6" numFmtId="0" xfId="0">
      <protection locked="0"/>
    </xf>
    <xf applyFill="1" applyFont="1" applyProtection="1" borderId="0" fillId="5" fontId="4" numFmtId="0" xfId="0"/>
    <xf applyAlignment="1" applyFill="1" applyFont="1" applyProtection="1" borderId="0" fillId="5" fontId="4" numFmtId="0" xfId="0">
      <alignment horizontal="right"/>
    </xf>
    <xf applyAlignment="1" applyBorder="1" applyFont="1" borderId="0" fillId="0" fontId="4" numFmtId="0" xfId="0">
      <alignment horizontal="right"/>
    </xf>
    <xf applyAlignment="1" applyFont="1" borderId="0" fillId="0" fontId="4" numFmtId="0" xfId="0">
      <alignment horizontal="right"/>
    </xf>
    <xf applyAlignment="1" applyFont="1" borderId="0" fillId="0" fontId="4" numFmtId="0" xfId="0">
      <alignment horizontal="left"/>
    </xf>
    <xf applyFont="1" borderId="0" fillId="0" fontId="29" numFmtId="0" xfId="0"/>
    <xf applyAlignment="1" applyFont="1" borderId="0" fillId="0" fontId="8" numFmtId="0" xfId="0">
      <alignment horizontal="left"/>
    </xf>
    <xf applyAlignment="1" applyBorder="1" applyFill="1" applyFont="1" borderId="13" fillId="0" fontId="7" numFmtId="0" xfId="0"/>
    <xf applyAlignment="1" applyBorder="1" applyFill="1" applyFont="1" borderId="0" fillId="0" fontId="4" numFmtId="0" xfId="0"/>
    <xf applyAlignment="1" applyBorder="1" applyFill="1" applyFont="1" borderId="0" fillId="0" fontId="4" numFmtId="0" xfId="0">
      <alignment horizontal="left" indent="2"/>
    </xf>
    <xf applyAlignment="1" applyBorder="1" applyFill="1" applyFont="1" borderId="14" fillId="0" fontId="8" numFmtId="0" xfId="0"/>
    <xf applyAlignment="1" applyBorder="1" applyFill="1" applyFont="1" applyNumberFormat="1" borderId="0" fillId="0" fontId="4" numFmtId="3" xfId="0"/>
    <xf applyAlignment="1" applyBorder="1" applyFill="1" applyFont="1" borderId="0" fillId="0" fontId="4" numFmtId="0" quotePrefix="1" xfId="0">
      <alignment horizontal="right"/>
    </xf>
    <xf applyAlignment="1" applyBorder="1" applyFill="1" applyFont="1" applyNumberFormat="1" borderId="0" fillId="0" fontId="4" numFmtId="173" xfId="1"/>
    <xf applyAlignment="1" applyFont="1" borderId="0" fillId="0" fontId="4" numFmtId="0" quotePrefix="1" xfId="0">
      <alignment horizontal="center"/>
    </xf>
    <xf applyAlignment="1" applyBorder="1" applyFill="1" applyFont="1" borderId="15" fillId="0" fontId="7" numFmtId="0" xfId="0"/>
    <xf applyAlignment="1" applyFill="1" applyFont="1" borderId="0" fillId="0" fontId="4" numFmtId="0" xfId="0"/>
    <xf applyAlignment="1" applyBorder="1" applyFill="1" applyFont="1" borderId="0" fillId="0" fontId="32" numFmtId="0" xfId="0"/>
    <xf applyAlignment="1" applyFill="1" applyFont="1" borderId="0" fillId="0" fontId="4" numFmtId="0" xfId="0">
      <alignment horizontal="right"/>
    </xf>
    <xf applyAlignment="1" applyFill="1" applyFont="1" borderId="0" fillId="0" fontId="4" numFmtId="0" xfId="0">
      <alignment horizontal="left"/>
    </xf>
    <xf applyAlignment="1" applyBorder="1" applyFill="1" applyFont="1" borderId="0" fillId="0" fontId="31" numFmtId="0" xfId="0"/>
    <xf applyBorder="1" applyFont="1" applyNumberFormat="1" applyProtection="1" borderId="1" fillId="0" fontId="4" numFmtId="3" xfId="0"/>
    <xf applyFont="1" applyNumberFormat="1" applyProtection="1" borderId="0" fillId="0" fontId="4" numFmtId="3" xfId="0"/>
    <xf applyFont="1" applyProtection="1" borderId="0" fillId="0" fontId="4" numFmtId="0" xfId="0"/>
    <xf applyBorder="1" applyFont="1" applyProtection="1" borderId="1" fillId="0" fontId="4" numFmtId="0" xfId="0">
      <protection locked="0"/>
    </xf>
    <xf applyBorder="1" applyFont="1" borderId="1" fillId="0" fontId="4" numFmtId="0" xfId="0"/>
    <xf applyBorder="1" applyFont="1" applyNumberFormat="1" borderId="1" fillId="0" fontId="4" numFmtId="3" xfId="0"/>
    <xf applyBorder="1" applyFill="1" applyFont="1" applyNumberFormat="1" borderId="0" fillId="0" fontId="4" numFmtId="1" xfId="2"/>
    <xf applyAlignment="1" applyBorder="1" applyFill="1" applyFont="1" borderId="0" fillId="0" fontId="4" numFmtId="169" xfId="2">
      <alignment horizontal="right"/>
    </xf>
    <xf applyBorder="1" applyFill="1" applyFont="1" borderId="1" fillId="0" fontId="4" numFmtId="0" xfId="0"/>
    <xf applyBorder="1" applyFill="1" applyFont="1" applyNumberFormat="1" borderId="1" fillId="0" fontId="4" numFmtId="1" xfId="2"/>
    <xf applyAlignment="1" applyBorder="1" applyFill="1" applyFont="1" applyNumberFormat="1" borderId="0" fillId="0" fontId="4" numFmtId="1" xfId="2">
      <alignment horizontal="right"/>
    </xf>
    <xf applyBorder="1" applyFill="1" applyFont="1" applyNumberFormat="1" borderId="1" fillId="0" fontId="4" numFmtId="1" xfId="0"/>
    <xf applyBorder="1" applyFill="1" applyFont="1" applyNumberFormat="1" borderId="1" fillId="0" fontId="4" numFmtId="176" xfId="1"/>
    <xf applyBorder="1" applyFill="1" applyFont="1" applyNumberFormat="1" borderId="1" fillId="0" fontId="4" numFmtId="3" xfId="2"/>
    <xf applyBorder="1" applyFill="1" applyFont="1" applyNumberFormat="1" borderId="1" fillId="0" fontId="4" numFmtId="173" xfId="0"/>
    <xf applyBorder="1" applyFill="1" applyFont="1" applyNumberFormat="1" borderId="0" fillId="0" fontId="4" numFmtId="169" xfId="0"/>
    <xf applyFont="1" borderId="0" fillId="0" fontId="8" numFmtId="0" xfId="0"/>
    <xf applyAlignment="1" applyBorder="1" applyFill="1" applyFont="1" applyNumberFormat="1" borderId="0" fillId="0" fontId="8" numFmtId="2" xfId="0">
      <alignment horizontal="left"/>
    </xf>
    <xf applyAlignment="1" applyBorder="1" applyFill="1" applyFont="1" applyNumberFormat="1" borderId="0" fillId="0" fontId="4" numFmtId="2" xfId="0">
      <alignment horizontal="left"/>
    </xf>
    <xf applyBorder="1" applyFill="1" applyFont="1" applyNumberFormat="1" borderId="0" fillId="0" fontId="8" numFmtId="2" xfId="0"/>
    <xf applyBorder="1" applyFill="1" applyFont="1" applyNumberFormat="1" borderId="0" fillId="0" fontId="4" numFmtId="2" xfId="0"/>
    <xf applyFill="1" applyFont="1" applyNumberFormat="1" borderId="0" fillId="0" fontId="4" numFmtId="2" xfId="0"/>
    <xf applyAlignment="1" applyBorder="1" applyFill="1" applyFont="1" applyNumberFormat="1" borderId="0" fillId="0" fontId="4" numFmtId="2" xfId="0">
      <alignment horizontal="right"/>
    </xf>
    <xf applyBorder="1" applyFill="1" applyFont="1" applyNumberFormat="1" borderId="1" fillId="0" fontId="4" numFmtId="2" xfId="0"/>
    <xf applyBorder="1" applyFill="1" applyFont="1" borderId="0" fillId="0" fontId="36" numFmtId="0" xfId="0"/>
    <xf applyFill="1" applyFont="1" borderId="0" fillId="0" fontId="4" numFmtId="0" xfId="0"/>
    <xf applyBorder="1" applyFill="1" applyFont="1" applyProtection="1" borderId="1" fillId="0" fontId="4" numFmtId="0" xfId="0">
      <protection locked="0"/>
    </xf>
    <xf applyFill="1" applyFont="1" applyProtection="1" borderId="0" fillId="0" fontId="4" numFmtId="0" xfId="0"/>
    <xf applyAlignment="1" applyFill="1" applyFont="1" applyProtection="1" borderId="0" fillId="5" fontId="4" numFmtId="0" xfId="0">
      <alignment horizontal="center"/>
    </xf>
    <xf applyAlignment="1" applyFont="1" applyProtection="1" borderId="0" fillId="0" fontId="4" numFmtId="0" xfId="0">
      <alignment horizontal="center"/>
    </xf>
    <xf applyAlignment="1" applyBorder="1" applyFont="1" applyProtection="1" borderId="2" fillId="0" fontId="4" numFmtId="0" xfId="0">
      <alignment horizontal="right"/>
    </xf>
    <xf applyAlignment="1" applyFont="1" applyProtection="1" borderId="0" fillId="0" fontId="4" numFmtId="0" xfId="0">
      <alignment horizontal="right"/>
    </xf>
    <xf applyAlignment="1" applyBorder="1" applyFill="1" applyFont="1" applyNumberFormat="1" borderId="0" fillId="0" fontId="4" numFmtId="1" xfId="0">
      <alignment horizontal="right"/>
    </xf>
    <xf applyBorder="1" applyFont="1" applyNumberFormat="1" applyProtection="1" borderId="1" fillId="0" fontId="5" numFmtId="3" xfId="2">
      <protection locked="0"/>
    </xf>
    <xf applyBorder="1" applyFill="1" applyFont="1" applyNumberFormat="1" applyProtection="1" borderId="1" fillId="0" fontId="5" numFmtId="3" xfId="2">
      <protection locked="0"/>
    </xf>
    <xf applyBorder="1" applyFill="1" applyFont="1" applyNumberFormat="1" applyProtection="1" borderId="9" fillId="5" fontId="5" numFmtId="3" xfId="0">
      <protection locked="0"/>
    </xf>
    <xf applyBorder="1" applyFill="1" applyFont="1" applyNumberFormat="1" applyProtection="1" borderId="16" fillId="0" fontId="5" numFmtId="3" xfId="2">
      <protection locked="0"/>
    </xf>
    <xf applyBorder="1" applyFont="1" applyNumberFormat="1" applyProtection="1" borderId="16" fillId="0" fontId="5" numFmtId="3" xfId="2">
      <protection locked="0"/>
    </xf>
    <xf applyBorder="1" applyFill="1" applyFont="1" applyNumberFormat="1" applyProtection="1" borderId="0" fillId="5" fontId="5" numFmtId="3" xfId="0">
      <protection locked="0"/>
    </xf>
    <xf applyBorder="1" applyFill="1" applyFont="1" applyNumberFormat="1" applyProtection="1" borderId="1" fillId="0" fontId="5" numFmtId="3" xfId="0">
      <protection locked="0"/>
    </xf>
    <xf applyFill="1" applyNumberFormat="1" applyProtection="1" borderId="0" fillId="5" fontId="0" numFmtId="3" xfId="0">
      <protection locked="0"/>
    </xf>
    <xf applyAlignment="1" applyBorder="1" applyFill="1" applyFont="1" applyProtection="1" borderId="1" fillId="6" fontId="2" numFmtId="0" xfId="0">
      <alignment horizontal="center"/>
      <protection locked="0"/>
    </xf>
    <xf applyFont="1" applyProtection="1" borderId="0" fillId="0" fontId="39" numFmtId="0" xfId="0"/>
    <xf applyFill="1" applyFont="1" applyProtection="1" borderId="0" fillId="5" fontId="39" numFmtId="0" xfId="0"/>
    <xf applyFill="1" applyFont="1" applyProtection="1" borderId="0" fillId="0" fontId="39" numFmtId="0" xfId="0"/>
    <xf applyBorder="1" applyFill="1" applyFont="1" applyProtection="1" borderId="0" fillId="4" fontId="39" numFmtId="0" xfId="0"/>
    <xf applyAlignment="1" applyBorder="1" applyFill="1" applyFont="1" applyProtection="1" borderId="0" fillId="4" fontId="40" numFmtId="0" xfId="0">
      <alignment horizontal="left"/>
    </xf>
    <xf applyAlignment="1" applyBorder="1" applyFill="1" applyFont="1" applyProtection="1" borderId="18" fillId="0" fontId="40" numFmtId="0" xfId="0">
      <alignment horizontal="center"/>
    </xf>
    <xf applyAlignment="1" applyBorder="1" applyFill="1" applyFont="1" applyProtection="1" borderId="0" fillId="4" fontId="39" numFmtId="0" xfId="0">
      <alignment horizontal="left"/>
    </xf>
    <xf applyAlignment="1" applyBorder="1" applyFill="1" applyFont="1" applyProtection="1" borderId="18" fillId="0" fontId="40" numFmtId="0" quotePrefix="1" xfId="0">
      <alignment horizontal="center"/>
    </xf>
    <xf applyAlignment="1" applyBorder="1" applyFill="1" applyFont="1" applyProtection="1" borderId="0" fillId="4" fontId="41" numFmtId="0" xfId="0">
      <alignment horizontal="right"/>
    </xf>
    <xf applyBorder="1" applyFont="1" applyNumberFormat="1" applyProtection="1" borderId="18" fillId="0" fontId="39" numFmtId="3" xfId="0">
      <protection locked="0"/>
    </xf>
    <xf applyBorder="1" applyFill="1" applyFont="1" applyNumberFormat="1" applyProtection="1" borderId="18" fillId="0" fontId="39" numFmtId="3" xfId="0">
      <protection locked="0"/>
    </xf>
    <xf applyAlignment="1" applyBorder="1" applyFill="1" applyFont="1" applyProtection="1" borderId="0" fillId="4" fontId="39" numFmtId="0" xfId="0">
      <alignment horizontal="right"/>
    </xf>
    <xf applyAlignment="1" applyBorder="1" applyFill="1" applyFont="1" applyProtection="1" borderId="0" fillId="4" fontId="41" numFmtId="0" xfId="0">
      <alignment horizontal="center"/>
    </xf>
    <xf applyBorder="1" applyFill="1" applyFont="1" applyProtection="1" borderId="0" fillId="4" fontId="41" numFmtId="0" xfId="0"/>
    <xf applyBorder="1" applyFill="1" applyFont="1" applyProtection="1" borderId="0" fillId="4" fontId="9" numFmtId="0" xfId="0"/>
    <xf applyAlignment="1" applyFill="1" applyFont="1" applyProtection="1" borderId="0" fillId="5" fontId="39" numFmtId="0" xfId="0">
      <alignment horizontal="right"/>
    </xf>
    <xf applyBorder="1" applyFill="1" applyFont="1" applyProtection="1" borderId="19" fillId="4" fontId="40" numFmtId="0" xfId="0"/>
    <xf applyBorder="1" applyFill="1" applyFont="1" applyProtection="1" borderId="20" fillId="4" fontId="39" numFmtId="0" xfId="0"/>
    <xf applyBorder="1" applyFill="1" applyFont="1" applyProtection="1" borderId="21" fillId="4" fontId="39" numFmtId="0" xfId="0"/>
    <xf applyBorder="1" applyFill="1" applyFont="1" applyProtection="1" borderId="22" fillId="4" fontId="39" numFmtId="0" xfId="0"/>
    <xf applyBorder="1" applyFill="1" applyFont="1" applyProtection="1" borderId="23" fillId="4" fontId="39" numFmtId="0" xfId="0"/>
    <xf applyAlignment="1" applyBorder="1" applyFill="1" applyFont="1" applyProtection="1" borderId="22" fillId="4" fontId="41" numFmtId="0" xfId="0">
      <alignment horizontal="right"/>
    </xf>
    <xf applyAlignment="1" applyBorder="1" applyFill="1" applyFont="1" applyProtection="1" borderId="22" fillId="4" fontId="39" numFmtId="0" xfId="0">
      <alignment horizontal="right"/>
    </xf>
    <xf applyBorder="1" applyFill="1" applyFont="1" applyProtection="1" borderId="22" fillId="4" fontId="41" numFmtId="0" xfId="0"/>
    <xf applyBorder="1" applyFill="1" applyFont="1" applyProtection="1" borderId="24" fillId="4" fontId="39" numFmtId="0" xfId="0"/>
    <xf applyBorder="1" applyFill="1" applyFont="1" applyProtection="1" borderId="25" fillId="4" fontId="39" numFmtId="0" xfId="0"/>
    <xf applyBorder="1" applyFill="1" applyFont="1" applyProtection="1" borderId="26" fillId="4" fontId="39" numFmtId="0" xfId="0"/>
    <xf applyAlignment="1" applyBorder="1" applyFill="1" applyFont="1" applyProtection="1" borderId="18" fillId="0" fontId="8" numFmtId="0" xfId="0">
      <alignment horizontal="center"/>
    </xf>
    <xf applyBorder="1" applyFont="1" applyNumberFormat="1" applyProtection="1" borderId="18" fillId="0" fontId="4" numFmtId="3" xfId="0">
      <protection locked="0"/>
    </xf>
    <xf applyBorder="1" applyFont="1" applyNumberFormat="1" applyProtection="1" borderId="18" fillId="0" fontId="4" numFmtId="2" xfId="0">
      <protection locked="0"/>
    </xf>
    <xf applyBorder="1" applyFont="1" applyProtection="1" borderId="18" fillId="0" fontId="4" numFmtId="0" xfId="0">
      <protection locked="0"/>
    </xf>
    <xf applyAlignment="1" applyBorder="1" applyFill="1" applyFont="1" applyProtection="1" borderId="28" fillId="0" fontId="8" numFmtId="0" xfId="0">
      <alignment horizontal="center"/>
    </xf>
    <xf applyBorder="1" applyFont="1" applyNumberFormat="1" applyProtection="1" borderId="28" fillId="0" fontId="4" numFmtId="3" xfId="0">
      <protection locked="0"/>
    </xf>
    <xf applyAlignment="1" applyBorder="1" applyFill="1" applyFont="1" applyProtection="1" borderId="28" fillId="0" fontId="8" numFmtId="0" quotePrefix="1" xfId="0">
      <alignment horizontal="center"/>
    </xf>
    <xf applyBorder="1" applyNumberFormat="1" applyProtection="1" borderId="28" fillId="0" fontId="0" numFmtId="3" xfId="0">
      <protection locked="0"/>
    </xf>
    <xf applyAlignment="1" applyBorder="1" applyFill="1" applyFont="1" applyProtection="1" borderId="0" fillId="4" fontId="40" numFmtId="0" xfId="0">
      <alignment horizontal="right"/>
    </xf>
    <xf applyBorder="1" applyFill="1" applyFont="1" applyProtection="1" borderId="0" fillId="4" fontId="40" numFmtId="0" xfId="0"/>
    <xf applyBorder="1" applyFill="1" applyFont="1" applyNumberFormat="1" applyProtection="1" borderId="0" fillId="4" fontId="39" numFmtId="1" xfId="0"/>
    <xf applyAlignment="1" applyBorder="1" applyFill="1" applyFont="1" borderId="1" fillId="0" fontId="7" numFmtId="0" xfId="0">
      <alignment horizontal="center"/>
    </xf>
    <xf applyAlignment="1" applyBorder="1" applyFill="1" applyFont="1" applyProtection="1" borderId="20" fillId="4" fontId="40" numFmtId="0" xfId="0">
      <alignment horizontal="right"/>
    </xf>
    <xf applyBorder="1" applyFill="1" applyFont="1" applyProtection="1" borderId="18" fillId="0" fontId="39" numFmtId="0" xfId="0">
      <protection locked="0"/>
    </xf>
    <xf applyBorder="1" applyFill="1" applyFont="1" applyNumberFormat="1" applyProtection="1" borderId="18" fillId="0" fontId="39" numFmtId="2" xfId="0">
      <protection locked="0"/>
    </xf>
    <xf applyBorder="1" applyFill="1" applyFont="1" applyProtection="1" borderId="22" fillId="4" fontId="40" numFmtId="0" xfId="0"/>
    <xf applyFont="1" borderId="0" fillId="0" fontId="39" numFmtId="0" xfId="0"/>
    <xf applyBorder="1" applyFill="1" applyFont="1" applyProtection="1" borderId="0" fillId="4" fontId="4" numFmtId="0" xfId="0"/>
    <xf applyBorder="1" applyFill="1" applyFont="1" applyProtection="1" borderId="22" fillId="4" fontId="8" numFmtId="0" xfId="0"/>
    <xf applyBorder="1" applyNumberFormat="1" applyProtection="1" borderId="18" fillId="0" fontId="0" numFmtId="3" xfId="0">
      <protection locked="0"/>
    </xf>
    <xf applyBorder="1" applyFill="1" applyFont="1" applyNumberFormat="1" applyProtection="1" borderId="18" fillId="0" fontId="4" numFmtId="2" xfId="0">
      <protection locked="0"/>
    </xf>
    <xf applyBorder="1" applyFill="1" applyFont="1" applyProtection="1" borderId="19" fillId="4" fontId="8" numFmtId="0" xfId="0"/>
    <xf applyBorder="1" applyFill="1" applyFont="1" applyProtection="1" borderId="24" fillId="4" fontId="8" numFmtId="0" xfId="0"/>
    <xf applyBorder="1" applyFill="1" applyFont="1" applyProtection="1" borderId="25" fillId="4" fontId="40" numFmtId="0" xfId="0"/>
    <xf applyAlignment="1" applyBorder="1" applyFill="1" applyFont="1" applyProtection="1" borderId="25" fillId="4" fontId="40" numFmtId="0" xfId="0">
      <alignment horizontal="right"/>
    </xf>
    <xf applyFill="1" applyFont="1" borderId="0" fillId="4" fontId="4" numFmtId="0" xfId="0"/>
    <xf applyFill="1" applyFont="1" borderId="0" fillId="4" fontId="39" numFmtId="0" xfId="0"/>
    <xf applyFill="1" applyFont="1" borderId="0" fillId="7" fontId="4" numFmtId="0" xfId="0"/>
    <xf applyAlignment="1" applyFill="1" applyFont="1" applyProtection="1" borderId="0" fillId="5" fontId="39" numFmtId="0" xfId="0">
      <alignment horizontal="center"/>
    </xf>
    <xf applyAlignment="1" applyBorder="1" applyFill="1" applyFont="1" applyProtection="1" borderId="20" fillId="4" fontId="39" numFmtId="0" xfId="0">
      <alignment horizontal="center"/>
    </xf>
    <xf applyAlignment="1" applyBorder="1" applyFill="1" applyFont="1" applyProtection="1" borderId="0" fillId="4" fontId="39" numFmtId="0" xfId="0">
      <alignment horizontal="center"/>
    </xf>
    <xf applyAlignment="1" applyBorder="1" applyFill="1" applyFont="1" applyProtection="1" borderId="25" fillId="4" fontId="39" numFmtId="0" xfId="0">
      <alignment horizontal="center"/>
    </xf>
    <xf applyAlignment="1" applyFont="1" borderId="0" fillId="0" fontId="39" numFmtId="0" xfId="0">
      <alignment horizontal="center"/>
    </xf>
    <xf applyAlignment="1" applyBorder="1" applyFill="1" applyFont="1" borderId="18" fillId="0" fontId="8" numFmtId="0" quotePrefix="1" xfId="0">
      <alignment horizontal="center"/>
    </xf>
    <xf applyBorder="1" applyFont="1" applyNumberFormat="1" applyProtection="1" borderId="18" fillId="0" fontId="4" numFmtId="176" xfId="1">
      <protection locked="0"/>
    </xf>
    <xf applyFill="1" applyFont="1" applyProtection="1" borderId="0" fillId="0" fontId="39" numFmtId="0" xfId="0">
      <protection locked="0"/>
    </xf>
    <xf applyAlignment="1" applyBorder="1" applyFill="1" applyFont="1" applyNumberFormat="1" applyProtection="1" borderId="0" fillId="4" fontId="39" numFmtId="171" xfId="0">
      <alignment horizontal="right"/>
    </xf>
    <xf applyAlignment="1" applyBorder="1" applyFill="1" applyFont="1" applyProtection="1" borderId="0" fillId="4" fontId="40" numFmtId="0" xfId="0">
      <alignment horizontal="center"/>
    </xf>
    <xf applyBorder="1" applyFill="1" applyFont="1" applyProtection="1" borderId="0" fillId="5" fontId="39" numFmtId="0" xfId="0"/>
    <xf applyAlignment="1" applyBorder="1" applyFill="1" applyFont="1" applyNumberFormat="1" applyProtection="1" borderId="0" fillId="4" fontId="39" numFmtId="1" xfId="0">
      <alignment horizontal="left"/>
    </xf>
    <xf applyAlignment="1" applyBorder="1" applyFill="1" applyFont="1" applyNumberFormat="1" applyProtection="1" borderId="18" fillId="0" fontId="40" numFmtId="1" quotePrefix="1" xfId="0">
      <alignment horizontal="center"/>
    </xf>
    <xf applyBorder="1" applyFill="1" applyFont="1" applyProtection="1" borderId="19" fillId="4" fontId="44" numFmtId="0" xfId="0"/>
    <xf applyAlignment="1" applyBorder="1" applyFill="1" applyFont="1" applyProtection="1" borderId="22" fillId="4" fontId="40" numFmtId="0" xfId="0">
      <alignment horizontal="center"/>
    </xf>
    <xf applyAlignment="1" applyBorder="1" applyFill="1" applyFont="1" applyNumberFormat="1" applyProtection="1" borderId="22" fillId="4" fontId="39" numFmtId="171" xfId="0">
      <alignment horizontal="center"/>
    </xf>
    <xf applyAlignment="1" applyBorder="1" applyFill="1" applyFont="1" applyNumberFormat="1" applyProtection="1" borderId="22" fillId="4" fontId="39" numFmtId="1" xfId="0">
      <alignment horizontal="center"/>
    </xf>
    <xf applyAlignment="1" applyBorder="1" applyFill="1" applyFont="1" applyProtection="1" borderId="22" fillId="4" fontId="39" numFmtId="0" xfId="0">
      <alignment horizontal="center"/>
    </xf>
    <xf applyAlignment="1" applyBorder="1" applyFill="1" applyFont="1" applyNumberFormat="1" applyProtection="1" borderId="25" fillId="4" fontId="39" numFmtId="171" xfId="0">
      <alignment horizontal="right"/>
    </xf>
    <xf applyAlignment="1" applyBorder="1" applyFill="1" applyFont="1" applyProtection="1" borderId="25" fillId="4" fontId="39" numFmtId="0" xfId="0">
      <alignment horizontal="left"/>
    </xf>
    <xf applyBorder="1" applyFill="1" applyFont="1" applyNumberFormat="1" applyProtection="1" borderId="26" fillId="4" fontId="39" numFmtId="1" xfId="0"/>
    <xf applyAlignment="1" applyBorder="1" applyFill="1" applyFont="1" applyProtection="1" borderId="0" fillId="4" fontId="4" numFmtId="0" xfId="0">
      <alignment horizontal="center"/>
    </xf>
    <xf applyBorder="1" applyFill="1" applyFont="1" borderId="0" fillId="4" fontId="8" numFmtId="0" xfId="0"/>
    <xf applyAlignment="1" applyBorder="1" applyFill="1" applyFont="1" borderId="0" fillId="4" fontId="4" numFmtId="0" xfId="0">
      <alignment horizontal="center"/>
    </xf>
    <xf applyBorder="1" applyFill="1" applyFont="1" borderId="0" fillId="4" fontId="4" numFmtId="0" xfId="0"/>
    <xf applyAlignment="1" applyBorder="1" applyFill="1" applyFont="1" borderId="0" fillId="4" fontId="4" numFmtId="0" xfId="0">
      <alignment horizontal="right"/>
    </xf>
    <xf applyAlignment="1" applyBorder="1" applyFill="1" applyFont="1" borderId="0" fillId="4" fontId="4" numFmtId="0" xfId="0">
      <alignment horizontal="left"/>
    </xf>
    <xf applyAlignment="1" applyBorder="1" applyFill="1" applyFont="1" borderId="0" fillId="4" fontId="4" numFmtId="0" quotePrefix="1" xfId="0">
      <alignment horizontal="right"/>
    </xf>
    <xf applyAlignment="1" applyBorder="1" applyFill="1" applyFont="1" applyProtection="1" borderId="0" fillId="4" fontId="4" numFmtId="0" xfId="0">
      <alignment horizontal="right"/>
    </xf>
    <xf applyAlignment="1" applyBorder="1" applyFill="1" applyFont="1" borderId="18" fillId="0" fontId="8" numFmtId="0" xfId="0">
      <alignment horizontal="center"/>
    </xf>
    <xf applyBorder="1" applyFill="1" applyFont="1" applyProtection="1" borderId="18" fillId="0" fontId="4" numFmtId="0" xfId="0">
      <protection locked="0"/>
    </xf>
    <xf applyBorder="1" applyFill="1" applyFont="1" applyProtection="1" borderId="20" fillId="4" fontId="4" numFmtId="0" xfId="0"/>
    <xf applyAlignment="1" applyBorder="1" applyFill="1" applyFont="1" applyProtection="1" borderId="20" fillId="4" fontId="4" numFmtId="0" xfId="0">
      <alignment horizontal="center"/>
    </xf>
    <xf applyBorder="1" applyFill="1" applyFont="1" applyProtection="1" borderId="20" fillId="4" fontId="8" numFmtId="0" xfId="0"/>
    <xf applyBorder="1" applyFill="1" applyFont="1" applyProtection="1" borderId="22" fillId="4" fontId="4" numFmtId="0" xfId="0"/>
    <xf applyBorder="1" applyFill="1" applyFont="1" applyProtection="1" borderId="23" fillId="4" fontId="4" numFmtId="0" xfId="0"/>
    <xf applyBorder="1" applyFill="1" applyFont="1" borderId="23" fillId="4" fontId="4" numFmtId="0" xfId="0"/>
    <xf applyBorder="1" applyFill="1" applyFont="1" applyProtection="1" borderId="24" fillId="4" fontId="4" numFmtId="0" xfId="0"/>
    <xf applyBorder="1" applyFill="1" applyFont="1" applyProtection="1" borderId="25" fillId="4" fontId="4" numFmtId="0" xfId="0"/>
    <xf applyBorder="1" applyFill="1" applyFont="1" applyProtection="1" borderId="26" fillId="4" fontId="4" numFmtId="0" xfId="0"/>
    <xf applyAlignment="1" applyBorder="1" applyFill="1" applyFont="1" applyProtection="1" borderId="23" fillId="4" fontId="40" numFmtId="0" xfId="0">
      <alignment horizontal="left"/>
    </xf>
    <xf applyAlignment="1" applyBorder="1" applyFill="1" applyFont="1" applyProtection="1" borderId="23" fillId="4" fontId="42" numFmtId="0" xfId="0">
      <alignment horizontal="left"/>
    </xf>
    <xf applyBorder="1" applyNumberFormat="1" applyProtection="1" borderId="18" fillId="0" fontId="0" numFmtId="2" xfId="0">
      <protection locked="0"/>
    </xf>
    <xf applyBorder="1" applyFill="1" applyFont="1" applyProtection="1" borderId="0" fillId="8" fontId="4" numFmtId="0" xfId="0"/>
    <xf applyAlignment="1" applyBorder="1" applyFill="1" applyFont="1" applyProtection="1" borderId="0" fillId="8" fontId="4" numFmtId="0" xfId="0">
      <alignment horizontal="right"/>
    </xf>
    <xf applyAlignment="1" applyBorder="1" applyFill="1" applyFont="1" applyProtection="1" borderId="0" fillId="8" fontId="4" numFmtId="0" xfId="0">
      <alignment horizontal="left"/>
    </xf>
    <xf applyBorder="1" applyFill="1" applyFont="1" applyNumberFormat="1" applyProtection="1" borderId="18" fillId="0" fontId="4" numFmtId="3" xfId="0">
      <protection locked="0"/>
    </xf>
    <xf applyAlignment="1" applyBorder="1" applyFill="1" applyFont="1" applyNumberFormat="1" applyProtection="1" borderId="18" fillId="0" fontId="4" numFmtId="3" xfId="0">
      <protection locked="0"/>
    </xf>
    <xf applyAlignment="1" applyBorder="1" applyFill="1" applyFont="1" applyProtection="1" borderId="19" fillId="8" fontId="8" numFmtId="0" xfId="0">
      <alignment horizontal="left"/>
    </xf>
    <xf applyBorder="1" applyFill="1" applyFont="1" applyProtection="1" borderId="20" fillId="8" fontId="4" numFmtId="0" xfId="0"/>
    <xf applyAlignment="1" applyBorder="1" applyFill="1" applyFont="1" applyProtection="1" borderId="20" fillId="8" fontId="4" numFmtId="0" xfId="0">
      <alignment horizontal="right"/>
    </xf>
    <xf applyBorder="1" applyFill="1" applyFont="1" applyProtection="1" borderId="23" fillId="8" fontId="4" numFmtId="0" xfId="0"/>
    <xf applyAlignment="1" applyBorder="1" applyFill="1" applyFont="1" applyProtection="1" borderId="23" fillId="8" fontId="4" numFmtId="0" xfId="0">
      <alignment horizontal="right"/>
    </xf>
    <xf applyBorder="1" applyFill="1" applyFont="1" applyProtection="1" borderId="25" fillId="8" fontId="4" numFmtId="0" xfId="0"/>
    <xf applyBorder="1" applyFill="1" applyFont="1" applyProtection="1" borderId="26" fillId="8" fontId="4" numFmtId="0" xfId="0"/>
    <xf applyAlignment="1" applyBorder="1" applyFill="1" applyFont="1" applyProtection="1" borderId="23" fillId="8" fontId="4" numFmtId="0" xfId="0">
      <alignment horizontal="left"/>
    </xf>
    <xf applyAlignment="1" applyBorder="1" applyFill="1" applyFont="1" applyProtection="1" borderId="18" fillId="0" fontId="4" numFmtId="0" xfId="0">
      <alignment horizontal="center"/>
    </xf>
    <xf applyAlignment="1" applyBorder="1" applyFill="1" applyFont="1" applyProtection="1" borderId="22" fillId="8" fontId="4" numFmtId="0" xfId="0">
      <alignment horizontal="center"/>
    </xf>
    <xf applyAlignment="1" applyBorder="1" applyFill="1" applyFont="1" applyProtection="1" borderId="0" fillId="8" fontId="4" numFmtId="0" xfId="0">
      <alignment horizontal="center"/>
    </xf>
    <xf applyBorder="1" applyFill="1" applyFont="1" applyNumberFormat="1" applyProtection="1" borderId="23" fillId="8" fontId="4" numFmtId="3" xfId="0"/>
    <xf applyBorder="1" applyFill="1" applyFont="1" applyNumberFormat="1" applyProtection="1" borderId="26" fillId="8" fontId="4" numFmtId="3" xfId="0"/>
    <xf applyAlignment="1" applyBorder="1" applyFill="1" applyFont="1" applyProtection="1" borderId="20" fillId="8" fontId="4" numFmtId="0" xfId="0">
      <alignment horizontal="center"/>
    </xf>
    <xf applyAlignment="1" applyBorder="1" applyFill="1" applyFont="1" applyProtection="1" borderId="25" fillId="8" fontId="4" numFmtId="0" xfId="0">
      <alignment horizontal="center"/>
    </xf>
    <xf applyAlignment="1" applyBorder="1" applyFont="1" applyProtection="1" borderId="1" fillId="0" fontId="4" numFmtId="0" xfId="0">
      <alignment horizontal="right"/>
    </xf>
    <xf applyAlignment="1" applyBorder="1" applyFill="1" applyFont="1" applyProtection="1" borderId="24" fillId="8" fontId="4" numFmtId="0" xfId="0">
      <alignment horizontal="center"/>
    </xf>
    <xf applyBorder="1" applyFont="1" applyNumberFormat="1" applyProtection="1" borderId="18" fillId="0" fontId="39" numFmtId="2" xfId="0">
      <protection locked="0"/>
    </xf>
    <xf applyAlignment="1" applyBorder="1" applyFill="1" applyFont="1" applyProtection="1" borderId="22" fillId="8" fontId="8" numFmtId="0" xfId="0">
      <alignment horizontal="left"/>
    </xf>
    <xf applyAlignment="1" applyBorder="1" applyFill="1" applyFont="1" applyProtection="1" borderId="23" fillId="8" fontId="4" numFmtId="0" xfId="0">
      <alignment horizontal="center"/>
    </xf>
    <xf applyAlignment="1" applyBorder="1" applyFill="1" applyFont="1" applyProtection="1" borderId="22" fillId="8" fontId="4" numFmtId="0" xfId="0">
      <alignment horizontal="left"/>
    </xf>
    <xf applyAlignment="1" applyBorder="1" applyFill="1" applyFont="1" applyProtection="1" borderId="24" fillId="8" fontId="4" numFmtId="0" xfId="0">
      <alignment horizontal="left"/>
    </xf>
    <xf applyAlignment="1" applyBorder="1" applyFill="1" applyFont="1" applyProtection="1" borderId="26" fillId="8" fontId="4" numFmtId="0" xfId="0">
      <alignment horizontal="center"/>
    </xf>
    <xf applyFill="1" applyFont="1" applyProtection="1" borderId="0" fillId="0" fontId="4" numFmtId="0" xfId="0">
      <protection locked="0"/>
    </xf>
    <xf applyAlignment="1" applyBorder="1" applyFill="1" applyFont="1" applyProtection="1" borderId="0" fillId="4" fontId="4" numFmtId="0" xfId="0">
      <alignment horizontal="left"/>
    </xf>
    <xf applyBorder="1" applyFill="1" applyFont="1" applyProtection="1" borderId="0" fillId="4" fontId="4" numFmtId="0" xfId="0">
      <protection locked="0"/>
    </xf>
    <xf applyAlignment="1" applyBorder="1" applyFill="1" applyFont="1" applyProtection="1" borderId="19" fillId="4" fontId="8" numFmtId="0" xfId="0">
      <alignment horizontal="left"/>
    </xf>
    <xf applyAlignment="1" applyBorder="1" applyFill="1" applyFont="1" applyProtection="1" borderId="22" fillId="4" fontId="4" numFmtId="0" xfId="0">
      <alignment horizontal="center"/>
    </xf>
    <xf applyAlignment="1" applyBorder="1" applyFill="1" applyFont="1" applyProtection="1" borderId="23" fillId="4" fontId="4" numFmtId="0" xfId="0">
      <alignment horizontal="right"/>
    </xf>
    <xf applyAlignment="1" applyBorder="1" applyFill="1" applyFont="1" applyProtection="1" borderId="24" fillId="4" fontId="4" numFmtId="0" xfId="0">
      <alignment horizontal="center"/>
    </xf>
    <xf applyAlignment="1" applyBorder="1" applyFill="1" applyFont="1" applyProtection="1" borderId="25" fillId="4" fontId="4" numFmtId="0" xfId="0">
      <alignment horizontal="left"/>
    </xf>
    <xf applyAlignment="1" applyBorder="1" applyFill="1" applyFont="1" applyProtection="1" borderId="18" fillId="0" fontId="4" numFmtId="0" quotePrefix="1" xfId="0">
      <alignment horizontal="center"/>
    </xf>
    <xf applyBorder="1" applyFill="1" applyFont="1" applyProtection="1" borderId="19" fillId="4" fontId="7" numFmtId="0" xfId="0"/>
    <xf applyAlignment="1" applyBorder="1" applyFill="1" applyFont="1" applyProtection="1" borderId="22" fillId="4" fontId="4" numFmtId="0" xfId="0">
      <alignment horizontal="right"/>
    </xf>
    <xf applyAlignment="1" applyBorder="1" applyFill="1" applyFont="1" applyProtection="1" borderId="25" fillId="4" fontId="4" numFmtId="0" xfId="0">
      <alignment horizontal="right"/>
    </xf>
    <xf applyAlignment="1" applyBorder="1" applyFill="1" applyFont="1" applyProtection="1" borderId="26" fillId="4" fontId="4" numFmtId="0" xfId="0">
      <alignment horizontal="right"/>
    </xf>
    <xf applyBorder="1" applyFill="1" applyFont="1" applyProtection="1" borderId="19" fillId="4" fontId="4" numFmtId="0" xfId="0"/>
    <xf applyAlignment="1" applyBorder="1" applyFill="1" applyFont="1" applyProtection="1" borderId="24" fillId="4" fontId="4" numFmtId="0" xfId="0">
      <alignment horizontal="right"/>
    </xf>
    <xf applyAlignment="1" applyBorder="1" applyFill="1" applyFont="1" applyNumberFormat="1" applyProtection="1" borderId="18" fillId="0" fontId="4" numFmtId="3" xfId="2">
      <alignment horizontal="right"/>
      <protection locked="0"/>
    </xf>
    <xf applyAlignment="1" applyBorder="1" applyFill="1" applyFont="1" applyProtection="1" borderId="23" fillId="4" fontId="4" numFmtId="0" xfId="0">
      <alignment horizontal="left"/>
    </xf>
    <xf applyBorder="1" applyFill="1" applyFont="1" applyNumberFormat="1" applyProtection="1" borderId="25" fillId="4" fontId="4" numFmtId="3" xfId="0"/>
    <xf applyBorder="1" applyFill="1" applyFont="1" applyProtection="1" borderId="0" fillId="0" fontId="39" numFmtId="0" xfId="0"/>
    <xf applyBorder="1" applyFill="1" applyFont="1" applyProtection="1" borderId="0" fillId="0" fontId="40" numFmtId="0" xfId="0"/>
    <xf applyAlignment="1" applyBorder="1" applyFill="1" applyFont="1" applyProtection="1" borderId="22" fillId="8" fontId="40" numFmtId="0" xfId="0">
      <alignment horizontal="left"/>
    </xf>
    <xf applyAlignment="1" applyBorder="1" applyFill="1" applyFont="1" applyProtection="1" borderId="0" fillId="8" fontId="39" numFmtId="0" xfId="0">
      <alignment horizontal="center"/>
    </xf>
    <xf applyAlignment="1" applyBorder="1" applyFill="1" applyFont="1" applyProtection="1" borderId="23" fillId="8" fontId="39" numFmtId="0" xfId="0">
      <alignment horizontal="center"/>
    </xf>
    <xf applyBorder="1" applyFill="1" applyFont="1" applyNumberFormat="1" applyProtection="1" borderId="0" fillId="0" fontId="39" numFmtId="3" xfId="0"/>
    <xf applyAlignment="1" applyBorder="1" applyFill="1" applyFont="1" applyNumberFormat="1" applyProtection="1" borderId="0" fillId="0" fontId="39" numFmtId="3" xfId="2">
      <alignment horizontal="right"/>
    </xf>
    <xf applyAlignment="1" applyBorder="1" applyFill="1" applyFont="1" applyProtection="1" borderId="0" fillId="0" fontId="39" numFmtId="0" xfId="0">
      <alignment horizontal="left"/>
    </xf>
    <xf applyBorder="1" applyFill="1" applyFont="1" applyNumberFormat="1" applyProtection="1" borderId="0" fillId="0" fontId="39" numFmtId="2" xfId="0"/>
    <xf applyBorder="1" applyFont="1" applyProtection="1" borderId="0" fillId="0" fontId="39" numFmtId="0" xfId="0"/>
    <xf applyAlignment="1" applyBorder="1" applyFill="1" applyFont="1" applyProtection="1" borderId="0" fillId="8" fontId="39" numFmtId="0" xfId="0">
      <alignment horizontal="left"/>
    </xf>
    <xf applyAlignment="1" applyBorder="1" applyFill="1" applyFont="1" applyProtection="1" borderId="19" fillId="8" fontId="7" numFmtId="0" xfId="0">
      <alignment horizontal="left"/>
    </xf>
    <xf applyAlignment="1" applyBorder="1" applyFill="1" applyFont="1" applyProtection="1" borderId="20" fillId="8" fontId="39" numFmtId="0" xfId="0">
      <alignment horizontal="center"/>
    </xf>
    <xf applyAlignment="1" applyBorder="1" applyFill="1" applyFont="1" applyProtection="1" borderId="21" fillId="8" fontId="39" numFmtId="0" xfId="0">
      <alignment horizontal="center"/>
    </xf>
    <xf applyAlignment="1" applyBorder="1" applyFill="1" applyFont="1" applyProtection="1" borderId="22" fillId="8" fontId="39" numFmtId="0" xfId="0">
      <alignment horizontal="left"/>
    </xf>
    <xf applyAlignment="1" applyBorder="1" applyFill="1" applyFont="1" applyProtection="1" borderId="22" fillId="8" fontId="39" numFmtId="0" xfId="0">
      <alignment horizontal="center"/>
    </xf>
    <xf applyAlignment="1" applyBorder="1" applyFill="1" applyFont="1" applyProtection="1" borderId="24" fillId="8" fontId="39" numFmtId="0" xfId="0">
      <alignment horizontal="center"/>
    </xf>
    <xf applyAlignment="1" applyBorder="1" applyFill="1" applyFont="1" applyProtection="1" borderId="25" fillId="8" fontId="39" numFmtId="0" xfId="0">
      <alignment horizontal="center"/>
    </xf>
    <xf applyAlignment="1" applyBorder="1" applyFill="1" applyFont="1" applyProtection="1" borderId="26" fillId="8" fontId="39" numFmtId="0" xfId="0">
      <alignment horizontal="center"/>
    </xf>
    <xf applyBorder="1" applyFill="1" applyFont="1" applyNumberFormat="1" applyProtection="1" borderId="18" fillId="0" fontId="39" numFmtId="3" xfId="2">
      <protection locked="0"/>
    </xf>
    <xf applyAlignment="1" applyBorder="1" applyFill="1" applyFont="1" applyProtection="1" borderId="0" fillId="5" fontId="34" numFmtId="0" xfId="0">
      <alignment vertical="top"/>
    </xf>
    <xf applyAlignment="1" applyFill="1" applyFont="1" applyProtection="1" borderId="0" fillId="5" fontId="4" numFmtId="0" xfId="0">
      <alignment horizontal="left"/>
    </xf>
    <xf applyAlignment="1" applyBorder="1" applyFill="1" applyFont="1" applyProtection="1" borderId="20" fillId="8" fontId="39" numFmtId="0" xfId="0">
      <alignment horizontal="left"/>
    </xf>
    <xf applyAlignment="1" applyFont="1" applyProtection="1" borderId="0" fillId="0" fontId="4" numFmtId="0" xfId="0">
      <alignment horizontal="left"/>
    </xf>
    <xf applyAlignment="1" applyBorder="1" applyFill="1" applyFont="1" borderId="0" fillId="8" fontId="4" numFmtId="0" xfId="0">
      <alignment horizontal="left"/>
    </xf>
    <xf applyAlignment="1" applyBorder="1" applyFill="1" applyFont="1" applyProtection="1" borderId="18" fillId="0" fontId="39" numFmtId="0" xfId="0">
      <alignment horizontal="center"/>
    </xf>
    <xf applyAlignment="1" applyBorder="1" applyFill="1" applyFont="1" applyProtection="1" borderId="0" fillId="8" fontId="48" numFmtId="0" xfId="0">
      <alignment horizontal="left"/>
    </xf>
    <xf applyAlignment="1" applyBorder="1" applyFill="1" applyFont="1" applyProtection="1" borderId="18" fillId="0" fontId="8" numFmtId="0" quotePrefix="1" xfId="0">
      <alignment horizontal="center"/>
    </xf>
    <xf applyAlignment="1" applyBorder="1" applyFill="1" applyFont="1" applyProtection="1" borderId="22" fillId="8" fontId="7" numFmtId="0" xfId="0">
      <alignment horizontal="left"/>
    </xf>
    <xf applyAlignment="1" applyBorder="1" applyFill="1" applyFont="1" applyProtection="1" borderId="20" fillId="8" fontId="48" numFmtId="0" xfId="0">
      <alignment horizontal="left"/>
    </xf>
    <xf applyAlignment="1" applyBorder="1" applyFill="1" applyFont="1" applyProtection="1" borderId="20" fillId="8" fontId="48" numFmtId="0" xfId="0">
      <alignment horizontal="center"/>
    </xf>
    <xf applyAlignment="1" applyBorder="1" applyFill="1" applyFont="1" applyProtection="1" borderId="24" fillId="8" fontId="39" numFmtId="0" xfId="0">
      <alignment horizontal="left"/>
    </xf>
    <xf applyAlignment="1" applyBorder="1" applyFill="1" applyFont="1" applyProtection="1" borderId="25" fillId="8" fontId="39" numFmtId="0" xfId="0">
      <alignment horizontal="left"/>
    </xf>
    <xf applyAlignment="1" applyBorder="1" applyFill="1" applyFont="1" applyProtection="1" borderId="19" fillId="8" fontId="39" numFmtId="0" xfId="0">
      <alignment horizontal="center"/>
    </xf>
    <xf applyAlignment="1" applyBorder="1" applyFill="1" applyFont="1" applyProtection="1" borderId="22" fillId="8" fontId="52" numFmtId="0" xfId="0">
      <alignment horizontal="left"/>
    </xf>
    <xf applyAlignment="1" applyBorder="1" applyFill="1" applyFont="1" applyProtection="1" borderId="22" fillId="8" fontId="48" numFmtId="0" xfId="0">
      <alignment horizontal="left"/>
    </xf>
    <xf applyFill="1" applyFont="1" applyProtection="1" borderId="0" fillId="8" fontId="4" numFmtId="0" xfId="0"/>
    <xf applyAlignment="1" applyBorder="1" applyFill="1" applyFont="1" applyProtection="1" borderId="29" fillId="0" fontId="8" numFmtId="0" xfId="0">
      <alignment horizontal="center"/>
    </xf>
    <xf applyAlignment="1" applyBorder="1" applyFill="1" applyFont="1" applyProtection="1" borderId="22" fillId="8" fontId="49" numFmtId="0" xfId="0">
      <alignment horizontal="left"/>
    </xf>
    <xf applyBorder="1" applyFill="1" borderId="8" fillId="8" fontId="0" numFmtId="0" xfId="0"/>
    <xf applyBorder="1" applyFill="1" borderId="7" fillId="8" fontId="0" numFmtId="0" xfId="0"/>
    <xf applyBorder="1" applyFill="1" borderId="0" fillId="8" fontId="0" numFmtId="0" xfId="0"/>
    <xf applyBorder="1" applyFill="1" applyFont="1" borderId="0" fillId="8" fontId="8" numFmtId="0" xfId="0"/>
    <xf applyBorder="1" applyFill="1" borderId="10" fillId="8" fontId="0" numFmtId="0" xfId="0"/>
    <xf applyBorder="1" applyFill="1" applyFont="1" borderId="9" fillId="8" fontId="37" numFmtId="0" xfId="0"/>
    <xf applyBorder="1" applyFill="1" borderId="9" fillId="8" fontId="0" numFmtId="0" xfId="0"/>
    <xf applyAlignment="1" applyBorder="1" applyFill="1" applyFont="1" borderId="0" fillId="8" fontId="8" numFmtId="0" xfId="0">
      <alignment horizontal="center"/>
    </xf>
    <xf applyAlignment="1" applyBorder="1" applyFill="1" applyFont="1" borderId="9" fillId="8" fontId="7" numFmtId="0" xfId="0">
      <alignment horizontal="center"/>
    </xf>
    <xf applyBorder="1" applyFill="1" borderId="11" fillId="8" fontId="0" numFmtId="0" xfId="0"/>
    <xf applyBorder="1" applyFill="1" borderId="30" fillId="8" fontId="0" numFmtId="0" xfId="0"/>
    <xf applyBorder="1" applyFill="1" borderId="12" fillId="8" fontId="0" numFmtId="0" xfId="0"/>
    <xf applyBorder="1" applyFill="1" applyFont="1" borderId="6" fillId="8" fontId="7" numFmtId="0" xfId="0"/>
    <xf applyAlignment="1" applyBorder="1" applyFill="1" applyFont="1" borderId="0" fillId="8" fontId="50" numFmtId="0" xfId="0">
      <alignment horizontal="center"/>
    </xf>
    <xf applyAlignment="1" applyBorder="1" applyFill="1" applyFont="1" borderId="0" fillId="8" fontId="50" numFmtId="0" xfId="0">
      <alignment horizontal="right"/>
    </xf>
    <xf applyBorder="1" applyFill="1" applyFont="1" borderId="9" fillId="8" fontId="53" numFmtId="0" xfId="0"/>
    <xf applyAlignment="1" applyBorder="1" applyFill="1" applyFont="1" applyProtection="1" borderId="22" fillId="8" fontId="47" numFmtId="0" xfId="0">
      <alignment horizontal="left"/>
    </xf>
    <xf applyAlignment="1" applyBorder="1" applyFill="1" applyFont="1" applyProtection="1" borderId="19" fillId="8" fontId="44" numFmtId="0" xfId="0">
      <alignment horizontal="left"/>
    </xf>
    <xf applyAlignment="1" applyBorder="1" applyFill="1" applyFont="1" applyProtection="1" borderId="22" fillId="8" fontId="54" numFmtId="0" xfId="0">
      <alignment horizontal="left"/>
    </xf>
    <xf applyAlignment="1" applyBorder="1" applyFill="1" applyFont="1" applyProtection="1" borderId="0" fillId="4" fontId="39" numFmtId="169" xfId="2">
      <alignment horizontal="right"/>
    </xf>
    <xf applyBorder="1" applyFill="1" applyFont="1" applyProtection="1" borderId="1" fillId="0" fontId="39" numFmtId="0" xfId="0">
      <protection locked="0"/>
    </xf>
    <xf applyAlignment="1" applyFill="1" applyFont="1" applyProtection="1" borderId="0" fillId="0" fontId="39" numFmtId="0" xfId="0">
      <alignment horizontal="right"/>
    </xf>
    <xf applyBorder="1" applyFill="1" applyFont="1" applyProtection="1" borderId="1" fillId="0" fontId="39" numFmtId="0" xfId="0"/>
    <xf applyAlignment="1" applyBorder="1" applyFill="1" applyFont="1" applyProtection="1" borderId="19" fillId="4" fontId="44" numFmtId="0" xfId="0">
      <alignment horizontal="left"/>
    </xf>
    <xf applyAlignment="1" applyBorder="1" applyFill="1" applyFont="1" applyProtection="1" borderId="20" fillId="4" fontId="39" numFmtId="0" xfId="0">
      <alignment horizontal="right"/>
    </xf>
    <xf applyAlignment="1" applyBorder="1" applyFill="1" applyFont="1" applyProtection="1" borderId="21" fillId="4" fontId="39" numFmtId="0" xfId="0">
      <alignment horizontal="right"/>
    </xf>
    <xf applyBorder="1" applyFill="1" applyFont="1" applyProtection="1" borderId="22" fillId="4" fontId="47" numFmtId="0" xfId="0"/>
    <xf applyAlignment="1" applyBorder="1" applyFill="1" applyFont="1" applyProtection="1" borderId="23" fillId="4" fontId="39" numFmtId="0" xfId="0">
      <alignment horizontal="right"/>
    </xf>
    <xf applyAlignment="1" applyBorder="1" applyFill="1" applyFont="1" applyProtection="1" borderId="22" fillId="4" fontId="4" numFmtId="0" xfId="0">
      <alignment horizontal="left"/>
    </xf>
    <xf applyAlignment="1" applyBorder="1" applyFill="1" applyFont="1" applyProtection="1" borderId="0" fillId="4" fontId="4" numFmtId="0" xfId="0"/>
    <xf applyAlignment="1" applyBorder="1" applyFill="1" applyFont="1" applyProtection="1" borderId="6" fillId="4" fontId="10" numFmtId="0" xfId="0">
      <alignment horizontal="left"/>
    </xf>
    <xf applyBorder="1" applyFill="1" borderId="8" fillId="4" fontId="0" numFmtId="0" xfId="0"/>
    <xf applyBorder="1" applyFill="1" borderId="0" fillId="4" fontId="0" numFmtId="0" xfId="0"/>
    <xf applyBorder="1" applyFill="1" applyFont="1" applyProtection="1" borderId="0" fillId="4" fontId="7" numFmtId="0" xfId="0"/>
    <xf applyAlignment="1" applyBorder="1" applyFill="1" applyFont="1" applyProtection="1" borderId="0" fillId="4" fontId="7" numFmtId="0" xfId="0">
      <alignment horizontal="left"/>
    </xf>
    <xf applyBorder="1" applyFill="1" applyProtection="1" borderId="0" fillId="4" fontId="0" numFmtId="0" xfId="0">
      <protection locked="0"/>
    </xf>
    <xf applyBorder="1" applyFill="1" borderId="30" fillId="4" fontId="0" numFmtId="0" xfId="0"/>
    <xf applyAlignment="1" applyBorder="1" applyFill="1" applyFont="1" applyNumberFormat="1" applyProtection="1" borderId="0" fillId="4" fontId="4" numFmtId="1" xfId="0">
      <alignment horizontal="left"/>
    </xf>
    <xf applyBorder="1" applyFill="1" applyFont="1" applyNumberFormat="1" applyProtection="1" borderId="20" fillId="4" fontId="39" numFmtId="1" xfId="0"/>
    <xf applyBorder="1" applyFill="1" applyFont="1" applyNumberFormat="1" applyProtection="1" borderId="0" fillId="4" fontId="39" numFmtId="2" xfId="0"/>
    <xf applyAlignment="1" applyBorder="1" applyFill="1" applyFont="1" applyNumberFormat="1" applyProtection="1" borderId="0" fillId="4" fontId="4" numFmtId="1" xfId="0">
      <alignment horizontal="right"/>
    </xf>
    <xf applyAlignment="1" applyBorder="1" applyFill="1" applyFont="1" applyProtection="1" borderId="22" fillId="8" fontId="8" numFmtId="0" xfId="0">
      <alignment horizontal="center"/>
    </xf>
    <xf applyAlignment="1" applyBorder="1" applyFill="1" applyFont="1" applyProtection="1" borderId="24" fillId="8" fontId="8" numFmtId="0" xfId="0">
      <alignment horizontal="center"/>
    </xf>
    <xf applyAlignment="1" applyBorder="1" applyFill="1" applyFont="1" applyProtection="1" borderId="0" fillId="8" fontId="8" numFmtId="0" xfId="0">
      <alignment horizontal="center"/>
    </xf>
    <xf applyAlignment="1" applyBorder="1" applyFill="1" applyFont="1" applyProtection="1" borderId="25" fillId="8" fontId="8" numFmtId="0" xfId="0">
      <alignment horizontal="center"/>
    </xf>
    <xf applyAlignment="1" applyBorder="1" applyFill="1" applyFont="1" applyProtection="1" borderId="20" fillId="8" fontId="8" numFmtId="0" xfId="0">
      <alignment horizontal="center"/>
    </xf>
    <xf applyBorder="1" applyFill="1" applyFont="1" applyProtection="1" borderId="0" fillId="8" fontId="8" numFmtId="0" xfId="0"/>
    <xf applyBorder="1" applyFill="1" applyFont="1" applyProtection="1" borderId="25" fillId="8" fontId="8" numFmtId="0" xfId="0"/>
    <xf applyBorder="1" applyFill="1" applyFont="1" applyProtection="1" borderId="20" fillId="8" fontId="8" numFmtId="0" xfId="0"/>
    <xf applyBorder="1" applyFill="1" applyFont="1" applyNumberFormat="1" borderId="16" fillId="0" fontId="4" numFmtId="1" xfId="2"/>
    <xf applyBorder="1" applyFill="1" applyFont="1" applyNumberFormat="1" borderId="0" fillId="0" fontId="4" numFmtId="1" xfId="0"/>
    <xf applyAlignment="1" applyBorder="1" applyFill="1" applyFont="1" applyNumberFormat="1" borderId="0" fillId="0" fontId="4" numFmtId="1" xfId="0">
      <alignment horizontal="left"/>
    </xf>
    <xf applyAlignment="1" applyBorder="1" applyFill="1" applyFont="1" applyNumberFormat="1" borderId="0" fillId="0" fontId="55" numFmtId="1" xfId="2">
      <alignment horizontal="right"/>
    </xf>
    <xf applyFont="1" applyNumberFormat="1" borderId="0" fillId="0" fontId="4" numFmtId="1" xfId="0"/>
    <xf applyFill="1" applyFont="1" applyNumberFormat="1" borderId="0" fillId="0" fontId="4" numFmtId="1" xfId="0"/>
    <xf applyFill="1" applyFont="1" applyProtection="1" borderId="0" fillId="5" fontId="57" numFmtId="0" xfId="0"/>
    <xf applyAlignment="1" applyBorder="1" applyFill="1" applyFont="1" applyNumberFormat="1" applyProtection="1" borderId="28" fillId="0" fontId="8" numFmtId="1" quotePrefix="1" xfId="0">
      <alignment horizontal="center"/>
    </xf>
    <xf applyAlignment="1" applyBorder="1" applyFill="1" applyFont="1" applyNumberFormat="1" applyProtection="1" borderId="18" fillId="0" fontId="8" numFmtId="1" quotePrefix="1" xfId="0">
      <alignment horizontal="center"/>
    </xf>
    <xf applyAlignment="1" applyFill="1" applyFont="1" applyNumberFormat="1" borderId="0" fillId="0" fontId="4" numFmtId="178" xfId="0">
      <alignment horizontal="right"/>
    </xf>
    <xf applyAlignment="1" applyBorder="1" applyFill="1" applyFont="1" applyNumberFormat="1" borderId="0" fillId="0" fontId="4" numFmtId="1" xfId="0">
      <alignment horizontal="center"/>
    </xf>
    <xf applyAlignment="1" applyFont="1" borderId="0" fillId="0" fontId="39" numFmtId="0" xfId="0">
      <alignment horizontal="left"/>
    </xf>
    <xf applyAlignment="1" applyBorder="1" applyFont="1" borderId="2" fillId="0" fontId="39" numFmtId="0" xfId="0">
      <alignment horizontal="center"/>
    </xf>
    <xf applyAlignment="1" applyBorder="1" applyFont="1" borderId="4" fillId="0" fontId="39" numFmtId="0" xfId="0">
      <alignment horizontal="center"/>
    </xf>
    <xf applyBorder="1" applyFont="1" borderId="0" fillId="0" fontId="39" numFmtId="0" xfId="0"/>
    <xf applyBorder="1" applyFill="1" applyFont="1" borderId="1" fillId="0" fontId="39" numFmtId="0" xfId="0"/>
    <xf applyFill="1" applyFont="1" borderId="0" fillId="0" fontId="39" numFmtId="0" xfId="0"/>
    <xf applyBorder="1" applyFill="1" applyFont="1" applyNumberFormat="1" borderId="1" fillId="0" fontId="39" numFmtId="1" quotePrefix="1" xfId="0"/>
    <xf applyBorder="1" applyFill="1" applyFont="1" applyNumberFormat="1" borderId="1" fillId="0" fontId="39" numFmtId="1" xfId="0"/>
    <xf applyBorder="1" applyFill="1" applyFont="1" borderId="0" fillId="0" fontId="39" numFmtId="0" xfId="0"/>
    <xf applyAlignment="1" applyFill="1" applyFont="1" applyNumberFormat="1" borderId="0" fillId="0" fontId="39" numFmtId="1" xfId="0">
      <alignment horizontal="right"/>
    </xf>
    <xf applyAlignment="1" applyBorder="1" applyFill="1" applyFont="1" applyNumberFormat="1" borderId="0" fillId="0" fontId="4" numFmtId="2" xfId="0"/>
    <xf applyBorder="1" applyFill="1" applyFont="1" applyNumberFormat="1" borderId="1" fillId="0" fontId="4" numFmtId="3" xfId="0"/>
    <xf applyAlignment="1" applyBorder="1" applyFill="1" applyFont="1" applyNumberFormat="1" borderId="0" fillId="0" fontId="8" numFmtId="2" xfId="0">
      <alignment horizontal="right"/>
    </xf>
    <xf applyBorder="1" applyFill="1" applyFont="1" applyNumberFormat="1" borderId="0" fillId="0" fontId="4" numFmtId="3" xfId="0"/>
    <xf applyBorder="1" applyFill="1" applyFont="1" applyNumberFormat="1" applyProtection="1" borderId="20" fillId="4" fontId="2" numFmtId="1" xfId="0"/>
    <xf applyBorder="1" applyFill="1" applyFont="1" applyNumberFormat="1" applyProtection="1" borderId="20" fillId="4" fontId="4" numFmtId="1" xfId="0"/>
    <xf applyAlignment="1" applyBorder="1" applyFill="1" applyFont="1" applyNumberFormat="1" applyProtection="1" borderId="20" fillId="4" fontId="4" numFmtId="1" xfId="0">
      <alignment horizontal="left"/>
    </xf>
    <xf applyBorder="1" applyFill="1" applyFont="1" applyNumberFormat="1" applyProtection="1" borderId="20" fillId="4" fontId="4" numFmtId="2" xfId="0"/>
    <xf applyBorder="1" applyFill="1" applyFont="1" applyProtection="1" borderId="22" fillId="4" fontId="54" numFmtId="0" xfId="0"/>
    <xf applyBorder="1" applyFont="1" applyProtection="1" borderId="18" fillId="0" fontId="39" numFmtId="170" xfId="1">
      <protection locked="0"/>
    </xf>
    <xf applyFill="1" applyFont="1" applyNumberFormat="1" borderId="0" fillId="0" fontId="4" numFmtId="179" xfId="0"/>
    <xf applyAlignment="1" applyBorder="1" applyFill="1" applyFont="1" applyNumberFormat="1" borderId="0" fillId="0" fontId="4" numFmtId="178" xfId="0">
      <alignment horizontal="right"/>
    </xf>
    <xf applyFill="1" applyFont="1" borderId="0" fillId="0" fontId="29" numFmtId="0" xfId="0"/>
    <xf applyFill="1" applyFont="1" applyNumberFormat="1" borderId="0" fillId="0" fontId="4" numFmtId="178" xfId="0"/>
    <xf applyAlignment="1" applyFill="1" applyFont="1" borderId="0" fillId="0" fontId="4" numFmtId="0" xfId="0">
      <alignment horizontal="center"/>
    </xf>
    <xf applyAlignment="1" applyBorder="1" applyFill="1" applyFont="1" borderId="0" fillId="0" fontId="5" numFmtId="0" xfId="0"/>
    <xf applyAlignment="1" applyBorder="1" applyFill="1" applyFont="1" borderId="13" fillId="0" fontId="4" numFmtId="0" xfId="0"/>
    <xf applyAlignment="1" applyBorder="1" applyFill="1" applyFont="1" applyNumberFormat="1" borderId="14" fillId="0" fontId="4" numFmtId="178" xfId="0">
      <alignment horizontal="right"/>
    </xf>
    <xf applyAlignment="1" applyBorder="1" applyFill="1" applyFont="1" borderId="17" fillId="0" fontId="5" numFmtId="0" xfId="0"/>
    <xf applyAlignment="1" applyFill="1" applyFont="1" applyNumberFormat="1" borderId="0" fillId="0" fontId="4" numFmtId="2" xfId="0">
      <alignment horizontal="right"/>
    </xf>
    <xf applyAlignment="1" applyFill="1" applyFont="1" applyNumberFormat="1" borderId="0" fillId="0" fontId="4" numFmtId="2" xfId="0"/>
    <xf applyAlignment="1" applyFill="1" applyFont="1" borderId="0" fillId="0" fontId="39" numFmtId="0" xfId="0">
      <alignment horizontal="center"/>
    </xf>
    <xf applyBorder="1" applyFill="1" applyFont="1" applyNumberFormat="1" applyProtection="1" borderId="1" fillId="0" fontId="4" numFmtId="2" xfId="0"/>
    <xf applyAlignment="1" applyBorder="1" applyFill="1" applyFont="1" applyNumberFormat="1" borderId="0" fillId="0" fontId="8" numFmtId="1" xfId="0">
      <alignment horizontal="right"/>
    </xf>
    <xf applyAlignment="1" applyBorder="1" applyFill="1" applyFont="1" applyNumberFormat="1" borderId="0" fillId="0" fontId="8" numFmtId="1" xfId="0">
      <alignment horizontal="left"/>
    </xf>
    <xf applyBorder="1" applyFill="1" applyFont="1" applyNumberFormat="1" applyProtection="1" borderId="0" fillId="0" fontId="4" numFmtId="2" xfId="0"/>
    <xf applyAlignment="1" applyBorder="1" applyFill="1" applyFont="1" applyNumberFormat="1" applyProtection="1" borderId="28" fillId="0" fontId="8" numFmtId="1" xfId="0">
      <alignment horizontal="center"/>
    </xf>
    <xf applyAlignment="1" applyBorder="1" applyFill="1" applyFont="1" applyNumberFormat="1" applyProtection="1" borderId="18" fillId="0" fontId="8" numFmtId="1" xfId="0">
      <alignment horizontal="center"/>
    </xf>
    <xf applyAlignment="1" applyBorder="1" applyFill="1" applyFont="1" applyNumberFormat="1" applyProtection="1" borderId="18" fillId="0" fontId="40" numFmtId="1" xfId="0">
      <alignment horizontal="center"/>
    </xf>
    <xf applyAlignment="1" applyBorder="1" applyFill="1" applyFont="1" applyProtection="1" borderId="21" fillId="4" fontId="55" numFmtId="0" xfId="0">
      <alignment horizontal="right"/>
    </xf>
    <xf applyBorder="1" applyFill="1" applyFont="1" applyNumberFormat="1" applyProtection="1" borderId="22" fillId="4" fontId="8" numFmtId="1" xfId="0"/>
    <xf applyAlignment="1" applyBorder="1" applyFill="1" applyFont="1" applyProtection="1" borderId="24" fillId="4" fontId="39" numFmtId="0" xfId="0">
      <alignment horizontal="center"/>
    </xf>
    <xf applyAlignment="1" applyBorder="1" applyFill="1" applyFont="1" applyNumberFormat="1" applyProtection="1" borderId="19" fillId="4" fontId="40" numFmtId="1" xfId="0">
      <alignment horizontal="left"/>
    </xf>
    <xf applyAlignment="1" applyBorder="1" applyFill="1" applyFont="1" applyProtection="1" borderId="21" fillId="8" fontId="55" numFmtId="0" xfId="0">
      <alignment horizontal="right"/>
    </xf>
    <xf applyAlignment="1" applyBorder="1" applyFill="1" applyFont="1" applyNumberFormat="1" applyProtection="1" borderId="18" fillId="0" fontId="4" numFmtId="1" quotePrefix="1" xfId="0">
      <alignment horizontal="center"/>
    </xf>
    <xf applyAlignment="1" applyBorder="1" applyFill="1" applyFont="1" applyNumberFormat="1" applyProtection="1" borderId="18" fillId="0" fontId="4" numFmtId="1" xfId="0">
      <alignment horizontal="center"/>
    </xf>
    <xf applyAlignment="1" applyBorder="1" applyFill="1" applyFont="1" applyProtection="1" borderId="20" fillId="8" fontId="55" numFmtId="0" xfId="0">
      <alignment horizontal="right"/>
    </xf>
    <xf applyBorder="1" applyFill="1" applyFont="1" applyNumberFormat="1" applyProtection="1" borderId="22" fillId="4" fontId="39" numFmtId="1" xfId="0"/>
    <xf applyBorder="1" applyFill="1" applyFont="1" applyNumberFormat="1" applyProtection="1" borderId="22" fillId="4" fontId="54" numFmtId="1" xfId="0"/>
    <xf applyAlignment="1" applyBorder="1" applyFill="1" applyFont="1" applyNumberFormat="1" applyProtection="1" borderId="0" fillId="4" fontId="8" numFmtId="1" xfId="0">
      <alignment horizontal="center"/>
    </xf>
    <xf applyBorder="1" applyFill="1" applyFont="1" applyNumberFormat="1" applyProtection="1" borderId="19" fillId="4" fontId="8" numFmtId="1" xfId="0"/>
    <xf applyAlignment="1" applyFill="1" applyFont="1" applyProtection="1" borderId="0" fillId="5" fontId="39" numFmtId="0" xfId="0"/>
    <xf applyAlignment="1" applyBorder="1" applyFill="1" applyFont="1" applyNumberFormat="1" applyProtection="1" borderId="21" fillId="4" fontId="55" numFmtId="1" xfId="0">
      <alignment horizontal="right"/>
    </xf>
    <xf applyBorder="1" applyFill="1" applyFont="1" applyNumberFormat="1" borderId="0" fillId="9" fontId="4" numFmtId="1" xfId="0"/>
    <xf applyAlignment="1" applyBorder="1" applyFill="1" applyFont="1" applyNumberFormat="1" borderId="0" fillId="9" fontId="4" numFmtId="1" xfId="0">
      <alignment horizontal="right"/>
    </xf>
    <xf applyAlignment="1" applyBorder="1" applyFont="1" borderId="2" fillId="0" fontId="4" numFmtId="0" xfId="0">
      <alignment horizontal="center"/>
    </xf>
    <xf applyAlignment="1" applyBorder="1" applyFont="1" borderId="3" fillId="0" fontId="4" numFmtId="0" xfId="0">
      <alignment horizontal="center"/>
    </xf>
    <xf applyAlignment="1" applyBorder="1" applyFont="1" borderId="4" fillId="0" fontId="4" numFmtId="0" xfId="0">
      <alignment horizontal="center"/>
    </xf>
    <xf applyAlignment="1" applyFont="1" borderId="0" fillId="0" fontId="4" numFmtId="0" xfId="0">
      <alignment horizontal="center"/>
    </xf>
    <xf applyAlignment="1" applyFill="1" applyFont="1" applyProtection="1" borderId="0" fillId="0" fontId="4" numFmtId="0" xfId="0">
      <alignment horizontal="right"/>
    </xf>
    <xf applyAlignment="1" applyBorder="1" applyFill="1" applyFont="1" borderId="5" fillId="6" fontId="2" numFmtId="0" xfId="0">
      <alignment horizontal="center"/>
    </xf>
    <xf applyFill="1" applyFont="1" borderId="0" fillId="5" fontId="4" numFmtId="0" xfId="0"/>
    <xf applyAlignment="1" applyBorder="1" applyFill="1" applyFont="1" applyProtection="1" borderId="1" fillId="6" fontId="3" numFmtId="0" xfId="0">
      <alignment horizontal="right"/>
      <protection locked="0"/>
    </xf>
    <xf applyAlignment="1" applyBorder="1" applyFill="1" applyFont="1" applyProtection="1" borderId="1" fillId="6" fontId="3" numFmtId="0" xfId="0">
      <alignment horizontal="center"/>
      <protection locked="0"/>
    </xf>
    <xf applyFill="1" applyFont="1" applyProtection="1" borderId="0" fillId="5" fontId="4" numFmtId="0" xfId="0">
      <protection locked="0"/>
    </xf>
    <xf applyAlignment="1" applyBorder="1" applyFill="1" applyFont="1" applyProtection="1" borderId="1" fillId="6" fontId="2" numFmtId="170" xfId="1">
      <alignment horizontal="center"/>
      <protection locked="0"/>
    </xf>
    <xf applyAlignment="1" applyFill="1" applyFont="1" applyProtection="1" borderId="0" fillId="5" fontId="8" numFmtId="0" quotePrefix="1" xfId="0">
      <alignment horizontal="center"/>
      <protection locked="0"/>
    </xf>
    <xf applyAlignment="1" applyBorder="1" applyFill="1" applyFont="1" borderId="0" fillId="5" fontId="8" numFmtId="0" xfId="0">
      <alignment horizontal="right"/>
    </xf>
    <xf applyFill="1" applyFont="1" borderId="0" fillId="5" fontId="8" numFmtId="0" xfId="0"/>
    <xf applyBorder="1" applyFill="1" applyFont="1" applyNumberFormat="1" applyProtection="1" borderId="0" fillId="5" fontId="4" numFmtId="3" xfId="0">
      <protection locked="0"/>
    </xf>
    <xf applyAlignment="1" applyBorder="1" applyFill="1" applyFont="1" applyProtection="1" borderId="0" fillId="5" fontId="4" numFmtId="0" xfId="0">
      <alignment horizontal="right"/>
      <protection locked="0"/>
    </xf>
    <xf applyAlignment="1" applyFill="1" applyFont="1" borderId="0" fillId="5" fontId="8" numFmtId="0" xfId="0">
      <alignment horizontal="right"/>
    </xf>
    <xf applyFill="1" applyFont="1" applyNumberFormat="1" borderId="0" fillId="5" fontId="4" numFmtId="170" xfId="0"/>
    <xf applyBorder="1" applyFill="1" applyFont="1" applyNumberFormat="1" borderId="1" fillId="9" fontId="4" numFmtId="176" xfId="1"/>
    <xf applyAlignment="1" applyBorder="1" applyFill="1" applyFont="1" applyNumberFormat="1" borderId="1" fillId="9" fontId="4" numFmtId="176" xfId="1"/>
    <xf applyAlignment="1" applyBorder="1" applyFill="1" applyFont="1" applyNumberFormat="1" borderId="1" fillId="9" fontId="4" numFmtId="176" xfId="1">
      <alignment horizontal="right"/>
    </xf>
    <xf applyBorder="1" applyFill="1" applyFont="1" applyNumberFormat="1" borderId="9" fillId="0" fontId="4" numFmtId="1" xfId="0"/>
    <xf applyBorder="1" applyFill="1" applyFont="1" borderId="0" fillId="9" fontId="4" numFmtId="0" xfId="0"/>
    <xf applyBorder="1" applyFill="1" applyFont="1" applyNumberFormat="1" borderId="9" fillId="9" fontId="4" numFmtId="1" xfId="0"/>
    <xf applyAlignment="1" applyBorder="1" applyFont="1" applyProtection="1" borderId="0" fillId="0" fontId="4" numFmtId="0" xfId="0">
      <alignment horizontal="right"/>
    </xf>
    <xf applyBorder="1" applyFont="1" applyProtection="1" borderId="0" fillId="0" fontId="4" numFmtId="0" xfId="0"/>
    <xf applyBorder="1" applyFont="1" applyNumberFormat="1" applyProtection="1" borderId="0" fillId="0" fontId="4" numFmtId="3" xfId="0"/>
    <xf applyBorder="1" applyFont="1" borderId="0" fillId="0" fontId="17" numFmtId="0" xfId="0"/>
    <xf applyBorder="1" applyFill="1" applyFont="1" applyProtection="1" borderId="4" fillId="4" fontId="5" numFmtId="0" xfId="0">
      <protection locked="0"/>
    </xf>
    <xf applyAlignment="1" applyBorder="1" applyFont="1" applyNumberFormat="1" borderId="3" fillId="0" fontId="5" numFmtId="3" xfId="0">
      <alignment horizontal="center"/>
    </xf>
    <xf applyAlignment="1" applyBorder="1" applyFont="1" borderId="2" fillId="0" fontId="61" numFmtId="0" xfId="0">
      <alignment horizontal="center"/>
    </xf>
    <xf applyAlignment="1" applyBorder="1" applyFont="1" applyNumberFormat="1" borderId="3" fillId="0" fontId="5" numFmtId="2" xfId="0">
      <alignment horizontal="center"/>
    </xf>
    <xf applyAlignment="1" applyBorder="1" applyFont="1" borderId="3" fillId="0" fontId="61" numFmtId="0" xfId="0">
      <alignment horizontal="center"/>
    </xf>
    <xf applyAlignment="1" applyBorder="1" applyFill="1" applyFont="1" borderId="3" fillId="0" fontId="61" numFmtId="0" xfId="0">
      <alignment horizontal="center"/>
    </xf>
    <xf applyAlignment="1" applyBorder="1" applyFill="1" applyFont="1" borderId="2" fillId="0" fontId="61" numFmtId="0" xfId="0">
      <alignment horizontal="center"/>
    </xf>
    <xf applyAlignment="1" applyBorder="1" applyFill="1" applyFont="1" applyNumberFormat="1" borderId="3" fillId="0" fontId="5" numFmtId="3" xfId="0">
      <alignment horizontal="center"/>
    </xf>
    <xf applyAlignment="1" applyBorder="1" applyFill="1" applyFont="1" applyNumberFormat="1" borderId="3" fillId="0" fontId="5" numFmtId="2" xfId="0">
      <alignment horizontal="center"/>
    </xf>
    <xf applyAlignment="1" applyBorder="1" applyFill="1" applyFont="1" applyNumberFormat="1" borderId="3" fillId="0" fontId="5" numFmtId="0" xfId="0">
      <alignment horizontal="center"/>
    </xf>
    <xf applyAlignment="1" applyBorder="1" applyFont="1" applyNumberFormat="1" borderId="3" fillId="0" fontId="5" numFmtId="0" xfId="0">
      <alignment horizontal="center"/>
    </xf>
    <xf applyAlignment="1" applyBorder="1" applyFont="1" applyNumberFormat="1" borderId="3" fillId="0" fontId="5" numFmtId="1" xfId="0">
      <alignment horizontal="center"/>
    </xf>
    <xf applyFill="1" applyFont="1" applyNumberFormat="1" applyProtection="1" borderId="0" fillId="5" fontId="39" numFmtId="14" xfId="0"/>
    <xf applyBorder="1" applyFill="1" applyFont="1" borderId="0" fillId="4" fontId="39" numFmtId="0" xfId="0"/>
    <xf applyBorder="1" applyFill="1" applyFont="1" borderId="0" fillId="4" fontId="39" numFmtId="170" xfId="1"/>
    <xf applyBorder="1" applyFill="1" applyFont="1" applyNumberFormat="1" applyProtection="1" borderId="0" fillId="4" fontId="9" numFmtId="1" xfId="0"/>
    <xf applyBorder="1" applyFill="1" applyFont="1" applyProtection="1" borderId="18" fillId="0" fontId="39" numFmtId="170" xfId="1"/>
    <xf applyBorder="1" applyFill="1" applyFont="1" applyProtection="1" borderId="19" fillId="4" fontId="39" numFmtId="0" xfId="0"/>
    <xf applyBorder="1" applyFill="1" applyFont="1" applyNumberFormat="1" applyProtection="1" borderId="22" fillId="4" fontId="9" numFmtId="1" xfId="0"/>
    <xf applyBorder="1" applyFill="1" applyFont="1" borderId="23" fillId="4" fontId="39" numFmtId="0" xfId="0"/>
    <xf applyBorder="1" applyFill="1" applyFont="1" borderId="22" fillId="4" fontId="39" numFmtId="0" xfId="0"/>
    <xf applyAlignment="1" applyBorder="1" applyFill="1" applyFont="1" applyNumberFormat="1" applyProtection="1" borderId="22" fillId="4" fontId="39" numFmtId="1" xfId="0">
      <alignment horizontal="left"/>
    </xf>
    <xf applyBorder="1" applyFill="1" applyFont="1" applyNumberFormat="1" applyProtection="1" borderId="24" fillId="4" fontId="9" numFmtId="1" xfId="0"/>
    <xf applyBorder="1" applyFill="1" applyFont="1" applyNumberFormat="1" applyProtection="1" borderId="25" fillId="4" fontId="9" numFmtId="1" xfId="0"/>
    <xf applyBorder="1" applyFill="1" applyFont="1" borderId="25" fillId="4" fontId="39" numFmtId="0" xfId="0"/>
    <xf applyBorder="1" applyFill="1" applyFont="1" borderId="26" fillId="4" fontId="39" numFmtId="0" xfId="0"/>
    <xf applyAlignment="1" applyBorder="1" applyFill="1" applyFont="1" borderId="0" fillId="5" fontId="62" numFmtId="0" xfId="0">
      <alignment horizontal="center"/>
    </xf>
    <xf applyFill="1" applyFont="1" applyProtection="1" borderId="0" fillId="5" fontId="8" numFmtId="0" xfId="0"/>
    <xf applyBorder="1" applyFont="1" applyNumberFormat="1" applyProtection="1" borderId="1" fillId="0" fontId="4" numFmtId="1" xfId="0">
      <protection locked="0"/>
    </xf>
    <xf applyBorder="1" applyFill="1" applyFont="1" applyNumberFormat="1" applyProtection="1" borderId="1" fillId="0" fontId="4" numFmtId="14" xfId="0">
      <protection locked="0"/>
    </xf>
    <xf applyBorder="1" applyFill="1" applyFont="1" borderId="19" fillId="5" fontId="63" numFmtId="0" xfId="0"/>
    <xf applyBorder="1" applyFill="1" applyFont="1" borderId="20" fillId="5" fontId="4" numFmtId="0" xfId="0"/>
    <xf applyBorder="1" applyFill="1" applyFont="1" borderId="21" fillId="5" fontId="4" numFmtId="0" xfId="0"/>
    <xf applyBorder="1" applyFill="1" applyFont="1" borderId="22" fillId="5" fontId="4" numFmtId="0" xfId="0"/>
    <xf applyBorder="1" applyFill="1" applyFont="1" borderId="0" fillId="5" fontId="4" numFmtId="0" xfId="0"/>
    <xf applyBorder="1" applyFill="1" applyFont="1" borderId="23" fillId="5" fontId="4" numFmtId="0" xfId="0"/>
    <xf applyBorder="1" applyFill="1" applyFont="1" borderId="24" fillId="5" fontId="4" numFmtId="0" xfId="0"/>
    <xf applyBorder="1" applyFill="1" applyFont="1" borderId="26" fillId="5" fontId="4" numFmtId="0" xfId="0"/>
    <xf applyBorder="1" applyFill="1" applyFont="1" borderId="25" fillId="5" fontId="4" numFmtId="0" xfId="0"/>
    <xf applyFont="1" applyProtection="1" borderId="0" fillId="0" fontId="4" numFmtId="0" xfId="0">
      <protection locked="0"/>
    </xf>
    <xf applyBorder="1" applyFill="1" applyFont="1" borderId="6" fillId="4" fontId="4" numFmtId="0" xfId="0"/>
    <xf applyBorder="1" applyFill="1" applyFont="1" borderId="9" fillId="4" fontId="4" numFmtId="0" xfId="0"/>
    <xf applyBorder="1" applyFill="1" applyFont="1" borderId="11" fillId="4" fontId="4" numFmtId="0" xfId="0"/>
    <xf applyBorder="1" applyFill="1" applyFont="1" borderId="0" fillId="8" fontId="51" numFmtId="0" xfId="0"/>
    <xf applyAlignment="1" applyBorder="1" applyFill="1" applyFont="1" borderId="0" fillId="8" fontId="51" numFmtId="0" xfId="0">
      <alignment vertical="center"/>
    </xf>
    <xf applyBorder="1" applyFill="1" applyFont="1" applyProtection="1" borderId="6" fillId="8" fontId="50" numFmtId="0" xfId="0"/>
    <xf applyBorder="1" applyFill="1" applyFont="1" applyProtection="1" borderId="8" fillId="8" fontId="50" numFmtId="0" xfId="0"/>
    <xf applyBorder="1" applyFill="1" applyFont="1" borderId="8" fillId="8" fontId="4" numFmtId="0" xfId="0"/>
    <xf applyBorder="1" applyFill="1" applyFont="1" borderId="7" fillId="8" fontId="4" numFmtId="0" xfId="0"/>
    <xf applyBorder="1" applyFill="1" applyFont="1" borderId="9" fillId="8" fontId="4" numFmtId="0" xfId="0"/>
    <xf applyBorder="1" applyFill="1" applyFont="1" borderId="0" fillId="8" fontId="4" numFmtId="0" xfId="0"/>
    <xf applyAlignment="1" applyBorder="1" applyFill="1" applyFont="1" applyProtection="1" borderId="0" fillId="8" fontId="8" numFmtId="0" xfId="0">
      <alignment horizontal="left"/>
    </xf>
    <xf applyBorder="1" applyFill="1" applyFont="1" borderId="10" fillId="8" fontId="4" numFmtId="0" xfId="0"/>
    <xf applyAlignment="1" applyBorder="1" applyFill="1" applyFont="1" borderId="1" fillId="0" fontId="8" numFmtId="0" xfId="0">
      <alignment horizontal="center"/>
    </xf>
    <xf applyAlignment="1" applyBorder="1" applyFill="1" applyFont="1" applyProtection="1" borderId="0" fillId="8" fontId="50" numFmtId="0" xfId="0">
      <alignment horizontal="left"/>
    </xf>
    <xf applyBorder="1" applyFill="1" applyFont="1" applyProtection="1" borderId="0" fillId="8" fontId="50" numFmtId="0" xfId="0"/>
    <xf applyAlignment="1" applyBorder="1" applyFill="1" applyFont="1" borderId="0" fillId="8" fontId="50" numFmtId="0" xfId="0">
      <alignment horizontal="left"/>
    </xf>
    <xf applyBorder="1" applyFill="1" applyFont="1" borderId="1" fillId="3" fontId="4" numFmtId="0" xfId="0"/>
    <xf applyBorder="1" applyFill="1" applyFont="1" borderId="11" fillId="8" fontId="4" numFmtId="0" xfId="0"/>
    <xf applyBorder="1" applyFill="1" applyFont="1" borderId="30" fillId="8" fontId="4" numFmtId="0" xfId="0"/>
    <xf applyBorder="1" applyFill="1" applyFont="1" borderId="12" fillId="8" fontId="4" numFmtId="0" xfId="0"/>
    <xf applyAlignment="1" applyFill="1" applyFont="1" borderId="0" fillId="5" fontId="55" numFmtId="0" xfId="0">
      <alignment horizontal="right"/>
    </xf>
    <xf applyAlignment="1" applyFill="1" applyFont="1" borderId="0" fillId="5" fontId="53" numFmtId="0" xfId="0">
      <alignment horizontal="left"/>
    </xf>
    <xf applyBorder="1" applyFill="1" applyFont="1" applyNumberFormat="1" borderId="1" fillId="3" fontId="4" numFmtId="1" xfId="0"/>
    <xf applyAlignment="1" applyBorder="1" applyFill="1" applyFont="1" applyProtection="1" borderId="18" fillId="0" fontId="39" numFmtId="0" xfId="0">
      <protection locked="0"/>
    </xf>
    <xf applyAlignment="1" applyBorder="1" applyFill="1" applyFont="1" borderId="0" fillId="5" fontId="57" numFmtId="0" xfId="0">
      <alignment horizontal="left"/>
    </xf>
    <xf applyFill="1" applyFont="1" borderId="0" fillId="5" fontId="35" numFmtId="0" xfId="0"/>
    <xf applyAlignment="1" applyFill="1" applyFont="1" borderId="0" fillId="5" fontId="35" numFmtId="0" xfId="0">
      <alignment horizontal="center" vertical="top"/>
    </xf>
    <xf applyAlignment="1" applyBorder="1" applyFill="1" applyFont="1" borderId="0" fillId="5" fontId="35" numFmtId="0" xfId="0">
      <alignment horizontal="center"/>
    </xf>
    <xf applyBorder="1" applyFill="1" applyFont="1" borderId="23" fillId="5" fontId="65" numFmtId="0" xfId="0"/>
    <xf applyBorder="1" applyFill="1" applyNumberFormat="1" borderId="0" fillId="0" fontId="0" numFmtId="1" xfId="0"/>
    <xf applyAlignment="1" applyBorder="1" applyFill="1" borderId="0" fillId="0" fontId="0" numFmtId="0" xfId="0">
      <alignment horizontal="right"/>
    </xf>
    <xf applyAlignment="1" applyBorder="1" applyFill="1" borderId="0" fillId="0" fontId="0" numFmtId="0" xfId="0">
      <alignment horizontal="left"/>
    </xf>
    <xf applyAlignment="1" applyBorder="1" applyFill="1" applyFont="1" borderId="0" fillId="0" fontId="10" numFmtId="0" xfId="0"/>
    <xf applyBorder="1" applyFill="1" borderId="1" fillId="0" fontId="0" numFmtId="0" xfId="0"/>
    <xf applyBorder="1" applyFill="1" borderId="2" fillId="0" fontId="0" numFmtId="0" xfId="0"/>
    <xf applyBorder="1" applyFill="1" borderId="4" fillId="0" fontId="0" numFmtId="0" xfId="0"/>
    <xf applyAlignment="1" applyBorder="1" applyFill="1" borderId="1" fillId="0" fontId="0" numFmtId="0" xfId="0">
      <alignment horizontal="right"/>
    </xf>
    <xf applyBorder="1" applyFill="1" applyNumberFormat="1" borderId="1" fillId="0" fontId="0" numFmtId="1" xfId="0"/>
    <xf applyBorder="1" applyFill="1" applyNumberFormat="1" applyProtection="1" borderId="31" fillId="0" fontId="0" numFmtId="170" xfId="0">
      <protection locked="0"/>
    </xf>
    <xf applyAlignment="1" applyBorder="1" applyFill="1" applyFont="1" borderId="1" fillId="10" fontId="39" numFmtId="0" xfId="0">
      <alignment horizontal="center"/>
    </xf>
    <xf applyAlignment="1" applyBorder="1" applyFill="1" applyFont="1" borderId="2" fillId="10" fontId="39" numFmtId="0" xfId="0">
      <alignment horizontal="center"/>
    </xf>
    <xf applyAlignment="1" applyFill="1" applyFont="1" applyProtection="1" borderId="0" fillId="0" fontId="4" numFmtId="0" xfId="0">
      <alignment horizontal="center"/>
    </xf>
    <xf applyFill="1" applyFont="1" applyNumberFormat="1" applyProtection="1" borderId="0" fillId="0" fontId="4" numFmtId="49" xfId="0"/>
    <xf applyAlignment="1" applyBorder="1" applyFill="1" applyFont="1" applyNumberFormat="1" borderId="3" fillId="0" fontId="5" numFmtId="1" xfId="0">
      <alignment horizontal="center"/>
    </xf>
    <xf applyAlignment="1" applyBorder="1" applyFill="1" applyFont="1" applyNumberFormat="1" borderId="4" fillId="0" fontId="5" numFmtId="1" xfId="0">
      <alignment horizontal="center"/>
    </xf>
    <xf applyAlignment="1" applyBorder="1" applyFill="1" applyFont="1" applyNumberFormat="1" borderId="4" fillId="0" fontId="5" numFmtId="2" xfId="0">
      <alignment horizontal="center"/>
    </xf>
    <xf applyAlignment="1" applyBorder="1" applyFont="1" applyNumberFormat="1" borderId="4" fillId="0" fontId="5" numFmtId="2" xfId="0">
      <alignment horizontal="center"/>
    </xf>
    <xf applyFont="1" applyProtection="1" borderId="0" fillId="0" fontId="39" numFmtId="0" xfId="0">
      <protection locked="0"/>
    </xf>
    <xf applyBorder="1" applyFill="1" applyFont="1" applyProtection="1" borderId="1" fillId="10" fontId="5" numFmtId="0" xfId="0"/>
    <xf applyBorder="1" applyFont="1" applyProtection="1" borderId="1" fillId="0" fontId="23" numFmtId="0" xfId="0"/>
    <xf applyBorder="1" applyFont="1" applyProtection="1" borderId="1" fillId="0" fontId="20" numFmtId="0" xfId="0"/>
    <xf applyFont="1" applyProtection="1" borderId="0" fillId="0" fontId="5" numFmtId="0" xfId="0"/>
    <xf applyBorder="1" applyFont="1" applyProtection="1" borderId="0" fillId="0" fontId="17" numFmtId="0" xfId="0"/>
    <xf applyBorder="1" applyFont="1" applyProtection="1" borderId="1" fillId="0" fontId="5" numFmtId="0" xfId="0"/>
    <xf applyBorder="1" applyFont="1" applyProtection="1" borderId="0" fillId="0" fontId="5" numFmtId="0" xfId="0"/>
    <xf applyFont="1" borderId="0" fillId="0" fontId="68" numFmtId="0" xfId="0"/>
    <xf applyFont="1" borderId="0" fillId="0" fontId="67" numFmtId="0" xfId="0"/>
    <xf applyFont="1" applyProtection="1" borderId="0" fillId="0" fontId="55" numFmtId="0" xfId="0"/>
    <xf applyAlignment="1" applyBorder="1" applyFill="1" applyFont="1" applyNumberFormat="1" applyProtection="1" borderId="32" fillId="0" fontId="55" numFmtId="49" xfId="0">
      <alignment horizontal="center"/>
    </xf>
    <xf applyFill="1" applyFont="1" applyNumberFormat="1" applyProtection="1" borderId="0" fillId="0" fontId="55" numFmtId="49" xfId="0"/>
    <xf applyAlignment="1" applyBorder="1" applyFill="1" applyFont="1" applyNumberFormat="1" applyProtection="1" borderId="33" fillId="0" fontId="55" numFmtId="49" xfId="0">
      <alignment horizontal="center"/>
    </xf>
    <xf applyAlignment="1" applyBorder="1" applyFill="1" applyFont="1" applyNumberFormat="1" applyProtection="1" borderId="0" fillId="0" fontId="55" numFmtId="49" xfId="0">
      <alignment horizontal="center"/>
    </xf>
    <xf applyAlignment="1" applyBorder="1" applyFill="1" applyFont="1" applyProtection="1" borderId="0" fillId="5" fontId="4" numFmtId="0" xfId="0">
      <alignment horizontal="right"/>
    </xf>
    <xf applyBorder="1" applyFill="1" applyFont="1" applyProtection="1" borderId="0" fillId="5" fontId="35" numFmtId="0" xfId="0"/>
    <xf applyFill="1" applyFont="1" applyProtection="1" borderId="0" fillId="5" fontId="35" numFmtId="0" xfId="0"/>
    <xf applyAlignment="1" applyBorder="1" applyFill="1" applyFont="1" applyProtection="1" borderId="0" fillId="5" fontId="35" numFmtId="0" xfId="0">
      <alignment horizontal="left" indent="2"/>
    </xf>
    <xf applyFill="1" applyFont="1" applyProtection="1" borderId="0" fillId="5" fontId="64" numFmtId="0" xfId="0"/>
    <xf applyBorder="1" applyFont="1" applyProtection="1" borderId="0" fillId="0" fontId="4" numFmtId="0" xfId="0">
      <protection locked="0"/>
    </xf>
    <xf applyAlignment="1" applyFont="1" applyProtection="1" borderId="0" fillId="0" fontId="61" numFmtId="0" xfId="0">
      <alignment horizontal="right"/>
    </xf>
    <xf applyBorder="1" applyFill="1" applyFont="1" applyProtection="1" borderId="1" fillId="5" fontId="4" numFmtId="0" xfId="0"/>
    <xf applyAlignment="1" applyBorder="1" applyFill="1" applyFont="1" applyProtection="1" borderId="30" fillId="5" fontId="35" numFmtId="0" xfId="0">
      <alignment horizontal="left"/>
    </xf>
    <xf applyBorder="1" applyFill="1" applyFont="1" applyProtection="1" borderId="1" fillId="5" fontId="5" numFmtId="0" xfId="0"/>
    <xf applyBorder="1" applyFill="1" applyFont="1" applyProtection="1" borderId="16" fillId="5" fontId="5" numFmtId="0" xfId="0"/>
    <xf applyBorder="1" applyFill="1" applyFont="1" applyProtection="1" borderId="4" fillId="5" fontId="4" numFmtId="0" xfId="0"/>
    <xf applyBorder="1" applyFill="1" applyFont="1" applyNumberFormat="1" applyProtection="1" borderId="1" fillId="0" fontId="39" numFmtId="165" xfId="0">
      <protection locked="0"/>
    </xf>
    <xf applyAlignment="1" applyBorder="1" applyFill="1" applyFont="1" borderId="0" fillId="0" fontId="4" numFmtId="0" xfId="0">
      <alignment wrapText="1"/>
    </xf>
    <xf applyAlignment="1" applyBorder="1" applyFont="1" applyNumberFormat="1" borderId="4" fillId="0" fontId="5" numFmtId="1" xfId="0">
      <alignment horizontal="center"/>
    </xf>
    <xf applyAlignment="1" applyBorder="1" applyFill="1" applyFont="1" applyProtection="1" borderId="0" fillId="5" fontId="35" numFmtId="0" xfId="0">
      <alignment horizontal="right"/>
    </xf>
    <xf applyAlignment="1" applyBorder="1" applyFill="1" applyFont="1" applyProtection="1" borderId="0" fillId="5" fontId="70" numFmtId="0" xfId="0">
      <alignment horizontal="right"/>
    </xf>
    <xf applyAlignment="1" applyBorder="1" applyFill="1" applyFont="1" applyProtection="1" borderId="0" fillId="0" fontId="4" numFmtId="0" xfId="0">
      <alignment horizontal="center"/>
    </xf>
    <xf applyAlignment="1" applyBorder="1" applyFill="1" applyFont="1" applyNumberFormat="1" applyProtection="1" borderId="0" fillId="0" fontId="4" numFmtId="2" xfId="0">
      <alignment horizontal="center"/>
    </xf>
    <xf applyBorder="1" applyFill="1" applyFont="1" applyProtection="1" borderId="20" fillId="5" fontId="4" numFmtId="0" xfId="0"/>
    <xf applyBorder="1" applyFill="1" applyFont="1" applyProtection="1" borderId="21" fillId="5" fontId="4" numFmtId="0" xfId="0"/>
    <xf applyAlignment="1" applyBorder="1" applyFill="1" applyFont="1" applyProtection="1" borderId="22" fillId="5" fontId="4" numFmtId="0" xfId="0">
      <alignment horizontal="right"/>
    </xf>
    <xf applyBorder="1" applyFill="1" applyFont="1" applyProtection="1" borderId="23" fillId="5" fontId="4" numFmtId="0" xfId="0"/>
    <xf applyAlignment="1" applyBorder="1" applyFill="1" applyFont="1" applyProtection="1" borderId="22" fillId="5" fontId="70" numFmtId="0" xfId="0">
      <alignment horizontal="right"/>
    </xf>
    <xf applyBorder="1" applyFill="1" applyFont="1" applyProtection="1" borderId="22" fillId="5" fontId="4" numFmtId="0" xfId="0"/>
    <xf applyBorder="1" applyFill="1" applyFont="1" applyProtection="1" borderId="24" fillId="5" fontId="4" numFmtId="0" xfId="0"/>
    <xf applyBorder="1" applyFill="1" applyFont="1" applyProtection="1" borderId="25" fillId="5" fontId="4" numFmtId="0" xfId="0"/>
    <xf applyBorder="1" applyFill="1" applyFont="1" applyProtection="1" borderId="26" fillId="5" fontId="4" numFmtId="0" xfId="0"/>
    <xf applyAlignment="1" applyBorder="1" applyFill="1" applyFont="1" applyProtection="1" borderId="22" fillId="5" fontId="35" numFmtId="0" xfId="0">
      <alignment horizontal="right"/>
    </xf>
    <xf applyAlignment="1" applyBorder="1" applyFill="1" applyFont="1" applyProtection="1" borderId="24" fillId="5" fontId="70" numFmtId="0" xfId="0">
      <alignment horizontal="right"/>
    </xf>
    <xf applyAlignment="1" applyBorder="1" applyFill="1" applyFont="1" applyProtection="1" borderId="25" fillId="5" fontId="35" numFmtId="0" xfId="0">
      <alignment horizontal="right"/>
    </xf>
    <xf applyAlignment="1" applyBorder="1" applyFill="1" applyFont="1" applyNumberFormat="1" applyProtection="1" borderId="0" fillId="5" fontId="4" numFmtId="1" xfId="0">
      <alignment horizontal="right"/>
    </xf>
    <xf applyAlignment="1" applyBorder="1" applyFill="1" applyFont="1" applyProtection="1" borderId="22" fillId="5" fontId="39" numFmtId="0" xfId="0">
      <alignment horizontal="right"/>
    </xf>
    <xf applyBorder="1" applyFill="1" applyFont="1" applyProtection="1" borderId="19" fillId="5" fontId="57" numFmtId="0" xfId="0"/>
    <xf applyBorder="1" applyFill="1" applyFont="1" applyProtection="1" borderId="20" fillId="5" fontId="39" numFmtId="0" xfId="0"/>
    <xf applyBorder="1" applyFill="1" applyFont="1" applyProtection="1" borderId="21" fillId="5" fontId="39" numFmtId="0" xfId="0"/>
    <xf applyAlignment="1" applyBorder="1" applyFill="1" applyFont="1" applyProtection="1" borderId="0" fillId="5" fontId="39" numFmtId="0" xfId="0">
      <alignment horizontal="right"/>
    </xf>
    <xf applyBorder="1" applyFill="1" applyFont="1" applyProtection="1" borderId="23" fillId="5" fontId="39" numFmtId="0" xfId="0"/>
    <xf applyBorder="1" applyFill="1" applyFont="1" applyProtection="1" borderId="22" fillId="5" fontId="39" numFmtId="0" xfId="0"/>
    <xf applyBorder="1" applyFill="1" applyFont="1" applyProtection="1" borderId="22" fillId="5" fontId="57" numFmtId="0" xfId="0"/>
    <xf applyBorder="1" applyFill="1" applyFont="1" applyProtection="1" borderId="24" fillId="5" fontId="39" numFmtId="0" xfId="0"/>
    <xf applyBorder="1" applyFill="1" applyFont="1" applyProtection="1" borderId="25" fillId="5" fontId="39" numFmtId="0" xfId="0"/>
    <xf applyBorder="1" applyFill="1" applyFont="1" applyProtection="1" borderId="26" fillId="5" fontId="39" numFmtId="0" xfId="0"/>
    <xf applyAlignment="1" applyBorder="1" applyFill="1" applyFont="1" applyNumberFormat="1" applyProtection="1" borderId="0" fillId="5" fontId="39" numFmtId="1" xfId="0">
      <alignment horizontal="right"/>
    </xf>
    <xf applyAlignment="1" applyBorder="1" applyFill="1" applyFont="1" applyProtection="1" borderId="0" fillId="5" fontId="35" numFmtId="0" xfId="0">
      <alignment horizontal="right" vertical="top"/>
    </xf>
    <xf applyBorder="1" applyFont="1" borderId="9" fillId="0" fontId="23" numFmtId="0" xfId="0"/>
    <xf applyBorder="1" applyFont="1" borderId="9" fillId="0" fontId="17" numFmtId="0" xfId="0"/>
    <xf applyBorder="1" applyFont="1" borderId="11" fillId="0" fontId="5" numFmtId="0" xfId="0"/>
    <xf applyAlignment="1" applyBorder="1" applyFont="1" borderId="10" fillId="0" fontId="5" numFmtId="0" xfId="0">
      <alignment horizontal="center"/>
    </xf>
    <xf applyAlignment="1" applyBorder="1" applyFont="1" borderId="34" fillId="0" fontId="61" numFmtId="0" xfId="0">
      <alignment horizontal="center"/>
    </xf>
    <xf applyAlignment="1" applyBorder="1" applyFont="1" borderId="35" fillId="0" fontId="61" numFmtId="0" xfId="0">
      <alignment horizontal="center"/>
    </xf>
    <xf applyBorder="1" applyFont="1" borderId="36" fillId="0" fontId="5" numFmtId="0" xfId="0"/>
    <xf applyAlignment="1" applyBorder="1" applyFont="1" borderId="37" fillId="0" fontId="61" numFmtId="0" xfId="0">
      <alignment horizontal="center"/>
    </xf>
    <xf applyAlignment="1" applyBorder="1" applyFont="1" borderId="38" fillId="0" fontId="5" numFmtId="0" xfId="0">
      <alignment horizontal="center"/>
    </xf>
    <xf applyAlignment="1" applyBorder="1" applyFont="1" borderId="39" fillId="0" fontId="5" numFmtId="0" xfId="0">
      <alignment horizontal="center"/>
    </xf>
    <xf applyAlignment="1" applyBorder="1" applyFont="1" borderId="40" fillId="0" fontId="61" numFmtId="0" xfId="0">
      <alignment horizontal="center"/>
    </xf>
    <xf applyAlignment="1" applyBorder="1" applyFont="1" borderId="41" fillId="0" fontId="5" numFmtId="0" xfId="0">
      <alignment horizontal="center"/>
    </xf>
    <xf applyAlignment="1" applyBorder="1" applyFont="1" borderId="42" fillId="0" fontId="5" numFmtId="0" xfId="0">
      <alignment horizontal="center"/>
    </xf>
    <xf applyAlignment="1" applyBorder="1" applyFill="1" applyFont="1" borderId="42" fillId="10" fontId="5" numFmtId="0" xfId="0">
      <alignment horizontal="center"/>
    </xf>
    <xf applyAlignment="1" applyBorder="1" applyFill="1" applyFont="1" borderId="43" fillId="10" fontId="5" numFmtId="0" xfId="0">
      <alignment horizontal="center"/>
    </xf>
    <xf applyAlignment="1" applyBorder="1" applyFill="1" applyFont="1" borderId="0" fillId="5" fontId="35" numFmtId="0" xfId="0">
      <alignment horizontal="left"/>
    </xf>
    <xf applyFill="1" applyFont="1" borderId="0" fillId="10" fontId="39" numFmtId="0" xfId="0"/>
    <xf applyAlignment="1" applyBorder="1" applyFill="1" applyFont="1" applyNumberFormat="1" applyProtection="1" borderId="16" fillId="10" fontId="4" numFmtId="2" xfId="0">
      <alignment horizontal="center"/>
    </xf>
    <xf applyAlignment="1" applyBorder="1" applyFill="1" applyFont="1" applyProtection="1" borderId="16" fillId="10" fontId="4" numFmtId="0" xfId="0">
      <alignment horizontal="center"/>
    </xf>
    <xf applyAlignment="1" applyBorder="1" applyFill="1" applyFont="1" applyNumberFormat="1" applyProtection="1" borderId="16" fillId="10" fontId="4" numFmtId="1" xfId="0">
      <alignment horizontal="center"/>
    </xf>
    <xf applyAlignment="1" applyBorder="1" applyFill="1" applyFont="1" applyNumberFormat="1" applyProtection="1" borderId="1" fillId="10" fontId="4" numFmtId="2" xfId="0">
      <alignment horizontal="center"/>
    </xf>
    <xf applyAlignment="1" applyFill="1" applyFont="1" borderId="0" fillId="10" fontId="39" numFmtId="0" xfId="0">
      <alignment horizontal="center"/>
    </xf>
    <xf applyAlignment="1" applyBorder="1" applyFill="1" applyFont="1" applyProtection="1" borderId="1" fillId="10" fontId="40" numFmtId="0" xfId="0">
      <alignment horizontal="center"/>
    </xf>
    <xf applyAlignment="1" applyBorder="1" applyFill="1" applyFont="1" applyProtection="1" borderId="1" fillId="10" fontId="40" numFmtId="0" xfId="0">
      <alignment horizontal="center"/>
      <protection locked="0"/>
    </xf>
    <xf applyAlignment="1" applyFont="1" borderId="0" fillId="0" fontId="4" numFmtId="0" xfId="0">
      <alignment horizontal="left" indent="1"/>
    </xf>
    <xf applyAlignment="1" applyFont="1" borderId="0" fillId="0" fontId="29" numFmtId="0" xfId="0">
      <alignment horizontal="left" indent="1"/>
    </xf>
    <xf applyFont="1" borderId="0" fillId="0" fontId="4" numFmtId="0" quotePrefix="1" xfId="0"/>
    <xf applyFont="1" borderId="0" fillId="0" fontId="29" numFmtId="0" quotePrefix="1" xfId="0"/>
    <xf applyBorder="1" applyFill="1" applyNumberFormat="1" applyProtection="1" borderId="1" fillId="0" fontId="0" numFmtId="4" xfId="0">
      <protection locked="0"/>
    </xf>
    <xf applyBorder="1" applyFill="1" applyNumberFormat="1" applyProtection="1" borderId="1" fillId="0" fontId="0" numFmtId="3" xfId="0">
      <protection locked="0"/>
    </xf>
    <xf applyBorder="1" applyFont="1" applyNumberFormat="1" applyProtection="1" borderId="0" fillId="0" fontId="4" numFmtId="4" xfId="0">
      <protection locked="0"/>
    </xf>
    <xf applyFill="1" applyFont="1" borderId="0" fillId="13" fontId="4" numFmtId="0" xfId="0"/>
    <xf applyAlignment="1" applyFill="1" applyFont="1" borderId="0" fillId="13" fontId="4" numFmtId="0" quotePrefix="1" xfId="0">
      <alignment horizontal="center"/>
    </xf>
    <xf applyAlignment="1" applyFill="1" applyFont="1" borderId="0" fillId="13" fontId="4" numFmtId="0" xfId="0">
      <alignment horizontal="center"/>
    </xf>
    <xf applyAlignment="1" applyBorder="1" applyFill="1" applyFont="1" applyNumberFormat="1" applyProtection="1" borderId="0" fillId="5" fontId="8" numFmtId="3" xfId="0">
      <protection locked="0"/>
    </xf>
    <xf applyAlignment="1" applyBorder="1" applyFill="1" applyFont="1" applyNumberFormat="1" applyProtection="1" borderId="0" fillId="5" fontId="4" numFmtId="176" xfId="1">
      <protection locked="0"/>
    </xf>
    <xf applyAlignment="1" applyBorder="1" applyFill="1" applyFont="1" applyNumberFormat="1" applyProtection="1" borderId="0" fillId="5" fontId="4" numFmtId="168" xfId="1">
      <protection locked="0"/>
    </xf>
    <xf applyFill="1" applyFont="1" applyProtection="1" borderId="0" fillId="5" fontId="8" numFmtId="0" xfId="0">
      <protection locked="0"/>
    </xf>
    <xf applyAlignment="1" applyFill="1" applyFont="1" applyProtection="1" borderId="0" fillId="5" fontId="8" numFmtId="0" xfId="0">
      <alignment horizontal="center"/>
      <protection locked="0"/>
    </xf>
    <xf applyBorder="1" applyFont="1" applyNumberFormat="1" applyProtection="1" borderId="1" fillId="0" fontId="4" numFmtId="167" xfId="1">
      <protection locked="0"/>
    </xf>
    <xf applyBorder="1" applyFill="1" applyFont="1" applyNumberFormat="1" applyProtection="1" borderId="1" fillId="0" fontId="4" numFmtId="167" xfId="0">
      <protection locked="0"/>
    </xf>
    <xf applyAlignment="1" applyBorder="1" applyFill="1" applyFont="1" applyNumberFormat="1" applyProtection="1" borderId="1" fillId="0" fontId="4" numFmtId="167" xfId="0">
      <protection locked="0"/>
    </xf>
    <xf applyAlignment="1" applyBorder="1" applyFill="1" applyFont="1" applyNumberFormat="1" applyProtection="1" borderId="1" fillId="0" fontId="4" numFmtId="167" xfId="0">
      <alignment horizontal="right"/>
      <protection locked="0"/>
    </xf>
    <xf applyBorder="1" applyFill="1" applyFont="1" applyNumberFormat="1" applyProtection="1" borderId="1" fillId="0" fontId="4" numFmtId="167" xfId="1">
      <protection locked="0"/>
    </xf>
    <xf applyAlignment="1" applyBorder="1" applyFill="1" applyFont="1" applyNumberFormat="1" applyProtection="1" borderId="1" fillId="0" fontId="4" numFmtId="167" quotePrefix="1" xfId="0">
      <alignment horizontal="right"/>
      <protection locked="0"/>
    </xf>
    <xf applyAlignment="1" applyBorder="1" applyFill="1" applyFont="1" applyProtection="1" borderId="0" fillId="4" fontId="71" numFmtId="0" xfId="0">
      <alignment horizontal="right"/>
    </xf>
    <xf applyAlignment="1" applyBorder="1" applyFill="1" applyFont="1" applyProtection="1" borderId="22" fillId="4" fontId="39" numFmtId="0" xfId="0">
      <alignment horizontal="left"/>
    </xf>
    <xf applyAlignment="1" applyBorder="1" applyFill="1" applyFont="1" applyProtection="1" borderId="19" fillId="4" fontId="39" numFmtId="0" xfId="0">
      <alignment horizontal="right"/>
    </xf>
    <xf applyBorder="1" applyFill="1" applyFont="1" applyNumberFormat="1" borderId="10" fillId="0" fontId="4" numFmtId="1" quotePrefix="1" xfId="0"/>
    <xf applyAlignment="1" applyBorder="1" applyFill="1" applyFont="1" borderId="0" fillId="0" fontId="8" numFmtId="0" xfId="0">
      <alignment horizontal="left"/>
    </xf>
    <xf applyFill="1" applyFont="1" borderId="0" fillId="0" fontId="40" numFmtId="0" xfId="0"/>
    <xf applyAlignment="1" applyBorder="1" applyFill="1" applyFont="1" borderId="1" fillId="0" fontId="4" numFmtId="0" xfId="0">
      <alignment horizontal="left"/>
    </xf>
    <xf applyAlignment="1" applyBorder="1" applyFill="1" applyFont="1" borderId="0" fillId="0" fontId="3" numFmtId="0" xfId="0">
      <alignment horizontal="left"/>
    </xf>
    <xf applyAlignment="1" applyBorder="1" applyFill="1" applyFont="1" borderId="0" fillId="0" fontId="56" numFmtId="0" xfId="0">
      <alignment horizontal="left"/>
    </xf>
    <xf applyAlignment="1" applyBorder="1" applyFill="1" applyFont="1" borderId="0" fillId="0" fontId="8" numFmtId="0" xfId="0">
      <alignment horizontal="right"/>
    </xf>
    <xf applyAlignment="1" applyBorder="1" applyFill="1" applyFont="1" applyNumberFormat="1" borderId="0" fillId="0" fontId="4" numFmtId="179" xfId="0"/>
    <xf applyAlignment="1" applyBorder="1" applyFill="1" applyFont="1" applyNumberFormat="1" borderId="16" fillId="0" fontId="4" numFmtId="2" xfId="0"/>
    <xf applyAlignment="1" applyFill="1" applyFont="1" applyNumberFormat="1" borderId="0" fillId="0" fontId="4" numFmtId="1" xfId="0">
      <alignment horizontal="right"/>
    </xf>
    <xf applyFill="1" applyFont="1" applyProtection="1" borderId="0" fillId="0" fontId="27" numFmtId="0" xfId="0"/>
    <xf applyFill="1" applyFont="1" borderId="0" fillId="0" fontId="73" numFmtId="0" xfId="0"/>
    <xf applyBorder="1" applyFill="1" applyFont="1" borderId="1" fillId="0" fontId="73" numFmtId="0" xfId="0"/>
    <xf applyBorder="1" applyFill="1" applyFont="1" borderId="0" fillId="0" fontId="73" numFmtId="0" xfId="0"/>
    <xf applyBorder="1" applyFill="1" applyFont="1" borderId="4" fillId="0" fontId="73" numFmtId="0" xfId="0"/>
    <xf applyBorder="1" applyFill="1" applyFont="1" borderId="4" fillId="0" fontId="5" numFmtId="0" xfId="0"/>
    <xf applyAlignment="1" applyBorder="1" applyFont="1" borderId="1" fillId="0" fontId="73" numFmtId="0" xfId="0">
      <alignment horizontal="left"/>
    </xf>
    <xf applyAlignment="1" applyFont="1" borderId="0" fillId="0" fontId="73" numFmtId="0" xfId="0">
      <alignment horizontal="left"/>
    </xf>
    <xf applyBorder="1" applyFill="1" applyFont="1" applyNumberFormat="1" borderId="1" fillId="10" fontId="39" numFmtId="2" xfId="0"/>
    <xf applyBorder="1" applyFont="1" applyProtection="1" borderId="1" fillId="0" fontId="39" numFmtId="0" xfId="0">
      <protection locked="0"/>
    </xf>
    <xf applyAlignment="1" applyFill="1" applyFont="1" borderId="0" fillId="0" fontId="39" numFmtId="0" xfId="0">
      <alignment horizontal="left"/>
    </xf>
    <xf applyAlignment="1" applyBorder="1" applyFill="1" applyFont="1" applyNumberFormat="1" borderId="0" fillId="0" fontId="39" numFmtId="1" xfId="0">
      <alignment horizontal="right"/>
    </xf>
    <xf applyAlignment="1" applyBorder="1" applyFill="1" applyFont="1" borderId="0" fillId="0" fontId="35" numFmtId="0" xfId="0">
      <alignment horizontal="right"/>
    </xf>
    <xf applyAlignment="1" applyBorder="1" applyFill="1" applyFont="1" applyNumberFormat="1" borderId="1" fillId="0" fontId="35" numFmtId="1" xfId="0">
      <alignment horizontal="left"/>
    </xf>
    <xf applyFill="1" applyFont="1" borderId="0" fillId="0" fontId="35" numFmtId="0" xfId="0"/>
    <xf applyBorder="1" applyFill="1" applyFont="1" borderId="25" fillId="0" fontId="4" numFmtId="0" xfId="0"/>
    <xf applyAlignment="1" applyBorder="1" applyFill="1" applyFont="1" applyNumberFormat="1" borderId="25" fillId="0" fontId="4" numFmtId="1" xfId="0">
      <alignment horizontal="left"/>
    </xf>
    <xf applyAlignment="1" applyBorder="1" applyFill="1" applyFont="1" applyNumberFormat="1" borderId="0" fillId="0" fontId="35" numFmtId="1" xfId="0">
      <alignment horizontal="left"/>
    </xf>
    <xf applyAlignment="1" applyBorder="1" applyFill="1" applyFont="1" applyNumberFormat="1" borderId="0" fillId="0" fontId="35" numFmtId="1" xfId="2">
      <alignment horizontal="right"/>
    </xf>
    <xf applyAlignment="1" applyFill="1" applyFont="1" borderId="0" fillId="0" fontId="35" numFmtId="0" xfId="0">
      <alignment horizontal="right"/>
    </xf>
    <xf applyBorder="1" applyFill="1" applyFont="1" applyNumberFormat="1" borderId="1" fillId="0" fontId="35" numFmtId="1" xfId="0"/>
    <xf applyAlignment="1" applyBorder="1" applyFill="1" applyFont="1" applyNumberFormat="1" borderId="0" fillId="0" fontId="35" numFmtId="1" xfId="0">
      <alignment horizontal="right"/>
    </xf>
    <xf applyAlignment="1" applyBorder="1" applyFill="1" applyFont="1" applyNumberFormat="1" borderId="0" fillId="0" fontId="35" numFmtId="2" xfId="0">
      <alignment horizontal="right"/>
    </xf>
    <xf applyAlignment="1" applyBorder="1" applyFill="1" applyFont="1" borderId="0" fillId="0" fontId="39" numFmtId="0" xfId="0">
      <alignment horizontal="center"/>
    </xf>
    <xf applyAlignment="1" applyBorder="1" applyFill="1" applyFont="1" applyNumberFormat="1" borderId="0" fillId="0" fontId="39" numFmtId="1" xfId="0">
      <alignment horizontal="left"/>
    </xf>
    <xf applyBorder="1" applyFill="1" applyFont="1" applyNumberFormat="1" borderId="16" fillId="0" fontId="39" numFmtId="1" xfId="2"/>
    <xf applyAlignment="1" applyBorder="1" applyFill="1" applyFont="1" borderId="0" fillId="0" fontId="39" numFmtId="0" xfId="0">
      <alignment horizontal="right"/>
    </xf>
    <xf applyBorder="1" applyFill="1" applyFont="1" applyNumberFormat="1" borderId="0" fillId="0" fontId="39" numFmtId="1" xfId="0"/>
    <xf applyAlignment="1" applyFill="1" applyFont="1" borderId="0" fillId="0" fontId="39" numFmtId="0" xfId="0">
      <alignment horizontal="right"/>
    </xf>
    <xf applyAlignment="1" applyBorder="1" applyFill="1" applyFont="1" applyNumberFormat="1" borderId="0" fillId="0" fontId="40" numFmtId="1" xfId="0">
      <alignment horizontal="left"/>
    </xf>
    <xf applyAlignment="1" applyBorder="1" applyFill="1" applyFont="1" applyNumberFormat="1" borderId="0" fillId="0" fontId="70" numFmtId="1" xfId="0">
      <alignment horizontal="right"/>
    </xf>
    <xf applyAlignment="1" applyBorder="1" applyFill="1" applyFont="1" applyNumberFormat="1" borderId="1" fillId="0" fontId="70" numFmtId="1" xfId="0">
      <alignment horizontal="left"/>
    </xf>
    <xf applyAlignment="1" applyBorder="1" applyFill="1" applyFont="1" borderId="0" fillId="0" fontId="70" numFmtId="0" xfId="0">
      <alignment horizontal="right"/>
    </xf>
    <xf applyAlignment="1" applyFill="1" applyFont="1" borderId="0" fillId="0" fontId="70" numFmtId="0" xfId="0">
      <alignment horizontal="right"/>
    </xf>
    <xf applyBorder="1" applyFill="1" applyFont="1" applyNumberFormat="1" borderId="1" fillId="0" fontId="70" numFmtId="1" xfId="0"/>
    <xf applyAlignment="1" applyBorder="1" applyFill="1" applyFont="1" applyNumberFormat="1" borderId="0" fillId="0" fontId="70" numFmtId="1" xfId="0">
      <alignment horizontal="left"/>
    </xf>
    <xf applyFill="1" applyFont="1" borderId="0" fillId="0" fontId="70" numFmtId="0" xfId="0"/>
    <xf applyBorder="1" applyFill="1" applyFont="1" applyNumberFormat="1" borderId="0" fillId="0" fontId="29" numFmtId="1" xfId="0"/>
    <xf applyAlignment="1" applyBorder="1" applyFill="1" applyFont="1" applyNumberFormat="1" borderId="16" fillId="0" fontId="4" numFmtId="1" xfId="0">
      <alignment horizontal="right"/>
    </xf>
    <xf applyBorder="1" applyFill="1" applyFont="1" borderId="0" fillId="0" fontId="35" numFmtId="0" xfId="0"/>
    <xf applyBorder="1" applyFill="1" applyFont="1" applyNumberFormat="1" borderId="0" fillId="0" fontId="72" numFmtId="1" xfId="0"/>
    <xf applyFill="1" applyFont="1" borderId="0" fillId="0" fontId="8" numFmtId="0" xfId="0"/>
    <xf applyAlignment="1" applyBorder="1" applyFill="1" applyFont="1" borderId="0" fillId="0" fontId="40" numFmtId="0" xfId="0">
      <alignment horizontal="left"/>
    </xf>
    <xf applyBorder="1" applyFill="1" applyFont="1" borderId="25" fillId="0" fontId="39" numFmtId="0" xfId="0"/>
    <xf applyBorder="1" applyFill="1" applyFont="1" borderId="1" fillId="0" fontId="35" numFmtId="0" xfId="0"/>
    <xf applyAlignment="1" applyBorder="1" applyFill="1" applyFont="1" borderId="0" fillId="0" fontId="35" numFmtId="0" xfId="0">
      <alignment horizontal="left"/>
    </xf>
    <xf applyAlignment="1" applyFill="1" applyFont="1" borderId="0" fillId="0" fontId="8" numFmtId="0" xfId="0">
      <alignment horizontal="left"/>
    </xf>
    <xf applyAlignment="1" applyBorder="1" applyFill="1" applyFont="1" borderId="0" fillId="0" fontId="39" numFmtId="0" xfId="0">
      <alignment horizontal="left"/>
    </xf>
    <xf applyAlignment="1" applyBorder="1" applyFill="1" applyFont="1" applyNumberFormat="1" borderId="0" fillId="0" fontId="39" numFmtId="2" xfId="0">
      <alignment horizontal="right"/>
    </xf>
    <xf applyBorder="1" applyFill="1" applyFont="1" borderId="1" fillId="0" fontId="70" numFmtId="0" xfId="0"/>
    <xf applyAlignment="1" applyFill="1" applyFont="1" borderId="0" fillId="0" fontId="8" numFmtId="0" xfId="0">
      <alignment horizontal="right"/>
    </xf>
    <xf applyAlignment="1" applyFill="1" applyFont="1" borderId="0" fillId="0" fontId="39" numFmtId="0" xfId="0"/>
    <xf applyAlignment="1" applyBorder="1" applyFill="1" applyFont="1" borderId="0" fillId="0" fontId="39" numFmtId="0" xfId="0"/>
    <xf applyAlignment="1" applyBorder="1" applyFill="1" applyFont="1" borderId="0" fillId="0" fontId="57" numFmtId="0" xfId="0"/>
    <xf applyBorder="1" applyFill="1" applyFont="1" applyNumberFormat="1" borderId="44" fillId="0" fontId="4" numFmtId="2" xfId="0"/>
    <xf applyAlignment="1" applyFill="1" applyFont="1" applyNumberFormat="1" borderId="0" fillId="0" fontId="35" numFmtId="2" xfId="0">
      <alignment horizontal="right"/>
    </xf>
    <xf applyBorder="1" applyFill="1" applyFont="1" applyNumberFormat="1" borderId="1" fillId="0" fontId="35" numFmtId="2" xfId="0"/>
    <xf applyBorder="1" applyFill="1" applyFont="1" applyNumberFormat="1" borderId="0" fillId="0" fontId="39" numFmtId="2" xfId="0"/>
    <xf applyFill="1" applyFont="1" applyNumberFormat="1" borderId="0" fillId="0" fontId="39" numFmtId="2" xfId="0"/>
    <xf applyFill="1" applyFont="1" applyNumberFormat="1" borderId="0" fillId="0" fontId="40" numFmtId="2" xfId="0"/>
    <xf applyBorder="1" applyFill="1" applyFont="1" applyNumberFormat="1" borderId="1" fillId="0" fontId="39" numFmtId="2" xfId="0"/>
    <xf applyBorder="1" applyFill="1" applyFont="1" applyNumberFormat="1" borderId="0" fillId="0" fontId="40" numFmtId="2" xfId="0"/>
    <xf applyAlignment="1" applyFill="1" applyFont="1" applyNumberFormat="1" borderId="0" fillId="0" fontId="40" numFmtId="2" xfId="0">
      <alignment horizontal="left"/>
    </xf>
    <xf applyFill="1" applyFont="1" applyNumberFormat="1" borderId="0" fillId="0" fontId="8" numFmtId="1" xfId="0"/>
    <xf applyBorder="1" applyFill="1" applyFont="1" applyNumberFormat="1" borderId="1" fillId="0" fontId="70" numFmtId="2" xfId="0"/>
    <xf applyBorder="1" applyFill="1" applyFont="1" applyNumberFormat="1" borderId="1" fillId="0" fontId="4" numFmtId="4" xfId="0"/>
    <xf applyAlignment="1" applyFill="1" applyFont="1" applyNumberFormat="1" borderId="0" fillId="0" fontId="8" numFmtId="1" xfId="0">
      <alignment horizontal="left"/>
    </xf>
    <xf applyAlignment="1" applyBorder="1" applyFill="1" applyFont="1" applyNumberFormat="1" borderId="0" fillId="0" fontId="35" numFmtId="171" xfId="0">
      <alignment horizontal="right"/>
    </xf>
    <xf applyAlignment="1" applyBorder="1" applyFill="1" applyFont="1" applyNumberFormat="1" borderId="1" fillId="0" fontId="35" numFmtId="1" xfId="0">
      <alignment horizontal="center"/>
    </xf>
    <xf applyBorder="1" applyFill="1" applyFont="1" applyNumberFormat="1" borderId="0" fillId="0" fontId="35" numFmtId="1" xfId="0"/>
    <xf applyAlignment="1" applyFill="1" applyFont="1" applyNumberFormat="1" borderId="0" fillId="0" fontId="35" numFmtId="1" xfId="0">
      <alignment horizontal="left"/>
    </xf>
    <xf applyAlignment="1" applyFill="1" applyFont="1" applyNumberFormat="1" borderId="0" fillId="0" fontId="35" numFmtId="1" xfId="0">
      <alignment horizontal="right"/>
    </xf>
    <xf applyFill="1" applyFont="1" applyNumberFormat="1" borderId="0" fillId="0" fontId="35" numFmtId="1" xfId="0"/>
    <xf applyAlignment="1" applyBorder="1" applyFill="1" applyFont="1" borderId="1" fillId="0" fontId="35" numFmtId="0" xfId="0">
      <alignment horizontal="center"/>
    </xf>
    <xf applyAlignment="1" applyBorder="1" applyFill="1" applyFont="1" applyNumberFormat="1" borderId="0" fillId="0" fontId="35" numFmtId="1" xfId="0">
      <alignment horizontal="left" indent="1"/>
    </xf>
    <xf applyBorder="1" applyFill="1" applyFont="1" applyNumberFormat="1" applyProtection="1" borderId="1" fillId="0" fontId="4" numFmtId="2" xfId="0">
      <protection locked="0"/>
    </xf>
    <xf applyAlignment="1" applyBorder="1" applyFill="1" applyFont="1" applyNumberFormat="1" borderId="1" fillId="0" fontId="4" numFmtId="4" xfId="2"/>
    <xf applyAlignment="1" applyBorder="1" applyFill="1" applyFont="1" borderId="0" fillId="0" fontId="35" numFmtId="0" xfId="0"/>
    <xf applyAlignment="1" applyBorder="1" applyFill="1" applyFont="1" applyNumberFormat="1" borderId="0" fillId="0" fontId="35" numFmtId="1" xfId="0">
      <alignment horizontal="center"/>
    </xf>
    <xf applyAlignment="1" applyFill="1" applyFont="1" borderId="0" fillId="0" fontId="35" numFmtId="0" xfId="0">
      <alignment horizontal="left"/>
    </xf>
    <xf applyAlignment="1" applyBorder="1" applyFill="1" applyFont="1" applyNumberFormat="1" borderId="0" fillId="0" fontId="35" numFmtId="3" xfId="0">
      <alignment horizontal="right"/>
    </xf>
    <xf applyAlignment="1" applyBorder="1" applyFill="1" applyFont="1" borderId="0" fillId="0" fontId="35" numFmtId="169" xfId="2">
      <alignment horizontal="right"/>
    </xf>
    <xf applyBorder="1" applyFill="1" applyFont="1" applyNumberFormat="1" borderId="1" fillId="0" fontId="39" numFmtId="3" xfId="0"/>
    <xf applyAlignment="1" applyFill="1" applyFont="1" borderId="0" fillId="0" fontId="40" numFmtId="0" xfId="0">
      <alignment horizontal="center"/>
    </xf>
    <xf applyAlignment="1" applyBorder="1" applyFill="1" applyFont="1" applyNumberFormat="1" borderId="1" fillId="0" fontId="4" numFmtId="1" xfId="0"/>
    <xf applyAlignment="1" applyBorder="1" applyFill="1" applyFont="1" applyNumberFormat="1" borderId="1" fillId="0" fontId="4" numFmtId="3" xfId="0"/>
    <xf applyBorder="1" applyFill="1" applyFont="1" borderId="0" fillId="0" fontId="40" numFmtId="0" xfId="0"/>
    <xf applyAlignment="1" applyBorder="1" applyFill="1" applyFont="1" borderId="1" fillId="0" fontId="70" numFmtId="0" xfId="0">
      <alignment horizontal="center"/>
    </xf>
    <xf applyAlignment="1" applyFill="1" applyFont="1" borderId="0" fillId="0" fontId="40" numFmtId="0" xfId="0">
      <alignment horizontal="left"/>
    </xf>
    <xf applyBorder="1" applyFill="1" applyFont="1" borderId="0" fillId="0" fontId="70" numFmtId="0" xfId="0"/>
    <xf applyAlignment="1" applyFill="1" applyFont="1" borderId="0" fillId="0" fontId="70" numFmtId="0" xfId="0">
      <alignment horizontal="center"/>
    </xf>
    <xf applyAlignment="1" applyFill="1" applyFont="1" applyNumberFormat="1" borderId="0" fillId="0" fontId="70" numFmtId="2" xfId="0">
      <alignment horizontal="right"/>
    </xf>
    <xf applyAlignment="1" applyBorder="1" applyFill="1" applyFont="1" borderId="0" fillId="8" fontId="57" numFmtId="0" xfId="0">
      <alignment horizontal="center"/>
    </xf>
    <xf applyAlignment="1" applyFill="1" applyFont="1" applyNumberFormat="1" borderId="0" fillId="0" fontId="4" numFmtId="179" xfId="0">
      <alignment horizontal="right"/>
    </xf>
    <xf applyAlignment="1" applyBorder="1" applyFill="1" applyFont="1" borderId="0" fillId="0" fontId="4" numFmtId="170" xfId="1"/>
    <xf applyAlignment="1" applyBorder="1" applyFill="1" applyFont="1" applyNumberFormat="1" borderId="0" fillId="0" fontId="4" numFmtId="179" xfId="0">
      <alignment horizontal="right"/>
    </xf>
    <xf applyFill="1" applyFont="1" borderId="0" fillId="0" fontId="27" numFmtId="0" xfId="0"/>
    <xf applyAlignment="1" applyBorder="1" applyFill="1" applyFont="1" borderId="13" fillId="0" fontId="8" numFmtId="0" xfId="0">
      <alignment horizontal="right"/>
    </xf>
    <xf applyAlignment="1" applyBorder="1" applyFill="1" applyFont="1" borderId="13" fillId="0" fontId="8" numFmtId="0" xfId="0"/>
    <xf applyAlignment="1" applyBorder="1" applyFill="1" applyFont="1" borderId="0" fillId="0" fontId="25" numFmtId="0" xfId="0"/>
    <xf applyAlignment="1" applyBorder="1" applyFill="1" applyFont="1" borderId="0" fillId="0" fontId="21" numFmtId="0" xfId="0"/>
    <xf applyAlignment="1" applyBorder="1" applyFill="1" applyFont="1" borderId="0" fillId="0" fontId="22" numFmtId="0" xfId="0">
      <alignment horizontal="right"/>
    </xf>
    <xf applyAlignment="1" applyBorder="1" applyFill="1" applyFont="1" borderId="0" fillId="0" fontId="22" numFmtId="0" xfId="0"/>
    <xf applyAlignment="1" applyBorder="1" applyFill="1" applyFont="1" applyNumberFormat="1" borderId="0" fillId="0" fontId="21" numFmtId="178" xfId="1">
      <alignment horizontal="right"/>
    </xf>
    <xf applyAlignment="1" applyFill="1" applyFont="1" borderId="0" fillId="0" fontId="10" numFmtId="0" xfId="0"/>
    <xf applyAlignment="1" applyBorder="1" applyFill="1" applyFont="1" borderId="0" fillId="0" fontId="26" numFmtId="0" xfId="0"/>
    <xf applyAlignment="1" applyFill="1" applyFont="1" applyNumberFormat="1" borderId="0" fillId="0" fontId="21" numFmtId="1" xfId="0"/>
    <xf applyAlignment="1" applyFill="1" applyFont="1" applyNumberFormat="1" borderId="0" fillId="0" fontId="4" numFmtId="1" xfId="0"/>
    <xf applyAlignment="1" applyFill="1" applyFont="1" borderId="0" fillId="0" fontId="33" numFmtId="0" xfId="0">
      <alignment horizontal="right"/>
    </xf>
    <xf applyFill="1" applyFont="1" borderId="0" fillId="0" fontId="7" numFmtId="0" xfId="0"/>
    <xf applyBorder="1" applyFill="1" applyNumberFormat="1" borderId="1" fillId="0" fontId="0" numFmtId="9" xfId="0"/>
    <xf applyFill="1" applyFont="1" borderId="0" fillId="0" fontId="43" numFmtId="0" xfId="0"/>
    <xf applyFill="1" applyFont="1" applyNumberFormat="1" borderId="0" fillId="0" fontId="39" numFmtId="3" xfId="0"/>
    <xf applyBorder="1" applyFill="1" applyFont="1" applyNumberFormat="1" borderId="1" fillId="0" fontId="39" numFmtId="3" xfId="1"/>
    <xf applyBorder="1" applyFill="1" applyFont="1" applyNumberFormat="1" borderId="0" fillId="0" fontId="39" numFmtId="3" xfId="0"/>
    <xf applyBorder="1" applyFill="1" applyNumberFormat="1" borderId="0" fillId="0" fontId="0" numFmtId="9" xfId="0"/>
    <xf applyBorder="1" applyFill="1" applyNumberFormat="1" borderId="0" fillId="0" fontId="0" numFmtId="177" xfId="0"/>
    <xf applyNumberFormat="1" borderId="0" fillId="0" fontId="0" numFmtId="9" xfId="0"/>
    <xf applyAlignment="1" applyBorder="1" applyProtection="1" borderId="1" fillId="0" fontId="0" numFmtId="0" xfId="0">
      <alignment horizontal="center"/>
      <protection locked="0"/>
    </xf>
    <xf applyBorder="1" applyNumberFormat="1" borderId="1" fillId="0" fontId="0" numFmtId="4" xfId="0"/>
    <xf borderId="0" fillId="0" fontId="0" numFmtId="0" quotePrefix="1" xfId="0"/>
    <xf applyAlignment="1" applyFont="1" borderId="0" fillId="0" fontId="7" numFmtId="0" xfId="0">
      <alignment horizontal="center"/>
    </xf>
    <xf applyAlignment="1" applyBorder="1" applyFill="1" applyFont="1" borderId="0" fillId="8" fontId="57" numFmtId="0" quotePrefix="1" xfId="0">
      <alignment horizontal="center"/>
    </xf>
    <xf applyAlignment="1" applyBorder="1" applyFill="1" applyFont="1" applyProtection="1" borderId="17" fillId="0" fontId="4" numFmtId="0" xfId="0">
      <alignment vertical="top" wrapText="1"/>
      <protection locked="0"/>
    </xf>
    <xf applyFill="1" applyFont="1" borderId="0" fillId="5" fontId="39" numFmtId="0" xfId="0"/>
    <xf applyFill="1" applyFont="1" borderId="0" fillId="0" fontId="77" numFmtId="0" xfId="0"/>
    <xf applyBorder="1" applyFill="1" applyFont="1" applyNumberFormat="1" borderId="0" fillId="0" fontId="70" numFmtId="2" xfId="0"/>
    <xf applyFill="1" applyFont="1" borderId="0" fillId="0" fontId="75" numFmtId="0" xfId="0"/>
    <xf applyAlignment="1" applyFill="1" applyFont="1" borderId="0" fillId="0" fontId="75" numFmtId="0" xfId="0">
      <alignment horizontal="right"/>
    </xf>
    <xf applyBorder="1" applyFill="1" applyFont="1" applyNumberFormat="1" borderId="1" fillId="0" fontId="4" numFmtId="178" xfId="0"/>
    <xf applyFill="1" applyFont="1" borderId="0" fillId="0" fontId="58" numFmtId="0" xfId="0"/>
    <xf applyAlignment="1" applyBorder="1" applyFill="1" applyFont="1" borderId="25" fillId="0" fontId="4" numFmtId="0" xfId="0">
      <alignment horizontal="left"/>
    </xf>
    <xf applyBorder="1" applyFill="1" applyFont="1" applyNumberFormat="1" borderId="25" fillId="0" fontId="4" numFmtId="178" xfId="0"/>
    <xf applyAlignment="1" applyFill="1" applyFont="1" borderId="0" fillId="0" fontId="35" numFmtId="0" quotePrefix="1" xfId="0">
      <alignment horizontal="left"/>
    </xf>
    <xf applyBorder="1" applyFill="1" applyFont="1" applyNumberFormat="1" borderId="1" fillId="0" fontId="4" numFmtId="179" xfId="0"/>
    <xf applyAlignment="1" applyFill="1" applyFont="1" borderId="0" fillId="0" fontId="35" numFmtId="0" xfId="0">
      <alignment horizontal="left" indent="1"/>
    </xf>
    <xf applyFill="1" applyFont="1" applyNumberFormat="1" borderId="0" fillId="0" fontId="4" numFmtId="3" xfId="0"/>
    <xf applyFill="1" applyFont="1" applyNumberFormat="1" borderId="0" fillId="0" fontId="4" numFmtId="4" xfId="0"/>
    <xf applyBorder="1" applyFill="1" applyFont="1" borderId="1" fillId="0" fontId="6" numFmtId="0" xfId="0"/>
    <xf applyAlignment="1" applyBorder="1" applyFill="1" applyFont="1" borderId="1" fillId="0" fontId="5" numFmtId="0" xfId="0"/>
    <xf applyAlignment="1" applyBorder="1" applyFill="1" applyFont="1" borderId="17" fillId="0" fontId="5" numFmtId="0" xfId="0">
      <alignment vertical="top"/>
    </xf>
    <xf applyFont="1" applyNumberFormat="1" borderId="0" fillId="0" fontId="4" numFmtId="3" xfId="0"/>
    <xf applyAlignment="1" applyFill="1" applyFont="1" borderId="0" fillId="0" fontId="4" numFmtId="0" quotePrefix="1" xfId="0">
      <alignment horizontal="center"/>
    </xf>
    <xf applyAlignment="1" applyBorder="1" applyFill="1" applyFont="1" applyNumberFormat="1" borderId="1" fillId="13" fontId="4" numFmtId="176" xfId="1">
      <alignment horizontal="right"/>
    </xf>
    <xf applyBorder="1" applyFill="1" applyFont="1" applyNumberFormat="1" borderId="1" fillId="13" fontId="4" numFmtId="176" xfId="1"/>
    <xf applyAlignment="1" applyBorder="1" applyFill="1" applyFont="1" applyProtection="1" borderId="16" fillId="0" fontId="4" numFmtId="0" xfId="0">
      <alignment vertical="top" wrapText="1"/>
      <protection locked="0"/>
    </xf>
    <xf applyAlignment="1" applyFont="1" applyProtection="1" borderId="0" fillId="0" fontId="4" numFmtId="0" xfId="0">
      <alignment wrapText="1"/>
      <protection locked="0"/>
    </xf>
    <xf applyBorder="1" applyFill="1" applyFont="1" applyProtection="1" borderId="16" fillId="0" fontId="4" numFmtId="0" xfId="0">
      <protection locked="0"/>
    </xf>
    <xf applyBorder="1" applyFill="1" applyFont="1" applyProtection="1" borderId="30" fillId="0" fontId="4" numFmtId="0" xfId="0">
      <protection locked="0"/>
    </xf>
    <xf applyAlignment="1" applyBorder="1" applyFill="1" applyFont="1" applyProtection="1" borderId="16" fillId="0" fontId="4" numFmtId="0" xfId="0">
      <alignment wrapText="1"/>
      <protection locked="0"/>
    </xf>
    <xf applyAlignment="1" applyBorder="1" applyFill="1" applyFont="1" applyProtection="1" borderId="7" fillId="0" fontId="4" numFmtId="0" xfId="0">
      <alignment vertical="top" wrapText="1"/>
      <protection locked="0"/>
    </xf>
    <xf applyAlignment="1" applyFill="1" applyFont="1" borderId="0" fillId="0" fontId="57" numFmtId="0" xfId="0">
      <alignment horizontal="right"/>
    </xf>
    <xf applyFill="1" applyFont="1" borderId="0" fillId="0" fontId="57" numFmtId="0" xfId="0"/>
    <xf applyFill="1" applyFont="1" applyNumberFormat="1" borderId="0" fillId="0" fontId="4" numFmtId="174" xfId="0"/>
    <xf applyAlignment="1" applyBorder="1" applyFill="1" applyFont="1" applyNumberFormat="1" borderId="0" fillId="0" fontId="4" numFmtId="178" xfId="1"/>
    <xf applyBorder="1" applyFill="1" applyFont="1" applyNumberFormat="1" borderId="54" fillId="0" fontId="4" numFmtId="178" xfId="0"/>
    <xf applyAlignment="1" applyBorder="1" applyFill="1" applyFont="1" borderId="0" fillId="0" fontId="33" numFmtId="0" xfId="0">
      <alignment horizontal="right"/>
    </xf>
    <xf applyAlignment="1" applyBorder="1" applyFill="1" applyFont="1" applyNumberFormat="1" borderId="0" fillId="0" fontId="4" numFmtId="173" xfId="0"/>
    <xf applyAlignment="1" applyFill="1" applyFont="1" applyNumberFormat="1" borderId="0" fillId="0" fontId="8" numFmtId="2" xfId="0">
      <alignment horizontal="right"/>
    </xf>
    <xf applyAlignment="1" applyFill="1" applyFont="1" applyNumberFormat="1" borderId="0" fillId="0" fontId="35" numFmtId="2" xfId="0">
      <alignment horizontal="left"/>
    </xf>
    <xf applyBorder="1" applyFill="1" applyFont="1" applyNumberFormat="1" borderId="1" fillId="0" fontId="4" numFmtId="1" xfId="1"/>
    <xf applyBorder="1" applyFill="1" applyFont="1" applyNumberFormat="1" borderId="1" fillId="0" fontId="4" numFmtId="4" xfId="1"/>
    <xf applyBorder="1" applyFill="1" applyFont="1" applyNumberFormat="1" borderId="0" fillId="0" fontId="35" numFmtId="2" xfId="0"/>
    <xf applyBorder="1" applyFill="1" applyFont="1" applyNumberFormat="1" borderId="0" fillId="0" fontId="4" numFmtId="1" xfId="1"/>
    <xf applyAlignment="1" applyFill="1" applyFont="1" applyNumberFormat="1" borderId="0" fillId="0" fontId="39" numFmtId="2" xfId="0">
      <alignment horizontal="right"/>
    </xf>
    <xf applyAlignment="1" applyFill="1" applyFont="1" borderId="0" fillId="0" fontId="56" numFmtId="0" xfId="0">
      <alignment horizontal="right"/>
    </xf>
    <xf applyAlignment="1" applyBorder="1" applyFill="1" applyFont="1" applyNumberFormat="1" borderId="0" fillId="0" fontId="4" numFmtId="3" xfId="0">
      <alignment horizontal="right"/>
    </xf>
    <xf applyBorder="1" applyFill="1" applyFont="1" applyNumberFormat="1" borderId="16" fillId="0" fontId="4" numFmtId="4" xfId="0"/>
    <xf applyAlignment="1" applyFill="1" applyFont="1" borderId="0" fillId="0" fontId="36" numFmtId="0" xfId="0">
      <alignment horizontal="right"/>
    </xf>
    <xf applyAlignment="1" applyBorder="1" applyFill="1" applyFont="1" applyNumberFormat="1" borderId="55" fillId="0" fontId="4" numFmtId="179" xfId="0">
      <alignment horizontal="right"/>
    </xf>
    <xf applyBorder="1" applyFill="1" applyFont="1" applyNumberFormat="1" borderId="1" fillId="0" fontId="0" numFmtId="176" xfId="1"/>
    <xf applyAlignment="1" applyBorder="1" applyFill="1" applyFont="1" applyNumberFormat="1" borderId="1" fillId="0" fontId="4" numFmtId="3" xfId="0">
      <alignment horizontal="right"/>
    </xf>
    <xf applyBorder="1" applyFill="1" applyFont="1" applyNumberFormat="1" borderId="0" fillId="0" fontId="4" numFmtId="178" xfId="0"/>
    <xf applyBorder="1" applyFill="1" applyFont="1" applyNumberFormat="1" applyProtection="1" borderId="18" fillId="0" fontId="4" numFmtId="4" xfId="0">
      <protection locked="0"/>
    </xf>
    <xf applyBorder="1" applyFill="1" applyFont="1" applyProtection="1" borderId="7" fillId="0" fontId="4" numFmtId="0" xfId="0">
      <protection locked="0"/>
    </xf>
    <xf applyBorder="1" applyFill="1" applyFont="1" applyProtection="1" borderId="27" fillId="0" fontId="4" numFmtId="0" xfId="0">
      <protection locked="0"/>
    </xf>
    <xf applyBorder="1" applyFill="1" applyFont="1" applyNumberFormat="1" applyProtection="1" borderId="1" fillId="0" fontId="4" numFmtId="178" xfId="0">
      <protection locked="0"/>
    </xf>
    <xf applyBorder="1" applyFill="1" applyNumberFormat="1" borderId="1" fillId="0" fontId="0" numFmtId="3" xfId="0"/>
    <xf applyBorder="1" applyFill="1" applyFont="1" applyNumberFormat="1" borderId="1" fillId="0" fontId="4" numFmtId="3" xfId="4"/>
    <xf applyFill="1" applyFont="1" applyProtection="1" borderId="0" fillId="4" fontId="4" numFmtId="0" xfId="0"/>
    <xf applyAlignment="1" applyFill="1" applyFont="1" applyProtection="1" borderId="0" fillId="4" fontId="4" numFmtId="0" xfId="0">
      <alignment horizontal="center"/>
    </xf>
    <xf applyAlignment="1" applyBorder="1" borderId="1" fillId="0" fontId="0" numFmtId="0" xfId="0">
      <alignment horizontal="left"/>
    </xf>
    <xf applyAlignment="1" applyFill="1" applyFont="1" borderId="0" fillId="0" fontId="4" numFmtId="0" xfId="0">
      <alignment horizontal="left" indent="1"/>
    </xf>
    <xf applyAlignment="1" applyFill="1" applyFont="1" applyProtection="1" borderId="0" fillId="4" fontId="4" numFmtId="0" xfId="0"/>
    <xf applyBorder="1" applyFill="1" applyFont="1" applyProtection="1" borderId="1" fillId="4" fontId="73" numFmtId="0" xfId="0"/>
    <xf applyAlignment="1" applyBorder="1" applyFill="1" applyFont="1" applyProtection="1" borderId="0" fillId="4" fontId="76" numFmtId="0" xfId="0">
      <alignment horizontal="left"/>
    </xf>
    <xf applyAlignment="1" applyBorder="1" applyFont="1" applyNumberFormat="1" borderId="4" fillId="0" fontId="61" numFmtId="2" xfId="0">
      <alignment horizontal="center"/>
    </xf>
    <xf applyFill="1" applyFont="1" applyProtection="1" borderId="0" fillId="5" fontId="5" numFmtId="0" xfId="0"/>
    <xf applyAlignment="1" applyBorder="1" applyFill="1" applyFont="1" applyProtection="1" borderId="12" fillId="0" fontId="4" numFmtId="0" xfId="0">
      <alignment vertical="top" wrapText="1"/>
      <protection locked="0"/>
    </xf>
    <xf applyAlignment="1" applyBorder="1" applyFill="1" applyFont="1" applyNumberFormat="1" applyProtection="1" borderId="20" fillId="4" fontId="65" numFmtId="1" xfId="0">
      <alignment horizontal="right"/>
    </xf>
    <xf applyAlignment="1" applyBorder="1" applyFill="1" applyFont="1" applyProtection="1" borderId="0" fillId="4" fontId="65" numFmtId="0" xfId="0">
      <alignment horizontal="right"/>
    </xf>
    <xf applyBorder="1" applyFill="1" applyFont="1" applyProtection="1" borderId="0" fillId="4" fontId="65" numFmtId="0" quotePrefix="1" xfId="0"/>
    <xf applyBorder="1" applyFill="1" applyFont="1" applyProtection="1" borderId="1" fillId="3" fontId="43" numFmtId="0" xfId="0">
      <protection locked="0"/>
    </xf>
    <xf applyAlignment="1" applyBorder="1" applyFill="1" applyFont="1" applyNumberFormat="1" applyProtection="1" borderId="21" fillId="4" fontId="80" numFmtId="1" xfId="0">
      <alignment horizontal="right"/>
    </xf>
    <xf applyFont="1" borderId="0" fillId="0" fontId="1" numFmtId="0" xfId="0"/>
    <xf applyAlignment="1" applyFont="1" applyProtection="1" borderId="0" fillId="0" fontId="1" numFmtId="0" xfId="0"/>
    <xf applyBorder="1" applyFill="1" applyFont="1" applyProtection="1" borderId="23" fillId="4" fontId="65" numFmtId="0" xfId="0"/>
    <xf applyBorder="1" applyFill="1" applyFont="1" applyProtection="1" borderId="1" fillId="10" fontId="45" numFmtId="0" xfId="0">
      <protection locked="0"/>
    </xf>
    <xf applyBorder="1" applyFill="1" applyFont="1" applyProtection="1" borderId="1" fillId="10" fontId="46" numFmtId="0" xfId="0">
      <protection locked="0"/>
    </xf>
    <xf applyBorder="1" applyFill="1" applyFont="1" applyProtection="1" borderId="1" fillId="10" fontId="43" numFmtId="0" xfId="0">
      <protection locked="0"/>
    </xf>
    <xf applyAlignment="1" applyBorder="1" applyFill="1" applyFont="1" applyProtection="1" borderId="21" fillId="8" fontId="70" numFmtId="0" xfId="0">
      <alignment horizontal="right"/>
    </xf>
    <xf applyFill="1" applyFont="1" applyProtection="1" borderId="0" fillId="5" fontId="60" numFmtId="0" xfId="0"/>
    <xf applyAlignment="1" applyFill="1" applyFont="1" applyProtection="1" borderId="0" fillId="5" fontId="60" numFmtId="0" xfId="0">
      <alignment horizontal="center"/>
    </xf>
    <xf applyAlignment="1" applyBorder="1" applyFill="1" applyFont="1" applyProtection="1" borderId="19" fillId="8" fontId="48" numFmtId="0" xfId="0">
      <alignment horizontal="left"/>
    </xf>
    <xf applyAlignment="1" applyBorder="1" applyFill="1" applyFont="1" applyProtection="1" borderId="23" fillId="8" fontId="39" numFmtId="0" xfId="0">
      <alignment horizontal="left"/>
    </xf>
    <xf applyBorder="1" applyFont="1" applyNumberFormat="1" applyProtection="1" borderId="18" fillId="0" fontId="4" numFmtId="2" xfId="0"/>
    <xf applyBorder="1" applyFont="1" applyNumberFormat="1" applyProtection="1" borderId="18" fillId="0" fontId="4" numFmtId="4" xfId="0">
      <protection locked="0"/>
    </xf>
    <xf applyAlignment="1" applyBorder="1" applyFill="1" applyFont="1" applyProtection="1" borderId="18" fillId="3" fontId="81" numFmtId="0" xfId="0">
      <alignment horizontal="center"/>
    </xf>
    <xf applyBorder="1" applyFill="1" applyFont="1" applyNumberFormat="1" applyProtection="1" borderId="18" fillId="3" fontId="4" numFmtId="3" xfId="2">
      <protection locked="0"/>
    </xf>
    <xf applyAlignment="1" applyBorder="1" applyFill="1" applyFont="1" applyProtection="1" borderId="26" fillId="8" fontId="39" numFmtId="0" xfId="0">
      <alignment horizontal="left"/>
    </xf>
    <xf applyFill="1" applyFont="1" applyProtection="1" borderId="0" fillId="5" fontId="29" numFmtId="0" xfId="0"/>
    <xf applyFont="1" borderId="0" fillId="0" fontId="82" numFmtId="0" xfId="0"/>
    <xf applyAlignment="1" applyFill="1" applyFont="1" applyNumberFormat="1" borderId="0" fillId="0" fontId="10" numFmtId="2" xfId="0">
      <alignment horizontal="left"/>
    </xf>
    <xf applyNumberFormat="1" borderId="0" fillId="0" fontId="0" numFmtId="179" xfId="0"/>
    <xf applyAlignment="1" applyNumberFormat="1" borderId="0" fillId="0" fontId="0" numFmtId="179" xfId="0">
      <alignment horizontal="right"/>
    </xf>
    <xf applyAlignment="1" borderId="0" fillId="0" fontId="0" numFmtId="0" quotePrefix="1" xfId="0">
      <alignment horizontal="center"/>
    </xf>
    <xf applyNumberFormat="1" borderId="0" fillId="0" fontId="0" numFmtId="178" xfId="0"/>
    <xf applyBorder="1" applyNumberFormat="1" borderId="30" fillId="0" fontId="0" numFmtId="179" xfId="0"/>
    <xf applyBorder="1" applyNumberFormat="1" borderId="30" fillId="0" fontId="0" numFmtId="178" xfId="0"/>
    <xf applyAlignment="1" borderId="0" fillId="0" fontId="0" numFmtId="0" xfId="0">
      <alignment horizontal="center"/>
    </xf>
    <xf applyAlignment="1" applyFont="1" applyNumberFormat="1" borderId="0" fillId="0" fontId="10" numFmtId="178" xfId="0">
      <alignment horizontal="right"/>
    </xf>
    <xf applyNumberFormat="1" borderId="0" fillId="0" fontId="0" numFmtId="1" xfId="0"/>
    <xf applyAlignment="1" applyFont="1" borderId="0" fillId="0" fontId="10" numFmtId="0" xfId="0">
      <alignment horizontal="center"/>
    </xf>
    <xf applyAlignment="1" applyFont="1" applyNumberFormat="1" borderId="0" fillId="0" fontId="10" numFmtId="179" xfId="0">
      <alignment horizontal="right"/>
    </xf>
    <xf applyAlignment="1" applyFont="1" borderId="0" fillId="0" fontId="10" numFmtId="0" quotePrefix="1" xfId="0">
      <alignment horizontal="center"/>
    </xf>
    <xf applyBorder="1" applyFill="1" applyFont="1" applyNumberFormat="1" borderId="0" fillId="0" fontId="10" numFmtId="178" xfId="0"/>
    <xf applyFont="1" applyNumberFormat="1" borderId="0" fillId="0" fontId="10" numFmtId="179" xfId="0"/>
    <xf applyBorder="1" applyFont="1" applyNumberFormat="1" borderId="30" fillId="0" fontId="10" numFmtId="179" xfId="0"/>
    <xf applyBorder="1" applyFill="1" applyFont="1" applyNumberFormat="1" borderId="30" fillId="0" fontId="10" numFmtId="178" xfId="0"/>
    <xf applyFont="1" applyNumberFormat="1" borderId="0" fillId="0" fontId="10" numFmtId="178" xfId="0"/>
    <xf applyFont="1" applyNumberFormat="1" borderId="0" fillId="0" fontId="7" numFmtId="178" xfId="0"/>
    <xf applyBorder="1" applyFont="1" applyNumberFormat="1" borderId="1" fillId="0" fontId="7" numFmtId="178" xfId="0"/>
    <xf applyAlignment="1" applyBorder="1" applyFill="1" applyFont="1" borderId="0" fillId="0" fontId="35" numFmtId="0" xfId="0">
      <alignment horizontal="center"/>
    </xf>
    <xf applyFill="1" applyFont="1" borderId="0" fillId="0" fontId="79" numFmtId="0" xfId="0"/>
    <xf applyFill="1" applyFont="1" borderId="0" fillId="0" fontId="21" numFmtId="0" xfId="0"/>
    <xf applyAlignment="1" applyBorder="1" applyFill="1" applyFont="1" applyNumberFormat="1" borderId="1" fillId="0" fontId="39" numFmtId="3" xfId="0"/>
    <xf applyAlignment="1" applyBorder="1" applyFill="1" applyFont="1" borderId="0" fillId="0" fontId="70" numFmtId="0" xfId="0">
      <alignment horizontal="center"/>
    </xf>
    <xf applyBorder="1" applyFill="1" applyFont="1" applyNumberFormat="1" borderId="0" fillId="0" fontId="39" numFmtId="4" xfId="0"/>
    <xf applyBorder="1" applyFill="1" applyFont="1" applyNumberFormat="1" borderId="1" fillId="0" fontId="39" numFmtId="4" xfId="0"/>
    <xf applyAlignment="1" applyBorder="1" applyFont="1" borderId="6" fillId="0" fontId="61" numFmtId="0" xfId="0">
      <alignment horizontal="center"/>
    </xf>
    <xf applyAlignment="1" applyBorder="1" applyFont="1" borderId="9" fillId="0" fontId="5" numFmtId="0" xfId="0">
      <alignment horizontal="center"/>
    </xf>
    <xf applyBorder="1" applyFill="1" applyFont="1" borderId="11" fillId="0" fontId="5" numFmtId="0" xfId="0"/>
    <xf applyAlignment="1" applyFill="1" applyFont="1" borderId="0" fillId="0" fontId="28" numFmtId="0" xfId="0">
      <alignment horizontal="center"/>
    </xf>
    <xf applyAlignment="1" applyBorder="1" applyFill="1" applyFont="1" borderId="0" fillId="0" fontId="16" numFmtId="0" xfId="0">
      <alignment horizontal="left" indent="1"/>
    </xf>
    <xf applyAlignment="1" applyFill="1" applyFont="1" borderId="0" fillId="0" fontId="5" numFmtId="0" xfId="0">
      <alignment horizontal="left" indent="1"/>
    </xf>
    <xf applyAlignment="1" applyFill="1" applyFont="1" borderId="0" fillId="0" fontId="4" numFmtId="0" xfId="0">
      <alignment wrapText="1"/>
    </xf>
    <xf applyAlignment="1" applyBorder="1" applyFill="1" applyFont="1" applyNumberFormat="1" borderId="0" fillId="0" fontId="4" numFmtId="14" xfId="0"/>
    <xf applyBorder="1" applyFill="1" applyFont="1" borderId="17" fillId="0" fontId="35" numFmtId="0" xfId="0"/>
    <xf applyAlignment="1" applyFill="1" applyFont="1" applyNumberFormat="1" borderId="0" fillId="0" fontId="4" numFmtId="179" xfId="0">
      <alignment horizontal="left"/>
    </xf>
    <xf applyAlignment="1" applyBorder="1" applyFill="1" applyFont="1" borderId="56" fillId="0" fontId="10" numFmtId="0" xfId="0"/>
    <xf applyAlignment="1" applyBorder="1" applyFill="1" applyFont="1" borderId="56" fillId="0" fontId="4" numFmtId="0" xfId="0"/>
    <xf applyAlignment="1" applyBorder="1" applyFill="1" applyFont="1" borderId="56" fillId="0" fontId="33" numFmtId="0" xfId="0"/>
    <xf applyAlignment="1" applyBorder="1" applyFill="1" applyFont="1" applyProtection="1" borderId="22" fillId="5" fontId="39" numFmtId="0" xfId="0">
      <alignment horizontal="center"/>
    </xf>
    <xf applyAlignment="1" applyBorder="1" applyFill="1" applyFont="1" applyProtection="1" borderId="0" fillId="5" fontId="35" numFmtId="0" xfId="0">
      <alignment horizontal="left"/>
    </xf>
    <xf applyAlignment="1" applyBorder="1" applyFill="1" applyFont="1" applyNumberFormat="1" borderId="0" fillId="0" fontId="70" numFmtId="176" xfId="1">
      <alignment horizontal="right"/>
    </xf>
    <xf applyBorder="1" applyFill="1" applyFont="1" borderId="1" fillId="0" fontId="21" numFmtId="0" xfId="0"/>
    <xf applyAlignment="1" applyFill="1" applyFont="1" borderId="0" fillId="0" fontId="43" numFmtId="0" xfId="0">
      <alignment horizontal="right"/>
    </xf>
    <xf applyFill="1" applyFont="1" borderId="0" fillId="0" fontId="85" numFmtId="0" xfId="0"/>
    <xf applyAlignment="1" applyFill="1" applyFont="1" borderId="0" fillId="0" fontId="85" numFmtId="0" xfId="0">
      <alignment horizontal="left"/>
    </xf>
    <xf applyFill="1" applyFont="1" borderId="0" fillId="0" fontId="83" numFmtId="0" xfId="0"/>
    <xf applyAlignment="1" applyFill="1" applyFont="1" borderId="0" fillId="0" fontId="4" numFmtId="0" xfId="0">
      <alignment horizontal="left" indent="2"/>
    </xf>
    <xf applyAlignment="1" applyBorder="1" applyFill="1" applyFont="1" applyNumberFormat="1" borderId="0" fillId="0" fontId="4" numFmtId="4" xfId="2">
      <alignment horizontal="right"/>
    </xf>
    <xf applyFill="1" applyFont="1" borderId="0" fillId="0" fontId="84" numFmtId="0" xfId="0"/>
    <xf applyAlignment="1" applyFill="1" applyFont="1" borderId="0" fillId="0" fontId="84" numFmtId="0" xfId="0">
      <alignment horizontal="left"/>
    </xf>
    <xf applyBorder="1" applyFill="1" applyFont="1" applyNumberFormat="1" borderId="0" fillId="0" fontId="84" numFmtId="1" xfId="0"/>
    <xf applyFill="1" applyFont="1" applyNumberFormat="1" borderId="0" fillId="0" fontId="84" numFmtId="2" xfId="0"/>
    <xf applyFill="1" applyFont="1" applyNumberFormat="1" borderId="0" fillId="0" fontId="83" numFmtId="2" xfId="0"/>
    <xf applyBorder="1" applyFill="1" applyFont="1" borderId="0" fillId="0" fontId="84" numFmtId="0" xfId="0"/>
    <xf applyAlignment="1" applyFill="1" applyNumberFormat="1" borderId="0" fillId="0" fontId="0" numFmtId="164" xfId="0">
      <alignment horizontal="left"/>
    </xf>
    <xf applyAlignment="1" applyBorder="1" applyFill="1" applyFont="1" applyNumberFormat="1" applyProtection="1" borderId="0" fillId="4" fontId="39" numFmtId="171" xfId="0">
      <alignment horizontal="left"/>
    </xf>
    <xf applyBorder="1" applyFill="1" borderId="56" fillId="0" fontId="0" numFmtId="0" xfId="0"/>
    <xf applyAlignment="1" applyBorder="1" applyFill="1" applyFont="1" borderId="56" fillId="0" fontId="5" numFmtId="0" xfId="0"/>
    <xf applyAlignment="1" applyFill="1" applyFont="1" borderId="0" fillId="0" fontId="5" numFmtId="0" xfId="0"/>
    <xf applyAlignment="1" applyBorder="1" applyFill="1" applyFont="1" borderId="13" fillId="0" fontId="31" numFmtId="0" xfId="0"/>
    <xf applyAlignment="1" applyBorder="1" applyFill="1" applyFont="1" borderId="14" fillId="0" fontId="4" numFmtId="0" xfId="0"/>
    <xf applyAlignment="1" applyBorder="1" applyFill="1" applyFont="1" applyNumberFormat="1" borderId="13" fillId="0" fontId="4" numFmtId="179" xfId="0"/>
    <xf applyAlignment="1" applyBorder="1" applyFill="1" applyFont="1" applyNumberFormat="1" borderId="14" fillId="0" fontId="4" numFmtId="179" xfId="0">
      <alignment horizontal="right"/>
    </xf>
    <xf applyAlignment="1" applyBorder="1" applyFill="1" applyFont="1" applyNumberFormat="1" borderId="13" fillId="0" fontId="4" numFmtId="3" xfId="0"/>
    <xf applyAlignment="1" applyBorder="1" applyFill="1" applyFont="1" borderId="13" fillId="0" fontId="8" numFmtId="0" xfId="0">
      <alignment horizontal="left"/>
    </xf>
    <xf applyAlignment="1" applyBorder="1" applyFill="1" applyFont="1" applyNumberFormat="1" borderId="14" fillId="0" fontId="4" numFmtId="178" xfId="1">
      <alignment horizontal="right"/>
    </xf>
    <xf applyAlignment="1" applyBorder="1" applyFill="1" applyFont="1" borderId="13" fillId="0" fontId="25" numFmtId="0" xfId="0"/>
    <xf applyAlignment="1" applyBorder="1" applyFill="1" applyFont="1" borderId="13" fillId="0" fontId="21" numFmtId="0" xfId="0"/>
    <xf applyAlignment="1" applyBorder="1" applyFill="1" applyNumberFormat="1" borderId="1" fillId="0" fontId="0" numFmtId="2" xfId="0">
      <alignment horizontal="left"/>
    </xf>
    <xf applyBorder="1" applyFill="1" applyFont="1" applyProtection="1" borderId="5" fillId="9" fontId="4" numFmtId="0" xfId="0">
      <protection locked="0"/>
    </xf>
    <xf applyAlignment="1" applyBorder="1" applyFill="1" applyFont="1" applyProtection="1" borderId="0" fillId="8" fontId="91" numFmtId="0" xfId="3"/>
    <xf applyBorder="1" applyFill="1" applyFont="1" borderId="0" fillId="8" fontId="72" numFmtId="0" xfId="0"/>
    <xf applyAlignment="1" applyBorder="1" applyFont="1" borderId="1" fillId="0" fontId="94" numFmtId="0" xfId="0">
      <alignment horizontal="left"/>
    </xf>
    <xf applyAlignment="1" applyBorder="1" applyFont="1" borderId="1" fillId="0" fontId="94" numFmtId="0" xfId="0">
      <alignment horizontal="left" indent="1"/>
    </xf>
    <xf applyAlignment="1" applyBorder="1" applyFont="1" borderId="4" fillId="0" fontId="94" numFmtId="0" xfId="0">
      <alignment horizontal="left"/>
    </xf>
    <xf applyBorder="1" applyFill="1" applyFont="1" applyNumberFormat="1" borderId="1" fillId="0" fontId="0" numFmtId="3" xfId="1"/>
    <xf applyBorder="1" applyFill="1" applyFont="1" borderId="1" fillId="0" fontId="97" numFmtId="0" xfId="0"/>
    <xf applyBorder="1" applyFill="1" applyFont="1" borderId="2" fillId="0" fontId="97" numFmtId="0" xfId="0"/>
    <xf applyAlignment="1" applyBorder="1" applyFill="1" applyFont="1" borderId="25" fillId="0" fontId="4" numFmtId="0" xfId="0">
      <alignment horizontal="right"/>
    </xf>
    <xf applyFill="1" borderId="0" fillId="14" fontId="0" numFmtId="0" xfId="0"/>
    <xf applyBorder="1" applyFill="1" applyFont="1" applyNumberFormat="1" applyProtection="1" borderId="1" fillId="0" fontId="4" numFmtId="179" xfId="0">
      <protection locked="0"/>
    </xf>
    <xf applyFill="1" applyFont="1" applyProtection="1" borderId="0" fillId="0" fontId="55" numFmtId="0" xfId="0"/>
    <xf applyFill="1" applyFont="1" applyProtection="1" borderId="0" fillId="0" fontId="61" numFmtId="0" xfId="0"/>
    <xf applyAlignment="1" applyFill="1" applyFont="1" borderId="0" fillId="0" fontId="106" numFmtId="0" xfId="0">
      <alignment horizontal="left"/>
    </xf>
    <xf applyFill="1" applyFont="1" borderId="0" fillId="0" fontId="107" numFmtId="0" xfId="0"/>
    <xf applyFill="1" applyFont="1" borderId="0" fillId="0" fontId="108" numFmtId="0" xfId="0"/>
    <xf applyAlignment="1" applyFill="1" applyFont="1" borderId="0" fillId="0" fontId="109" numFmtId="0" xfId="0">
      <alignment horizontal="left"/>
    </xf>
    <xf applyFill="1" applyFont="1" borderId="0" fillId="0" fontId="110" numFmtId="0" xfId="0"/>
    <xf applyAlignment="1" applyFill="1" applyFont="1" borderId="0" fillId="0" fontId="111" numFmtId="0" xfId="0">
      <alignment horizontal="left"/>
    </xf>
    <xf applyAlignment="1" applyBorder="1" applyFill="1" applyFont="1" borderId="0" fillId="0" fontId="111" numFmtId="0" xfId="0">
      <alignment horizontal="left"/>
    </xf>
    <xf applyBorder="1" applyFill="1" applyFont="1" borderId="0" fillId="0" fontId="89" numFmtId="0" xfId="0"/>
    <xf applyBorder="1" applyFill="1" applyFont="1" borderId="0" fillId="0" fontId="90" numFmtId="0" xfId="0"/>
    <xf applyBorder="1" applyFill="1" applyFont="1" applyNumberFormat="1" applyProtection="1" borderId="0" fillId="0" fontId="4" numFmtId="1" xfId="2">
      <protection locked="0"/>
    </xf>
    <xf applyAlignment="1" applyBorder="1" applyFill="1" applyFont="1" applyNumberFormat="1" applyProtection="1" borderId="0" fillId="0" fontId="4" numFmtId="1" xfId="2">
      <protection locked="0"/>
    </xf>
    <xf applyFill="1" applyFont="1" borderId="0" fillId="0" fontId="114" numFmtId="0" xfId="0"/>
    <xf applyFill="1" applyFont="1" borderId="0" fillId="0" fontId="1" numFmtId="0" xfId="0"/>
    <xf applyBorder="1" applyFill="1" applyFont="1" applyProtection="1" borderId="0" fillId="14" fontId="39" numFmtId="0" xfId="0"/>
    <xf applyFill="1" applyFont="1" borderId="0" fillId="0" fontId="89" numFmtId="0" xfId="0"/>
    <xf applyAlignment="1" applyBorder="1" applyFill="1" applyFont="1" borderId="0" fillId="0" fontId="89" numFmtId="0" xfId="0">
      <alignment horizontal="right"/>
    </xf>
    <xf applyBorder="1" applyFill="1" applyFont="1" applyNumberFormat="1" borderId="0" fillId="0" fontId="89" numFmtId="1" xfId="0"/>
    <xf applyAlignment="1" applyBorder="1" applyFill="1" applyFont="1" applyNumberFormat="1" borderId="0" fillId="0" fontId="89" numFmtId="1" xfId="0">
      <alignment horizontal="right"/>
    </xf>
    <xf applyAlignment="1" applyFill="1" applyFont="1" borderId="0" fillId="0" fontId="29" numFmtId="0" xfId="0">
      <alignment horizontal="left"/>
    </xf>
    <xf applyFont="1" applyProtection="1" borderId="0" fillId="0" fontId="114" numFmtId="0" xfId="0"/>
    <xf applyFill="1" applyFont="1" applyProtection="1" borderId="0" fillId="0" fontId="114" numFmtId="0" xfId="0"/>
    <xf applyBorder="1" applyFill="1" applyFont="1" applyNumberFormat="1" borderId="0" fillId="0" fontId="4" numFmtId="3" xfId="2"/>
    <xf applyBorder="1" applyFill="1" applyFont="1" applyProtection="1" borderId="0" fillId="5" fontId="57" numFmtId="0" xfId="0"/>
    <xf applyFill="1" applyFont="1" applyProtection="1" borderId="0" fillId="14" fontId="5" numFmtId="0" xfId="0"/>
    <xf applyBorder="1" applyFill="1" applyFont="1" borderId="3" fillId="0" fontId="17" numFmtId="0" xfId="0"/>
    <xf applyFill="1" applyFont="1" borderId="0" fillId="14" fontId="1" numFmtId="0" xfId="0"/>
    <xf applyBorder="1" applyFill="1" applyFont="1" borderId="0" fillId="0" fontId="112" numFmtId="0" xfId="0"/>
    <xf applyAlignment="1" applyFont="1" borderId="0" fillId="0" fontId="1" numFmtId="0" xfId="0">
      <alignment horizontal="left"/>
    </xf>
    <xf applyAlignment="1" applyFill="1" applyFont="1" applyNumberFormat="1" borderId="0" fillId="0" fontId="21" numFmtId="1" xfId="0">
      <alignment horizontal="left"/>
    </xf>
    <xf applyAlignment="1" applyFill="1" applyFont="1" applyNumberFormat="1" borderId="0" fillId="0" fontId="21" numFmtId="1" xfId="0">
      <alignment horizontal="right"/>
    </xf>
    <xf applyBorder="1" applyFill="1" applyFont="1" applyNumberFormat="1" borderId="1" fillId="0" fontId="21" numFmtId="1" xfId="0"/>
    <xf applyAlignment="1" applyBorder="1" applyFill="1" applyFont="1" borderId="0" fillId="5" fontId="35" numFmtId="0" xfId="0">
      <alignment horizontal="left" wrapText="1"/>
    </xf>
    <xf applyAlignment="1" applyFill="1" applyFont="1" borderId="0" fillId="0" fontId="83" numFmtId="0" xfId="0">
      <alignment horizontal="left"/>
    </xf>
    <xf applyFill="1" applyFont="1" applyProtection="1" borderId="0" fillId="16" fontId="4" numFmtId="0" xfId="0"/>
    <xf applyFill="1" applyFont="1" applyProtection="1" borderId="0" fillId="5" fontId="116" numFmtId="0" xfId="0"/>
    <xf applyBorder="1" applyFill="1" applyFont="1" applyProtection="1" borderId="0" fillId="5" fontId="116" numFmtId="0" xfId="0"/>
    <xf applyAlignment="1" applyBorder="1" applyFill="1" applyFont="1" applyProtection="1" borderId="0" fillId="8" fontId="52" numFmtId="0" xfId="0">
      <alignment horizontal="left"/>
    </xf>
    <xf applyAlignment="1" applyBorder="1" applyFill="1" applyFont="1" applyProtection="1" borderId="0" fillId="8" fontId="48" numFmtId="0" xfId="0">
      <alignment horizontal="center"/>
    </xf>
    <xf applyAlignment="1" applyBorder="1" applyFill="1" applyFont="1" applyProtection="1" borderId="53" fillId="8" fontId="48" numFmtId="0" xfId="0">
      <alignment horizontal="center"/>
    </xf>
    <xf applyAlignment="1" applyBorder="1" applyFill="1" applyFont="1" applyProtection="1" borderId="25" fillId="8" fontId="48" numFmtId="0" xfId="0">
      <alignment horizontal="center"/>
    </xf>
    <xf applyAlignment="1" applyBorder="1" applyFill="1" applyFont="1" applyProtection="1" borderId="26" fillId="8" fontId="48" numFmtId="0" xfId="0">
      <alignment horizontal="center"/>
    </xf>
    <xf applyAlignment="1" applyBorder="1" applyFill="1" applyFont="1" applyProtection="1" borderId="22" fillId="8" fontId="117" numFmtId="0" xfId="0">
      <alignment horizontal="left"/>
    </xf>
    <xf applyBorder="1" applyFill="1" applyFont="1" applyNumberFormat="1" borderId="1" fillId="0" fontId="8" numFmtId="4" xfId="0"/>
    <xf applyBorder="1" applyFill="1" applyFont="1" applyNumberFormat="1" borderId="1" fillId="0" fontId="8" numFmtId="3" xfId="0"/>
    <xf applyAlignment="1" applyBorder="1" applyFill="1" applyFont="1" borderId="0" fillId="0" fontId="1" numFmtId="0" xfId="0">
      <alignment horizontal="right"/>
    </xf>
    <xf applyAlignment="1" applyBorder="1" applyFill="1" applyFont="1" borderId="59" fillId="0" fontId="4" numFmtId="0" xfId="0"/>
    <xf applyAlignment="1" applyBorder="1" applyFill="1" applyFont="1" borderId="59" fillId="0" fontId="8" numFmtId="0" xfId="0">
      <alignment horizontal="right"/>
    </xf>
    <xf applyAlignment="1" applyBorder="1" applyFill="1" applyFont="1" borderId="59" fillId="0" fontId="8" numFmtId="0" xfId="0"/>
    <xf applyFill="1" applyFont="1" applyProtection="1" borderId="0" fillId="16" fontId="4" numFmtId="0" xfId="0">
      <protection locked="0"/>
    </xf>
    <xf applyAlignment="1" applyBorder="1" applyFill="1" applyFont="1" applyProtection="1" borderId="30" fillId="16" fontId="35" numFmtId="0" xfId="0">
      <alignment horizontal="left"/>
    </xf>
    <xf applyAlignment="1" applyBorder="1" applyFill="1" applyFont="1" applyProtection="1" borderId="8" fillId="5" fontId="35" numFmtId="0" xfId="0">
      <alignment horizontal="left"/>
    </xf>
    <xf applyBorder="1" applyFill="1" applyFont="1" applyProtection="1" borderId="25" fillId="4" fontId="30" numFmtId="0" xfId="0"/>
    <xf applyAlignment="1" applyBorder="1" applyFill="1" applyFont="1" applyNumberFormat="1" borderId="0" fillId="0" fontId="113" numFmtId="2" xfId="0">
      <alignment horizontal="right"/>
    </xf>
    <xf applyFill="1" applyFont="1" borderId="0" fillId="0" fontId="119" numFmtId="0" xfId="0"/>
    <xf applyBorder="1" applyFill="1" applyFont="1" borderId="0" fillId="0" fontId="119" numFmtId="0" xfId="0"/>
    <xf applyAlignment="1" applyBorder="1" applyFill="1" applyFont="1" borderId="0" fillId="0" fontId="119" numFmtId="0" xfId="0">
      <alignment horizontal="left"/>
    </xf>
    <xf applyAlignment="1" applyBorder="1" applyFill="1" applyFont="1" borderId="0" fillId="0" fontId="35" numFmtId="0" xfId="0">
      <alignment horizontal="left" indent="1"/>
    </xf>
    <xf applyAlignment="1" applyBorder="1" applyFill="1" applyFont="1" borderId="0" fillId="0" fontId="35" numFmtId="0" xfId="0">
      <alignment horizontal="left" indent="2"/>
    </xf>
    <xf applyBorder="1" applyFill="1" applyFont="1" applyNumberFormat="1" borderId="1" fillId="0" fontId="8" numFmtId="164" xfId="0"/>
    <xf applyAlignment="1" applyBorder="1" applyFill="1" applyFont="1" borderId="0" fillId="0" fontId="113" numFmtId="0" xfId="0">
      <alignment horizontal="left"/>
    </xf>
    <xf applyBorder="1" applyFill="1" applyFont="1" applyNumberFormat="1" borderId="16" fillId="0" fontId="4" numFmtId="3" xfId="0"/>
    <xf applyBorder="1" applyFill="1" applyFont="1" applyNumberFormat="1" borderId="1" fillId="0" fontId="40" numFmtId="3" xfId="0"/>
    <xf applyBorder="1" applyFill="1" applyFont="1" borderId="60" fillId="0" fontId="4" numFmtId="0" xfId="0"/>
    <xf applyBorder="1" applyFill="1" applyFont="1" borderId="61" fillId="0" fontId="4" numFmtId="0" xfId="0"/>
    <xf applyFont="1" borderId="0" fillId="0" fontId="121" numFmtId="0" xfId="0"/>
    <xf applyBorder="1" applyFill="1" applyFont="1" borderId="58" fillId="0" fontId="4" numFmtId="0" xfId="0"/>
    <xf applyAlignment="1" applyBorder="1" applyFill="1" applyFont="1" applyNumberFormat="1" borderId="0" fillId="0" fontId="120" numFmtId="1" xfId="0">
      <alignment horizontal="right"/>
    </xf>
    <xf applyAlignment="1" applyBorder="1" applyFill="1" applyFont="1" applyNumberFormat="1" borderId="0" fillId="0" fontId="118" numFmtId="1" xfId="0">
      <alignment horizontal="left"/>
    </xf>
    <xf applyFill="1" applyFont="1" borderId="0" fillId="0" fontId="118" numFmtId="0" xfId="0"/>
    <xf applyAlignment="1" applyBorder="1" applyFill="1" applyFont="1" applyNumberFormat="1" borderId="0" fillId="0" fontId="118" numFmtId="1" xfId="0">
      <alignment horizontal="right"/>
    </xf>
    <xf applyBorder="1" applyFill="1" applyFont="1" applyNumberFormat="1" borderId="1" fillId="0" fontId="118" numFmtId="2" xfId="0"/>
    <xf applyBorder="1" applyFill="1" applyFont="1" applyNumberFormat="1" borderId="0" fillId="0" fontId="118" numFmtId="1" xfId="0"/>
    <xf applyAlignment="1" applyFill="1" applyFont="1" borderId="0" fillId="0" fontId="118" numFmtId="0" xfId="0">
      <alignment horizontal="left"/>
    </xf>
    <xf applyBorder="1" applyFill="1" applyFont="1" applyNumberFormat="1" borderId="1" fillId="0" fontId="39" numFmtId="4" xfId="1"/>
    <xf applyBorder="1" applyFill="1" applyFont="1" applyNumberFormat="1" borderId="1" fillId="0" fontId="39" numFmtId="173" xfId="1"/>
    <xf applyAlignment="1" applyBorder="1" applyFill="1" applyFont="1" applyNumberFormat="1" borderId="0" fillId="0" fontId="4" numFmtId="171" xfId="0">
      <alignment horizontal="right"/>
    </xf>
    <xf applyBorder="1" applyFill="1" applyFont="1" borderId="64" fillId="0" fontId="112" numFmtId="0" xfId="0"/>
    <xf applyBorder="1" applyFill="1" applyFont="1" borderId="65" fillId="0" fontId="112" numFmtId="0" xfId="0"/>
    <xf applyBorder="1" applyFill="1" applyFont="1" borderId="66" fillId="0" fontId="112" numFmtId="0" xfId="0"/>
    <xf applyBorder="1" applyFill="1" applyFont="1" borderId="67" fillId="0" fontId="112" numFmtId="0" xfId="0"/>
    <xf applyBorder="1" applyFill="1" applyFont="1" borderId="68" fillId="0" fontId="112" numFmtId="0" xfId="0"/>
    <xf applyBorder="1" applyFill="1" applyFont="1" borderId="58" fillId="0" fontId="112" numFmtId="0" xfId="0"/>
    <xf applyFill="1" applyFont="1" borderId="0" fillId="0" fontId="88" numFmtId="0" xfId="0"/>
    <xf applyAlignment="1" applyFill="1" applyFont="1" applyProtection="1" borderId="0" fillId="16" fontId="4" numFmtId="0" xfId="0">
      <alignment horizontal="center"/>
    </xf>
    <xf applyBorder="1" applyFill="1" applyFont="1" applyProtection="1" borderId="76" fillId="4" fontId="4" numFmtId="0" xfId="0"/>
    <xf applyBorder="1" applyFont="1" applyProtection="1" borderId="77" fillId="0" fontId="4" numFmtId="0" xfId="0">
      <protection locked="0"/>
    </xf>
    <xf applyFont="1" borderId="0" fillId="0" fontId="124" numFmtId="0" xfId="0"/>
    <xf applyFont="1" borderId="0" fillId="0" fontId="125" numFmtId="0" xfId="0"/>
    <xf applyAlignment="1" applyFont="1" borderId="0" fillId="0" fontId="126" numFmtId="0" xfId="0">
      <alignment horizontal="left" vertical="center"/>
    </xf>
    <xf applyFont="1" borderId="0" fillId="0" fontId="127" numFmtId="0" xfId="0"/>
    <xf applyFill="1" applyFont="1" borderId="0" fillId="0" fontId="112" numFmtId="0" xfId="0"/>
    <xf applyBorder="1" applyFill="1" applyFont="1" borderId="69" fillId="0" fontId="97" numFmtId="0" xfId="0"/>
    <xf applyBorder="1" applyFill="1" applyFont="1" borderId="69" fillId="0" fontId="73" numFmtId="0" xfId="0"/>
    <xf applyBorder="1" applyFill="1" applyFont="1" borderId="70" fillId="0" fontId="97" numFmtId="0" xfId="0"/>
    <xf applyAlignment="1" applyBorder="1" applyFill="1" applyFont="1" borderId="69" fillId="0" fontId="73" numFmtId="0" xfId="0">
      <alignment wrapText="1"/>
    </xf>
    <xf applyAlignment="1" applyBorder="1" applyFill="1" applyFont="1" applyProtection="1" borderId="8" fillId="5" fontId="35" numFmtId="0" xfId="0">
      <alignment horizontal="center" wrapText="1"/>
    </xf>
    <xf applyAlignment="1" applyBorder="1" applyFill="1" applyFont="1" applyProtection="1" borderId="0" fillId="5" fontId="4" numFmtId="0" xfId="0">
      <alignment wrapText="1"/>
    </xf>
    <xf applyAlignment="1" applyBorder="1" applyFill="1" applyFont="1" applyProtection="1" borderId="0" fillId="5" fontId="4" numFmtId="0" xfId="0">
      <alignment horizontal="right" wrapText="1"/>
    </xf>
    <xf applyAlignment="1" applyBorder="1" applyFill="1" applyFont="1" applyProtection="1" borderId="30" fillId="5" fontId="35" numFmtId="0" xfId="0">
      <alignment horizontal="left" wrapText="1"/>
    </xf>
    <xf applyAlignment="1" applyBorder="1" applyFill="1" applyFont="1" borderId="1" fillId="10" fontId="8" numFmtId="0" xfId="0">
      <alignment horizontal="center"/>
    </xf>
    <xf applyBorder="1" applyFill="1" applyFont="1" borderId="63" fillId="0" fontId="4" numFmtId="0" xfId="0"/>
    <xf applyBorder="1" applyFill="1" applyFont="1" borderId="68" fillId="0" fontId="5" numFmtId="0" xfId="0"/>
    <xf applyBorder="1" applyFill="1" applyFont="1" borderId="68" fillId="0" fontId="4" numFmtId="0" xfId="0"/>
    <xf applyBorder="1" applyFill="1" applyFont="1" borderId="64" fillId="0" fontId="4" numFmtId="0" xfId="0"/>
    <xf applyBorder="1" applyFill="1" applyFont="1" borderId="66" fillId="0" fontId="4" numFmtId="0" xfId="0"/>
    <xf applyBorder="1" applyFill="1" applyFont="1" applyProtection="1" borderId="6" fillId="5" fontId="8" numFmtId="0" xfId="0"/>
    <xf applyBorder="1" applyFill="1" applyFont="1" applyProtection="1" borderId="9" fillId="5" fontId="8" numFmtId="0" xfId="0"/>
    <xf applyBorder="1" applyFill="1" applyFont="1" applyProtection="1" borderId="11" fillId="5" fontId="8" numFmtId="0" xfId="0"/>
    <xf applyBorder="1" applyFill="1" applyFont="1" applyProtection="1" borderId="17" fillId="5" fontId="8" numFmtId="0" xfId="0"/>
    <xf applyBorder="1" applyFill="1" applyFont="1" applyProtection="1" borderId="1" fillId="5" fontId="8" numFmtId="0" xfId="0"/>
    <xf applyFont="1" applyProtection="1" borderId="0" fillId="0" fontId="8" numFmtId="0" xfId="0"/>
    <xf applyAlignment="1" applyBorder="1" applyFill="1" applyFont="1" borderId="0" fillId="0" fontId="4" numFmtId="0" xfId="0">
      <alignment horizontal="left" indent="1"/>
    </xf>
    <xf applyAlignment="1" applyBorder="1" applyFont="1" borderId="69" fillId="0" fontId="8" numFmtId="0" xfId="0">
      <alignment horizontal="center"/>
    </xf>
    <xf applyBorder="1" applyFont="1" borderId="69" fillId="0" fontId="8" numFmtId="0" xfId="0"/>
    <xf applyAlignment="1" applyBorder="1" applyFill="1" applyFont="1" borderId="69" fillId="0" fontId="4" numFmtId="0" xfId="0">
      <alignment horizontal="center"/>
    </xf>
    <xf applyBorder="1" applyFill="1" applyFont="1" borderId="77" fillId="0" fontId="4" numFmtId="0" xfId="0"/>
    <xf applyBorder="1" borderId="78" fillId="0" fontId="0" numFmtId="0" xfId="0"/>
    <xf applyBorder="1" borderId="80" fillId="0" fontId="0" numFmtId="0" xfId="0"/>
    <xf applyBorder="1" borderId="81" fillId="0" fontId="0" numFmtId="0" xfId="0"/>
    <xf applyBorder="1" applyFill="1" borderId="79" fillId="14" fontId="0" numFmtId="0" xfId="0"/>
    <xf applyAlignment="1" applyBorder="1" applyFill="1" applyFont="1" applyProtection="1" borderId="22" fillId="18" fontId="4" numFmtId="0" xfId="0">
      <alignment horizontal="center"/>
    </xf>
    <xf applyFill="1" applyFont="1" applyProtection="1" borderId="0" fillId="16" fontId="116" numFmtId="0" xfId="0"/>
    <xf applyAlignment="1" applyFill="1" applyFont="1" applyProtection="1" borderId="0" fillId="16" fontId="4" numFmtId="0" xfId="0">
      <alignment horizontal="right"/>
    </xf>
    <xf applyAlignment="1" applyBorder="1" applyFont="1" applyNumberFormat="1" borderId="0" fillId="0" fontId="5" numFmtId="1" xfId="0">
      <alignment horizontal="center"/>
    </xf>
    <xf applyBorder="1" applyFill="1" applyFont="1" borderId="72" fillId="0" fontId="5" numFmtId="0" xfId="0"/>
    <xf applyAlignment="1" applyBorder="1" applyFill="1" applyFont="1" borderId="0" fillId="0" fontId="5" numFmtId="0" xfId="0">
      <alignment horizontal="center"/>
    </xf>
    <xf applyAlignment="1" applyBorder="1" applyFill="1" applyFont="1" borderId="63" fillId="0" fontId="5" numFmtId="0" xfId="0">
      <alignment horizontal="center"/>
    </xf>
    <xf applyAlignment="1" applyBorder="1" applyFill="1" applyFont="1" applyNumberFormat="1" applyProtection="1" borderId="1" fillId="0" fontId="39" numFmtId="2" xfId="0">
      <alignment horizontal="center"/>
    </xf>
    <xf applyAlignment="1" applyBorder="1" applyFill="1" applyFont="1" applyNumberFormat="1" applyProtection="1" borderId="1" fillId="0" fontId="39" numFmtId="182" xfId="0">
      <alignment horizontal="center"/>
    </xf>
    <xf applyAlignment="1" applyBorder="1" applyFill="1" applyFont="1" applyNumberFormat="1" applyProtection="1" borderId="1" fillId="17" fontId="39" numFmtId="2" xfId="0">
      <alignment horizontal="center"/>
    </xf>
    <xf applyBorder="1" applyFill="1" applyFont="1" applyProtection="1" borderId="69" fillId="4" fontId="5" numFmtId="0" xfId="0">
      <protection locked="0"/>
    </xf>
    <xf applyAlignment="1" applyBorder="1" applyFont="1" borderId="72" fillId="0" fontId="23" numFmtId="0" xfId="0">
      <alignment horizontal="right"/>
    </xf>
    <xf applyAlignment="1" applyBorder="1" applyFill="1" applyFont="1" borderId="68" fillId="0" fontId="5" numFmtId="0" xfId="0">
      <alignment horizontal="center"/>
    </xf>
    <xf applyBorder="1" applyFont="1" borderId="78" fillId="0" fontId="1" numFmtId="0" xfId="0"/>
    <xf applyBorder="1" applyFill="1" applyFont="1" borderId="69" fillId="10" fontId="39" numFmtId="0" xfId="0"/>
    <xf applyAlignment="1" applyBorder="1" applyFont="1" borderId="69" fillId="0" fontId="4" numFmtId="0" xfId="0">
      <alignment horizontal="left"/>
    </xf>
    <xf applyBorder="1" applyFont="1" borderId="69" fillId="0" fontId="39" numFmtId="0" xfId="0"/>
    <xf applyBorder="1" applyFont="1" applyNumberFormat="1" borderId="69" fillId="0" fontId="39" numFmtId="1" xfId="0"/>
    <xf applyBorder="1" applyFill="1" applyFont="1" applyNumberFormat="1" applyProtection="1" borderId="18" fillId="0" fontId="4" numFmtId="176" xfId="1">
      <protection locked="0"/>
    </xf>
    <xf applyBorder="1" applyFill="1" applyFont="1" applyNumberFormat="1" applyProtection="1" borderId="69" fillId="0" fontId="1" numFmtId="3" xfId="0">
      <protection locked="0"/>
    </xf>
    <xf applyAlignment="1" applyBorder="1" applyFont="1" borderId="72" fillId="0" fontId="94" numFmtId="0" xfId="0">
      <alignment horizontal="left"/>
    </xf>
    <xf applyAlignment="1" applyBorder="1" applyFill="1" applyFont="1" borderId="72" fillId="19" fontId="132" numFmtId="0" xfId="0"/>
    <xf applyAlignment="1" applyBorder="1" applyFill="1" applyFont="1" borderId="72" fillId="4" fontId="132" numFmtId="0" xfId="0">
      <alignment horizontal="center" vertical="top"/>
    </xf>
    <xf applyAlignment="1" applyBorder="1" applyFill="1" applyFont="1" borderId="72" fillId="20" fontId="133" numFmtId="0" xfId="0">
      <alignment vertical="top"/>
    </xf>
    <xf applyAlignment="1" applyBorder="1" applyFont="1" borderId="69" fillId="0" fontId="94" numFmtId="0" xfId="0">
      <alignment horizontal="left"/>
    </xf>
    <xf applyAlignment="1" applyBorder="1" applyFill="1" applyFont="1" borderId="69" fillId="4" fontId="132" numFmtId="0" xfId="0">
      <alignment horizontal="center"/>
    </xf>
    <xf applyAlignment="1" applyBorder="1" applyFill="1" applyFont="1" borderId="69" fillId="20" fontId="133" numFmtId="0" xfId="0"/>
    <xf applyAlignment="1" applyBorder="1" applyFill="1" applyFont="1" borderId="69" fillId="21" fontId="132" numFmtId="0" xfId="0">
      <alignment horizontal="center"/>
    </xf>
    <xf applyAlignment="1" applyBorder="1" applyFill="1" applyFont="1" applyNumberFormat="1" borderId="69" fillId="4" fontId="132" numFmtId="9" xfId="0">
      <alignment horizontal="center" vertical="top"/>
    </xf>
    <xf applyAlignment="1" applyBorder="1" applyFill="1" applyFont="1" borderId="69" fillId="20" fontId="133" numFmtId="0" xfId="0">
      <alignment vertical="top"/>
    </xf>
    <xf applyAlignment="1" applyBorder="1" applyFill="1" applyFont="1" borderId="69" fillId="4" fontId="132" numFmtId="0" xfId="0">
      <alignment horizontal="center" vertical="top"/>
    </xf>
    <xf applyAlignment="1" applyBorder="1" applyFill="1" applyFont="1" borderId="72" fillId="21" fontId="132" numFmtId="0" xfId="0">
      <alignment horizontal="center"/>
    </xf>
    <xf applyAlignment="1" applyBorder="1" applyFill="1" applyFont="1" borderId="72" fillId="20" fontId="133" numFmtId="0" xfId="0"/>
    <xf applyAlignment="1" applyBorder="1" applyFill="1" applyFont="1" borderId="69" fillId="19" fontId="132" numFmtId="0" xfId="0"/>
    <xf applyAlignment="1" applyBorder="1" applyFill="1" applyFont="1" applyNumberFormat="1" borderId="69" fillId="21" fontId="132" numFmtId="9" xfId="0">
      <alignment horizontal="center"/>
    </xf>
    <xf applyAlignment="1" applyBorder="1" applyFill="1" applyFont="1" borderId="69" fillId="20" fontId="133" numFmtId="0" xfId="0">
      <alignment wrapText="1"/>
    </xf>
    <xf applyAlignment="1" applyBorder="1" applyFill="1" applyFont="1" applyNumberFormat="1" borderId="69" fillId="21" fontId="132" numFmtId="177" xfId="0">
      <alignment horizontal="center"/>
    </xf>
    <xf applyAlignment="1" applyBorder="1" applyFill="1" applyNumberFormat="1" applyProtection="1" borderId="69" fillId="22" fontId="0" numFmtId="9" xfId="0"/>
    <xf applyAlignment="1" applyBorder="1" applyFill="1" applyFont="1" borderId="69" fillId="0" fontId="69" numFmtId="0" xfId="0">
      <alignment horizontal="left"/>
    </xf>
    <xf applyAlignment="1" applyBorder="1" applyFill="1" applyFont="1" borderId="0" fillId="0" fontId="69" numFmtId="0" xfId="0">
      <alignment horizontal="left"/>
    </xf>
    <xf applyFont="1" borderId="0" fillId="0" fontId="134" numFmtId="0" xfId="0"/>
    <xf applyBorder="1" applyFill="1" applyFont="1" borderId="69" fillId="17" fontId="134" numFmtId="0" xfId="0"/>
    <xf applyFont="1" borderId="0" fillId="0" fontId="135" numFmtId="0" xfId="0"/>
    <xf applyBorder="1" applyFill="1" applyFont="1" applyNumberFormat="1" borderId="1" fillId="10" fontId="39" numFmtId="1" xfId="0"/>
    <xf applyFill="1" applyFont="1" borderId="0" fillId="0" fontId="97" numFmtId="0" xfId="0"/>
    <xf applyAlignment="1" applyBorder="1" applyFill="1" applyFont="1" applyProtection="1" borderId="73" fillId="10" fontId="4" numFmtId="0" xfId="0">
      <alignment horizontal="center"/>
    </xf>
    <xf applyBorder="1" applyFill="1" applyFont="1" borderId="46" fillId="0" fontId="73" numFmtId="0" xfId="0"/>
    <xf applyAlignment="1" applyBorder="1" applyFill="1" applyFont="1" borderId="46" fillId="10" fontId="39" numFmtId="0" xfId="0">
      <alignment horizontal="center"/>
    </xf>
    <xf applyAlignment="1" applyBorder="1" applyFill="1" applyFont="1" borderId="47" fillId="10" fontId="39" numFmtId="0" xfId="0">
      <alignment horizontal="center"/>
    </xf>
    <xf applyBorder="1" applyFill="1" applyFont="1" borderId="45" fillId="0" fontId="73" numFmtId="0" xfId="0"/>
    <xf applyBorder="1" applyFill="1" applyFont="1" borderId="49" fillId="0" fontId="73" numFmtId="0" xfId="0"/>
    <xf applyAlignment="1" applyFont="1" borderId="0" fillId="0" fontId="39" numFmtId="0" xfId="0"/>
    <xf applyAlignment="1" applyBorder="1" applyFont="1" borderId="69" fillId="0" fontId="73" numFmtId="0" xfId="0"/>
    <xf applyAlignment="1" applyFont="1" borderId="0" fillId="0" fontId="73" numFmtId="0" xfId="0"/>
    <xf applyAlignment="1" applyBorder="1" applyFill="1" applyFont="1" applyProtection="1" borderId="69" fillId="4" fontId="73" numFmtId="0" xfId="0"/>
    <xf applyAlignment="1" applyBorder="1" applyFont="1" borderId="69" fillId="0" fontId="4" numFmtId="0" xfId="0"/>
    <xf applyBorder="1" applyFill="1" applyFont="1" borderId="63" fillId="8" fontId="53" numFmtId="0" xfId="0"/>
    <xf applyBorder="1" applyFill="1" applyFont="1" borderId="0" fillId="8" fontId="53" numFmtId="0" xfId="0"/>
    <xf applyAlignment="1" applyBorder="1" applyFill="1" applyFont="1" borderId="0" fillId="8" fontId="47" numFmtId="0" xfId="0">
      <alignment horizontal="right"/>
    </xf>
    <xf applyAlignment="1" applyBorder="1" applyFill="1" applyFont="1" borderId="0" fillId="8" fontId="47" numFmtId="0" xfId="0">
      <alignment horizontal="left"/>
    </xf>
    <xf applyAlignment="1" applyFont="1" applyProtection="1" borderId="0" fillId="0" fontId="136" numFmtId="0" xfId="3"/>
    <xf applyBorder="1" applyFont="1" applyProtection="1" borderId="82" fillId="0" fontId="39" numFmtId="0" xfId="0">
      <protection locked="0"/>
    </xf>
    <xf applyBorder="1" applyFont="1" borderId="71" fillId="0" fontId="39" numFmtId="0" quotePrefix="1" xfId="0"/>
    <xf applyBorder="1" applyFont="1" borderId="71" fillId="0" fontId="39" numFmtId="0" xfId="0"/>
    <xf applyFill="1" applyFont="1" applyNumberFormat="1" borderId="0" fillId="0" fontId="4" numFmtId="184" xfId="0"/>
    <xf applyAlignment="1" applyBorder="1" applyFill="1" applyFont="1" applyProtection="1" borderId="1" fillId="0" fontId="4" numFmtId="0" xfId="0">
      <alignment horizontal="center" vertical="center"/>
      <protection locked="0"/>
    </xf>
    <xf applyAlignment="1" applyBorder="1" applyFill="1" applyFont="1" applyNumberFormat="1" applyProtection="1" borderId="69" fillId="0" fontId="4" numFmtId="4" xfId="0">
      <alignment horizontal="left" vertical="top"/>
      <protection locked="0"/>
    </xf>
    <xf applyAlignment="1" applyBorder="1" applyFill="1" applyFont="1" applyProtection="1" borderId="0" fillId="5" fontId="4" numFmtId="0" xfId="0">
      <alignment horizontal="left" vertical="top"/>
    </xf>
    <xf applyAlignment="1" applyBorder="1" applyFill="1" applyFont="1" applyProtection="1" borderId="0" fillId="5" fontId="35" numFmtId="0" xfId="0">
      <alignment horizontal="left" vertical="top"/>
    </xf>
    <xf applyAlignment="1" applyBorder="1" applyFill="1" applyFont="1" applyProtection="1" borderId="68" fillId="5" fontId="35" numFmtId="0" xfId="0">
      <alignment horizontal="left" vertical="top"/>
    </xf>
    <xf applyAlignment="1" applyFont="1" applyProtection="1" borderId="0" fillId="0" fontId="4" numFmtId="0" xfId="0">
      <alignment horizontal="left" vertical="top"/>
      <protection locked="0"/>
    </xf>
    <xf applyAlignment="1" applyBorder="1" applyFill="1" applyFont="1" applyProtection="1" borderId="8" fillId="5" fontId="4" numFmtId="0" xfId="0">
      <alignment horizontal="left" vertical="top"/>
    </xf>
    <xf applyAlignment="1" applyBorder="1" applyFill="1" applyFont="1" applyProtection="1" borderId="7" fillId="5" fontId="4" numFmtId="0" xfId="0">
      <alignment horizontal="left" vertical="top"/>
    </xf>
    <xf applyAlignment="1" applyBorder="1" applyFill="1" applyFont="1" applyProtection="1" borderId="10" fillId="5" fontId="4" numFmtId="0" xfId="0">
      <alignment horizontal="left" vertical="top"/>
    </xf>
    <xf applyAlignment="1" applyBorder="1" applyFill="1" applyFont="1" applyProtection="1" borderId="30" fillId="5" fontId="35" numFmtId="0" xfId="0">
      <alignment horizontal="left" vertical="top"/>
    </xf>
    <xf applyAlignment="1" applyBorder="1" applyFill="1" applyFont="1" applyProtection="1" borderId="12" fillId="5" fontId="35" numFmtId="0" xfId="0">
      <alignment horizontal="left" vertical="top"/>
    </xf>
    <xf applyAlignment="1" applyBorder="1" applyFill="1" applyFont="1" applyNumberFormat="1" applyProtection="1" borderId="1" fillId="0" fontId="4" numFmtId="4" xfId="0">
      <alignment horizontal="left" vertical="top"/>
      <protection locked="0"/>
    </xf>
    <xf applyAlignment="1" applyBorder="1" applyFill="1" applyFont="1" applyProtection="1" borderId="17" fillId="0" fontId="4" numFmtId="0" xfId="0">
      <alignment horizontal="left" vertical="top" wrapText="1"/>
      <protection locked="0"/>
    </xf>
    <xf applyAlignment="1" applyBorder="1" applyFill="1" applyFont="1" applyNumberFormat="1" applyProtection="1" borderId="17" fillId="0" fontId="4" numFmtId="165" xfId="0">
      <alignment horizontal="left" vertical="top" wrapText="1"/>
      <protection locked="0"/>
    </xf>
    <xf applyAlignment="1" applyBorder="1" applyFill="1" applyFont="1" applyProtection="1" borderId="16" fillId="0" fontId="4" numFmtId="0" xfId="0">
      <alignment horizontal="left" vertical="top" wrapText="1"/>
      <protection locked="0"/>
    </xf>
    <xf applyAlignment="1" applyBorder="1" applyFill="1" applyFont="1" applyProtection="1" borderId="1" fillId="0" fontId="4" numFmtId="0" xfId="0">
      <alignment horizontal="left" vertical="top" wrapText="1"/>
      <protection locked="0"/>
    </xf>
    <xf applyBorder="1" applyFill="1" borderId="73" fillId="0" fontId="0" numFmtId="0" xfId="0"/>
    <xf applyBorder="1" applyFill="1" borderId="74" fillId="0" fontId="0" numFmtId="0" xfId="0"/>
    <xf applyBorder="1" applyFill="1" applyNumberFormat="1" borderId="75" fillId="0" fontId="0" numFmtId="3" xfId="0"/>
    <xf applyFill="1" borderId="0" fillId="24" fontId="0" numFmtId="0" xfId="0"/>
    <xf applyFill="1" applyFont="1" borderId="0" fillId="24" fontId="1" numFmtId="0" xfId="0"/>
    <xf applyFill="1" applyFont="1" borderId="0" fillId="24" fontId="0" numFmtId="0" xfId="0"/>
    <xf applyBorder="1" applyFill="1" borderId="0" fillId="24" fontId="0" numFmtId="0" xfId="0"/>
    <xf applyFill="1" applyFont="1" applyProtection="1" borderId="0" fillId="24" fontId="7" numFmtId="0" xfId="0"/>
    <xf applyBorder="1" applyFill="1" applyFont="1" applyNumberFormat="1" borderId="75" fillId="0" fontId="0" numFmtId="9" xfId="1"/>
    <xf applyBorder="1" applyFill="1" applyFont="1" borderId="73" fillId="0" fontId="1" numFmtId="0" xfId="0"/>
    <xf applyBorder="1" applyFill="1" applyFont="1" borderId="74" fillId="0" fontId="1" numFmtId="0" xfId="0"/>
    <xf applyBorder="1" applyFill="1" applyFont="1" borderId="84" fillId="0" fontId="1" numFmtId="0" xfId="0"/>
    <xf applyBorder="1" applyFill="1" borderId="85" fillId="0" fontId="0" numFmtId="0" xfId="0"/>
    <xf applyBorder="1" applyFill="1" applyFont="1" applyNumberFormat="1" borderId="86" fillId="0" fontId="0" numFmtId="9" xfId="1"/>
    <xf applyBorder="1" applyFill="1" applyNumberFormat="1" borderId="75" fillId="0" fontId="0" numFmtId="9" xfId="0"/>
    <xf applyBorder="1" applyFill="1" applyNumberFormat="1" borderId="86" fillId="0" fontId="0" numFmtId="9" xfId="0"/>
    <xf applyBorder="1" applyFill="1" applyFont="1" applyNumberFormat="1" borderId="75" fillId="0" fontId="0" numFmtId="3" xfId="1"/>
    <xf applyBorder="1" applyFill="1" applyFont="1" borderId="75" fillId="0" fontId="0" numFmtId="9" xfId="4"/>
    <xf applyAlignment="1" applyFill="1" borderId="0" fillId="0" fontId="0" numFmtId="0" xfId="0">
      <alignment horizontal="left"/>
    </xf>
    <xf applyBorder="1" applyFill="1" borderId="75" fillId="0" fontId="0" numFmtId="0" xfId="0"/>
    <xf applyBorder="1" applyFill="1" applyFont="1" borderId="1" fillId="0" fontId="1" numFmtId="0" xfId="0"/>
    <xf applyAlignment="1" applyFill="1" applyFont="1" borderId="0" fillId="0" fontId="1" numFmtId="0" xfId="0">
      <alignment vertical="center"/>
    </xf>
    <xf applyAlignment="1" applyFill="1" applyFont="1" borderId="0" fillId="0" fontId="7" numFmtId="0" xfId="0">
      <alignment vertical="center"/>
    </xf>
    <xf applyBorder="1" applyFill="1" applyFont="1" applyNumberFormat="1" borderId="1" fillId="0" fontId="8" numFmtId="3" xfId="1"/>
    <xf applyAlignment="1" applyFill="1" applyFont="1" borderId="0" fillId="0" fontId="39" numFmtId="0" xfId="0">
      <alignment horizontal="left" indent="1"/>
    </xf>
    <xf applyAlignment="1" applyFill="1" applyFont="1" borderId="0" fillId="0" fontId="39" numFmtId="0" xfId="0">
      <alignment horizontal="left" indent="3"/>
    </xf>
    <xf applyAlignment="1" applyFill="1" applyFont="1" borderId="0" fillId="0" fontId="39" numFmtId="0" xfId="0">
      <alignment horizontal="left" indent="2"/>
    </xf>
    <xf applyBorder="1" applyFill="1" applyFont="1" borderId="1" fillId="0" fontId="113" numFmtId="0" xfId="0"/>
    <xf applyAlignment="1" applyFill="1" applyFont="1" borderId="0" fillId="0" fontId="1" numFmtId="0" xfId="0">
      <alignment horizontal="left" indent="4" vertical="center"/>
    </xf>
    <xf applyFill="1" applyFont="1" borderId="0" fillId="0" fontId="122" numFmtId="0" quotePrefix="1" xfId="0"/>
    <xf applyBorder="1" applyFill="1" applyFont="1" borderId="0" fillId="0" fontId="122" numFmtId="0" quotePrefix="1" xfId="0"/>
    <xf applyBorder="1" applyFill="1" applyFont="1" borderId="0" fillId="0" fontId="29" numFmtId="0" xfId="0"/>
    <xf applyBorder="1" applyFill="1" applyFont="1" borderId="0" fillId="0" fontId="57" numFmtId="0" xfId="0"/>
    <xf applyAlignment="1" applyBorder="1" applyFill="1" applyFont="1" borderId="6" fillId="0" fontId="8" numFmtId="0" xfId="0">
      <alignment horizontal="left"/>
    </xf>
    <xf applyAlignment="1" applyBorder="1" applyFill="1" applyFont="1" borderId="7" fillId="0" fontId="8" numFmtId="0" xfId="0">
      <alignment horizontal="right"/>
    </xf>
    <xf applyBorder="1" applyFill="1" applyFont="1" borderId="10" fillId="0" fontId="4" numFmtId="0" xfId="0"/>
    <xf applyAlignment="1" applyBorder="1" applyFill="1" applyFont="1" applyNumberFormat="1" borderId="1" fillId="0" fontId="8" numFmtId="3" xfId="0"/>
    <xf applyBorder="1" applyFill="1" applyFont="1" borderId="12" fillId="0" fontId="4" numFmtId="0" xfId="0"/>
    <xf applyAlignment="1" applyBorder="1" applyFill="1" applyFont="1" applyNumberFormat="1" borderId="69" fillId="0" fontId="35" numFmtId="1" xfId="0">
      <alignment horizontal="center"/>
    </xf>
    <xf applyAlignment="1" applyBorder="1" applyFill="1" applyFont="1" applyNumberFormat="1" borderId="1" fillId="0" fontId="118" numFmtId="1" xfId="0">
      <alignment horizontal="center"/>
    </xf>
    <xf applyFill="1" applyFont="1" borderId="0" fillId="0" fontId="129" numFmtId="0" quotePrefix="1" xfId="0"/>
    <xf applyAlignment="1" applyBorder="1" applyFill="1" applyFont="1" borderId="0" fillId="0" fontId="4" numFmtId="0" quotePrefix="1" xfId="0">
      <alignment horizontal="center"/>
    </xf>
    <xf applyAlignment="1" applyBorder="1" applyFill="1" applyFont="1" applyNumberFormat="1" borderId="13" fillId="0" fontId="8" numFmtId="165" xfId="0"/>
    <xf applyFill="1" applyFont="1" borderId="0" fillId="0" fontId="134" numFmtId="0" xfId="0"/>
    <xf applyBorder="1" applyFill="1" applyFont="1" borderId="69" fillId="0" fontId="134" numFmtId="0" xfId="0"/>
    <xf applyBorder="1" applyFill="1" applyFont="1" borderId="0" fillId="0" fontId="97" numFmtId="0" xfId="0"/>
    <xf applyAlignment="1" applyFill="1" applyFont="1" applyProtection="1" borderId="0" fillId="0" fontId="61" numFmtId="0" xfId="0">
      <alignment horizontal="right"/>
    </xf>
    <xf applyAlignment="1" applyFill="1" applyFont="1" applyNumberFormat="1" borderId="0" fillId="0" fontId="4" numFmtId="2" xfId="0">
      <alignment horizontal="left"/>
    </xf>
    <xf applyFill="1" applyFont="1" borderId="0" fillId="0" fontId="72" numFmtId="0" xfId="0"/>
    <xf applyBorder="1" applyFill="1" applyFont="1" borderId="61" fillId="0" fontId="57" numFmtId="0" xfId="0"/>
    <xf applyBorder="1" applyFill="1" applyFont="1" borderId="0" fillId="0" fontId="72" numFmtId="0" xfId="0"/>
    <xf applyFill="1" applyFont="1" borderId="0" fillId="0" fontId="41" numFmtId="0" xfId="0"/>
    <xf applyAlignment="1" applyFill="1" applyFont="1" borderId="0" fillId="0" fontId="89" numFmtId="0" xfId="0">
      <alignment horizontal="right"/>
    </xf>
    <xf applyAlignment="1" applyFill="1" applyFont="1" borderId="0" fillId="0" fontId="4" numFmtId="0" xfId="0">
      <alignment horizontal="left" indent="3"/>
    </xf>
    <xf applyAlignment="1" applyFill="1" applyFont="1" borderId="0" fillId="0" fontId="118" numFmtId="0" xfId="0">
      <alignment horizontal="left" indent="1"/>
    </xf>
    <xf applyAlignment="1" applyFill="1" applyFont="1" borderId="0" fillId="0" fontId="4" numFmtId="0" xfId="0">
      <alignment horizontal="left" indent="4"/>
    </xf>
    <xf applyAlignment="1" applyBorder="1" applyFill="1" applyFont="1" applyNumberFormat="1" applyProtection="1" borderId="18" fillId="0" fontId="40" numFmtId="171" xfId="0">
      <alignment horizontal="center"/>
    </xf>
    <xf applyAlignment="1" applyFill="1" applyFont="1" borderId="0" fillId="14" fontId="4" numFmtId="0" xfId="0">
      <alignment horizontal="right"/>
    </xf>
    <xf applyBorder="1" applyFill="1" applyFont="1" applyProtection="1" borderId="23" fillId="14" fontId="39" numFmtId="0" xfId="0"/>
    <xf applyAlignment="1" applyBorder="1" applyFill="1" applyFont="1" applyProtection="1" borderId="16" fillId="0" fontId="4" numFmtId="0" xfId="0">
      <alignment horizontal="left" vertical="top"/>
      <protection locked="0"/>
    </xf>
    <xf applyAlignment="1" applyBorder="1" applyFill="1" applyFont="1" borderId="77" fillId="0" fontId="1" numFmtId="0" xfId="0">
      <alignment vertical="top" wrapText="1"/>
    </xf>
    <xf applyAlignment="1" applyBorder="1" applyFill="1" applyFont="1" borderId="77" fillId="0" fontId="4" numFmtId="0" xfId="0">
      <alignment vertical="top" wrapText="1"/>
    </xf>
    <xf applyAlignment="1" applyBorder="1" applyFill="1" applyFont="1" borderId="0" fillId="0" fontId="4" numFmtId="0" xfId="0">
      <alignment vertical="top" wrapText="1"/>
    </xf>
    <xf applyAlignment="1" applyBorder="1" applyFill="1" applyFont="1" borderId="77" fillId="0" fontId="89" numFmtId="0" xfId="0">
      <alignment vertical="top" wrapText="1"/>
    </xf>
    <xf applyAlignment="1" applyBorder="1" applyFill="1" applyFont="1" borderId="77" fillId="0" fontId="7" numFmtId="0" xfId="0">
      <alignment vertical="top" wrapText="1"/>
    </xf>
    <xf applyAlignment="1" applyBorder="1" applyFill="1" applyFont="1" borderId="0" fillId="10" fontId="39" numFmtId="0" xfId="0">
      <alignment horizontal="center"/>
    </xf>
    <xf applyFill="1" applyFont="1" applyNumberFormat="1" borderId="0" fillId="0" fontId="89" numFmtId="2" xfId="0"/>
    <xf applyBorder="1" applyFill="1" applyFont="1" applyNumberFormat="1" borderId="44" fillId="0" fontId="89" numFmtId="2" xfId="0"/>
    <xf applyBorder="1" applyFill="1" applyFont="1" applyNumberFormat="1" borderId="0" fillId="0" fontId="89" numFmtId="2" xfId="0"/>
    <xf applyBorder="1" applyFill="1" applyFont="1" applyNumberFormat="1" borderId="0" fillId="0" fontId="83" numFmtId="1" xfId="0"/>
    <xf applyAlignment="1" applyBorder="1" applyFill="1" applyFont="1" applyProtection="1" borderId="0" fillId="14" fontId="4" numFmtId="0" xfId="0">
      <alignment horizontal="left"/>
    </xf>
    <xf applyAlignment="1" applyBorder="1" applyFill="1" applyFont="1" applyProtection="1" borderId="0" fillId="14" fontId="40" numFmtId="0" xfId="0">
      <alignment horizontal="right"/>
    </xf>
    <xf applyBorder="1" applyFill="1" applyFont="1" borderId="89" fillId="0" fontId="4" numFmtId="0" xfId="0"/>
    <xf applyBorder="1" applyFill="1" applyFont="1" borderId="90" fillId="0" fontId="4" numFmtId="0" xfId="0"/>
    <xf applyBorder="1" applyFill="1" applyFont="1" borderId="25" fillId="0" fontId="89" numFmtId="0" xfId="0"/>
    <xf applyAlignment="1" applyBorder="1" applyFill="1" applyFont="1" borderId="25" fillId="0" fontId="89" numFmtId="0" xfId="0">
      <alignment horizontal="center"/>
    </xf>
    <xf applyBorder="1" applyFill="1" applyFont="1" applyProtection="1" borderId="76" fillId="4" fontId="39" numFmtId="0" xfId="0"/>
    <xf applyBorder="1" applyFill="1" applyFont="1" applyProtection="1" borderId="91" fillId="4" fontId="8" numFmtId="0" quotePrefix="1" xfId="0"/>
    <xf applyBorder="1" applyFill="1" applyFont="1" applyNumberFormat="1" applyProtection="1" borderId="92" fillId="18" fontId="4" numFmtId="3" quotePrefix="1" xfId="0"/>
    <xf applyAlignment="1" applyBorder="1" applyFill="1" applyFont="1" applyNumberFormat="1" borderId="0" fillId="0" fontId="89" numFmtId="2" xfId="0">
      <alignment horizontal="right"/>
    </xf>
    <xf applyBorder="1" applyFill="1" applyFont="1" applyNumberFormat="1" borderId="0" fillId="0" fontId="89" numFmtId="1" xfId="2"/>
    <xf applyAlignment="1" applyBorder="1" applyFill="1" applyFont="1" applyProtection="1" borderId="93" fillId="0" fontId="4" numFmtId="0" xfId="0">
      <alignment horizontal="center"/>
    </xf>
    <xf applyAlignment="1" applyBorder="1" applyFill="1" applyFont="1" borderId="94" fillId="0" fontId="39" numFmtId="0" xfId="0">
      <alignment horizontal="center"/>
    </xf>
    <xf applyBorder="1" applyFill="1" applyFont="1" borderId="52" fillId="0" fontId="97" numFmtId="0" xfId="0"/>
    <xf applyBorder="1" applyFill="1" applyFont="1" borderId="46" fillId="0" fontId="97" numFmtId="0" xfId="0"/>
    <xf applyBorder="1" applyFill="1" applyFont="1" borderId="50" fillId="0" fontId="73" numFmtId="0" xfId="0"/>
    <xf applyAlignment="1" applyBorder="1" applyFill="1" applyFont="1" applyProtection="1" borderId="95" fillId="10" fontId="4" numFmtId="0" xfId="0">
      <alignment horizontal="center"/>
    </xf>
    <xf applyAlignment="1" applyBorder="1" applyFill="1" applyFont="1" applyNumberFormat="1" applyProtection="1" borderId="95" fillId="10" fontId="4" numFmtId="1" xfId="0">
      <alignment horizontal="center"/>
    </xf>
    <xf applyBorder="1" applyFill="1" applyFont="1" borderId="34" fillId="0" fontId="97" numFmtId="0" xfId="0"/>
    <xf applyBorder="1" applyFill="1" applyFont="1" borderId="35" fillId="0" fontId="97" numFmtId="0" xfId="0"/>
    <xf applyAlignment="1" applyBorder="1" applyFill="1" applyFont="1" borderId="96" fillId="10" fontId="39" numFmtId="0" xfId="0">
      <alignment horizontal="center"/>
    </xf>
    <xf applyAlignment="1" applyBorder="1" applyFont="1" borderId="77" fillId="0" fontId="4" numFmtId="0" xfId="0">
      <alignment wrapText="1"/>
    </xf>
    <xf applyAlignment="1" applyBorder="1" applyFill="1" applyFont="1" borderId="77" fillId="0" fontId="4" numFmtId="0" xfId="0">
      <alignment wrapText="1"/>
    </xf>
    <xf applyAlignment="1" applyBorder="1" applyFill="1" applyFont="1" applyNumberFormat="1" applyProtection="1" borderId="97" fillId="10" fontId="4" numFmtId="2" xfId="0">
      <alignment horizontal="center"/>
    </xf>
    <xf applyBorder="1" applyFill="1" applyFont="1" borderId="77" fillId="0" fontId="73" numFmtId="0" xfId="0"/>
    <xf applyBorder="1" applyFont="1" applyProtection="1" borderId="50" fillId="0" fontId="39" numFmtId="0" xfId="0">
      <protection locked="0"/>
    </xf>
    <xf applyAlignment="1" applyBorder="1" applyFill="1" applyFont="1" borderId="82" fillId="0" fontId="4" numFmtId="0" xfId="0">
      <alignment vertical="top" wrapText="1"/>
    </xf>
    <xf applyAlignment="1" applyBorder="1" applyFill="1" applyFont="1" applyProtection="1" borderId="97" fillId="10" fontId="4" numFmtId="0" xfId="0">
      <alignment horizontal="center"/>
    </xf>
    <xf applyBorder="1" applyFont="1" borderId="72" fillId="0" fontId="8" numFmtId="0" xfId="0"/>
    <xf applyFont="1" applyNumberFormat="1" borderId="0" fillId="0" fontId="39" numFmtId="14" xfId="0"/>
    <xf applyAlignment="1" applyBorder="1" applyFill="1" applyFont="1" borderId="98" fillId="0" fontId="4" numFmtId="0" xfId="0">
      <alignment horizontal="left"/>
    </xf>
    <xf applyAlignment="1" applyBorder="1" applyFill="1" applyFont="1" borderId="99" fillId="0" fontId="4" numFmtId="0" xfId="0">
      <alignment horizontal="left"/>
    </xf>
    <xf applyAlignment="1" applyFill="1" applyFont="1" borderId="0" fillId="0" fontId="112" numFmtId="0" xfId="0">
      <alignment horizontal="right"/>
    </xf>
    <xf applyBorder="1" applyFont="1" applyNumberFormat="1" borderId="4" fillId="0" fontId="5" numFmtId="2" xfId="0"/>
    <xf applyBorder="1" applyFont="1" applyProtection="1" borderId="94" fillId="0" fontId="4" numFmtId="0" xfId="0"/>
    <xf applyBorder="1" applyFont="1" applyProtection="1" borderId="71" fillId="0" fontId="4" numFmtId="0" xfId="0"/>
    <xf applyBorder="1" applyFont="1" applyNumberFormat="1" applyProtection="1" borderId="71" fillId="0" fontId="4" numFmtId="49" xfId="0"/>
    <xf applyAlignment="1" applyBorder="1" applyFill="1" applyFont="1" applyNumberFormat="1" borderId="1" fillId="0" fontId="4" numFmtId="3" xfId="1">
      <alignment horizontal="right"/>
    </xf>
    <xf applyAlignment="1" applyBorder="1" applyFill="1" applyFont="1" applyNumberFormat="1" applyProtection="1" borderId="97" fillId="10" fontId="4" numFmtId="1" xfId="0">
      <alignment horizontal="center"/>
    </xf>
    <xf applyBorder="1" applyFill="1" applyFont="1" borderId="36" fillId="11" fontId="39" numFmtId="0" xfId="0"/>
    <xf applyAlignment="1" applyBorder="1" applyFill="1" applyFont="1" borderId="45" fillId="0" fontId="69" numFmtId="0" xfId="0">
      <alignment horizontal="center"/>
    </xf>
    <xf applyAlignment="1" applyBorder="1" applyFill="1" applyFont="1" borderId="49" fillId="0" fontId="69" numFmtId="0" xfId="0">
      <alignment horizontal="center"/>
    </xf>
    <xf applyFill="1" applyFont="1" borderId="0" fillId="0" fontId="141" numFmtId="0" xfId="0"/>
    <xf applyBorder="1" applyFill="1" applyFont="1" borderId="50" fillId="0" fontId="39" numFmtId="0" xfId="0"/>
    <xf applyBorder="1" applyFill="1" borderId="46" fillId="0" fontId="0" numFmtId="0" xfId="0"/>
    <xf applyBorder="1" applyFill="1" borderId="0" fillId="14" fontId="0" numFmtId="0" xfId="0"/>
    <xf applyBorder="1" applyFill="1" applyFont="1" applyProtection="1" borderId="0" fillId="14" fontId="4" numFmtId="0" xfId="0"/>
    <xf applyAlignment="1" applyBorder="1" applyFill="1" applyFont="1" applyProtection="1" borderId="93" fillId="10" fontId="39" numFmtId="0" xfId="0">
      <alignment horizontal="center"/>
    </xf>
    <xf applyAlignment="1" applyBorder="1" applyFill="1" applyFont="1" borderId="94" fillId="10" fontId="8" numFmtId="0" xfId="0">
      <alignment horizontal="center"/>
    </xf>
    <xf applyAlignment="1" applyBorder="1" applyFill="1" applyFont="1" borderId="52" fillId="4" fontId="73" numFmtId="0" xfId="0">
      <alignment horizontal="left"/>
    </xf>
    <xf applyAlignment="1" applyBorder="1" applyFill="1" applyFont="1" borderId="46" fillId="4" fontId="73" numFmtId="0" xfId="0"/>
    <xf applyAlignment="1" applyBorder="1" applyFill="1" applyFont="1" borderId="46" fillId="10" fontId="8" numFmtId="0" xfId="0">
      <alignment horizontal="center"/>
    </xf>
    <xf applyBorder="1" applyFill="1" applyFont="1" applyProtection="1" borderId="52" fillId="4" fontId="73" numFmtId="0" xfId="0"/>
    <xf applyAlignment="1" applyBorder="1" applyFill="1" applyFont="1" applyProtection="1" borderId="46" fillId="4" fontId="73" numFmtId="0" xfId="0"/>
    <xf applyAlignment="1" applyBorder="1" applyFill="1" applyFont="1" applyProtection="1" borderId="46" fillId="10" fontId="40" numFmtId="0" xfId="0">
      <alignment horizontal="center"/>
    </xf>
    <xf applyAlignment="1" applyBorder="1" applyFill="1" applyFont="1" applyProtection="1" borderId="46" fillId="10" fontId="40" numFmtId="0" xfId="0">
      <alignment horizontal="center"/>
      <protection locked="0"/>
    </xf>
    <xf applyAlignment="1" applyBorder="1" applyFill="1" applyFont="1" applyProtection="1" borderId="77" fillId="0" fontId="4" numFmtId="0" xfId="0">
      <alignment horizontal="center"/>
      <protection locked="0"/>
    </xf>
    <xf applyAlignment="1" applyBorder="1" applyFont="1" applyProtection="1" borderId="77" fillId="0" fontId="4" numFmtId="0" xfId="0">
      <alignment horizontal="center"/>
      <protection locked="0"/>
    </xf>
    <xf applyBorder="1" applyFill="1" applyFont="1" applyNumberFormat="1" borderId="100" fillId="0" fontId="4" numFmtId="1" xfId="2"/>
    <xf applyFill="1" applyFont="1" borderId="0" fillId="0" fontId="111" numFmtId="0" xfId="0"/>
    <xf applyFill="1" applyFont="1" applyNumberFormat="1" borderId="0" fillId="0" fontId="112" numFmtId="2" xfId="0"/>
    <xf applyAlignment="1" applyBorder="1" applyFill="1" applyFont="1" applyNumberFormat="1" borderId="0" fillId="0" fontId="4" numFmtId="4" quotePrefix="1" xfId="0">
      <alignment horizontal="right"/>
    </xf>
    <xf applyBorder="1" applyFill="1" applyFont="1" applyNumberFormat="1" borderId="0" fillId="0" fontId="112" numFmtId="2" xfId="0"/>
    <xf applyBorder="1" applyFill="1" applyFont="1" applyProtection="1" borderId="0" fillId="4" fontId="64" numFmtId="0" quotePrefix="1" xfId="0"/>
    <xf applyBorder="1" applyFill="1" applyProtection="1" borderId="77" fillId="0" fontId="0" numFmtId="0" xfId="0">
      <protection locked="0"/>
    </xf>
    <xf applyBorder="1" applyFill="1" applyFont="1" borderId="3" fillId="0" fontId="23" numFmtId="0" xfId="0"/>
    <xf applyAlignment="1" applyBorder="1" applyFill="1" applyFont="1" borderId="4" fillId="0" fontId="23" numFmtId="0" xfId="0">
      <alignment horizontal="right"/>
    </xf>
    <xf applyAlignment="1" applyBorder="1" applyFill="1" applyFont="1" borderId="2" fillId="0" fontId="61" numFmtId="0" quotePrefix="1" xfId="0">
      <alignment horizontal="center"/>
    </xf>
    <xf applyAlignment="1" applyBorder="1" applyFill="1" applyFont="1" borderId="2" fillId="0" fontId="5" numFmtId="0" quotePrefix="1" xfId="0">
      <alignment horizontal="center"/>
    </xf>
    <xf applyAlignment="1" applyBorder="1" applyFill="1" applyFont="1" borderId="82" fillId="0" fontId="61" numFmtId="0" xfId="0">
      <alignment horizontal="center"/>
    </xf>
    <xf applyAlignment="1" applyBorder="1" applyFill="1" applyFont="1" borderId="82" fillId="0" fontId="61" numFmtId="0" quotePrefix="1" xfId="0">
      <alignment horizontal="center"/>
    </xf>
    <xf applyAlignment="1" applyBorder="1" applyFill="1" applyFont="1" borderId="72" fillId="0" fontId="5" numFmtId="0" xfId="0">
      <alignment horizontal="center"/>
    </xf>
    <xf applyBorder="1" applyFill="1" applyFont="1" borderId="0" fillId="0" fontId="5" numFmtId="0" xfId="0"/>
    <xf applyAlignment="1" applyBorder="1" applyFill="1" applyFont="1" applyNumberFormat="1" borderId="2" fillId="0" fontId="61" numFmtId="2" xfId="0">
      <alignment horizontal="center"/>
    </xf>
    <xf applyBorder="1" applyFill="1" applyFont="1" borderId="3" fillId="0" fontId="5" numFmtId="0" xfId="0"/>
    <xf applyAlignment="1" applyBorder="1" applyFill="1" applyFont="1" applyProtection="1" borderId="1" fillId="0" fontId="24" numFmtId="0" xfId="0">
      <alignment horizontal="center"/>
    </xf>
    <xf applyFill="1" borderId="0" fillId="16" fontId="0" numFmtId="0" xfId="0"/>
    <xf applyBorder="1" applyFill="1" applyFont="1" borderId="1" fillId="0" fontId="4" numFmtId="9" xfId="4"/>
    <xf applyBorder="1" applyFill="1" applyFont="1" applyProtection="1" borderId="69" fillId="14" fontId="5" numFmtId="0" xfId="0"/>
    <xf applyBorder="1" applyFont="1" borderId="35" fillId="0" fontId="17" numFmtId="0" xfId="0"/>
    <xf applyAlignment="1" applyBorder="1" applyFont="1" borderId="42" fillId="0" fontId="23" numFmtId="0" xfId="0">
      <alignment horizontal="right"/>
    </xf>
    <xf applyAlignment="1" applyBorder="1" applyFill="1" applyFont="1" borderId="42" fillId="0" fontId="5" numFmtId="0" xfId="0">
      <alignment horizontal="center"/>
    </xf>
    <xf applyBorder="1" applyFill="1" applyFont="1" borderId="101" fillId="0" fontId="5" numFmtId="0" xfId="0"/>
    <xf applyBorder="1" applyFill="1" applyFont="1" borderId="35" fillId="0" fontId="5" numFmtId="0" xfId="0"/>
    <xf applyAlignment="1" applyBorder="1" applyFill="1" applyFont="1" borderId="35" fillId="0" fontId="61" numFmtId="0" xfId="0">
      <alignment horizontal="center"/>
    </xf>
    <xf applyBorder="1" applyFill="1" borderId="0" fillId="0" fontId="1" numFmtId="0" xfId="5"/>
    <xf applyBorder="1" applyFill="1" borderId="72" fillId="0" fontId="1" numFmtId="0" xfId="5"/>
    <xf applyBorder="1" applyFill="1" applyFont="1" borderId="77" fillId="0" fontId="4" numFmtId="0" xfId="5"/>
    <xf applyFill="1" applyFont="1" borderId="0" fillId="0" fontId="4" numFmtId="0" xfId="5"/>
    <xf applyBorder="1" applyFill="1" applyFont="1" applyNumberFormat="1" borderId="77" fillId="0" fontId="4" numFmtId="1" quotePrefix="1" xfId="5"/>
    <xf applyBorder="1" applyFill="1" borderId="77" fillId="0" fontId="1" numFmtId="0" xfId="5"/>
    <xf applyAlignment="1" applyBorder="1" applyFill="1" borderId="0" fillId="0" fontId="1" numFmtId="0" xfId="5">
      <alignment horizontal="right"/>
    </xf>
    <xf applyBorder="1" applyFill="1" applyNumberFormat="1" borderId="0" fillId="0" fontId="1" numFmtId="1" xfId="5"/>
    <xf applyBorder="1" applyFill="1" borderId="94" fillId="0" fontId="1" numFmtId="0" xfId="5"/>
    <xf applyBorder="1" applyFill="1" applyProtection="1" borderId="77" fillId="0" fontId="1" numFmtId="0" xfId="5">
      <protection locked="0"/>
    </xf>
    <xf applyAlignment="1" applyBorder="1" applyFill="1" borderId="77" fillId="0" fontId="1" numFmtId="0" xfId="5">
      <alignment horizontal="right"/>
    </xf>
    <xf applyBorder="1" applyFill="1" applyNumberFormat="1" borderId="77" fillId="0" fontId="1" numFmtId="1" xfId="5"/>
    <xf applyAlignment="1" applyBorder="1" applyFill="1" borderId="0" fillId="0" fontId="1" numFmtId="0" xfId="5">
      <alignment horizontal="left"/>
    </xf>
    <xf applyFill="1" applyFont="1" borderId="0" fillId="16" fontId="39" numFmtId="0" xfId="0"/>
    <xf applyFill="1" applyFont="1" applyProtection="1" borderId="0" fillId="16" fontId="8" numFmtId="0" xfId="0"/>
    <xf applyFill="1" applyFont="1" applyProtection="1" borderId="0" fillId="16" fontId="39" numFmtId="0" xfId="0"/>
    <xf applyBorder="1" applyFill="1" applyFont="1" applyNumberFormat="1" borderId="77" fillId="0" fontId="4" numFmtId="3" xfId="0"/>
    <xf applyFill="1" applyFont="1" borderId="0" fillId="18" fontId="4" numFmtId="0" xfId="0"/>
    <xf applyBorder="1" applyFill="1" applyFont="1" applyNumberFormat="1" borderId="77" fillId="0" fontId="4" numFmtId="3" xfId="4"/>
    <xf applyBorder="1" applyFill="1" applyFont="1" applyNumberFormat="1" applyProtection="1" borderId="18" fillId="0" fontId="4" numFmtId="3" xfId="2">
      <protection locked="0"/>
    </xf>
    <xf applyAlignment="1" applyBorder="1" borderId="77" fillId="0" fontId="0" numFmtId="0" xfId="0">
      <alignment wrapText="1"/>
    </xf>
    <xf applyAlignment="1" borderId="0" fillId="0" fontId="0" numFmtId="0" xfId="0">
      <alignment wrapText="1"/>
    </xf>
    <xf applyAlignment="1" applyBorder="1" applyFill="1" applyFont="1" borderId="71" fillId="0" fontId="5" numFmtId="0" xfId="0">
      <alignment horizontal="center"/>
    </xf>
    <xf applyAlignment="1" applyBorder="1" applyFill="1" applyFont="1" borderId="102" fillId="0" fontId="39" numFmtId="0" xfId="0">
      <alignment horizontal="center"/>
    </xf>
    <xf applyAlignment="1" applyBorder="1" applyFill="1" applyFont="1" applyProtection="1" borderId="104" fillId="10" fontId="4" numFmtId="0" xfId="0">
      <alignment horizontal="center"/>
    </xf>
    <xf applyAlignment="1" applyBorder="1" applyFill="1" applyFont="1" borderId="46" fillId="12" fontId="39" numFmtId="0" xfId="0">
      <alignment horizontal="left"/>
    </xf>
    <xf applyAlignment="1" applyBorder="1" applyFill="1" applyFont="1" borderId="45" fillId="0" fontId="69" numFmtId="0" xfId="0">
      <alignment horizontal="left"/>
    </xf>
    <xf applyAlignment="1" applyBorder="1" applyFill="1" applyFont="1" borderId="102" fillId="0" fontId="69" numFmtId="0" xfId="0">
      <alignment horizontal="left"/>
    </xf>
    <xf applyAlignment="1" applyBorder="1" applyFont="1" applyProtection="1" borderId="102" fillId="0" fontId="39" numFmtId="0" xfId="0">
      <alignment horizontal="center"/>
      <protection locked="0"/>
    </xf>
    <xf applyBorder="1" applyFont="1" applyProtection="1" borderId="102" fillId="0" fontId="39" numFmtId="0" xfId="0">
      <protection locked="0"/>
    </xf>
    <xf applyAlignment="1" applyBorder="1" applyFill="1" applyFont="1" borderId="49" fillId="0" fontId="69" numFmtId="0" xfId="0">
      <alignment horizontal="left"/>
    </xf>
    <xf applyAlignment="1" applyBorder="1" applyFill="1" applyFont="1" borderId="50" fillId="0" fontId="69" numFmtId="0" xfId="0">
      <alignment horizontal="left"/>
    </xf>
    <xf applyBorder="1" applyFill="1" applyFont="1" borderId="96" fillId="12" fontId="39" numFmtId="0" xfId="0"/>
    <xf applyBorder="1" applyFill="1" applyFont="1" borderId="104" fillId="10" fontId="39" numFmtId="0" xfId="0"/>
    <xf applyAlignment="1" applyBorder="1" applyFont="1" borderId="102" fillId="0" fontId="73" numFmtId="0" xfId="0"/>
    <xf applyBorder="1" applyFont="1" applyNumberFormat="1" borderId="102" fillId="0" fontId="39" numFmtId="2" xfId="0"/>
    <xf applyBorder="1" applyFill="1" applyFont="1" applyNumberFormat="1" borderId="102" fillId="17" fontId="39" numFmtId="2" xfId="0"/>
    <xf applyAlignment="1" applyBorder="1" applyFill="1" applyFont="1" applyProtection="1" borderId="0" fillId="17" fontId="40" numFmtId="0" xfId="0">
      <alignment horizontal="center"/>
      <protection locked="0"/>
    </xf>
    <xf applyAlignment="1" applyBorder="1" applyFill="1" applyFont="1" applyProtection="1" borderId="0" fillId="17" fontId="39" numFmtId="0" xfId="0">
      <alignment horizontal="center"/>
      <protection locked="0"/>
    </xf>
    <xf applyAlignment="1" applyBorder="1" applyFill="1" applyFont="1" applyNumberFormat="1" borderId="0" fillId="17" fontId="39" numFmtId="14" quotePrefix="1" xfId="0">
      <alignment horizontal="center"/>
    </xf>
    <xf applyAlignment="1" applyBorder="1" applyFill="1" applyFont="1" applyNumberFormat="1" applyProtection="1" borderId="0" fillId="17" fontId="39" numFmtId="172" xfId="1">
      <alignment horizontal="center"/>
      <protection locked="0"/>
    </xf>
    <xf applyAlignment="1" applyBorder="1" applyFill="1" applyFont="1" applyNumberFormat="1" applyProtection="1" borderId="0" fillId="17" fontId="39" numFmtId="1" xfId="1">
      <alignment horizontal="center"/>
      <protection locked="0"/>
    </xf>
    <xf applyAlignment="1" applyBorder="1" applyFill="1" applyFont="1" applyProtection="1" borderId="0" fillId="17" fontId="8" numFmtId="0" xfId="0">
      <alignment horizontal="center"/>
      <protection locked="0"/>
    </xf>
    <xf applyAlignment="1" applyBorder="1" applyFill="1" applyFont="1" applyProtection="1" borderId="0" fillId="17" fontId="4" numFmtId="0" xfId="0">
      <alignment horizontal="center"/>
      <protection locked="0"/>
    </xf>
    <xf applyFill="1" applyFont="1" borderId="0" fillId="17" fontId="39" numFmtId="0" xfId="0"/>
    <xf applyFill="1" applyFont="1" applyNumberFormat="1" borderId="0" fillId="17" fontId="39" numFmtId="182" xfId="0"/>
    <xf applyAlignment="1" applyBorder="1" applyFill="1" applyFont="1" applyNumberFormat="1" applyProtection="1" borderId="104" fillId="10" fontId="5" numFmtId="1" xfId="0">
      <alignment horizontal="center"/>
    </xf>
    <xf applyBorder="1" applyFill="1" applyFont="1" borderId="108" fillId="11" fontId="39" numFmtId="0" xfId="0"/>
    <xf applyAlignment="1" applyBorder="1" applyFill="1" applyFont="1" borderId="108" fillId="10" fontId="39" numFmtId="0" xfId="0">
      <alignment horizontal="center"/>
    </xf>
    <xf applyAlignment="1" applyBorder="1" applyFill="1" applyFont="1" borderId="102" fillId="0" fontId="69" numFmtId="0" xfId="0"/>
    <xf applyAlignment="1" applyBorder="1" applyFill="1" applyFont="1" applyNumberFormat="1" borderId="102" fillId="10" fontId="39" numFmtId="4" xfId="0">
      <alignment horizontal="right"/>
    </xf>
    <xf applyBorder="1" applyFill="1" applyFont="1" borderId="102" fillId="10" fontId="39" numFmtId="0" xfId="0"/>
    <xf applyAlignment="1" applyBorder="1" applyFill="1" applyFont="1" applyProtection="1" borderId="105" fillId="10" fontId="4" numFmtId="0" xfId="0">
      <alignment horizontal="center"/>
    </xf>
    <xf applyBorder="1" applyFill="1" applyFont="1" borderId="102" fillId="0" fontId="73" numFmtId="0" xfId="0"/>
    <xf applyAlignment="1" applyBorder="1" applyFill="1" applyFont="1" applyProtection="1" borderId="102" fillId="10" fontId="39" numFmtId="0" xfId="0">
      <alignment horizontal="center"/>
    </xf>
    <xf applyBorder="1" applyFont="1" applyProtection="1" borderId="51" fillId="0" fontId="39" numFmtId="0" xfId="0">
      <protection locked="0"/>
    </xf>
    <xf applyAlignment="1" applyBorder="1" applyFill="1" applyFont="1" applyNumberFormat="1" applyProtection="1" borderId="105" fillId="10" fontId="4" numFmtId="1" xfId="0">
      <alignment horizontal="center"/>
    </xf>
    <xf applyAlignment="1" applyBorder="1" applyFill="1" applyFont="1" applyNumberFormat="1" applyProtection="1" borderId="105" fillId="10" fontId="4" numFmtId="2" xfId="0">
      <alignment horizontal="center"/>
    </xf>
    <xf applyBorder="1" applyFill="1" applyFont="1" borderId="52" fillId="11" fontId="8" numFmtId="0" xfId="0"/>
    <xf applyBorder="1" applyFill="1" applyFont="1" borderId="107" fillId="12" fontId="8" numFmtId="0" xfId="0"/>
    <xf applyAlignment="1" applyBorder="1" applyFill="1" applyFont="1" borderId="52" fillId="12" fontId="8" numFmtId="0" xfId="0">
      <alignment horizontal="left"/>
    </xf>
    <xf applyAlignment="1" applyFill="1" applyFont="1" borderId="0" fillId="0" fontId="35" numFmtId="0" xfId="0">
      <alignment horizontal="center"/>
    </xf>
    <xf applyBorder="1" applyFill="1" applyFont="1" borderId="102" fillId="0" fontId="5" numFmtId="0" xfId="0"/>
    <xf applyBorder="1" applyFont="1" borderId="77" fillId="0" fontId="4" numFmtId="0" xfId="0"/>
    <xf applyBorder="1" applyFill="1" applyFont="1" applyProtection="1" borderId="22" fillId="4" fontId="143" numFmtId="0" xfId="0"/>
    <xf applyBorder="1" applyFill="1" applyFont="1" applyProtection="1" borderId="0" fillId="16" fontId="39" numFmtId="0" xfId="0"/>
    <xf applyFill="1" applyFont="1" borderId="0" fillId="16" fontId="8" numFmtId="0" xfId="0"/>
    <xf applyAlignment="1" applyBorder="1" applyFill="1" applyFont="1" borderId="110" fillId="0" fontId="5" numFmtId="0" xfId="0">
      <alignment vertical="center" wrapText="1"/>
    </xf>
    <xf applyAlignment="1" applyBorder="1" applyFill="1" applyFont="1" borderId="110" fillId="24" fontId="5" numFmtId="0" xfId="0">
      <alignment vertical="center" wrapText="1"/>
    </xf>
    <xf applyAlignment="1" applyBorder="1" applyFill="1" applyFont="1" borderId="102" fillId="0" fontId="73" numFmtId="0" xfId="0"/>
    <xf applyAlignment="1" applyBorder="1" applyFill="1" applyFont="1" borderId="77" fillId="0" fontId="5" numFmtId="0" xfId="0">
      <alignment vertical="top" wrapText="1"/>
    </xf>
    <xf applyAlignment="1" applyBorder="1" applyFill="1" applyFont="1" borderId="72" fillId="0" fontId="69" numFmtId="0" xfId="0">
      <alignment horizontal="left"/>
    </xf>
    <xf applyBorder="1" applyFill="1" applyFont="1" applyProtection="1" borderId="23" fillId="14" fontId="4" numFmtId="0" xfId="0"/>
    <xf applyAlignment="1" applyBorder="1" applyFill="1" applyFont="1" applyProtection="1" borderId="0" fillId="14" fontId="40" numFmtId="0" xfId="0">
      <alignment horizontal="center"/>
    </xf>
    <xf applyAlignment="1" applyBorder="1" applyFill="1" applyFont="1" applyProtection="1" borderId="0" fillId="8" fontId="4" numFmtId="0" quotePrefix="1" xfId="0">
      <alignment horizontal="left"/>
    </xf>
    <xf applyAlignment="1" applyFill="1" applyFont="1" borderId="0" fillId="0" fontId="12" numFmtId="0" xfId="0">
      <alignment vertical="center"/>
    </xf>
    <xf applyAlignment="1" applyFill="1" applyFont="1" borderId="0" fillId="0" fontId="1" numFmtId="0" xfId="0">
      <alignment horizontal="left" indent="1"/>
    </xf>
    <xf applyAlignment="1" applyFill="1" applyFont="1" borderId="0" fillId="0" fontId="1" numFmtId="0" xfId="0">
      <alignment horizontal="left" indent="2"/>
    </xf>
    <xf applyAlignment="1" applyFill="1" applyFont="1" borderId="0" fillId="0" fontId="1" numFmtId="0" xfId="0">
      <alignment horizontal="left" indent="4"/>
    </xf>
    <xf applyAlignment="1" applyFill="1" borderId="0" fillId="0" fontId="0" numFmtId="0" xfId="0">
      <alignment horizontal="left" indent="3"/>
    </xf>
    <xf applyAlignment="1" applyFill="1" applyFont="1" borderId="0" fillId="0" fontId="1" numFmtId="0" xfId="0">
      <alignment horizontal="left" indent="5"/>
    </xf>
    <xf applyAlignment="1" applyFill="1" applyFont="1" borderId="0" fillId="0" fontId="1" numFmtId="0" xfId="0">
      <alignment horizontal="left" indent="3"/>
    </xf>
    <xf applyAlignment="1" applyFill="1" applyFont="1" borderId="0" fillId="0" fontId="1" numFmtId="0" xfId="0">
      <alignment horizontal="left"/>
    </xf>
    <xf applyAlignment="1" applyFill="1" applyFont="1" borderId="0" fillId="0" fontId="1" numFmtId="0" xfId="0">
      <alignment horizontal="left" indent="2" vertical="center"/>
    </xf>
    <xf applyFill="1" applyFont="1" borderId="0" fillId="0" fontId="128" numFmtId="0" xfId="0"/>
    <xf applyAlignment="1" applyBorder="1" applyFill="1" applyFont="1" borderId="1" fillId="0" fontId="86" numFmtId="0" xfId="0">
      <alignment vertical="top" wrapText="1"/>
    </xf>
    <xf applyAlignment="1" applyBorder="1" applyFill="1" applyFont="1" borderId="1" fillId="0" fontId="87" numFmtId="0" xfId="0">
      <alignment vertical="top" wrapText="1"/>
    </xf>
    <xf applyAlignment="1" applyBorder="1" applyFill="1" applyFont="1" borderId="2" fillId="0" fontId="86" numFmtId="0" xfId="0">
      <alignment vertical="top" wrapText="1"/>
    </xf>
    <xf applyAlignment="1" applyBorder="1" applyFill="1" applyFont="1" borderId="2" fillId="0" fontId="86" numFmtId="0" xfId="0">
      <alignment horizontal="left" vertical="top" wrapText="1"/>
    </xf>
    <xf applyAlignment="1" applyBorder="1" applyFill="1" applyFont="1" borderId="3" fillId="0" fontId="86" numFmtId="0" xfId="0">
      <alignment horizontal="left" indent="1" vertical="top" wrapText="1"/>
    </xf>
    <xf applyAlignment="1" applyBorder="1" applyFill="1" applyFont="1" borderId="3" fillId="0" fontId="86" numFmtId="0" xfId="0">
      <alignment horizontal="center" vertical="top" wrapText="1"/>
    </xf>
    <xf applyAlignment="1" applyBorder="1" applyFill="1" applyFont="1" borderId="3" fillId="0" fontId="86" numFmtId="0" xfId="0">
      <alignment vertical="top" wrapText="1"/>
    </xf>
    <xf applyAlignment="1" applyBorder="1" applyFill="1" applyFont="1" borderId="4" fillId="0" fontId="86" numFmtId="0" xfId="0">
      <alignment vertical="top" wrapText="1"/>
    </xf>
    <xf applyAlignment="1" applyBorder="1" applyFill="1" applyFont="1" borderId="4" fillId="0" fontId="86" numFmtId="0" xfId="0">
      <alignment horizontal="center" vertical="top" wrapText="1"/>
    </xf>
    <xf applyAlignment="1" applyBorder="1" applyFill="1" applyFont="1" borderId="1" fillId="0" fontId="10" numFmtId="0" xfId="0">
      <alignment vertical="top" wrapText="1"/>
    </xf>
    <xf applyAlignment="1" applyBorder="1" applyFill="1" applyFont="1" borderId="2" fillId="0" fontId="86" numFmtId="0" xfId="0">
      <alignment horizontal="center" vertical="top" wrapText="1"/>
    </xf>
    <xf applyAlignment="1" applyBorder="1" applyFill="1" applyFont="1" borderId="6" fillId="0" fontId="86" numFmtId="0" xfId="0">
      <alignment vertical="top" wrapText="1"/>
    </xf>
    <xf applyAlignment="1" applyBorder="1" applyFill="1" applyFont="1" borderId="2" fillId="0" fontId="10" numFmtId="0" xfId="0">
      <alignment vertical="top" wrapText="1"/>
    </xf>
    <xf applyAlignment="1" applyBorder="1" applyFill="1" applyFont="1" borderId="9" fillId="0" fontId="86" numFmtId="0" xfId="0">
      <alignment horizontal="left" indent="1" vertical="top" wrapText="1"/>
    </xf>
    <xf applyAlignment="1" applyBorder="1" applyFill="1" applyFont="1" borderId="3" fillId="0" fontId="10" numFmtId="0" xfId="0">
      <alignment vertical="top" wrapText="1"/>
    </xf>
    <xf applyAlignment="1" applyBorder="1" applyFill="1" applyFont="1" borderId="9" fillId="0" fontId="86" numFmtId="0" xfId="0">
      <alignment vertical="top" wrapText="1"/>
    </xf>
    <xf applyBorder="1" applyFill="1" borderId="3" fillId="0" fontId="0" numFmtId="0" xfId="0"/>
    <xf applyAlignment="1" applyBorder="1" applyFill="1" borderId="3" fillId="0" fontId="0" numFmtId="0" xfId="0">
      <alignment vertical="top" wrapText="1"/>
    </xf>
    <xf applyAlignment="1" applyBorder="1" applyFill="1" applyFont="1" borderId="11" fillId="0" fontId="86" numFmtId="0" xfId="0">
      <alignment vertical="top" wrapText="1"/>
    </xf>
    <xf applyAlignment="1" applyBorder="1" applyFill="1" borderId="4" fillId="0" fontId="0" numFmtId="0" xfId="0">
      <alignment vertical="top" wrapText="1"/>
    </xf>
    <xf applyAlignment="1" applyBorder="1" applyFill="1" applyFont="1" borderId="7" fillId="0" fontId="10" numFmtId="0" xfId="0">
      <alignment vertical="top" wrapText="1"/>
    </xf>
    <xf applyAlignment="1" applyBorder="1" applyFill="1" applyFont="1" borderId="12" fillId="0" fontId="86" numFmtId="0" xfId="0">
      <alignment vertical="top" wrapText="1"/>
    </xf>
    <xf applyFill="1" applyFont="1" borderId="0" fillId="0" fontId="96" numFmtId="0" xfId="0"/>
    <xf applyAlignment="1" applyBorder="1" applyFill="1" borderId="1" fillId="0" fontId="0" numFmtId="0" xfId="0">
      <alignment horizontal="left"/>
    </xf>
    <xf applyBorder="1" applyFont="1" applyNumberFormat="1" applyProtection="1" borderId="18" fillId="0" fontId="10" numFmtId="4" xfId="0">
      <protection locked="0"/>
    </xf>
    <xf applyBorder="1" applyFill="1" applyFont="1" applyNumberFormat="1" applyProtection="1" borderId="18" fillId="0" fontId="4" numFmtId="172" xfId="1">
      <protection locked="0"/>
    </xf>
    <xf applyBorder="1" applyFill="1" applyFont="1" applyNumberFormat="1" applyProtection="1" borderId="18" fillId="0" fontId="10" numFmtId="4" xfId="0">
      <protection locked="0"/>
    </xf>
    <xf applyBorder="1" applyFont="1" applyNumberFormat="1" applyProtection="1" borderId="18" fillId="0" fontId="10" numFmtId="172" xfId="1">
      <protection locked="0"/>
    </xf>
    <xf applyBorder="1" applyFill="1" applyFont="1" applyNumberFormat="1" applyProtection="1" borderId="18" fillId="0" fontId="10" numFmtId="3" xfId="0">
      <protection locked="0"/>
    </xf>
    <xf applyBorder="1" applyFill="1" applyFont="1" applyNumberFormat="1" applyProtection="1" borderId="18" fillId="0" fontId="4" numFmtId="4" xfId="2">
      <protection locked="0"/>
    </xf>
    <xf applyBorder="1" applyFont="1" borderId="71" fillId="0" fontId="1" numFmtId="0" xfId="0"/>
    <xf applyFont="1" applyNumberFormat="1" applyProtection="1" borderId="0" fillId="0" fontId="4" numFmtId="16" quotePrefix="1" xfId="0"/>
    <xf applyAlignment="1" applyBorder="1" applyFill="1" applyFont="1" applyProtection="1" borderId="22" fillId="8" fontId="145" numFmtId="0" xfId="0">
      <alignment horizontal="left"/>
    </xf>
    <xf applyBorder="1" applyFill="1" applyFont="1" borderId="112" fillId="0" fontId="4" numFmtId="0" xfId="0"/>
    <xf applyBorder="1" applyFill="1" applyFont="1" borderId="112" fillId="0" fontId="112" numFmtId="0" xfId="0"/>
    <xf applyAlignment="1" applyFont="1" borderId="0" fillId="0" fontId="1" numFmtId="0" xfId="0">
      <alignment vertical="center"/>
    </xf>
    <xf applyAlignment="1" applyBorder="1" applyFill="1" applyFont="1" borderId="0" fillId="0" fontId="4" numFmtId="0" xfId="0">
      <alignment horizontal="left" indent="3"/>
    </xf>
    <xf applyAlignment="1" applyBorder="1" applyFill="1" applyFont="1" borderId="73" fillId="0" fontId="1" numFmtId="0" xfId="0"/>
    <xf applyAlignment="1" applyBorder="1" applyFill="1" applyFont="1" borderId="74" fillId="0" fontId="1" numFmtId="0" xfId="0"/>
    <xf applyAlignment="1" applyBorder="1" applyFill="1" applyFont="1" applyNumberFormat="1" borderId="75" fillId="0" fontId="1" numFmtId="9" xfId="0"/>
    <xf applyAlignment="1" applyBorder="1" applyFill="1" applyFont="1" applyNumberFormat="1" borderId="0" fillId="0" fontId="114" numFmtId="1" xfId="0">
      <alignment horizontal="left"/>
    </xf>
    <xf applyBorder="1" applyFont="1" borderId="66" fillId="0" fontId="4" numFmtId="0" xfId="0"/>
    <xf applyBorder="1" applyFont="1" borderId="67" fillId="0" fontId="4" numFmtId="0" xfId="0"/>
    <xf applyBorder="1" applyFont="1" borderId="68" fillId="0" fontId="4" numFmtId="0" xfId="0"/>
    <xf applyBorder="1" applyFont="1" borderId="58" fillId="0" fontId="4" numFmtId="0" xfId="0"/>
    <xf applyAlignment="1" applyFill="1" applyFont="1" borderId="0" fillId="0" fontId="29" numFmtId="0" xfId="0">
      <alignment horizontal="right"/>
    </xf>
    <xf applyAlignment="1" applyBorder="1" applyFill="1" applyFont="1" borderId="112" fillId="0" fontId="4" numFmtId="0" xfId="0">
      <alignment horizontal="left"/>
    </xf>
    <xf applyBorder="1" applyFill="1" applyFont="1" borderId="113" fillId="0" fontId="4" numFmtId="0" xfId="0"/>
    <xf applyAlignment="1" applyFill="1" applyFont="1" borderId="0" fillId="0" fontId="122" numFmtId="0" xfId="0">
      <alignment horizontal="right"/>
    </xf>
    <xf applyBorder="1" applyFill="1" applyFont="1" applyNumberFormat="1" borderId="1" fillId="0" fontId="122" numFmtId="3" xfId="0"/>
    <xf applyFill="1" applyFont="1" borderId="0" fillId="0" fontId="122" numFmtId="0" xfId="0"/>
    <xf applyBorder="1" borderId="114" fillId="0" fontId="0" numFmtId="0" xfId="0"/>
    <xf applyBorder="1" borderId="36" fillId="0" fontId="0" numFmtId="0" xfId="0"/>
    <xf applyBorder="1" applyFill="1" borderId="115" fillId="14" fontId="0" numFmtId="0" xfId="0"/>
    <xf applyBorder="1" borderId="116" fillId="0" fontId="0" numFmtId="0" xfId="0"/>
    <xf applyBorder="1" borderId="57" fillId="0" fontId="0" numFmtId="0" xfId="0"/>
    <xf applyAlignment="1" applyBorder="1" applyFill="1" borderId="102" fillId="0" fontId="0" numFmtId="0" xfId="0">
      <alignment horizontal="right"/>
    </xf>
    <xf applyBorder="1" applyFill="1" applyNumberFormat="1" borderId="118" fillId="0" fontId="0" numFmtId="2" xfId="0"/>
    <xf applyAlignment="1" applyBorder="1" applyFill="1" applyFont="1" borderId="102" fillId="0" fontId="1" numFmtId="0" xfId="0">
      <alignment horizontal="right"/>
    </xf>
    <xf applyBorder="1" applyFill="1" borderId="118" fillId="0" fontId="0" numFmtId="0" xfId="0"/>
    <xf applyAlignment="1" applyBorder="1" borderId="102" fillId="0" fontId="0" numFmtId="0" xfId="0">
      <alignment horizontal="right"/>
    </xf>
    <xf applyBorder="1" borderId="118" fillId="0" fontId="0" numFmtId="0" xfId="0"/>
    <xf applyBorder="1" applyNumberFormat="1" borderId="118" fillId="0" fontId="0" numFmtId="2" xfId="0"/>
    <xf applyBorder="1" applyNumberFormat="1" borderId="118" fillId="0" fontId="0" numFmtId="3" xfId="0"/>
    <xf applyBorder="1" applyNumberFormat="1" borderId="51" fillId="0" fontId="0" numFmtId="3" xfId="0"/>
    <xf applyAlignment="1" applyFont="1" borderId="0" fillId="0" fontId="98" numFmtId="0" xfId="0">
      <alignment vertical="center"/>
    </xf>
    <xf applyBorder="1" applyFill="1" applyFont="1" borderId="73" fillId="0" fontId="147" numFmtId="0" xfId="0"/>
    <xf applyBorder="1" applyFill="1" applyFont="1" borderId="74" fillId="0" fontId="147" numFmtId="0" xfId="0"/>
    <xf applyFill="1" applyFont="1" applyNumberFormat="1" borderId="0" fillId="0" fontId="8" numFmtId="2" xfId="0"/>
    <xf applyBorder="1" applyFill="1" applyFont="1" applyNumberFormat="1" borderId="44" fillId="0" fontId="8" numFmtId="2" xfId="0"/>
    <xf applyBorder="1" applyFill="1" applyFont="1" applyNumberFormat="1" borderId="0" fillId="0" fontId="8" numFmtId="3" xfId="0"/>
    <xf applyFill="1" applyFont="1" applyNumberFormat="1" borderId="0" fillId="0" fontId="89" numFmtId="1" xfId="0"/>
    <xf applyBorder="1" applyFill="1" applyFont="1" borderId="113" fillId="0" fontId="112" numFmtId="0" xfId="0"/>
    <xf applyBorder="1" applyFill="1" applyFont="1" borderId="63" fillId="0" fontId="112" numFmtId="0" xfId="0"/>
    <xf applyBorder="1" applyFont="1" borderId="0" fillId="0" fontId="7" numFmtId="0" xfId="0"/>
    <xf applyBorder="1" borderId="117" fillId="0" fontId="0" numFmtId="0" xfId="0"/>
    <xf applyAlignment="1" applyBorder="1" applyFill="1" applyFont="1" borderId="102" fillId="0" fontId="86" numFmtId="0" xfId="0">
      <alignment vertical="top" wrapText="1"/>
    </xf>
    <xf applyBorder="1" borderId="102" fillId="0" fontId="0" numFmtId="0" xfId="0"/>
    <xf applyBorder="1" applyFont="1" borderId="117" fillId="0" fontId="1" numFmtId="0" xfId="0"/>
    <xf applyBorder="1" applyFont="1" borderId="49" fillId="0" fontId="1" numFmtId="0" xfId="0"/>
    <xf applyBorder="1" borderId="50" fillId="0" fontId="0" numFmtId="0" xfId="0"/>
    <xf applyBorder="1" applyFont="1" borderId="102" fillId="0" fontId="1" numFmtId="0" xfId="0"/>
    <xf applyAlignment="1" applyBorder="1" borderId="102" fillId="0" fontId="0" numFmtId="0" xfId="0">
      <alignment horizontal="left"/>
    </xf>
    <xf applyAlignment="1" applyBorder="1" borderId="50" fillId="0" fontId="0" numFmtId="0" xfId="0">
      <alignment horizontal="left"/>
    </xf>
    <xf applyAlignment="1" applyFill="1" applyFont="1" borderId="0" fillId="0" fontId="8" numFmtId="0" xfId="0">
      <alignment horizontal="center"/>
    </xf>
    <xf applyBorder="1" applyFill="1" borderId="119" fillId="14" fontId="0" numFmtId="0" xfId="0"/>
    <xf applyBorder="1" applyFill="1" applyFont="1" applyProtection="1" borderId="120" fillId="4" fontId="4" numFmtId="0" xfId="0"/>
    <xf applyBorder="1" applyFill="1" applyFont="1" applyProtection="1" borderId="121" fillId="4" fontId="4" numFmtId="0" xfId="0"/>
    <xf applyBorder="1" applyFill="1" applyFont="1" applyProtection="1" borderId="122" fillId="4" fontId="4" numFmtId="0" xfId="0"/>
    <xf applyAlignment="1" applyBorder="1" applyFill="1" applyFont="1" applyProtection="1" borderId="0" fillId="5" fontId="57" numFmtId="0" xfId="0">
      <alignment horizontal="center"/>
    </xf>
    <xf applyAlignment="1" applyProtection="1" borderId="0" fillId="0" fontId="38" numFmtId="0" xfId="3"/>
    <xf applyBorder="1" applyFont="1" borderId="102" fillId="0" fontId="4" numFmtId="0" xfId="0"/>
    <xf applyBorder="1" applyFont="1" borderId="71" fillId="0" fontId="4" numFmtId="0" xfId="0"/>
    <xf applyBorder="1" applyFont="1" borderId="72" fillId="0" fontId="4" numFmtId="0" xfId="0"/>
    <xf applyBorder="1" applyFont="1" borderId="65" fillId="0" fontId="4" numFmtId="0" xfId="0"/>
    <xf applyBorder="1" applyFont="1" borderId="104" fillId="0" fontId="4" numFmtId="0" xfId="0"/>
    <xf applyBorder="1" applyFont="1" borderId="105" fillId="0" fontId="4" numFmtId="0" xfId="0"/>
    <xf applyBorder="1" applyFont="1" borderId="106" fillId="0" fontId="4" numFmtId="0" xfId="0"/>
    <xf applyFill="1" applyFont="1" borderId="0" fillId="16" fontId="4" numFmtId="0" xfId="0"/>
    <xf applyFill="1" applyFont="1" applyProtection="1" borderId="0" fillId="16" fontId="8" numFmtId="0" xfId="0">
      <protection locked="0"/>
    </xf>
    <xf applyBorder="1" applyFill="1" applyFont="1" borderId="123" fillId="5" fontId="4" numFmtId="0" xfId="0"/>
    <xf applyBorder="1" applyFill="1" applyFont="1" borderId="124" fillId="5" fontId="4" numFmtId="0" xfId="0"/>
    <xf applyBorder="1" applyFill="1" applyFont="1" borderId="125" fillId="5" fontId="4" numFmtId="0" xfId="0"/>
    <xf applyBorder="1" applyFill="1" applyFont="1" borderId="120" fillId="5" fontId="4" numFmtId="0" xfId="0"/>
    <xf applyBorder="1" applyFill="1" applyFont="1" borderId="126" fillId="5" fontId="4" numFmtId="0" xfId="0"/>
    <xf applyBorder="1" applyFill="1" applyFont="1" borderId="120" fillId="16" fontId="4" numFmtId="0" xfId="0"/>
    <xf applyBorder="1" applyFill="1" applyFont="1" borderId="0" fillId="16" fontId="4" numFmtId="0" xfId="0"/>
    <xf applyBorder="1" applyFill="1" applyFont="1" borderId="126" fillId="16" fontId="4" numFmtId="0" xfId="0"/>
    <xf applyBorder="1" applyFont="1" applyNumberFormat="1" applyProtection="1" borderId="102" fillId="0" fontId="4" numFmtId="1" xfId="0">
      <protection locked="0"/>
    </xf>
    <xf applyBorder="1" applyFill="1" applyFont="1" borderId="121" fillId="16" fontId="4" numFmtId="0" xfId="0"/>
    <xf applyBorder="1" applyFill="1" applyFont="1" borderId="122" fillId="16" fontId="4" numFmtId="0" xfId="0"/>
    <xf applyBorder="1" applyFill="1" applyFont="1" borderId="127" fillId="16" fontId="4" numFmtId="0" xfId="0"/>
    <xf applyAlignment="1" applyBorder="1" applyFill="1" applyFont="1" borderId="1" fillId="0" fontId="1" numFmtId="0" xfId="0">
      <alignment horizontal="left"/>
    </xf>
    <xf applyBorder="1" applyFill="1" applyFont="1" borderId="118" fillId="0" fontId="1" numFmtId="0" xfId="0"/>
    <xf applyAlignment="1" applyBorder="1" applyFill="1" applyFont="1" borderId="72" fillId="0" fontId="74" numFmtId="0" xfId="0">
      <alignment horizontal="left"/>
    </xf>
    <xf applyAlignment="1" applyBorder="1" applyFill="1" applyFont="1" borderId="0" fillId="10" fontId="4" numFmtId="0" xfId="0">
      <alignment horizontal="center"/>
    </xf>
    <xf applyAlignment="1" applyBorder="1" applyFill="1" applyFont="1" borderId="45" fillId="0" fontId="74" numFmtId="0" xfId="0">
      <alignment horizontal="center"/>
    </xf>
    <xf applyAlignment="1" applyBorder="1" applyFill="1" applyFont="1" borderId="49" fillId="0" fontId="74" numFmtId="0" xfId="0">
      <alignment horizontal="center"/>
    </xf>
    <xf applyAlignment="1" applyBorder="1" applyFill="1" applyFont="1" borderId="102" fillId="0" fontId="74" numFmtId="0" xfId="0"/>
    <xf applyAlignment="1" applyBorder="1" applyFill="1" applyFont="1" borderId="50" fillId="0" fontId="74" numFmtId="0" xfId="0"/>
    <xf applyBorder="1" applyFill="1" applyFont="1" applyNumberFormat="1" applyProtection="1" borderId="50" fillId="10" fontId="8" numFmtId="4" xfId="0"/>
    <xf applyAlignment="1" applyBorder="1" applyFill="1" applyFont="1" borderId="102" fillId="0" fontId="8" numFmtId="0" xfId="0">
      <alignment horizontal="center"/>
    </xf>
    <xf applyBorder="1" applyFill="1" applyFont="1" borderId="45" fillId="0" fontId="97" numFmtId="0" xfId="0"/>
    <xf applyBorder="1" applyFill="1" applyFont="1" borderId="49" fillId="0" fontId="97" numFmtId="0" xfId="0"/>
    <xf applyBorder="1" applyFill="1" applyFont="1" borderId="109" fillId="0" fontId="97" numFmtId="0" xfId="0"/>
    <xf applyAlignment="1" applyBorder="1" applyFont="1" applyProtection="1" borderId="102" fillId="0" fontId="8" numFmtId="0" xfId="0">
      <alignment horizontal="center"/>
      <protection locked="0"/>
    </xf>
    <xf applyAlignment="1" applyBorder="1" applyFill="1" applyFont="1" applyProtection="1" borderId="87" fillId="10" fontId="4" numFmtId="0" xfId="0">
      <alignment horizontal="center"/>
    </xf>
    <xf applyBorder="1" applyFill="1" applyFont="1" borderId="52" fillId="0" fontId="39" numFmtId="0" xfId="0"/>
    <xf applyBorder="1" applyFill="1" applyFont="1" borderId="46" fillId="0" fontId="39" numFmtId="0" xfId="0"/>
    <xf applyAlignment="1" applyBorder="1" applyFill="1" applyFont="1" borderId="109" fillId="0" fontId="74" numFmtId="0" xfId="0">
      <alignment horizontal="center"/>
    </xf>
    <xf applyAlignment="1" applyBorder="1" applyFill="1" applyFont="1" borderId="109" fillId="0" fontId="69" numFmtId="0" xfId="0">
      <alignment horizontal="center"/>
    </xf>
    <xf applyBorder="1" applyFont="1" applyProtection="1" borderId="48" fillId="0" fontId="4" numFmtId="0" xfId="0">
      <protection locked="0"/>
    </xf>
    <xf applyAlignment="1" applyBorder="1" applyFont="1" applyNumberFormat="1" applyProtection="1" borderId="77" fillId="0" fontId="4" numFmtId="0" xfId="0">
      <alignment horizontal="center"/>
      <protection locked="0"/>
    </xf>
    <xf applyAlignment="1" applyBorder="1" applyFont="1" applyNumberFormat="1" applyProtection="1" borderId="50" fillId="0" fontId="39" numFmtId="0" xfId="0">
      <alignment horizontal="right"/>
      <protection locked="0"/>
    </xf>
    <xf applyAlignment="1" applyBorder="1" applyFill="1" applyFont="1" borderId="52" fillId="4" fontId="39" numFmtId="0" xfId="0">
      <alignment horizontal="center"/>
    </xf>
    <xf applyAlignment="1" applyBorder="1" applyFill="1" applyFont="1" borderId="46" fillId="4" fontId="39" numFmtId="0" xfId="0">
      <alignment horizontal="center"/>
    </xf>
    <xf applyAlignment="1" applyBorder="1" applyFill="1" applyFont="1" borderId="45" fillId="0" fontId="105" numFmtId="0" xfId="0">
      <alignment horizontal="center"/>
    </xf>
    <xf applyBorder="1" applyFont="1" borderId="50" fillId="0" fontId="4" numFmtId="0" xfId="0"/>
    <xf applyAlignment="1" applyBorder="1" applyFont="1" borderId="52" fillId="0" fontId="97" numFmtId="0" xfId="0">
      <alignment horizontal="center"/>
    </xf>
    <xf applyAlignment="1" applyBorder="1" applyFont="1" borderId="46" fillId="0" fontId="97" numFmtId="0" xfId="0">
      <alignment horizontal="center"/>
    </xf>
    <xf applyAlignment="1" applyBorder="1" applyFont="1" borderId="45" fillId="0" fontId="73" numFmtId="0" xfId="0">
      <alignment horizontal="center"/>
    </xf>
    <xf applyAlignment="1" applyBorder="1" applyFill="1" applyFont="1" borderId="45" fillId="4" fontId="73" numFmtId="0" xfId="0">
      <alignment horizontal="center"/>
    </xf>
    <xf applyAlignment="1" applyBorder="1" applyFill="1" applyFont="1" borderId="1" fillId="4" fontId="73" numFmtId="0" xfId="0">
      <alignment horizontal="left"/>
    </xf>
    <xf applyAlignment="1" applyBorder="1" applyFill="1" applyFont="1" borderId="129" fillId="4" fontId="73" numFmtId="0" xfId="0">
      <alignment horizontal="center"/>
    </xf>
    <xf applyAlignment="1" applyBorder="1" applyFill="1" applyFont="1" borderId="128" fillId="4" fontId="73" numFmtId="0" xfId="0">
      <alignment horizontal="left"/>
    </xf>
    <xf applyAlignment="1" applyBorder="1" applyFont="1" borderId="131" fillId="0" fontId="73" numFmtId="0" xfId="0">
      <alignment horizontal="center"/>
    </xf>
    <xf applyAlignment="1" applyBorder="1" applyFont="1" borderId="130" fillId="0" fontId="73" numFmtId="0" xfId="0">
      <alignment horizontal="left"/>
    </xf>
    <xf applyAlignment="1" applyBorder="1" applyFont="1" borderId="45" fillId="0" fontId="97" numFmtId="0" xfId="0">
      <alignment horizontal="center"/>
    </xf>
    <xf applyAlignment="1" applyBorder="1" applyFill="1" applyFont="1" borderId="45" fillId="4" fontId="97" numFmtId="0" xfId="0">
      <alignment horizontal="center"/>
    </xf>
    <xf applyAlignment="1" applyBorder="1" applyFill="1" applyFont="1" applyProtection="1" borderId="104" fillId="10" fontId="4" numFmtId="0" xfId="0">
      <alignment horizontal="center" wrapText="1"/>
    </xf>
    <xf applyBorder="1" applyFill="1" applyFont="1" borderId="107" fillId="12" fontId="39" numFmtId="0" xfId="0"/>
    <xf applyAlignment="1" applyBorder="1" applyFill="1" applyFont="1" borderId="117" fillId="0" fontId="69" numFmtId="0" xfId="0">
      <alignment horizontal="center"/>
    </xf>
    <xf applyAlignment="1" applyBorder="1" applyFill="1" applyFont="1" borderId="117" fillId="0" fontId="74" numFmtId="0" xfId="0">
      <alignment horizontal="center"/>
    </xf>
    <xf applyAlignment="1" applyBorder="1" applyFill="1" applyFont="1" borderId="136" fillId="26" fontId="5" numFmtId="0" xfId="0">
      <alignment vertical="center" wrapText="1"/>
    </xf>
    <xf applyBorder="1" applyFont="1" borderId="135" fillId="0" fontId="39" numFmtId="0" xfId="0"/>
    <xf applyAlignment="1" applyBorder="1" applyFill="1" applyFont="1" borderId="137" fillId="26" fontId="5" numFmtId="0" xfId="0">
      <alignment vertical="center" wrapText="1"/>
    </xf>
    <xf applyBorder="1" applyFont="1" borderId="138" fillId="0" fontId="39" numFmtId="0" xfId="0"/>
    <xf applyAlignment="1" applyBorder="1" applyFill="1" applyFont="1" borderId="137" fillId="0" fontId="5" numFmtId="0" xfId="0">
      <alignment vertical="center" wrapText="1"/>
    </xf>
    <xf applyAlignment="1" applyBorder="1" applyFill="1" applyFont="1" borderId="138" fillId="0" fontId="5" numFmtId="0" xfId="0">
      <alignment wrapText="1"/>
    </xf>
    <xf applyAlignment="1" applyBorder="1" applyFill="1" applyFont="1" borderId="139" fillId="0" fontId="1" numFmtId="0" xfId="0">
      <alignment vertical="top" wrapText="1"/>
    </xf>
    <xf applyAlignment="1" applyBorder="1" applyFill="1" applyFont="1" borderId="139" fillId="0" fontId="7" numFmtId="0" xfId="0">
      <alignment vertical="top" wrapText="1"/>
    </xf>
    <xf applyAlignment="1" applyBorder="1" applyFont="1" applyProtection="1" borderId="138" fillId="0" fontId="7" numFmtId="0" xfId="0">
      <alignment wrapText="1"/>
    </xf>
    <xf applyBorder="1" applyFill="1" applyFont="1" borderId="138" fillId="0" fontId="5" numFmtId="0" xfId="0"/>
    <xf applyAlignment="1" applyBorder="1" applyFill="1" applyFont="1" applyProtection="1" borderId="0" fillId="0" fontId="6" numFmtId="0" xfId="0">
      <alignment horizontal="center"/>
      <protection locked="0"/>
    </xf>
    <xf applyAlignment="1" applyBorder="1" applyFill="1" applyFont="1" applyProtection="1" borderId="0" fillId="0" fontId="5" numFmtId="0" xfId="0">
      <alignment horizontal="center"/>
      <protection locked="0"/>
    </xf>
    <xf applyAlignment="1" applyBorder="1" applyFill="1" applyFont="1" borderId="139" fillId="0" fontId="6" numFmtId="0" xfId="0">
      <alignment horizontal="center"/>
    </xf>
    <xf applyAlignment="1" applyBorder="1" applyFont="1" borderId="138" fillId="0" fontId="5" numFmtId="0" xfId="0">
      <alignment wrapText="1"/>
    </xf>
    <xf applyAlignment="1" applyBorder="1" applyFill="1" applyFont="1" borderId="98" fillId="0" fontId="111" numFmtId="0" xfId="0">
      <alignment horizontal="left"/>
    </xf>
    <xf applyAlignment="1" applyBorder="1" applyFill="1" applyFont="1" borderId="99" fillId="0" fontId="111" numFmtId="0" xfId="0">
      <alignment horizontal="left"/>
    </xf>
    <xf applyAlignment="1" applyBorder="1" applyFont="1" borderId="117" fillId="0" fontId="73" numFmtId="0" xfId="0">
      <alignment horizontal="left"/>
    </xf>
    <xf applyBorder="1" applyFont="1" applyNumberFormat="1" borderId="118" fillId="0" fontId="39" numFmtId="2" xfId="0"/>
    <xf applyAlignment="1" applyBorder="1" applyFill="1" applyFont="1" borderId="117" fillId="0" fontId="73" numFmtId="0" xfId="0">
      <alignment horizontal="left"/>
    </xf>
    <xf applyBorder="1" applyFill="1" applyFont="1" applyNumberFormat="1" borderId="118" fillId="17" fontId="39" numFmtId="2" xfId="0"/>
    <xf applyAlignment="1" applyBorder="1" applyFont="1" borderId="132" fillId="0" fontId="73" numFmtId="0" xfId="0">
      <alignment horizontal="left"/>
    </xf>
    <xf applyAlignment="1" applyBorder="1" applyFont="1" borderId="133" fillId="0" fontId="73" numFmtId="0" xfId="0"/>
    <xf applyBorder="1" applyFill="1" applyFont="1" applyNumberFormat="1" borderId="133" fillId="17" fontId="39" numFmtId="2" xfId="0"/>
    <xf applyBorder="1" applyFill="1" applyFont="1" applyNumberFormat="1" borderId="134" fillId="17" fontId="39" numFmtId="2" xfId="0"/>
    <xf applyAlignment="1" applyBorder="1" applyFill="1" applyFont="1" applyNumberFormat="1" applyProtection="1" borderId="117" fillId="0" fontId="97" numFmtId="49" xfId="0">
      <alignment horizontal="center"/>
    </xf>
    <xf applyAlignment="1" applyBorder="1" applyFill="1" applyFont="1" applyProtection="1" borderId="102" fillId="10" fontId="8" numFmtId="0" xfId="0">
      <alignment horizontal="center"/>
      <protection locked="0"/>
    </xf>
    <xf applyAlignment="1" applyBorder="1" applyFont="1" applyNumberFormat="1" applyProtection="1" borderId="117" fillId="0" fontId="73" numFmtId="49" xfId="0">
      <alignment horizontal="center"/>
    </xf>
    <xf applyAlignment="1" applyBorder="1" applyFill="1" applyFont="1" applyProtection="1" borderId="102" fillId="0" fontId="39" numFmtId="0" xfId="0">
      <alignment horizontal="center"/>
      <protection locked="0"/>
    </xf>
    <xf applyAlignment="1" applyBorder="1" applyFill="1" applyFont="1" applyProtection="1" borderId="118" fillId="0" fontId="39" numFmtId="0" xfId="0">
      <alignment horizontal="center"/>
      <protection locked="0"/>
    </xf>
    <xf applyAlignment="1" applyBorder="1" applyFill="1" applyFont="1" applyProtection="1" borderId="102" fillId="0" fontId="4" numFmtId="0" xfId="0">
      <alignment horizontal="center"/>
      <protection locked="0"/>
    </xf>
    <xf applyAlignment="1" applyBorder="1" applyFont="1" applyProtection="1" borderId="118" fillId="0" fontId="39" numFmtId="0" xfId="0">
      <alignment horizontal="center"/>
      <protection locked="0"/>
    </xf>
    <xf applyAlignment="1" applyBorder="1" applyFill="1" applyFont="1" applyNumberFormat="1" borderId="102" fillId="10" fontId="39" numFmtId="14" quotePrefix="1" xfId="0">
      <alignment horizontal="center"/>
    </xf>
    <xf applyAlignment="1" applyBorder="1" applyFill="1" applyFont="1" applyNumberFormat="1" borderId="118" fillId="10" fontId="39" numFmtId="14" quotePrefix="1" xfId="0">
      <alignment horizontal="center"/>
    </xf>
    <xf applyAlignment="1" applyBorder="1" applyFill="1" applyFont="1" applyNumberFormat="1" applyProtection="1" borderId="102" fillId="0" fontId="39" numFmtId="172" xfId="1">
      <alignment horizontal="center"/>
      <protection locked="0"/>
    </xf>
    <xf applyAlignment="1" applyBorder="1" applyFill="1" applyFont="1" applyNumberFormat="1" applyProtection="1" borderId="118" fillId="0" fontId="39" numFmtId="172" xfId="1">
      <alignment horizontal="center"/>
      <protection locked="0"/>
    </xf>
    <xf applyAlignment="1" applyBorder="1" applyFont="1" applyNumberFormat="1" applyProtection="1" borderId="117" fillId="0" fontId="97" numFmtId="49" xfId="0">
      <alignment horizontal="center"/>
    </xf>
    <xf applyAlignment="1" applyBorder="1" applyFill="1" applyFont="1" applyProtection="1" borderId="102" fillId="0" fontId="8" numFmtId="0" xfId="0">
      <alignment horizontal="center"/>
      <protection locked="0"/>
    </xf>
    <xf applyAlignment="1" applyBorder="1" applyFill="1" applyFont="1" applyNumberFormat="1" applyProtection="1" borderId="102" fillId="0" fontId="39" numFmtId="1" xfId="1">
      <alignment horizontal="center"/>
      <protection locked="0"/>
    </xf>
    <xf applyAlignment="1" applyBorder="1" applyFill="1" applyFont="1" applyNumberFormat="1" applyProtection="1" borderId="102" fillId="0" fontId="4" numFmtId="1" xfId="1">
      <alignment horizontal="center"/>
      <protection locked="0"/>
    </xf>
    <xf applyAlignment="1" applyBorder="1" applyFill="1" applyFont="1" applyNumberFormat="1" applyProtection="1" borderId="118" fillId="0" fontId="39" numFmtId="1" xfId="1">
      <alignment horizontal="center"/>
      <protection locked="0"/>
    </xf>
    <xf applyAlignment="1" applyBorder="1" applyFill="1" applyFont="1" applyNumberFormat="1" applyProtection="1" borderId="102" fillId="0" fontId="39" numFmtId="1" xfId="0">
      <alignment horizontal="center"/>
      <protection locked="0"/>
    </xf>
    <xf applyAlignment="1" applyBorder="1" applyFill="1" applyFont="1" applyNumberFormat="1" applyProtection="1" borderId="102" fillId="0" fontId="4" numFmtId="1" xfId="0">
      <alignment horizontal="center"/>
      <protection locked="0"/>
    </xf>
    <xf applyAlignment="1" applyBorder="1" applyFont="1" applyProtection="1" borderId="118" fillId="0" fontId="8" numFmtId="0" xfId="0">
      <alignment horizontal="center"/>
      <protection locked="0"/>
    </xf>
    <xf applyAlignment="1" applyBorder="1" applyFill="1" applyFont="1" applyNumberFormat="1" applyProtection="1" borderId="117" fillId="0" fontId="73" numFmtId="49" xfId="0">
      <alignment horizontal="center"/>
    </xf>
    <xf applyAlignment="1" applyBorder="1" applyFont="1" applyProtection="1" borderId="102" fillId="0" fontId="4" numFmtId="0" xfId="0">
      <alignment horizontal="center"/>
      <protection locked="0"/>
    </xf>
    <xf applyAlignment="1" applyBorder="1" applyFill="1" applyFont="1" applyNumberFormat="1" applyProtection="1" borderId="102" fillId="0" fontId="73" numFmtId="49" xfId="0"/>
    <xf applyAlignment="1" applyBorder="1" applyFill="1" applyFont="1" applyNumberFormat="1" borderId="102" fillId="10" fontId="4" numFmtId="14" quotePrefix="1" xfId="0">
      <alignment horizontal="center"/>
    </xf>
    <xf applyAlignment="1" applyBorder="1" applyFont="1" applyProtection="1" borderId="118" fillId="0" fontId="4" numFmtId="0" xfId="0">
      <alignment horizontal="center"/>
      <protection locked="0"/>
    </xf>
    <xf applyAlignment="1" applyBorder="1" applyFill="1" applyFont="1" applyNumberFormat="1" applyProtection="1" borderId="132" fillId="0" fontId="73" numFmtId="49" xfId="0">
      <alignment horizontal="center"/>
    </xf>
    <xf applyAlignment="1" applyBorder="1" applyFill="1" applyFont="1" borderId="133" fillId="0" fontId="69" numFmtId="0" xfId="0"/>
    <xf applyAlignment="1" applyBorder="1" applyFill="1" applyFont="1" applyProtection="1" borderId="133" fillId="0" fontId="39" numFmtId="0" xfId="0">
      <alignment horizontal="center"/>
      <protection locked="0"/>
    </xf>
    <xf applyAlignment="1" applyBorder="1" applyFill="1" applyFont="1" applyProtection="1" borderId="133" fillId="0" fontId="4" numFmtId="0" xfId="0">
      <alignment horizontal="center"/>
      <protection locked="0"/>
    </xf>
    <xf applyAlignment="1" applyBorder="1" applyFont="1" applyProtection="1" borderId="133" fillId="0" fontId="39" numFmtId="0" xfId="0">
      <alignment horizontal="center"/>
      <protection locked="0"/>
    </xf>
    <xf applyAlignment="1" applyBorder="1" applyFont="1" applyProtection="1" borderId="134" fillId="0" fontId="39" numFmtId="0" xfId="0">
      <alignment horizontal="center"/>
      <protection locked="0"/>
    </xf>
    <xf applyAlignment="1" applyBorder="1" applyFont="1" borderId="102" fillId="0" fontId="39" numFmtId="170" xfId="1">
      <alignment horizontal="center"/>
    </xf>
    <xf applyBorder="1" applyFont="1" borderId="102" fillId="0" fontId="39" numFmtId="170" xfId="1"/>
    <xf applyAlignment="1" applyBorder="1" applyFill="1" applyFont="1" borderId="102" fillId="17" fontId="8" numFmtId="170" xfId="1">
      <alignment horizontal="right"/>
    </xf>
    <xf applyAlignment="1" applyBorder="1" applyFill="1" applyFont="1" borderId="102" fillId="0" fontId="8" numFmtId="170" xfId="1">
      <alignment horizontal="right"/>
    </xf>
    <xf applyAlignment="1" applyBorder="1" applyFill="1" applyFont="1" borderId="102" fillId="0" fontId="39" numFmtId="170" xfId="1">
      <alignment horizontal="center"/>
    </xf>
    <xf applyBorder="1" applyFill="1" applyFont="1" borderId="102" fillId="0" fontId="39" numFmtId="170" xfId="1"/>
    <xf applyAlignment="1" applyBorder="1" applyFill="1" applyFont="1" borderId="102" fillId="0" fontId="39" numFmtId="170" xfId="1">
      <alignment horizontal="right"/>
    </xf>
    <xf applyAlignment="1" applyBorder="1" applyFill="1" applyFont="1" borderId="102" fillId="0" fontId="8" numFmtId="170" xfId="1">
      <alignment horizontal="center"/>
    </xf>
    <xf applyBorder="1" applyFill="1" applyFont="1" borderId="102" fillId="0" fontId="8" numFmtId="170" xfId="1"/>
    <xf applyBorder="1" applyFill="1" applyFont="1" borderId="102" fillId="0" fontId="39" numFmtId="0" xfId="0"/>
    <xf applyAlignment="1" applyBorder="1" applyFont="1" borderId="102" fillId="0" fontId="39" numFmtId="170" xfId="1">
      <alignment horizontal="right"/>
    </xf>
    <xf applyAlignment="1" applyBorder="1" applyFill="1" applyFont="1" borderId="102" fillId="10" fontId="39" numFmtId="170" xfId="1">
      <alignment horizontal="right"/>
    </xf>
    <xf applyAlignment="1" applyBorder="1" applyFont="1" borderId="102" fillId="0" fontId="8" numFmtId="170" xfId="1">
      <alignment horizontal="right"/>
    </xf>
    <xf applyAlignment="1" applyBorder="1" applyFill="1" applyFont="1" borderId="133" fillId="0" fontId="73" numFmtId="0" xfId="0"/>
    <xf applyAlignment="1" applyBorder="1" applyFill="1" applyFont="1" borderId="133" fillId="0" fontId="39" numFmtId="0" xfId="0">
      <alignment horizontal="center"/>
    </xf>
    <xf applyAlignment="1" applyBorder="1" applyFill="1" applyFont="1" borderId="133" fillId="0" fontId="4" numFmtId="0" xfId="0">
      <alignment horizontal="center"/>
    </xf>
    <xf applyAlignment="1" applyBorder="1" applyFill="1" applyFont="1" applyNumberFormat="1" applyProtection="1" borderId="102" fillId="0" fontId="55" numFmtId="49" xfId="0">
      <alignment horizontal="center"/>
    </xf>
    <xf applyAlignment="1" applyBorder="1" applyFill="1" applyFont="1" applyNumberFormat="1" applyProtection="1" borderId="139" fillId="0" fontId="55" numFmtId="49" xfId="0">
      <alignment horizontal="center"/>
    </xf>
    <xf applyAlignment="1" applyBorder="1" applyFill="1" applyFont="1" applyNumberFormat="1" applyProtection="1" borderId="106" fillId="0" fontId="4" numFmtId="2" xfId="0">
      <alignment horizontal="center"/>
    </xf>
    <xf applyAlignment="1" applyBorder="1" applyFill="1" applyFont="1" applyNumberFormat="1" applyProtection="1" borderId="106" fillId="0" fontId="4" numFmtId="1" xfId="0">
      <alignment horizontal="center"/>
    </xf>
    <xf applyBorder="1" applyFill="1" applyFont="1" applyProtection="1" borderId="104" fillId="9" fontId="55" numFmtId="0" xfId="0"/>
    <xf applyBorder="1" applyFill="1" applyFont="1" applyProtection="1" borderId="105" fillId="9" fontId="4" numFmtId="0" xfId="0"/>
    <xf applyAlignment="1" applyBorder="1" applyFill="1" applyFont="1" applyProtection="1" borderId="105" fillId="9" fontId="55" numFmtId="0" xfId="0">
      <alignment horizontal="center"/>
    </xf>
    <xf applyBorder="1" applyFill="1" applyFont="1" applyProtection="1" borderId="105" fillId="9" fontId="55" numFmtId="0" xfId="0"/>
    <xf applyBorder="1" applyFill="1" applyFont="1" applyProtection="1" borderId="106" fillId="9" fontId="4" numFmtId="0" xfId="0"/>
    <xf applyBorder="1" applyFill="1" applyFont="1" applyProtection="1" borderId="106" fillId="9" fontId="55" numFmtId="0" xfId="0"/>
    <xf applyAlignment="1" applyBorder="1" applyFill="1" applyFont="1" applyNumberFormat="1" applyProtection="1" borderId="102" fillId="0" fontId="4" numFmtId="14" xfId="0">
      <alignment horizontal="center"/>
    </xf>
    <xf applyAlignment="1" applyBorder="1" applyFill="1" applyFont="1" applyProtection="1" borderId="102" fillId="0" fontId="4" numFmtId="0" xfId="0">
      <alignment horizontal="center"/>
    </xf>
    <xf applyAlignment="1" applyBorder="1" applyFill="1" applyFont="1" applyNumberFormat="1" applyProtection="1" borderId="102" fillId="0" fontId="4" numFmtId="2" xfId="0">
      <alignment horizontal="center"/>
    </xf>
    <xf applyAlignment="1" applyBorder="1" applyFill="1" applyFont="1" applyNumberFormat="1" applyProtection="1" borderId="106" fillId="0" fontId="8" numFmtId="2" xfId="0">
      <alignment horizontal="center"/>
    </xf>
    <xf applyBorder="1" applyFill="1" applyFont="1" applyProtection="1" borderId="104" fillId="0" fontId="55" numFmtId="0" xfId="0"/>
    <xf applyBorder="1" applyFill="1" applyFont="1" applyProtection="1" borderId="106" fillId="0" fontId="55" numFmtId="0" xfId="0"/>
    <xf applyAlignment="1" applyBorder="1" applyFill="1" applyFont="1" applyProtection="1" borderId="105" fillId="9" fontId="55" numFmtId="0" xfId="0">
      <alignment horizontal="left"/>
    </xf>
    <xf applyAlignment="1" applyBorder="1" applyFill="1" applyFont="1" applyProtection="1" borderId="106" fillId="9" fontId="4" numFmtId="0" xfId="0">
      <alignment horizontal="center"/>
    </xf>
    <xf applyAlignment="1" applyBorder="1" applyFill="1" applyFont="1" applyNumberFormat="1" applyProtection="1" borderId="106" fillId="0" fontId="4" numFmtId="0" xfId="0">
      <alignment horizontal="center"/>
    </xf>
    <xf applyAlignment="1" applyBorder="1" applyFill="1" applyFont="1" applyNumberFormat="1" applyProtection="1" borderId="106" fillId="0" fontId="4" numFmtId="0" xfId="0">
      <alignment horizontal="left" indent="1"/>
    </xf>
    <xf applyAlignment="1" applyBorder="1" applyFill="1" applyFont="1" borderId="32" fillId="0" fontId="69" numFmtId="0" xfId="0">
      <alignment horizontal="center"/>
    </xf>
    <xf applyAlignment="1" applyBorder="1" applyFill="1" applyFont="1" borderId="139" fillId="0" fontId="69" numFmtId="0" xfId="0">
      <alignment horizontal="center"/>
    </xf>
    <xf applyAlignment="1" applyBorder="1" applyFill="1" applyFont="1" applyNumberFormat="1" applyProtection="1" borderId="106" fillId="0" fontId="4" numFmtId="4" xfId="0">
      <alignment horizontal="center"/>
    </xf>
    <xf applyAlignment="1" applyBorder="1" applyFill="1" applyFont="1" borderId="33" fillId="0" fontId="69" numFmtId="0" xfId="0">
      <alignment horizontal="center"/>
    </xf>
    <xf applyAlignment="1" applyBorder="1" applyFill="1" applyFont="1" applyNumberFormat="1" applyProtection="1" borderId="97" fillId="10" fontId="4" numFmtId="0" xfId="0">
      <alignment horizontal="center"/>
    </xf>
    <xf applyAlignment="1" applyBorder="1" applyFill="1" applyFont="1" applyNumberFormat="1" applyProtection="1" borderId="93" fillId="10" fontId="39" numFmtId="4" xfId="0">
      <alignment horizontal="center"/>
    </xf>
    <xf applyAlignment="1" applyBorder="1" applyFill="1" applyFont="1" applyNumberFormat="1" applyProtection="1" borderId="93" fillId="10" fontId="39" numFmtId="1" xfId="0">
      <alignment horizontal="center"/>
    </xf>
    <xf applyAlignment="1" applyBorder="1" applyFill="1" applyFont="1" applyNumberFormat="1" applyProtection="1" borderId="93" fillId="10" fontId="39" numFmtId="0" xfId="0">
      <alignment horizontal="center"/>
    </xf>
    <xf applyBorder="1" applyFill="1" applyFont="1" applyNumberFormat="1" borderId="104" fillId="10" fontId="39" numFmtId="4" xfId="0"/>
    <xf applyAlignment="1" borderId="0" fillId="0" fontId="0" numFmtId="0" xfId="0">
      <alignment wrapText="1"/>
    </xf>
    <xf applyAlignment="1" applyBorder="1" applyFill="1" applyFont="1" applyNumberFormat="1" applyProtection="1" borderId="106" fillId="0" fontId="4" numFmtId="14" xfId="0">
      <alignment horizontal="left" indent="1"/>
    </xf>
    <xf applyAlignment="1" applyBorder="1" applyFill="1" applyFont="1" applyNumberFormat="1" applyProtection="1" borderId="106" fillId="0" fontId="4" numFmtId="14" xfId="0">
      <alignment horizontal="center"/>
    </xf>
    <xf applyAlignment="1" applyBorder="1" applyFill="1" applyFont="1" applyNumberFormat="1" applyProtection="1" borderId="106" fillId="0" fontId="4" numFmtId="4" xfId="0">
      <alignment horizontal="left" indent="1"/>
    </xf>
    <xf applyAlignment="1" applyBorder="1" applyFill="1" applyFont="1" applyNumberFormat="1" applyProtection="1" borderId="69" fillId="0" fontId="55" numFmtId="49" xfId="0">
      <alignment horizontal="center"/>
    </xf>
    <xf applyBorder="1" applyFill="1" applyFont="1" applyNumberFormat="1" applyProtection="1" borderId="50" fillId="0" fontId="8" numFmtId="4" xfId="0"/>
    <xf applyBorder="1" applyFill="1" applyFont="1" applyProtection="1" borderId="102" fillId="15" fontId="39" numFmtId="0" xfId="0">
      <protection locked="0"/>
    </xf>
    <xf applyAlignment="1" applyBorder="1" applyFill="1" applyFont="1" applyNumberFormat="1" borderId="102" fillId="0" fontId="39" numFmtId="1" xfId="1">
      <alignment horizontal="center"/>
    </xf>
    <xf applyBorder="1" applyFill="1" applyFont="1" applyNumberFormat="1" borderId="102" fillId="0" fontId="39" numFmtId="1" xfId="1"/>
    <xf applyAlignment="1" applyBorder="1" applyFont="1" applyNumberFormat="1" borderId="102" fillId="0" fontId="39" numFmtId="1" xfId="1">
      <alignment horizontal="center"/>
    </xf>
    <xf applyAlignment="1" applyBorder="1" applyFill="1" applyFont="1" applyNumberFormat="1" borderId="102" fillId="0" fontId="4" numFmtId="0" xfId="1">
      <alignment horizontal="center"/>
    </xf>
    <xf applyBorder="1" applyFill="1" applyFont="1" applyNumberFormat="1" borderId="102" fillId="0" fontId="4" numFmtId="0" xfId="1"/>
    <xf applyBorder="1" applyFont="1" applyNumberFormat="1" borderId="102" fillId="0" fontId="39" numFmtId="0" xfId="0"/>
    <xf applyAlignment="1" applyBorder="1" applyFill="1" applyFont="1" applyNumberFormat="1" borderId="102" fillId="0" fontId="39" numFmtId="0" xfId="1">
      <alignment horizontal="center"/>
    </xf>
    <xf applyBorder="1" applyFill="1" applyFont="1" applyNumberFormat="1" borderId="102" fillId="0" fontId="39" numFmtId="0" xfId="1"/>
    <xf applyBorder="1" applyFont="1" applyNumberFormat="1" borderId="102" fillId="0" fontId="39" numFmtId="0" xfId="1"/>
    <xf applyAlignment="1" applyBorder="1" applyFill="1" applyFont="1" borderId="45" fillId="0" fontId="74" numFmtId="0" xfId="0">
      <alignment horizontal="left"/>
    </xf>
    <xf applyAlignment="1" applyBorder="1" applyFill="1" applyFont="1" borderId="102" fillId="0" fontId="74" numFmtId="0" xfId="0">
      <alignment horizontal="left"/>
    </xf>
    <xf applyAlignment="1" applyBorder="1" applyFill="1" applyFont="1" applyProtection="1" borderId="93" fillId="10" fontId="4" numFmtId="0" xfId="0">
      <alignment horizontal="center"/>
    </xf>
    <xf applyBorder="1" applyFill="1" applyFont="1" borderId="52" fillId="12" fontId="39" numFmtId="0" xfId="0"/>
    <xf applyBorder="1" applyFill="1" applyFont="1" borderId="46" fillId="12" fontId="39" numFmtId="0" xfId="0"/>
    <xf applyAlignment="1" applyBorder="1" applyFill="1" applyFont="1" borderId="140" fillId="0" fontId="69" numFmtId="0" xfId="0">
      <alignment horizontal="center"/>
    </xf>
    <xf applyAlignment="1" applyBorder="1" applyFill="1" applyFont="1" borderId="140" fillId="0" fontId="74" numFmtId="0" xfId="0">
      <alignment horizontal="center"/>
    </xf>
    <xf applyAlignment="1" applyBorder="1" applyFill="1" applyFont="1" borderId="132" fillId="0" fontId="69" numFmtId="0" xfId="0">
      <alignment horizontal="center"/>
    </xf>
    <xf applyAlignment="1" applyBorder="1" applyFill="1" applyFont="1" borderId="133" fillId="0" fontId="69" numFmtId="0" xfId="0">
      <alignment horizontal="left"/>
    </xf>
    <xf applyAlignment="1" applyBorder="1" applyFill="1" applyFont="1" applyProtection="1" borderId="0" fillId="0" fontId="7" numFmtId="0" xfId="0">
      <alignment wrapText="1"/>
    </xf>
    <xf applyAlignment="1" applyBorder="1" borderId="69" fillId="0" fontId="0" numFmtId="0" xfId="0">
      <alignment wrapText="1"/>
    </xf>
    <xf applyAlignment="1" applyBorder="1" applyFill="1" borderId="69" fillId="0" fontId="0" numFmtId="0" xfId="0">
      <alignment wrapText="1"/>
    </xf>
    <xf applyAlignment="1" applyBorder="1" applyFill="1" applyFont="1" applyProtection="1" borderId="0" fillId="0" fontId="6" numFmtId="0" xfId="0">
      <alignment wrapText="1"/>
    </xf>
    <xf applyAlignment="1" applyBorder="1" applyFill="1" applyFont="1" borderId="69" fillId="0" fontId="7" numFmtId="0" xfId="0">
      <alignment vertical="top" wrapText="1"/>
    </xf>
    <xf applyAlignment="1" applyBorder="1" applyFont="1" borderId="69" fillId="0" fontId="5" numFmtId="0" xfId="0">
      <alignment wrapText="1"/>
    </xf>
    <xf applyAlignment="1" applyBorder="1" applyFill="1" applyFont="1" borderId="69" fillId="0" fontId="5" numFmtId="0" xfId="0">
      <alignment vertical="top" wrapText="1"/>
    </xf>
    <xf applyAlignment="1" applyBorder="1" applyFont="1" applyNumberFormat="1" applyProtection="1" borderId="77" fillId="0" fontId="8" numFmtId="4" xfId="0">
      <alignment horizontal="center"/>
      <protection locked="0"/>
    </xf>
    <xf applyAlignment="1" applyBorder="1" applyFont="1" applyNumberFormat="1" applyProtection="1" borderId="77" fillId="0" fontId="8" numFmtId="4" xfId="0">
      <protection locked="0"/>
    </xf>
    <xf applyBorder="1" applyFont="1" applyNumberFormat="1" applyProtection="1" borderId="77" fillId="0" fontId="8" numFmtId="4" xfId="0">
      <protection locked="0"/>
    </xf>
    <xf applyBorder="1" applyFont="1" applyNumberFormat="1" applyProtection="1" borderId="48" fillId="0" fontId="8" numFmtId="4" xfId="0">
      <protection locked="0"/>
    </xf>
    <xf applyAlignment="1" applyBorder="1" applyFont="1" applyNumberFormat="1" applyProtection="1" borderId="77" fillId="0" fontId="8" numFmtId="4" xfId="0">
      <alignment horizontal="right"/>
      <protection locked="0"/>
    </xf>
    <xf applyAlignment="1" applyBorder="1" applyFont="1" applyNumberFormat="1" applyProtection="1" borderId="72" fillId="0" fontId="8" numFmtId="4" xfId="0">
      <protection locked="0"/>
    </xf>
    <xf applyBorder="1" applyFont="1" applyNumberFormat="1" applyProtection="1" borderId="0" fillId="0" fontId="8" numFmtId="4" xfId="0">
      <protection locked="0"/>
    </xf>
    <xf applyAlignment="1" applyBorder="1" applyFont="1" applyNumberFormat="1" applyProtection="1" borderId="77" fillId="0" fontId="8" numFmtId="4" xfId="0">
      <alignment wrapText="1"/>
      <protection locked="0"/>
    </xf>
    <xf applyBorder="1" applyFill="1" applyFont="1" applyNumberFormat="1" applyProtection="1" borderId="77" fillId="0" fontId="8" numFmtId="4" xfId="0">
      <protection locked="0"/>
    </xf>
    <xf applyAlignment="1" applyBorder="1" applyFill="1" applyFont="1" applyProtection="1" borderId="69" fillId="0" fontId="7" numFmtId="0" xfId="0">
      <alignment wrapText="1"/>
    </xf>
    <xf applyAlignment="1" applyBorder="1" applyFill="1" applyFont="1" applyProtection="1" borderId="69" fillId="0" fontId="4" numFmtId="0" xfId="0">
      <alignment horizontal="center"/>
      <protection locked="0"/>
    </xf>
    <xf applyAlignment="1" applyBorder="1" applyFont="1" applyProtection="1" borderId="69" fillId="0" fontId="4" numFmtId="0" xfId="0">
      <alignment horizontal="center"/>
      <protection locked="0"/>
    </xf>
    <xf applyAlignment="1" applyBorder="1" applyFill="1" applyFont="1" applyNumberFormat="1" applyProtection="1" borderId="102" fillId="0" fontId="8" numFmtId="4" xfId="0">
      <alignment horizontal="center"/>
      <protection locked="0"/>
    </xf>
    <xf applyAlignment="1" applyBorder="1" applyFill="1" applyFont="1" applyNumberFormat="1" applyProtection="1" borderId="102" fillId="0" fontId="8" numFmtId="4" xfId="1">
      <alignment horizontal="center"/>
      <protection locked="0"/>
    </xf>
    <xf applyAlignment="1" applyBorder="1" applyFont="1" applyNumberFormat="1" applyProtection="1" borderId="102" fillId="0" fontId="8" numFmtId="4" xfId="0">
      <alignment horizontal="center"/>
      <protection locked="0"/>
    </xf>
    <xf applyAlignment="1" applyBorder="1" applyFont="1" applyNumberFormat="1" applyProtection="1" borderId="118" fillId="0" fontId="8" numFmtId="4" xfId="0">
      <alignment horizontal="center"/>
      <protection locked="0"/>
    </xf>
    <xf applyAlignment="1" applyBorder="1" applyFill="1" applyFont="1" applyNumberFormat="1" applyProtection="1" borderId="102" fillId="0" fontId="39" numFmtId="4" xfId="0">
      <alignment horizontal="center"/>
      <protection locked="0"/>
    </xf>
    <xf applyAlignment="1" applyBorder="1" applyFont="1" applyNumberFormat="1" applyProtection="1" borderId="102" fillId="0" fontId="39" numFmtId="4" xfId="0">
      <alignment horizontal="center"/>
      <protection locked="0"/>
    </xf>
    <xf applyAlignment="1" applyBorder="1" applyFont="1" applyNumberFormat="1" applyProtection="1" borderId="118" fillId="0" fontId="39" numFmtId="4" xfId="0">
      <alignment horizontal="center"/>
      <protection locked="0"/>
    </xf>
    <xf applyBorder="1" applyFont="1" applyNumberFormat="1" applyProtection="1" borderId="102" fillId="0" fontId="39" numFmtId="4" xfId="0">
      <protection locked="0"/>
    </xf>
    <xf applyBorder="1" applyFill="1" applyFont="1" applyNumberFormat="1" applyProtection="1" borderId="102" fillId="0" fontId="39" numFmtId="4" xfId="0">
      <protection locked="0"/>
    </xf>
    <xf applyBorder="1" applyFont="1" applyNumberFormat="1" applyProtection="1" borderId="102" fillId="0" fontId="8" numFmtId="4" xfId="0">
      <protection locked="0"/>
    </xf>
    <xf applyBorder="1" applyFill="1" applyFont="1" applyNumberFormat="1" borderId="102" fillId="10" fontId="39" numFmtId="4" xfId="0"/>
    <xf applyBorder="1" applyFill="1" applyFont="1" applyNumberFormat="1" borderId="102" fillId="0" fontId="39" numFmtId="4" xfId="0"/>
    <xf applyBorder="1" applyFill="1" applyFont="1" applyNumberFormat="1" borderId="102" fillId="10" fontId="8" numFmtId="4" xfId="0"/>
    <xf applyBorder="1" applyFill="1" applyFont="1" applyNumberFormat="1" applyProtection="1" borderId="102" fillId="10" fontId="39" numFmtId="4" xfId="0"/>
    <xf applyBorder="1" applyFill="1" applyFont="1" applyNumberFormat="1" applyProtection="1" borderId="102" fillId="10" fontId="8" numFmtId="4" xfId="0"/>
    <xf applyBorder="1" applyFill="1" applyFont="1" applyNumberFormat="1" applyProtection="1" borderId="102" fillId="15" fontId="39" numFmtId="4" xfId="0">
      <protection locked="0"/>
    </xf>
    <xf applyAlignment="1" applyBorder="1" applyFill="1" applyFont="1" applyNumberFormat="1" borderId="102" fillId="15" fontId="39" numFmtId="4" xfId="0">
      <alignment horizontal="right"/>
    </xf>
    <xf applyBorder="1" applyFill="1" applyFont="1" applyNumberFormat="1" applyProtection="1" borderId="102" fillId="15" fontId="8" numFmtId="4" xfId="0">
      <protection locked="0"/>
    </xf>
    <xf applyBorder="1" applyFill="1" applyFont="1" applyNumberFormat="1" borderId="102" fillId="15" fontId="39" numFmtId="4" xfId="0"/>
    <xf applyBorder="1" applyFill="1" applyFont="1" applyNumberFormat="1" borderId="102" fillId="15" fontId="8" numFmtId="4" xfId="0"/>
    <xf applyBorder="1" applyFill="1" applyFont="1" applyNumberFormat="1" applyProtection="1" borderId="102" fillId="15" fontId="39" numFmtId="4" xfId="0"/>
    <xf applyBorder="1" applyFill="1" applyFont="1" applyNumberFormat="1" applyProtection="1" borderId="102" fillId="15" fontId="8" numFmtId="4" xfId="0"/>
    <xf applyBorder="1" applyFill="1" applyFont="1" applyNumberFormat="1" applyProtection="1" borderId="50" fillId="15" fontId="8" numFmtId="4" xfId="0"/>
    <xf applyAlignment="1" applyBorder="1" applyFill="1" applyFont="1" borderId="1" fillId="25" fontId="73" numFmtId="0" xfId="0">
      <alignment horizontal="left"/>
    </xf>
    <xf applyAlignment="1" applyBorder="1" applyFill="1" applyFont="1" borderId="45" fillId="25" fontId="73" numFmtId="0" xfId="0">
      <alignment horizontal="center"/>
    </xf>
    <xf applyAlignment="1" applyBorder="1" applyFill="1" applyFont="1" borderId="45" fillId="25" fontId="97" numFmtId="0" xfId="0">
      <alignment horizontal="center"/>
    </xf>
    <xf applyAlignment="1" applyFont="1" borderId="0" fillId="0" fontId="5" numFmtId="0" xfId="0">
      <alignment wrapText="1"/>
    </xf>
    <xf applyAlignment="1" applyFill="1" applyFont="1" borderId="0" fillId="0" fontId="137" numFmtId="0" xfId="0">
      <alignment horizontal="left"/>
    </xf>
    <xf applyFill="1" applyFont="1" borderId="0" fillId="24" fontId="153" numFmtId="0" xfId="0"/>
    <xf applyFill="1" applyNumberFormat="1" borderId="0" fillId="24" fontId="0" numFmtId="186" xfId="0"/>
    <xf applyAlignment="1" applyFont="1" borderId="0" fillId="0" fontId="7" numFmtId="0" xfId="0">
      <alignment vertical="top" wrapText="1"/>
    </xf>
    <xf applyFill="1" applyFont="1" applyNumberFormat="1" borderId="0" fillId="0" fontId="4" numFmtId="187" xfId="0"/>
    <xf applyBorder="1" applyFont="1" applyNumberFormat="1" applyProtection="1" borderId="18" fillId="0" fontId="39" numFmtId="4" xfId="0">
      <protection locked="0"/>
    </xf>
    <xf applyAlignment="1" applyBorder="1" applyFill="1" applyFont="1" borderId="56" fillId="0" fontId="66" numFmtId="0" xfId="0">
      <alignment horizontal="left"/>
    </xf>
    <xf applyAlignment="1" applyBorder="1" applyFill="1" applyFont="1" borderId="56" fillId="0" fontId="1" numFmtId="0" xfId="0"/>
    <xf applyAlignment="1" applyFill="1" applyFont="1" borderId="0" fillId="0" fontId="1" numFmtId="0" xfId="0"/>
    <xf applyAlignment="1" applyBorder="1" applyFill="1" applyFont="1" borderId="0" fillId="0" fontId="5" numFmtId="0" quotePrefix="1" xfId="0">
      <alignment horizontal="center"/>
    </xf>
    <xf applyAlignment="1" applyBorder="1" applyFill="1" applyFont="1" applyNumberFormat="1" applyProtection="1" borderId="0" fillId="0" fontId="5" numFmtId="0" xfId="1">
      <alignment horizontal="center"/>
      <protection locked="0"/>
    </xf>
    <xf applyAlignment="1" applyFill="1" applyFont="1" borderId="0" fillId="0" fontId="128" numFmtId="0" xfId="0">
      <alignment horizontal="justify" vertical="center"/>
    </xf>
    <xf applyAlignment="1" applyFill="1" borderId="0" fillId="0" fontId="0" numFmtId="0" xfId="0">
      <alignment horizontal="left" indent="2"/>
    </xf>
    <xf applyAlignment="1" applyFill="1" applyFont="1" borderId="0" fillId="0" fontId="1" numFmtId="0" xfId="0">
      <alignment horizontal="justify" vertical="center"/>
    </xf>
    <xf applyAlignment="1" applyFill="1" applyFont="1" borderId="0" fillId="0" fontId="1" numFmtId="0" xfId="0">
      <alignment horizontal="right"/>
    </xf>
    <xf applyFill="1" applyFont="1" borderId="0" fillId="0" fontId="59" numFmtId="0" xfId="0"/>
    <xf applyAlignment="1" applyBorder="1" applyFill="1" applyFont="1" borderId="1" fillId="0" fontId="4" numFmtId="0" xfId="0">
      <alignment vertical="top"/>
    </xf>
    <xf applyAlignment="1" applyBorder="1" applyFill="1" applyFont="1" applyNumberFormat="1" borderId="1" fillId="0" fontId="56" numFmtId="183" xfId="0">
      <alignment vertical="top"/>
    </xf>
    <xf applyAlignment="1" applyBorder="1" applyFill="1" applyFont="1" borderId="1" fillId="0" fontId="56" numFmtId="0" xfId="0">
      <alignment vertical="top"/>
    </xf>
    <xf applyAlignment="1" applyBorder="1" applyFill="1" applyFont="1" borderId="1" fillId="0" fontId="56" numFmtId="0" xfId="0">
      <alignment vertical="top" wrapText="1"/>
    </xf>
    <xf applyAlignment="1" applyBorder="1" applyFill="1" applyFont="1" applyNumberFormat="1" borderId="1" fillId="0" fontId="4" numFmtId="183" xfId="0">
      <alignment vertical="top" wrapText="1"/>
    </xf>
    <xf applyBorder="1" applyFill="1" applyFont="1" borderId="85" fillId="0" fontId="1" numFmtId="0" xfId="0"/>
    <xf applyBorder="1" applyFill="1" applyFont="1" applyNumberFormat="1" borderId="75" fillId="0" fontId="0" numFmtId="177" xfId="1"/>
    <xf applyBorder="1" applyFill="1" applyFont="1" applyNumberFormat="1" borderId="75" fillId="0" fontId="1" numFmtId="9" xfId="0"/>
    <xf applyFill="1" applyNumberFormat="1" borderId="0" fillId="0" fontId="0" numFmtId="164" xfId="0"/>
    <xf applyFill="1" applyFont="1" applyNumberFormat="1" borderId="0" fillId="0" fontId="1" numFmtId="164" quotePrefix="1" xfId="0"/>
    <xf applyFill="1" applyFont="1" borderId="0" fillId="0" fontId="1" numFmtId="0" quotePrefix="1" xfId="0"/>
    <xf applyAlignment="1" applyFill="1" applyNumberFormat="1" borderId="0" fillId="0" fontId="0" numFmtId="166" xfId="0">
      <alignment horizontal="left"/>
    </xf>
    <xf applyBorder="1" applyFill="1" applyFont="1" borderId="0" fillId="0" fontId="7" numFmtId="0" xfId="0"/>
    <xf applyFill="1" applyNumberFormat="1" borderId="0" fillId="0" fontId="0" numFmtId="15" xfId="0"/>
    <xf applyFill="1" applyNumberFormat="1" borderId="0" fillId="0" fontId="0" numFmtId="14" xfId="0"/>
    <xf applyBorder="1" applyFill="1" applyFont="1" borderId="0" fillId="0" fontId="0" numFmtId="9" xfId="4"/>
    <xf applyBorder="1" applyFill="1" applyFont="1" applyProtection="1" borderId="1" fillId="0" fontId="10" numFmtId="0" xfId="0"/>
    <xf applyFill="1" applyProtection="1" borderId="0" fillId="0" fontId="0" numFmtId="0" xfId="0"/>
    <xf applyBorder="1" applyFill="1" applyProtection="1" borderId="1" fillId="0" fontId="0" numFmtId="0" xfId="0"/>
    <xf applyBorder="1" applyFill="1" applyFont="1" borderId="1" fillId="0" fontId="10" numFmtId="0" xfId="0"/>
    <xf applyAlignment="1" applyFill="1" applyProtection="1" borderId="0" fillId="0" fontId="0" numFmtId="0" xfId="0">
      <alignment horizontal="right"/>
    </xf>
    <xf applyAlignment="1" applyBorder="1" applyFill="1" applyProtection="1" borderId="1" fillId="0" fontId="0" numFmtId="0" xfId="0">
      <alignment horizontal="center"/>
      <protection locked="0"/>
    </xf>
    <xf applyAlignment="1" applyFill="1" applyFont="1" applyProtection="1" borderId="0" fillId="0" fontId="1" numFmtId="0" xfId="0">
      <alignment horizontal="right"/>
    </xf>
    <xf applyAlignment="1" applyBorder="1" applyFill="1" applyFont="1" borderId="1" fillId="0" fontId="60" numFmtId="0" xfId="0">
      <alignment vertical="top"/>
    </xf>
    <xf applyAlignment="1" applyBorder="1" applyFill="1" applyFont="1" borderId="1" fillId="0" fontId="78" numFmtId="0" xfId="0">
      <alignment vertical="top" wrapText="1"/>
    </xf>
    <xf applyAlignment="1" applyBorder="1" applyFill="1" applyFont="1" applyNumberFormat="1" borderId="1" fillId="0" fontId="4" numFmtId="177" xfId="0">
      <alignment vertical="top"/>
    </xf>
    <xf applyAlignment="1" applyBorder="1" applyFill="1" applyFont="1" applyNumberFormat="1" borderId="1" fillId="0" fontId="60" numFmtId="9" xfId="0">
      <alignment vertical="top"/>
    </xf>
    <xf applyAlignment="1" applyBorder="1" applyFill="1" applyFont="1" applyNumberFormat="1" borderId="1" fillId="0" fontId="78" numFmtId="9" xfId="0">
      <alignment vertical="top" wrapText="1"/>
    </xf>
    <xf applyAlignment="1" applyBorder="1" applyFill="1" applyFont="1" applyNumberFormat="1" borderId="1" fillId="0" fontId="4" numFmtId="10" xfId="0">
      <alignment vertical="top"/>
    </xf>
    <xf applyAlignment="1" applyFont="1" borderId="0" fillId="0" fontId="1" numFmtId="0" quotePrefix="1" xfId="0">
      <alignment horizontal="center"/>
    </xf>
    <xf applyAlignment="1" applyBorder="1" applyFill="1" applyFont="1" applyProtection="1" borderId="106" fillId="0" fontId="4" numFmtId="0" xfId="0">
      <alignment vertical="top" wrapText="1"/>
      <protection locked="0"/>
    </xf>
    <xf applyAlignment="1" applyBorder="1" applyFill="1" applyFont="1" applyNumberFormat="1" borderId="0" fillId="0" fontId="35" numFmtId="1" quotePrefix="1" xfId="0">
      <alignment horizontal="left"/>
    </xf>
    <xf applyAlignment="1" applyBorder="1" applyFill="1" applyFont="1" applyNumberFormat="1" borderId="77" fillId="0" fontId="35" numFmtId="1" xfId="0">
      <alignment horizontal="left"/>
    </xf>
    <xf applyAlignment="1" applyBorder="1" applyFill="1" applyFont="1" applyNumberFormat="1" borderId="66" fillId="0" fontId="113" numFmtId="2" xfId="0">
      <alignment horizontal="right"/>
    </xf>
    <xf applyAlignment="1" applyFill="1" applyFont="1" applyProtection="1" borderId="0" fillId="0" fontId="96" numFmtId="0" xfId="0">
      <alignment horizontal="right"/>
      <protection hidden="1"/>
    </xf>
    <xf applyAlignment="1" applyFill="1" applyFont="1" applyNumberFormat="1" borderId="0" fillId="0" fontId="89" numFmtId="1" xfId="0">
      <alignment horizontal="right"/>
    </xf>
    <xf applyFill="1" applyFont="1" borderId="0" fillId="0" fontId="138" numFmtId="0" xfId="0"/>
    <xf applyAlignment="1" applyBorder="1" applyFill="1" applyFont="1" borderId="17" fillId="0" fontId="35" numFmtId="0" xfId="0">
      <alignment horizontal="center"/>
    </xf>
    <xf applyBorder="1" applyFill="1" applyFont="1" borderId="105" fillId="0" fontId="4" numFmtId="0" xfId="0"/>
    <xf applyBorder="1" applyFill="1" applyFont="1" borderId="106" fillId="0" fontId="4" numFmtId="0" xfId="0"/>
    <xf applyAlignment="1" applyBorder="1" applyFill="1" applyFont="1" borderId="0" fillId="0" fontId="89" numFmtId="0" xfId="0">
      <alignment horizontal="left"/>
    </xf>
    <xf applyBorder="1" applyFill="1" applyFont="1" borderId="86" fillId="0" fontId="112" numFmtId="0" xfId="0"/>
    <xf applyAlignment="1" applyBorder="1" applyFill="1" applyFont="1" borderId="0" fillId="0" fontId="112" numFmtId="0" xfId="0">
      <alignment horizontal="right"/>
    </xf>
    <xf applyAlignment="1" applyBorder="1" applyFill="1" applyFont="1" borderId="77" fillId="0" fontId="112" numFmtId="0" xfId="0">
      <alignment horizontal="center"/>
    </xf>
    <xf applyAlignment="1" applyFill="1" applyFont="1" borderId="0" fillId="0" fontId="1" numFmtId="0" xfId="0">
      <alignment horizontal="left" vertical="center"/>
    </xf>
    <xf applyAlignment="1" applyFill="1" applyFont="1" borderId="0" fillId="0" fontId="1" numFmtId="0" xfId="0">
      <alignment horizontal="left" indent="1" vertical="center"/>
    </xf>
    <xf applyBorder="1" applyFill="1" applyFont="1" borderId="112" fillId="0" fontId="96" numFmtId="0" xfId="0"/>
    <xf applyAlignment="1" applyBorder="1" applyFill="1" applyFont="1" borderId="112" fillId="0" fontId="96" numFmtId="0" xfId="0">
      <alignment horizontal="left" indent="1" vertical="center"/>
    </xf>
    <xf applyBorder="1" applyFill="1" applyFont="1" borderId="0" fillId="0" fontId="96" numFmtId="0" xfId="0"/>
    <xf applyAlignment="1" applyBorder="1" applyFill="1" applyFont="1" borderId="0" fillId="0" fontId="96" numFmtId="0" xfId="0">
      <alignment horizontal="left" indent="1" vertical="center"/>
    </xf>
    <xf applyBorder="1" applyFill="1" applyFont="1" borderId="68" fillId="0" fontId="96" numFmtId="0" xfId="0"/>
    <xf applyAlignment="1" applyBorder="1" applyFill="1" applyFont="1" borderId="30" fillId="0" fontId="35" numFmtId="0" xfId="0">
      <alignment horizontal="right"/>
    </xf>
    <xf applyBorder="1" applyFill="1" applyFont="1" borderId="77" fillId="0" fontId="35" numFmtId="0" xfId="0"/>
    <xf applyAlignment="1" applyBorder="1" applyFill="1" applyFont="1" borderId="68" fillId="0" fontId="4" numFmtId="0" xfId="0">
      <alignment horizontal="left"/>
    </xf>
    <xf applyAlignment="1" applyFill="1" applyFont="1" borderId="0" fillId="0" fontId="89" numFmtId="0" xfId="0">
      <alignment horizontal="left"/>
    </xf>
    <xf applyAlignment="1" applyBorder="1" applyFill="1" applyFont="1" borderId="0" fillId="0" fontId="151" numFmtId="0" xfId="0">
      <alignment horizontal="left"/>
    </xf>
    <xf applyAlignment="1" applyFill="1" applyFont="1" borderId="0" fillId="0" fontId="139" numFmtId="0" xfId="0">
      <alignment horizontal="left"/>
    </xf>
    <xf applyAlignment="1" applyBorder="1" borderId="113" fillId="0" fontId="0" numFmtId="0" xfId="0">
      <alignment wrapText="1"/>
    </xf>
    <xf applyAlignment="1" applyBorder="1" applyFill="1" borderId="142" fillId="0" fontId="0" numFmtId="0" xfId="0">
      <alignment wrapText="1"/>
    </xf>
    <xf applyAlignment="1" applyBorder="1" applyFill="1" applyFont="1" borderId="142" fillId="0" fontId="1" numFmtId="0" xfId="0">
      <alignment vertical="top" wrapText="1"/>
    </xf>
    <xf applyAlignment="1" applyFill="1" applyFont="1" applyNumberFormat="1" borderId="0" fillId="0" fontId="4" numFmtId="179" quotePrefix="1" xfId="0">
      <alignment horizontal="right"/>
    </xf>
    <xf applyBorder="1" applyFill="1" applyFont="1" applyNumberFormat="1" borderId="0" fillId="0" fontId="4" numFmtId="179" xfId="0"/>
    <xf applyBorder="1" applyFill="1" applyFont="1" applyNumberFormat="1" applyProtection="1" borderId="1" fillId="0" fontId="4" numFmtId="165" xfId="0">
      <protection locked="0"/>
    </xf>
    <xf applyAlignment="1" applyBorder="1" applyFill="1" applyFont="1" borderId="60" fillId="0" fontId="4" numFmtId="0" xfId="0">
      <alignment horizontal="center"/>
    </xf>
    <xf applyAlignment="1" applyBorder="1" applyFill="1" applyFont="1" borderId="17" fillId="0" fontId="115" numFmtId="0" xfId="0"/>
    <xf applyAlignment="1" applyBorder="1" applyFill="1" applyFont="1" borderId="69" fillId="0" fontId="1" numFmtId="0" xfId="0">
      <alignment wrapText="1"/>
    </xf>
    <xf applyBorder="1" applyFill="1" applyFont="1" borderId="132" fillId="0" fontId="73" numFmtId="0" xfId="0"/>
    <xf applyBorder="1" applyFill="1" applyFont="1" borderId="133" fillId="0" fontId="73" numFmtId="0" xfId="0"/>
    <xf applyAlignment="1" applyBorder="1" applyFill="1" applyFont="1" borderId="140" fillId="17" fontId="69" numFmtId="0" xfId="0">
      <alignment horizontal="center"/>
    </xf>
    <xf applyAlignment="1" applyBorder="1" applyFill="1" applyFont="1" borderId="69" fillId="17" fontId="69" numFmtId="0" xfId="0">
      <alignment horizontal="left"/>
    </xf>
    <xf applyAlignment="1" applyBorder="1" applyFill="1" applyFont="1" borderId="1" fillId="0" fontId="73" numFmtId="0" xfId="0">
      <alignment horizontal="left"/>
    </xf>
    <xf applyAlignment="1" applyBorder="1" applyFill="1" applyFont="1" borderId="45" fillId="0" fontId="73" numFmtId="0" xfId="0">
      <alignment horizontal="center"/>
    </xf>
    <xf applyBorder="1" applyFill="1" applyFont="1" borderId="69" fillId="17" fontId="142" numFmtId="0" xfId="0"/>
    <xf applyAlignment="1" applyBorder="1" applyFill="1" applyFont="1" applyProtection="1" borderId="87" fillId="17" fontId="89" numFmtId="0" xfId="0">
      <alignment horizontal="center"/>
    </xf>
    <xf applyAlignment="1" applyBorder="1" applyFill="1" applyFont="1" borderId="109" fillId="17" fontId="148" numFmtId="0" xfId="0">
      <alignment horizontal="center"/>
    </xf>
    <xf applyAlignment="1" applyBorder="1" applyFill="1" applyFont="1" borderId="72" fillId="17" fontId="148" numFmtId="0" xfId="0">
      <alignment horizontal="left"/>
    </xf>
    <xf applyAlignment="1" applyBorder="1" applyFill="1" applyFont="1" applyNumberFormat="1" applyProtection="1" borderId="77" fillId="17" fontId="108" numFmtId="4" xfId="0">
      <alignment horizontal="right"/>
      <protection locked="0"/>
    </xf>
    <xf applyBorder="1" applyFill="1" applyFont="1" applyNumberFormat="1" applyProtection="1" borderId="77" fillId="17" fontId="108" numFmtId="4" xfId="0">
      <protection locked="0"/>
    </xf>
    <xf applyBorder="1" applyFill="1" applyFont="1" applyNumberFormat="1" applyProtection="1" borderId="48" fillId="17" fontId="108" numFmtId="4" xfId="0">
      <protection locked="0"/>
    </xf>
    <xf applyBorder="1" applyFill="1" applyFont="1" applyProtection="1" borderId="50" fillId="0" fontId="39" numFmtId="0" xfId="0">
      <protection locked="0"/>
    </xf>
    <xf applyAlignment="1" applyBorder="1" applyFill="1" applyFont="1" applyNumberFormat="1" borderId="102" fillId="0" fontId="39" numFmtId="185" xfId="1">
      <alignment horizontal="center"/>
    </xf>
    <xf applyAlignment="1" applyBorder="1" applyFill="1" applyFont="1" borderId="117" fillId="0" fontId="97" numFmtId="0" xfId="0">
      <alignment horizontal="left"/>
    </xf>
    <xf applyAlignment="1" applyBorder="1" applyFill="1" applyFont="1" borderId="117" fillId="0" fontId="8" numFmtId="0" xfId="0">
      <alignment horizontal="left"/>
    </xf>
    <xf applyAlignment="1" applyBorder="1" applyFill="1" applyFont="1" borderId="132" fillId="0" fontId="73" numFmtId="0" xfId="0">
      <alignment horizontal="left"/>
    </xf>
    <xf applyAlignment="1" applyBorder="1" applyFill="1" applyFont="1" applyNumberFormat="1" borderId="102" fillId="0" fontId="152" numFmtId="185" xfId="1">
      <alignment horizontal="center"/>
    </xf>
    <xf applyAlignment="1" applyBorder="1" applyFill="1" applyFont="1" borderId="102" fillId="0" fontId="4" numFmtId="0" xfId="0">
      <alignment horizontal="center"/>
    </xf>
    <xf applyAlignment="1" applyBorder="1" applyFill="1" applyFont="1" applyNumberFormat="1" borderId="102" fillId="0" fontId="39" numFmtId="3" xfId="0">
      <alignment horizontal="center"/>
    </xf>
    <xf applyBorder="1" applyFill="1" applyFont="1" applyNumberFormat="1" borderId="102" fillId="0" fontId="39" numFmtId="0" xfId="0"/>
    <xf applyBorder="1" applyFill="1" applyFont="1" borderId="138" fillId="0" fontId="39" numFmtId="0" xfId="0"/>
    <xf applyAlignment="1" applyBorder="1" applyFill="1" applyFont="1" applyNumberFormat="1" borderId="102" fillId="0" fontId="4" numFmtId="1" xfId="1">
      <alignment horizontal="center"/>
    </xf>
    <xf applyAlignment="1" applyBorder="1" applyFill="1" applyFont="1" borderId="102" fillId="0" fontId="4" numFmtId="170" xfId="1">
      <alignment horizontal="right"/>
    </xf>
    <xf applyBorder="1" applyFill="1" applyFont="1" borderId="0" fillId="24" fontId="1" numFmtId="0" xfId="0"/>
    <xf applyBorder="1" applyFill="1" applyFont="1" applyNumberFormat="1" borderId="4" fillId="0" fontId="5" numFmtId="2" xfId="0"/>
    <xf applyAlignment="1" applyBorder="1" applyFont="1" borderId="140" fillId="0" fontId="73" numFmtId="0" xfId="0">
      <alignment horizontal="center"/>
    </xf>
    <xf applyAlignment="1" applyBorder="1" applyFill="1" applyFont="1" borderId="32" fillId="0" fontId="73" numFmtId="0" xfId="0">
      <alignment horizontal="left"/>
    </xf>
    <xf applyAlignment="1" applyBorder="1" applyFill="1" applyFont="1" borderId="33" fillId="0" fontId="73" numFmtId="0" xfId="0">
      <alignment horizontal="left"/>
    </xf>
    <xf applyAlignment="1" applyFill="1" applyFont="1" applyNumberFormat="1" borderId="0" fillId="0" fontId="88" numFmtId="164" xfId="0">
      <alignment horizontal="left"/>
    </xf>
    <xf applyBorder="1" applyFill="1" applyFont="1" applyProtection="1" borderId="0" fillId="16" fontId="4" numFmtId="0" xfId="0"/>
    <xf applyFill="1" applyFont="1" applyProtection="1" borderId="0" fillId="18" fontId="4" numFmtId="0" xfId="0"/>
    <xf applyBorder="1" applyFill="1" applyFont="1" applyProtection="1" borderId="0" fillId="18" fontId="4" numFmtId="0" xfId="0"/>
    <xf applyBorder="1" applyFill="1" applyFont="1" applyProtection="1" borderId="144" fillId="4" fontId="4" numFmtId="0" xfId="0"/>
    <xf applyBorder="1" applyFill="1" applyFont="1" applyNumberFormat="1" applyProtection="1" borderId="145" fillId="4" fontId="4" numFmtId="3" xfId="0"/>
    <xf applyAlignment="1" applyBorder="1" applyFill="1" applyFont="1" borderId="102" fillId="0" fontId="1" numFmtId="0" xfId="0">
      <alignment wrapText="1"/>
    </xf>
    <xf applyBorder="1" applyFill="1" applyFont="1" applyProtection="1" borderId="147" fillId="4" fontId="7" numFmtId="0" xfId="0"/>
    <xf applyBorder="1" applyFill="1" applyFont="1" applyProtection="1" borderId="148" fillId="4" fontId="4" numFmtId="0" xfId="0"/>
    <xf applyAlignment="1" applyBorder="1" applyFill="1" applyFont="1" applyProtection="1" borderId="149" fillId="4" fontId="55" numFmtId="0" xfId="0">
      <alignment horizontal="right"/>
    </xf>
    <xf applyAlignment="1" applyBorder="1" applyFill="1" applyFont="1" applyProtection="1" borderId="148" fillId="4" fontId="55" numFmtId="0" xfId="0">
      <alignment horizontal="right"/>
    </xf>
    <xf applyAlignment="1" applyBorder="1" applyFill="1" applyFont="1" applyProtection="1" borderId="150" fillId="0" fontId="4" numFmtId="0" xfId="0">
      <alignment horizontal="center"/>
    </xf>
    <xf applyBorder="1" applyFill="1" applyFont="1" applyNumberFormat="1" applyProtection="1" borderId="150" fillId="0" fontId="4" numFmtId="4" xfId="0">
      <protection locked="0"/>
    </xf>
    <xf applyAlignment="1" applyBorder="1" applyFill="1" applyFont="1" applyProtection="1" borderId="23" fillId="18" fontId="4" numFmtId="0" xfId="0">
      <alignment horizontal="center"/>
    </xf>
    <xf applyAlignment="1" applyBorder="1" applyFill="1" applyFont="1" applyProtection="1" borderId="148" fillId="4" fontId="4" numFmtId="0" xfId="0">
      <alignment horizontal="right"/>
    </xf>
    <xf applyBorder="1" applyFill="1" applyFont="1" applyNumberFormat="1" applyProtection="1" borderId="150" fillId="0" fontId="4" numFmtId="3" xfId="0">
      <protection locked="0"/>
    </xf>
    <xf applyBorder="1" applyFill="1" applyFont="1" applyNumberFormat="1" applyProtection="1" borderId="150" fillId="0" fontId="4" numFmtId="4" xfId="0"/>
    <xf applyBorder="1" applyFill="1" applyFont="1" borderId="0" fillId="14" fontId="1" numFmtId="0" xfId="0"/>
    <xf applyBorder="1" applyFill="1" applyFont="1" applyProtection="1" borderId="151" fillId="0" fontId="1" numFmtId="0" xfId="0">
      <protection locked="0"/>
    </xf>
    <xf applyBorder="1" applyFill="1" applyFont="1" applyNumberFormat="1" applyProtection="1" borderId="151" fillId="0" fontId="1" numFmtId="2" xfId="0">
      <protection locked="0"/>
    </xf>
    <xf applyAlignment="1" applyBorder="1" applyFill="1" applyFont="1" applyProtection="1" borderId="152" fillId="0" fontId="4" numFmtId="0" xfId="0">
      <alignment horizontal="center"/>
    </xf>
    <xf applyBorder="1" applyFill="1" applyFont="1" applyProtection="1" borderId="153" fillId="4" fontId="4" numFmtId="0" xfId="0"/>
    <xf applyBorder="1" borderId="154" fillId="0" fontId="0" numFmtId="0" xfId="0"/>
    <xf applyBorder="1" applyFill="1" borderId="155" fillId="14" fontId="0" numFmtId="0" xfId="0"/>
    <xf applyAlignment="1" applyBorder="1" applyFill="1" applyFont="1" applyProtection="1" borderId="126" fillId="4" fontId="4" numFmtId="0" xfId="0">
      <alignment horizontal="right"/>
    </xf>
    <xf applyBorder="1" applyFill="1" applyFont="1" applyProtection="1" borderId="145" fillId="4" fontId="4" numFmtId="0" xfId="0"/>
    <xf applyAlignment="1" applyBorder="1" applyFill="1" applyFont="1" applyProtection="1" borderId="145" fillId="4" fontId="4" numFmtId="0" xfId="0">
      <alignment horizontal="right"/>
    </xf>
    <xf applyAlignment="1" applyBorder="1" applyFill="1" applyFont="1" applyProtection="1" borderId="149" fillId="18" fontId="4" numFmtId="0" xfId="0">
      <alignment horizontal="center"/>
    </xf>
    <xf applyBorder="1" applyFill="1" applyFont="1" applyNumberFormat="1" applyProtection="1" borderId="150" fillId="0" fontId="4" numFmtId="3" xfId="0"/>
    <xf applyBorder="1" applyFill="1" borderId="78" fillId="14" fontId="0" numFmtId="0" xfId="0"/>
    <xf applyBorder="1" applyFill="1" borderId="79" fillId="0" fontId="0" numFmtId="0" xfId="0"/>
    <xf applyBorder="1" applyFill="1" applyFont="1" applyProtection="1" borderId="127" fillId="4" fontId="4" numFmtId="0" xfId="0"/>
    <xf applyBorder="1" applyFill="1" applyFont="1" borderId="145" fillId="0" fontId="4" numFmtId="0" xfId="0"/>
    <xf applyAlignment="1" applyFont="1" borderId="0" fillId="0" fontId="4" numFmtId="0" xfId="0">
      <alignment horizontal="left" indent="2"/>
    </xf>
    <xf applyBorder="1" applyFont="1" borderId="160" fillId="0" fontId="8" numFmtId="0" xfId="0"/>
    <xf applyBorder="1" applyFont="1" borderId="163" fillId="0" fontId="4" numFmtId="0" xfId="0"/>
    <xf applyBorder="1" applyFont="1" applyNumberFormat="1" borderId="163" fillId="0" fontId="4" numFmtId="9" xfId="0"/>
    <xf applyAlignment="1" applyBorder="1" applyFill="1" applyFont="1" borderId="103" fillId="10" fontId="8" numFmtId="0" xfId="0">
      <alignment horizontal="center"/>
    </xf>
    <xf applyAlignment="1" applyBorder="1" applyFont="1" borderId="164" fillId="0" fontId="39" numFmtId="170" xfId="1">
      <alignment horizontal="center"/>
    </xf>
    <xf applyBorder="1" applyFill="1" applyFont="1" borderId="164" fillId="0" fontId="39" numFmtId="170" xfId="1"/>
    <xf applyAlignment="1" applyBorder="1" applyFill="1" applyFont="1" applyNumberFormat="1" borderId="164" fillId="0" fontId="39" numFmtId="185" xfId="1">
      <alignment horizontal="center"/>
    </xf>
    <xf applyAlignment="1" applyBorder="1" applyFill="1" applyFont="1" borderId="164" fillId="0" fontId="39" numFmtId="0" xfId="0">
      <alignment horizontal="center"/>
    </xf>
    <xf applyAlignment="1" applyBorder="1" applyFill="1" applyFont="1" borderId="164" fillId="0" fontId="8" numFmtId="170" xfId="1">
      <alignment horizontal="right"/>
    </xf>
    <xf applyAlignment="1" applyBorder="1" applyFill="1" applyFont="1" borderId="164" fillId="0" fontId="8" numFmtId="0" xfId="0">
      <alignment horizontal="center"/>
    </xf>
    <xf applyBorder="1" applyFill="1" applyFont="1" applyNumberFormat="1" borderId="164" fillId="0" fontId="39" numFmtId="1" xfId="1"/>
    <xf applyAlignment="1" applyBorder="1" applyFill="1" applyFont="1" borderId="164" fillId="0" fontId="39" numFmtId="170" xfId="1">
      <alignment horizontal="right"/>
    </xf>
    <xf applyBorder="1" applyFill="1" applyFont="1" borderId="164" fillId="0" fontId="8" numFmtId="170" xfId="1"/>
    <xf applyBorder="1" applyFill="1" applyFont="1" applyNumberFormat="1" borderId="164" fillId="0" fontId="39" numFmtId="0" xfId="0"/>
    <xf applyBorder="1" applyFill="1" applyFont="1" borderId="164" fillId="0" fontId="39" numFmtId="0" xfId="0"/>
    <xf applyAlignment="1" applyBorder="1" applyFill="1" applyFont="1" applyNumberFormat="1" borderId="164" fillId="0" fontId="39" numFmtId="1" xfId="1">
      <alignment horizontal="center"/>
    </xf>
    <xf applyBorder="1" applyFont="1" applyNumberFormat="1" borderId="164" fillId="0" fontId="39" numFmtId="0" xfId="1"/>
    <xf applyAlignment="1" applyBorder="1" applyFont="1" applyNumberFormat="1" borderId="164" fillId="0" fontId="39" numFmtId="1" xfId="1">
      <alignment horizontal="center"/>
    </xf>
    <xf applyAlignment="1" applyBorder="1" applyFont="1" borderId="164" fillId="0" fontId="39" numFmtId="170" xfId="1">
      <alignment horizontal="right"/>
    </xf>
    <xf applyAlignment="1" applyBorder="1" applyFill="1" applyFont="1" borderId="164" fillId="10" fontId="39" numFmtId="170" xfId="1">
      <alignment horizontal="right"/>
    </xf>
    <xf applyAlignment="1" applyBorder="1" applyFont="1" borderId="164" fillId="0" fontId="8" numFmtId="170" xfId="1">
      <alignment horizontal="right"/>
    </xf>
    <xf applyBorder="1" applyFont="1" borderId="164" fillId="0" fontId="39" numFmtId="170" xfId="1"/>
    <xf applyAlignment="1" applyBorder="1" applyFill="1" applyFont="1" borderId="83" fillId="0" fontId="4" numFmtId="0" xfId="0">
      <alignment horizontal="center"/>
    </xf>
    <xf applyAlignment="1" applyBorder="1" applyFill="1" applyFont="1" applyProtection="1" borderId="96" fillId="10" fontId="40" numFmtId="0" xfId="0">
      <alignment horizontal="center"/>
      <protection locked="0"/>
    </xf>
    <xf applyAlignment="1" applyBorder="1" applyFill="1" applyFont="1" applyProtection="1" borderId="164" fillId="0" fontId="39" numFmtId="0" xfId="0">
      <alignment horizontal="center"/>
      <protection locked="0"/>
    </xf>
    <xf applyAlignment="1" applyBorder="1" applyFont="1" applyProtection="1" borderId="164" fillId="0" fontId="39" numFmtId="0" xfId="0">
      <alignment horizontal="center"/>
      <protection locked="0"/>
    </xf>
    <xf applyAlignment="1" applyBorder="1" applyFill="1" applyFont="1" applyNumberFormat="1" borderId="164" fillId="10" fontId="39" numFmtId="14" quotePrefix="1" xfId="0">
      <alignment horizontal="center"/>
    </xf>
    <xf applyAlignment="1" applyBorder="1" applyFont="1" applyNumberFormat="1" applyProtection="1" borderId="164" fillId="0" fontId="8" numFmtId="4" xfId="0">
      <alignment horizontal="center"/>
      <protection locked="0"/>
    </xf>
    <xf applyAlignment="1" applyBorder="1" applyFont="1" applyProtection="1" borderId="164" fillId="0" fontId="8" numFmtId="0" xfId="0">
      <alignment horizontal="center"/>
      <protection locked="0"/>
    </xf>
    <xf applyAlignment="1" applyBorder="1" applyFont="1" applyProtection="1" borderId="164" fillId="0" fontId="4" numFmtId="0" xfId="0">
      <alignment horizontal="center"/>
      <protection locked="0"/>
    </xf>
    <xf applyAlignment="1" applyBorder="1" applyFont="1" applyNumberFormat="1" applyProtection="1" borderId="164" fillId="0" fontId="39" numFmtId="4" xfId="0">
      <alignment horizontal="center"/>
      <protection locked="0"/>
    </xf>
    <xf applyAlignment="1" applyBorder="1" applyFont="1" applyProtection="1" borderId="83" fillId="0" fontId="39" numFmtId="0" xfId="0">
      <alignment horizontal="center"/>
      <protection locked="0"/>
    </xf>
    <xf applyBorder="1" applyFont="1" applyNumberFormat="1" borderId="164" fillId="0" fontId="39" numFmtId="2" xfId="0"/>
    <xf applyBorder="1" applyFill="1" applyFont="1" applyNumberFormat="1" borderId="164" fillId="17" fontId="39" numFmtId="2" xfId="0"/>
    <xf applyBorder="1" applyFill="1" applyFont="1" applyNumberFormat="1" borderId="83" fillId="17" fontId="39" numFmtId="2" xfId="0"/>
    <xf applyAlignment="1" applyBorder="1" applyFill="1" applyFont="1" applyNumberFormat="1" applyProtection="1" borderId="163" fillId="0" fontId="39" numFmtId="182" xfId="0">
      <alignment horizontal="center"/>
    </xf>
    <xf applyBorder="1" applyFont="1" applyNumberFormat="1" borderId="163" fillId="0" fontId="39" numFmtId="1" xfId="0"/>
    <xf applyAlignment="1" applyBorder="1" applyFill="1" applyFont="1" borderId="163" fillId="10" fontId="39" numFmtId="0" xfId="0">
      <alignment horizontal="center"/>
    </xf>
    <xf applyBorder="1" applyFill="1" applyFont="1" applyProtection="1" borderId="163" fillId="0" fontId="4" numFmtId="0" xfId="0">
      <protection locked="0"/>
    </xf>
    <xf applyAlignment="1" applyBorder="1" applyFill="1" applyFont="1" applyNumberFormat="1" applyProtection="1" borderId="139" fillId="0" fontId="55" numFmtId="49" quotePrefix="1" xfId="0">
      <alignment horizontal="center"/>
    </xf>
    <xf applyAlignment="1" applyBorder="1" applyFill="1" applyFont="1" applyNumberFormat="1" applyProtection="1" borderId="33" fillId="0" fontId="55" numFmtId="49" quotePrefix="1" xfId="0">
      <alignment horizontal="center"/>
    </xf>
    <xf applyAlignment="1" applyBorder="1" applyFill="1" applyFont="1" borderId="140" fillId="0" fontId="156" numFmtId="0" xfId="0">
      <alignment horizontal="center"/>
    </xf>
    <xf applyFill="1" applyFont="1" applyProtection="1" borderId="0" fillId="0" fontId="112" numFmtId="0" xfId="0"/>
    <xf applyBorder="1" applyFill="1" applyFont="1" applyNumberFormat="1" borderId="0" fillId="0" fontId="4" numFmtId="4" xfId="1"/>
    <xf applyBorder="1" applyFill="1" applyFont="1" applyProtection="1" borderId="165" fillId="4" fontId="155" numFmtId="0" xfId="0"/>
    <xf applyBorder="1" applyFill="1" applyFont="1" applyProtection="1" borderId="0" fillId="18" fontId="47" numFmtId="0" xfId="0"/>
    <xf applyAlignment="1" applyBorder="1" applyFill="1" applyFont="1" applyProtection="1" borderId="0" fillId="18" fontId="4" numFmtId="0" xfId="0">
      <alignment horizontal="right"/>
    </xf>
    <xf applyBorder="1" applyFill="1" applyFont="1" applyProtection="1" borderId="22" fillId="18" fontId="47" numFmtId="0" xfId="0"/>
    <xf applyAlignment="1" applyBorder="1" applyFill="1" applyFont="1" applyProtection="1" borderId="0" fillId="18" fontId="4" numFmtId="0" xfId="0">
      <alignment horizontal="left"/>
    </xf>
    <xf applyAlignment="1" applyBorder="1" applyFill="1" applyFont="1" applyProtection="1" borderId="23" fillId="18" fontId="4" numFmtId="0" xfId="0">
      <alignment horizontal="right"/>
    </xf>
    <xf applyBorder="1" applyFill="1" applyFont="1" applyProtection="1" borderId="126" fillId="18" fontId="47" numFmtId="0" xfId="0"/>
    <xf applyAlignment="1" applyBorder="1" applyFill="1" applyFont="1" applyProtection="1" borderId="145" fillId="18" fontId="4" numFmtId="0" xfId="0">
      <alignment horizontal="left"/>
    </xf>
    <xf applyBorder="1" applyFill="1" applyFont="1" applyNumberFormat="1" applyProtection="1" borderId="166" fillId="0" fontId="4" numFmtId="4" xfId="0">
      <protection locked="0"/>
    </xf>
    <xf applyAlignment="1" applyBorder="1" applyFill="1" applyFont="1" borderId="0" fillId="0" fontId="21" numFmtId="0" xfId="0">
      <alignment horizontal="right"/>
    </xf>
    <xf applyBorder="1" applyFill="1" applyFont="1" applyNumberFormat="1" borderId="0" fillId="0" fontId="4" numFmtId="1" quotePrefix="1" xfId="0"/>
    <xf applyAlignment="1" applyBorder="1" applyFill="1" applyFont="1" borderId="145" fillId="0" fontId="4" numFmtId="0" xfId="0"/>
    <xf applyBorder="1" applyFill="1" applyFont="1" applyNumberFormat="1" borderId="167" fillId="0" fontId="35" numFmtId="2" xfId="0"/>
    <xf applyBorder="1" applyFill="1" applyFont="1" applyNumberFormat="1" borderId="167" fillId="0" fontId="4" numFmtId="3" xfId="2"/>
    <xf applyBorder="1" applyFill="1" applyFont="1" applyNumberFormat="1" borderId="167" fillId="0" fontId="8" numFmtId="3" xfId="2"/>
    <xf applyBorder="1" applyFill="1" applyFont="1" applyNumberFormat="1" borderId="0" fillId="0" fontId="138" numFmtId="2" xfId="0"/>
    <xf applyAlignment="1" applyBorder="1" applyFill="1" applyFont="1" applyNumberFormat="1" borderId="0" fillId="0" fontId="89" numFmtId="3" xfId="2">
      <alignment horizontal="right"/>
    </xf>
    <xf applyBorder="1" applyFill="1" applyFont="1" applyNumberFormat="1" borderId="0" fillId="0" fontId="89" numFmtId="3" xfId="2"/>
    <xf applyAlignment="1" applyBorder="1" applyFill="1" applyFont="1" applyNumberFormat="1" borderId="0" fillId="0" fontId="89" numFmtId="3" xfId="2"/>
    <xf applyBorder="1" applyFill="1" applyFont="1" applyNumberFormat="1" borderId="167" fillId="0" fontId="57" numFmtId="2" xfId="0"/>
    <xf applyBorder="1" applyFill="1" applyFont="1" applyNumberFormat="1" borderId="167" fillId="0" fontId="113" numFmtId="2" xfId="0"/>
    <xf applyBorder="1" applyFill="1" applyFont="1" applyNumberFormat="1" borderId="0" fillId="0" fontId="8" numFmtId="1" xfId="0"/>
    <xf applyBorder="1" applyFill="1" applyFont="1" applyNumberFormat="1" borderId="0" fillId="0" fontId="111" numFmtId="2" xfId="0"/>
    <xf applyFill="1" borderId="0" fillId="27" fontId="0" numFmtId="0" xfId="0"/>
    <xf applyFill="1" applyFont="1" borderId="0" fillId="27" fontId="4" numFmtId="0" xfId="0"/>
    <xf applyAlignment="1" applyBorder="1" applyFill="1" applyFont="1" borderId="167" fillId="10" fontId="39" numFmtId="0" xfId="0">
      <alignment horizontal="center"/>
    </xf>
    <xf applyAlignment="1" applyBorder="1" applyFill="1" applyFont="1" borderId="167" fillId="0" fontId="5" numFmtId="0" xfId="0">
      <alignment vertical="top" wrapText="1"/>
    </xf>
    <xf applyAlignment="1" applyBorder="1" applyFill="1" applyFont="1" applyProtection="1" borderId="0" fillId="14" fontId="89" numFmtId="0" xfId="0">
      <alignment horizontal="left"/>
    </xf>
    <xf applyAlignment="1" applyBorder="1" applyFill="1" applyFont="1" applyProtection="1" borderId="0" fillId="8" fontId="89" numFmtId="0" xfId="0">
      <alignment horizontal="center"/>
    </xf>
    <xf applyAlignment="1" applyBorder="1" applyFill="1" applyFont="1" applyProtection="1" borderId="23" fillId="8" fontId="89" numFmtId="0" xfId="0">
      <alignment horizontal="center"/>
    </xf>
    <xf applyBorder="1" applyFill="1" applyFont="1" applyProtection="1" borderId="0" fillId="0" fontId="4" numFmtId="0" xfId="0"/>
    <xf applyBorder="1" applyFill="1" applyFont="1" applyNumberFormat="1" applyProtection="1" borderId="18" fillId="17" fontId="4" numFmtId="3" xfId="0">
      <protection locked="0"/>
    </xf>
    <xf applyBorder="1" applyFill="1" applyFont="1" applyProtection="1" borderId="18" fillId="17" fontId="4" numFmtId="0" xfId="0">
      <protection locked="0"/>
    </xf>
    <xf applyBorder="1" applyFill="1" applyFont="1" applyProtection="1" borderId="0" fillId="0" fontId="47" numFmtId="0" xfId="0"/>
    <xf applyFill="1" applyFont="1" applyProtection="1" borderId="0" fillId="0" fontId="29" numFmtId="0" xfId="0"/>
    <xf applyBorder="1" applyFill="1" applyFont="1" applyProtection="1" borderId="0" fillId="0" fontId="29" numFmtId="0" xfId="0"/>
    <xf applyBorder="1" applyFill="1" applyFont="1" applyNumberFormat="1" applyProtection="1" borderId="0" fillId="0" fontId="4" numFmtId="3" xfId="0">
      <protection locked="0"/>
    </xf>
    <xf applyAlignment="1" applyBorder="1" applyFill="1" applyFont="1" borderId="0" fillId="27" fontId="4" numFmtId="0" xfId="0">
      <alignment horizontal="right"/>
    </xf>
    <xf applyBorder="1" applyFill="1" applyFont="1" applyNumberFormat="1" borderId="171" fillId="0" fontId="8" numFmtId="4" xfId="0"/>
    <xf applyAlignment="1" applyBorder="1" applyFill="1" applyFont="1" applyNumberFormat="1" borderId="0" fillId="0" fontId="4" numFmtId="1" xfId="0"/>
    <xf applyAlignment="1" applyBorder="1" applyFill="1" applyFont="1" applyNumberFormat="1" borderId="171" fillId="0" fontId="4" numFmtId="3" xfId="0"/>
    <xf applyAlignment="1" applyBorder="1" applyFill="1" applyFont="1" applyNumberFormat="1" borderId="172" fillId="0" fontId="4" numFmtId="2" xfId="0"/>
    <xf applyAlignment="1" applyBorder="1" applyFill="1" applyFont="1" applyNumberFormat="1" borderId="0" fillId="0" fontId="111" numFmtId="1" xfId="0"/>
    <xf applyAlignment="1" applyBorder="1" applyFill="1" applyFont="1" applyNumberFormat="1" borderId="0" fillId="0" fontId="111" numFmtId="3" xfId="0"/>
    <xf applyBorder="1" applyFill="1" applyFont="1" applyNumberFormat="1" borderId="171" fillId="0" fontId="4" numFmtId="2" xfId="2"/>
    <xf applyBorder="1" applyFill="1" applyFont="1" applyNumberFormat="1" borderId="171" fillId="0" fontId="4" numFmtId="2" xfId="0"/>
    <xf applyAlignment="1" applyBorder="1" applyFill="1" applyFont="1" borderId="0" fillId="0" fontId="150" numFmtId="0" xfId="0"/>
    <xf applyAlignment="1" applyBorder="1" applyFill="1" applyFont="1" borderId="15" fillId="0" fontId="154" numFmtId="0" xfId="0"/>
    <xf applyAlignment="1" applyBorder="1" applyFill="1" applyFont="1" borderId="13" fillId="0" fontId="154" numFmtId="0" xfId="0"/>
    <xf applyAlignment="1" applyBorder="1" applyFill="1" applyFont="1" borderId="13" fillId="0" fontId="112" numFmtId="0" xfId="0"/>
    <xf applyFill="1" applyFont="1" borderId="0" fillId="0" fontId="150" numFmtId="0" xfId="0"/>
    <xf applyAlignment="1" applyBorder="1" applyFill="1" applyFont="1" borderId="0" fillId="0" fontId="112" numFmtId="0" xfId="0"/>
    <xf applyAlignment="1" applyBorder="1" applyFont="1" applyNumberFormat="1" borderId="112" fillId="0" fontId="7" numFmtId="14" xfId="0">
      <alignment horizontal="left" vertical="top" wrapText="1"/>
    </xf>
    <xf applyAlignment="1" applyBorder="1" applyFill="1" applyFont="1" applyNumberFormat="1" borderId="142" fillId="0" fontId="1" numFmtId="14" xfId="0">
      <alignment horizontal="left" vertical="top" wrapText="1"/>
    </xf>
    <xf applyAlignment="1" applyBorder="1" applyFont="1" borderId="77" fillId="0" fontId="88" numFmtId="0" quotePrefix="1" xfId="0">
      <alignment vertical="top" wrapText="1"/>
    </xf>
    <xf applyAlignment="1" applyFont="1" borderId="0" fillId="0" fontId="7" numFmtId="0" xfId="0">
      <alignment horizontal="left" vertical="top" wrapText="1"/>
    </xf>
    <xf applyAlignment="1" applyBorder="1" applyFill="1" applyFont="1" borderId="0" fillId="0" fontId="4" numFmtId="0" xfId="0">
      <alignment horizontal="right" indent="2"/>
    </xf>
    <xf applyBorder="1" applyFill="1" applyFont="1" applyNumberFormat="1" borderId="171" fillId="0" fontId="4" numFmtId="3" xfId="0"/>
    <xf applyBorder="1" applyFill="1" applyFont="1" applyNumberFormat="1" borderId="171" fillId="0" fontId="4" numFmtId="4" xfId="0"/>
    <xf applyAlignment="1" applyFill="1" applyFont="1" applyProtection="1" borderId="0" fillId="0" fontId="1" numFmtId="0" xfId="0">
      <alignment horizontal="right"/>
      <protection hidden="1"/>
    </xf>
    <xf applyBorder="1" applyFill="1" applyFont="1" applyNumberFormat="1" borderId="171" fillId="0" fontId="8" numFmtId="3" xfId="0"/>
    <xf applyBorder="1" applyFill="1" applyFont="1" applyProtection="1" borderId="0" fillId="14" fontId="89" numFmtId="0" xfId="0"/>
    <xf applyBorder="1" applyFill="1" applyFont="1" applyProtection="1" borderId="23" fillId="14" fontId="89" numFmtId="0" xfId="0"/>
    <xf applyBorder="1" applyFill="1" applyFont="1" applyProtection="1" borderId="0" fillId="16" fontId="89" numFmtId="0" xfId="0"/>
    <xf applyBorder="1" applyFill="1" applyFont="1" applyProtection="1" borderId="23" fillId="16" fontId="89" numFmtId="0" xfId="0"/>
    <xf applyAlignment="1" applyBorder="1" applyFill="1" applyFont="1" applyProtection="1" borderId="18" fillId="16" fontId="89" numFmtId="0" quotePrefix="1" xfId="0">
      <alignment horizontal="center"/>
    </xf>
    <xf applyAlignment="1" applyBorder="1" applyFill="1" applyFont="1" applyProtection="1" borderId="22" fillId="16" fontId="89" numFmtId="0" xfId="0">
      <alignment horizontal="center"/>
    </xf>
    <xf applyBorder="1" applyFill="1" applyFont="1" applyNumberFormat="1" applyProtection="1" borderId="18" fillId="16" fontId="89" numFmtId="3" xfId="0">
      <protection locked="0"/>
    </xf>
    <xf applyAlignment="1" applyBorder="1" applyFill="1" applyFont="1" applyProtection="1" borderId="18" fillId="14" fontId="89" numFmtId="0" xfId="0">
      <alignment horizontal="center"/>
    </xf>
    <xf applyBorder="1" applyFill="1" applyFont="1" applyProtection="1" borderId="22" fillId="14" fontId="89" numFmtId="0" xfId="0"/>
    <xf applyBorder="1" applyFill="1" applyFont="1" applyNumberFormat="1" applyProtection="1" borderId="18" fillId="14" fontId="89" numFmtId="3" xfId="0">
      <protection locked="0"/>
    </xf>
    <xf applyAlignment="1" applyBorder="1" applyFill="1" applyFont="1" applyProtection="1" borderId="23" fillId="14" fontId="89" numFmtId="0" xfId="0">
      <alignment horizontal="right"/>
    </xf>
    <xf applyBorder="1" applyFill="1" applyFont="1" applyNumberFormat="1" applyProtection="1" borderId="18" fillId="14" fontId="89" numFmtId="2" xfId="0">
      <protection locked="0"/>
    </xf>
    <xf applyAlignment="1" applyBorder="1" applyFill="1" applyFont="1" borderId="17" fillId="0" fontId="35" numFmtId="0" xfId="0">
      <alignment horizontal="left"/>
    </xf>
    <xf applyAlignment="1" applyFill="1" applyFont="1" borderId="0" fillId="0" fontId="141" numFmtId="0" xfId="0">
      <alignment horizontal="right"/>
    </xf>
    <xf applyBorder="1" applyFill="1" applyFont="1" borderId="171" fillId="17" fontId="134" numFmtId="0" xfId="0"/>
    <xf applyAlignment="1" applyBorder="1" applyFill="1" applyFont="1" borderId="2" fillId="0" fontId="89" numFmtId="0" xfId="0">
      <alignment horizontal="center"/>
    </xf>
    <xf applyAlignment="1" applyBorder="1" applyFill="1" applyFont="1" borderId="2" fillId="0" fontId="4" numFmtId="0" xfId="0">
      <alignment horizontal="center"/>
    </xf>
    <xf applyBorder="1" applyFill="1" applyFont="1" borderId="2" fillId="0" fontId="39" numFmtId="0" xfId="0"/>
    <xf applyBorder="1" applyFill="1" applyFont="1" borderId="4" fillId="0" fontId="90" numFmtId="0" xfId="0"/>
    <xf applyAlignment="1" applyBorder="1" applyFill="1" borderId="4" fillId="0" fontId="0" numFmtId="0" xfId="0">
      <alignment horizontal="center"/>
    </xf>
    <xf applyAlignment="1" applyBorder="1" applyFill="1" applyFont="1" borderId="4" fillId="0" fontId="39" numFmtId="0" xfId="0">
      <alignment horizontal="right"/>
    </xf>
    <xf applyAlignment="1" applyBorder="1" applyFill="1" applyFont="1" borderId="4" fillId="0" fontId="39" numFmtId="0" xfId="0">
      <alignment horizontal="center"/>
    </xf>
    <xf applyBorder="1" applyFill="1" applyFont="1" borderId="4" fillId="0" fontId="39" numFmtId="0" xfId="0"/>
    <xf applyBorder="1" applyFill="1" applyFont="1" borderId="1" fillId="0" fontId="89" numFmtId="0" xfId="0"/>
    <xf applyBorder="1" applyFill="1" applyFont="1" borderId="50" fillId="0" fontId="89" numFmtId="0" xfId="0"/>
    <xf applyBorder="1" applyFill="1" applyFont="1" borderId="46" fillId="0" fontId="90" numFmtId="0" xfId="0"/>
    <xf applyFill="1" applyFont="1" borderId="0" fillId="0" fontId="155" numFmtId="0" xfId="0"/>
    <xf applyAlignment="1" applyBorder="1" applyFill="1" applyFont="1" borderId="177" fillId="10" fontId="39" numFmtId="0" xfId="0">
      <alignment horizontal="center"/>
    </xf>
    <xf applyAlignment="1" applyBorder="1" applyFont="1" applyProtection="1" borderId="170" fillId="0" fontId="8" numFmtId="0" xfId="0">
      <alignment horizontal="center"/>
      <protection locked="0"/>
    </xf>
    <xf applyBorder="1" applyFill="1" applyFont="1" applyProtection="1" borderId="170" fillId="15" fontId="39" numFmtId="0" xfId="0">
      <protection locked="0"/>
    </xf>
    <xf applyBorder="1" applyFill="1" applyFont="1" applyNumberFormat="1" applyProtection="1" borderId="170" fillId="15" fontId="39" numFmtId="4" xfId="0">
      <protection locked="0"/>
    </xf>
    <xf applyAlignment="1" applyBorder="1" applyFill="1" applyFont="1" applyNumberFormat="1" borderId="170" fillId="15" fontId="39" numFmtId="4" xfId="0">
      <alignment horizontal="right"/>
    </xf>
    <xf applyBorder="1" applyFill="1" applyFont="1" applyNumberFormat="1" applyProtection="1" borderId="170" fillId="15" fontId="8" numFmtId="4" xfId="0">
      <protection locked="0"/>
    </xf>
    <xf applyBorder="1" applyFill="1" applyFont="1" applyNumberFormat="1" borderId="170" fillId="15" fontId="39" numFmtId="4" xfId="0"/>
    <xf applyBorder="1" applyFill="1" applyFont="1" applyNumberFormat="1" borderId="170" fillId="15" fontId="8" numFmtId="4" xfId="0"/>
    <xf applyBorder="1" applyFill="1" applyFont="1" applyNumberFormat="1" applyProtection="1" borderId="170" fillId="15" fontId="39" numFmtId="4" xfId="0"/>
    <xf applyBorder="1" applyFill="1" applyFont="1" applyNumberFormat="1" applyProtection="1" borderId="170" fillId="15" fontId="8" numFmtId="4" xfId="0"/>
    <xf applyBorder="1" applyFill="1" applyFont="1" applyNumberFormat="1" applyProtection="1" borderId="83" fillId="15" fontId="8" numFmtId="4" xfId="0"/>
    <xf applyAlignment="1" applyBorder="1" applyFill="1" applyFont="1" borderId="171" fillId="0" fontId="5" numFmtId="0" xfId="0">
      <alignment vertical="top" wrapText="1"/>
    </xf>
    <xf applyAlignment="1" applyBorder="1" applyFont="1" borderId="140" fillId="0" fontId="97" numFmtId="0" xfId="0">
      <alignment horizontal="center"/>
    </xf>
    <xf applyAlignment="1" applyBorder="1" applyFont="1" borderId="171" fillId="0" fontId="73" numFmtId="0" xfId="0">
      <alignment horizontal="left"/>
    </xf>
    <xf applyAlignment="1" applyBorder="1" applyFill="1" applyFont="1" borderId="171" fillId="10" fontId="39" numFmtId="0" xfId="0">
      <alignment horizontal="center"/>
    </xf>
    <xf applyAlignment="1" applyFill="1" applyFont="1" borderId="0" fillId="0" fontId="13" numFmtId="0" xfId="0"/>
    <xf applyBorder="1" applyFill="1" applyFont="1" applyProtection="1" borderId="171" fillId="0" fontId="4" numFmtId="0" xfId="0">
      <protection locked="0"/>
    </xf>
    <xf applyAlignment="1" applyBorder="1" applyFill="1" applyFont="1" borderId="46" fillId="10" fontId="4" numFmtId="0" xfId="0">
      <alignment horizontal="center"/>
    </xf>
    <xf applyBorder="1" applyFill="1" applyFont="1" borderId="171" fillId="0" fontId="4" numFmtId="0" xfId="0"/>
    <xf applyAlignment="1" applyBorder="1" applyFont="1" applyProtection="1" borderId="170" fillId="0" fontId="4" numFmtId="0" xfId="0">
      <alignment horizontal="center"/>
      <protection locked="0"/>
    </xf>
    <xf applyAlignment="1" applyBorder="1" applyFill="1" applyFont="1" borderId="177" fillId="10" fontId="8" numFmtId="0" xfId="0">
      <alignment horizontal="center"/>
    </xf>
    <xf applyAlignment="1" applyBorder="1" applyFont="1" borderId="170" fillId="0" fontId="39" numFmtId="170" xfId="1">
      <alignment horizontal="center"/>
    </xf>
    <xf applyBorder="1" applyFill="1" applyFont="1" borderId="170" fillId="0" fontId="39" numFmtId="170" xfId="1"/>
    <xf applyAlignment="1" applyBorder="1" applyFill="1" applyFont="1" applyNumberFormat="1" borderId="170" fillId="0" fontId="39" numFmtId="185" xfId="1">
      <alignment horizontal="center"/>
    </xf>
    <xf applyAlignment="1" applyBorder="1" applyFill="1" applyFont="1" borderId="170" fillId="0" fontId="39" numFmtId="0" xfId="0">
      <alignment horizontal="center"/>
    </xf>
    <xf applyAlignment="1" applyBorder="1" applyFill="1" applyFont="1" borderId="170" fillId="0" fontId="8" numFmtId="170" xfId="1">
      <alignment horizontal="right"/>
    </xf>
    <xf applyAlignment="1" applyBorder="1" applyFill="1" applyFont="1" borderId="170" fillId="0" fontId="8" numFmtId="0" xfId="0">
      <alignment horizontal="center"/>
    </xf>
    <xf applyAlignment="1" applyBorder="1" applyFill="1" applyFont="1" borderId="170" fillId="0" fontId="39" numFmtId="170" xfId="1">
      <alignment horizontal="right"/>
    </xf>
    <xf applyBorder="1" applyFill="1" applyFont="1" borderId="170" fillId="0" fontId="8" numFmtId="170" xfId="1"/>
    <xf applyBorder="1" applyFont="1" applyNumberFormat="1" borderId="170" fillId="0" fontId="39" numFmtId="0" xfId="1"/>
    <xf applyAlignment="1" applyBorder="1" applyFont="1" applyNumberFormat="1" borderId="170" fillId="0" fontId="39" numFmtId="1" xfId="1">
      <alignment horizontal="center"/>
    </xf>
    <xf applyAlignment="1" applyBorder="1" applyFont="1" borderId="170" fillId="0" fontId="39" numFmtId="170" xfId="1">
      <alignment horizontal="right"/>
    </xf>
    <xf applyAlignment="1" applyBorder="1" applyFill="1" applyFont="1" borderId="170" fillId="10" fontId="39" numFmtId="170" xfId="1">
      <alignment horizontal="right"/>
    </xf>
    <xf applyAlignment="1" applyBorder="1" applyFont="1" borderId="170" fillId="0" fontId="8" numFmtId="170" xfId="1">
      <alignment horizontal="right"/>
    </xf>
    <xf applyBorder="1" applyFont="1" borderId="170" fillId="0" fontId="39" numFmtId="170" xfId="1"/>
    <xf applyAlignment="1" applyBorder="1" applyFill="1" applyFont="1" applyProtection="1" borderId="170" fillId="0" fontId="39" numFmtId="0" xfId="0">
      <alignment horizontal="center"/>
      <protection locked="0"/>
    </xf>
    <xf applyAlignment="1" applyBorder="1" applyFont="1" applyProtection="1" borderId="170" fillId="0" fontId="39" numFmtId="0" xfId="0">
      <alignment horizontal="center"/>
      <protection locked="0"/>
    </xf>
    <xf applyAlignment="1" applyBorder="1" applyFill="1" applyFont="1" applyNumberFormat="1" borderId="170" fillId="10" fontId="39" numFmtId="14" quotePrefix="1" xfId="0">
      <alignment horizontal="center"/>
    </xf>
    <xf applyAlignment="1" applyBorder="1" applyFill="1" applyFont="1" applyProtection="1" borderId="170" fillId="0" fontId="4" numFmtId="0" xfId="0">
      <alignment horizontal="center"/>
      <protection locked="0"/>
    </xf>
    <xf applyAlignment="1" applyBorder="1" applyFill="1" applyFont="1" applyNumberFormat="1" applyProtection="1" borderId="170" fillId="0" fontId="39" numFmtId="172" xfId="1">
      <alignment horizontal="center"/>
      <protection locked="0"/>
    </xf>
    <xf applyAlignment="1" applyBorder="1" applyFill="1" applyFont="1" applyNumberFormat="1" applyProtection="1" borderId="170" fillId="0" fontId="39" numFmtId="1" xfId="1">
      <alignment horizontal="center"/>
      <protection locked="0"/>
    </xf>
    <xf applyAlignment="1" applyBorder="1" applyFont="1" applyNumberFormat="1" applyProtection="1" borderId="170" fillId="0" fontId="8" numFmtId="4" xfId="0">
      <alignment horizontal="center"/>
      <protection locked="0"/>
    </xf>
    <xf applyAlignment="1" applyBorder="1" applyFont="1" applyNumberFormat="1" applyProtection="1" borderId="170" fillId="0" fontId="39" numFmtId="4" xfId="0">
      <alignment horizontal="center"/>
      <protection locked="0"/>
    </xf>
    <xf applyAlignment="1" applyBorder="1" applyFill="1" applyFont="1" borderId="96" fillId="10" fontId="8" numFmtId="0" xfId="0">
      <alignment horizontal="center"/>
    </xf>
    <xf applyBorder="1" applyFont="1" applyNumberFormat="1" borderId="170" fillId="0" fontId="39" numFmtId="2" xfId="0"/>
    <xf applyBorder="1" applyFill="1" applyFont="1" applyNumberFormat="1" borderId="170" fillId="17" fontId="39" numFmtId="2" xfId="0"/>
    <xf applyAlignment="1" applyBorder="1" applyFill="1" applyFont="1" applyNumberFormat="1" applyProtection="1" borderId="171" fillId="0" fontId="39" numFmtId="182" xfId="0">
      <alignment horizontal="center"/>
    </xf>
    <xf applyBorder="1" applyFont="1" applyNumberFormat="1" borderId="171" fillId="0" fontId="39" numFmtId="1" xfId="0"/>
    <xf applyAlignment="1" applyBorder="1" applyFill="1" applyFont="1" borderId="175" fillId="0" fontId="4" numFmtId="0" xfId="0"/>
    <xf applyAlignment="1" applyBorder="1" applyFill="1" applyFont="1" borderId="175" fillId="0" fontId="8" numFmtId="0" xfId="0"/>
    <xf applyAlignment="1" applyBorder="1" applyFill="1" applyFont="1" applyNumberFormat="1" borderId="176" fillId="0" fontId="4" numFmtId="178" xfId="1">
      <alignment horizontal="right"/>
    </xf>
    <xf applyAlignment="1" applyBorder="1" applyFill="1" applyFont="1" borderId="1" fillId="0" fontId="115" numFmtId="0" xfId="0"/>
    <xf applyAlignment="1" applyBorder="1" applyFill="1" applyFont="1" applyProtection="1" borderId="57" fillId="0" fontId="5" numFmtId="0" xfId="0">
      <alignment horizontal="center"/>
      <protection locked="0"/>
    </xf>
    <xf applyAlignment="1" applyBorder="1" applyFill="1" applyFont="1" borderId="178" fillId="0" fontId="5" numFmtId="0" xfId="0">
      <alignment vertical="center" wrapText="1"/>
    </xf>
    <xf applyAlignment="1" applyBorder="1" applyFill="1" applyFont="1" borderId="57" fillId="0" fontId="5" numFmtId="0" quotePrefix="1" xfId="0">
      <alignment horizontal="center"/>
    </xf>
    <xf applyAlignment="1" applyBorder="1" applyFill="1" applyFont="1" applyProtection="1" borderId="57" fillId="0" fontId="6" numFmtId="0" xfId="0">
      <alignment horizontal="center"/>
      <protection locked="0"/>
    </xf>
    <xf applyBorder="1" applyFill="1" applyFont="1" applyNumberFormat="1" borderId="171" fillId="0" fontId="8" numFmtId="3" xfId="2"/>
    <xf applyFill="1" applyFont="1" applyNumberFormat="1" applyProtection="1" borderId="0" fillId="29" fontId="4" numFmtId="49" xfId="0"/>
    <xf applyAlignment="1" applyFill="1" applyFont="1" applyProtection="1" borderId="0" fillId="29" fontId="4" numFmtId="0" xfId="0">
      <alignment horizontal="center"/>
    </xf>
    <xf applyFill="1" applyFont="1" applyProtection="1" borderId="0" fillId="29" fontId="4" numFmtId="0" xfId="0"/>
    <xf applyAlignment="1" applyBorder="1" applyFill="1" applyFont="1" borderId="171" fillId="0" fontId="0" numFmtId="0" xfId="0">
      <alignment wrapText="1"/>
    </xf>
    <xf applyBorder="1" applyFill="1" applyFont="1" applyNumberFormat="1" applyProtection="1" borderId="182" fillId="0" fontId="8" numFmtId="2" xfId="0"/>
    <xf applyAlignment="1" applyBorder="1" applyFont="1" applyNumberFormat="1" applyProtection="1" borderId="182" fillId="0" fontId="4" numFmtId="2" xfId="0">
      <protection locked="0"/>
    </xf>
    <xf applyBorder="1" applyFill="1" applyFont="1" applyNumberFormat="1" applyProtection="1" borderId="181" fillId="15" fontId="8" numFmtId="4" xfId="0"/>
    <xf applyAlignment="1" applyBorder="1" applyFill="1" applyFont="1" borderId="170" fillId="0" fontId="4" numFmtId="0" xfId="0">
      <alignment horizontal="center"/>
    </xf>
    <xf applyBorder="1" applyFont="1" applyProtection="1" borderId="181" fillId="0" fontId="39" numFmtId="0" xfId="0">
      <protection locked="0"/>
    </xf>
    <xf applyBorder="1" applyFill="1" applyFont="1" applyNumberFormat="1" borderId="171" fillId="0" fontId="4" numFmtId="1" xfId="0"/>
    <xf applyAlignment="1" applyBorder="1" applyFill="1" applyFont="1" borderId="181" fillId="0" fontId="4" numFmtId="0" xfId="0">
      <alignment horizontal="center"/>
    </xf>
    <xf applyAlignment="1" applyBorder="1" applyFont="1" applyProtection="1" borderId="181" fillId="0" fontId="39" numFmtId="0" xfId="0">
      <alignment horizontal="center"/>
      <protection locked="0"/>
    </xf>
    <xf applyBorder="1" applyFill="1" applyFont="1" applyNumberFormat="1" borderId="181" fillId="17" fontId="39" numFmtId="2" xfId="0"/>
    <xf applyAlignment="1" applyBorder="1" applyFont="1" borderId="170" fillId="0" fontId="4" numFmtId="170" xfId="1">
      <alignment horizontal="center"/>
    </xf>
    <xf applyAlignment="1" applyBorder="1" applyFont="1" borderId="183" fillId="0" fontId="4" numFmtId="170" xfId="1">
      <alignment horizontal="center"/>
    </xf>
    <xf applyBorder="1" applyFill="1" applyFont="1" borderId="170" fillId="0" fontId="4" numFmtId="170" xfId="1"/>
    <xf applyBorder="1" applyFill="1" applyFont="1" borderId="183" fillId="0" fontId="4" numFmtId="170" xfId="1"/>
    <xf applyAlignment="1" applyBorder="1" applyFill="1" applyFont="1" applyNumberFormat="1" borderId="170" fillId="0" fontId="4" numFmtId="185" xfId="1">
      <alignment horizontal="center"/>
    </xf>
    <xf applyAlignment="1" applyBorder="1" applyFill="1" applyFont="1" applyNumberFormat="1" borderId="183" fillId="0" fontId="4" numFmtId="185" xfId="1">
      <alignment horizontal="center"/>
    </xf>
    <xf applyAlignment="1" applyBorder="1" applyFill="1" applyFont="1" borderId="183" fillId="0" fontId="4" numFmtId="0" xfId="0">
      <alignment horizontal="center"/>
    </xf>
    <xf applyAlignment="1" applyBorder="1" applyFill="1" applyFont="1" applyNumberFormat="1" borderId="183" fillId="0" fontId="8" numFmtId="4" xfId="1">
      <alignment horizontal="right"/>
    </xf>
    <xf applyAlignment="1" applyBorder="1" applyFill="1" applyFont="1" borderId="183" fillId="0" fontId="8" numFmtId="170" xfId="1">
      <alignment horizontal="right"/>
    </xf>
    <xf applyAlignment="1" applyBorder="1" applyFill="1" applyFont="1" borderId="183" fillId="0" fontId="8" numFmtId="0" xfId="0">
      <alignment horizontal="center"/>
    </xf>
    <xf applyAlignment="1" applyBorder="1" applyFill="1" applyFont="1" borderId="170" fillId="0" fontId="4" numFmtId="170" xfId="1">
      <alignment horizontal="right"/>
    </xf>
    <xf applyAlignment="1" applyBorder="1" applyFill="1" applyFont="1" applyNumberFormat="1" borderId="183" fillId="0" fontId="4" numFmtId="4" xfId="0">
      <alignment horizontal="center"/>
    </xf>
    <xf applyAlignment="1" applyBorder="1" applyFill="1" applyFont="1" applyNumberFormat="1" borderId="183" fillId="0" fontId="4" numFmtId="1" xfId="1">
      <alignment horizontal="center"/>
    </xf>
    <xf applyBorder="1" applyFill="1" applyFont="1" borderId="183" fillId="0" fontId="8" numFmtId="170" xfId="1"/>
    <xf applyBorder="1" applyFont="1" applyNumberFormat="1" borderId="170" fillId="0" fontId="4" numFmtId="0" xfId="1"/>
    <xf applyBorder="1" applyFont="1" applyNumberFormat="1" borderId="183" fillId="0" fontId="4" numFmtId="0" xfId="1"/>
    <xf applyAlignment="1" applyBorder="1" applyFont="1" applyNumberFormat="1" borderId="170" fillId="0" fontId="4" numFmtId="1" xfId="1">
      <alignment horizontal="center"/>
    </xf>
    <xf applyAlignment="1" applyBorder="1" applyFont="1" applyNumberFormat="1" borderId="183" fillId="0" fontId="4" numFmtId="1" xfId="1">
      <alignment horizontal="center"/>
    </xf>
    <xf applyAlignment="1" applyBorder="1" applyFont="1" borderId="170" fillId="0" fontId="4" numFmtId="170" xfId="1">
      <alignment horizontal="right"/>
    </xf>
    <xf applyAlignment="1" applyBorder="1" applyFont="1" borderId="183" fillId="0" fontId="4" numFmtId="170" xfId="1">
      <alignment horizontal="right"/>
    </xf>
    <xf applyAlignment="1" applyBorder="1" applyFill="1" applyFont="1" borderId="183" fillId="0" fontId="4" numFmtId="170" xfId="1">
      <alignment horizontal="right"/>
    </xf>
    <xf applyAlignment="1" applyBorder="1" applyFill="1" applyFont="1" borderId="170" fillId="10" fontId="4" numFmtId="170" xfId="1">
      <alignment horizontal="right"/>
    </xf>
    <xf applyAlignment="1" applyBorder="1" applyFill="1" applyFont="1" borderId="183" fillId="10" fontId="4" numFmtId="170" xfId="1">
      <alignment horizontal="right"/>
    </xf>
    <xf applyAlignment="1" applyBorder="1" applyFont="1" borderId="183" fillId="0" fontId="8" numFmtId="170" xfId="1">
      <alignment horizontal="right"/>
    </xf>
    <xf applyBorder="1" applyFont="1" borderId="170" fillId="0" fontId="4" numFmtId="170" xfId="1"/>
    <xf applyBorder="1" applyFont="1" borderId="183" fillId="0" fontId="4" numFmtId="170" xfId="1"/>
    <xf applyAlignment="1" applyBorder="1" applyFill="1" applyFont="1" borderId="184" fillId="0" fontId="4" numFmtId="0" xfId="0">
      <alignment horizontal="center"/>
    </xf>
    <xf applyBorder="1" applyFont="1" applyNumberFormat="1" applyProtection="1" borderId="181" fillId="0" fontId="8" numFmtId="1" xfId="0">
      <protection locked="0"/>
    </xf>
    <xf applyBorder="1" applyFont="1" applyNumberFormat="1" applyProtection="1" borderId="182" fillId="0" fontId="8" numFmtId="4" xfId="0">
      <protection locked="0"/>
    </xf>
    <xf applyBorder="1" applyFill="1" applyFont="1" borderId="181" fillId="15" fontId="39" numFmtId="0" xfId="0"/>
    <xf applyBorder="1" applyFill="1" applyFont="1" borderId="69" fillId="0" fontId="4" numFmtId="0" xfId="0"/>
    <xf applyAlignment="1" applyBorder="1" applyFill="1" applyFont="1" applyProtection="1" borderId="27" fillId="0" fontId="4" numFmtId="0" xfId="0">
      <alignment horizontal="left" vertical="top" wrapText="1"/>
      <protection locked="0"/>
    </xf>
    <xf applyAlignment="1" applyBorder="1" applyFill="1" applyFont="1" applyNumberFormat="1" applyProtection="1" borderId="171" fillId="0" fontId="4" numFmtId="4" xfId="0">
      <alignment horizontal="left" vertical="top"/>
      <protection locked="0"/>
    </xf>
    <xf applyAlignment="1" applyBorder="1" applyFill="1" applyFont="1" applyProtection="1" borderId="170" fillId="0" fontId="4" numFmtId="0" xfId="0">
      <alignment wrapText="1"/>
      <protection locked="0"/>
    </xf>
    <xf applyAlignment="1" applyBorder="1" applyFill="1" applyFont="1" applyProtection="1" borderId="172" fillId="0" fontId="4" numFmtId="0" xfId="0">
      <alignment wrapText="1"/>
      <protection locked="0"/>
    </xf>
    <xf applyAlignment="1" applyBorder="1" applyFill="1" applyFont="1" applyProtection="1" borderId="172" fillId="0" fontId="4" numFmtId="0" xfId="0">
      <alignment horizontal="left" vertical="top" wrapText="1"/>
      <protection locked="0"/>
    </xf>
    <xf applyFill="1" applyFont="1" applyNumberFormat="1" borderId="0" fillId="0" fontId="112" numFmtId="1" xfId="0"/>
    <xf applyBorder="1" applyFill="1" applyFont="1" borderId="0" fillId="0" fontId="138" numFmtId="0" xfId="0"/>
    <xf applyAlignment="1" applyBorder="1" applyFill="1" applyFont="1" borderId="112" fillId="0" fontId="4" numFmtId="0" xfId="0">
      <alignment horizontal="right"/>
    </xf>
    <xf applyFill="1" applyFont="1" borderId="0" fillId="0" fontId="64" numFmtId="0" xfId="0"/>
    <xf applyAlignment="1" applyBorder="1" applyFill="1" applyFont="1" borderId="171" fillId="0" fontId="57" numFmtId="0" xfId="0">
      <alignment horizontal="left"/>
    </xf>
    <xf applyAlignment="1" applyFill="1" applyFont="1" applyNumberFormat="1" borderId="0" fillId="0" fontId="89" numFmtId="2" xfId="0">
      <alignment horizontal="right"/>
    </xf>
    <xf applyAlignment="1" applyFill="1" applyFont="1" applyNumberFormat="1" borderId="0" fillId="0" fontId="4" numFmtId="2" xfId="0">
      <alignment horizontal="left" indent="1"/>
    </xf>
    <xf applyAlignment="1" applyFill="1" applyFont="1" borderId="0" fillId="0" fontId="89" numFmtId="0" xfId="0">
      <alignment horizontal="left" indent="1"/>
    </xf>
    <xf applyAlignment="1" applyBorder="1" applyFill="1" applyFont="1" applyNumberFormat="1" borderId="171" fillId="0" fontId="35" numFmtId="1" xfId="0">
      <alignment horizontal="center"/>
    </xf>
    <xf applyBorder="1" applyFill="1" applyFont="1" applyNumberFormat="1" applyProtection="1" borderId="171" fillId="0" fontId="4" numFmtId="1" xfId="0">
      <protection locked="0"/>
    </xf>
    <xf applyAlignment="1" applyBorder="1" applyFill="1" applyFont="1" borderId="171" fillId="0" fontId="35" numFmtId="0" xfId="0">
      <alignment horizontal="center"/>
    </xf>
    <xf applyBorder="1" applyFill="1" applyFont="1" applyNumberFormat="1" borderId="171" fillId="0" fontId="4" numFmtId="1" xfId="2"/>
    <xf applyBorder="1" applyFill="1" applyFont="1" applyNumberFormat="1" borderId="171" fillId="0" fontId="113" numFmtId="2" xfId="0"/>
    <xf applyBorder="1" applyFill="1" applyFont="1" applyNumberFormat="1" borderId="171" fillId="0" fontId="35" numFmtId="1" xfId="0"/>
    <xf applyAlignment="1" applyBorder="1" applyFill="1" applyFont="1" applyNumberFormat="1" borderId="0" fillId="0" fontId="113" numFmtId="1" xfId="0">
      <alignment horizontal="right"/>
    </xf>
    <xf applyAlignment="1" applyBorder="1" applyFill="1" applyFont="1" applyNumberFormat="1" borderId="171" fillId="0" fontId="113" numFmtId="1" xfId="0">
      <alignment horizontal="center"/>
    </xf>
    <xf applyFill="1" applyFont="1" borderId="0" fillId="0" fontId="4" numFmtId="0" quotePrefix="1" xfId="0"/>
    <xf applyAlignment="1" applyFill="1" applyFont="1" borderId="0" fillId="0" fontId="90" numFmtId="0" xfId="0">
      <alignment horizontal="left" indent="1" vertical="center"/>
    </xf>
    <xf applyBorder="1" applyFill="1" applyFont="1" borderId="0" fillId="0" fontId="123" numFmtId="0" xfId="0"/>
    <xf applyBorder="1" applyFill="1" applyFont="1" borderId="113" fillId="0" fontId="96" numFmtId="0" xfId="0"/>
    <xf applyBorder="1" applyFill="1" applyFont="1" borderId="0" fillId="0" fontId="146" numFmtId="0" xfId="0"/>
    <xf applyAlignment="1" applyBorder="1" applyFill="1" applyFont="1" borderId="66" fillId="0" fontId="96" numFmtId="0" xfId="0">
      <alignment horizontal="left" indent="1" vertical="center"/>
    </xf>
    <xf applyBorder="1" applyFill="1" applyFont="1" borderId="66" fillId="0" fontId="96" numFmtId="0" xfId="0"/>
    <xf applyAlignment="1" applyFill="1" applyFont="1" borderId="0" fillId="0" fontId="158" numFmtId="0" xfId="0">
      <alignment horizontal="left" vertical="center"/>
    </xf>
    <xf applyAlignment="1" applyFill="1" applyFont="1" borderId="0" fillId="0" fontId="158" numFmtId="0" xfId="0">
      <alignment horizontal="left" indent="1" vertical="center"/>
    </xf>
    <xf applyAlignment="1" applyFill="1" applyFont="1" borderId="0" fillId="0" fontId="157" numFmtId="0" xfId="0">
      <alignment horizontal="left" indent="1" vertical="center"/>
    </xf>
    <xf applyAlignment="1" applyBorder="1" applyFill="1" applyFont="1" borderId="0" fillId="0" fontId="1" numFmtId="0" xfId="0">
      <alignment vertical="center"/>
    </xf>
    <xf applyAlignment="1" applyFill="1" applyFont="1" borderId="0" fillId="0" fontId="98" numFmtId="0" xfId="0">
      <alignment horizontal="left" indent="2" vertical="center"/>
    </xf>
    <xf applyAlignment="1" applyBorder="1" applyFill="1" applyFont="1" applyNumberFormat="1" borderId="142" fillId="0" fontId="113" numFmtId="1" xfId="0">
      <alignment horizontal="center"/>
    </xf>
    <xf applyBorder="1" applyFill="1" applyFont="1" applyNumberFormat="1" borderId="142" fillId="0" fontId="4" numFmtId="1" xfId="0"/>
    <xf applyBorder="1" applyFill="1" applyFont="1" applyNumberFormat="1" borderId="0" fillId="0" fontId="112" numFmtId="1" xfId="0"/>
    <xf applyBorder="1" applyFill="1" applyFont="1" applyNumberFormat="1" borderId="142" fillId="0" fontId="4" numFmtId="2" xfId="0"/>
    <xf applyAlignment="1" applyBorder="1" applyFill="1" applyFont="1" applyNumberFormat="1" borderId="0" fillId="0" fontId="113" numFmtId="1" xfId="0">
      <alignment horizontal="center"/>
    </xf>
    <xf applyAlignment="1" applyFill="1" applyFont="1" applyNumberFormat="1" borderId="0" fillId="0" fontId="89" numFmtId="178" xfId="0">
      <alignment horizontal="right"/>
    </xf>
    <xf applyAlignment="1" applyFill="1" applyFont="1" borderId="0" fillId="0" fontId="35" numFmtId="0" quotePrefix="1" xfId="0">
      <alignment horizontal="left" indent="1"/>
    </xf>
    <xf applyAlignment="1" applyBorder="1" applyFill="1" applyFont="1" borderId="1" fillId="0" fontId="35" numFmtId="0" xfId="0">
      <alignment horizontal="right"/>
    </xf>
    <xf applyAlignment="1" applyBorder="1" applyFill="1" applyFont="1" borderId="171" fillId="0" fontId="4" numFmtId="0" xfId="0">
      <alignment horizontal="left"/>
    </xf>
    <xf applyBorder="1" applyFill="1" applyFont="1" applyProtection="1" borderId="0" fillId="0" fontId="90" numFmtId="0" xfId="0"/>
    <xf applyBorder="1" applyFill="1" applyFont="1" applyProtection="1" borderId="0" fillId="0" fontId="90" numFmtId="0" xfId="0">
      <protection locked="0"/>
    </xf>
    <xf applyBorder="1" applyFill="1" borderId="171" fillId="0" fontId="0" numFmtId="0" xfId="0"/>
    <xf applyBorder="1" applyFill="1" applyFont="1" applyProtection="1" borderId="171" fillId="0" fontId="10" numFmtId="0" xfId="0"/>
    <xf applyAlignment="1" applyFill="1" applyFont="1" borderId="0" fillId="14" fontId="4" numFmtId="0" xfId="0">
      <alignment horizontal="left"/>
    </xf>
    <xf applyBorder="1" applyFill="1" applyFont="1" borderId="171" fillId="0" fontId="35" numFmtId="0" xfId="0"/>
    <xf applyBorder="1" applyFill="1" applyFont="1" applyNumberFormat="1" borderId="171" fillId="0" fontId="4" numFmtId="3" xfId="2"/>
    <xf applyAlignment="1" applyFill="1" applyFont="1" borderId="0" fillId="0" fontId="4" numFmtId="0" xfId="0">
      <alignment horizontal="left" indent="7"/>
    </xf>
    <xf applyBorder="1" applyFill="1" applyFont="1" borderId="171" fillId="0" fontId="75" numFmtId="0" xfId="0"/>
    <xf applyBorder="1" applyFill="1" applyFont="1" applyNumberFormat="1" borderId="171" fillId="0" fontId="35" numFmtId="2" xfId="0"/>
    <xf applyAlignment="1" applyBorder="1" applyFill="1" applyFont="1" borderId="171" fillId="0" fontId="35" numFmtId="0" xfId="0">
      <alignment horizontal="left"/>
    </xf>
    <xf applyBorder="1" applyFill="1" applyFont="1" applyNumberFormat="1" borderId="171" fillId="0" fontId="4" numFmtId="1" quotePrefix="1" xfId="0"/>
    <xf applyAlignment="1" applyBorder="1" applyFill="1" applyFont="1" borderId="0" fillId="0" fontId="57" numFmtId="0" xfId="0">
      <alignment horizontal="left"/>
    </xf>
    <xf applyBorder="1" applyFill="1" applyFont="1" borderId="171" fillId="0" fontId="57" numFmtId="0" xfId="0"/>
    <xf applyBorder="1" applyFill="1" applyFont="1" applyNumberFormat="1" borderId="0" fillId="0" fontId="8" numFmtId="4" xfId="0"/>
    <xf applyAlignment="1" applyFill="1" applyFont="1" applyNumberFormat="1" borderId="0" fillId="0" fontId="4" numFmtId="3" xfId="0">
      <alignment horizontal="right"/>
    </xf>
    <xf applyAlignment="1" applyFill="1" applyFont="1" borderId="0" fillId="0" fontId="4" numFmtId="0" xfId="0">
      <alignment horizontal="right" indent="1"/>
    </xf>
    <xf applyBorder="1" applyFill="1" applyFont="1" applyNumberFormat="1" borderId="171" fillId="0" fontId="57" numFmtId="2" xfId="0"/>
    <xf applyBorder="1" applyFill="1" applyFont="1" applyNumberFormat="1" borderId="0" fillId="0" fontId="113" numFmtId="2" xfId="0"/>
    <xf applyAlignment="1" applyBorder="1" applyFill="1" applyFont="1" applyNumberFormat="1" borderId="171" fillId="0" fontId="4" numFmtId="3" xfId="2"/>
    <xf applyAlignment="1" applyBorder="1" applyFill="1" applyFont="1" applyNumberFormat="1" borderId="171" fillId="0" fontId="8" numFmtId="3" xfId="2"/>
    <xf applyAlignment="1" applyFill="1" applyFont="1" applyNumberFormat="1" borderId="0" fillId="27" fontId="35" numFmtId="1" xfId="0">
      <alignment horizontal="right"/>
    </xf>
    <xf applyAlignment="1" applyFill="1" applyFont="1" applyNumberFormat="1" borderId="0" fillId="0" fontId="4" numFmtId="1" xfId="0">
      <alignment horizontal="left"/>
    </xf>
    <xf applyFill="1" applyFont="1" applyNumberFormat="1" borderId="0" fillId="0" fontId="29" numFmtId="1" xfId="0"/>
    <xf applyAlignment="1" applyFill="1" applyFont="1" applyNumberFormat="1" borderId="0" fillId="0" fontId="35" numFmtId="1" xfId="0">
      <alignment horizontal="left" indent="1"/>
    </xf>
    <xf applyFill="1" applyFont="1" applyNumberFormat="1" borderId="0" fillId="0" fontId="113" numFmtId="1" xfId="0"/>
    <xf applyFill="1" applyFont="1" applyNumberFormat="1" borderId="0" fillId="0" fontId="83" numFmtId="1" xfId="0"/>
    <xf applyBorder="1" applyFill="1" applyFont="1" borderId="170" fillId="0" fontId="4" numFmtId="0" xfId="0"/>
    <xf applyBorder="1" applyFill="1" applyFont="1" applyNumberFormat="1" borderId="172" fillId="0" fontId="4" numFmtId="3" xfId="0"/>
    <xf applyBorder="1" applyFill="1" applyFont="1" borderId="0" fillId="0" fontId="83" numFmtId="0" xfId="0"/>
    <xf applyBorder="1" applyFill="1" applyFont="1" applyNumberFormat="1" borderId="172" fillId="0" fontId="4" numFmtId="4" xfId="0"/>
    <xf applyBorder="1" applyFill="1" applyFont="1" applyNumberFormat="1" borderId="171" fillId="0" fontId="4" numFmtId="3" xfId="1"/>
    <xf applyBorder="1" applyFill="1" applyFont="1" applyNumberFormat="1" borderId="171" fillId="0" fontId="4" numFmtId="175" xfId="2"/>
    <xf applyBorder="1" applyFill="1" applyFont="1" applyNumberFormat="1" borderId="171" fillId="0" fontId="4" numFmtId="173" xfId="0"/>
    <xf applyBorder="1" applyFill="1" applyFont="1" applyNumberFormat="1" borderId="0" fillId="0" fontId="4" numFmtId="4" xfId="0"/>
    <xf applyAlignment="1" applyFill="1" applyFont="1" applyNumberFormat="1" borderId="0" fillId="0" fontId="4" numFmtId="173" xfId="1"/>
    <xf applyAlignment="1" applyBorder="1" applyFill="1" applyFont="1" borderId="170" fillId="0" fontId="5" numFmtId="0" xfId="0"/>
    <xf applyBorder="1" applyFill="1" applyFont="1" applyNumberFormat="1" borderId="0" fillId="0" fontId="8" numFmtId="3" xfId="2"/>
    <xf applyFill="1" applyFont="1" borderId="0" fillId="0" fontId="4" numFmtId="0" xfId="0"/>
    <xf applyAlignment="1" applyBorder="1" applyFill="1" applyFont="1" applyNumberFormat="1" borderId="189" fillId="0" fontId="35" numFmtId="1" xfId="0">
      <alignment horizontal="center"/>
    </xf>
    <xf applyBorder="1" applyFill="1" applyFont="1" applyNumberFormat="1" borderId="189" fillId="0" fontId="4" numFmtId="2" xfId="2"/>
    <xf applyAlignment="1" applyBorder="1" applyFill="1" applyFont="1" borderId="189" fillId="0" fontId="35" numFmtId="0" xfId="0">
      <alignment horizontal="center"/>
    </xf>
    <xf applyBorder="1" applyFill="1" applyFont="1" applyNumberFormat="1" borderId="189" fillId="0" fontId="4" numFmtId="2" xfId="0"/>
    <xf applyAlignment="1" applyBorder="1" applyFill="1" applyFont="1" borderId="189" fillId="0" fontId="57" numFmtId="0" xfId="0">
      <alignment horizontal="left"/>
    </xf>
    <xf applyAlignment="1" applyBorder="1" applyFill="1" applyFont="1" borderId="189" fillId="0" fontId="35" numFmtId="0" xfId="0">
      <alignment horizontal="left"/>
    </xf>
    <xf applyAlignment="1" applyBorder="1" applyFill="1" applyFont="1" borderId="186" fillId="0" fontId="4" numFmtId="0" xfId="0"/>
    <xf applyAlignment="1" applyBorder="1" applyFill="1" applyFont="1" applyNumberFormat="1" borderId="187" fillId="0" fontId="4" numFmtId="178" xfId="0">
      <alignment horizontal="right"/>
    </xf>
    <xf applyBorder="1" applyFill="1" applyFont="1" borderId="189" fillId="0" fontId="35" numFmtId="0" xfId="0"/>
    <xf applyBorder="1" applyFill="1" applyFont="1" applyNumberFormat="1" borderId="191" fillId="0" fontId="4" numFmtId="3" xfId="0"/>
    <xf applyBorder="1" applyFill="1" applyFont="1" applyNumberFormat="1" borderId="191" fillId="0" fontId="89" numFmtId="3" xfId="0"/>
    <xf applyAlignment="1" applyBorder="1" applyFill="1" applyFont="1" borderId="5" fillId="0" fontId="57" numFmtId="0" xfId="0">
      <alignment horizontal="left"/>
    </xf>
    <xf applyBorder="1" applyFill="1" applyFont="1" applyNumberFormat="1" borderId="5" fillId="0" fontId="8" numFmtId="3" xfId="0"/>
    <xf applyAlignment="1" applyBorder="1" applyFill="1" applyFont="1" borderId="192" fillId="0" fontId="57" numFmtId="0" xfId="0">
      <alignment horizontal="left"/>
    </xf>
    <xf applyBorder="1" applyFill="1" applyFont="1" applyNumberFormat="1" borderId="192" fillId="0" fontId="8" numFmtId="3" xfId="0"/>
    <xf applyAlignment="1" applyBorder="1" applyFill="1" applyFont="1" borderId="193" fillId="0" fontId="57" numFmtId="0" xfId="0">
      <alignment horizontal="left"/>
    </xf>
    <xf applyBorder="1" applyFill="1" applyFont="1" applyNumberFormat="1" borderId="193" fillId="0" fontId="8" numFmtId="3" xfId="0"/>
    <xf applyBorder="1" applyFill="1" applyFont="1" borderId="194" fillId="0" fontId="57" numFmtId="0" xfId="0"/>
    <xf applyBorder="1" applyFill="1" applyFont="1" applyNumberFormat="1" borderId="194" fillId="0" fontId="8" numFmtId="3" xfId="0"/>
    <xf applyAlignment="1" applyFill="1" applyFont="1" borderId="0" fillId="0" fontId="4" numFmtId="0" xfId="0">
      <alignment horizontal="right" indent="2"/>
    </xf>
    <xf applyFill="1" applyFont="1" applyNumberFormat="1" borderId="0" fillId="0" fontId="8" numFmtId="3" xfId="0"/>
    <xf applyAlignment="1" applyBorder="1" applyFill="1" applyFont="1" applyNumberFormat="1" applyProtection="1" borderId="18" fillId="32" fontId="40" numFmtId="1" xfId="0">
      <alignment horizontal="center"/>
    </xf>
    <xf applyAlignment="1" applyBorder="1" applyFill="1" applyFont="1" applyNumberFormat="1" applyProtection="1" borderId="0" fillId="32" fontId="4" numFmtId="171" xfId="0">
      <alignment horizontal="left"/>
    </xf>
    <xf applyAlignment="1" applyBorder="1" applyFill="1" applyFont="1" applyProtection="1" borderId="0" fillId="32" fontId="39" numFmtId="0" xfId="0">
      <alignment horizontal="left"/>
    </xf>
    <xf applyBorder="1" applyFill="1" applyFont="1" applyProtection="1" borderId="23" fillId="32" fontId="39" numFmtId="0" xfId="0"/>
    <xf applyBorder="1" applyFill="1" applyFont="1" applyNumberFormat="1" borderId="0" fillId="0" fontId="83" numFmtId="2" xfId="0"/>
    <xf applyFill="1" applyFont="1" borderId="0" fillId="0" fontId="4" numFmtId="0" xfId="0"/>
    <xf applyAlignment="1" applyBorder="1" applyFill="1" applyFont="1" applyProtection="1" borderId="196" fillId="8" fontId="39" numFmtId="0" xfId="0">
      <alignment horizontal="center"/>
    </xf>
    <xf applyAlignment="1" applyBorder="1" applyFill="1" applyFont="1" applyProtection="1" borderId="145" fillId="8" fontId="39" numFmtId="0" xfId="0">
      <alignment horizontal="center"/>
    </xf>
    <xf applyAlignment="1" applyBorder="1" applyFill="1" applyFont="1" applyProtection="1" borderId="153" fillId="8" fontId="39" numFmtId="0" xfId="0">
      <alignment horizontal="center"/>
    </xf>
    <xf applyAlignment="1" applyBorder="1" applyFill="1" applyFont="1" applyProtection="1" borderId="18" fillId="30" fontId="40" numFmtId="0" xfId="0">
      <alignment horizontal="center"/>
    </xf>
    <xf applyBorder="1" applyFill="1" applyFont="1" applyProtection="1" borderId="0" fillId="30" fontId="4" numFmtId="0" xfId="0"/>
    <xf applyAlignment="1" applyBorder="1" applyFill="1" applyFont="1" applyProtection="1" borderId="0" fillId="30" fontId="39" numFmtId="0" xfId="0">
      <alignment horizontal="center"/>
    </xf>
    <xf applyAlignment="1" applyBorder="1" applyFill="1" applyFont="1" applyProtection="1" borderId="23" fillId="30" fontId="39" numFmtId="0" xfId="0">
      <alignment horizontal="center"/>
    </xf>
    <xf applyBorder="1" applyFill="1" applyFont="1" applyProtection="1" borderId="0" fillId="18" fontId="89" numFmtId="0" xfId="0"/>
    <xf applyBorder="1" applyFill="1" applyFont="1" applyProtection="1" borderId="22" fillId="18" fontId="89" numFmtId="0" xfId="0"/>
    <xf applyBorder="1" applyFill="1" applyFont="1" applyProtection="1" borderId="0" fillId="18" fontId="89" numFmtId="0" xfId="0">
      <protection locked="0"/>
    </xf>
    <xf applyAlignment="1" applyBorder="1" applyFill="1" applyFont="1" applyProtection="1" borderId="22" fillId="18" fontId="89" numFmtId="0" xfId="0">
      <alignment horizontal="center"/>
    </xf>
    <xf applyAlignment="1" applyBorder="1" applyFill="1" applyFont="1" applyProtection="1" borderId="18" fillId="18" fontId="4" numFmtId="0" xfId="0">
      <alignment horizontal="center"/>
    </xf>
    <xf applyAlignment="1" applyBorder="1" applyFill="1" applyFont="1" applyProtection="1" borderId="169" fillId="18" fontId="4" numFmtId="0" xfId="0">
      <alignment horizontal="center"/>
    </xf>
    <xf applyAlignment="1" applyBorder="1" applyFill="1" applyFont="1" applyProtection="1" borderId="18" fillId="30" fontId="4" numFmtId="0" xfId="0">
      <alignment horizontal="center"/>
    </xf>
    <xf applyFill="1" applyFont="1" applyProtection="1" borderId="0" fillId="30" fontId="4" numFmtId="0" xfId="0"/>
    <xf applyBorder="1" applyFill="1" applyFont="1" applyProtection="1" borderId="23" fillId="30" fontId="4" numFmtId="0" xfId="0"/>
    <xf applyAlignment="1" applyBorder="1" applyFill="1" applyFont="1" applyProtection="1" borderId="0" fillId="30" fontId="4" numFmtId="0" xfId="0">
      <alignment horizontal="left"/>
    </xf>
    <xf applyAlignment="1" applyBorder="1" applyFill="1" applyFont="1" applyNumberFormat="1" applyProtection="1" borderId="18" fillId="30" fontId="40" numFmtId="171" quotePrefix="1" xfId="0">
      <alignment horizontal="center"/>
    </xf>
    <xf applyAlignment="1" applyBorder="1" applyFill="1" applyFont="1" applyProtection="1" borderId="18" fillId="30" fontId="8" numFmtId="0" xfId="0">
      <alignment horizontal="center"/>
    </xf>
    <xf applyAlignment="1" applyBorder="1" applyFill="1" applyFont="1" borderId="2" fillId="0" fontId="159" numFmtId="0" xfId="0">
      <alignment horizontal="center"/>
    </xf>
    <xf applyAlignment="1" applyBorder="1" applyFill="1" applyFont="1" borderId="3" fillId="0" fontId="115" numFmtId="0" xfId="0">
      <alignment horizontal="center"/>
    </xf>
    <xf applyAlignment="1" applyFill="1" applyFont="1" borderId="0" fillId="0" fontId="115" numFmtId="0" xfId="0">
      <alignment horizontal="center"/>
    </xf>
    <xf applyAlignment="1" applyBorder="1" applyFill="1" applyFont="1" borderId="11" fillId="0" fontId="115" numFmtId="0" xfId="0">
      <alignment horizontal="center"/>
    </xf>
    <xf applyAlignment="1" applyBorder="1" applyFill="1" applyFont="1" borderId="146" fillId="0" fontId="61" numFmtId="0" xfId="0">
      <alignment horizontal="center"/>
    </xf>
    <xf applyAlignment="1" applyBorder="1" applyFill="1" applyFont="1" borderId="143" fillId="0" fontId="5" numFmtId="0" xfId="0">
      <alignment horizontal="center"/>
    </xf>
    <xf applyBorder="1" applyFill="1" applyFont="1" borderId="159" fillId="0" fontId="5" numFmtId="0" xfId="0"/>
    <xf applyAlignment="1" applyBorder="1" applyFill="1" applyFont="1" applyNumberFormat="1" borderId="0" fillId="0" fontId="5" numFmtId="1" xfId="0">
      <alignment horizontal="center"/>
    </xf>
    <xf applyAlignment="1" applyBorder="1" applyFill="1" applyFont="1" borderId="168" fillId="0" fontId="61" numFmtId="0" xfId="0">
      <alignment horizontal="center"/>
    </xf>
    <xf applyBorder="1" applyFill="1" applyFont="1" borderId="4" fillId="0" fontId="115" numFmtId="0" xfId="0"/>
    <xf applyAlignment="1" applyBorder="1" applyFill="1" applyFont="1" applyNumberFormat="1" borderId="3" fillId="0" fontId="115" numFmtId="3" xfId="0">
      <alignment horizontal="center"/>
    </xf>
    <xf applyAlignment="1" applyBorder="1" applyFill="1" applyFont="1" borderId="198" fillId="0" fontId="5" numFmtId="0" xfId="0">
      <alignment vertical="top" wrapText="1"/>
    </xf>
    <xf applyBorder="1" applyFill="1" applyFont="1" applyNumberFormat="1" applyProtection="1" borderId="199" fillId="0" fontId="4" numFmtId="3" xfId="0">
      <protection locked="0"/>
    </xf>
    <xf applyAlignment="1" applyBorder="1" applyFill="1" applyFont="1" applyNumberFormat="1" applyProtection="1" borderId="199" fillId="0" fontId="4" numFmtId="3" xfId="2">
      <alignment horizontal="right"/>
      <protection locked="0"/>
    </xf>
    <xf applyBorder="1" applyFill="1" applyFont="1" applyNumberFormat="1" applyProtection="1" borderId="199" fillId="0" fontId="4" numFmtId="2" xfId="0">
      <protection locked="0"/>
    </xf>
    <xf applyBorder="1" applyFill="1" applyFont="1" borderId="167" fillId="0" fontId="8" numFmtId="0" xfId="0"/>
    <xf applyBorder="1" applyFill="1" applyFont="1" borderId="167" fillId="0" fontId="4" numFmtId="0" xfId="0"/>
    <xf applyBorder="1" applyFill="1" applyFont="1" borderId="171" fillId="0" fontId="8" numFmtId="0" xfId="0"/>
    <xf applyAlignment="1" applyBorder="1" borderId="163" fillId="0" fontId="0" numFmtId="0" xfId="0">
      <alignment wrapText="1"/>
    </xf>
    <xf applyAlignment="1" applyBorder="1" applyFont="1" borderId="200" fillId="0" fontId="97" numFmtId="0" xfId="0">
      <alignment horizontal="center"/>
    </xf>
    <xf applyAlignment="1" applyBorder="1" applyFill="1" applyFont="1" applyNumberFormat="1" applyProtection="1" borderId="77" fillId="0" fontId="8" numFmtId="4" xfId="0">
      <alignment horizontal="right"/>
      <protection locked="0"/>
    </xf>
    <xf applyBorder="1" applyFill="1" applyFont="1" applyNumberFormat="1" applyProtection="1" borderId="48" fillId="0" fontId="8" numFmtId="4" xfId="0">
      <protection locked="0"/>
    </xf>
    <xf applyAlignment="1" applyBorder="1" applyFill="1" applyFont="1" borderId="171" fillId="0" fontId="5" numFmtId="0" xfId="0">
      <alignment wrapText="1"/>
    </xf>
    <xf applyAlignment="1" applyBorder="1" applyFill="1" applyFont="1" borderId="102" fillId="0" fontId="5" numFmtId="0" xfId="0">
      <alignment vertical="top" wrapText="1"/>
    </xf>
    <xf applyFill="1" applyFont="1" borderId="0" fillId="0" fontId="4" numFmtId="0" xfId="0"/>
    <xf applyBorder="1" applyFill="1" applyFont="1" borderId="153" fillId="4" fontId="4" numFmtId="0" xfId="0"/>
    <xf applyAlignment="1" applyBorder="1" applyFill="1" applyFont="1" borderId="18" fillId="33" fontId="8" numFmtId="0" quotePrefix="1" xfId="0">
      <alignment horizontal="center"/>
    </xf>
    <xf applyAlignment="1" applyBorder="1" applyFill="1" applyFont="1" borderId="0" fillId="33" fontId="4" numFmtId="0" quotePrefix="1" xfId="0">
      <alignment horizontal="right"/>
    </xf>
    <xf applyBorder="1" applyFill="1" applyFont="1" borderId="23" fillId="33" fontId="4" numFmtId="0" xfId="0"/>
    <xf applyBorder="1" applyFill="1" applyFont="1" applyProtection="1" borderId="0" fillId="33" fontId="4" numFmtId="0" xfId="0"/>
    <xf applyAlignment="1" applyBorder="1" applyFill="1" applyFont="1" borderId="0" fillId="33" fontId="4" numFmtId="0" quotePrefix="1" xfId="0"/>
    <xf applyBorder="1" applyFill="1" applyFont="1" borderId="140" fillId="0" fontId="73" numFmtId="0" xfId="0"/>
    <xf applyAlignment="1" applyBorder="1" applyFill="1" applyFont="1" applyNumberFormat="1" applyProtection="1" borderId="139" fillId="0" fontId="130" numFmtId="49" xfId="0">
      <alignment horizontal="center"/>
    </xf>
    <xf applyAlignment="1" applyBorder="1" applyFill="1" applyFont="1" applyNumberFormat="1" applyProtection="1" borderId="106" fillId="0" fontId="89" numFmtId="4" xfId="0">
      <alignment horizontal="center"/>
    </xf>
    <xf applyBorder="1" applyFill="1" applyFont="1" applyProtection="1" borderId="201" fillId="33" fontId="39" numFmtId="0" xfId="0"/>
    <xf applyBorder="1" applyFill="1" applyFont="1" applyProtection="1" borderId="19" fillId="33" fontId="7" numFmtId="0" xfId="0"/>
    <xf applyBorder="1" applyFill="1" applyFont="1" applyProtection="1" borderId="20" fillId="33" fontId="39" numFmtId="0" xfId="0"/>
    <xf applyBorder="1" applyFill="1" applyFont="1" applyProtection="1" borderId="202" fillId="4" fontId="7" numFmtId="0" xfId="0"/>
    <xf applyBorder="1" applyFill="1" applyFont="1" applyProtection="1" borderId="203" fillId="4" fontId="4" numFmtId="0" xfId="0"/>
    <xf applyAlignment="1" applyBorder="1" applyFill="1" applyFont="1" applyProtection="1" borderId="204" fillId="4" fontId="55" numFmtId="0" xfId="0">
      <alignment horizontal="right"/>
    </xf>
    <xf applyAlignment="1" applyBorder="1" applyFill="1" applyFont="1" applyProtection="1" borderId="0" fillId="16" fontId="55" numFmtId="0" xfId="0">
      <alignment horizontal="right"/>
    </xf>
    <xf applyBorder="1" applyFill="1" applyFont="1" applyProtection="1" borderId="202" fillId="4" fontId="47" numFmtId="0" xfId="0"/>
    <xf applyBorder="1" applyFill="1" applyFont="1" applyProtection="1" borderId="0" fillId="4" fontId="8" numFmtId="0" xfId="0"/>
    <xf applyBorder="1" applyFill="1" applyFont="1" applyNumberFormat="1" applyProtection="1" borderId="0" fillId="4" fontId="4" numFmtId="3" xfId="0"/>
    <xf applyAlignment="1" applyBorder="1" applyFill="1" applyFont="1" applyProtection="1" borderId="205" fillId="0" fontId="8" numFmtId="0" xfId="0">
      <alignment horizontal="center"/>
    </xf>
    <xf applyBorder="1" applyFill="1" applyFont="1" applyProtection="1" borderId="23" fillId="18" fontId="4" numFmtId="0" xfId="0"/>
    <xf applyAlignment="1" applyBorder="1" applyFill="1" applyFont="1" applyProtection="1" borderId="0" fillId="4" fontId="4" numFmtId="169" xfId="2">
      <alignment horizontal="right"/>
    </xf>
    <xf applyAlignment="1" applyBorder="1" applyFill="1" applyFont="1" applyProtection="1" borderId="22" fillId="4" fontId="4" numFmtId="169" xfId="2">
      <alignment horizontal="right"/>
    </xf>
    <xf applyBorder="1" applyFill="1" applyFont="1" applyNumberFormat="1" applyProtection="1" borderId="205" fillId="0" fontId="4" numFmtId="3" xfId="0">
      <protection locked="0"/>
    </xf>
    <xf applyBorder="1" applyFill="1" applyFont="1" applyNumberFormat="1" applyProtection="1" borderId="205" fillId="0" fontId="4" numFmtId="3" xfId="2">
      <protection locked="0"/>
    </xf>
    <xf applyAlignment="1" applyBorder="1" applyFill="1" applyFont="1" applyProtection="1" borderId="0" fillId="18" fontId="4" numFmtId="169" xfId="2">
      <alignment horizontal="right"/>
    </xf>
    <xf applyBorder="1" applyFill="1" applyFont="1" applyProtection="1" borderId="196" fillId="4" fontId="4" numFmtId="0" xfId="0"/>
    <xf applyBorder="1" applyFill="1" applyFont="1" applyProtection="1" borderId="145" fillId="4" fontId="8" numFmtId="0" xfId="0"/>
    <xf applyFill="1" applyFont="1" borderId="0" fillId="0" fontId="4" numFmtId="0" xfId="0"/>
    <xf applyFill="1" applyFont="1" borderId="0" fillId="0" fontId="4" numFmtId="0" xfId="0"/>
    <xf applyAlignment="1" applyBorder="1" applyFill="1" applyFont="1" borderId="0" fillId="0" fontId="4" numFmtId="0" xfId="0">
      <alignment horizontal="right"/>
    </xf>
    <xf applyAlignment="1" applyBorder="1" applyFill="1" applyFont="1" applyNumberFormat="1" borderId="198" fillId="0" fontId="35" numFmtId="1" xfId="0">
      <alignment horizontal="center"/>
    </xf>
    <xf applyBorder="1" applyFill="1" applyFont="1" applyNumberFormat="1" borderId="198" fillId="0" fontId="4" numFmtId="1" xfId="2"/>
    <xf applyBorder="1" applyFill="1" applyFont="1" applyNumberFormat="1" borderId="198" fillId="0" fontId="4" numFmtId="1" xfId="0"/>
    <xf applyAlignment="1" applyBorder="1" applyFill="1" applyFont="1" borderId="198" fillId="0" fontId="35" numFmtId="0" xfId="0">
      <alignment horizontal="center"/>
    </xf>
    <xf applyBorder="1" applyFill="1" applyFont="1" applyNumberFormat="1" borderId="198" fillId="0" fontId="4" numFmtId="1" quotePrefix="1" xfId="0"/>
    <xf applyBorder="1" applyFill="1" applyFont="1" applyNumberFormat="1" borderId="198" fillId="0" fontId="4" numFmtId="4" xfId="0"/>
    <xf applyAlignment="1" applyBorder="1" applyFill="1" applyFont="1" borderId="0" fillId="0" fontId="112" numFmtId="0" xfId="0">
      <alignment horizontal="left"/>
    </xf>
    <xf applyFill="1" applyFont="1" applyNumberFormat="1" borderId="0" fillId="0" fontId="112" numFmtId="3" xfId="0"/>
    <xf applyFill="1" applyFont="1" applyNumberFormat="1" borderId="0" fillId="0" fontId="112" numFmtId="4" xfId="0"/>
    <xf applyAlignment="1" applyBorder="1" applyFill="1" applyFont="1" borderId="0" fillId="0" fontId="4" numFmtId="0" xfId="0"/>
    <xf applyFill="1" applyFont="1" borderId="0" fillId="0" fontId="4" numFmtId="0" xfId="0"/>
    <xf applyAlignment="1" applyFill="1" applyFont="1" borderId="0" fillId="0" fontId="8" numFmtId="0" xfId="0">
      <alignment horizontal="left"/>
    </xf>
    <xf applyBorder="1" applyFill="1" applyFont="1" borderId="207" fillId="0" fontId="4" numFmtId="0" xfId="0"/>
    <xf applyAlignment="1" applyBorder="1" applyFill="1" applyFont="1" applyNumberFormat="1" borderId="0" fillId="0" fontId="113" numFmtId="2" xfId="0">
      <alignment horizontal="left"/>
    </xf>
    <xf applyAlignment="1" applyFill="1" applyFont="1" borderId="0" fillId="0" fontId="64" numFmtId="0" xfId="0"/>
    <xf applyBorder="1" applyFill="1" applyFont="1" applyNumberFormat="1" borderId="0" fillId="0" fontId="4" numFmtId="2" xfId="2"/>
    <xf applyFill="1" applyFont="1" borderId="0" fillId="0" fontId="139" numFmtId="0" xfId="0"/>
    <xf applyBorder="1" applyFill="1" applyFont="1" applyNumberFormat="1" borderId="112" fillId="0" fontId="4" numFmtId="1" xfId="0"/>
    <xf applyAlignment="1" applyBorder="1" applyFill="1" applyFont="1" borderId="0" fillId="0" fontId="29" numFmtId="0" xfId="0">
      <alignment horizontal="left"/>
    </xf>
    <xf applyAlignment="1" applyBorder="1" applyFill="1" applyFont="1" applyNumberFormat="1" borderId="0" fillId="0" fontId="29" numFmtId="1" xfId="0"/>
    <xf applyAlignment="1" borderId="0" fillId="0" fontId="0" numFmtId="0" xfId="0">
      <alignment wrapText="1"/>
    </xf>
    <xf applyBorder="1" applyFill="1" applyFont="1" applyProtection="1" borderId="198" fillId="29" fontId="8" numFmtId="170" xfId="1">
      <protection locked="0"/>
    </xf>
    <xf applyBorder="1" applyFill="1" applyFont="1" applyProtection="1" borderId="198" fillId="0" fontId="8" numFmtId="170" xfId="1">
      <protection locked="0"/>
    </xf>
    <xf applyAlignment="1" applyFont="1" borderId="0" fillId="0" fontId="7" numFmtId="0" xfId="0">
      <alignment horizontal="left" vertical="top"/>
    </xf>
    <xf applyAlignment="1" applyBorder="1" applyFont="1" borderId="198" fillId="0" fontId="1" numFmtId="0" xfId="0">
      <alignment horizontal="left" vertical="top" wrapText="1"/>
    </xf>
    <xf applyAlignment="1" applyBorder="1" applyFont="1" borderId="198" fillId="0" fontId="166" numFmtId="0" xfId="0">
      <alignment vertical="top"/>
    </xf>
    <xf applyAlignment="1" applyBorder="1" applyFill="1" applyFont="1" borderId="198" fillId="27" fontId="165" numFmtId="0" xfId="0">
      <alignment vertical="center" wrapText="1"/>
    </xf>
    <xf applyAlignment="1" applyBorder="1" applyFill="1" applyFont="1" borderId="198" fillId="16" fontId="165" numFmtId="0" xfId="0">
      <alignment vertical="center" wrapText="1"/>
    </xf>
    <xf applyBorder="1" applyFill="1" applyFont="1" applyNumberFormat="1" borderId="198" fillId="0" fontId="4" numFmtId="3" xfId="0"/>
    <xf applyAlignment="1" applyBorder="1" applyFill="1" applyFont="1" borderId="0" fillId="0" fontId="8" numFmtId="0" xfId="0">
      <alignment horizontal="left"/>
    </xf>
    <xf applyFill="1" applyFont="1" borderId="0" fillId="0" fontId="4" numFmtId="0" xfId="0"/>
    <xf applyBorder="1" applyFill="1" applyFont="1" borderId="0" fillId="27" fontId="4" numFmtId="0" xfId="0"/>
    <xf applyAlignment="1" applyFill="1" applyFont="1" borderId="0" fillId="27" fontId="4" numFmtId="0" xfId="0">
      <alignment horizontal="right"/>
    </xf>
    <xf applyAlignment="1" applyFill="1" applyFont="1" applyNumberFormat="1" borderId="0" fillId="27" fontId="35" numFmtId="1" xfId="0">
      <alignment horizontal="left"/>
    </xf>
    <xf applyBorder="1" applyFill="1" applyFont="1" borderId="9" fillId="27" fontId="4" numFmtId="0" xfId="0"/>
    <xf applyBorder="1" applyFill="1" applyFont="1" borderId="11" fillId="27" fontId="4" numFmtId="0" xfId="0"/>
    <xf applyBorder="1" applyFill="1" applyFont="1" borderId="112" fillId="27" fontId="4" numFmtId="0" xfId="0"/>
    <xf applyAlignment="1" applyBorder="1" applyFill="1" applyFont="1" borderId="0" fillId="0" fontId="4" numFmtId="0" xfId="0">
      <alignment horizontal="right"/>
    </xf>
    <xf applyFill="1" applyFont="1" borderId="0" fillId="0" fontId="4" numFmtId="0" xfId="0"/>
    <xf applyAlignment="1" applyBorder="1" applyFill="1" applyFont="1" borderId="209" fillId="0" fontId="8" numFmtId="0" xfId="0">
      <alignment horizontal="left"/>
    </xf>
    <xf applyBorder="1" applyFill="1" applyFont="1" borderId="209" fillId="0" fontId="4" numFmtId="0" xfId="0"/>
    <xf applyBorder="1" applyFill="1" applyFont="1" borderId="210" fillId="0" fontId="4" numFmtId="0" xfId="0"/>
    <xf applyAlignment="1" applyBorder="1" applyFill="1" applyFont="1" borderId="212" fillId="0" fontId="8" numFmtId="0" xfId="0">
      <alignment horizontal="left"/>
    </xf>
    <xf applyBorder="1" applyFill="1" applyFont="1" borderId="212" fillId="0" fontId="4" numFmtId="0" xfId="0"/>
    <xf applyBorder="1" applyFill="1" applyFont="1" borderId="213" fillId="0" fontId="4" numFmtId="0" xfId="0"/>
    <xf applyAlignment="1" applyBorder="1" applyFont="1" borderId="208" fillId="0" fontId="167" numFmtId="0" xfId="0">
      <alignment vertical="center"/>
    </xf>
    <xf applyBorder="1" applyFont="1" borderId="65" fillId="0" fontId="167" numFmtId="0" xfId="0"/>
    <xf applyAlignment="1" applyBorder="1" applyFill="1" applyFont="1" borderId="65" fillId="0" fontId="168" numFmtId="0" xfId="0">
      <alignment horizontal="left"/>
    </xf>
    <xf applyAlignment="1" applyBorder="1" applyFont="1" borderId="65" fillId="0" fontId="167" numFmtId="0" xfId="0">
      <alignment vertical="center"/>
    </xf>
    <xf applyBorder="1" applyFont="1" borderId="211" fillId="0" fontId="167" numFmtId="0" xfId="0"/>
    <xf applyFill="1" applyFont="1" borderId="0" fillId="0" fontId="4" numFmtId="0" xfId="0"/>
    <xf applyAlignment="1" applyBorder="1" applyFill="1" applyFont="1" borderId="0" fillId="0" fontId="84" numFmtId="0" xfId="0">
      <alignment horizontal="left"/>
    </xf>
    <xf applyBorder="1" applyFill="1" applyFont="1" borderId="0" fillId="0" fontId="112" numFmtId="0" quotePrefix="1" xfId="0"/>
    <xf applyFill="1" applyFont="1" borderId="0" fillId="0" fontId="4" numFmtId="0" xfId="0"/>
    <xf applyAlignment="1" applyBorder="1" applyFill="1" applyFont="1" borderId="198" fillId="0" fontId="4" numFmtId="0" xfId="0">
      <alignment horizontal="center"/>
    </xf>
    <xf applyAlignment="1" applyBorder="1" applyFill="1" applyFont="1" borderId="197" fillId="0" fontId="4" numFmtId="0" xfId="0">
      <alignment horizontal="center"/>
    </xf>
    <xf applyAlignment="1" applyBorder="1" applyFill="1" applyFont="1" borderId="182" fillId="0" fontId="4" numFmtId="0" xfId="0">
      <alignment horizontal="center"/>
    </xf>
    <xf applyBorder="1" applyFill="1" applyFont="1" applyProtection="1" borderId="197" fillId="0" fontId="8" numFmtId="170" xfId="1">
      <protection locked="0"/>
    </xf>
    <xf applyBorder="1" applyFont="1" applyNumberFormat="1" applyProtection="1" borderId="198" fillId="0" fontId="8" numFmtId="1" xfId="0">
      <protection locked="0"/>
    </xf>
    <xf applyBorder="1" applyFont="1" applyNumberFormat="1" applyProtection="1" borderId="197" fillId="0" fontId="8" numFmtId="1" xfId="0">
      <protection locked="0"/>
    </xf>
    <xf applyBorder="1" applyFill="1" applyFont="1" applyProtection="1" borderId="197" fillId="29" fontId="8" numFmtId="170" xfId="1">
      <protection locked="0"/>
    </xf>
    <xf applyBorder="1" applyFont="1" applyProtection="1" borderId="197" fillId="0" fontId="8" numFmtId="170" xfId="1">
      <protection locked="0"/>
    </xf>
    <xf applyBorder="1" applyFont="1" applyProtection="1" borderId="198" fillId="0" fontId="8" numFmtId="170" xfId="1">
      <protection locked="0"/>
    </xf>
    <xf applyBorder="1" applyFont="1" applyProtection="1" borderId="181" fillId="0" fontId="4" numFmtId="170" xfId="1">
      <protection locked="0"/>
    </xf>
    <xf applyBorder="1" applyFont="1" applyProtection="1" borderId="182" fillId="0" fontId="4" numFmtId="170" xfId="1">
      <protection locked="0"/>
    </xf>
    <xf applyBorder="1" applyFill="1" applyFont="1" applyProtection="1" borderId="182" fillId="0" fontId="4" numFmtId="170" xfId="1">
      <protection locked="0"/>
    </xf>
    <xf applyBorder="1" applyFill="1" applyFont="1" applyProtection="1" borderId="181" fillId="0" fontId="4" numFmtId="170" xfId="1">
      <protection locked="0"/>
    </xf>
    <xf applyBorder="1" applyFont="1" applyNumberFormat="1" applyProtection="1" borderId="182" fillId="0" fontId="8" numFmtId="1" xfId="0">
      <protection locked="0"/>
    </xf>
    <xf applyBorder="1" applyFill="1" applyFont="1" applyNumberFormat="1" borderId="198" fillId="10" fontId="8" numFmtId="2" xfId="0"/>
    <xf applyBorder="1" applyFill="1" applyFont="1" borderId="198" fillId="10" fontId="8" numFmtId="170" xfId="1"/>
    <xf applyBorder="1" applyFill="1" applyFont="1" borderId="198" fillId="0" fontId="8" numFmtId="170" xfId="1"/>
    <xf applyBorder="1" applyFill="1" applyFont="1" applyNumberFormat="1" borderId="198" fillId="10" fontId="8" numFmtId="170" xfId="1"/>
    <xf applyBorder="1" applyFill="1" applyFont="1" applyNumberFormat="1" borderId="197" fillId="10" fontId="8" numFmtId="2" xfId="0"/>
    <xf applyBorder="1" applyFont="1" applyNumberFormat="1" applyProtection="1" borderId="198" fillId="0" fontId="8" numFmtId="2" xfId="0">
      <protection locked="0"/>
    </xf>
    <xf applyBorder="1" applyFont="1" applyProtection="1" borderId="198" fillId="0" fontId="8" numFmtId="0" xfId="0">
      <protection locked="0"/>
    </xf>
    <xf applyBorder="1" applyFont="1" applyProtection="1" borderId="197" fillId="0" fontId="8" numFmtId="0" xfId="0">
      <protection locked="0"/>
    </xf>
    <xf applyBorder="1" applyFill="1" applyFont="1" applyNumberFormat="1" borderId="198" fillId="17" fontId="8" numFmtId="2" xfId="0"/>
    <xf applyBorder="1" applyFont="1" applyNumberFormat="1" applyProtection="1" borderId="198" fillId="0" fontId="8" numFmtId="170" xfId="1">
      <protection locked="0"/>
    </xf>
    <xf applyBorder="1" applyFont="1" applyNumberFormat="1" applyProtection="1" borderId="197" fillId="0" fontId="8" numFmtId="170" xfId="1">
      <protection locked="0"/>
    </xf>
    <xf applyAlignment="1" applyBorder="1" applyFont="1" applyProtection="1" borderId="182" fillId="0" fontId="4" numFmtId="0" xfId="0">
      <alignment horizontal="center" wrapText="1"/>
      <protection locked="0"/>
    </xf>
    <xf applyAlignment="1" applyBorder="1" applyFont="1" applyNumberFormat="1" applyProtection="1" borderId="182" fillId="0" fontId="4" numFmtId="170" xfId="1">
      <alignment horizontal="center" wrapText="1"/>
      <protection locked="0"/>
    </xf>
    <xf applyAlignment="1" applyBorder="1" applyFont="1" applyNumberFormat="1" applyProtection="1" borderId="181" fillId="0" fontId="4" numFmtId="170" xfId="1">
      <alignment horizontal="center" wrapText="1"/>
      <protection locked="0"/>
    </xf>
    <xf applyBorder="1" applyFont="1" applyNumberFormat="1" applyProtection="1" borderId="182" fillId="0" fontId="8" numFmtId="2" xfId="0">
      <protection locked="0"/>
    </xf>
    <xf applyBorder="1" applyFill="1" applyFont="1" applyProtection="1" borderId="182" fillId="0" fontId="8" numFmtId="170" xfId="1">
      <protection locked="0"/>
    </xf>
    <xf applyAlignment="1" applyBorder="1" applyFont="1" applyProtection="1" borderId="198" fillId="0" fontId="8" numFmtId="0" xfId="0">
      <alignment horizontal="center"/>
      <protection locked="0"/>
    </xf>
    <xf applyBorder="1" applyFont="1" applyProtection="1" borderId="198" fillId="0" fontId="4" numFmtId="0" xfId="0">
      <protection locked="0"/>
    </xf>
    <xf applyAlignment="1" applyBorder="1" applyFont="1" applyProtection="1" borderId="198" fillId="0" fontId="4" numFmtId="0" xfId="0">
      <alignment horizontal="center"/>
      <protection locked="0"/>
    </xf>
    <xf applyAlignment="1" applyBorder="1" applyFont="1" applyProtection="1" borderId="182" fillId="0" fontId="4" numFmtId="0" xfId="0">
      <alignment horizontal="center"/>
      <protection locked="0"/>
    </xf>
    <xf applyBorder="1" applyFont="1" applyProtection="1" borderId="182" fillId="0" fontId="4" numFmtId="0" xfId="0">
      <protection locked="0"/>
    </xf>
    <xf applyBorder="1" applyFont="1" applyProtection="1" borderId="181" fillId="0" fontId="4" numFmtId="0" xfId="0">
      <protection locked="0"/>
    </xf>
    <xf applyFont="1" applyNumberFormat="1" borderId="0" fillId="0" fontId="4" numFmtId="2" xfId="0"/>
    <xf applyAlignment="1" applyBorder="1" applyFont="1" applyProtection="1" borderId="197" fillId="0" fontId="8" numFmtId="0" xfId="0">
      <alignment horizontal="center"/>
      <protection locked="0"/>
    </xf>
    <xf applyAlignment="1" applyBorder="1" applyFill="1" applyFont="1" applyProtection="1" borderId="198" fillId="0" fontId="8" numFmtId="0" quotePrefix="1" xfId="0">
      <alignment horizontal="center"/>
      <protection locked="0"/>
    </xf>
    <xf applyAlignment="1" applyBorder="1" applyFill="1" applyFont="1" borderId="198" fillId="0" fontId="8" numFmtId="0" quotePrefix="1" xfId="0">
      <alignment horizontal="center"/>
    </xf>
    <xf applyAlignment="1" applyBorder="1" applyFill="1" applyFont="1" applyProtection="1" borderId="197" fillId="0" fontId="8" numFmtId="0" quotePrefix="1" xfId="0">
      <alignment horizontal="center"/>
      <protection locked="0"/>
    </xf>
    <xf applyBorder="1" applyFill="1" applyFont="1" applyNumberFormat="1" applyProtection="1" borderId="198" fillId="17" fontId="8" numFmtId="4" xfId="0">
      <protection locked="0"/>
    </xf>
    <xf applyBorder="1" applyFont="1" applyNumberFormat="1" borderId="198" fillId="0" fontId="8" numFmtId="4" xfId="0"/>
    <xf applyBorder="1" applyFont="1" applyNumberFormat="1" borderId="197" fillId="0" fontId="8" numFmtId="4" xfId="0"/>
    <xf applyBorder="1" applyFont="1" borderId="182" fillId="0" fontId="4" numFmtId="0" xfId="0"/>
    <xf applyBorder="1" applyFont="1" borderId="181" fillId="0" fontId="4" numFmtId="0" xfId="0"/>
    <xf applyBorder="1" applyFont="1" applyNumberFormat="1" applyProtection="1" borderId="182" fillId="0" fontId="4" numFmtId="14" xfId="0">
      <protection locked="0"/>
    </xf>
    <xf applyAlignment="1" applyBorder="1" applyFill="1" applyFont="1" applyProtection="1" borderId="198" fillId="0" fontId="8" numFmtId="0" xfId="0">
      <alignment horizontal="center"/>
      <protection locked="0"/>
    </xf>
    <xf applyAlignment="1" applyBorder="1" applyFill="1" applyFont="1" applyProtection="1" borderId="198" fillId="0" fontId="4" numFmtId="0" xfId="0">
      <alignment horizontal="center"/>
      <protection locked="0"/>
    </xf>
    <xf applyAlignment="1" applyBorder="1" applyFill="1" applyFont="1" applyNumberFormat="1" applyProtection="1" borderId="198" fillId="29" fontId="4" numFmtId="14" xfId="0">
      <alignment horizontal="center"/>
      <protection locked="0"/>
    </xf>
    <xf applyAlignment="1" applyBorder="1" applyFill="1" applyFont="1" applyProtection="1" borderId="182" fillId="0" fontId="8" numFmtId="0" xfId="0">
      <alignment horizontal="center"/>
      <protection locked="0"/>
    </xf>
    <xf applyBorder="1" applyFill="1" applyFont="1" applyProtection="1" borderId="214" fillId="14" fontId="4" numFmtId="0" xfId="0">
      <protection locked="0"/>
    </xf>
    <xf applyBorder="1" applyFill="1" applyFont="1" applyProtection="1" borderId="198" fillId="0" fontId="4" numFmtId="0" xfId="0">
      <protection locked="0"/>
    </xf>
    <xf applyBorder="1" applyFill="1" applyFont="1" applyProtection="1" borderId="198" fillId="14" fontId="4" numFmtId="0" xfId="0">
      <protection locked="0"/>
    </xf>
    <xf applyBorder="1" applyFill="1" applyFont="1" borderId="198" fillId="0" fontId="4" numFmtId="0" xfId="0"/>
    <xf applyAlignment="1" applyBorder="1" applyFill="1" applyFont="1" applyNumberFormat="1" applyProtection="1" borderId="190" fillId="10" fontId="4" numFmtId="2" xfId="0">
      <alignment horizontal="center"/>
    </xf>
    <xf applyBorder="1" applyFill="1" applyFont="1" borderId="198" fillId="0" fontId="73" numFmtId="0" xfId="0"/>
    <xf applyBorder="1" applyFill="1" applyFont="1" borderId="182" fillId="0" fontId="73" numFmtId="0" xfId="0"/>
    <xf applyAlignment="1" applyBorder="1" applyFill="1" applyFont="1" applyNumberFormat="1" applyProtection="1" borderId="190" fillId="0" fontId="4" numFmtId="2" xfId="0">
      <alignment horizontal="center"/>
    </xf>
    <xf applyBorder="1" applyFill="1" applyFont="1" borderId="132" fillId="0" fontId="97" numFmtId="0" xfId="0"/>
    <xf applyAlignment="1" applyBorder="1" applyFill="1" applyFont="1" borderId="198" fillId="10" fontId="4" numFmtId="0" xfId="0">
      <alignment horizontal="center"/>
    </xf>
    <xf applyBorder="1" applyFill="1" applyFont="1" applyProtection="1" borderId="198" fillId="10" fontId="4" numFmtId="170" xfId="1">
      <protection locked="0"/>
    </xf>
    <xf applyBorder="1" applyFill="1" applyFont="1" applyNumberFormat="1" applyProtection="1" borderId="198" fillId="0" fontId="4" numFmtId="2" xfId="0">
      <protection locked="0"/>
    </xf>
    <xf applyBorder="1" applyFill="1" applyFont="1" applyNumberFormat="1" applyProtection="1" borderId="198" fillId="10" fontId="4" numFmtId="2" xfId="0">
      <protection locked="0"/>
    </xf>
    <xf applyBorder="1" applyFill="1" applyFont="1" applyNumberFormat="1" applyProtection="1" borderId="197" fillId="10" fontId="4" numFmtId="2" xfId="0">
      <protection locked="0"/>
    </xf>
    <xf applyBorder="1" applyFill="1" applyFont="1" applyProtection="1" borderId="198" fillId="10" fontId="8" numFmtId="170" xfId="1"/>
    <xf applyBorder="1" applyFill="1" applyFont="1" applyNumberFormat="1" applyProtection="1" borderId="198" fillId="0" fontId="8" numFmtId="2" xfId="0"/>
    <xf applyBorder="1" applyFill="1" applyFont="1" applyNumberFormat="1" applyProtection="1" borderId="198" fillId="10" fontId="8" numFmtId="2" xfId="0"/>
    <xf applyBorder="1" applyFill="1" applyFont="1" applyNumberFormat="1" applyProtection="1" borderId="197" fillId="10" fontId="8" numFmtId="2" xfId="0"/>
    <xf applyBorder="1" applyFill="1" applyFont="1" applyProtection="1" borderId="182" fillId="0" fontId="8" numFmtId="170" xfId="1"/>
    <xf applyBorder="1" applyFill="1" applyFont="1" applyNumberFormat="1" applyProtection="1" borderId="181" fillId="0" fontId="8" numFmtId="2" xfId="0"/>
    <xf applyBorder="1" applyFont="1" applyNumberFormat="1" borderId="0" fillId="0" fontId="4" numFmtId="2" xfId="0"/>
    <xf applyBorder="1" applyFont="1" applyNumberFormat="1" applyProtection="1" borderId="197" fillId="0" fontId="8" numFmtId="2" xfId="0">
      <protection locked="0"/>
    </xf>
    <xf applyBorder="1" applyFont="1" applyNumberFormat="1" applyProtection="1" borderId="181" fillId="0" fontId="8" numFmtId="2" xfId="0">
      <protection locked="0"/>
    </xf>
    <xf applyBorder="1" applyFont="1" applyNumberFormat="1" applyProtection="1" borderId="214" fillId="0" fontId="8" numFmtId="2" xfId="0">
      <protection locked="0"/>
    </xf>
    <xf applyBorder="1" applyFont="1" applyProtection="1" borderId="214" fillId="0" fontId="8" numFmtId="170" xfId="1">
      <protection locked="0"/>
    </xf>
    <xf applyBorder="1" applyFont="1" applyNumberFormat="1" applyProtection="1" borderId="198" fillId="0" fontId="4" numFmtId="2" xfId="0">
      <protection locked="0"/>
    </xf>
    <xf applyBorder="1" applyFont="1" applyNumberFormat="1" applyProtection="1" borderId="197" fillId="0" fontId="4" numFmtId="2" xfId="0">
      <protection locked="0"/>
    </xf>
    <xf applyBorder="1" applyFont="1" applyNumberFormat="1" applyProtection="1" borderId="182" fillId="0" fontId="4" numFmtId="0" xfId="0">
      <protection locked="0"/>
    </xf>
    <xf applyAlignment="1" applyBorder="1" applyFont="1" applyProtection="1" borderId="181" fillId="0" fontId="4" numFmtId="0" xfId="0">
      <alignment horizontal="center"/>
      <protection locked="0"/>
    </xf>
    <xf applyAlignment="1" applyBorder="1" applyFill="1" applyFont="1" borderId="96" fillId="10" fontId="4" numFmtId="0" xfId="0">
      <alignment horizontal="center"/>
    </xf>
    <xf applyAlignment="1" applyBorder="1" applyFont="1" applyProtection="1" borderId="198" fillId="0" fontId="8" numFmtId="170" xfId="1">
      <protection locked="0"/>
    </xf>
    <xf applyAlignment="1" applyBorder="1" applyFont="1" applyProtection="1" borderId="197" fillId="0" fontId="8" numFmtId="170" xfId="1">
      <protection locked="0"/>
    </xf>
    <xf applyAlignment="1" applyBorder="1" applyFill="1" applyFont="1" applyNumberFormat="1" applyProtection="1" borderId="198" fillId="15" fontId="8" numFmtId="2" xfId="0">
      <protection locked="0"/>
    </xf>
    <xf applyAlignment="1" applyBorder="1" applyFill="1" applyFont="1" applyProtection="1" borderId="198" fillId="15" fontId="8" numFmtId="0" xfId="0">
      <protection locked="0"/>
    </xf>
    <xf applyAlignment="1" applyBorder="1" applyFill="1" applyFont="1" borderId="198" fillId="10" fontId="8" numFmtId="170" xfId="1"/>
    <xf applyAlignment="1" applyBorder="1" applyFill="1" applyFont="1" applyNumberFormat="1" borderId="198" fillId="15" fontId="8" numFmtId="2" xfId="0"/>
    <xf applyAlignment="1" applyBorder="1" applyFont="1" applyNumberFormat="1" applyProtection="1" borderId="198" fillId="0" fontId="4" numFmtId="2" xfId="0">
      <protection locked="0"/>
    </xf>
    <xf applyAlignment="1" applyBorder="1" applyFont="1" applyNumberFormat="1" applyProtection="1" borderId="197" fillId="0" fontId="4" numFmtId="2" xfId="0">
      <protection locked="0"/>
    </xf>
    <xf applyAlignment="1" applyBorder="1" applyFill="1" applyFont="1" applyNumberFormat="1" applyProtection="1" borderId="198" fillId="15" fontId="4" numFmtId="2" xfId="0">
      <protection locked="0"/>
    </xf>
    <xf applyAlignment="1" applyBorder="1" applyFont="1" applyProtection="1" borderId="198" fillId="0" fontId="4" numFmtId="0" xfId="0">
      <protection locked="0"/>
    </xf>
    <xf applyAlignment="1" applyBorder="1" applyFont="1" applyProtection="1" borderId="197" fillId="0" fontId="4" numFmtId="0" xfId="0">
      <protection locked="0"/>
    </xf>
    <xf applyAlignment="1" applyBorder="1" applyFill="1" applyFont="1" applyProtection="1" borderId="198" fillId="15" fontId="4" numFmtId="0" xfId="0">
      <protection locked="0"/>
    </xf>
    <xf applyAlignment="1" applyBorder="1" applyFont="1" applyProtection="1" borderId="198" fillId="0" fontId="4" numFmtId="170" xfId="1">
      <protection locked="0"/>
    </xf>
    <xf applyAlignment="1" applyBorder="1" applyFont="1" applyNumberFormat="1" applyProtection="1" borderId="181" fillId="0" fontId="4" numFmtId="2" xfId="0">
      <protection locked="0"/>
    </xf>
    <xf applyAlignment="1" applyBorder="1" applyFill="1" applyFont="1" applyProtection="1" borderId="182" fillId="15" fontId="4" numFmtId="0" xfId="0">
      <protection locked="0"/>
    </xf>
    <xf applyAlignment="1" applyBorder="1" applyFill="1" applyFont="1" applyProtection="1" borderId="197" fillId="3" fontId="8" numFmtId="0" xfId="0">
      <protection locked="0"/>
    </xf>
    <xf applyAlignment="1" applyBorder="1" applyFill="1" applyFont="1" applyProtection="1" borderId="197" fillId="3" fontId="4" numFmtId="0" xfId="0">
      <protection locked="0"/>
    </xf>
    <xf applyAlignment="1" applyBorder="1" applyFill="1" applyFont="1" applyProtection="1" borderId="181" fillId="3" fontId="8" numFmtId="0" xfId="0">
      <protection locked="0"/>
    </xf>
    <xf applyFont="1" borderId="0" fillId="0" fontId="16" numFmtId="0" xfId="0"/>
    <xf applyAlignment="1" applyBorder="1" applyFont="1" applyNumberFormat="1" applyProtection="1" borderId="198" fillId="0" fontId="4" numFmtId="2" xfId="0">
      <alignment horizontal="center"/>
      <protection locked="0"/>
    </xf>
    <xf applyAlignment="1" applyBorder="1" applyFill="1" applyFont="1" applyNumberFormat="1" borderId="198" fillId="10" fontId="8" numFmtId="181" xfId="0">
      <alignment horizontal="center"/>
    </xf>
    <xf applyAlignment="1" applyBorder="1" applyFont="1" applyNumberFormat="1" applyProtection="1" borderId="198" fillId="0" fontId="8" numFmtId="2" xfId="0">
      <alignment horizontal="center"/>
      <protection locked="0"/>
    </xf>
    <xf applyAlignment="1" applyBorder="1" applyFont="1" applyNumberFormat="1" applyProtection="1" borderId="198" fillId="0" fontId="8" numFmtId="181" xfId="0">
      <alignment horizontal="center"/>
      <protection locked="0"/>
    </xf>
    <xf applyAlignment="1" applyBorder="1" applyFill="1" applyFont="1" applyNumberFormat="1" applyProtection="1" borderId="198" fillId="10" fontId="8" numFmtId="181" xfId="0">
      <alignment horizontal="center"/>
      <protection locked="0"/>
    </xf>
    <xf applyAlignment="1" applyBorder="1" applyFill="1" applyFont="1" applyProtection="1" borderId="198" fillId="10" fontId="4" numFmtId="0" xfId="0">
      <alignment horizontal="center"/>
    </xf>
    <xf applyAlignment="1" applyBorder="1" applyFill="1" applyFont="1" applyProtection="1" borderId="198" fillId="17" fontId="4" numFmtId="0" xfId="0">
      <alignment horizontal="center"/>
    </xf>
    <xf applyBorder="1" applyFill="1" applyFont="1" applyProtection="1" borderId="198" fillId="0" fontId="4" numFmtId="170" xfId="1">
      <protection locked="0"/>
    </xf>
    <xf applyBorder="1" applyFill="1" applyFont="1" applyNumberFormat="1" applyProtection="1" borderId="198" fillId="23" fontId="89" numFmtId="2" xfId="0">
      <protection locked="0"/>
    </xf>
    <xf applyBorder="1" applyFill="1" applyFont="1" applyProtection="1" borderId="198" fillId="10" fontId="4" numFmtId="0" xfId="0">
      <protection locked="0"/>
    </xf>
    <xf applyBorder="1" applyFill="1" applyFont="1" borderId="198" fillId="10" fontId="4" numFmtId="0" xfId="0"/>
    <xf applyAlignment="1" applyBorder="1" applyFill="1" applyFont="1" applyProtection="1" borderId="198" fillId="10" fontId="4" numFmtId="0" xfId="0">
      <alignment horizontal="center"/>
      <protection locked="0"/>
    </xf>
    <xf applyBorder="1" applyFill="1" applyFont="1" borderId="198" fillId="17" fontId="134" numFmtId="0" xfId="0"/>
    <xf applyAlignment="1" applyFill="1" applyFont="1" borderId="0" fillId="10" fontId="4" numFmtId="0" xfId="0">
      <alignment horizontal="center"/>
    </xf>
    <xf applyBorder="1" applyFill="1" applyFont="1" borderId="52" fillId="11" fontId="4" numFmtId="0" xfId="0"/>
    <xf applyBorder="1" applyFill="1" applyFont="1" borderId="36" fillId="11" fontId="4" numFmtId="0" xfId="0"/>
    <xf applyAlignment="1" applyBorder="1" applyFill="1" applyFont="1" borderId="195" fillId="10" fontId="4" numFmtId="0" xfId="0">
      <alignment horizontal="center"/>
    </xf>
    <xf applyAlignment="1" applyBorder="1" applyFill="1" applyFont="1" applyProtection="1" borderId="0" fillId="0" fontId="1" numFmtId="0" xfId="0">
      <alignment wrapText="1"/>
    </xf>
    <xf applyAlignment="1" applyBorder="1" applyFill="1" applyFont="1" borderId="198" fillId="0" fontId="1" numFmtId="0" xfId="0">
      <alignment vertical="top" wrapText="1"/>
    </xf>
    <xf applyAlignment="1" applyBorder="1" applyFill="1" applyFont="1" applyNumberFormat="1" applyProtection="1" borderId="197" fillId="10" fontId="4" numFmtId="2" xfId="0">
      <alignment horizontal="center"/>
    </xf>
    <xf applyAlignment="1" applyBorder="1" applyFont="1" applyNumberFormat="1" applyProtection="1" borderId="198" fillId="0" fontId="4" numFmtId="4" xfId="1">
      <alignment horizontal="right"/>
      <protection locked="0"/>
    </xf>
    <xf applyAlignment="1" applyBorder="1" applyFont="1" applyNumberFormat="1" applyProtection="1" borderId="198" fillId="0" fontId="4" numFmtId="4" xfId="1">
      <protection locked="0"/>
    </xf>
    <xf applyAlignment="1" applyFont="1" borderId="0" fillId="0" fontId="1" numFmtId="0" xfId="0">
      <alignment wrapText="1"/>
    </xf>
    <xf applyAlignment="1" applyBorder="1" applyFill="1" applyFont="1" applyNumberFormat="1" borderId="198" fillId="0" fontId="4" numFmtId="4" xfId="1">
      <alignment horizontal="right"/>
    </xf>
    <xf applyAlignment="1" applyBorder="1" applyFill="1" applyFont="1" applyNumberFormat="1" borderId="198" fillId="10" fontId="4" numFmtId="4" xfId="1">
      <alignment horizontal="right"/>
    </xf>
    <xf applyAlignment="1" applyBorder="1" applyFont="1" applyNumberFormat="1" applyProtection="1" borderId="198" fillId="0" fontId="4" numFmtId="4" xfId="0">
      <alignment horizontal="right"/>
      <protection locked="0"/>
    </xf>
    <xf applyAlignment="1" applyBorder="1" applyFont="1" applyNumberFormat="1" applyProtection="1" borderId="198" fillId="0" fontId="4" numFmtId="4" xfId="0">
      <alignment horizontal="center"/>
      <protection locked="0"/>
    </xf>
    <xf applyAlignment="1" applyBorder="1" applyFont="1" applyProtection="1" borderId="198" fillId="0" fontId="4" numFmtId="0" xfId="0">
      <alignment horizontal="right"/>
      <protection locked="0"/>
    </xf>
    <xf applyAlignment="1" applyBorder="1" applyFont="1" borderId="198" fillId="0" fontId="4" numFmtId="0" xfId="0">
      <alignment wrapText="1"/>
    </xf>
    <xf applyAlignment="1" applyBorder="1" applyFont="1" applyProtection="1" borderId="198" fillId="0" fontId="4" numFmtId="0" xfId="0">
      <alignment horizontal="center" wrapText="1"/>
      <protection locked="0"/>
    </xf>
    <xf applyAlignment="1" applyBorder="1" applyFill="1" applyFont="1" applyProtection="1" borderId="183" fillId="15" fontId="4" numFmtId="0" xfId="0">
      <alignment horizontal="center"/>
      <protection locked="0"/>
    </xf>
    <xf applyAlignment="1" applyBorder="1" applyFill="1" applyFont="1" borderId="198" fillId="0" fontId="4" numFmtId="0" xfId="0">
      <alignment wrapText="1"/>
    </xf>
    <xf applyAlignment="1" applyBorder="1" applyFill="1" applyFont="1" applyNumberFormat="1" applyProtection="1" borderId="183" fillId="15" fontId="4" numFmtId="4" xfId="0">
      <alignment horizontal="right"/>
      <protection locked="0"/>
    </xf>
    <xf applyAlignment="1" applyBorder="1" applyFont="1" applyNumberFormat="1" applyProtection="1" borderId="182" fillId="0" fontId="4" numFmtId="4" xfId="0">
      <alignment horizontal="right"/>
      <protection locked="0"/>
    </xf>
    <xf applyAlignment="1" applyBorder="1" applyFont="1" applyNumberFormat="1" applyProtection="1" borderId="182" fillId="0" fontId="4" numFmtId="4" xfId="0">
      <alignment horizontal="center"/>
      <protection locked="0"/>
    </xf>
    <xf applyAlignment="1" applyBorder="1" applyFill="1" applyFont="1" applyNumberFormat="1" applyProtection="1" borderId="184" fillId="15" fontId="4" numFmtId="4" xfId="0">
      <alignment horizontal="right"/>
      <protection locked="0"/>
    </xf>
    <xf applyAlignment="1" applyBorder="1" applyFill="1" applyFont="1" borderId="36" fillId="10" fontId="4" numFmtId="0" xfId="0">
      <alignment horizontal="center"/>
    </xf>
    <xf applyAlignment="1" applyBorder="1" applyFill="1" applyFont="1" borderId="35" fillId="10" fontId="4" numFmtId="0" xfId="0">
      <alignment horizontal="center"/>
    </xf>
    <xf applyAlignment="1" applyBorder="1" applyFill="1" applyFont="1" borderId="47" fillId="10" fontId="4" numFmtId="0" xfId="0">
      <alignment horizontal="center"/>
    </xf>
    <xf applyAlignment="1" applyBorder="1" applyFont="1" applyNumberFormat="1" applyProtection="1" borderId="198" fillId="0" fontId="4" numFmtId="2" xfId="0">
      <alignment horizontal="center" wrapText="1"/>
      <protection locked="0"/>
    </xf>
    <xf applyAlignment="1" applyBorder="1" applyFill="1" applyFont="1" applyProtection="1" borderId="198" fillId="15" fontId="4" numFmtId="0" xfId="0">
      <alignment horizontal="center"/>
      <protection locked="0"/>
    </xf>
    <xf applyAlignment="1" applyBorder="1" applyFill="1" applyFont="1" applyProtection="1" borderId="197" fillId="15" fontId="4" numFmtId="0" xfId="0">
      <alignment horizontal="center"/>
      <protection locked="0"/>
    </xf>
    <xf applyBorder="1" applyFill="1" applyFont="1" applyProtection="1" borderId="198" fillId="15" fontId="4" numFmtId="0" xfId="0">
      <protection locked="0"/>
    </xf>
    <xf applyBorder="1" applyFill="1" applyFont="1" applyProtection="1" borderId="197" fillId="15" fontId="4" numFmtId="0" xfId="0">
      <protection locked="0"/>
    </xf>
    <xf applyBorder="1" applyFill="1" applyFont="1" applyProtection="1" borderId="183" fillId="15" fontId="4" numFmtId="0" xfId="0">
      <protection locked="0"/>
    </xf>
    <xf applyAlignment="1" applyBorder="1" applyFill="1" applyFont="1" applyNumberFormat="1" applyProtection="1" borderId="198" fillId="0" fontId="4" numFmtId="181" xfId="0">
      <alignment horizontal="center"/>
    </xf>
    <xf applyBorder="1" applyFill="1" applyFont="1" applyNumberFormat="1" applyProtection="1" borderId="198" fillId="0" fontId="4" numFmtId="181" xfId="0"/>
    <xf applyAlignment="1" applyBorder="1" applyFill="1" applyFont="1" applyNumberFormat="1" applyProtection="1" borderId="198" fillId="10" fontId="4" numFmtId="181" xfId="0">
      <alignment horizontal="center"/>
    </xf>
    <xf applyBorder="1" applyFill="1" applyFont="1" applyNumberFormat="1" applyProtection="1" borderId="198" fillId="15" fontId="4" numFmtId="181" xfId="0"/>
    <xf applyBorder="1" applyFill="1" applyFont="1" applyNumberFormat="1" applyProtection="1" borderId="197" fillId="15" fontId="4" numFmtId="181" xfId="0"/>
    <xf applyBorder="1" applyFill="1" applyFont="1" applyNumberFormat="1" applyProtection="1" borderId="183" fillId="15" fontId="4" numFmtId="181" xfId="0"/>
    <xf applyAlignment="1" applyBorder="1" applyFont="1" applyNumberFormat="1" applyProtection="1" borderId="198" fillId="0" fontId="4" numFmtId="181" xfId="0">
      <alignment horizontal="center"/>
      <protection locked="0"/>
    </xf>
    <xf applyBorder="1" applyFont="1" applyNumberFormat="1" applyProtection="1" borderId="198" fillId="0" fontId="4" numFmtId="181" xfId="0">
      <protection locked="0"/>
    </xf>
    <xf applyBorder="1" applyFill="1" applyFont="1" applyNumberFormat="1" applyProtection="1" borderId="198" fillId="15" fontId="4" numFmtId="181" xfId="0">
      <protection locked="0"/>
    </xf>
    <xf applyBorder="1" applyFill="1" applyFont="1" applyNumberFormat="1" applyProtection="1" borderId="197" fillId="15" fontId="4" numFmtId="181" xfId="0">
      <protection locked="0"/>
    </xf>
    <xf applyBorder="1" applyFill="1" applyFont="1" applyNumberFormat="1" applyProtection="1" borderId="198" fillId="0" fontId="4" numFmtId="181" xfId="0">
      <protection locked="0"/>
    </xf>
    <xf applyBorder="1" applyFill="1" applyFont="1" applyNumberFormat="1" applyProtection="1" borderId="183" fillId="15" fontId="4" numFmtId="181" xfId="0">
      <protection locked="0"/>
    </xf>
    <xf applyAlignment="1" applyBorder="1" applyFont="1" borderId="198" fillId="0" fontId="4" numFmtId="0" xfId="0">
      <alignment horizontal="center"/>
    </xf>
    <xf applyBorder="1" applyFont="1" borderId="198" fillId="0" fontId="4" numFmtId="0" xfId="0"/>
    <xf applyBorder="1" applyFill="1" applyFont="1" borderId="198" fillId="15" fontId="4" numFmtId="0" xfId="0"/>
    <xf applyBorder="1" applyFill="1" applyFont="1" borderId="197" fillId="15" fontId="4" numFmtId="0" xfId="0"/>
    <xf applyBorder="1" applyFill="1" applyFont="1" borderId="183" fillId="15" fontId="4" numFmtId="0" xfId="0"/>
    <xf applyAlignment="1" applyBorder="1" applyFill="1" applyFont="1" applyNumberFormat="1" applyProtection="1" borderId="198" fillId="15" fontId="4" numFmtId="4" xfId="0">
      <alignment horizontal="right"/>
      <protection locked="0"/>
    </xf>
    <xf applyAlignment="1" applyBorder="1" applyFill="1" applyFont="1" applyNumberFormat="1" applyProtection="1" borderId="197" fillId="15" fontId="4" numFmtId="4" xfId="0">
      <alignment horizontal="right"/>
      <protection locked="0"/>
    </xf>
    <xf applyAlignment="1" applyBorder="1" applyFill="1" applyFont="1" applyNumberFormat="1" applyProtection="1" borderId="198" fillId="0" fontId="4" numFmtId="4" xfId="0">
      <alignment horizontal="right"/>
      <protection locked="0"/>
    </xf>
    <xf applyBorder="1" applyFont="1" applyNumberFormat="1" borderId="198" fillId="0" fontId="4" numFmtId="4" xfId="0"/>
    <xf applyAlignment="1" applyBorder="1" applyFill="1" applyFont="1" applyNumberFormat="1" applyProtection="1" borderId="198" fillId="0" fontId="4" numFmtId="4" xfId="0">
      <alignment horizontal="right"/>
    </xf>
    <xf applyAlignment="1" applyBorder="1" applyFill="1" applyFont="1" applyNumberFormat="1" applyProtection="1" borderId="198" fillId="10" fontId="4" numFmtId="4" xfId="0">
      <alignment horizontal="right"/>
    </xf>
    <xf applyAlignment="1" applyBorder="1" applyFill="1" applyFont="1" applyNumberFormat="1" applyProtection="1" borderId="198" fillId="15" fontId="4" numFmtId="4" xfId="0">
      <alignment horizontal="right"/>
    </xf>
    <xf applyAlignment="1" applyBorder="1" applyFill="1" applyFont="1" applyNumberFormat="1" applyProtection="1" borderId="197" fillId="15" fontId="4" numFmtId="4" xfId="0">
      <alignment horizontal="right"/>
    </xf>
    <xf applyAlignment="1" applyBorder="1" applyFill="1" applyFont="1" applyNumberFormat="1" applyProtection="1" borderId="183" fillId="15" fontId="4" numFmtId="4" xfId="0">
      <alignment horizontal="right"/>
    </xf>
    <xf applyAlignment="1" applyBorder="1" applyFont="1" applyNumberFormat="1" applyProtection="1" borderId="198" fillId="0" fontId="8" numFmtId="4" xfId="0">
      <alignment horizontal="right"/>
      <protection locked="0"/>
    </xf>
    <xf applyAlignment="1" applyBorder="1" applyFill="1" applyFont="1" applyNumberFormat="1" applyProtection="1" borderId="198" fillId="0" fontId="8" numFmtId="4" xfId="0">
      <alignment horizontal="right"/>
      <protection locked="0"/>
    </xf>
    <xf applyAlignment="1" applyBorder="1" applyFill="1" applyFont="1" applyNumberFormat="1" applyProtection="1" borderId="198" fillId="15" fontId="8" numFmtId="4" xfId="0">
      <alignment horizontal="right"/>
      <protection locked="0"/>
    </xf>
    <xf applyAlignment="1" applyBorder="1" applyFill="1" applyFont="1" applyNumberFormat="1" applyProtection="1" borderId="197" fillId="15" fontId="8" numFmtId="4" xfId="0">
      <alignment horizontal="right"/>
      <protection locked="0"/>
    </xf>
    <xf applyAlignment="1" applyBorder="1" applyFill="1" applyFont="1" applyNumberFormat="1" applyProtection="1" borderId="183" fillId="15" fontId="8" numFmtId="4" xfId="0">
      <alignment horizontal="right"/>
      <protection locked="0"/>
    </xf>
    <xf applyAlignment="1" applyBorder="1" applyFill="1" applyFont="1" applyNumberFormat="1" applyProtection="1" borderId="198" fillId="10" fontId="8" numFmtId="4" xfId="0">
      <alignment horizontal="right"/>
    </xf>
    <xf applyAlignment="1" applyBorder="1" applyFill="1" applyFont="1" applyNumberFormat="1" applyProtection="1" borderId="198" fillId="15" fontId="8" numFmtId="4" xfId="0">
      <alignment horizontal="right"/>
    </xf>
    <xf applyAlignment="1" applyBorder="1" applyFill="1" applyFont="1" applyNumberFormat="1" applyProtection="1" borderId="197" fillId="15" fontId="8" numFmtId="4" xfId="0">
      <alignment horizontal="right"/>
    </xf>
    <xf applyAlignment="1" applyBorder="1" applyFill="1" applyFont="1" applyNumberFormat="1" applyProtection="1" borderId="183" fillId="15" fontId="8" numFmtId="4" xfId="0">
      <alignment horizontal="right"/>
    </xf>
    <xf applyAlignment="1" applyBorder="1" applyFill="1" applyFont="1" applyNumberFormat="1" applyProtection="1" borderId="198" fillId="17" fontId="8" numFmtId="4" xfId="0">
      <alignment horizontal="right"/>
      <protection locked="0"/>
    </xf>
    <xf applyAlignment="1" applyBorder="1" applyFill="1" applyFont="1" applyNumberFormat="1" applyProtection="1" borderId="198" fillId="17" fontId="8" numFmtId="1" xfId="0">
      <alignment horizontal="center"/>
    </xf>
    <xf applyAlignment="1" applyBorder="1" applyFill="1" applyFont="1" applyNumberFormat="1" applyProtection="1" borderId="198" fillId="15" fontId="8" numFmtId="1" xfId="0">
      <alignment horizontal="center"/>
    </xf>
    <xf applyAlignment="1" applyBorder="1" applyFill="1" applyFont="1" applyNumberFormat="1" applyProtection="1" borderId="197" fillId="15" fontId="8" numFmtId="1" xfId="0">
      <alignment horizontal="center"/>
    </xf>
    <xf applyAlignment="1" applyBorder="1" applyFill="1" applyFont="1" applyNumberFormat="1" applyProtection="1" borderId="183" fillId="15" fontId="8" numFmtId="1" xfId="0">
      <alignment horizontal="center"/>
    </xf>
    <xf applyBorder="1" applyFill="1" applyFont="1" applyNumberFormat="1" applyProtection="1" borderId="182" fillId="15" fontId="8" numFmtId="4" xfId="0">
      <protection locked="0"/>
    </xf>
    <xf applyBorder="1" applyFill="1" applyFont="1" applyNumberFormat="1" applyProtection="1" borderId="181" fillId="15" fontId="8" numFmtId="4" xfId="0">
      <protection locked="0"/>
    </xf>
    <xf applyBorder="1" applyFill="1" applyFont="1" applyNumberFormat="1" applyProtection="1" borderId="184" fillId="15" fontId="8" numFmtId="4" xfId="0">
      <protection locked="0"/>
    </xf>
    <xf applyBorder="1" applyFill="1" applyFont="1" applyNumberFormat="1" applyProtection="1" borderId="198" fillId="10" fontId="4" numFmtId="181" xfId="0"/>
    <xf applyAlignment="1" applyBorder="1" applyFill="1" applyFont="1" applyNumberFormat="1" applyProtection="1" borderId="198" fillId="15" fontId="4" numFmtId="181" xfId="0">
      <alignment horizontal="center"/>
      <protection locked="0"/>
    </xf>
    <xf applyAlignment="1" applyBorder="1" applyFill="1" applyFont="1" applyNumberFormat="1" applyProtection="1" borderId="197" fillId="15" fontId="4" numFmtId="181" xfId="0">
      <alignment horizontal="center"/>
      <protection locked="0"/>
    </xf>
    <xf applyAlignment="1" applyBorder="1" applyFill="1" applyFont="1" applyNumberFormat="1" applyProtection="1" borderId="183" fillId="15" fontId="4" numFmtId="181" xfId="0">
      <alignment horizontal="center"/>
      <protection locked="0"/>
    </xf>
    <xf applyAlignment="1" applyBorder="1" applyFill="1" applyFont="1" applyNumberFormat="1" applyProtection="1" borderId="197" fillId="10" fontId="4" numFmtId="4" xfId="0">
      <alignment horizontal="right"/>
    </xf>
    <xf applyAlignment="1" applyBorder="1" applyFill="1" applyFont="1" applyNumberFormat="1" applyProtection="1" borderId="183" fillId="10" fontId="4" numFmtId="4" xfId="0">
      <alignment horizontal="right"/>
    </xf>
    <xf applyAlignment="1" applyBorder="1" applyFill="1" applyFont="1" applyNumberFormat="1" applyProtection="1" borderId="198" fillId="23" fontId="4" numFmtId="4" xfId="0">
      <alignment horizontal="right"/>
      <protection locked="0"/>
    </xf>
    <xf applyAlignment="1" applyBorder="1" applyFill="1" applyFont="1" applyNumberFormat="1" applyProtection="1" borderId="198" fillId="23" fontId="108" numFmtId="4" xfId="0">
      <alignment horizontal="right"/>
      <protection locked="0"/>
    </xf>
    <xf applyAlignment="1" applyBorder="1" applyFill="1" applyFont="1" applyNumberFormat="1" applyProtection="1" borderId="197" fillId="23" fontId="108" numFmtId="4" xfId="0">
      <alignment horizontal="right"/>
      <protection locked="0"/>
    </xf>
    <xf applyAlignment="1" applyBorder="1" applyFill="1" applyFont="1" applyNumberFormat="1" applyProtection="1" borderId="183" fillId="23" fontId="108" numFmtId="4" xfId="0">
      <alignment horizontal="right"/>
      <protection locked="0"/>
    </xf>
    <xf applyBorder="1" applyFill="1" applyFont="1" applyNumberFormat="1" applyProtection="1" borderId="198" fillId="0" fontId="4" numFmtId="4" xfId="0">
      <protection locked="0"/>
    </xf>
    <xf applyBorder="1" applyFont="1" applyNumberFormat="1" applyProtection="1" borderId="198" fillId="0" fontId="4" numFmtId="4" xfId="0">
      <protection locked="0"/>
    </xf>
    <xf applyBorder="1" applyFill="1" applyFont="1" applyNumberFormat="1" applyProtection="1" borderId="198" fillId="15" fontId="4" numFmtId="4" xfId="0">
      <protection locked="0"/>
    </xf>
    <xf applyBorder="1" applyFill="1" applyFont="1" applyNumberFormat="1" applyProtection="1" borderId="197" fillId="15" fontId="4" numFmtId="4" xfId="0">
      <protection locked="0"/>
    </xf>
    <xf applyBorder="1" applyFill="1" applyFont="1" applyNumberFormat="1" applyProtection="1" borderId="183" fillId="15" fontId="4" numFmtId="4" xfId="0">
      <protection locked="0"/>
    </xf>
    <xf applyBorder="1" applyFont="1" applyNumberFormat="1" applyProtection="1" borderId="198" fillId="0" fontId="8" numFmtId="4" xfId="0">
      <protection locked="0"/>
    </xf>
    <xf applyBorder="1" applyFill="1" applyFont="1" applyNumberFormat="1" applyProtection="1" borderId="198" fillId="15" fontId="8" numFmtId="4" xfId="0">
      <protection locked="0"/>
    </xf>
    <xf applyBorder="1" applyFill="1" applyFont="1" applyNumberFormat="1" applyProtection="1" borderId="197" fillId="15" fontId="8" numFmtId="4" xfId="0">
      <protection locked="0"/>
    </xf>
    <xf applyBorder="1" applyFill="1" applyFont="1" applyNumberFormat="1" applyProtection="1" borderId="183" fillId="15" fontId="8" numFmtId="4" xfId="0">
      <protection locked="0"/>
    </xf>
    <xf applyBorder="1" applyFill="1" applyFont="1" applyNumberFormat="1" applyProtection="1" borderId="198" fillId="10" fontId="4" numFmtId="4" xfId="0"/>
    <xf applyBorder="1" applyFill="1" applyFont="1" applyNumberFormat="1" applyProtection="1" borderId="198" fillId="15" fontId="4" numFmtId="4" xfId="0"/>
    <xf applyBorder="1" applyFill="1" applyFont="1" applyNumberFormat="1" applyProtection="1" borderId="197" fillId="15" fontId="4" numFmtId="4" xfId="0"/>
    <xf applyBorder="1" applyFill="1" applyFont="1" applyNumberFormat="1" applyProtection="1" borderId="183" fillId="15" fontId="4" numFmtId="4" xfId="0"/>
    <xf applyBorder="1" applyFill="1" applyFont="1" applyNumberFormat="1" applyProtection="1" borderId="198" fillId="10" fontId="8" numFmtId="4" xfId="0"/>
    <xf applyBorder="1" applyFill="1" applyFont="1" applyNumberFormat="1" applyProtection="1" borderId="198" fillId="15" fontId="8" numFmtId="4" xfId="0"/>
    <xf applyBorder="1" applyFill="1" applyFont="1" applyNumberFormat="1" applyProtection="1" borderId="197" fillId="15" fontId="8" numFmtId="4" xfId="0"/>
    <xf applyBorder="1" applyFill="1" applyFont="1" applyNumberFormat="1" applyProtection="1" borderId="183" fillId="15" fontId="8" numFmtId="4" xfId="0"/>
    <xf applyBorder="1" applyFill="1" applyFont="1" applyNumberFormat="1" applyProtection="1" borderId="198" fillId="0" fontId="4" numFmtId="4" xfId="0"/>
    <xf applyBorder="1" applyFill="1" applyFont="1" applyNumberFormat="1" applyProtection="1" borderId="198" fillId="0" fontId="8" numFmtId="4" xfId="0"/>
    <xf applyBorder="1" applyFill="1" applyFont="1" applyNumberFormat="1" applyProtection="1" borderId="198" fillId="0" fontId="8" numFmtId="4" xfId="0">
      <protection locked="0"/>
    </xf>
    <xf applyBorder="1" applyFill="1" applyFont="1" applyNumberFormat="1" applyProtection="1" borderId="198" fillId="0" fontId="4" numFmtId="4" xfId="1"/>
    <xf applyBorder="1" applyFill="1" applyFont="1" applyNumberFormat="1" applyProtection="1" borderId="198" fillId="10" fontId="4" numFmtId="4" xfId="1"/>
    <xf applyBorder="1" applyFill="1" applyFont="1" applyNumberFormat="1" applyProtection="1" borderId="198" fillId="15" fontId="4" numFmtId="4" xfId="1"/>
    <xf applyBorder="1" applyFill="1" applyFont="1" applyNumberFormat="1" applyProtection="1" borderId="197" fillId="15" fontId="4" numFmtId="4" xfId="1"/>
    <xf applyBorder="1" applyFill="1" applyFont="1" applyNumberFormat="1" applyProtection="1" borderId="183" fillId="15" fontId="4" numFmtId="4" xfId="1"/>
    <xf applyBorder="1" applyFill="1" applyFont="1" applyNumberFormat="1" applyProtection="1" borderId="198" fillId="10" fontId="4" numFmtId="4" xfId="1">
      <protection locked="0"/>
    </xf>
    <xf applyBorder="1" applyFill="1" applyFont="1" applyNumberFormat="1" applyProtection="1" borderId="198" fillId="15" fontId="4" numFmtId="4" xfId="1">
      <protection locked="0"/>
    </xf>
    <xf applyBorder="1" applyFill="1" applyFont="1" applyNumberFormat="1" applyProtection="1" borderId="197" fillId="15" fontId="4" numFmtId="4" xfId="1">
      <protection locked="0"/>
    </xf>
    <xf applyBorder="1" applyFill="1" applyFont="1" applyNumberFormat="1" applyProtection="1" borderId="183" fillId="15" fontId="4" numFmtId="4" xfId="1">
      <protection locked="0"/>
    </xf>
    <xf applyBorder="1" applyFill="1" applyFont="1" applyNumberFormat="1" applyProtection="1" borderId="198" fillId="10" fontId="8" numFmtId="4" xfId="0">
      <protection locked="0"/>
    </xf>
    <xf applyBorder="1" applyFont="1" applyNumberFormat="1" applyProtection="1" borderId="182" fillId="0" fontId="4" numFmtId="1" xfId="0">
      <protection locked="0"/>
    </xf>
    <xf applyBorder="1" applyFill="1" applyFont="1" applyNumberFormat="1" applyProtection="1" borderId="182" fillId="15" fontId="4" numFmtId="1" xfId="0">
      <protection locked="0"/>
    </xf>
    <xf applyBorder="1" applyFill="1" applyFont="1" applyNumberFormat="1" applyProtection="1" borderId="181" fillId="15" fontId="4" numFmtId="1" xfId="0">
      <protection locked="0"/>
    </xf>
    <xf applyBorder="1" applyFill="1" applyFont="1" applyNumberFormat="1" applyProtection="1" borderId="184" fillId="15" fontId="4" numFmtId="1" xfId="0">
      <protection locked="0"/>
    </xf>
    <xf applyBorder="1" applyFill="1" applyFont="1" applyNumberFormat="1" borderId="198" fillId="15" fontId="4" numFmtId="4" xfId="0"/>
    <xf applyBorder="1" applyFill="1" applyFont="1" applyNumberFormat="1" borderId="197" fillId="15" fontId="4" numFmtId="4" xfId="0"/>
    <xf applyBorder="1" applyFill="1" applyFont="1" applyNumberFormat="1" borderId="183" fillId="15" fontId="4" numFmtId="4" xfId="0"/>
    <xf applyAlignment="1" applyBorder="1" applyFill="1" applyFont="1" applyNumberFormat="1" applyProtection="1" borderId="198" fillId="0" fontId="8" numFmtId="4" xfId="0">
      <alignment horizontal="right"/>
    </xf>
    <xf applyBorder="1" applyFill="1" applyFont="1" applyNumberFormat="1" borderId="198" fillId="15" fontId="8" numFmtId="4" xfId="0"/>
    <xf applyBorder="1" applyFill="1" applyFont="1" applyNumberFormat="1" borderId="197" fillId="15" fontId="8" numFmtId="4" xfId="0"/>
    <xf applyBorder="1" applyFill="1" applyFont="1" applyNumberFormat="1" borderId="183" fillId="15" fontId="8" numFmtId="4" xfId="0"/>
    <xf applyBorder="1" applyFill="1" applyFont="1" applyNumberFormat="1" borderId="198" fillId="23" fontId="108" numFmtId="4" xfId="0"/>
    <xf applyBorder="1" applyFill="1" applyFont="1" applyNumberFormat="1" borderId="197" fillId="23" fontId="108" numFmtId="4" xfId="0"/>
    <xf applyBorder="1" applyFill="1" applyFont="1" applyNumberFormat="1" borderId="183" fillId="23" fontId="108" numFmtId="4" xfId="0"/>
    <xf applyAlignment="1" applyBorder="1" applyFill="1" applyFont="1" applyNumberFormat="1" applyProtection="1" borderId="198" fillId="10" fontId="4" numFmtId="4" xfId="0">
      <alignment horizontal="right"/>
      <protection locked="0"/>
    </xf>
    <xf applyAlignment="1" applyBorder="1" applyFont="1" applyNumberFormat="1" applyProtection="1" borderId="182" fillId="0" fontId="4" numFmtId="1" xfId="0">
      <alignment horizontal="right"/>
      <protection locked="0"/>
    </xf>
    <xf applyAlignment="1" applyBorder="1" applyFill="1" applyFont="1" applyNumberFormat="1" applyProtection="1" borderId="182" fillId="15" fontId="4" numFmtId="1" xfId="0">
      <alignment horizontal="right"/>
      <protection locked="0"/>
    </xf>
    <xf applyAlignment="1" applyBorder="1" applyFill="1" applyFont="1" applyNumberFormat="1" applyProtection="1" borderId="181" fillId="15" fontId="4" numFmtId="1" xfId="0">
      <alignment horizontal="right"/>
      <protection locked="0"/>
    </xf>
    <xf applyAlignment="1" applyBorder="1" applyFill="1" applyFont="1" applyNumberFormat="1" applyProtection="1" borderId="184" fillId="15" fontId="4" numFmtId="1" xfId="0">
      <alignment horizontal="right"/>
      <protection locked="0"/>
    </xf>
    <xf applyAlignment="1" applyBorder="1" applyFill="1" applyFont="1" borderId="0" fillId="0" fontId="4" numFmtId="0" xfId="0">
      <alignment horizontal="left"/>
    </xf>
    <xf applyAlignment="1" applyBorder="1" applyFill="1" applyFont="1" borderId="0" fillId="0" fontId="8" numFmtId="0" xfId="0">
      <alignment horizontal="left"/>
    </xf>
    <xf applyFill="1" applyFont="1" borderId="0" fillId="0" fontId="4" numFmtId="0" xfId="0"/>
    <xf applyAlignment="1" applyFill="1" applyFont="1" borderId="0" fillId="0" fontId="4" numFmtId="0" xfId="0">
      <alignment horizontal="left"/>
    </xf>
    <xf applyBorder="1" applyFont="1" applyProtection="1" borderId="183" fillId="0" fontId="134" numFmtId="0" xfId="0">
      <protection locked="0"/>
    </xf>
    <xf applyAlignment="1" applyBorder="1" applyFill="1" applyFont="1" applyProtection="1" borderId="198" fillId="0" fontId="4" numFmtId="0" xfId="0">
      <alignment horizontal="right"/>
      <protection locked="0"/>
    </xf>
    <xf applyAlignment="1" applyBorder="1" applyFont="1" applyProtection="1" borderId="183" fillId="0" fontId="134" numFmtId="0" xfId="0">
      <alignment horizontal="right"/>
      <protection locked="0"/>
    </xf>
    <xf applyAlignment="1" applyBorder="1" applyFont="1" applyNumberFormat="1" applyProtection="1" borderId="183" fillId="0" fontId="134" numFmtId="4" xfId="0">
      <alignment horizontal="right"/>
      <protection locked="0"/>
    </xf>
    <xf applyAlignment="1" applyBorder="1" applyFill="1" applyFont="1" applyNumberFormat="1" borderId="198" fillId="0" fontId="8" numFmtId="4" xfId="0">
      <alignment horizontal="right"/>
    </xf>
    <xf applyAlignment="1" applyBorder="1" applyFill="1" applyFont="1" applyNumberFormat="1" borderId="198" fillId="10" fontId="8" numFmtId="4" xfId="0">
      <alignment horizontal="right"/>
    </xf>
    <xf applyAlignment="1" applyBorder="1" applyFill="1" applyFont="1" applyNumberFormat="1" borderId="198" fillId="17" fontId="149" numFmtId="4" xfId="0">
      <alignment horizontal="right"/>
    </xf>
    <xf applyAlignment="1" applyBorder="1" applyFill="1" applyFont="1" applyNumberFormat="1" borderId="183" fillId="17" fontId="149" numFmtId="4" xfId="0">
      <alignment horizontal="right"/>
    </xf>
    <xf applyAlignment="1" applyBorder="1" applyFill="1" applyFont="1" applyNumberFormat="1" applyProtection="1" borderId="198" fillId="0" fontId="149" numFmtId="4" xfId="0">
      <alignment horizontal="right"/>
      <protection locked="0"/>
    </xf>
    <xf applyAlignment="1" applyBorder="1" applyFill="1" applyFont="1" applyNumberFormat="1" applyProtection="1" borderId="183" fillId="0" fontId="149" numFmtId="4" xfId="0">
      <alignment horizontal="right"/>
      <protection locked="0"/>
    </xf>
    <xf applyAlignment="1" applyBorder="1" applyFill="1" applyFont="1" applyNumberFormat="1" borderId="198" fillId="17" fontId="8" numFmtId="4" xfId="0">
      <alignment horizontal="right"/>
    </xf>
    <xf applyAlignment="1" applyBorder="1" applyFill="1" applyFont="1" applyNumberFormat="1" borderId="198" fillId="0" fontId="4" numFmtId="4" xfId="0">
      <alignment horizontal="right"/>
    </xf>
    <xf applyAlignment="1" applyBorder="1" applyFill="1" applyFont="1" applyNumberFormat="1" borderId="198" fillId="10" fontId="4" numFmtId="4" xfId="0">
      <alignment horizontal="right"/>
    </xf>
    <xf applyAlignment="1" applyBorder="1" applyFill="1" applyFont="1" applyNumberFormat="1" borderId="198" fillId="17" fontId="4" numFmtId="4" xfId="0">
      <alignment horizontal="right"/>
    </xf>
    <xf applyAlignment="1" applyBorder="1" applyFill="1" applyFont="1" applyNumberFormat="1" borderId="198" fillId="0" fontId="134" numFmtId="4" xfId="0">
      <alignment horizontal="right"/>
    </xf>
    <xf applyAlignment="1" applyBorder="1" applyFill="1" applyFont="1" applyNumberFormat="1" borderId="183" fillId="0" fontId="134" numFmtId="4" xfId="0">
      <alignment horizontal="right"/>
    </xf>
    <xf applyAlignment="1" applyBorder="1" applyFont="1" applyProtection="1" borderId="198" fillId="0" fontId="134" numFmtId="0" xfId="0">
      <alignment horizontal="right"/>
      <protection locked="0"/>
    </xf>
    <xf applyAlignment="1" applyBorder="1" applyFont="1" applyNumberFormat="1" applyProtection="1" borderId="198" fillId="0" fontId="134" numFmtId="4" xfId="0">
      <alignment horizontal="right"/>
      <protection locked="0"/>
    </xf>
    <xf applyAlignment="1" applyBorder="1" applyFont="1" applyNumberFormat="1" applyProtection="1" borderId="183" fillId="0" fontId="8" numFmtId="4" xfId="0">
      <alignment horizontal="right"/>
      <protection locked="0"/>
    </xf>
    <xf applyAlignment="1" applyBorder="1" applyFont="1" applyNumberFormat="1" applyProtection="1" borderId="183" fillId="0" fontId="4" numFmtId="4" xfId="0">
      <alignment horizontal="right"/>
      <protection locked="0"/>
    </xf>
    <xf applyAlignment="1" applyBorder="1" applyFill="1" applyFont="1" applyNumberFormat="1" applyProtection="1" borderId="183" fillId="0" fontId="4" numFmtId="4" xfId="0">
      <alignment horizontal="right"/>
      <protection locked="0"/>
    </xf>
    <xf applyAlignment="1" applyBorder="1" applyFill="1" applyFont="1" applyNumberFormat="1" borderId="183" fillId="17" fontId="8" numFmtId="4" xfId="0">
      <alignment horizontal="right"/>
    </xf>
    <xf applyAlignment="1" applyBorder="1" applyFill="1" applyFont="1" applyNumberFormat="1" borderId="183" fillId="17" fontId="4" numFmtId="4" xfId="0">
      <alignment horizontal="right"/>
    </xf>
    <xf applyAlignment="1" applyBorder="1" applyFill="1" applyFont="1" applyNumberFormat="1" applyProtection="1" borderId="198" fillId="17" fontId="4" numFmtId="4" xfId="0">
      <alignment horizontal="right"/>
      <protection locked="0"/>
    </xf>
    <xf applyAlignment="1" applyBorder="1" applyFill="1" applyFont="1" applyNumberFormat="1" applyProtection="1" borderId="183" fillId="17" fontId="4" numFmtId="4" xfId="0">
      <alignment horizontal="right"/>
      <protection locked="0"/>
    </xf>
    <xf applyBorder="1" applyFill="1" applyFont="1" borderId="69" fillId="23" fontId="134" numFmtId="0" xfId="0"/>
    <xf applyAlignment="1" applyBorder="1" applyFill="1" applyFont="1" borderId="0" fillId="0" fontId="5" numFmtId="0" xfId="0">
      <alignment vertical="top" wrapText="1"/>
    </xf>
    <xf applyAlignment="1" applyBorder="1" applyFill="1" applyFont="1" applyProtection="1" borderId="0" fillId="0" fontId="8" numFmtId="170" xfId="1">
      <protection locked="0"/>
    </xf>
    <xf applyBorder="1" applyFill="1" applyFont="1" borderId="140" fillId="0" fontId="97" numFmtId="0" xfId="0"/>
    <xf applyBorder="1" applyFill="1" applyFont="1" borderId="198" fillId="0" fontId="73" numFmtId="0" quotePrefix="1" xfId="0"/>
    <xf applyAlignment="1" applyBorder="1" applyFill="1" applyFont="1" applyProtection="1" borderId="198" fillId="10" fontId="8" numFmtId="0" xfId="0">
      <alignment horizontal="center"/>
      <protection locked="0"/>
    </xf>
    <xf applyBorder="1" applyFill="1" applyFont="1" borderId="69" fillId="23" fontId="142" numFmtId="0" xfId="0"/>
    <xf applyAlignment="1" applyBorder="1" applyFill="1" applyFont="1" applyProtection="1" borderId="105" fillId="23" fontId="89" numFmtId="0" xfId="0">
      <alignment horizontal="center"/>
    </xf>
    <xf applyBorder="1" applyFill="1" applyFont="1" borderId="140" fillId="23" fontId="160" numFmtId="0" xfId="0"/>
    <xf applyBorder="1" applyFill="1" applyFont="1" borderId="198" fillId="23" fontId="160" numFmtId="0" xfId="0"/>
    <xf applyAlignment="1" applyBorder="1" applyFill="1" applyFont="1" borderId="0" fillId="23" fontId="89" numFmtId="0" xfId="0">
      <alignment horizontal="center"/>
    </xf>
    <xf applyAlignment="1" applyBorder="1" applyFill="1" applyFont="1" borderId="77" fillId="23" fontId="115" numFmtId="0" xfId="0">
      <alignment vertical="top" wrapText="1"/>
    </xf>
    <xf applyBorder="1" applyFont="1" borderId="42" fillId="0" fontId="4" numFmtId="0" xfId="0"/>
    <xf applyBorder="1" applyFill="1" applyFont="1" borderId="101" fillId="0" fontId="97" numFmtId="0" xfId="0"/>
    <xf applyBorder="1" applyFont="1" borderId="101" fillId="0" fontId="39" numFmtId="0" xfId="0"/>
    <xf applyFill="1" applyFont="1" applyNumberFormat="1" borderId="0" fillId="0" fontId="114" numFmtId="2" xfId="0"/>
    <xf applyAlignment="1" applyFill="1" applyFont="1" borderId="0" fillId="0" fontId="114" numFmtId="0" xfId="0">
      <alignment horizontal="right"/>
    </xf>
    <xf applyAlignment="1" applyBorder="1" applyFill="1" applyFont="1" borderId="0" fillId="0" fontId="169" numFmtId="0" xfId="0">
      <alignment horizontal="right"/>
    </xf>
    <xf applyAlignment="1" applyBorder="1" applyFill="1" applyFont="1" borderId="0" fillId="0" fontId="169" numFmtId="0" xfId="0"/>
    <xf applyAlignment="1" applyBorder="1" applyFill="1" applyFont="1" borderId="0" fillId="0" fontId="170" numFmtId="0" xfId="0"/>
    <xf applyBorder="1" applyFill="1" applyFont="1" borderId="65" fillId="0" fontId="122" numFmtId="0" quotePrefix="1" xfId="0"/>
    <xf applyBorder="1" applyFill="1" applyFont="1" borderId="65" fillId="0" fontId="122" numFmtId="0" xfId="0"/>
    <xf applyBorder="1" applyFill="1" applyFont="1" borderId="84" fillId="0" fontId="169" numFmtId="0" xfId="0"/>
    <xf applyBorder="1" applyFill="1" applyFont="1" applyNumberFormat="1" borderId="77" fillId="0" fontId="169" numFmtId="3" xfId="0"/>
    <xf applyAlignment="1" applyBorder="1" applyFill="1" applyFont="1" borderId="111" fillId="0" fontId="170" numFmtId="0" xfId="0">
      <alignment horizontal="left"/>
    </xf>
    <xf applyBorder="1" applyFill="1" applyFont="1" borderId="112" fillId="0" fontId="169" numFmtId="0" xfId="0"/>
    <xf applyBorder="1" applyFill="1" applyFont="1" borderId="65" fillId="0" fontId="170" numFmtId="0" xfId="0"/>
    <xf applyBorder="1" applyFill="1" applyFont="1" borderId="0" fillId="0" fontId="169" numFmtId="0" xfId="0"/>
    <xf applyBorder="1" applyFill="1" applyFont="1" borderId="65" fillId="0" fontId="169" numFmtId="0" xfId="0"/>
    <xf applyAlignment="1" applyBorder="1" applyFill="1" applyFont="1" borderId="65" fillId="0" fontId="169" numFmtId="0" xfId="0">
      <alignment horizontal="left"/>
    </xf>
    <xf applyAlignment="1" applyBorder="1" applyFill="1" applyFont="1" borderId="65" fillId="0" fontId="170" numFmtId="0" xfId="0">
      <alignment horizontal="left"/>
    </xf>
    <xf applyAlignment="1" applyBorder="1" applyFill="1" applyFont="1" borderId="113" fillId="0" fontId="170" numFmtId="0" xfId="0">
      <alignment horizontal="right"/>
    </xf>
    <xf applyAlignment="1" applyBorder="1" applyFill="1" applyFont="1" borderId="66" fillId="0" fontId="170" numFmtId="0" xfId="0">
      <alignment horizontal="right"/>
    </xf>
    <xf applyBorder="1" applyFill="1" applyFont="1" borderId="66" fillId="0" fontId="169" numFmtId="0" xfId="0"/>
    <xf applyAlignment="1" applyBorder="1" applyFill="1" applyFont="1" applyNumberFormat="1" borderId="66" fillId="0" fontId="169" numFmtId="1" xfId="0"/>
    <xf applyAlignment="1" applyBorder="1" applyFill="1" applyFont="1" borderId="67" fillId="0" fontId="169" numFmtId="0" xfId="0">
      <alignment horizontal="left"/>
    </xf>
    <xf applyBorder="1" applyFill="1" applyFont="1" applyNumberFormat="1" borderId="58" fillId="0" fontId="169" numFmtId="3" xfId="0"/>
    <xf applyBorder="1" applyFill="1" applyFont="1" borderId="67" fillId="0" fontId="169" numFmtId="0" xfId="0"/>
    <xf applyBorder="1" applyFill="1" applyFont="1" borderId="68" fillId="0" fontId="169" numFmtId="0" xfId="0"/>
    <xf applyBorder="1" applyFill="1" applyFont="1" borderId="68" fillId="0" fontId="171" numFmtId="0" xfId="0"/>
    <xf applyBorder="1" applyFill="1" applyFont="1" borderId="111" fillId="0" fontId="170" numFmtId="0" xfId="0"/>
    <xf applyBorder="1" applyFill="1" applyFont="1" borderId="58" fillId="0" fontId="169" numFmtId="0" xfId="0"/>
    <xf applyBorder="1" applyFill="1" applyFont="1" borderId="0" fillId="0" fontId="170" numFmtId="0" xfId="0"/>
    <xf applyBorder="1" applyFill="1" applyFont="1" borderId="6" fillId="0" fontId="169" numFmtId="0" xfId="0"/>
    <xf applyBorder="1" applyFill="1" applyFont="1" borderId="9" fillId="0" fontId="169" numFmtId="0" xfId="0"/>
    <xf applyBorder="1" applyFill="1" applyFont="1" borderId="11" fillId="0" fontId="169" numFmtId="0" xfId="0"/>
    <xf applyBorder="1" applyFill="1" applyFont="1" applyNumberFormat="1" borderId="7" fillId="27" fontId="169" numFmtId="164" xfId="0"/>
    <xf applyBorder="1" applyFill="1" applyFont="1" applyNumberFormat="1" borderId="10" fillId="27" fontId="169" numFmtId="164" xfId="0"/>
    <xf applyAlignment="1" applyBorder="1" applyFill="1" applyFont="1" borderId="12" fillId="0" fontId="169" numFmtId="0" xfId="0">
      <alignment horizontal="right"/>
    </xf>
    <xf applyAlignment="1" applyBorder="1" applyFill="1" applyFont="1" borderId="0" fillId="0" fontId="172" numFmtId="0" xfId="0"/>
    <xf applyFill="1" applyFont="1" borderId="0" fillId="0" fontId="172" numFmtId="0" xfId="0"/>
    <xf applyFill="1" applyFont="1" borderId="0" fillId="0" fontId="169" numFmtId="0" xfId="0"/>
    <xf applyFill="1" applyFont="1" applyNumberFormat="1" borderId="0" fillId="0" fontId="169" numFmtId="2" xfId="0"/>
    <xf applyAlignment="1" applyFill="1" applyFont="1" applyNumberFormat="1" borderId="0" fillId="0" fontId="169" numFmtId="2" xfId="0">
      <alignment horizontal="right"/>
    </xf>
    <xf applyBorder="1" applyFill="1" applyFont="1" applyNumberFormat="1" borderId="44" fillId="0" fontId="169" numFmtId="2" xfId="0"/>
    <xf applyAlignment="1" applyFill="1" applyFont="1" applyNumberFormat="1" borderId="0" fillId="0" fontId="170" numFmtId="2" xfId="0">
      <alignment horizontal="right"/>
    </xf>
    <xf applyBorder="1" applyFill="1" applyFont="1" applyNumberFormat="1" borderId="171" fillId="0" fontId="169" numFmtId="2" xfId="0"/>
    <xf applyBorder="1" applyFill="1" applyFont="1" applyNumberFormat="1" borderId="171" fillId="0" fontId="169" numFmtId="3" xfId="2"/>
    <xf applyAlignment="1" applyFill="1" applyFont="1" borderId="0" fillId="0" fontId="169" numFmtId="0" xfId="0">
      <alignment horizontal="right"/>
    </xf>
    <xf applyBorder="1" applyFill="1" applyFont="1" applyNumberFormat="1" borderId="1" fillId="0" fontId="169" numFmtId="2" xfId="0"/>
    <xf applyBorder="1" applyFill="1" applyFont="1" borderId="1" fillId="0" fontId="169" numFmtId="0" xfId="0"/>
    <xf applyFill="1" applyFont="1" applyNumberFormat="1" borderId="0" fillId="0" fontId="169" numFmtId="1" xfId="0"/>
    <xf applyAlignment="1" applyBorder="1" applyFill="1" applyFont="1" borderId="0" fillId="0" fontId="4" numFmtId="0" xfId="0">
      <alignment horizontal="right"/>
    </xf>
    <xf applyFill="1" applyFont="1" borderId="0" fillId="0" fontId="4" numFmtId="0" xfId="0"/>
    <xf applyAlignment="1" applyFill="1" applyFont="1" borderId="0" fillId="0" fontId="169" numFmtId="0" xfId="0">
      <alignment horizontal="center"/>
    </xf>
    <xf applyBorder="1" borderId="198" fillId="0" fontId="0" numFmtId="0" xfId="0"/>
    <xf applyAlignment="1" applyBorder="1" applyFill="1" applyFont="1" borderId="0" fillId="0" fontId="173" numFmtId="0" xfId="0">
      <alignment horizontal="center"/>
    </xf>
    <xf applyBorder="1" applyFill="1" applyFont="1" borderId="0" fillId="0" fontId="173" numFmtId="0" xfId="0"/>
    <xf applyAlignment="1" applyBorder="1" applyFill="1" applyFont="1" borderId="0" fillId="0" fontId="169" numFmtId="0" xfId="0">
      <alignment horizontal="left"/>
    </xf>
    <xf applyAlignment="1" applyBorder="1" applyFill="1" applyFont="1" borderId="0" fillId="0" fontId="170" numFmtId="0" xfId="0">
      <alignment horizontal="center"/>
    </xf>
    <xf applyBorder="1" applyFill="1" applyFont="1" applyNumberFormat="1" applyProtection="1" borderId="1" fillId="0" fontId="169" numFmtId="1" xfId="2">
      <protection locked="0"/>
    </xf>
    <xf applyBorder="1" applyFill="1" applyFont="1" applyNumberFormat="1" borderId="1" fillId="0" fontId="169" numFmtId="1" xfId="2"/>
    <xf applyAlignment="1" applyFill="1" applyFont="1" borderId="0" fillId="0" fontId="171" numFmtId="0" xfId="0">
      <alignment horizontal="right"/>
    </xf>
    <xf applyAlignment="1" applyBorder="1" applyFill="1" applyFont="1" borderId="1" fillId="0" fontId="174" numFmtId="0" xfId="0">
      <alignment horizontal="center"/>
    </xf>
    <xf applyAlignment="1" applyFill="1" applyFont="1" borderId="0" fillId="0" fontId="172" numFmtId="0" xfId="0">
      <alignment horizontal="right"/>
    </xf>
    <xf applyAlignment="1" applyBorder="1" applyFill="1" applyFont="1" borderId="1" fillId="0" fontId="172" numFmtId="0" xfId="0">
      <alignment horizontal="center"/>
    </xf>
    <xf applyAlignment="1" applyBorder="1" applyFill="1" applyFont="1" borderId="1" fillId="0" fontId="169" numFmtId="0" xfId="0">
      <alignment horizontal="center"/>
    </xf>
    <xf applyBorder="1" applyFill="1" applyFont="1" applyNumberFormat="1" borderId="1" fillId="0" fontId="169" numFmtId="3" xfId="0"/>
    <xf applyAlignment="1" applyFill="1" applyFont="1" borderId="0" fillId="0" fontId="169" numFmtId="0" xfId="0">
      <alignment horizontal="left"/>
    </xf>
    <xf applyAlignment="1" applyBorder="1" applyFill="1" applyFont="1" borderId="1" fillId="0" fontId="171" numFmtId="0" xfId="0">
      <alignment horizontal="center"/>
    </xf>
    <xf applyBorder="1" applyFill="1" applyFont="1" applyNumberFormat="1" borderId="1" fillId="0" fontId="171" numFmtId="3" xfId="0"/>
    <xf applyAlignment="1" applyFill="1" applyFont="1" borderId="0" fillId="0" fontId="172" numFmtId="0" xfId="0">
      <alignment horizontal="center"/>
    </xf>
    <xf applyBorder="1" applyFill="1" applyFont="1" borderId="0" fillId="0" fontId="75" numFmtId="0" xfId="0"/>
    <xf applyBorder="1" applyFill="1" applyFont="1" applyNumberFormat="1" borderId="1" fillId="0" fontId="169" numFmtId="176" xfId="1"/>
    <xf applyFill="1" applyFont="1" borderId="0" fillId="0" fontId="175" numFmtId="0" xfId="0"/>
    <xf applyBorder="1" applyFill="1" applyFont="1" applyNumberFormat="1" borderId="0" fillId="0" fontId="57" numFmtId="2" xfId="0"/>
    <xf applyAlignment="1" applyBorder="1" applyFill="1" applyFont="1" applyNumberFormat="1" borderId="0" fillId="0" fontId="8" numFmtId="3" xfId="2"/>
    <xf applyAlignment="1" applyBorder="1" applyFill="1" applyFont="1" borderId="0" fillId="0" fontId="4" numFmtId="0" xfId="0">
      <alignment horizontal="left"/>
    </xf>
    <xf applyAlignment="1" applyBorder="1" applyFill="1" applyFont="1" borderId="0" fillId="0" fontId="4" numFmtId="0" xfId="0">
      <alignment horizontal="right"/>
    </xf>
    <xf applyFill="1" applyFont="1" borderId="0" fillId="0" fontId="4" numFmtId="0" xfId="0"/>
    <xf applyFill="1" applyFont="1" borderId="0" fillId="0" fontId="171" numFmtId="0" xfId="0"/>
    <xf applyFill="1" applyFont="1" borderId="0" fillId="0" fontId="4" numFmtId="0" xfId="0"/>
    <xf applyAlignment="1" applyBorder="1" applyFill="1" applyFont="1" borderId="63" fillId="0" fontId="112" numFmtId="0" xfId="0">
      <alignment horizontal="left"/>
    </xf>
    <xf applyAlignment="1" applyBorder="1" applyFill="1" applyFont="1" borderId="63" fillId="0" fontId="112" numFmtId="0" xfId="0">
      <alignment horizontal="right"/>
    </xf>
    <xf applyAlignment="1" applyBorder="1" applyFill="1" applyFont="1" borderId="63" fillId="0" fontId="112" numFmtId="0" xfId="0">
      <alignment horizontal="center"/>
    </xf>
    <xf applyBorder="1" applyFill="1" applyFont="1" applyNumberFormat="1" borderId="64" fillId="0" fontId="112" numFmtId="2" xfId="0"/>
    <xf applyAlignment="1" applyBorder="1" applyFill="1" applyFont="1" borderId="0" fillId="0" fontId="112" numFmtId="0" xfId="0">
      <alignment horizontal="center"/>
    </xf>
    <xf applyBorder="1" applyFill="1" applyFont="1" applyNumberFormat="1" borderId="66" fillId="0" fontId="112" numFmtId="2" xfId="0"/>
    <xf applyAlignment="1" applyBorder="1" applyFill="1" applyFont="1" borderId="68" fillId="0" fontId="112" numFmtId="0" xfId="0">
      <alignment horizontal="right"/>
    </xf>
    <xf applyAlignment="1" applyBorder="1" applyFill="1" applyFont="1" borderId="68" fillId="0" fontId="112" numFmtId="0" xfId="0">
      <alignment horizontal="center"/>
    </xf>
    <xf applyBorder="1" applyFill="1" applyFont="1" applyNumberFormat="1" borderId="0" fillId="0" fontId="169" numFmtId="1" xfId="2"/>
    <xf applyAlignment="1" applyBorder="1" applyFill="1" applyFont="1" borderId="0" fillId="0" fontId="176" numFmtId="0" xfId="0">
      <alignment horizontal="left"/>
    </xf>
    <xf applyFill="1" applyFont="1" borderId="0" fillId="0" fontId="176" numFmtId="0" xfId="0"/>
    <xf applyBorder="1" applyFill="1" applyFont="1" borderId="0" fillId="0" fontId="176" numFmtId="0" xfId="0"/>
    <xf applyFill="1" applyFont="1" borderId="0" fillId="0" fontId="177" numFmtId="0" xfId="0"/>
    <xf applyAlignment="1" applyBorder="1" applyFill="1" applyFont="1" applyNumberFormat="1" borderId="0" fillId="0" fontId="176" numFmtId="1" xfId="0">
      <alignment horizontal="left"/>
    </xf>
    <xf applyAlignment="1" applyFill="1" applyFont="1" applyNumberFormat="1" borderId="0" fillId="0" fontId="176" numFmtId="1" xfId="0">
      <alignment horizontal="left"/>
    </xf>
    <xf applyBorder="1" applyFill="1" applyFont="1" applyNumberFormat="1" borderId="0" fillId="0" fontId="176" numFmtId="1" xfId="0"/>
    <xf applyAlignment="1" applyBorder="1" applyFill="1" applyFont="1" applyNumberFormat="1" borderId="0" fillId="0" fontId="176" numFmtId="2" xfId="0">
      <alignment horizontal="left"/>
    </xf>
    <xf applyAlignment="1" applyFill="1" applyFont="1" borderId="0" fillId="0" fontId="176" numFmtId="0" xfId="0">
      <alignment horizontal="left"/>
    </xf>
    <xf applyAlignment="1" applyFill="1" applyFont="1" borderId="0" fillId="0" fontId="178" numFmtId="0" xfId="0">
      <alignment horizontal="left"/>
    </xf>
    <xf applyAlignment="1" applyBorder="1" applyFill="1" applyFont="1" borderId="0" fillId="0" fontId="179" numFmtId="0" xfId="0">
      <alignment horizontal="left"/>
    </xf>
    <xf applyBorder="1" applyFill="1" applyFont="1" borderId="0" fillId="0" fontId="178" numFmtId="0" xfId="0"/>
    <xf applyBorder="1" applyFill="1" applyFont="1" borderId="0" fillId="0" fontId="180" numFmtId="0" xfId="0"/>
    <xf applyBorder="1" applyFill="1" applyFont="1" borderId="73" fillId="0" fontId="181" numFmtId="0" xfId="0"/>
    <xf applyBorder="1" applyFill="1" applyFont="1" borderId="74" fillId="0" fontId="181" numFmtId="0" xfId="0"/>
    <xf applyFill="1" applyFont="1" borderId="0" fillId="0" fontId="181" numFmtId="0" xfId="0"/>
    <xf applyBorder="1" applyFill="1" applyFont="1" borderId="156" fillId="0" fontId="175" numFmtId="0" xfId="0"/>
    <xf applyBorder="1" applyFill="1" applyFont="1" borderId="157" fillId="0" fontId="175" numFmtId="0" xfId="0"/>
    <xf applyFill="1" applyFont="1" borderId="0" fillId="24" fontId="175" numFmtId="0" xfId="0"/>
    <xf applyBorder="1" applyFill="1" applyFont="1" applyNumberFormat="1" borderId="0" fillId="0" fontId="39" numFmtId="1" xfId="2"/>
    <xf applyAlignment="1" applyBorder="1" applyFill="1" applyFont="1" applyNumberFormat="1" borderId="0" fillId="0" fontId="120" numFmtId="2" xfId="0">
      <alignment horizontal="right"/>
    </xf>
    <xf applyFill="1" applyFont="1" borderId="0" fillId="0" fontId="4" numFmtId="0" xfId="0"/>
    <xf applyFill="1" applyFont="1" applyNumberFormat="1" borderId="0" fillId="0" fontId="182" numFmtId="2" xfId="0"/>
    <xf applyAlignment="1" applyFill="1" applyFont="1" applyNumberFormat="1" borderId="0" fillId="0" fontId="182" numFmtId="2" xfId="0">
      <alignment horizontal="right"/>
    </xf>
    <xf applyAlignment="1" applyFill="1" applyFont="1" borderId="0" fillId="0" fontId="182" numFmtId="0" xfId="0">
      <alignment horizontal="right"/>
    </xf>
    <xf applyBorder="1" applyFill="1" applyFont="1" borderId="213" fillId="0" fontId="112" numFmtId="0" quotePrefix="1" xfId="0"/>
    <xf applyBorder="1" applyFont="1" applyProtection="1" borderId="198" fillId="0" fontId="4" numFmtId="170" xfId="1">
      <protection locked="0"/>
    </xf>
    <xf applyBorder="1" applyFont="1" applyProtection="1" borderId="191" fillId="0" fontId="8" numFmtId="170" xfId="1">
      <protection locked="0"/>
    </xf>
    <xf applyAlignment="1" applyBorder="1" applyFont="1" applyProtection="1" borderId="198" fillId="0" fontId="8" numFmtId="170" xfId="1">
      <alignment horizontal="center"/>
      <protection locked="0"/>
    </xf>
    <xf applyAlignment="1" applyBorder="1" applyFont="1" applyProtection="1" borderId="198" fillId="0" fontId="4" numFmtId="170" xfId="1">
      <alignment horizontal="center"/>
      <protection locked="0"/>
    </xf>
    <xf applyAlignment="1" applyBorder="1" applyFont="1" applyProtection="1" borderId="182" fillId="0" fontId="4" numFmtId="170" xfId="1">
      <alignment horizontal="center"/>
      <protection locked="0"/>
    </xf>
    <xf applyFill="1" applyFont="1" borderId="0" fillId="27" fontId="39" numFmtId="0" xfId="0"/>
    <xf applyBorder="1" applyFill="1" applyFont="1" borderId="198" fillId="27" fontId="134" numFmtId="0" xfId="0"/>
    <xf applyBorder="1" applyFont="1" borderId="114" fillId="0" fontId="67" numFmtId="0" xfId="0"/>
    <xf applyBorder="1" applyFont="1" borderId="116" fillId="0" fontId="67" numFmtId="0" xfId="0"/>
    <xf applyBorder="1" applyFont="1" borderId="116" fillId="0" fontId="68" numFmtId="0" xfId="0"/>
    <xf applyBorder="1" applyFont="1" borderId="0" fillId="0" fontId="16" numFmtId="0" xfId="0"/>
    <xf applyAlignment="1" applyBorder="1" applyFont="1" applyProtection="1" borderId="116" fillId="0" fontId="67" numFmtId="0" xfId="0"/>
    <xf applyBorder="1" applyFont="1" borderId="215" fillId="0" fontId="67" numFmtId="0" xfId="0"/>
    <xf applyAlignment="1" applyBorder="1" applyFill="1" applyFont="1" borderId="0" fillId="0" fontId="163" numFmtId="0" xfId="0"/>
    <xf applyFill="1" applyFont="1" borderId="0" fillId="0" fontId="4" numFmtId="0" xfId="0"/>
    <xf applyAlignment="1" applyFill="1" applyFont="1" borderId="0" fillId="0" fontId="169" numFmtId="0" xfId="0">
      <alignment horizontal="left" indent="1"/>
    </xf>
    <xf applyFill="1" applyFont="1" borderId="0" fillId="0" fontId="30" numFmtId="0" xfId="0"/>
    <xf applyAlignment="1" applyBorder="1" applyFill="1" applyFont="1" borderId="0" fillId="0" fontId="35" numFmtId="0" xfId="0">
      <alignment horizontal="left" indent="3"/>
    </xf>
    <xf applyAlignment="1" applyFill="1" applyFont="1" borderId="0" fillId="0" fontId="172" numFmtId="0" xfId="0">
      <alignment horizontal="left" indent="1"/>
    </xf>
    <xf applyAlignment="1" applyBorder="1" applyFill="1" applyFont="1" borderId="0" fillId="0" fontId="4" numFmtId="0" xfId="0">
      <alignment horizontal="right"/>
    </xf>
    <xf applyAlignment="1" applyBorder="1" applyFill="1" applyFont="1" borderId="0" fillId="0" fontId="4" numFmtId="0" xfId="0">
      <alignment horizontal="left"/>
    </xf>
    <xf applyFill="1" applyFont="1" borderId="0" fillId="0" fontId="4" numFmtId="0" xfId="0"/>
    <xf applyAlignment="1" applyFill="1" applyFont="1" borderId="0" fillId="0" fontId="4" numFmtId="0" xfId="0">
      <alignment horizontal="left"/>
    </xf>
    <xf applyAlignment="1" applyFill="1" applyFont="1" borderId="0" fillId="0" fontId="179" numFmtId="0" xfId="0">
      <alignment horizontal="left"/>
    </xf>
    <xf applyAlignment="1" applyFill="1" applyFont="1" borderId="0" fillId="0" fontId="175" numFmtId="0" xfId="0">
      <alignment horizontal="right"/>
    </xf>
    <xf applyAlignment="1" applyFill="1" applyFont="1" borderId="0" fillId="0" fontId="175" numFmtId="0" xfId="0">
      <alignment horizontal="left"/>
    </xf>
    <xf applyAlignment="1" applyBorder="1" applyFill="1" applyFont="1" borderId="17" fillId="0" fontId="169" numFmtId="0" xfId="0">
      <alignment horizontal="left"/>
    </xf>
    <xf applyBorder="1" applyFill="1" applyFont="1" borderId="27" fillId="0" fontId="169" numFmtId="0" xfId="0"/>
    <xf applyBorder="1" applyFill="1" applyFont="1" borderId="16" fillId="0" fontId="175" numFmtId="0" xfId="0"/>
    <xf applyBorder="1" applyFill="1" applyFont="1" borderId="0" fillId="0" fontId="175" numFmtId="0" xfId="0"/>
    <xf applyAlignment="1" applyBorder="1" applyFill="1" applyFont="1" borderId="0" fillId="0" fontId="170" numFmtId="0" xfId="0">
      <alignment horizontal="right"/>
    </xf>
    <xf applyAlignment="1" applyBorder="1" applyFill="1" applyFont="1" borderId="1" fillId="0" fontId="7" numFmtId="0" xfId="0">
      <alignment horizontal="center" wrapText="1"/>
    </xf>
    <xf applyBorder="1" applyFill="1" applyFont="1" applyNumberFormat="1" borderId="1" fillId="0" fontId="1" numFmtId="3" xfId="0"/>
    <xf applyBorder="1" applyFill="1" applyFont="1" applyNumberFormat="1" borderId="1" fillId="0" fontId="1" numFmtId="1" xfId="0"/>
    <xf applyAlignment="1" applyBorder="1" applyFill="1" applyFont="1" applyNumberFormat="1" borderId="1" fillId="0" fontId="1" numFmtId="1" xfId="0">
      <alignment wrapText="1"/>
    </xf>
    <xf applyBorder="1" applyFill="1" applyFont="1" applyNumberFormat="1" borderId="1" fillId="0" fontId="1" numFmtId="4" xfId="0"/>
    <xf applyBorder="1" applyFill="1" applyFont="1" applyNumberFormat="1" borderId="1" fillId="0" fontId="1" numFmtId="2" xfId="0"/>
    <xf applyBorder="1" applyFill="1" applyFont="1" applyNumberFormat="1" borderId="1" fillId="0" fontId="90" numFmtId="1" xfId="0"/>
    <xf applyFill="1" applyFont="1" borderId="0" fillId="31" fontId="1" numFmtId="0" xfId="0"/>
    <xf applyBorder="1" applyFill="1" applyFont="1" borderId="68" fillId="0" fontId="1" numFmtId="0" xfId="0"/>
    <xf applyAlignment="1" applyBorder="1" applyFill="1" applyFont="1" applyNumberFormat="1" borderId="1" fillId="0" fontId="1" numFmtId="1" xfId="0">
      <alignment vertical="top" wrapText="1"/>
    </xf>
    <xf applyAlignment="1" applyBorder="1" applyFill="1" applyFont="1" applyNumberFormat="1" borderId="1" fillId="0" fontId="1" numFmtId="2" xfId="0">
      <alignment vertical="top"/>
    </xf>
    <xf applyBorder="1" applyFill="1" applyFont="1" borderId="58" fillId="0" fontId="1" numFmtId="0" xfId="0"/>
    <xf applyBorder="1" applyFill="1" applyFont="1" applyNumberFormat="1" borderId="171" fillId="0" fontId="1" numFmtId="2" xfId="0"/>
    <xf applyBorder="1" applyFill="1" applyFont="1" applyNumberFormat="1" borderId="1" fillId="0" fontId="90" numFmtId="4" xfId="0"/>
    <xf applyBorder="1" applyFill="1" applyFont="1" applyNumberFormat="1" borderId="1" fillId="0" fontId="90" numFmtId="2" xfId="0"/>
    <xf applyBorder="1" applyFill="1" applyFont="1" borderId="1" fillId="0" fontId="1" numFmtId="9" xfId="4"/>
    <xf applyBorder="1" applyFill="1" applyFont="1" borderId="1" fillId="0" fontId="7" numFmtId="0" xfId="0"/>
    <xf applyBorder="1" applyFill="1" applyFont="1" borderId="1" fillId="0" fontId="183" numFmtId="0" xfId="0"/>
    <xf applyAlignment="1" applyBorder="1" applyFill="1" applyFont="1" borderId="1" fillId="0" fontId="183" numFmtId="0" xfId="0"/>
    <xf applyAlignment="1" applyBorder="1" applyFill="1" applyFont="1" borderId="1" fillId="0" fontId="184" numFmtId="0" xfId="0"/>
    <xf applyBorder="1" applyFill="1" applyFont="1" borderId="67" fillId="0" fontId="1" numFmtId="0" xfId="0"/>
    <xf applyAlignment="1" applyBorder="1" applyFill="1" applyFont="1" borderId="0" fillId="0" fontId="1" numFmtId="0" xfId="0"/>
    <xf applyBorder="1" applyFill="1" applyFont="1" borderId="102" fillId="0" fontId="183" numFmtId="0" xfId="0"/>
    <xf applyAlignment="1" applyBorder="1" applyFill="1" applyFont="1" borderId="1" fillId="0" fontId="183" numFmtId="0" xfId="0">
      <alignment vertical="top"/>
    </xf>
    <xf applyBorder="1" applyFill="1" applyFont="1" borderId="1" fillId="0" fontId="90" numFmtId="0" xfId="0"/>
    <xf applyAlignment="1" applyBorder="1" applyFill="1" applyFont="1" applyNumberFormat="1" borderId="171" fillId="0" fontId="169" numFmtId="3" xfId="0">
      <alignment horizontal="left"/>
    </xf>
    <xf applyBorder="1" applyFill="1" applyFont="1" borderId="77" fillId="0" fontId="169" numFmtId="0" xfId="0"/>
    <xf applyAlignment="1" applyBorder="1" applyFont="1" applyNumberFormat="1" applyProtection="1" borderId="184" fillId="0" fontId="4" numFmtId="170" xfId="1">
      <alignment horizontal="center" wrapText="1"/>
      <protection locked="0"/>
    </xf>
    <xf applyAlignment="1" applyBorder="1" applyFill="1" applyFont="1" borderId="0" fillId="0" fontId="4" numFmtId="0" xfId="0">
      <alignment horizontal="right"/>
    </xf>
    <xf applyFill="1" applyFont="1" borderId="0" fillId="0" fontId="4" numFmtId="0" xfId="0"/>
    <xf applyAlignment="1" applyFill="1" applyFont="1" borderId="0" fillId="0" fontId="4" numFmtId="0" xfId="0">
      <alignment horizontal="left"/>
    </xf>
    <xf applyBorder="1" applyFill="1" applyFont="1" borderId="87" fillId="0" fontId="169" numFmtId="0" xfId="0"/>
    <xf applyBorder="1" applyFill="1" applyFont="1" borderId="88" fillId="0" fontId="169" numFmtId="0" xfId="0"/>
    <xf applyBorder="1" applyFont="1" applyProtection="1" borderId="18" fillId="0" fontId="0" numFmtId="170" xfId="1">
      <protection locked="0"/>
    </xf>
    <xf applyAlignment="1" applyBorder="1" applyFont="1" applyProtection="1" borderId="197" fillId="0" fontId="4" numFmtId="0" xfId="0">
      <alignment horizontal="center"/>
      <protection locked="0"/>
    </xf>
    <xf applyAlignment="1" applyBorder="1" applyFont="1" applyNumberFormat="1" applyProtection="1" borderId="197" fillId="0" fontId="4" numFmtId="2" xfId="0">
      <alignment horizontal="center"/>
      <protection locked="0"/>
    </xf>
    <xf applyAlignment="1" applyBorder="1" applyFill="1" applyFont="1" applyNumberFormat="1" borderId="197" fillId="10" fontId="8" numFmtId="181" xfId="0">
      <alignment horizontal="center"/>
    </xf>
    <xf applyAlignment="1" applyBorder="1" applyFont="1" applyNumberFormat="1" applyProtection="1" borderId="197" fillId="0" fontId="8" numFmtId="2" xfId="0">
      <alignment horizontal="center"/>
      <protection locked="0"/>
    </xf>
    <xf applyAlignment="1" applyBorder="1" applyFill="1" applyFont="1" applyNumberFormat="1" applyProtection="1" borderId="197" fillId="10" fontId="8" numFmtId="181" xfId="0">
      <alignment horizontal="center"/>
      <protection locked="0"/>
    </xf>
    <xf applyAlignment="1" applyBorder="1" applyFill="1" applyFont="1" applyProtection="1" borderId="197" fillId="10" fontId="4" numFmtId="0" xfId="0">
      <alignment horizontal="center"/>
    </xf>
    <xf applyBorder="1" applyFill="1" applyFont="1" applyProtection="1" borderId="197" fillId="0" fontId="4" numFmtId="170" xfId="1">
      <protection locked="0"/>
    </xf>
    <xf applyBorder="1" applyFill="1" applyFont="1" applyNumberFormat="1" applyProtection="1" borderId="197" fillId="23" fontId="89" numFmtId="2" xfId="0">
      <protection locked="0"/>
    </xf>
    <xf applyBorder="1" applyFill="1" applyFont="1" applyProtection="1" borderId="197" fillId="10" fontId="4" numFmtId="0" xfId="0">
      <protection locked="0"/>
    </xf>
    <xf applyAlignment="1" applyBorder="1" applyFill="1" applyFont="1" applyProtection="1" borderId="197" fillId="10" fontId="4" numFmtId="0" xfId="0">
      <alignment horizontal="center"/>
      <protection locked="0"/>
    </xf>
    <xf applyAlignment="1" applyBorder="1" applyFill="1" applyFont="1" applyProtection="1" borderId="161" fillId="10" fontId="4" numFmtId="0" xfId="0">
      <alignment horizontal="center"/>
    </xf>
    <xf applyBorder="1" applyFill="1" applyFont="1" borderId="197" fillId="0" fontId="73" numFmtId="0" xfId="0"/>
    <xf applyBorder="1" applyFill="1" applyFont="1" borderId="181" fillId="0" fontId="73" numFmtId="0" xfId="0"/>
    <xf applyAlignment="1" applyBorder="1" applyFont="1" applyProtection="1" borderId="181" fillId="0" fontId="8" numFmtId="170" xfId="1">
      <protection locked="0"/>
    </xf>
    <xf applyAlignment="1" applyBorder="1" applyFill="1" applyFont="1" applyProtection="1" borderId="184" fillId="3" fontId="8" numFmtId="0" xfId="0">
      <protection locked="0"/>
    </xf>
    <xf applyBorder="1" applyFont="1" applyNumberFormat="1" applyProtection="1" borderId="214" fillId="0" fontId="4" numFmtId="2" xfId="0">
      <protection locked="0"/>
    </xf>
    <xf applyBorder="1" applyFont="1" applyNumberFormat="1" applyProtection="1" borderId="211" fillId="0" fontId="4" numFmtId="2" xfId="0">
      <protection locked="0"/>
    </xf>
    <xf applyFill="1" applyFont="1" borderId="0" fillId="0" fontId="4" numFmtId="0" xfId="0"/>
    <xf applyFill="1" applyFont="1" applyNumberFormat="1" borderId="0" fillId="0" fontId="169" numFmtId="9" xfId="0"/>
    <xf applyFill="1" applyFont="1" applyNumberFormat="1" borderId="0" fillId="0" fontId="169" numFmtId="9" quotePrefix="1" xfId="0"/>
    <xf applyFill="1" applyFont="1" applyNumberFormat="1" borderId="0" fillId="0" fontId="169" numFmtId="3" xfId="0"/>
    <xf applyAlignment="1" applyFill="1" applyFont="1" applyNumberFormat="1" borderId="0" fillId="0" fontId="4" numFmtId="178" xfId="0">
      <alignment horizontal="left" indent="1"/>
    </xf>
    <xf applyAlignment="1" applyFill="1" applyFont="1" applyNumberFormat="1" borderId="0" fillId="0" fontId="4" numFmtId="178" xfId="0">
      <alignment horizontal="left"/>
    </xf>
    <xf applyAlignment="1" applyFill="1" applyFont="1" borderId="0" fillId="0" fontId="4" numFmtId="0" xfId="0">
      <alignment horizontal="left" indent="5"/>
    </xf>
    <xf applyAlignment="1" applyBorder="1" applyFont="1" applyNumberFormat="1" applyProtection="1" borderId="197" fillId="0" fontId="4" numFmtId="4" xfId="1">
      <alignment horizontal="right"/>
      <protection locked="0"/>
    </xf>
    <xf applyAlignment="1" applyBorder="1" applyFill="1" applyFont="1" applyNumberFormat="1" borderId="197" fillId="0" fontId="4" numFmtId="4" xfId="1">
      <alignment horizontal="right"/>
    </xf>
    <xf applyAlignment="1" applyBorder="1" applyFont="1" applyNumberFormat="1" applyProtection="1" borderId="197" fillId="0" fontId="4" numFmtId="4" xfId="0">
      <alignment horizontal="right"/>
      <protection locked="0"/>
    </xf>
    <xf applyAlignment="1" applyBorder="1" applyFont="1" applyProtection="1" borderId="197" fillId="0" fontId="4" numFmtId="0" xfId="0">
      <alignment horizontal="right"/>
      <protection locked="0"/>
    </xf>
    <xf applyAlignment="1" applyBorder="1" applyFont="1" applyNumberFormat="1" applyProtection="1" borderId="181" fillId="0" fontId="4" numFmtId="4" xfId="0">
      <alignment horizontal="right"/>
      <protection locked="0"/>
    </xf>
    <xf applyAlignment="1" applyFill="1" applyFont="1" borderId="0" fillId="27" fontId="39" numFmtId="0" xfId="0">
      <alignment horizontal="center"/>
    </xf>
    <xf applyBorder="1" applyFill="1" applyFont="1" borderId="197" fillId="15" fontId="39" numFmtId="0" xfId="0"/>
    <xf applyBorder="1" applyFill="1" applyFont="1" borderId="197" fillId="17" fontId="39" numFmtId="0" xfId="0"/>
    <xf applyAlignment="1" applyBorder="1" applyFont="1" applyNumberFormat="1" applyProtection="1" borderId="198" fillId="0" fontId="8" numFmtId="182" xfId="0">
      <alignment horizontal="right"/>
      <protection locked="0"/>
    </xf>
    <xf applyAlignment="1" applyBorder="1" applyFill="1" applyFont="1" applyNumberFormat="1" applyProtection="1" borderId="198" fillId="10" fontId="8" numFmtId="182" xfId="0">
      <alignment horizontal="right"/>
    </xf>
    <xf applyAlignment="1" applyBorder="1" applyFill="1" applyFont="1" applyNumberFormat="1" applyProtection="1" borderId="198" fillId="17" fontId="8" numFmtId="182" xfId="0">
      <alignment horizontal="center"/>
    </xf>
    <xf applyAlignment="1" applyBorder="1" applyFill="1" applyFont="1" borderId="182" fillId="0" fontId="69" numFmtId="0" xfId="0">
      <alignment horizontal="left"/>
    </xf>
    <xf applyBorder="1" applyFill="1" applyFont="1" applyNumberFormat="1" applyProtection="1" borderId="182" fillId="0" fontId="39" numFmtId="182" xfId="0"/>
    <xf applyBorder="1" applyFill="1" applyFont="1" applyNumberFormat="1" applyProtection="1" borderId="184" fillId="0" fontId="39" numFmtId="182" xfId="0"/>
    <xf applyBorder="1" applyFill="1" applyFont="1" applyNumberFormat="1" applyProtection="1" borderId="198" fillId="10" fontId="4" numFmtId="14" xfId="0"/>
    <xf applyAlignment="1" applyBorder="1" applyFont="1" applyNumberFormat="1" applyProtection="1" borderId="198" fillId="0" fontId="4" numFmtId="182" xfId="0">
      <alignment horizontal="right"/>
      <protection locked="0"/>
    </xf>
    <xf applyAlignment="1" applyBorder="1" applyFill="1" applyFont="1" applyNumberFormat="1" applyProtection="1" borderId="198" fillId="10" fontId="4" numFmtId="182" xfId="0">
      <alignment horizontal="right"/>
    </xf>
    <xf applyAlignment="1" applyBorder="1" applyFill="1" applyFont="1" applyNumberFormat="1" applyProtection="1" borderId="198" fillId="0" fontId="8" numFmtId="182" xfId="0">
      <alignment horizontal="right"/>
      <protection locked="0"/>
    </xf>
    <xf applyAlignment="1" applyBorder="1" applyFill="1" applyFont="1" applyNumberFormat="1" applyProtection="1" borderId="198" fillId="17" fontId="8" numFmtId="182" xfId="0">
      <alignment horizontal="right"/>
      <protection locked="0"/>
    </xf>
    <xf applyAlignment="1" applyBorder="1" applyFont="1" applyNumberFormat="1" applyProtection="1" borderId="182" fillId="0" fontId="4" numFmtId="182" xfId="0">
      <alignment horizontal="right"/>
      <protection locked="0"/>
    </xf>
    <xf applyAlignment="1" applyBorder="1" applyFill="1" applyFont="1" applyNumberFormat="1" applyProtection="1" borderId="198" fillId="10" fontId="4" numFmtId="0" xfId="0">
      <alignment horizontal="center"/>
    </xf>
    <xf applyAlignment="1" applyBorder="1" applyFont="1" applyNumberFormat="1" applyProtection="1" borderId="198" fillId="0" fontId="4" numFmtId="1" xfId="0">
      <alignment horizontal="center" wrapText="1"/>
      <protection locked="0"/>
    </xf>
    <xf applyBorder="1" applyFill="1" applyFont="1" applyProtection="1" borderId="198" fillId="10" fontId="4" numFmtId="0" xfId="0"/>
    <xf applyAlignment="1" applyBorder="1" applyFont="1" applyNumberFormat="1" applyProtection="1" borderId="198" fillId="0" fontId="4" numFmtId="180" xfId="0">
      <alignment horizontal="right"/>
      <protection locked="0"/>
    </xf>
    <xf applyAlignment="1" applyBorder="1" applyFont="1" applyNumberFormat="1" applyProtection="1" borderId="198" fillId="0" fontId="4" numFmtId="0" xfId="0">
      <alignment horizontal="center"/>
      <protection locked="0"/>
    </xf>
    <xf applyAlignment="1" applyBorder="1" applyFont="1" applyNumberFormat="1" applyProtection="1" borderId="198" fillId="0" fontId="4" numFmtId="2" xfId="0">
      <alignment horizontal="right"/>
      <protection locked="0"/>
    </xf>
    <xf applyAlignment="1" applyBorder="1" applyFont="1" applyNumberFormat="1" applyProtection="1" borderId="198" fillId="0" fontId="8" numFmtId="2" xfId="0">
      <alignment horizontal="right"/>
      <protection locked="0"/>
    </xf>
    <xf applyAlignment="1" applyBorder="1" applyFill="1" applyFont="1" applyNumberFormat="1" applyProtection="1" borderId="198" fillId="0" fontId="4" numFmtId="0" xfId="0">
      <alignment horizontal="center"/>
    </xf>
    <xf applyAlignment="1" applyBorder="1" applyFill="1" applyFont="1" applyNumberFormat="1" applyProtection="1" borderId="198" fillId="0" fontId="4" numFmtId="182" xfId="0">
      <alignment horizontal="right"/>
      <protection locked="0"/>
    </xf>
    <xf applyAlignment="1" applyBorder="1" applyFill="1" applyFont="1" applyNumberFormat="1" applyProtection="1" borderId="198" fillId="0" fontId="4" numFmtId="182" xfId="0">
      <alignment horizontal="right"/>
    </xf>
    <xf applyBorder="1" applyFill="1" applyFont="1" applyNumberFormat="1" applyProtection="1" borderId="198" fillId="10" fontId="4" numFmtId="182" xfId="0"/>
    <xf applyBorder="1" applyFont="1" applyNumberFormat="1" applyProtection="1" borderId="198" fillId="0" fontId="4" numFmtId="182" xfId="0">
      <protection locked="0"/>
    </xf>
    <xf applyBorder="1" applyFill="1" applyFont="1" applyNumberFormat="1" applyProtection="1" borderId="198" fillId="10" fontId="8" numFmtId="182" xfId="0"/>
    <xf applyBorder="1" applyFill="1" applyFont="1" applyNumberFormat="1" applyProtection="1" borderId="198" fillId="0" fontId="8" numFmtId="182" xfId="0"/>
    <xf applyBorder="1" applyFont="1" applyNumberFormat="1" applyProtection="1" borderId="198" fillId="0" fontId="8" numFmtId="182" xfId="0">
      <protection locked="0"/>
    </xf>
    <xf applyBorder="1" applyFill="1" applyFont="1" applyNumberFormat="1" applyProtection="1" borderId="182" fillId="10" fontId="4" numFmtId="182" xfId="0"/>
    <xf applyBorder="1" applyFill="1" applyFont="1" applyNumberFormat="1" applyProtection="1" borderId="198" fillId="10" fontId="4" numFmtId="0" xfId="0"/>
    <xf applyBorder="1" applyFill="1" applyFont="1" applyNumberFormat="1" applyProtection="1" borderId="198" fillId="0" fontId="4" numFmtId="182" xfId="0">
      <protection locked="0"/>
    </xf>
    <xf applyBorder="1" applyFill="1" applyFont="1" applyNumberFormat="1" applyProtection="1" borderId="182" fillId="0" fontId="4" numFmtId="182" xfId="0"/>
    <xf applyAlignment="1" applyBorder="1" applyFill="1" applyFont="1" applyNumberFormat="1" applyProtection="1" borderId="198" fillId="10" fontId="4" numFmtId="182" xfId="0">
      <alignment horizontal="right"/>
      <protection locked="0"/>
    </xf>
    <xf applyBorder="1" applyFont="1" applyNumberFormat="1" applyProtection="1" borderId="197" fillId="0" fontId="8" numFmtId="4" xfId="0">
      <protection locked="0"/>
    </xf>
    <xf applyBorder="1" applyFont="1" applyProtection="1" borderId="197" fillId="0" fontId="4" numFmtId="0" xfId="0">
      <protection locked="0"/>
    </xf>
    <xf applyBorder="1" applyFill="1" applyFont="1" applyNumberFormat="1" applyProtection="1" borderId="197" fillId="17" fontId="108" numFmtId="4" xfId="0">
      <protection locked="0"/>
    </xf>
    <xf applyBorder="1" applyFill="1" applyFont="1" applyNumberFormat="1" applyProtection="1" borderId="197" fillId="0" fontId="8" numFmtId="4" xfId="0">
      <protection locked="0"/>
    </xf>
    <xf applyAlignment="1" applyBorder="1" applyFill="1" applyFont="1" applyNumberFormat="1" borderId="197" fillId="17" fontId="149" numFmtId="4" xfId="0">
      <alignment horizontal="right"/>
    </xf>
    <xf applyAlignment="1" applyBorder="1" applyFill="1" applyFont="1" applyNumberFormat="1" applyProtection="1" borderId="197" fillId="0" fontId="149" numFmtId="4" xfId="0">
      <alignment horizontal="right"/>
      <protection locked="0"/>
    </xf>
    <xf applyAlignment="1" applyBorder="1" applyFill="1" applyFont="1" applyNumberFormat="1" borderId="197" fillId="0" fontId="134" numFmtId="4" xfId="0">
      <alignment horizontal="right"/>
    </xf>
    <xf applyAlignment="1" applyBorder="1" applyFont="1" applyProtection="1" borderId="197" fillId="0" fontId="134" numFmtId="0" xfId="0">
      <alignment horizontal="right"/>
      <protection locked="0"/>
    </xf>
    <xf applyAlignment="1" applyBorder="1" applyFont="1" applyNumberFormat="1" applyProtection="1" borderId="197" fillId="0" fontId="134" numFmtId="4" xfId="0">
      <alignment horizontal="right"/>
      <protection locked="0"/>
    </xf>
    <xf applyAlignment="1" applyBorder="1" applyFont="1" applyNumberFormat="1" applyProtection="1" borderId="197" fillId="0" fontId="8" numFmtId="4" xfId="0">
      <alignment horizontal="right"/>
      <protection locked="0"/>
    </xf>
    <xf applyAlignment="1" applyBorder="1" applyFill="1" applyFont="1" applyNumberFormat="1" applyProtection="1" borderId="197" fillId="0" fontId="4" numFmtId="4" xfId="0">
      <alignment horizontal="right"/>
      <protection locked="0"/>
    </xf>
    <xf applyAlignment="1" applyBorder="1" applyFill="1" applyFont="1" applyNumberFormat="1" borderId="197" fillId="17" fontId="8" numFmtId="4" xfId="0">
      <alignment horizontal="right"/>
    </xf>
    <xf applyAlignment="1" applyBorder="1" applyFill="1" applyFont="1" applyNumberFormat="1" borderId="197" fillId="17" fontId="4" numFmtId="4" xfId="0">
      <alignment horizontal="right"/>
    </xf>
    <xf applyAlignment="1" applyBorder="1" applyFill="1" applyFont="1" applyNumberFormat="1" applyProtection="1" borderId="197" fillId="17" fontId="4" numFmtId="4" xfId="0">
      <alignment horizontal="right"/>
      <protection locked="0"/>
    </xf>
    <xf applyAlignment="1" applyBorder="1" applyFill="1" applyFont="1" applyNumberFormat="1" applyProtection="1" borderId="197" fillId="0" fontId="8" numFmtId="4" xfId="0">
      <alignment horizontal="right"/>
      <protection locked="0"/>
    </xf>
    <xf applyAlignment="1" applyBorder="1" applyFill="1" applyFont="1" applyProtection="1" borderId="0" fillId="8" fontId="185" numFmtId="0" xfId="0">
      <alignment horizontal="left"/>
    </xf>
    <xf applyAlignment="1" applyBorder="1" applyFill="1" applyFont="1" applyProtection="1" borderId="18" fillId="0" fontId="108" numFmtId="0" xfId="0">
      <alignment horizontal="center"/>
    </xf>
    <xf applyBorder="1" applyFill="1" applyFont="1" applyNumberFormat="1" borderId="1" fillId="0" fontId="4" numFmtId="9" xfId="2"/>
    <xf applyBorder="1" applyFill="1" applyFont="1" borderId="164" fillId="10" fontId="39" numFmtId="0" xfId="0"/>
    <xf applyAlignment="1" applyBorder="1" applyFill="1" applyFont="1" borderId="35" fillId="10" fontId="8" numFmtId="0" xfId="0">
      <alignment horizontal="center"/>
    </xf>
    <xf applyAlignment="1" applyBorder="1" applyFill="1" applyFont="1" borderId="140" fillId="0" fontId="73" numFmtId="0" xfId="0">
      <alignment horizontal="left"/>
    </xf>
    <xf applyAlignment="1" applyBorder="1" applyFont="1" borderId="198" fillId="0" fontId="73" numFmtId="0" xfId="0"/>
    <xf applyAlignment="1" applyBorder="1" applyFont="1" borderId="182" fillId="0" fontId="73" numFmtId="0" xfId="0"/>
    <xf applyAlignment="1" applyBorder="1" applyFont="1" applyNumberFormat="1" applyProtection="1" borderId="182" fillId="0" fontId="39" numFmtId="1" xfId="0">
      <alignment horizontal="right"/>
      <protection locked="0"/>
    </xf>
    <xf applyAlignment="1" applyBorder="1" applyFill="1" applyFont="1" applyNumberFormat="1" applyProtection="1" borderId="198" fillId="0" fontId="39" numFmtId="1" xfId="0">
      <alignment horizontal="right"/>
      <protection locked="0"/>
    </xf>
    <xf applyAlignment="1" applyBorder="1" applyFill="1" applyFont="1" applyProtection="1" borderId="0" fillId="18" fontId="4" numFmtId="0" xfId="0"/>
    <xf applyBorder="1" applyFill="1" applyFont="1" borderId="164" fillId="27" fontId="39" numFmtId="0" xfId="0"/>
    <xf applyAlignment="1" applyBorder="1" applyFill="1" applyFont="1" applyNumberFormat="1" applyProtection="1" borderId="182" fillId="0" fontId="39" numFmtId="1" xfId="0">
      <alignment horizontal="right"/>
      <protection locked="0"/>
    </xf>
    <xf applyAlignment="1" borderId="0" fillId="0" fontId="0" numFmtId="0" xfId="0">
      <alignment wrapText="1"/>
    </xf>
    <xf applyAlignment="1" applyBorder="1" applyFill="1" applyFont="1" applyProtection="1" borderId="104" fillId="23" fontId="4" numFmtId="0" xfId="0">
      <alignment horizontal="center"/>
    </xf>
    <xf applyAlignment="1" applyBorder="1" applyFill="1" applyFont="1" borderId="45" fillId="23" fontId="161" numFmtId="0" xfId="0">
      <alignment horizontal="center"/>
    </xf>
    <xf applyAlignment="1" applyBorder="1" applyFill="1" applyFont="1" borderId="102" fillId="23" fontId="161" numFmtId="0" xfId="0">
      <alignment horizontal="left"/>
    </xf>
    <xf applyAlignment="1" applyFill="1" borderId="0" fillId="0" fontId="0" numFmtId="0" xfId="0">
      <alignment wrapText="1"/>
    </xf>
    <xf applyAlignment="1" applyBorder="1" applyFill="1" applyFont="1" applyProtection="1" borderId="104" fillId="23" fontId="89" numFmtId="0" xfId="0">
      <alignment horizontal="center"/>
    </xf>
    <xf applyAlignment="1" applyBorder="1" applyFill="1" applyFont="1" borderId="45" fillId="23" fontId="148" numFmtId="0" xfId="0">
      <alignment horizontal="center"/>
    </xf>
    <xf applyAlignment="1" applyBorder="1" applyFill="1" applyFont="1" borderId="140" fillId="0" fontId="73" numFmtId="0" xfId="0">
      <alignment horizontal="center"/>
    </xf>
    <xf applyAlignment="1" applyBorder="1" applyFill="1" applyFont="1" borderId="171" fillId="0" fontId="73" numFmtId="0" xfId="0">
      <alignment horizontal="left"/>
    </xf>
    <xf applyAlignment="1" applyBorder="1" applyFill="1" applyFont="1" applyNumberFormat="1" applyProtection="1" borderId="171" fillId="0" fontId="8" numFmtId="4" xfId="0">
      <alignment horizontal="center"/>
    </xf>
    <xf applyAlignment="1" applyBorder="1" applyFill="1" applyFont="1" applyNumberFormat="1" borderId="1" fillId="0" fontId="8" numFmtId="4" xfId="0">
      <alignment horizontal="right"/>
    </xf>
    <xf applyAlignment="1" applyBorder="1" applyFill="1" applyFont="1" applyNumberFormat="1" borderId="1" fillId="0" fontId="8" numFmtId="4" xfId="0">
      <alignment horizontal="center"/>
    </xf>
    <xf applyAlignment="1" applyBorder="1" applyFill="1" applyFont="1" applyNumberFormat="1" applyProtection="1" borderId="1" fillId="0" fontId="4" numFmtId="4" xfId="0">
      <alignment horizontal="left"/>
      <protection locked="0"/>
    </xf>
    <xf applyAlignment="1" applyBorder="1" applyFill="1" applyFont="1" applyNumberFormat="1" applyProtection="1" borderId="170" fillId="0" fontId="4" numFmtId="4" xfId="0">
      <alignment horizontal="left"/>
      <protection locked="0"/>
    </xf>
    <xf applyAlignment="1" applyBorder="1" applyFill="1" applyFont="1" applyNumberFormat="1" applyProtection="1" borderId="141" fillId="0" fontId="4" numFmtId="4" xfId="0">
      <alignment horizontal="left"/>
      <protection locked="0"/>
    </xf>
    <xf applyAlignment="1" applyBorder="1" applyFill="1" applyFont="1" applyNumberFormat="1" applyProtection="1" borderId="140" fillId="0" fontId="134" numFmtId="4" xfId="0">
      <alignment horizontal="left"/>
      <protection locked="0"/>
    </xf>
    <xf applyAlignment="1" applyBorder="1" applyFill="1" applyFont="1" borderId="179" fillId="0" fontId="4" numFmtId="0" xfId="0">
      <alignment horizontal="left"/>
    </xf>
    <xf applyAlignment="1" applyBorder="1" applyFill="1" applyFont="1" applyNumberFormat="1" borderId="1" fillId="0" fontId="8" numFmtId="3" xfId="0">
      <alignment horizontal="center"/>
    </xf>
    <xf applyAlignment="1" applyBorder="1" applyFill="1" applyFont="1" borderId="138" fillId="0" fontId="5" numFmtId="0" xfId="0">
      <alignment vertical="center" wrapText="1"/>
    </xf>
    <xf applyAlignment="1" applyBorder="1" applyFill="1" applyFont="1" borderId="218" fillId="0" fontId="5" numFmtId="0" xfId="0">
      <alignment vertical="center" wrapText="1"/>
    </xf>
    <xf applyAlignment="1" applyBorder="1" applyFill="1" applyFont="1" borderId="180" fillId="0" fontId="5" numFmtId="0" xfId="0">
      <alignment vertical="top" wrapText="1"/>
    </xf>
    <xf applyAlignment="1" applyBorder="1" applyFill="1" applyFont="1" borderId="163" fillId="0" fontId="69" numFmtId="0" xfId="0">
      <alignment horizontal="left"/>
    </xf>
    <xf applyAlignment="1" applyBorder="1" applyFill="1" applyFont="1" borderId="219" fillId="0" fontId="69" numFmtId="0" xfId="0">
      <alignment horizontal="left"/>
    </xf>
    <xf applyAlignment="1" applyBorder="1" applyFill="1" applyFont="1" applyNumberFormat="1" applyProtection="1" borderId="198" fillId="0" fontId="4" numFmtId="4" xfId="0">
      <alignment horizontal="center"/>
      <protection locked="0"/>
    </xf>
    <xf applyAlignment="1" applyBorder="1" applyFill="1" applyFont="1" applyNumberFormat="1" borderId="198" fillId="0" fontId="8" numFmtId="4" xfId="0">
      <alignment horizontal="center"/>
    </xf>
    <xf applyAlignment="1" applyBorder="1" applyFill="1" applyFont="1" applyNumberFormat="1" applyProtection="1" borderId="198" fillId="0" fontId="8" numFmtId="4" xfId="0">
      <alignment horizontal="center"/>
      <protection locked="0"/>
    </xf>
    <xf applyAlignment="1" applyBorder="1" applyFill="1" applyFont="1" applyNumberFormat="1" borderId="198" fillId="0" fontId="4" numFmtId="4" xfId="0">
      <alignment horizontal="center"/>
    </xf>
    <xf applyAlignment="1" applyBorder="1" applyFill="1" applyFont="1" applyNumberFormat="1" borderId="198" fillId="17" fontId="4" numFmtId="4" xfId="1">
      <alignment horizontal="right"/>
    </xf>
    <xf applyAlignment="1" applyBorder="1" applyFill="1" applyFont="1" applyNumberFormat="1" borderId="0" fillId="0" fontId="4" numFmtId="3" xfId="0">
      <alignment horizontal="left" indent="1"/>
    </xf>
    <xf applyAlignment="1" applyBorder="1" applyFill="1" applyFont="1" applyNumberFormat="1" borderId="187" fillId="0" fontId="4" numFmtId="178" xfId="1">
      <alignment horizontal="right"/>
    </xf>
    <xf applyBorder="1" applyFill="1" applyFont="1" applyNumberFormat="1" borderId="198" fillId="0" fontId="4" numFmtId="3" xfId="2"/>
    <xf applyFill="1" applyFont="1" borderId="0" fillId="0" fontId="4" numFmtId="0" xfId="0"/>
    <xf applyAlignment="1" applyBorder="1" applyFill="1" applyFont="1" borderId="17" fillId="16" fontId="4" numFmtId="0" xfId="0">
      <alignment horizontal="left"/>
    </xf>
    <xf applyBorder="1" applyFill="1" applyFont="1" borderId="27" fillId="16" fontId="4" numFmtId="0" xfId="0"/>
    <xf applyBorder="1" applyFill="1" applyFont="1" borderId="16" fillId="16" fontId="4" numFmtId="0" xfId="0"/>
    <xf applyAlignment="1" applyBorder="1" applyFill="1" applyFont="1" applyNumberFormat="1" borderId="1" fillId="0" fontId="4" numFmtId="183" xfId="0">
      <alignment vertical="top"/>
    </xf>
    <xf applyAlignment="1" applyBorder="1" applyFill="1" applyFont="1" applyNumberFormat="1" borderId="1" fillId="0" fontId="4" numFmtId="9" xfId="0">
      <alignment vertical="top"/>
    </xf>
    <xf applyAlignment="1" applyBorder="1" applyFill="1" applyFont="1" borderId="0" fillId="0" fontId="111" numFmtId="0" xfId="0">
      <alignment horizontal="right"/>
    </xf>
    <xf applyBorder="1" applyFill="1" applyFont="1" borderId="0" fillId="5" fontId="65" numFmtId="0" xfId="0"/>
    <xf applyBorder="1" applyFill="1" applyFont="1" borderId="165" fillId="5" fontId="4" numFmtId="0" xfId="0"/>
    <xf applyBorder="1" applyFill="1" applyFont="1" borderId="222" fillId="5" fontId="4" numFmtId="0" xfId="0"/>
    <xf applyBorder="1" applyFill="1" applyFont="1" borderId="223" fillId="5" fontId="4" numFmtId="0" xfId="0"/>
    <xf applyBorder="1" applyFill="1" applyFont="1" borderId="196" fillId="5" fontId="4" numFmtId="0" xfId="0"/>
    <xf applyBorder="1" applyFill="1" applyFont="1" borderId="145" fillId="5" fontId="4" numFmtId="0" xfId="0"/>
    <xf applyBorder="1" applyFill="1" applyFont="1" borderId="224" fillId="5" fontId="4" numFmtId="0" xfId="0"/>
    <xf applyAlignment="1" applyFill="1" applyFont="1" borderId="0" fillId="5" fontId="35" numFmtId="0" xfId="0">
      <alignment horizontal="center"/>
    </xf>
    <xf applyAlignment="1" applyBorder="1" applyFill="1" applyFont="1" borderId="41" fillId="0" fontId="69" numFmtId="0" xfId="0">
      <alignment horizontal="center"/>
    </xf>
    <xf applyAlignment="1" applyBorder="1" applyFill="1" applyFont="1" borderId="42" fillId="0" fontId="69" numFmtId="0" xfId="0">
      <alignment horizontal="left"/>
    </xf>
    <xf applyAlignment="1" applyBorder="1" applyFont="1" applyNumberFormat="1" applyProtection="1" borderId="42" fillId="0" fontId="39" numFmtId="0" xfId="0">
      <alignment horizontal="right"/>
      <protection locked="0"/>
    </xf>
    <xf applyBorder="1" applyFill="1" applyFont="1" applyNumberFormat="1" borderId="198" fillId="0" fontId="4" numFmtId="2" xfId="0"/>
    <xf applyAlignment="1" applyBorder="1" applyFont="1" applyNumberFormat="1" applyProtection="1" borderId="198" fillId="0" fontId="8" numFmtId="4" xfId="0">
      <alignment horizontal="center"/>
      <protection locked="0"/>
    </xf>
    <xf applyAlignment="1" applyFill="1" applyFont="1" borderId="0" fillId="0" fontId="186" numFmtId="0" xfId="0">
      <alignment horizontal="right"/>
    </xf>
    <xf applyAlignment="1" applyBorder="1" applyFill="1" applyFont="1" borderId="159" fillId="0" fontId="5" numFmtId="0" xfId="0">
      <alignment horizontal="center"/>
    </xf>
    <xf applyAlignment="1" borderId="0" fillId="0" fontId="0" numFmtId="0" xfId="0">
      <alignment wrapText="1"/>
    </xf>
    <xf applyAlignment="1" applyBorder="1" applyFill="1" applyFont="1" applyNumberFormat="1" borderId="112" fillId="0" fontId="7" numFmtId="14" xfId="0">
      <alignment horizontal="left" vertical="top" wrapText="1"/>
    </xf>
    <xf applyAlignment="1" applyBorder="1" applyFont="1" applyNumberFormat="1" borderId="0" fillId="0" fontId="7" numFmtId="14" xfId="0">
      <alignment horizontal="left" vertical="top" wrapText="1"/>
    </xf>
    <xf applyAlignment="1" applyBorder="1" borderId="66" fillId="0" fontId="0" numFmtId="0" xfId="0">
      <alignment wrapText="1"/>
    </xf>
    <xf applyAlignment="1" applyBorder="1" applyFill="1" applyFont="1" borderId="5" fillId="0" fontId="7" numFmtId="0" xfId="0">
      <alignment vertical="top" wrapText="1"/>
    </xf>
    <xf applyAlignment="1" applyBorder="1" applyFill="1" applyFont="1" borderId="5" fillId="0" fontId="7" numFmtId="0" xfId="0">
      <alignment wrapText="1"/>
    </xf>
    <xf applyAlignment="1" applyBorder="1" applyFont="1" borderId="5" fillId="0" fontId="7" numFmtId="0" xfId="0">
      <alignment wrapText="1"/>
    </xf>
    <xf applyAlignment="1" applyBorder="1" applyFill="1" applyFont="1" borderId="142" fillId="0" fontId="1" numFmtId="0" xfId="0">
      <alignment wrapText="1"/>
    </xf>
    <xf applyAlignment="1" applyBorder="1" applyFill="1" applyFont="1" borderId="77" fillId="27" fontId="1" numFmtId="0" xfId="0">
      <alignment vertical="top" wrapText="1"/>
    </xf>
    <xf applyAlignment="1" applyBorder="1" applyFill="1" applyFont="1" borderId="65" fillId="29" fontId="7" numFmtId="0" xfId="0">
      <alignment vertical="top" wrapText="1"/>
    </xf>
    <xf applyAlignment="1" applyBorder="1" applyFill="1" applyFont="1" borderId="111" fillId="29" fontId="7" numFmtId="0" xfId="0">
      <alignment vertical="top" wrapText="1"/>
    </xf>
    <xf applyAlignment="1" borderId="0" fillId="0" fontId="0" numFmtId="0" xfId="0">
      <alignment wrapText="1"/>
    </xf>
    <xf applyAlignment="1" applyBorder="1" applyFill="1" applyFont="1" borderId="185" fillId="0" fontId="7" numFmtId="0" xfId="0"/>
    <xf applyAlignment="1" applyBorder="1" applyFill="1" applyFont="1" borderId="186" fillId="0" fontId="7" numFmtId="0" xfId="0"/>
    <xf applyAlignment="1" applyBorder="1" applyFill="1" applyFont="1" borderId="0" fillId="0" fontId="4" numFmtId="0" xfId="0"/>
    <xf applyAlignment="1" applyBorder="1" applyFill="1" applyFont="1" borderId="0" fillId="0" fontId="4" numFmtId="0" xfId="0">
      <alignment horizontal="left"/>
    </xf>
    <xf applyAlignment="1" applyBorder="1" applyFill="1" applyFont="1" borderId="0" fillId="0" fontId="8" numFmtId="0" xfId="0"/>
    <xf applyAlignment="1" applyBorder="1" applyFill="1" applyFont="1" applyNumberFormat="1" borderId="0" fillId="0" fontId="8" numFmtId="166" xfId="0"/>
    <xf applyAlignment="1" applyBorder="1" applyFill="1" applyFont="1" borderId="0" fillId="0" fontId="4" numFmtId="0" xfId="0">
      <alignment horizontal="right"/>
    </xf>
    <xf applyAlignment="1" applyFill="1" applyFont="1" borderId="0" fillId="0" fontId="4" numFmtId="0" xfId="0"/>
    <xf applyAlignment="1" applyBorder="1" applyFill="1" applyFont="1" borderId="0" fillId="0" fontId="7" numFmtId="0" xfId="0"/>
    <xf applyAlignment="1" applyBorder="1" applyFill="1" applyFont="1" borderId="0" fillId="0" fontId="8" numFmtId="0" xfId="0">
      <alignment horizontal="left"/>
    </xf>
    <xf applyFill="1" applyFont="1" borderId="0" fillId="0" fontId="4" numFmtId="0" xfId="0"/>
    <xf applyAlignment="1" applyFill="1" applyFont="1" borderId="0" fillId="0" fontId="8" numFmtId="0" xfId="0">
      <alignment horizontal="left"/>
    </xf>
    <xf applyAlignment="1" applyFill="1" applyFont="1" borderId="0" fillId="0" fontId="4" numFmtId="0" xfId="0">
      <alignment horizontal="left"/>
    </xf>
    <xf applyFill="1" applyFont="1" borderId="0" fillId="0" fontId="10" numFmtId="0" xfId="0"/>
    <xf applyBorder="1" applyFill="1" applyFont="1" borderId="170" fillId="0" fontId="1" numFmtId="0" xfId="0"/>
    <xf applyBorder="1" applyFill="1" borderId="173" fillId="0" fontId="0" numFmtId="0" xfId="0"/>
    <xf applyBorder="1" applyFill="1" applyFont="1" borderId="173" fillId="0" fontId="1" numFmtId="0" xfId="0"/>
    <xf applyAlignment="1" applyBorder="1" applyFill="1" applyFont="1" borderId="0" fillId="0" fontId="4" numFmtId="0" xfId="0"/>
    <xf applyAlignment="1" applyBorder="1" applyFill="1" applyFont="1" borderId="0" fillId="0" fontId="8" numFmtId="0" xfId="0"/>
    <xf applyAlignment="1" applyBorder="1" applyFill="1" applyFont="1" borderId="0" fillId="0" fontId="4" numFmtId="0" xfId="0">
      <alignment horizontal="left"/>
    </xf>
    <xf applyAlignment="1" applyBorder="1" applyFill="1" applyFont="1" borderId="0" fillId="0" fontId="7" numFmtId="0" xfId="0"/>
    <xf applyAlignment="1" applyBorder="1" applyFill="1" applyFont="1" borderId="0" fillId="0" fontId="8" numFmtId="0" xfId="0">
      <alignment horizontal="left"/>
    </xf>
    <xf applyAlignment="1" applyFill="1" applyFont="1" borderId="0" fillId="0" fontId="4" numFmtId="0" xfId="0"/>
    <xf applyAlignment="1" applyBorder="1" applyFill="1" applyFont="1" borderId="0" fillId="0" fontId="4" numFmtId="0" xfId="0">
      <alignment horizontal="right"/>
    </xf>
    <xf applyAlignment="1" applyBorder="1" applyFill="1" applyFont="1" applyNumberFormat="1" borderId="0" fillId="0" fontId="8" numFmtId="166" xfId="0"/>
    <xf applyFill="1" applyFont="1" borderId="0" fillId="0" fontId="4" numFmtId="0" xfId="0"/>
    <xf applyAlignment="1" applyBorder="1" applyFill="1" applyFont="1" applyNumberFormat="1" borderId="0" fillId="0" fontId="4" numFmtId="166" xfId="0">
      <alignment horizontal="left"/>
    </xf>
    <xf applyFill="1" applyFont="1" borderId="0" fillId="0" fontId="10" numFmtId="0" xfId="0"/>
    <xf applyAlignment="1" applyFill="1" applyFont="1" borderId="0" fillId="0" fontId="4" numFmtId="0" xfId="0">
      <alignment horizontal="left"/>
    </xf>
    <xf applyAlignment="1" applyFill="1" applyFont="1" borderId="0" fillId="0" fontId="8" numFmtId="0" xfId="0"/>
    <xf applyAlignment="1" applyFill="1" applyFont="1" borderId="0" fillId="0" fontId="8" numFmtId="0" xfId="0">
      <alignment horizontal="left"/>
    </xf>
    <xf applyAlignment="1" applyBorder="1" applyFill="1" applyFont="1" applyProtection="1" borderId="197" fillId="0" fontId="4" numFmtId="0" xfId="0">
      <alignment vertical="top" wrapText="1"/>
      <protection locked="0"/>
    </xf>
    <xf applyAlignment="1" applyBorder="1" applyFill="1" applyFont="1" applyProtection="1" borderId="170" fillId="0" fontId="4" numFmtId="0" xfId="0">
      <alignment vertical="top" wrapText="1"/>
      <protection locked="0"/>
    </xf>
    <xf applyAlignment="1" applyBorder="1" applyFill="1" applyFont="1" borderId="170" fillId="0" fontId="4" numFmtId="0" xfId="0">
      <alignment vertical="center" wrapText="1"/>
    </xf>
    <xf applyAlignment="1" applyBorder="1" applyFill="1" applyFont="1" applyProtection="1" borderId="17" fillId="0" fontId="4" numFmtId="0" xfId="0">
      <alignment wrapText="1"/>
      <protection locked="0"/>
    </xf>
    <xf applyAlignment="1" applyBorder="1" applyFill="1" applyFont="1" borderId="17" fillId="0" fontId="4" numFmtId="0" xfId="0">
      <alignment vertical="center" wrapText="1"/>
    </xf>
    <xf applyAlignment="1" applyBorder="1" applyFill="1" applyFont="1" applyProtection="1" borderId="104" fillId="0" fontId="4" numFmtId="0" xfId="0">
      <alignment vertical="top" wrapText="1"/>
      <protection locked="0"/>
    </xf>
    <xf applyAlignment="1" applyBorder="1" applyFill="1" applyFont="1" applyProtection="1" borderId="104" fillId="0" fontId="4" numFmtId="0" xfId="0">
      <alignment wrapText="1"/>
      <protection locked="0"/>
    </xf>
    <xf applyAlignment="1" applyFill="1" applyFont="1" applyProtection="1" borderId="0" fillId="0" fontId="4" numFmtId="0" xfId="0">
      <alignment wrapText="1"/>
      <protection locked="0"/>
    </xf>
    <xf applyAlignment="1" applyFill="1" applyFont="1" applyProtection="1" borderId="0" fillId="0" fontId="4" numFmtId="0" xfId="0">
      <alignment vertical="top" wrapText="1"/>
      <protection locked="0"/>
    </xf>
    <xf applyAlignment="1" applyBorder="1" applyFill="1" applyFont="1" applyProtection="1" borderId="6" fillId="0" fontId="4" numFmtId="0" xfId="0">
      <alignment vertical="top" wrapText="1"/>
      <protection locked="0"/>
    </xf>
    <xf applyAlignment="1" applyBorder="1" applyFill="1" applyFont="1" applyProtection="1" borderId="11" fillId="0" fontId="4" numFmtId="0" xfId="0">
      <alignment wrapText="1"/>
      <protection locked="0"/>
    </xf>
    <xf applyAlignment="1" applyBorder="1" applyFill="1" applyFont="1" applyProtection="1" borderId="27" fillId="0" fontId="4" numFmtId="0" xfId="0">
      <alignment wrapText="1"/>
      <protection locked="0"/>
    </xf>
    <xf applyAlignment="1" applyBorder="1" applyFill="1" applyFont="1" applyProtection="1" borderId="6" fillId="0" fontId="4" numFmtId="0" xfId="0">
      <alignment wrapText="1"/>
      <protection locked="0"/>
    </xf>
    <xf applyAlignment="1" applyBorder="1" applyFill="1" applyFont="1" applyProtection="1" borderId="197" fillId="0" fontId="4" numFmtId="0" xfId="0">
      <alignment wrapText="1"/>
      <protection locked="0"/>
    </xf>
    <xf applyBorder="1" applyFill="1" applyFont="1" applyNumberFormat="1" borderId="172" fillId="0" fontId="0" numFmtId="9" xfId="1"/>
    <xf applyBorder="1" applyFill="1" applyFont="1" borderId="75" fillId="27" fontId="147" numFmtId="0" xfId="0"/>
    <xf applyBorder="1" applyFill="1" applyFont="1" borderId="1" fillId="27" fontId="1" numFmtId="0" quotePrefix="1" xfId="0"/>
    <xf applyAlignment="1" applyBorder="1" applyFill="1" applyFont="1" borderId="75" fillId="27" fontId="147" numFmtId="0" xfId="0">
      <alignment horizontal="right"/>
    </xf>
    <xf applyBorder="1" applyFill="1" applyNumberFormat="1" borderId="75" fillId="27" fontId="0" numFmtId="3" xfId="0"/>
    <xf applyBorder="1" applyFill="1" applyFont="1" applyNumberFormat="1" borderId="75" fillId="27" fontId="1" numFmtId="3" xfId="0"/>
    <xf applyBorder="1" applyFill="1" applyFont="1" applyNumberFormat="1" borderId="75" fillId="27" fontId="181" numFmtId="3" xfId="0"/>
    <xf applyBorder="1" applyFill="1" applyFont="1" applyNumberFormat="1" borderId="75" fillId="27" fontId="1" numFmtId="4" xfId="0"/>
    <xf applyBorder="1" applyFill="1" applyFont="1" applyNumberFormat="1" borderId="158" fillId="27" fontId="175" numFmtId="3" xfId="0"/>
    <xf applyBorder="1" applyFill="1" applyNumberFormat="1" borderId="75" fillId="27" fontId="0" numFmtId="4" xfId="0"/>
    <xf applyBorder="1" applyFill="1" applyNumberFormat="1" borderId="172" fillId="27" fontId="0" numFmtId="3" xfId="0"/>
    <xf applyAlignment="1" applyBorder="1" applyFill="1" applyFont="1" borderId="17" fillId="0" fontId="4" numFmtId="0" xfId="0">
      <alignment horizontal="left"/>
    </xf>
    <xf applyAlignment="1" applyBorder="1" applyFill="1" applyFont="1" borderId="27" fillId="0" fontId="4" numFmtId="0" xfId="0">
      <alignment horizontal="left"/>
    </xf>
    <xf applyBorder="1" applyFill="1" applyFont="1" borderId="27" fillId="0" fontId="4" numFmtId="0" xfId="0"/>
    <xf applyBorder="1" applyFill="1" applyFont="1" borderId="16" fillId="0" fontId="4" numFmtId="0" xfId="0"/>
    <xf applyBorder="1" applyFill="1" applyFont="1" borderId="27" fillId="0" fontId="39" numFmtId="0" xfId="0"/>
    <xf applyBorder="1" applyFill="1" applyFont="1" borderId="16" fillId="0" fontId="39" numFmtId="0" xfId="0"/>
    <xf applyAlignment="1" applyFill="1" applyFont="1" borderId="0" fillId="0" fontId="169" numFmtId="0" xfId="0"/>
    <xf applyAlignment="1" applyBorder="1" applyFill="1" applyFont="1" borderId="17" fillId="0" fontId="8" numFmtId="0" xfId="0">
      <alignment horizontal="left"/>
    </xf>
    <xf applyBorder="1" applyFill="1" applyFont="1" applyNumberFormat="1" borderId="16" fillId="0" fontId="4" numFmtId="1" xfId="0"/>
    <xf applyAlignment="1" applyBorder="1" applyFill="1" applyFont="1" borderId="170" fillId="0" fontId="4" numFmtId="0" xfId="0">
      <alignment horizontal="left"/>
    </xf>
    <xf applyBorder="1" applyFill="1" applyFont="1" borderId="173" fillId="0" fontId="4" numFmtId="0" xfId="0"/>
    <xf applyBorder="1" applyFill="1" applyFont="1" borderId="172" fillId="0" fontId="4" numFmtId="0" xfId="0"/>
    <xf applyAlignment="1" applyFill="1" applyFont="1" applyProtection="1" borderId="0" fillId="0" fontId="7" numFmtId="0" xfId="0">
      <alignment horizontal="right"/>
      <protection hidden="1"/>
    </xf>
    <xf applyAlignment="1" applyFill="1" applyFont="1" applyNumberFormat="1" borderId="0" fillId="0" fontId="112" numFmtId="2" xfId="0">
      <alignment horizontal="left"/>
    </xf>
    <xf applyAlignment="1" applyFill="1" applyFont="1" applyNumberFormat="1" borderId="0" fillId="27" fontId="4" numFmtId="3" xfId="0">
      <alignment horizontal="right"/>
    </xf>
    <xf applyAlignment="1" applyBorder="1" applyFill="1" applyFont="1" applyNumberFormat="1" borderId="17" fillId="0" fontId="4" numFmtId="2" xfId="0">
      <alignment horizontal="left"/>
    </xf>
    <xf applyBorder="1" applyFill="1" applyFont="1" applyNumberFormat="1" borderId="27" fillId="0" fontId="4" numFmtId="2" xfId="0"/>
    <xf applyBorder="1" applyFill="1" applyFont="1" applyNumberFormat="1" borderId="190" fillId="0" fontId="4" numFmtId="2" xfId="0"/>
    <xf applyBorder="1" applyFill="1" applyFont="1" applyNumberFormat="1" borderId="16" fillId="0" fontId="4" numFmtId="2" xfId="0"/>
    <xf applyAlignment="1" applyFill="1" applyFont="1" applyNumberFormat="1" borderId="0" fillId="0" fontId="89" numFmtId="2" xfId="0">
      <alignment horizontal="left"/>
    </xf>
    <xf applyAlignment="1" applyBorder="1" applyFill="1" applyFont="1" applyNumberFormat="1" borderId="0" fillId="0" fontId="89" numFmtId="4" quotePrefix="1" xfId="0">
      <alignment horizontal="right"/>
    </xf>
    <xf applyBorder="1" applyFill="1" applyFont="1" applyNumberFormat="1" borderId="0" fillId="0" fontId="176" numFmtId="2" xfId="0"/>
    <xf applyAlignment="1" applyBorder="1" applyFill="1" applyFont="1" applyNumberFormat="1" borderId="197" fillId="0" fontId="4" numFmtId="2" xfId="0">
      <alignment horizontal="left"/>
    </xf>
    <xf applyBorder="1" applyFill="1" applyFont="1" applyNumberFormat="1" borderId="191" fillId="0" fontId="4" numFmtId="2" xfId="0"/>
    <xf applyBorder="1" applyFill="1" applyFont="1" applyNumberFormat="1" borderId="27" fillId="0" fontId="39" numFmtId="2" xfId="0"/>
    <xf applyBorder="1" applyFill="1" applyFont="1" applyNumberFormat="1" borderId="16" fillId="0" fontId="39" numFmtId="2" xfId="0"/>
    <xf applyBorder="1" applyFill="1" applyFont="1" applyNumberFormat="1" borderId="0" fillId="0" fontId="139" numFmtId="1" xfId="0"/>
    <xf applyBorder="1" applyFill="1" applyFont="1" applyNumberFormat="1" borderId="172" fillId="0" fontId="4" numFmtId="1" xfId="0"/>
    <xf applyBorder="1" applyFill="1" applyFont="1" borderId="27" fillId="0" fontId="89" numFmtId="0" xfId="0"/>
    <xf applyBorder="1" applyFill="1" applyFont="1" applyNumberFormat="1" borderId="16" fillId="0" fontId="89" numFmtId="1" xfId="0"/>
    <xf applyAlignment="1" applyBorder="1" applyFill="1" applyFont="1" borderId="27" fillId="0" fontId="8" numFmtId="0" xfId="0">
      <alignment horizontal="left"/>
    </xf>
    <xf applyBorder="1" applyFill="1" applyFont="1" borderId="198" fillId="0" fontId="35" numFmtId="0" xfId="0"/>
    <xf applyBorder="1" applyFill="1" applyFont="1" borderId="190" fillId="0" fontId="4" numFmtId="0" xfId="0"/>
    <xf applyAlignment="1" applyBorder="1" applyFill="1" applyFont="1" borderId="27" fillId="0" fontId="4" numFmtId="0" xfId="0">
      <alignment horizontal="center"/>
    </xf>
    <xf applyBorder="1" applyFill="1" applyFont="1" applyNumberFormat="1" borderId="16" fillId="0" fontId="4" numFmtId="178" xfId="0"/>
    <xf applyAlignment="1" applyFill="1" applyFont="1" borderId="0" fillId="0" fontId="4" numFmtId="0" xfId="0">
      <alignment horizontal="left" indent="6"/>
    </xf>
    <xf applyAlignment="1" applyFill="1" applyFont="1" borderId="0" fillId="0" fontId="4" numFmtId="0" xfId="0">
      <alignment horizontal="left" indent="8"/>
    </xf>
    <xf applyAlignment="1" applyFill="1" applyFont="1" applyNumberFormat="1" borderId="0" fillId="0" fontId="4" numFmtId="178" xfId="0">
      <alignment horizontal="left" indent="5"/>
    </xf>
    <xf applyAlignment="1" applyFill="1" applyFont="1" applyNumberFormat="1" borderId="0" fillId="0" fontId="4" numFmtId="178" xfId="0">
      <alignment horizontal="left" indent="3"/>
    </xf>
    <xf applyAlignment="1" applyFill="1" applyFont="1" applyNumberFormat="1" borderId="0" fillId="0" fontId="4" numFmtId="178" xfId="0">
      <alignment horizontal="left" indent="2"/>
    </xf>
    <xf applyAlignment="1" applyFill="1" applyFont="1" borderId="0" fillId="27" fontId="39" numFmtId="0" xfId="0">
      <alignment horizontal="right"/>
    </xf>
    <xf applyAlignment="1" applyBorder="1" applyFill="1" applyFont="1" borderId="104" fillId="0" fontId="4" numFmtId="0" xfId="0">
      <alignment horizontal="left"/>
    </xf>
    <xf applyBorder="1" applyFill="1" applyFont="1" borderId="105" fillId="0" fontId="39" numFmtId="0" xfId="0"/>
    <xf applyBorder="1" applyFill="1" applyFont="1" borderId="106" fillId="0" fontId="39" numFmtId="0" xfId="0"/>
    <xf applyAlignment="1" applyBorder="1" applyFill="1" applyFont="1" applyNumberFormat="1" applyProtection="1" borderId="106" fillId="0" fontId="89" numFmtId="2" xfId="0">
      <alignment horizontal="center"/>
    </xf>
    <xf applyAlignment="1" applyBorder="1" applyFill="1" applyFont="1" applyNumberFormat="1" borderId="3" fillId="0" fontId="115" numFmtId="0" xfId="0">
      <alignment horizontal="center"/>
    </xf>
    <xf applyAlignment="1" applyBorder="1" applyFill="1" applyFont="1" borderId="71" fillId="0" fontId="115" numFmtId="0" xfId="0">
      <alignment horizontal="center"/>
    </xf>
    <xf applyBorder="1" applyFill="1" applyFont="1" borderId="72" fillId="0" fontId="115" numFmtId="0" xfId="0"/>
    <xf applyAlignment="1" applyBorder="1" applyFill="1" applyFont="1" applyNumberFormat="1" borderId="71" fillId="0" fontId="5" numFmtId="3" xfId="0">
      <alignment horizontal="center"/>
    </xf>
    <xf applyAlignment="1" applyBorder="1" applyFill="1" applyFont="1" applyNumberFormat="1" borderId="159" fillId="0" fontId="5" numFmtId="2" xfId="0">
      <alignment horizontal="center"/>
    </xf>
    <xf applyBorder="1" applyFill="1" applyFont="1" applyNumberFormat="1" applyProtection="1" borderId="198" fillId="0" fontId="8" numFmtId="2" xfId="0">
      <protection locked="0"/>
    </xf>
    <xf applyBorder="1" applyFill="1" applyFont="1" borderId="182" fillId="0" fontId="4" numFmtId="0" xfId="0"/>
    <xf applyBorder="1" applyFill="1" applyFont="1" borderId="181" fillId="0" fontId="4" numFmtId="0" xfId="0"/>
    <xf applyAlignment="1" applyBorder="1" applyFill="1" applyFont="1" applyProtection="1" borderId="182" fillId="0" fontId="8" numFmtId="170" xfId="1">
      <protection locked="0"/>
    </xf>
    <xf applyAlignment="1" applyBorder="1" applyFill="1" applyFont="1" applyProtection="1" borderId="184" fillId="0" fontId="8" numFmtId="170" xfId="1">
      <protection locked="0"/>
    </xf>
    <xf applyBorder="1" applyFill="1" applyFont="1" applyProtection="1" borderId="197" fillId="0" fontId="4" numFmtId="0" xfId="0">
      <protection locked="0"/>
    </xf>
    <xf applyBorder="1" applyFill="1" applyFont="1" applyNumberFormat="1" applyProtection="1" borderId="197" fillId="0" fontId="4" numFmtId="2" xfId="0">
      <protection locked="0"/>
    </xf>
    <xf applyBorder="1" applyFill="1" applyFont="1" borderId="200" fillId="0" fontId="73" numFmtId="0" xfId="0"/>
    <xf applyBorder="1" applyFill="1" applyFont="1" applyProtection="1" borderId="182" fillId="0" fontId="39" numFmtId="0" xfId="0">
      <protection locked="0"/>
    </xf>
    <xf applyBorder="1" applyFill="1" applyFont="1" applyProtection="1" borderId="182" fillId="0" fontId="4" numFmtId="0" xfId="0">
      <protection locked="0"/>
    </xf>
    <xf applyAlignment="1" applyBorder="1" applyFill="1" applyFont="1" applyNumberFormat="1" applyProtection="1" borderId="198" fillId="0" fontId="4" numFmtId="4" xfId="1">
      <protection locked="0"/>
    </xf>
    <xf applyAlignment="1" applyBorder="1" applyFill="1" applyFont="1" applyNumberFormat="1" applyProtection="1" borderId="198" fillId="0" fontId="4" numFmtId="4" xfId="1">
      <alignment horizontal="right"/>
      <protection locked="0"/>
    </xf>
    <xf applyAlignment="1" applyBorder="1" applyFill="1" applyFont="1" applyNumberFormat="1" applyProtection="1" borderId="198" fillId="0" fontId="4" numFmtId="181" xfId="0">
      <alignment horizontal="center"/>
      <protection locked="0"/>
    </xf>
    <xf applyBorder="1" applyFill="1" applyFont="1" applyNumberFormat="1" applyProtection="1" borderId="198" fillId="0" fontId="4" numFmtId="4" xfId="1">
      <protection locked="0"/>
    </xf>
    <xf applyAlignment="1" applyBorder="1" applyFill="1" applyFont="1" applyNumberFormat="1" applyProtection="1" borderId="198" fillId="0" fontId="8" numFmtId="1" xfId="0">
      <alignment horizontal="center"/>
    </xf>
    <xf applyBorder="1" applyFill="1" applyFont="1" applyNumberFormat="1" applyProtection="1" borderId="182" fillId="0" fontId="4" numFmtId="1" xfId="0">
      <protection locked="0"/>
    </xf>
    <xf applyAlignment="1" applyBorder="1" applyFill="1" applyFont="1" applyNumberFormat="1" applyProtection="1" borderId="198" fillId="0" fontId="4" numFmtId="1" xfId="0">
      <alignment horizontal="center"/>
      <protection locked="0"/>
    </xf>
    <xf applyBorder="1" applyFill="1" applyFont="1" applyNumberFormat="1" applyProtection="1" borderId="198" fillId="0" fontId="4" numFmtId="14" xfId="0"/>
    <xf applyAlignment="1" applyBorder="1" applyFill="1" applyFont="1" applyNumberFormat="1" applyProtection="1" borderId="198" fillId="0" fontId="8" numFmtId="182" xfId="0">
      <alignment horizontal="right"/>
    </xf>
    <xf applyAlignment="1" applyBorder="1" applyFill="1" applyFont="1" applyNumberFormat="1" applyProtection="1" borderId="198" fillId="0" fontId="8" numFmtId="182" xfId="0">
      <alignment horizontal="center"/>
    </xf>
    <xf applyAlignment="1" applyBorder="1" applyFill="1" applyFont="1" applyNumberFormat="1" applyProtection="1" borderId="182" fillId="0" fontId="4" numFmtId="182" xfId="0">
      <alignment horizontal="right"/>
      <protection locked="0"/>
    </xf>
    <xf applyAlignment="1" applyBorder="1" applyFill="1" applyFont="1" borderId="172" fillId="0" fontId="4" numFmtId="0" xfId="0">
      <alignment horizontal="left"/>
    </xf>
    <xf applyAlignment="1" applyBorder="1" applyFill="1" applyFont="1" borderId="163" fillId="0" fontId="5" numFmtId="0" xfId="0">
      <alignment vertical="top" wrapText="1"/>
    </xf>
    <xf applyBorder="1" applyFont="1" applyNumberFormat="1" applyProtection="1" borderId="199" fillId="0" fontId="4" numFmtId="3" xfId="0">
      <protection locked="0"/>
    </xf>
    <xf applyFill="1" applyFont="1" borderId="0" fillId="28" fontId="4" numFmtId="0" xfId="0"/>
    <xf applyBorder="1" applyFill="1" applyFont="1" applyNumberFormat="1" borderId="198" fillId="0" fontId="4" numFmtId="3" xfId="1"/>
    <xf applyAlignment="1" applyBorder="1" applyFill="1" applyFont="1" applyNumberFormat="1" borderId="198" fillId="0" fontId="4" numFmtId="3" xfId="1">
      <alignment horizontal="right"/>
    </xf>
    <xf applyBorder="1" applyFill="1" applyFont="1" applyNumberFormat="1" borderId="198" fillId="0" fontId="4" numFmtId="173" xfId="1"/>
    <xf applyAlignment="1" applyBorder="1" applyFill="1" applyFont="1" borderId="197" fillId="0" fontId="5" numFmtId="0" xfId="0"/>
    <xf applyAlignment="1" applyBorder="1" applyFill="1" applyFont="1" borderId="198" fillId="0" fontId="183" numFmtId="0" xfId="0"/>
    <xf applyBorder="1" applyFill="1" applyFont="1" applyNumberFormat="1" borderId="198" fillId="0" fontId="1" numFmtId="1" xfId="0"/>
    <xf applyBorder="1" applyFill="1" applyFont="1" applyNumberFormat="1" borderId="1" fillId="0" fontId="90" numFmtId="3" xfId="0"/>
    <xf applyBorder="1" applyFill="1" applyFont="1" borderId="171" fillId="0" fontId="5" numFmtId="0" xfId="0"/>
    <xf applyBorder="1" applyFill="1" applyFont="1" applyNumberFormat="1" borderId="171" fillId="0" fontId="1" numFmtId="3" xfId="0"/>
    <xf applyBorder="1" applyFill="1" applyFont="1" applyNumberFormat="1" borderId="171" fillId="0" fontId="1" numFmtId="4" xfId="0"/>
    <xf applyBorder="1" applyFill="1" applyFont="1" applyNumberFormat="1" borderId="198" fillId="0" fontId="1" numFmtId="4" xfId="0"/>
    <xf applyBorder="1" applyFill="1" applyFont="1" applyNumberFormat="1" borderId="102" fillId="0" fontId="1" numFmtId="2" xfId="0"/>
    <xf applyAlignment="1" applyBorder="1" applyFill="1" applyFont="1" applyNumberFormat="1" applyProtection="1" borderId="106" fillId="0" fontId="4" numFmtId="3" xfId="0">
      <alignment horizontal="center"/>
    </xf>
    <xf applyAlignment="1" applyBorder="1" applyFill="1" applyFont="1" borderId="94" fillId="0" fontId="4" numFmtId="0" xfId="5">
      <alignment horizontal="center"/>
    </xf>
    <xf applyAlignment="1" applyBorder="1" applyFill="1" applyFont="1" borderId="72" fillId="0" fontId="4" numFmtId="0" xfId="5">
      <alignment horizontal="center"/>
    </xf>
    <xf applyFill="1" borderId="0" fillId="0" fontId="1" numFmtId="0" xfId="5"/>
    <xf applyAlignment="1" applyBorder="1" applyFill="1" applyFont="1" borderId="198" fillId="35" fontId="165" numFmtId="0" xfId="0">
      <alignment vertical="center" wrapText="1"/>
    </xf>
    <xf applyAlignment="1" applyBorder="1" applyFill="1" applyFont="1" borderId="198" fillId="36" fontId="165" numFmtId="0" xfId="0">
      <alignment vertical="center" wrapText="1"/>
    </xf>
    <xf applyBorder="1" applyFill="1" applyFont="1" borderId="198" fillId="37" fontId="1" numFmtId="0" xfId="0"/>
    <xf applyBorder="1" applyFill="1" applyFont="1" borderId="198" fillId="34" fontId="96" numFmtId="0" xfId="0"/>
    <xf applyAlignment="1" applyBorder="1" applyFill="1" applyFont="1" borderId="0" fillId="0" fontId="4" numFmtId="0" xfId="0"/>
    <xf applyAlignment="1" applyBorder="1" applyFill="1" applyFont="1" borderId="0" fillId="0" fontId="4" numFmtId="0" xfId="0">
      <alignment horizontal="left"/>
    </xf>
    <xf applyBorder="1" applyFill="1" applyFont="1" applyProtection="1" borderId="214" fillId="0" fontId="4" numFmtId="0" xfId="0">
      <protection locked="0"/>
    </xf>
    <xf applyAlignment="1" applyBorder="1" applyFill="1" applyFont="1" applyProtection="1" borderId="182" fillId="0" fontId="4" numFmtId="0" xfId="0">
      <alignment horizontal="center" wrapText="1"/>
      <protection locked="0"/>
    </xf>
    <xf applyAlignment="1" applyBorder="1" applyFill="1" applyFont="1" applyProtection="1" borderId="198" fillId="0" fontId="8" numFmtId="170" xfId="1">
      <protection locked="0"/>
    </xf>
    <xf applyAlignment="1" applyBorder="1" applyFill="1" applyFont="1" borderId="217" fillId="0" fontId="5" numFmtId="0" xfId="0">
      <alignment wrapText="1"/>
    </xf>
    <xf applyAlignment="1" applyBorder="1" applyFill="1" applyFont="1" borderId="0" fillId="0" fontId="13" numFmtId="0" xfId="0"/>
    <xf applyAlignment="1" applyBorder="1" applyFill="1" applyFont="1" borderId="175" fillId="0" fontId="7" numFmtId="0" xfId="0"/>
    <xf applyAlignment="1" applyBorder="1" applyFill="1" applyFont="1" borderId="174" fillId="0" fontId="154" numFmtId="0" xfId="0"/>
    <xf applyAlignment="1" applyBorder="1" applyFill="1" applyFont="1" applyNumberFormat="1" borderId="175" fillId="0" fontId="8" numFmtId="165" xfId="0"/>
    <xf applyAlignment="1" applyBorder="1" applyFill="1" applyFont="1" applyNumberFormat="1" borderId="176" fillId="0" fontId="112" numFmtId="178" xfId="1">
      <alignment horizontal="right"/>
    </xf>
    <xf applyAlignment="1" applyBorder="1" applyFill="1" applyFont="1" borderId="0" fillId="27" fontId="4" numFmtId="0" xfId="0"/>
    <xf applyBorder="1" applyFill="1" applyFont="1" applyProtection="1" borderId="22" fillId="18" fontId="39" numFmtId="0" xfId="0"/>
    <xf applyBorder="1" applyFill="1" applyFont="1" applyProtection="1" borderId="0" fillId="18" fontId="39" numFmtId="0" xfId="0"/>
    <xf applyBorder="1" applyFill="1" applyFont="1" applyProtection="1" borderId="196" fillId="18" fontId="4" numFmtId="0" xfId="0"/>
    <xf applyBorder="1" applyFill="1" applyFont="1" applyProtection="1" borderId="207" fillId="18" fontId="4" numFmtId="0" xfId="0"/>
    <xf applyAlignment="1" applyBorder="1" applyFill="1" applyFont="1" borderId="0" fillId="0" fontId="4" numFmtId="0" xfId="0"/>
    <xf applyFill="1" applyFont="1" borderId="0" fillId="0" fontId="4" numFmtId="0" xfId="0"/>
    <xf applyBorder="1" applyFill="1" applyFont="1" borderId="115" fillId="14" fontId="1" numFmtId="0" xfId="0"/>
    <xf applyAlignment="1" applyBorder="1" applyFill="1" applyFont="1" applyNumberFormat="1" borderId="1" fillId="0" fontId="1" numFmtId="2" xfId="0">
      <alignment horizontal="left"/>
    </xf>
    <xf applyBorder="1" applyFont="1" applyNumberFormat="1" borderId="198" fillId="0" fontId="39" numFmtId="2" xfId="0"/>
    <xf applyBorder="1" applyFont="1" applyNumberFormat="1" borderId="197" fillId="0" fontId="39" numFmtId="2" xfId="0"/>
    <xf applyBorder="1" applyFont="1" applyNumberFormat="1" borderId="183" fillId="0" fontId="39" numFmtId="2" xfId="0"/>
    <xf applyBorder="1" applyFill="1" applyFont="1" applyNumberFormat="1" borderId="0" fillId="0" fontId="39" numFmtId="3" xfId="1"/>
    <xf applyAlignment="1" applyBorder="1" applyFill="1" applyFont="1" borderId="0" fillId="35" fontId="5" numFmtId="0" xfId="0"/>
    <xf applyAlignment="1" applyBorder="1" applyFill="1" applyFont="1" borderId="0" fillId="35" fontId="4" numFmtId="0" xfId="0">
      <alignment horizontal="right"/>
    </xf>
    <xf applyFill="1" applyFont="1" borderId="0" fillId="35" fontId="4" numFmtId="0" xfId="0"/>
    <xf applyAlignment="1" applyBorder="1" applyFill="1" applyFont="1" borderId="0" fillId="35" fontId="4" numFmtId="0" quotePrefix="1" xfId="0">
      <alignment horizontal="right"/>
    </xf>
    <xf applyAlignment="1" applyBorder="1" applyFill="1" applyFont="1" applyNumberFormat="1" borderId="0" fillId="35" fontId="4" numFmtId="178" xfId="0">
      <alignment horizontal="right"/>
    </xf>
    <xf applyFill="1" borderId="0" fillId="35" fontId="0" numFmtId="0" xfId="0"/>
    <xf applyFill="1" applyFont="1" borderId="0" fillId="35" fontId="8" numFmtId="0" xfId="0"/>
    <xf applyAlignment="1" applyFill="1" applyFont="1" borderId="0" fillId="35" fontId="4" numFmtId="0" xfId="0">
      <alignment horizontal="right"/>
    </xf>
    <xf applyAlignment="1" applyBorder="1" applyFill="1" applyFont="1" borderId="0" fillId="35" fontId="4" numFmtId="0" xfId="0"/>
    <xf applyBorder="1" borderId="58" fillId="0" fontId="0" numFmtId="0" xfId="0"/>
    <xf applyBorder="1" applyFont="1" borderId="0" fillId="0" fontId="1" numFmtId="0" xfId="0"/>
    <xf applyAlignment="1" applyBorder="1" borderId="0" fillId="0" fontId="0" numFmtId="0" xfId="0">
      <alignment horizontal="left"/>
    </xf>
    <xf applyBorder="1" applyNumberFormat="1" borderId="0" fillId="0" fontId="0" numFmtId="3" xfId="0"/>
    <xf applyBorder="1" applyFill="1" borderId="102" fillId="0" fontId="0" numFmtId="0" xfId="0"/>
    <xf applyFill="1" applyFont="1" borderId="0" fillId="0" fontId="4" numFmtId="0" xfId="0"/>
    <xf applyBorder="1" applyFill="1" applyFont="1" borderId="102" fillId="0" fontId="1" numFmtId="0" xfId="0"/>
    <xf applyAlignment="1" applyBorder="1" applyFill="1" applyFont="1" borderId="198" fillId="38" fontId="165" numFmtId="0" xfId="0">
      <alignment vertical="center" wrapText="1"/>
    </xf>
    <xf applyAlignment="1" applyBorder="1" applyFill="1" applyFont="1" applyNumberFormat="1" applyProtection="1" borderId="139" fillId="38" fontId="55" numFmtId="49" xfId="0">
      <alignment horizontal="center"/>
    </xf>
    <xf applyAlignment="1" applyBorder="1" applyFill="1" applyFont="1" borderId="3" fillId="38" fontId="5" numFmtId="0" xfId="0">
      <alignment horizontal="center"/>
    </xf>
    <xf applyAlignment="1" applyBorder="1" applyFill="1" applyFont="1" borderId="2" fillId="38" fontId="61" numFmtId="0" xfId="0">
      <alignment horizontal="center"/>
    </xf>
    <xf applyAlignment="1" applyBorder="1" applyFill="1" applyFont="1" applyNumberFormat="1" borderId="3" fillId="38" fontId="5" numFmtId="2" xfId="0">
      <alignment horizontal="center"/>
    </xf>
    <xf applyAlignment="1" applyBorder="1" applyFill="1" applyFont="1" applyNumberFormat="1" borderId="4" fillId="38" fontId="5" numFmtId="2" xfId="0">
      <alignment horizontal="center"/>
    </xf>
    <xf applyBorder="1" applyFill="1" applyFont="1" borderId="77" fillId="38" fontId="73" numFmtId="0" xfId="0"/>
    <xf applyAlignment="1" applyBorder="1" applyFill="1" applyFont="1" borderId="117" fillId="38" fontId="73" numFmtId="0" xfId="0">
      <alignment horizontal="left"/>
    </xf>
    <xf applyAlignment="1" applyBorder="1" applyFill="1" applyFont="1" borderId="102" fillId="38" fontId="73" numFmtId="0" xfId="0"/>
    <xf applyAlignment="1" applyBorder="1" applyFill="1" applyFont="1" borderId="0" fillId="38" fontId="5" numFmtId="0" xfId="0"/>
    <xf applyFill="1" applyFont="1" borderId="0" fillId="38" fontId="5" numFmtId="0" xfId="0"/>
    <xf applyAlignment="1" applyBorder="1" applyFill="1" applyFont="1" borderId="0" fillId="38" fontId="4" numFmtId="0" xfId="0"/>
    <xf applyAlignment="1" applyBorder="1" applyFill="1" applyFont="1" applyNumberFormat="1" borderId="0" fillId="38" fontId="4" numFmtId="173" xfId="1"/>
    <xf applyAlignment="1" applyFill="1" applyFont="1" applyNumberFormat="1" borderId="0" fillId="38" fontId="4" numFmtId="178" xfId="0">
      <alignment horizontal="right"/>
    </xf>
    <xf applyFill="1" borderId="0" fillId="38" fontId="0" numFmtId="0" xfId="0"/>
    <xf applyFill="1" applyFont="1" borderId="0" fillId="38" fontId="1" numFmtId="0" xfId="0"/>
    <xf applyFill="1" applyFont="1" borderId="0" fillId="38" fontId="4" numFmtId="0" xfId="0"/>
    <xf applyBorder="1" applyFill="1" applyFont="1" borderId="117" fillId="38" fontId="1" numFmtId="0" xfId="0"/>
    <xf applyBorder="1" applyFill="1" applyFont="1" borderId="49" fillId="38" fontId="1" numFmtId="0" xfId="0"/>
    <xf applyAlignment="1" applyBorder="1" applyFill="1" borderId="50" fillId="38" fontId="0" numFmtId="0" xfId="0">
      <alignment horizontal="left"/>
    </xf>
    <xf applyAlignment="1" applyBorder="1" applyFill="1" borderId="102" fillId="38" fontId="0" numFmtId="0" xfId="0">
      <alignment horizontal="left"/>
    </xf>
    <xf applyAlignment="1" applyBorder="1" applyFill="1" applyFont="1" borderId="198" fillId="38" fontId="86" numFmtId="0" xfId="0">
      <alignment vertical="top" wrapText="1"/>
    </xf>
    <xf applyAlignment="1" applyBorder="1" applyFill="1" applyFont="1" borderId="198" fillId="38" fontId="1" numFmtId="0" xfId="0">
      <alignment horizontal="right"/>
    </xf>
    <xf applyAlignment="1" applyBorder="1" applyFill="1" applyNumberFormat="1" borderId="198" fillId="38" fontId="0" numFmtId="2" xfId="0">
      <alignment horizontal="left"/>
    </xf>
    <xf applyBorder="1" applyFill="1" applyNumberFormat="1" borderId="183" fillId="38" fontId="0" numFmtId="2" xfId="0"/>
    <xf applyAlignment="1" applyFill="1" applyFont="1" applyNumberFormat="1" borderId="0" fillId="38" fontId="35" numFmtId="1" xfId="0">
      <alignment horizontal="left"/>
    </xf>
    <xf applyAlignment="1" applyBorder="1" applyFill="1" applyFont="1" applyNumberFormat="1" borderId="0" fillId="38" fontId="4" numFmtId="1" xfId="0">
      <alignment horizontal="right"/>
    </xf>
    <xf applyAlignment="1" applyBorder="1" applyFill="1" applyFont="1" applyNumberFormat="1" borderId="198" fillId="38" fontId="35" numFmtId="1" xfId="0">
      <alignment horizontal="center"/>
    </xf>
    <xf applyFill="1" applyFont="1" applyNumberFormat="1" borderId="0" fillId="38" fontId="4" numFmtId="1" xfId="0"/>
    <xf applyBorder="1" applyFill="1" applyFont="1" borderId="0" fillId="38" fontId="4" numFmtId="0" xfId="0"/>
    <xf applyAlignment="1" applyBorder="1" applyFill="1" applyFont="1" borderId="198" fillId="38" fontId="35" numFmtId="0" xfId="0">
      <alignment horizontal="center"/>
    </xf>
    <xf applyAlignment="1" applyFill="1" applyFont="1" borderId="0" fillId="38" fontId="4" numFmtId="0" xfId="0">
      <alignment horizontal="center"/>
    </xf>
    <xf applyAlignment="1" applyFill="1" applyFont="1" borderId="0" fillId="38" fontId="4" numFmtId="0" xfId="0">
      <alignment horizontal="right"/>
    </xf>
    <xf applyAlignment="1" applyFill="1" applyFont="1" borderId="0" fillId="38" fontId="39" numFmtId="0" xfId="0">
      <alignment horizontal="center"/>
    </xf>
    <xf applyFill="1" applyFont="1" borderId="0" fillId="38" fontId="39" numFmtId="0" xfId="0"/>
    <xf applyBorder="1" applyFill="1" applyFont="1" borderId="0" fillId="38" fontId="8" numFmtId="0" xfId="0"/>
    <xf applyAlignment="1" applyBorder="1" applyFill="1" applyFont="1" borderId="0" fillId="38" fontId="35" numFmtId="0" xfId="0">
      <alignment horizontal="center"/>
    </xf>
    <xf applyAlignment="1" applyFill="1" applyFont="1" borderId="0" fillId="38" fontId="39" numFmtId="0" xfId="0">
      <alignment horizontal="right"/>
    </xf>
    <xf applyFill="1" applyFont="1" borderId="0" fillId="38" fontId="83" numFmtId="0" xfId="0"/>
    <xf applyAlignment="1" applyFill="1" applyFont="1" applyNumberFormat="1" borderId="0" fillId="38" fontId="35" numFmtId="2" xfId="0">
      <alignment horizontal="right"/>
    </xf>
    <xf applyBorder="1" applyFill="1" applyFont="1" borderId="0" fillId="38" fontId="57" numFmtId="0" xfId="0"/>
    <xf applyAlignment="1" applyBorder="1" applyFill="1" applyFont="1" borderId="0" fillId="38" fontId="39" numFmtId="0" xfId="0">
      <alignment horizontal="right"/>
    </xf>
    <xf applyAlignment="1" applyBorder="1" applyFill="1" applyFont="1" borderId="0" fillId="38" fontId="4" numFmtId="0" xfId="0">
      <alignment horizontal="right"/>
    </xf>
    <xf applyFill="1" applyFont="1" borderId="0" fillId="38" fontId="112" numFmtId="0" xfId="0"/>
    <xf applyAlignment="1" applyBorder="1" applyFill="1" applyFont="1" borderId="0" fillId="35" fontId="4" numFmtId="0" xfId="0">
      <alignment horizontal="right"/>
    </xf>
    <xf applyAlignment="1" applyBorder="1" applyFill="1" applyFont="1" borderId="0" fillId="35" fontId="10" numFmtId="0" xfId="0"/>
    <xf applyAlignment="1" applyFill="1" applyFont="1" borderId="0" fillId="35" fontId="4" numFmtId="0" xfId="0"/>
    <xf applyBorder="1" applyFill="1" applyFont="1" borderId="102" fillId="38" fontId="1" numFmtId="0" xfId="0"/>
    <xf applyBorder="1" applyFill="1" applyFont="1" borderId="50" fillId="38" fontId="1" numFmtId="0" xfId="0"/>
    <xf applyAlignment="1" applyBorder="1" applyFill="1" applyFont="1" borderId="198" fillId="39" fontId="165" numFmtId="0" xfId="0">
      <alignment vertical="center" wrapText="1"/>
    </xf>
    <xf applyAlignment="1" applyBorder="1" applyFill="1" applyFont="1" borderId="0" fillId="0" fontId="4" numFmtId="0" xfId="0"/>
    <xf applyFill="1" applyFont="1" borderId="0" fillId="0" fontId="4" numFmtId="0" xfId="0"/>
    <xf applyAlignment="1" applyBorder="1" applyFill="1" applyFont="1" borderId="0" fillId="35" fontId="4" numFmtId="0" xfId="0">
      <alignment horizontal="right"/>
    </xf>
    <xf applyAlignment="1" applyFill="1" applyFont="1" borderId="0" fillId="0" fontId="4" numFmtId="0" xfId="0"/>
    <xf applyBorder="1" applyFill="1" applyFont="1" applyProtection="1" borderId="0" fillId="4" fontId="144" numFmtId="0" xfId="0"/>
    <xf applyBorder="1" applyFill="1" applyFont="1" applyProtection="1" borderId="196" fillId="4" fontId="39" numFmtId="0" xfId="0"/>
    <xf applyBorder="1" applyFill="1" applyFont="1" applyProtection="1" borderId="207" fillId="4" fontId="39" numFmtId="0" xfId="0"/>
    <xf applyBorder="1" applyFill="1" applyFont="1" applyProtection="1" borderId="207" fillId="4" fontId="144" numFmtId="0" xfId="0"/>
    <xf applyBorder="1" applyFill="1" applyFont="1" applyProtection="1" borderId="224" fillId="4" fontId="39" numFmtId="0" xfId="0"/>
    <xf applyBorder="1" applyFill="1" applyFont="1" borderId="65" fillId="38" fontId="1" numFmtId="0" xfId="0"/>
    <xf applyBorder="1" applyFill="1" applyFont="1" borderId="0" fillId="38" fontId="1" numFmtId="0" xfId="0"/>
    <xf applyBorder="1" applyFill="1" applyFont="1" applyNumberFormat="1" borderId="66" fillId="38" fontId="1" numFmtId="3" xfId="0"/>
    <xf applyBorder="1" applyFill="1" applyFont="1" borderId="225" fillId="38" fontId="1" numFmtId="0" xfId="0"/>
    <xf applyBorder="1" applyFill="1" applyFont="1" borderId="226" fillId="38" fontId="1" numFmtId="0" xfId="0"/>
    <xf applyBorder="1" applyFill="1" applyFont="1" applyNumberFormat="1" borderId="227" fillId="38" fontId="0" numFmtId="9" xfId="1"/>
    <xf applyBorder="1" applyFill="1" applyFont="1" borderId="0" fillId="0" fontId="1" numFmtId="0" xfId="0"/>
    <xf applyBorder="1" applyFill="1" applyFont="1" borderId="73" fillId="35" fontId="1" numFmtId="0" xfId="0"/>
    <xf applyBorder="1" applyFill="1" borderId="74" fillId="35" fontId="0" numFmtId="0" xfId="0"/>
    <xf applyBorder="1" applyFill="1" applyFont="1" applyNumberFormat="1" borderId="75" fillId="35" fontId="0" numFmtId="9" xfId="1"/>
    <xf applyBorder="1" applyFill="1" applyFont="1" borderId="84" fillId="35" fontId="1" numFmtId="0" xfId="0"/>
    <xf applyBorder="1" applyFill="1" borderId="85" fillId="35" fontId="0" numFmtId="0" xfId="0"/>
    <xf applyBorder="1" applyFill="1" applyNumberFormat="1" borderId="0" fillId="0" fontId="0" numFmtId="3" xfId="0"/>
    <xf applyAlignment="1" applyBorder="1" applyFill="1" applyFont="1" applyNumberFormat="1" borderId="0" fillId="35" fontId="4" numFmtId="179" xfId="0">
      <alignment horizontal="right"/>
    </xf>
    <xf applyAlignment="1" applyBorder="1" applyFill="1" applyFont="1" borderId="0" fillId="35" fontId="1" numFmtId="0" xfId="0"/>
    <xf applyAlignment="1" applyFont="1" borderId="0" fillId="0" fontId="0" numFmtId="0" xfId="0">
      <alignment wrapText="1"/>
    </xf>
    <xf applyBorder="1" applyFill="1" applyFont="1" applyProtection="1" borderId="60" fillId="4" fontId="65" numFmtId="0" quotePrefix="1" xfId="0"/>
    <xf applyAlignment="1" applyFill="1" applyFont="1" applyNumberFormat="1" borderId="0" fillId="35" fontId="4" numFmtId="2" xfId="0">
      <alignment horizontal="right"/>
    </xf>
    <xf applyAlignment="1" applyBorder="1" applyFill="1" applyFont="1" borderId="0" fillId="0" fontId="4" numFmtId="0" xfId="0"/>
    <xf applyFill="1" applyFont="1" borderId="0" fillId="0" fontId="4" numFmtId="0" xfId="0"/>
    <xf applyFill="1" applyFont="1" borderId="0" fillId="0" fontId="4" numFmtId="0" xfId="0"/>
    <xf applyFill="1" applyFont="1" borderId="0" fillId="0" fontId="4" numFmtId="0" xfId="0"/>
    <xf applyFill="1" applyFont="1" borderId="0" fillId="0" fontId="4" numFmtId="0" xfId="0"/>
    <xf applyAlignment="1" applyBorder="1" applyFill="1" applyFont="1" borderId="0" fillId="35" fontId="35" numFmtId="0" xfId="0">
      <alignment horizontal="right"/>
    </xf>
    <xf applyFill="1" applyFont="1" applyNumberFormat="1" borderId="0" fillId="35" fontId="4" numFmtId="2" xfId="0"/>
    <xf applyAlignment="1" applyFill="1" applyFont="1" borderId="0" fillId="27" fontId="1" numFmtId="0" xfId="0">
      <alignment horizontal="left" indent="1"/>
    </xf>
    <xf applyBorder="1" applyFont="1" applyNumberFormat="1" applyProtection="1" borderId="159" fillId="0" fontId="4" numFmtId="49" xfId="0"/>
    <xf applyBorder="1" applyFont="1" applyNumberFormat="1" applyProtection="1" borderId="225" fillId="0" fontId="4" numFmtId="49" xfId="0"/>
    <xf applyBorder="1" applyFont="1" applyNumberFormat="1" applyProtection="1" borderId="65" fillId="0" fontId="4" numFmtId="49" xfId="0"/>
    <xf applyBorder="1" applyFont="1" applyProtection="1" borderId="206" fillId="0" fontId="4" numFmtId="0" xfId="0"/>
    <xf applyBorder="1" applyFill="1" applyFont="1" applyProtection="1" borderId="22" fillId="18" fontId="4" numFmtId="0" xfId="0"/>
    <xf applyBorder="1" applyFill="1" applyFont="1" applyProtection="1" borderId="222" fillId="18" fontId="4" numFmtId="0" xfId="0"/>
    <xf applyBorder="1" applyFill="1" applyFont="1" borderId="163" fillId="17" fontId="134" numFmtId="0" xfId="0"/>
    <xf applyAlignment="1" applyBorder="1" applyFill="1" applyFont="1" applyProtection="1" borderId="163" fillId="0" fontId="8" numFmtId="0" quotePrefix="1" xfId="0">
      <alignment horizontal="center"/>
      <protection locked="0"/>
    </xf>
    <xf applyAlignment="1" applyBorder="1" applyFill="1" applyFont="1" borderId="163" fillId="0" fontId="8" numFmtId="0" quotePrefix="1" xfId="0">
      <alignment horizontal="center"/>
    </xf>
    <xf applyAlignment="1" applyBorder="1" applyFill="1" applyFont="1" applyProtection="1" borderId="164" fillId="0" fontId="8" numFmtId="0" quotePrefix="1" xfId="0">
      <alignment horizontal="center"/>
      <protection locked="0"/>
    </xf>
    <xf applyAlignment="1" applyBorder="1" applyFill="1" applyFont="1" borderId="163" fillId="0" fontId="1" numFmtId="0" xfId="0">
      <alignment wrapText="1"/>
    </xf>
    <xf applyAlignment="1" applyBorder="1" applyFill="1" applyFont="1" borderId="163" fillId="0" fontId="4" numFmtId="0" xfId="0">
      <alignment vertical="top" wrapText="1"/>
    </xf>
    <xf applyBorder="1" applyFill="1" applyFont="1" borderId="140" fillId="38" fontId="97" numFmtId="0" xfId="0"/>
    <xf applyAlignment="1" applyBorder="1" applyFill="1" applyFont="1" applyProtection="1" borderId="163" fillId="38" fontId="8" numFmtId="0" quotePrefix="1" xfId="0">
      <alignment horizontal="center"/>
      <protection locked="0"/>
    </xf>
    <xf applyBorder="1" applyFill="1" applyFont="1" applyProtection="1" borderId="202" fillId="18" fontId="4" numFmtId="0" xfId="0"/>
    <xf applyAlignment="1" applyBorder="1" applyFill="1" applyFont="1" borderId="162" fillId="38" fontId="156" numFmtId="0" xfId="0">
      <alignment horizontal="center"/>
    </xf>
    <xf applyAlignment="1" applyBorder="1" applyFill="1" applyFont="1" applyNumberFormat="1" applyProtection="1" borderId="106" fillId="38" fontId="4" numFmtId="1" xfId="0">
      <alignment horizontal="center"/>
    </xf>
    <xf applyAlignment="1" applyBorder="1" applyFont="1" borderId="163" fillId="0" fontId="7" numFmtId="0" xfId="0">
      <alignment horizontal="left" vertical="top" wrapText="1"/>
    </xf>
    <xf applyAlignment="1" applyBorder="1" applyFont="1" borderId="163" fillId="0" fontId="1" numFmtId="0" xfId="0">
      <alignment wrapText="1"/>
    </xf>
    <xf applyAlignment="1" applyBorder="1" applyFont="1" borderId="163" fillId="0" fontId="187" numFmtId="0" xfId="0">
      <alignment horizontal="left" vertical="top" wrapText="1"/>
    </xf>
    <xf applyAlignment="1" applyBorder="1" applyFont="1" borderId="163" fillId="0" fontId="188" numFmtId="0" xfId="0">
      <alignment wrapText="1"/>
    </xf>
    <xf applyAlignment="1" applyBorder="1" applyFont="1" borderId="163" fillId="0" fontId="0" numFmtId="0" xfId="0">
      <alignment wrapText="1"/>
    </xf>
    <xf applyAlignment="1" borderId="0" fillId="0" fontId="0" numFmtId="0" xfId="0">
      <alignment wrapText="1"/>
    </xf>
    <xf applyFill="1" applyFont="1" borderId="0" fillId="0" fontId="4" numFmtId="0" xfId="0"/>
    <xf applyBorder="1" applyFill="1" applyFont="1" applyProtection="1" borderId="228" fillId="4" fontId="143" numFmtId="0" xfId="0"/>
    <xf applyBorder="1" applyFill="1" applyFont="1" borderId="61" fillId="18" fontId="4" numFmtId="0" xfId="0"/>
    <xf applyBorder="1" applyFill="1" applyFont="1" applyProtection="1" borderId="229" fillId="18" fontId="4" numFmtId="0" xfId="0"/>
    <xf applyBorder="1" applyFill="1" applyFont="1" borderId="0" fillId="18" fontId="4" numFmtId="0" xfId="0"/>
    <xf applyBorder="1" applyFill="1" applyFont="1" borderId="230" fillId="18" fontId="4" numFmtId="0" xfId="0"/>
    <xf applyBorder="1" applyFill="1" applyFont="1" applyProtection="1" borderId="231" fillId="18" fontId="4" numFmtId="0" xfId="0"/>
    <xf applyBorder="1" applyFill="1" applyFont="1" borderId="60" fillId="18" fontId="4" numFmtId="0" xfId="0"/>
    <xf applyBorder="1" applyFill="1" applyFont="1" borderId="232" fillId="18" fontId="4" numFmtId="0" xfId="0"/>
    <xf applyBorder="1" applyFill="1" applyFont="1" applyProtection="1" borderId="223" fillId="18" fontId="4" numFmtId="0" xfId="0"/>
    <xf applyFill="1" applyFont="1" borderId="0" fillId="18" fontId="39" numFmtId="0" xfId="0"/>
    <xf applyBorder="1" applyFill="1" applyFont="1" borderId="196" fillId="18" fontId="39" numFmtId="0" xfId="0"/>
    <xf applyAlignment="1" applyBorder="1" applyFill="1" applyFont="1" borderId="0" fillId="40" fontId="35" numFmtId="169" xfId="2">
      <alignment horizontal="right"/>
    </xf>
    <xf applyBorder="1" applyFill="1" applyFont="1" borderId="198" fillId="40" fontId="1" numFmtId="0" xfId="0"/>
    <xf applyBorder="1" applyFill="1" applyFont="1" borderId="198" fillId="41" fontId="96" numFmtId="0" xfId="0"/>
    <xf applyAlignment="1" applyBorder="1" applyFill="1" applyFont="1" borderId="0" fillId="40" fontId="4" numFmtId="0" xfId="0">
      <alignment horizontal="right"/>
    </xf>
    <xf applyAlignment="1" applyBorder="1" applyFill="1" applyFont="1" borderId="0" fillId="40" fontId="35" numFmtId="0" xfId="0">
      <alignment horizontal="right"/>
    </xf>
    <xf applyBorder="1" applyFill="1" applyFont="1" borderId="1" fillId="40" fontId="35" numFmtId="0" xfId="0"/>
    <xf applyAlignment="1" applyFill="1" applyFont="1" borderId="0" fillId="40" fontId="4" numFmtId="0" xfId="0">
      <alignment horizontal="right"/>
    </xf>
    <xf applyAlignment="1" applyBorder="1" applyFill="1" applyFont="1" borderId="30" fillId="40" fontId="35" numFmtId="0" xfId="0">
      <alignment horizontal="right"/>
    </xf>
    <xf applyFill="1" applyFont="1" borderId="0" fillId="40" fontId="4" numFmtId="0" xfId="0"/>
    <xf applyAlignment="1" applyBorder="1" applyFill="1" applyFont="1" applyNumberFormat="1" borderId="0" fillId="40" fontId="4" numFmtId="2" xfId="0">
      <alignment horizontal="right"/>
    </xf>
    <xf applyBorder="1" applyFill="1" applyFont="1" applyNumberFormat="1" borderId="0" fillId="40" fontId="4" numFmtId="3" xfId="0"/>
    <xf applyAlignment="1" applyBorder="1" applyFill="1" applyFont="1" applyNumberFormat="1" borderId="0" fillId="40" fontId="4" numFmtId="3" xfId="0">
      <alignment horizontal="right"/>
    </xf>
    <xf applyFill="1" applyFont="1" borderId="0" fillId="40" fontId="35" numFmtId="0" xfId="0"/>
    <xf applyFill="1" applyFont="1" borderId="0" fillId="0" fontId="4" numFmtId="0" xfId="0"/>
    <xf applyAlignment="1" applyFill="1" applyFont="1" borderId="0" fillId="0" fontId="4" numFmtId="0" xfId="0">
      <alignment horizontal="left"/>
    </xf>
    <xf applyAlignment="1" applyBorder="1" applyFont="1" borderId="198" fillId="0" fontId="7" numFmtId="0" xfId="0">
      <alignment horizontal="left" vertical="top" wrapText="1"/>
    </xf>
    <xf applyAlignment="1" applyBorder="1" applyFont="1" borderId="198" fillId="0" fontId="1" numFmtId="0" xfId="0">
      <alignment wrapText="1"/>
    </xf>
    <xf applyAlignment="1" applyBorder="1" borderId="198" fillId="0" fontId="0" numFmtId="0" xfId="0">
      <alignment wrapText="1"/>
    </xf>
    <xf applyBorder="1" applyFill="1" applyFont="1" applyNumberFormat="1" borderId="198" fillId="0" fontId="4" numFmtId="179" xfId="0"/>
    <xf applyBorder="1" applyFill="1" applyFont="1" applyNumberFormat="1" borderId="198" fillId="0" fontId="4" numFmtId="178" xfId="0"/>
    <xf applyAlignment="1" applyFill="1" applyFont="1" borderId="0" fillId="37" fontId="4" numFmtId="0" xfId="0">
      <alignment horizontal="left"/>
    </xf>
    <xf applyAlignment="1" applyFill="1" applyFont="1" applyNumberFormat="1" borderId="0" fillId="37" fontId="4" numFmtId="179" xfId="0">
      <alignment horizontal="right"/>
    </xf>
    <xf applyAlignment="1" applyFill="1" applyFont="1" borderId="0" fillId="37" fontId="4" numFmtId="0" xfId="0">
      <alignment horizontal="right"/>
    </xf>
    <xf applyBorder="1" applyFill="1" applyFont="1" borderId="198" fillId="37" fontId="35" numFmtId="0" xfId="0"/>
    <xf applyAlignment="1" applyFill="1" applyFont="1" applyNumberFormat="1" borderId="0" fillId="37" fontId="4" numFmtId="164" xfId="0">
      <alignment horizontal="right"/>
    </xf>
    <xf applyFill="1" applyFont="1" borderId="0" fillId="37" fontId="4" numFmtId="0" xfId="0"/>
    <xf applyFill="1" applyFont="1" borderId="0" fillId="37" fontId="83" numFmtId="0" xfId="0"/>
    <xf applyBorder="1" applyFill="1" applyFont="1" borderId="0" fillId="37" fontId="35" numFmtId="0" xfId="0"/>
    <xf applyAlignment="1" applyFill="1" applyFont="1" applyNumberFormat="1" borderId="0" fillId="37" fontId="4" numFmtId="178" xfId="0">
      <alignment horizontal="right"/>
    </xf>
    <xf applyBorder="1" applyFill="1" applyFont="1" borderId="229" fillId="18" fontId="39" numFmtId="0" xfId="0"/>
    <xf applyBorder="1" applyFill="1" applyFont="1" borderId="230" fillId="18" fontId="39" numFmtId="0" xfId="0"/>
    <xf applyAlignment="1" applyBorder="1" applyFill="1" applyFont="1" borderId="117" fillId="40" fontId="97" numFmtId="0" xfId="0">
      <alignment horizontal="left"/>
    </xf>
    <xf applyAlignment="1" applyBorder="1" applyFill="1" applyFont="1" borderId="163" fillId="40" fontId="73" numFmtId="0" xfId="0"/>
    <xf applyAlignment="1" applyBorder="1" applyFill="1" applyFont="1" borderId="163" fillId="40" fontId="8" numFmtId="170" xfId="1">
      <alignment horizontal="right"/>
    </xf>
    <xf applyAlignment="1" applyBorder="1" applyFill="1" applyFont="1" borderId="164" fillId="40" fontId="8" numFmtId="170" xfId="1">
      <alignment horizontal="right"/>
    </xf>
    <xf applyAlignment="1" applyBorder="1" applyFill="1" applyFont="1" borderId="233" fillId="40" fontId="8" numFmtId="170" xfId="1">
      <alignment horizontal="right"/>
    </xf>
    <xf applyAlignment="1" applyBorder="1" applyFill="1" applyFont="1" applyNumberFormat="1" applyProtection="1" borderId="234" fillId="40" fontId="55" numFmtId="49" xfId="0">
      <alignment horizontal="center"/>
    </xf>
    <xf applyAlignment="1" applyBorder="1" applyFill="1" applyFont="1" applyNumberFormat="1" applyProtection="1" borderId="106" fillId="40" fontId="4" numFmtId="2" xfId="0">
      <alignment horizontal="center"/>
    </xf>
    <xf applyAlignment="1" applyBorder="1" applyFill="1" applyFont="1" borderId="2" fillId="40" fontId="61" numFmtId="0" xfId="0">
      <alignment horizontal="center"/>
    </xf>
    <xf applyAlignment="1" applyBorder="1" applyFill="1" applyFont="1" applyNumberFormat="1" borderId="3" fillId="40" fontId="5" numFmtId="3" xfId="0">
      <alignment horizontal="center"/>
    </xf>
    <xf applyAlignment="1" applyBorder="1" applyFill="1" applyFont="1" borderId="3" fillId="40" fontId="5" numFmtId="0" xfId="0">
      <alignment horizontal="center"/>
    </xf>
    <xf applyAlignment="1" applyBorder="1" applyFill="1" applyFont="1" applyNumberFormat="1" borderId="4" fillId="0" fontId="5" numFmtId="4" xfId="0">
      <alignment horizontal="center"/>
    </xf>
    <xf applyAlignment="1" borderId="0" fillId="0" fontId="0" numFmtId="0" xfId="0">
      <alignment wrapText="1"/>
    </xf>
    <xf applyFill="1" applyFont="1" borderId="0" fillId="0" fontId="4" numFmtId="0" xfId="0"/>
    <xf applyFill="1" applyFont="1" applyNumberFormat="1" borderId="0" fillId="37" fontId="4" numFmtId="3" xfId="0"/>
    <xf applyAlignment="1" applyFill="1" applyFont="1" applyNumberFormat="1" borderId="0" fillId="37" fontId="4" numFmtId="3" xfId="0">
      <alignment horizontal="right"/>
    </xf>
    <xf applyFill="1" applyFont="1" borderId="0" fillId="0" fontId="4" numFmtId="0" xfId="0"/>
    <xf applyAlignment="1" applyFill="1" applyFont="1" borderId="0" fillId="40" fontId="89" numFmtId="0" xfId="0">
      <alignment horizontal="right"/>
    </xf>
    <xf applyBorder="1" applyFill="1" applyFont="1" borderId="0" fillId="40" fontId="4" numFmtId="0" xfId="0"/>
    <xf applyAlignment="1" applyBorder="1" applyFill="1" applyFont="1" borderId="197" fillId="38" fontId="5" numFmtId="0" xfId="0"/>
    <xf applyAlignment="1" applyBorder="1" applyFill="1" applyFont="1" borderId="198" fillId="38" fontId="183" numFmtId="0" xfId="0"/>
    <xf applyBorder="1" applyFill="1" applyFont="1" applyNumberFormat="1" borderId="198" fillId="38" fontId="1" numFmtId="1" xfId="0"/>
    <xf applyBorder="1" applyFill="1" applyFont="1" applyNumberFormat="1" borderId="1" fillId="38" fontId="1" numFmtId="2" xfId="0"/>
    <xf applyAlignment="1" applyBorder="1" applyFont="1" borderId="198" fillId="0" fontId="189" numFmtId="0" xfId="0">
      <alignment horizontal="left" vertical="top" wrapText="1"/>
    </xf>
    <xf applyAlignment="1" applyBorder="1" applyFont="1" borderId="198" fillId="0" fontId="190" numFmtId="0" xfId="0">
      <alignment wrapText="1"/>
    </xf>
    <xf applyFill="1" applyFont="1" borderId="0" fillId="0" fontId="4" numFmtId="0" xfId="0"/>
    <xf applyBorder="1" applyFill="1" applyFont="1" borderId="22" fillId="18" fontId="39" numFmtId="0" xfId="0"/>
    <xf applyAlignment="1" applyBorder="1" applyFill="1" applyFont="1" applyProtection="1" borderId="205" fillId="0" fontId="108" numFmtId="0" xfId="0">
      <alignment horizontal="center"/>
    </xf>
    <xf applyFill="1" applyFont="1" borderId="0" fillId="0" fontId="4" numFmtId="0" xfId="0"/>
    <xf applyFill="1" applyFont="1" borderId="0" fillId="0" fontId="4" numFmtId="0" xfId="0"/>
    <xf applyBorder="1" applyFill="1" applyFont="1" applyNumberFormat="1" borderId="198" fillId="35" fontId="1" numFmtId="1" xfId="0"/>
    <xf applyAlignment="1" applyBorder="1" applyFill="1" applyFont="1" applyNumberFormat="1" applyProtection="1" borderId="198" fillId="0" fontId="39" numFmtId="182" xfId="0">
      <alignment horizontal="center"/>
    </xf>
    <xf applyBorder="1" applyFont="1" applyNumberFormat="1" borderId="198" fillId="0" fontId="39" numFmtId="1" xfId="0"/>
    <xf applyAlignment="1" applyBorder="1" applyFill="1" applyFont="1" borderId="233" fillId="0" fontId="4" numFmtId="0" xfId="0">
      <alignment horizontal="center"/>
    </xf>
    <xf applyAlignment="1" applyBorder="1" applyFont="1" applyProtection="1" borderId="233" fillId="0" fontId="8" numFmtId="0" xfId="0">
      <alignment horizontal="center"/>
      <protection locked="0"/>
    </xf>
    <xf applyAlignment="1" applyBorder="1" applyFont="1" applyProtection="1" borderId="233" fillId="0" fontId="4" numFmtId="0" xfId="0">
      <alignment horizontal="center"/>
      <protection locked="0"/>
    </xf>
    <xf applyBorder="1" applyFill="1" applyFont="1" applyProtection="1" borderId="214" fillId="40" fontId="4" numFmtId="0" xfId="0">
      <protection locked="0"/>
    </xf>
    <xf applyAlignment="1" applyBorder="1" applyFill="1" applyFont="1" borderId="198" fillId="28" fontId="7" numFmtId="0" xfId="0">
      <alignment horizontal="left" vertical="top" wrapText="1"/>
    </xf>
    <xf applyAlignment="1" applyBorder="1" applyFill="1" applyFont="1" borderId="198" fillId="28" fontId="1" numFmtId="0" xfId="0">
      <alignment wrapText="1"/>
    </xf>
    <xf applyAlignment="1" applyBorder="1" applyFill="1" borderId="198" fillId="28" fontId="0" numFmtId="0" xfId="0">
      <alignment wrapText="1"/>
    </xf>
    <xf applyFill="1" applyFont="1" borderId="0" fillId="0" fontId="4" numFmtId="0" xfId="0"/>
    <xf applyAlignment="1" applyBorder="1" applyFont="1" borderId="198" fillId="0" fontId="7" numFmtId="0" xfId="0">
      <alignment wrapText="1"/>
    </xf>
    <xf applyAlignment="1" applyBorder="1" applyFont="1" applyNumberFormat="1" borderId="198" fillId="0" fontId="7" numFmtId="14" xfId="0">
      <alignment horizontal="left" vertical="top"/>
    </xf>
    <xf applyAlignment="1" applyBorder="1" applyFill="1" applyFont="1" borderId="0" fillId="27" fontId="4" numFmtId="0" xfId="0">
      <alignment horizontal="left"/>
    </xf>
    <xf applyAlignment="1" applyFill="1" applyFont="1" borderId="0" fillId="27" fontId="4" numFmtId="0" xfId="0">
      <alignment horizontal="left"/>
    </xf>
    <xf applyBorder="1" applyFill="1" applyFont="1" borderId="74" fillId="27" fontId="1" numFmtId="0" xfId="0"/>
    <xf applyAlignment="1" applyBorder="1" borderId="198" fillId="0" fontId="0" numFmtId="0" xfId="0">
      <alignment horizontal="center"/>
    </xf>
    <xf applyBorder="1" applyFill="1" borderId="198" fillId="17" fontId="0" numFmtId="0" xfId="0"/>
    <xf applyAlignment="1" applyBorder="1" applyFont="1" borderId="198" fillId="0" fontId="188" numFmtId="0" xfId="0">
      <alignment wrapText="1"/>
    </xf>
    <xf applyFill="1" applyFont="1" borderId="0" fillId="27" fontId="112" numFmtId="0" xfId="0"/>
    <xf applyAlignment="1" applyBorder="1" applyFill="1" applyFont="1" borderId="197" fillId="0" fontId="4" numFmtId="0" xfId="0">
      <alignment horizontal="left"/>
    </xf>
    <xf applyAlignment="1" applyBorder="1" applyFill="1" applyFont="1" borderId="190" fillId="0" fontId="4" numFmtId="0" xfId="0">
      <alignment horizontal="left"/>
    </xf>
    <xf applyAlignment="1" applyBorder="1" applyFill="1" applyFont="1" borderId="191" fillId="0" fontId="4" numFmtId="0" xfId="0">
      <alignment horizontal="left"/>
    </xf>
    <xf applyAlignment="1" applyBorder="1" applyFill="1" applyFont="1" applyNumberFormat="1" borderId="0" fillId="0" fontId="169" numFmtId="3" xfId="0">
      <alignment horizontal="right"/>
    </xf>
    <xf applyBorder="1" applyFill="1" applyFont="1" applyNumberFormat="1" borderId="0" fillId="0" fontId="169" numFmtId="3" xfId="0"/>
    <xf applyAlignment="1" applyFill="1" applyFont="1" applyNumberFormat="1" borderId="0" fillId="0" fontId="169" numFmtId="1" xfId="0">
      <alignment horizontal="right"/>
    </xf>
    <xf applyBorder="1" applyFill="1" applyFont="1" applyNumberFormat="1" borderId="0" fillId="0" fontId="169" numFmtId="1" xfId="0"/>
    <xf applyAlignment="1" applyBorder="1" applyFill="1" applyFont="1" borderId="1" fillId="0" fontId="192" numFmtId="0" xfId="0">
      <alignment horizontal="right"/>
    </xf>
    <xf applyAlignment="1" applyBorder="1" applyFill="1" applyFont="1" borderId="195" fillId="0" fontId="192" numFmtId="0" xfId="0">
      <alignment horizontal="right"/>
    </xf>
    <xf applyAlignment="1" applyBorder="1" applyFill="1" applyFont="1" borderId="214" fillId="0" fontId="192" numFmtId="0" xfId="0">
      <alignment horizontal="right"/>
    </xf>
    <xf applyAlignment="1" applyBorder="1" applyFill="1" applyFont="1" borderId="71" fillId="0" fontId="192" numFmtId="0" xfId="0">
      <alignment horizontal="right"/>
    </xf>
    <xf applyAlignment="1" applyBorder="1" applyFill="1" applyFont="1" borderId="2" fillId="0" fontId="192" numFmtId="0" xfId="0">
      <alignment horizontal="right"/>
    </xf>
    <xf applyAlignment="1" applyBorder="1" applyFill="1" applyFont="1" borderId="3" fillId="0" fontId="192" numFmtId="0" xfId="0">
      <alignment horizontal="right"/>
    </xf>
    <xf applyAlignment="1" applyBorder="1" applyFill="1" applyFont="1" borderId="4" fillId="0" fontId="192" numFmtId="0" xfId="0">
      <alignment horizontal="right"/>
    </xf>
    <xf applyAlignment="1" applyBorder="1" applyFill="1" applyFont="1" borderId="71" fillId="35" fontId="192" numFmtId="0" xfId="0">
      <alignment horizontal="right"/>
    </xf>
    <xf applyAlignment="1" applyBorder="1" applyFill="1" applyFont="1" borderId="214" fillId="35" fontId="192" numFmtId="0" xfId="0">
      <alignment horizontal="right"/>
    </xf>
    <xf applyAlignment="1" applyBorder="1" applyFill="1" applyFont="1" borderId="94" fillId="0" fontId="192" numFmtId="0" xfId="0">
      <alignment horizontal="right"/>
    </xf>
    <xf applyAlignment="1" applyBorder="1" applyFill="1" applyFont="1" borderId="77" fillId="0" fontId="192" numFmtId="0" xfId="0">
      <alignment horizontal="right"/>
    </xf>
    <xf applyAlignment="1" applyBorder="1" applyFill="1" applyFont="1" borderId="168" fillId="0" fontId="192" numFmtId="0" xfId="0">
      <alignment horizontal="right"/>
    </xf>
    <xf applyAlignment="1" applyBorder="1" applyFill="1" applyFont="1" borderId="159" fillId="0" fontId="192" numFmtId="0" xfId="0">
      <alignment horizontal="right"/>
    </xf>
    <xf applyAlignment="1" applyBorder="1" applyFill="1" applyFont="1" borderId="214" fillId="38" fontId="192" numFmtId="0" xfId="0">
      <alignment horizontal="right"/>
    </xf>
    <xf applyAlignment="1" applyBorder="1" applyFill="1" applyFont="1" borderId="206" fillId="0" fontId="192" numFmtId="0" xfId="0">
      <alignment horizontal="right"/>
    </xf>
    <xf applyFill="1" applyFont="1" applyNumberFormat="1" borderId="0" fillId="0" fontId="170" numFmtId="3" xfId="0"/>
    <xf applyAlignment="1" applyBorder="1" applyFill="1" applyFont="1" borderId="0" fillId="0" fontId="4" numFmtId="0" xfId="0">
      <alignment horizontal="left"/>
    </xf>
    <xf applyFill="1" applyFont="1" borderId="0" fillId="0" fontId="4" numFmtId="0" xfId="0"/>
    <xf applyAlignment="1" applyBorder="1" applyFill="1" applyFont="1" borderId="0" fillId="0" fontId="89" numFmtId="0" xfId="0">
      <alignment horizontal="center"/>
    </xf>
    <xf applyAlignment="1" applyBorder="1" applyFill="1" applyFont="1" applyNumberFormat="1" applyProtection="1" borderId="234" fillId="0" fontId="55" numFmtId="49" xfId="0">
      <alignment horizontal="center"/>
    </xf>
    <xf applyFill="1" applyFont="1" applyNumberFormat="1" borderId="0" fillId="42" fontId="4" numFmtId="3" xfId="0"/>
    <xf applyAlignment="1" borderId="0" fillId="0" fontId="0" numFmtId="0" xfId="0">
      <alignment wrapText="1"/>
    </xf>
    <xf applyFill="1" applyFont="1" borderId="0" fillId="0" fontId="4" numFmtId="0" xfId="0"/>
    <xf applyAlignment="1" applyBorder="1" applyFill="1" applyFont="1" borderId="0" fillId="35" fontId="4" numFmtId="0" xfId="0">
      <alignment horizontal="right"/>
    </xf>
    <xf applyFill="1" applyFont="1" borderId="0" fillId="0" fontId="4" numFmtId="0" xfId="0"/>
    <xf applyAlignment="1" applyBorder="1" applyFill="1" applyFont="1" borderId="198" fillId="35" fontId="192" numFmtId="0" xfId="0">
      <alignment horizontal="right"/>
    </xf>
    <xf applyAlignment="1" applyFill="1" applyFont="1" applyNumberFormat="1" borderId="0" fillId="35" fontId="4" numFmtId="179" xfId="0">
      <alignment horizontal="right"/>
    </xf>
    <xf applyAlignment="1" applyBorder="1" applyFill="1" applyFont="1" applyNumberFormat="1" borderId="0" fillId="35" fontId="4" numFmtId="179" xfId="0"/>
    <xf applyAlignment="1" applyBorder="1" applyFill="1" applyFont="1" borderId="198" fillId="35" fontId="5" numFmtId="0" xfId="0"/>
    <xf applyBorder="1" applyFill="1" applyFont="1" borderId="198" fillId="35" fontId="183" numFmtId="0" xfId="0"/>
    <xf applyBorder="1" applyFill="1" applyFont="1" applyNumberFormat="1" borderId="198" fillId="35" fontId="1" numFmtId="1" quotePrefix="1" xfId="0"/>
    <xf applyAlignment="1" applyBorder="1" applyFill="1" applyFont="1" applyNumberFormat="1" borderId="198" fillId="35" fontId="1" numFmtId="1" xfId="0">
      <alignment wrapText="1"/>
    </xf>
    <xf applyBorder="1" applyFill="1" applyFont="1" borderId="225" fillId="0" fontId="7" numFmtId="0" xfId="0"/>
    <xf applyBorder="1" applyFill="1" applyFont="1" borderId="226" fillId="0" fontId="1" numFmtId="0" xfId="0"/>
    <xf applyBorder="1" applyFill="1" applyFont="1" borderId="226" fillId="0" fontId="4" numFmtId="0" xfId="0"/>
    <xf applyBorder="1" applyFill="1" applyFont="1" borderId="226" fillId="0" fontId="5" numFmtId="0" xfId="0"/>
    <xf applyBorder="1" applyFill="1" applyFont="1" borderId="227" fillId="0" fontId="1" numFmtId="0" xfId="0"/>
    <xf applyAlignment="1" applyFill="1" applyFont="1" applyNumberFormat="1" borderId="0" fillId="37" fontId="89" numFmtId="2" xfId="0">
      <alignment horizontal="right"/>
    </xf>
    <xf applyBorder="1" applyFill="1" applyFont="1" applyNumberFormat="1" borderId="0" fillId="37" fontId="4" numFmtId="3" xfId="0"/>
    <xf applyAlignment="1" applyFill="1" applyFont="1" applyNumberFormat="1" borderId="0" fillId="37" fontId="4" numFmtId="2" xfId="0">
      <alignment horizontal="right"/>
    </xf>
    <xf applyBorder="1" applyFill="1" applyFont="1" borderId="198" fillId="43" fontId="1" numFmtId="0" xfId="0"/>
    <xf applyFill="1" applyFont="1" applyNumberFormat="1" borderId="0" fillId="37" fontId="89" numFmtId="2" xfId="0"/>
    <xf applyFill="1" applyFont="1" applyNumberFormat="1" borderId="0" fillId="37" fontId="4" numFmtId="2" xfId="0"/>
    <xf applyBorder="1" applyFill="1" applyFont="1" applyNumberFormat="1" borderId="44" fillId="37" fontId="4" numFmtId="2" xfId="0"/>
    <xf applyAlignment="1" applyBorder="1" applyFont="1" borderId="198" fillId="0" fontId="187" numFmtId="0" xfId="0">
      <alignment horizontal="left" vertical="top" wrapText="1"/>
    </xf>
    <xf applyAlignment="1" applyBorder="1" applyFill="1" applyFont="1" borderId="198" fillId="0" fontId="5" numFmtId="0" xfId="0"/>
    <xf applyBorder="1" applyFill="1" applyFont="1" borderId="198" fillId="0" fontId="183" numFmtId="0" xfId="0"/>
    <xf applyAlignment="1" applyBorder="1" applyFont="1" borderId="198" fillId="0" fontId="0" numFmtId="0" xfId="0">
      <alignment wrapText="1"/>
    </xf>
    <xf applyAlignment="1" applyFill="1" applyFont="1" borderId="0" fillId="27" fontId="83" numFmtId="0" xfId="0">
      <alignment horizontal="left"/>
    </xf>
    <xf applyBorder="1" applyFill="1" applyFont="1" borderId="198" fillId="27" fontId="4" numFmtId="0" xfId="0"/>
    <xf applyAlignment="1" applyBorder="1" applyFill="1" applyFont="1" borderId="0" fillId="0" fontId="4" numFmtId="0" xfId="0"/>
    <xf applyFill="1" applyFont="1" borderId="0" fillId="0" fontId="4" numFmtId="0" xfId="0"/>
    <xf applyBorder="1" applyFill="1" applyNumberFormat="1" borderId="118" fillId="27" fontId="0" numFmtId="2" xfId="0"/>
    <xf applyFill="1" applyFont="1" borderId="0" fillId="0" fontId="4" numFmtId="0" xfId="0"/>
    <xf applyBorder="1" applyFill="1" applyFont="1" applyNumberFormat="1" borderId="0" fillId="27" fontId="8" numFmtId="1" xfId="0"/>
    <xf applyFill="1" applyFont="1" borderId="0" fillId="27" fontId="8" numFmtId="0" xfId="0"/>
    <xf applyAlignment="1" applyFill="1" applyFont="1" applyNumberFormat="1" borderId="0" fillId="27" fontId="112" numFmtId="2" xfId="0">
      <alignment horizontal="left"/>
    </xf>
    <xf applyAlignment="1" applyBorder="1" applyFill="1" applyFont="1" borderId="0" fillId="27" fontId="35" numFmtId="0" xfId="0">
      <alignment horizontal="left"/>
    </xf>
    <xf applyBorder="1" applyFill="1" applyFont="1" applyNumberFormat="1" borderId="0" fillId="27" fontId="4" numFmtId="4" xfId="0"/>
    <xf applyBorder="1" applyFill="1" applyFont="1" applyNumberFormat="1" borderId="0" fillId="27" fontId="4" numFmtId="3" xfId="0"/>
    <xf applyFill="1" applyFont="1" applyNumberFormat="1" borderId="0" fillId="0" fontId="139" numFmtId="2" xfId="0"/>
    <xf applyFill="1" applyFont="1" applyNumberFormat="1" borderId="0" fillId="27" fontId="139" numFmtId="2" xfId="0"/>
    <xf applyAlignment="1" applyFill="1" applyFont="1" borderId="0" fillId="27" fontId="89" numFmtId="0" xfId="0">
      <alignment horizontal="right"/>
    </xf>
    <xf applyAlignment="1" applyFill="1" applyFont="1" applyProtection="1" borderId="0" fillId="27" fontId="90" numFmtId="0" xfId="0">
      <alignment horizontal="right"/>
      <protection hidden="1"/>
    </xf>
    <xf applyBorder="1" applyFill="1" applyFont="1" borderId="198" fillId="44" fontId="96" numFmtId="0" xfId="0"/>
    <xf applyAlignment="1" applyBorder="1" applyFill="1" applyFont="1" borderId="0" fillId="0" fontId="4" numFmtId="0" xfId="0"/>
    <xf applyFill="1" applyFont="1" borderId="0" fillId="0" fontId="4" numFmtId="0" xfId="0"/>
    <xf applyAlignment="1" applyFill="1" applyFont="1" borderId="0" fillId="0" fontId="4" numFmtId="0" xfId="0">
      <alignment horizontal="left"/>
    </xf>
    <xf applyAlignment="1" applyBorder="1" applyFill="1" applyFont="1" borderId="0" fillId="27" fontId="4" numFmtId="0" xfId="0"/>
    <xf applyFill="1" applyFont="1" borderId="0" fillId="27" fontId="89" numFmtId="0" xfId="0"/>
    <xf applyFill="1" applyFont="1" borderId="0" fillId="0" fontId="4" numFmtId="0" xfId="0"/>
    <xf applyFill="1" applyFont="1" applyNumberFormat="1" borderId="0" fillId="27" fontId="83" numFmtId="2" xfId="0"/>
    <xf applyAlignment="1" applyBorder="1" applyFill="1" applyFont="1" borderId="198" fillId="27" fontId="35" numFmtId="0" xfId="0">
      <alignment horizontal="left"/>
    </xf>
    <xf applyBorder="1" applyFill="1" applyFont="1" applyNumberFormat="1" borderId="198" fillId="0" fontId="8" numFmtId="4" xfId="0"/>
    <xf applyAlignment="1" applyBorder="1" applyFill="1" applyFont="1" applyNumberFormat="1" borderId="0" fillId="27" fontId="29" numFmtId="1" xfId="0"/>
    <xf applyAlignment="1" applyFill="1" applyFont="1" applyProtection="1" borderId="0" fillId="27" fontId="7" numFmtId="0" xfId="0">
      <alignment horizontal="right"/>
      <protection hidden="1"/>
    </xf>
    <xf applyAlignment="1" applyBorder="1" applyFill="1" applyFont="1" borderId="189" fillId="27" fontId="57" numFmtId="0" xfId="0">
      <alignment horizontal="left"/>
    </xf>
    <xf applyBorder="1" applyFill="1" applyFont="1" borderId="222" fillId="0" fontId="4" numFmtId="0" xfId="0"/>
    <xf applyFill="1" applyFont="1" applyNumberFormat="1" borderId="0" fillId="27" fontId="169" numFmtId="3" xfId="0"/>
    <xf applyAlignment="1" applyFill="1" applyFont="1" applyNumberFormat="1" borderId="0" fillId="27" fontId="4" numFmtId="2" xfId="0">
      <alignment horizontal="right"/>
    </xf>
    <xf applyAlignment="1" applyFill="1" applyFont="1" applyNumberFormat="1" borderId="0" fillId="27" fontId="8" numFmtId="2" xfId="0">
      <alignment horizontal="right"/>
    </xf>
    <xf applyBorder="1" applyFill="1" applyFont="1" borderId="102" fillId="27" fontId="5" numFmtId="0" xfId="0"/>
    <xf applyBorder="1" applyFill="1" applyFont="1" borderId="102" fillId="27" fontId="183" numFmtId="0" xfId="0"/>
    <xf applyBorder="1" applyFill="1" applyFont="1" applyNumberFormat="1" borderId="102" fillId="27" fontId="1" numFmtId="2" xfId="0"/>
    <xf applyAlignment="1" applyBorder="1" applyFill="1" applyFont="1" applyNumberFormat="1" borderId="171" fillId="27" fontId="35" numFmtId="1" xfId="0">
      <alignment horizontal="center"/>
    </xf>
    <xf applyBorder="1" applyFill="1" applyFont="1" applyNumberFormat="1" borderId="0" fillId="27" fontId="4" numFmtId="1" xfId="0"/>
    <xf applyAlignment="1" applyBorder="1" applyFill="1" applyFont="1" applyNumberFormat="1" borderId="0" fillId="27" fontId="4" numFmtId="1" xfId="0">
      <alignment horizontal="right"/>
    </xf>
    <xf applyAlignment="1" applyBorder="1" applyFill="1" applyFont="1" borderId="1" fillId="27" fontId="193" numFmtId="0" xfId="0">
      <alignment horizontal="right"/>
    </xf>
    <xf applyAlignment="1" applyBorder="1" applyFill="1" applyFont="1" borderId="0" fillId="27" fontId="5" numFmtId="0" xfId="0"/>
    <xf applyAlignment="1" applyFill="1" applyFont="1" borderId="0" fillId="27" fontId="115" numFmtId="0" xfId="0"/>
    <xf applyAlignment="1" applyBorder="1" applyFill="1" applyFont="1" borderId="0" fillId="27" fontId="89" numFmtId="0" xfId="0"/>
    <xf applyAlignment="1" applyBorder="1" applyFill="1" applyFont="1" applyNumberFormat="1" borderId="0" fillId="27" fontId="89" numFmtId="173" xfId="1"/>
    <xf applyAlignment="1" applyFill="1" applyFont="1" applyNumberFormat="1" borderId="0" fillId="27" fontId="89" numFmtId="178" xfId="0">
      <alignment horizontal="right"/>
    </xf>
    <xf applyFill="1" applyFont="1" borderId="0" fillId="27" fontId="90" numFmtId="0" xfId="0"/>
    <xf applyAlignment="1" applyBorder="1" applyFill="1" applyFont="1" borderId="198" fillId="27" fontId="192" numFmtId="0" xfId="0">
      <alignment horizontal="right"/>
    </xf>
    <xf applyAlignment="1" applyFill="1" applyFont="1" applyNumberFormat="1" borderId="0" fillId="27" fontId="4" numFmtId="179" xfId="0">
      <alignment horizontal="right"/>
    </xf>
    <xf applyAlignment="1" applyBorder="1" applyFill="1" applyFont="1" borderId="0" fillId="27" fontId="4" numFmtId="0" quotePrefix="1" xfId="0">
      <alignment horizontal="right"/>
    </xf>
    <xf applyAlignment="1" applyFill="1" applyFont="1" applyNumberFormat="1" borderId="0" fillId="27" fontId="4" numFmtId="178" xfId="0">
      <alignment horizontal="right"/>
    </xf>
    <xf applyFill="1" applyFont="1" borderId="0" fillId="27" fontId="1" numFmtId="0" xfId="0"/>
    <xf applyBorder="1" applyFill="1" applyFont="1" borderId="198" fillId="14" fontId="35" numFmtId="0" xfId="0"/>
    <xf applyBorder="1" applyFill="1" applyFont="1" borderId="198" fillId="27" fontId="35" numFmtId="0" xfId="0"/>
    <xf applyFill="1" applyFont="1" borderId="0" fillId="14" fontId="4" numFmtId="0" xfId="0"/>
    <xf applyAlignment="1" applyFill="1" applyFont="1" borderId="0" fillId="14" fontId="169" numFmtId="0" xfId="0">
      <alignment horizontal="right"/>
    </xf>
    <xf applyFill="1" applyFont="1" borderId="0" fillId="27" fontId="35" numFmtId="0" xfId="0"/>
    <xf applyFill="1" applyFont="1" borderId="0" fillId="27" fontId="139" numFmtId="0" xfId="0"/>
    <xf applyAlignment="1" applyBorder="1" applyFont="1" borderId="198" fillId="0" fontId="7" numFmtId="0" xfId="0">
      <alignment horizontal="left" vertical="top"/>
    </xf>
    <xf applyFill="1" applyFont="1" borderId="0" fillId="37" fontId="8" numFmtId="0" xfId="0"/>
    <xf applyBorder="1" applyFill="1" applyFont="1" applyNumberFormat="1" borderId="1" fillId="37" fontId="1" numFmtId="3" xfId="0"/>
    <xf applyBorder="1" applyFill="1" applyFont="1" applyNumberFormat="1" borderId="1" fillId="37" fontId="1" numFmtId="1" xfId="0"/>
    <xf applyAlignment="1" applyBorder="1" applyFill="1" applyFont="1" borderId="4" fillId="37" fontId="193" numFmtId="0" xfId="0">
      <alignment horizontal="right"/>
    </xf>
    <xf applyAlignment="1" applyBorder="1" applyFill="1" applyFont="1" borderId="0" fillId="37" fontId="163" numFmtId="0" xfId="0"/>
    <xf applyFill="1" applyFont="1" borderId="0" fillId="37" fontId="90" numFmtId="0" xfId="0"/>
    <xf applyFill="1" applyFont="1" borderId="0" fillId="0" fontId="4" numFmtId="0" xfId="0"/>
    <xf applyAlignment="1" applyFill="1" applyFont="1" borderId="0" fillId="0" fontId="4" numFmtId="0" xfId="0">
      <alignment horizontal="left"/>
    </xf>
    <xf applyFill="1" applyFont="1" applyNumberFormat="1" borderId="0" fillId="0" fontId="170" numFmtId="2" xfId="0"/>
    <xf applyAlignment="1" applyFill="1" applyFont="1" borderId="0" fillId="27" fontId="8" numFmtId="0" xfId="0">
      <alignment horizontal="right"/>
    </xf>
    <xf applyAlignment="1" applyFill="1" applyFont="1" applyProtection="1" borderId="0" fillId="27" fontId="8" numFmtId="0" xfId="0">
      <alignment horizontal="right"/>
      <protection hidden="1"/>
    </xf>
    <xf applyAlignment="1" applyBorder="1" applyFill="1" applyFont="1" borderId="198" fillId="0" fontId="35" numFmtId="0" xfId="0">
      <alignment horizontal="left"/>
    </xf>
    <xf applyAlignment="1" applyFill="1" applyFont="1" applyNumberFormat="1" borderId="0" fillId="27" fontId="4" numFmtId="4" xfId="0">
      <alignment horizontal="right"/>
    </xf>
    <xf applyAlignment="1" applyFill="1" applyFont="1" borderId="0" fillId="43" fontId="35" numFmtId="0" xfId="0">
      <alignment horizontal="right"/>
    </xf>
    <xf applyFill="1" applyFont="1" borderId="0" fillId="0" fontId="4" numFmtId="0" xfId="0"/>
    <xf applyAlignment="1" applyBorder="1" applyFill="1" applyFont="1" borderId="102" fillId="43" fontId="73" numFmtId="0" xfId="0"/>
    <xf applyFill="1" applyFont="1" applyNumberFormat="1" borderId="0" fillId="27" fontId="4" numFmtId="2" xfId="0"/>
    <xf applyAlignment="1" applyBorder="1" applyFont="1" borderId="163" fillId="0" fontId="188" numFmtId="0" xfId="0">
      <alignment vertical="top" wrapText="1"/>
    </xf>
    <xf applyAlignment="1" applyBorder="1" applyFill="1" applyFont="1" borderId="163" fillId="38" fontId="1" numFmtId="0" xfId="0">
      <alignment vertical="top" wrapText="1"/>
    </xf>
    <xf applyAlignment="1" applyBorder="1" applyFill="1" applyFont="1" borderId="163" fillId="35" fontId="1" numFmtId="0" xfId="0">
      <alignment vertical="top" wrapText="1"/>
    </xf>
    <xf applyAlignment="1" applyBorder="1" applyFont="1" borderId="198" fillId="0" fontId="190" numFmtId="0" xfId="0">
      <alignment vertical="top" wrapText="1"/>
    </xf>
    <xf applyBorder="1" applyFill="1" applyFont="1" borderId="198" fillId="28" fontId="1" numFmtId="0" xfId="0"/>
    <xf applyAlignment="1" applyBorder="1" applyFont="1" borderId="198" fillId="0" fontId="188" numFmtId="0" xfId="0">
      <alignment vertical="top" wrapText="1"/>
    </xf>
    <xf applyFill="1" applyFont="1" borderId="0" fillId="0" fontId="4" numFmtId="0" xfId="0"/>
    <xf applyFill="1" applyFont="1" borderId="0" fillId="0" fontId="4" numFmtId="0" xfId="0"/>
    <xf applyAlignment="1" applyFill="1" applyFont="1" borderId="0" fillId="27" fontId="4" numFmtId="0" xfId="0">
      <alignment horizontal="center"/>
    </xf>
    <xf applyAlignment="1" applyBorder="1" applyFill="1" applyFont="1" borderId="46" fillId="14" fontId="4" numFmtId="0" xfId="0">
      <alignment horizontal="center"/>
    </xf>
    <xf applyBorder="1" applyFill="1" applyFont="1" applyProtection="1" borderId="197" fillId="14" fontId="8" numFmtId="170" xfId="1">
      <protection locked="0"/>
    </xf>
    <xf applyBorder="1" applyFill="1" applyFont="1" applyProtection="1" borderId="198" fillId="14" fontId="8" numFmtId="170" xfId="1">
      <protection locked="0"/>
    </xf>
    <xf applyBorder="1" applyFill="1" applyFont="1" applyProtection="1" borderId="198" fillId="5" fontId="5" numFmtId="0" xfId="0"/>
    <xf applyBorder="1" applyFill="1" applyFont="1" applyNumberFormat="1" applyProtection="1" borderId="198" fillId="14" fontId="4" numFmtId="2" xfId="0">
      <protection locked="0"/>
    </xf>
    <xf applyBorder="1" applyFill="1" applyFont="1" applyNumberFormat="1" applyProtection="1" borderId="198" fillId="0" fontId="4" numFmtId="165" xfId="0">
      <protection locked="0"/>
    </xf>
    <xf applyBorder="1" applyFill="1" applyFont="1" applyProtection="1" borderId="4" fillId="15" fontId="4" numFmtId="0" xfId="0">
      <protection locked="0"/>
    </xf>
    <xf applyBorder="1" applyFill="1" applyFont="1" applyProtection="1" borderId="1" fillId="15" fontId="4" numFmtId="0" xfId="0">
      <protection locked="0"/>
    </xf>
    <xf applyBorder="1" applyFill="1" applyFont="1" applyProtection="1" borderId="171" fillId="15" fontId="4" numFmtId="0" xfId="0">
      <protection locked="0"/>
    </xf>
    <xf applyAlignment="1" applyBorder="1" applyFill="1" applyFont="1" borderId="206" fillId="10" fontId="4" numFmtId="0" xfId="0">
      <alignment horizontal="center"/>
    </xf>
    <xf applyAlignment="1" applyBorder="1" applyFill="1" applyFont="1" applyNumberFormat="1" applyProtection="1" borderId="198" fillId="14" fontId="4" numFmtId="4" xfId="1">
      <alignment horizontal="right"/>
      <protection locked="0"/>
    </xf>
    <xf applyAlignment="1" applyBorder="1" applyFill="1" applyFont="1" applyNumberFormat="1" borderId="198" fillId="14" fontId="4" numFmtId="4" xfId="1">
      <alignment horizontal="right"/>
    </xf>
    <xf applyAlignment="1" applyBorder="1" applyFill="1" applyFont="1" applyProtection="1" borderId="198" fillId="14" fontId="4" numFmtId="0" xfId="0">
      <alignment horizontal="right"/>
      <protection locked="0"/>
    </xf>
    <xf applyAlignment="1" applyBorder="1" applyFill="1" applyFont="1" applyProtection="1" borderId="198" fillId="14" fontId="4" numFmtId="0" xfId="0">
      <alignment horizontal="center"/>
      <protection locked="0"/>
    </xf>
    <xf applyAlignment="1" applyBorder="1" applyFill="1" applyFont="1" applyNumberFormat="1" borderId="197" fillId="15" fontId="4" numFmtId="4" xfId="0">
      <alignment horizontal="right"/>
    </xf>
    <xf applyAlignment="1" applyBorder="1" applyFill="1" applyFont="1" borderId="35" fillId="14" fontId="8" numFmtId="0" xfId="0">
      <alignment horizontal="center"/>
    </xf>
    <xf applyAlignment="1" applyBorder="1" applyFont="1" applyProtection="1" borderId="197" fillId="0" fontId="4" numFmtId="0" xfId="0">
      <alignment horizontal="center" wrapText="1"/>
      <protection locked="0"/>
    </xf>
    <xf applyBorder="1" applyFill="1" applyFont="1" applyNumberFormat="1" applyProtection="1" borderId="197" fillId="0" fontId="4" numFmtId="181" xfId="0"/>
    <xf applyBorder="1" applyFont="1" applyNumberFormat="1" applyProtection="1" borderId="197" fillId="0" fontId="4" numFmtId="181" xfId="0">
      <protection locked="0"/>
    </xf>
    <xf applyAlignment="1" applyBorder="1" applyFill="1" applyFont="1" applyNumberFormat="1" applyProtection="1" borderId="197" fillId="10" fontId="4" numFmtId="181" xfId="0">
      <alignment horizontal="center"/>
    </xf>
    <xf applyAlignment="1" applyBorder="1" applyFont="1" borderId="197" fillId="0" fontId="4" numFmtId="0" xfId="0">
      <alignment horizontal="center"/>
    </xf>
    <xf applyAlignment="1" applyBorder="1" applyFill="1" applyFont="1" applyNumberFormat="1" applyProtection="1" borderId="197" fillId="0" fontId="4" numFmtId="4" xfId="0">
      <alignment horizontal="right"/>
    </xf>
    <xf applyAlignment="1" applyBorder="1" applyFill="1" applyFont="1" applyNumberFormat="1" applyProtection="1" borderId="197" fillId="10" fontId="8" numFmtId="4" xfId="0">
      <alignment horizontal="right"/>
    </xf>
    <xf applyAlignment="1" applyBorder="1" applyFill="1" applyFont="1" applyNumberFormat="1" applyProtection="1" borderId="197" fillId="17" fontId="8" numFmtId="1" xfId="0">
      <alignment horizontal="center"/>
    </xf>
    <xf applyBorder="1" applyFont="1" applyNumberFormat="1" applyProtection="1" borderId="181" fillId="0" fontId="8" numFmtId="4" xfId="0">
      <protection locked="0"/>
    </xf>
    <xf applyBorder="1" applyFill="1" applyFont="1" applyNumberFormat="1" applyProtection="1" borderId="197" fillId="10" fontId="4" numFmtId="181" xfId="0"/>
    <xf applyAlignment="1" applyBorder="1" applyFont="1" applyNumberFormat="1" applyProtection="1" borderId="197" fillId="0" fontId="4" numFmtId="181" xfId="0">
      <alignment horizontal="center"/>
      <protection locked="0"/>
    </xf>
    <xf applyBorder="1" applyFont="1" applyNumberFormat="1" applyProtection="1" borderId="197" fillId="0" fontId="4" numFmtId="4" xfId="0">
      <protection locked="0"/>
    </xf>
    <xf applyBorder="1" applyFill="1" applyFont="1" applyNumberFormat="1" applyProtection="1" borderId="197" fillId="10" fontId="4" numFmtId="4" xfId="0"/>
    <xf applyBorder="1" applyFill="1" applyFont="1" applyNumberFormat="1" applyProtection="1" borderId="197" fillId="10" fontId="8" numFmtId="4" xfId="0"/>
    <xf applyBorder="1" applyFill="1" applyFont="1" applyNumberFormat="1" applyProtection="1" borderId="197" fillId="0" fontId="4" numFmtId="4" xfId="0"/>
    <xf applyBorder="1" applyFill="1" applyFont="1" applyNumberFormat="1" applyProtection="1" borderId="197" fillId="0" fontId="4" numFmtId="4" xfId="1"/>
    <xf applyBorder="1" applyFill="1" applyFont="1" applyNumberFormat="1" applyProtection="1" borderId="197" fillId="10" fontId="4" numFmtId="4" xfId="1">
      <protection locked="0"/>
    </xf>
    <xf applyBorder="1" applyFont="1" applyNumberFormat="1" applyProtection="1" borderId="181" fillId="0" fontId="4" numFmtId="1" xfId="0">
      <protection locked="0"/>
    </xf>
    <xf applyAlignment="1" applyBorder="1" applyFill="1" applyFont="1" applyProtection="1" borderId="197" fillId="14" fontId="4" numFmtId="0" xfId="0">
      <alignment horizontal="center" wrapText="1"/>
      <protection locked="0"/>
    </xf>
    <xf applyAlignment="1" applyBorder="1" applyFill="1" applyFont="1" applyNumberFormat="1" applyProtection="1" borderId="197" fillId="14" fontId="4" numFmtId="181" xfId="0">
      <alignment horizontal="center"/>
    </xf>
    <xf applyAlignment="1" applyBorder="1" applyFill="1" applyFont="1" borderId="197" fillId="14" fontId="4" numFmtId="0" xfId="0">
      <alignment horizontal="center"/>
    </xf>
    <xf applyAlignment="1" applyBorder="1" applyFill="1" applyFont="1" applyNumberFormat="1" applyProtection="1" borderId="197" fillId="14" fontId="4" numFmtId="4" xfId="0">
      <alignment horizontal="right"/>
      <protection locked="0"/>
    </xf>
    <xf applyAlignment="1" applyBorder="1" applyFill="1" applyFont="1" applyNumberFormat="1" applyProtection="1" borderId="197" fillId="14" fontId="4" numFmtId="4" xfId="0">
      <alignment horizontal="right"/>
    </xf>
    <xf applyAlignment="1" applyBorder="1" applyFill="1" applyFont="1" applyNumberFormat="1" applyProtection="1" borderId="198" fillId="14" fontId="4" numFmtId="4" xfId="0">
      <alignment horizontal="right"/>
    </xf>
    <xf applyBorder="1" applyFill="1" applyFont="1" applyNumberFormat="1" applyProtection="1" borderId="198" fillId="14" fontId="4" numFmtId="181" xfId="0"/>
    <xf applyBorder="1" applyFill="1" applyFont="1" applyNumberFormat="1" applyProtection="1" borderId="198" fillId="14" fontId="4" numFmtId="4" xfId="0"/>
    <xf applyBorder="1" applyFill="1" applyFont="1" applyNumberFormat="1" applyProtection="1" borderId="198" fillId="14" fontId="8" numFmtId="4" xfId="0"/>
    <xf applyBorder="1" applyFill="1" applyFont="1" borderId="197" fillId="17" fontId="4" numFmtId="0" xfId="0"/>
    <xf applyBorder="1" applyFill="1" applyFont="1" borderId="181" fillId="15" fontId="4" numFmtId="0" xfId="0"/>
    <xf applyAlignment="1" applyBorder="1" applyFill="1" applyFont="1" applyNumberFormat="1" applyProtection="1" borderId="198" fillId="14" fontId="4" numFmtId="4" xfId="0">
      <alignment horizontal="right"/>
      <protection locked="0"/>
    </xf>
    <xf applyAlignment="1" applyBorder="1" applyFill="1" applyFont="1" applyNumberFormat="1" borderId="198" fillId="14" fontId="8" numFmtId="4" xfId="0">
      <alignment horizontal="right"/>
    </xf>
    <xf applyAlignment="1" applyBorder="1" applyFill="1" applyFont="1" applyNumberFormat="1" borderId="198" fillId="14" fontId="4" numFmtId="4" xfId="0">
      <alignment horizontal="right"/>
    </xf>
    <xf applyAlignment="1" applyBorder="1" applyFill="1" applyFont="1" borderId="198" fillId="14" fontId="4" numFmtId="0" xfId="0">
      <alignment horizontal="center"/>
    </xf>
    <xf applyBorder="1" applyFont="1" applyProtection="1" borderId="206" fillId="0" fontId="4" numFmtId="0" xfId="0">
      <protection locked="0"/>
    </xf>
    <xf applyBorder="1" applyFill="1" applyFont="1" applyProtection="1" borderId="46" fillId="25" fontId="4" numFmtId="0" xfId="0">
      <protection locked="0"/>
    </xf>
    <xf applyBorder="1" applyFont="1" applyNumberFormat="1" borderId="198" fillId="0" fontId="4" numFmtId="1" xfId="0"/>
    <xf applyBorder="1" applyFill="1" applyFont="1" applyProtection="1" borderId="198" fillId="25" fontId="4" numFmtId="0" xfId="0">
      <protection locked="0"/>
    </xf>
    <xf applyBorder="1" applyFill="1" applyFont="1" applyNumberFormat="1" applyProtection="1" borderId="182" fillId="25" fontId="4" numFmtId="2" xfId="0">
      <protection locked="0"/>
    </xf>
    <xf applyAlignment="1" applyBorder="1" applyFill="1" applyFont="1" applyProtection="1" borderId="197" fillId="10" fontId="8" numFmtId="0" xfId="0">
      <alignment horizontal="center"/>
      <protection locked="0"/>
    </xf>
    <xf applyAlignment="1" applyBorder="1" applyFont="1" applyNumberFormat="1" applyProtection="1" borderId="197" fillId="0" fontId="4" numFmtId="182" xfId="0">
      <alignment horizontal="center"/>
      <protection locked="0"/>
    </xf>
    <xf applyAlignment="1" applyBorder="1" applyFill="1" applyFont="1" applyNumberFormat="1" applyProtection="1" borderId="197" fillId="10" fontId="4" numFmtId="182" xfId="0">
      <alignment horizontal="center"/>
    </xf>
    <xf applyAlignment="1" applyBorder="1" applyFill="1" applyFont="1" applyNumberFormat="1" applyProtection="1" borderId="197" fillId="0" fontId="4" numFmtId="182" xfId="0">
      <alignment horizontal="center"/>
    </xf>
    <xf applyAlignment="1" applyBorder="1" applyFill="1" applyFont="1" applyNumberFormat="1" applyProtection="1" borderId="197" fillId="0" fontId="8" numFmtId="182" xfId="0">
      <alignment horizontal="center"/>
    </xf>
    <xf applyAlignment="1" applyBorder="1" applyFill="1" applyFont="1" applyNumberFormat="1" applyProtection="1" borderId="197" fillId="10" fontId="8" numFmtId="182" xfId="0">
      <alignment horizontal="center"/>
    </xf>
    <xf applyAlignment="1" applyBorder="1" applyFill="1" applyFont="1" applyProtection="1" borderId="197" fillId="0" fontId="4" numFmtId="0" xfId="0">
      <alignment horizontal="center"/>
      <protection locked="0"/>
    </xf>
    <xf applyAlignment="1" applyBorder="1" applyFill="1" applyFont="1" applyNumberFormat="1" applyProtection="1" borderId="197" fillId="0" fontId="4" numFmtId="182" xfId="0">
      <alignment horizontal="center"/>
      <protection locked="0"/>
    </xf>
    <xf applyAlignment="1" applyBorder="1" applyFont="1" applyNumberFormat="1" borderId="197" fillId="0" fontId="4" numFmtId="182" xfId="0">
      <alignment horizontal="center"/>
    </xf>
    <xf applyBorder="1" applyFill="1" applyFont="1" applyNumberFormat="1" borderId="197" fillId="30" fontId="8" numFmtId="182" xfId="0"/>
    <xf applyBorder="1" applyFill="1" applyFont="1" applyNumberFormat="1" borderId="197" fillId="10" fontId="4" numFmtId="182" xfId="0"/>
    <xf applyBorder="1" applyFill="1" borderId="198" fillId="14" fontId="0" numFmtId="0" xfId="0"/>
    <xf applyBorder="1" applyFill="1" applyFont="1" applyNumberFormat="1" borderId="197" fillId="0" fontId="8" numFmtId="182" xfId="0"/>
    <xf applyAlignment="1" applyBorder="1" applyFill="1" applyFont="1" applyNumberFormat="1" applyProtection="1" borderId="197" fillId="14" fontId="4" numFmtId="182" xfId="0">
      <alignment horizontal="center"/>
      <protection locked="0"/>
    </xf>
    <xf applyBorder="1" applyFont="1" applyNumberFormat="1" applyProtection="1" borderId="197" fillId="0" fontId="4" numFmtId="182" xfId="0">
      <protection locked="0"/>
    </xf>
    <xf applyBorder="1" applyFont="1" applyNumberFormat="1" applyProtection="1" borderId="197" fillId="0" fontId="4" numFmtId="0" xfId="0">
      <protection locked="0"/>
    </xf>
    <xf applyAlignment="1" applyBorder="1" applyFill="1" applyFont="1" applyNumberFormat="1" applyProtection="1" borderId="197" fillId="14" fontId="4" numFmtId="182" xfId="0"/>
    <xf applyBorder="1" applyFill="1" applyFont="1" applyNumberFormat="1" borderId="197" fillId="14" fontId="4" numFmtId="182" xfId="0"/>
    <xf applyBorder="1" applyFill="1" applyFont="1" applyNumberFormat="1" borderId="197" fillId="14" fontId="4" numFmtId="2" xfId="0"/>
    <xf applyBorder="1" applyFill="1" applyFont="1" applyNumberFormat="1" borderId="197" fillId="0" fontId="4" numFmtId="2" xfId="0"/>
    <xf applyBorder="1" applyFill="1" applyFont="1" applyNumberFormat="1" borderId="197" fillId="0" fontId="8" numFmtId="2" xfId="0"/>
    <xf applyBorder="1" applyFill="1" applyFont="1" applyProtection="1" borderId="52" fillId="25" fontId="4" numFmtId="0" xfId="0">
      <protection locked="0"/>
    </xf>
    <xf applyAlignment="1" applyBorder="1" applyFill="1" applyFont="1" applyProtection="1" borderId="46" fillId="25" fontId="4" numFmtId="0" xfId="0">
      <protection locked="0"/>
    </xf>
    <xf applyBorder="1" applyFill="1" applyFont="1" applyProtection="1" borderId="47" fillId="25" fontId="4" numFmtId="0" xfId="0">
      <protection locked="0"/>
    </xf>
    <xf applyBorder="1" applyFont="1" applyNumberFormat="1" borderId="140" fillId="0" fontId="4" numFmtId="1" xfId="0"/>
    <xf applyBorder="1" applyFill="1" applyFont="1" applyNumberFormat="1" borderId="233" fillId="0" fontId="4" numFmtId="1" xfId="0"/>
    <xf applyBorder="1" applyFill="1" applyFont="1" applyNumberFormat="1" applyProtection="1" borderId="140" fillId="25" fontId="4" numFmtId="182" xfId="0">
      <protection locked="0"/>
    </xf>
    <xf applyAlignment="1" applyBorder="1" applyFill="1" applyFont="1" applyNumberFormat="1" applyProtection="1" borderId="198" fillId="25" fontId="4" numFmtId="182" xfId="0">
      <protection locked="0"/>
    </xf>
    <xf applyBorder="1" applyFill="1" applyFont="1" applyNumberFormat="1" applyProtection="1" borderId="198" fillId="25" fontId="4" numFmtId="182" xfId="0">
      <protection locked="0"/>
    </xf>
    <xf applyBorder="1" applyFill="1" applyFont="1" applyProtection="1" borderId="233" fillId="25" fontId="4" numFmtId="0" xfId="0">
      <protection locked="0"/>
    </xf>
    <xf applyBorder="1" applyFill="1" applyFont="1" applyNumberFormat="1" applyProtection="1" borderId="132" fillId="25" fontId="4" numFmtId="182" xfId="0">
      <protection locked="0"/>
    </xf>
    <xf applyAlignment="1" applyBorder="1" applyFill="1" applyFont="1" applyNumberFormat="1" applyProtection="1" borderId="182" fillId="25" fontId="4" numFmtId="182" xfId="0">
      <protection locked="0"/>
    </xf>
    <xf applyBorder="1" applyFill="1" applyFont="1" applyNumberFormat="1" applyProtection="1" borderId="182" fillId="25" fontId="4" numFmtId="182" xfId="0">
      <protection locked="0"/>
    </xf>
    <xf applyAlignment="1" applyBorder="1" applyFill="1" applyFont="1" applyProtection="1" borderId="52" fillId="25" fontId="4" numFmtId="0" xfId="0">
      <protection locked="0"/>
    </xf>
    <xf applyAlignment="1" applyBorder="1" applyFill="1" applyFont="1" applyProtection="1" borderId="46" fillId="9" fontId="4" numFmtId="0" xfId="0">
      <protection locked="0"/>
    </xf>
    <xf applyAlignment="1" applyBorder="1" applyFill="1" applyFont="1" applyNumberFormat="1" applyProtection="1" borderId="140" fillId="9" fontId="4" numFmtId="188" xfId="0">
      <protection locked="0"/>
    </xf>
    <xf applyAlignment="1" applyBorder="1" applyFill="1" applyFont="1" applyProtection="1" borderId="198" fillId="9" fontId="4" numFmtId="0" xfId="0">
      <protection locked="0"/>
    </xf>
    <xf applyBorder="1" applyFill="1" applyFont="1" applyNumberFormat="1" applyProtection="1" borderId="198" fillId="9" fontId="4" numFmtId="182" xfId="0">
      <protection locked="0"/>
    </xf>
    <xf applyAlignment="1" applyBorder="1" applyFill="1" applyFont="1" applyNumberFormat="1" applyProtection="1" borderId="132" fillId="9" fontId="4" numFmtId="182" xfId="0">
      <protection locked="0"/>
    </xf>
    <xf applyAlignment="1" applyBorder="1" applyFill="1" applyFont="1" applyNumberFormat="1" applyProtection="1" borderId="182" fillId="9" fontId="4" numFmtId="2" xfId="0">
      <protection locked="0"/>
    </xf>
    <xf applyBorder="1" applyFill="1" applyFont="1" applyNumberFormat="1" applyProtection="1" borderId="182" fillId="9" fontId="4" numFmtId="182" xfId="0">
      <protection locked="0"/>
    </xf>
    <xf applyBorder="1" applyFill="1" applyFont="1" applyNumberFormat="1" borderId="140" fillId="0" fontId="4" numFmtId="1" xfId="0"/>
    <xf applyAlignment="1" applyBorder="1" applyFill="1" applyFont="1" applyNumberFormat="1" applyProtection="1" borderId="140" fillId="25" fontId="4" numFmtId="188" xfId="0">
      <protection locked="0"/>
    </xf>
    <xf applyAlignment="1" applyBorder="1" applyFill="1" applyFont="1" applyProtection="1" borderId="198" fillId="25" fontId="4" numFmtId="0" xfId="0">
      <protection locked="0"/>
    </xf>
    <xf applyBorder="1" applyFill="1" applyFont="1" applyNumberFormat="1" applyProtection="1" borderId="198" fillId="25" fontId="4" numFmtId="188" xfId="0">
      <protection locked="0"/>
    </xf>
    <xf applyAlignment="1" applyBorder="1" applyFill="1" applyFont="1" applyNumberFormat="1" applyProtection="1" borderId="132" fillId="25" fontId="4" numFmtId="182" xfId="0">
      <protection locked="0"/>
    </xf>
    <xf applyAlignment="1" applyBorder="1" applyFill="1" applyFont="1" applyNumberFormat="1" applyProtection="1" borderId="182" fillId="25" fontId="4" numFmtId="2" xfId="0">
      <protection locked="0"/>
    </xf>
    <xf applyAlignment="1" applyBorder="1" applyFill="1" applyFont="1" applyProtection="1" borderId="52" fillId="9" fontId="4" numFmtId="0" xfId="0">
      <protection locked="0"/>
    </xf>
    <xf applyBorder="1" applyFill="1" applyFont="1" applyProtection="1" borderId="46" fillId="9" fontId="4" numFmtId="0" xfId="0">
      <protection locked="0"/>
    </xf>
    <xf applyAlignment="1" applyBorder="1" applyFill="1" applyFont="1" applyProtection="1" borderId="140" fillId="9" fontId="4" numFmtId="0" xfId="0">
      <protection locked="0"/>
    </xf>
    <xf applyBorder="1" applyFill="1" applyFont="1" applyNumberFormat="1" applyProtection="1" borderId="198" fillId="9" fontId="4" numFmtId="188" xfId="0">
      <protection locked="0"/>
    </xf>
    <xf applyAlignment="1" applyBorder="1" applyFill="1" applyFont="1" applyNumberFormat="1" applyProtection="1" borderId="132" fillId="9" fontId="4" numFmtId="2" xfId="0">
      <protection locked="0"/>
    </xf>
    <xf applyBorder="1" applyFill="1" applyFont="1" applyNumberFormat="1" applyProtection="1" borderId="182" fillId="9" fontId="4" numFmtId="2" xfId="0">
      <protection locked="0"/>
    </xf>
    <xf applyAlignment="1" applyBorder="1" applyFont="1" borderId="198" fillId="0" fontId="194" numFmtId="0" xfId="0">
      <alignment horizontal="left" vertical="top" wrapText="1"/>
    </xf>
    <xf applyAlignment="1" applyBorder="1" applyFont="1" borderId="198" fillId="0" fontId="135" numFmtId="0" xfId="0">
      <alignment wrapText="1"/>
    </xf>
    <xf applyBorder="1" applyFill="1" applyFont="1" applyProtection="1" borderId="198" fillId="4" fontId="5" numFmtId="0" xfId="0">
      <protection locked="0"/>
    </xf>
    <xf applyBorder="1" applyFill="1" applyFont="1" borderId="198" fillId="17" fontId="4" numFmtId="0" xfId="0"/>
    <xf applyAlignment="1" applyBorder="1" applyFill="1" applyFont="1" borderId="52" fillId="4" fontId="4" numFmtId="0" xfId="0">
      <alignment horizontal="center"/>
    </xf>
    <xf applyAlignment="1" applyBorder="1" applyFill="1" applyFont="1" borderId="46" fillId="4" fontId="4" numFmtId="0" xfId="0">
      <alignment horizontal="center"/>
    </xf>
    <xf applyAlignment="1" applyBorder="1" applyFill="1" applyFont="1" borderId="198" fillId="4" fontId="4" numFmtId="0" xfId="0">
      <alignment horizontal="center"/>
    </xf>
    <xf applyBorder="1" applyFill="1" applyFont="1" borderId="140" fillId="10" fontId="4" numFmtId="0" xfId="0"/>
    <xf applyAlignment="1" applyBorder="1" applyFont="1" borderId="57" fillId="0" fontId="4" numFmtId="0" xfId="0">
      <alignment horizontal="right"/>
    </xf>
    <xf applyBorder="1" applyFill="1" applyFont="1" applyProtection="1" borderId="198" fillId="9" fontId="4" numFmtId="0" xfId="0">
      <protection locked="0"/>
    </xf>
    <xf applyBorder="1" applyFont="1" borderId="71" fillId="0" fontId="5" numFmtId="0" xfId="0"/>
    <xf applyAlignment="1" applyBorder="1" applyFont="1" borderId="71" fillId="0" fontId="61" numFmtId="0" xfId="0">
      <alignment horizontal="center"/>
    </xf>
    <xf applyBorder="1" applyFont="1" borderId="71" fillId="0" fontId="23" numFmtId="0" xfId="0"/>
    <xf applyBorder="1" applyFont="1" borderId="214" fillId="0" fontId="17" numFmtId="0" xfId="0"/>
    <xf applyBorder="1" applyFill="1" applyFont="1" borderId="214" fillId="0" fontId="5" numFmtId="0" xfId="0"/>
    <xf applyAlignment="1" applyBorder="1" applyFill="1" applyFont="1" applyProtection="1" borderId="198" fillId="0" fontId="24" numFmtId="0" xfId="0">
      <alignment horizontal="center"/>
    </xf>
    <xf applyBorder="1" applyFill="1" applyFont="1" borderId="71" fillId="27" fontId="17" numFmtId="0" xfId="0"/>
    <xf applyAlignment="1" applyBorder="1" applyFill="1" applyFont="1" borderId="35" fillId="27" fontId="61" numFmtId="0" xfId="0">
      <alignment horizontal="center"/>
    </xf>
    <xf applyAlignment="1" applyBorder="1" applyFill="1" applyFont="1" borderId="71" fillId="27" fontId="5" numFmtId="0" xfId="0">
      <alignment horizontal="center"/>
    </xf>
    <xf applyAlignment="1" applyBorder="1" applyFill="1" applyFont="1" applyProtection="1" borderId="198" fillId="27" fontId="24" numFmtId="0" xfId="0">
      <alignment horizontal="center"/>
    </xf>
    <xf applyBorder="1" applyFill="1" applyFont="1" borderId="3" fillId="38" fontId="17" numFmtId="0" xfId="0"/>
    <xf applyAlignment="1" applyBorder="1" applyFill="1" applyFont="1" borderId="2" fillId="43" fontId="61" numFmtId="0" xfId="0">
      <alignment horizontal="center"/>
    </xf>
    <xf applyAlignment="1" applyBorder="1" applyFill="1" applyFont="1" applyNumberFormat="1" borderId="3" fillId="43" fontId="5" numFmtId="3" xfId="0">
      <alignment horizontal="center"/>
    </xf>
    <xf applyAlignment="1" applyBorder="1" applyFill="1" applyFont="1" borderId="3" fillId="43" fontId="5" numFmtId="0" xfId="0">
      <alignment horizontal="center"/>
    </xf>
    <xf applyAlignment="1" applyBorder="1" applyFill="1" applyFont="1" applyNumberFormat="1" borderId="4" fillId="43" fontId="5" numFmtId="4" xfId="0">
      <alignment horizontal="center"/>
    </xf>
    <xf applyBorder="1" applyFill="1" applyFont="1" borderId="3" fillId="43" fontId="17" numFmtId="0" xfId="0"/>
    <xf applyAlignment="1" applyBorder="1" applyFill="1" applyFont="1" applyProtection="1" borderId="205" fillId="43" fontId="8" numFmtId="0" xfId="0">
      <alignment horizontal="center"/>
    </xf>
    <xf applyFill="1" applyFont="1" borderId="0" fillId="43" fontId="4" numFmtId="0" xfId="0"/>
    <xf applyBorder="1" applyFill="1" applyFont="1" applyProtection="1" borderId="23" fillId="43" fontId="4" numFmtId="0" xfId="0"/>
    <xf applyAlignment="1" applyBorder="1" applyFill="1" applyFont="1" applyNumberFormat="1" borderId="171" fillId="0" fontId="4" numFmtId="3" xfId="0">
      <alignment horizontal="left" indent="16"/>
    </xf>
    <xf applyAlignment="1" applyBorder="1" applyFill="1" applyFont="1" applyProtection="1" borderId="198" fillId="27" fontId="8" numFmtId="0" xfId="0">
      <alignment horizontal="center"/>
      <protection locked="0"/>
    </xf>
    <xf applyBorder="1" applyFill="1" applyFont="1" applyProtection="1" borderId="198" fillId="27" fontId="4" numFmtId="0" xfId="0">
      <protection locked="0"/>
    </xf>
    <xf applyAlignment="1" applyBorder="1" applyFill="1" applyFont="1" applyProtection="1" borderId="198" fillId="27" fontId="4" numFmtId="0" xfId="0">
      <alignment horizontal="center"/>
      <protection locked="0"/>
    </xf>
    <xf applyAlignment="1" applyBorder="1" applyFill="1" applyFont="1" applyProtection="1" borderId="182" fillId="27" fontId="4" numFmtId="0" xfId="0">
      <alignment horizontal="center"/>
      <protection locked="0"/>
    </xf>
    <xf applyAlignment="1" applyBorder="1" applyFill="1" applyFont="1" applyProtection="1" borderId="182" fillId="27" fontId="8" numFmtId="0" xfId="0">
      <alignment horizontal="center"/>
      <protection locked="0"/>
    </xf>
    <xf applyBorder="1" applyFill="1" applyFont="1" applyProtection="1" borderId="198" fillId="16" fontId="8" numFmtId="170" xfId="1">
      <protection locked="0"/>
    </xf>
    <xf applyBorder="1" applyFill="1" applyFont="1" applyProtection="1" borderId="197" fillId="16" fontId="8" numFmtId="170" xfId="1">
      <protection locked="0"/>
    </xf>
    <xf applyAlignment="1" applyBorder="1" applyFill="1" applyFont="1" applyNumberFormat="1" applyProtection="1" borderId="198" fillId="16" fontId="4" numFmtId="4" xfId="1">
      <protection locked="0"/>
    </xf>
    <xf applyAlignment="1" applyBorder="1" applyFill="1" applyFont="1" borderId="182" fillId="16" fontId="4" numFmtId="0" xfId="0">
      <alignment horizontal="center"/>
    </xf>
    <xf applyAlignment="1" applyBorder="1" applyFill="1" applyFont="1" applyProtection="1" borderId="198" fillId="16" fontId="4" numFmtId="0" xfId="0">
      <alignment horizontal="center" wrapText="1"/>
      <protection locked="0"/>
    </xf>
    <xf applyBorder="1" applyFill="1" applyFont="1" applyProtection="1" borderId="198" fillId="16" fontId="4" numFmtId="0" xfId="0">
      <protection locked="0"/>
    </xf>
    <xf applyAlignment="1" applyBorder="1" applyFill="1" applyFont="1" applyNumberFormat="1" applyProtection="1" borderId="198" fillId="16" fontId="4" numFmtId="181" xfId="0">
      <alignment horizontal="center"/>
    </xf>
    <xf applyBorder="1" applyFill="1" applyFont="1" applyNumberFormat="1" applyProtection="1" borderId="198" fillId="16" fontId="4" numFmtId="181" xfId="0">
      <protection locked="0"/>
    </xf>
    <xf applyAlignment="1" applyBorder="1" applyFill="1" applyFont="1" borderId="198" fillId="16" fontId="4" numFmtId="0" xfId="0">
      <alignment horizontal="center"/>
    </xf>
    <xf applyAlignment="1" applyBorder="1" applyFill="1" applyFont="1" applyNumberFormat="1" applyProtection="1" borderId="198" fillId="16" fontId="4" numFmtId="4" xfId="0">
      <alignment horizontal="right"/>
      <protection locked="0"/>
    </xf>
    <xf applyAlignment="1" applyBorder="1" applyFill="1" applyFont="1" applyNumberFormat="1" applyProtection="1" borderId="198" fillId="16" fontId="4" numFmtId="4" xfId="0">
      <alignment horizontal="right"/>
    </xf>
    <xf applyAlignment="1" applyBorder="1" applyFill="1" applyFont="1" applyNumberFormat="1" applyProtection="1" borderId="198" fillId="16" fontId="8" numFmtId="4" xfId="0">
      <alignment horizontal="right"/>
      <protection locked="0"/>
    </xf>
    <xf applyAlignment="1" applyBorder="1" applyFill="1" applyFont="1" applyNumberFormat="1" applyProtection="1" borderId="198" fillId="16" fontId="8" numFmtId="4" xfId="0">
      <alignment horizontal="right"/>
    </xf>
    <xf applyAlignment="1" applyBorder="1" applyFill="1" applyFont="1" applyNumberFormat="1" applyProtection="1" borderId="198" fillId="16" fontId="8" numFmtId="1" xfId="0">
      <alignment horizontal="center"/>
    </xf>
    <xf applyBorder="1" applyFill="1" applyFont="1" applyNumberFormat="1" applyProtection="1" borderId="182" fillId="16" fontId="8" numFmtId="4" xfId="0">
      <protection locked="0"/>
    </xf>
    <xf applyFill="1" applyFont="1" borderId="0" fillId="0" fontId="4" numFmtId="0" xfId="0"/>
    <xf applyAlignment="1" applyBorder="1" applyFill="1" applyFont="1" borderId="170" fillId="27" fontId="5" numFmtId="0" xfId="0"/>
    <xf applyAlignment="1" applyBorder="1" applyFill="1" applyFont="1" borderId="171" fillId="27" fontId="183" numFmtId="0" xfId="0"/>
    <xf applyBorder="1" applyFill="1" applyFont="1" applyNumberFormat="1" borderId="171" fillId="27" fontId="1" numFmtId="1" xfId="0"/>
    <xf applyBorder="1" applyFill="1" applyFont="1" applyNumberFormat="1" borderId="171" fillId="27" fontId="1" numFmtId="2" xfId="0"/>
    <xf applyAlignment="1" applyBorder="1" applyFill="1" applyFont="1" borderId="170" fillId="27" fontId="115" numFmtId="0" xfId="0"/>
    <xf applyAlignment="1" applyBorder="1" applyFill="1" applyFont="1" borderId="171" fillId="27" fontId="184" numFmtId="0" xfId="0"/>
    <xf applyBorder="1" applyFill="1" applyFont="1" applyNumberFormat="1" borderId="171" fillId="27" fontId="90" numFmtId="1" xfId="0"/>
    <xf applyBorder="1" applyFill="1" applyFont="1" applyNumberFormat="1" borderId="171" fillId="27" fontId="90" numFmtId="2" xfId="0"/>
    <xf applyFill="1" applyFont="1" borderId="0" fillId="27" fontId="169" numFmtId="0" xfId="0"/>
    <xf applyAlignment="1" applyBorder="1" applyFill="1" applyFont="1" borderId="168" fillId="27" fontId="192" numFmtId="0" xfId="0">
      <alignment horizontal="right"/>
    </xf>
    <xf applyAlignment="1" applyBorder="1" applyFill="1" applyFont="1" borderId="0" fillId="27" fontId="26" numFmtId="0" xfId="0"/>
    <xf applyAlignment="1" applyBorder="1" applyFill="1" applyFont="1" borderId="175" fillId="27" fontId="4" numFmtId="0" xfId="0"/>
    <xf applyAlignment="1" applyBorder="1" applyFill="1" applyFont="1" applyNumberFormat="1" borderId="176" fillId="27" fontId="4" numFmtId="178" xfId="0">
      <alignment horizontal="right"/>
    </xf>
    <xf applyAlignment="1" applyBorder="1" applyFill="1" applyFont="1" borderId="174" fillId="27" fontId="7" numFmtId="0" xfId="0"/>
    <xf applyAlignment="1" applyBorder="1" applyFill="1" applyFont="1" borderId="175" fillId="27" fontId="25" numFmtId="0" xfId="0"/>
    <xf applyAlignment="1" applyBorder="1" applyFill="1" applyFont="1" borderId="59" fillId="27" fontId="8" numFmtId="0" quotePrefix="1" xfId="0">
      <alignment horizontal="right"/>
    </xf>
    <xf applyAlignment="1" applyBorder="1" applyFill="1" applyFont="1" borderId="168" fillId="27" fontId="193" numFmtId="0" xfId="0">
      <alignment horizontal="right"/>
    </xf>
    <xf applyAlignment="1" applyBorder="1" applyFill="1" applyFont="1" borderId="0" fillId="27" fontId="163" numFmtId="0" xfId="0"/>
    <xf applyAlignment="1" applyBorder="1" applyFill="1" applyFont="1" borderId="175" fillId="27" fontId="89" numFmtId="0" xfId="0"/>
    <xf applyAlignment="1" applyBorder="1" applyFill="1" applyFont="1" borderId="59" fillId="27" fontId="108" numFmtId="0" xfId="0">
      <alignment horizontal="right"/>
    </xf>
    <xf applyAlignment="1" applyBorder="1" applyFill="1" applyFont="1" applyNumberFormat="1" borderId="176" fillId="27" fontId="89" numFmtId="178" xfId="0">
      <alignment horizontal="right"/>
    </xf>
    <xf applyAlignment="1" applyBorder="1" applyFill="1" applyFont="1" borderId="0" fillId="27" fontId="115" numFmtId="0" xfId="0"/>
    <xf applyAlignment="1" applyBorder="1" applyFill="1" applyFont="1" borderId="174" fillId="27" fontId="106" numFmtId="0" xfId="0"/>
    <xf applyAlignment="1" applyBorder="1" applyFill="1" applyFont="1" borderId="175" fillId="27" fontId="196" numFmtId="0" xfId="0"/>
    <xf applyAlignment="1" applyBorder="1" applyFill="1" applyFont="1" borderId="175" fillId="27" fontId="108" numFmtId="0" xfId="0">
      <alignment horizontal="left"/>
    </xf>
    <xf applyAlignment="1" applyBorder="1" applyFill="1" applyFont="1" borderId="195" fillId="27" fontId="192" numFmtId="0" xfId="0">
      <alignment horizontal="right"/>
    </xf>
    <xf applyAlignment="1" applyBorder="1" applyFill="1" applyFont="1" borderId="195" fillId="27" fontId="193" numFmtId="0" xfId="0">
      <alignment horizontal="right"/>
    </xf>
    <xf applyAlignment="1" applyBorder="1" applyFill="1" applyFont="1" borderId="175" fillId="27" fontId="106" numFmtId="0" xfId="0"/>
    <xf applyAlignment="1" applyBorder="1" applyFill="1" applyFont="1" borderId="174" fillId="27" fontId="154" numFmtId="0" xfId="0"/>
    <xf applyAlignment="1" applyBorder="1" applyFill="1" applyFont="1" borderId="175" fillId="27" fontId="154" numFmtId="0" xfId="0"/>
    <xf applyAlignment="1" applyBorder="1" applyFill="1" applyFont="1" borderId="175" fillId="27" fontId="112" numFmtId="0" xfId="0"/>
    <xf applyAlignment="1" applyBorder="1" applyFill="1" applyFont="1" borderId="175" fillId="27" fontId="8" numFmtId="0" xfId="0">
      <alignment horizontal="right"/>
    </xf>
    <xf applyAlignment="1" applyBorder="1" applyFill="1" applyFont="1" borderId="198" fillId="27" fontId="197" numFmtId="0" xfId="0">
      <alignment vertical="center" wrapText="1"/>
    </xf>
    <xf applyAlignment="1" applyBorder="1" applyFont="1" applyNumberFormat="1" borderId="198" fillId="0" fontId="198" numFmtId="14" xfId="0">
      <alignment horizontal="left" vertical="top"/>
    </xf>
    <xf applyAlignment="1" applyBorder="1" applyFont="1" borderId="198" fillId="0" fontId="197" numFmtId="0" xfId="0">
      <alignment wrapText="1"/>
    </xf>
    <xf applyAlignment="1" applyBorder="1" applyFont="1" borderId="198" fillId="0" fontId="198" numFmtId="0" xfId="0">
      <alignment wrapText="1"/>
    </xf>
    <xf applyAlignment="1" applyBorder="1" applyFill="1" applyFont="1" applyNumberFormat="1" applyProtection="1" borderId="233" fillId="15" fontId="8" numFmtId="2" xfId="0">
      <protection locked="0"/>
    </xf>
    <xf applyAlignment="1" applyBorder="1" applyFill="1" applyFont="1" applyProtection="1" borderId="233" fillId="15" fontId="8" numFmtId="0" xfId="0">
      <protection locked="0"/>
    </xf>
    <xf applyAlignment="1" applyBorder="1" applyFill="1" applyFont="1" applyNumberFormat="1" borderId="233" fillId="15" fontId="8" numFmtId="2" xfId="0"/>
    <xf applyAlignment="1" applyBorder="1" applyFill="1" applyFont="1" applyNumberFormat="1" applyProtection="1" borderId="233" fillId="15" fontId="4" numFmtId="2" xfId="0">
      <protection locked="0"/>
    </xf>
    <xf applyAlignment="1" applyBorder="1" applyFill="1" applyFont="1" applyProtection="1" borderId="233" fillId="15" fontId="4" numFmtId="0" xfId="0">
      <protection locked="0"/>
    </xf>
    <xf applyAlignment="1" applyBorder="1" applyFill="1" applyFont="1" applyProtection="1" borderId="184" fillId="15" fontId="4" numFmtId="0" xfId="0">
      <protection locked="0"/>
    </xf>
    <xf applyAlignment="1" applyBorder="1" applyFont="1" applyProtection="1" borderId="233" fillId="0" fontId="8" numFmtId="170" xfId="1">
      <protection locked="0"/>
    </xf>
    <xf applyAlignment="1" applyBorder="1" applyFill="1" applyFont="1" applyProtection="1" borderId="233" fillId="3" fontId="8" numFmtId="0" xfId="0">
      <protection locked="0"/>
    </xf>
    <xf applyAlignment="1" applyBorder="1" applyFill="1" applyFont="1" applyProtection="1" borderId="233" fillId="3" fontId="4" numFmtId="0" xfId="0">
      <protection locked="0"/>
    </xf>
    <xf applyAlignment="1" applyBorder="1" applyFill="1" applyFont="1" borderId="182" fillId="27" fontId="4" numFmtId="0" xfId="0">
      <alignment horizontal="center"/>
    </xf>
    <xf applyBorder="1" applyFill="1" applyFont="1" applyProtection="1" borderId="198" fillId="27" fontId="8" numFmtId="170" xfId="1">
      <protection locked="0"/>
    </xf>
    <xf applyAlignment="1" applyBorder="1" applyFill="1" applyFont="1" applyProtection="1" borderId="198" fillId="27" fontId="8" numFmtId="0" quotePrefix="1" xfId="0">
      <alignment horizontal="center"/>
      <protection locked="0"/>
    </xf>
    <xf applyBorder="1" applyFill="1" applyFont="1" applyNumberFormat="1" borderId="198" fillId="27" fontId="8" numFmtId="4" xfId="0"/>
    <xf applyBorder="1" applyFill="1" applyFont="1" applyNumberFormat="1" borderId="182" fillId="27" fontId="8" numFmtId="2" xfId="0"/>
    <xf applyAlignment="1" applyBorder="1" applyFill="1" applyFont="1" applyNumberFormat="1" applyProtection="1" borderId="198" fillId="27" fontId="4" numFmtId="4" xfId="1">
      <alignment horizontal="right"/>
      <protection locked="0"/>
    </xf>
    <xf applyAlignment="1" applyBorder="1" applyFill="1" applyFont="1" applyNumberFormat="1" borderId="198" fillId="27" fontId="4" numFmtId="4" xfId="1">
      <alignment horizontal="right"/>
    </xf>
    <xf applyAlignment="1" applyBorder="1" applyFill="1" applyFont="1" borderId="17" fillId="38" fontId="5" numFmtId="0" xfId="0"/>
    <xf applyBorder="1" applyFill="1" applyFont="1" applyNumberFormat="1" borderId="1" fillId="38" fontId="1" numFmtId="1" xfId="0"/>
    <xf applyAlignment="1" applyBorder="1" applyFill="1" applyFont="1" borderId="197" fillId="27" fontId="115" numFmtId="0" xfId="0"/>
    <xf applyAlignment="1" applyBorder="1" applyFill="1" applyFont="1" borderId="198" fillId="27" fontId="184" numFmtId="0" xfId="0"/>
    <xf applyBorder="1" applyFill="1" applyFont="1" applyNumberFormat="1" borderId="198" fillId="27" fontId="90" numFmtId="1" xfId="0"/>
    <xf applyBorder="1" applyFill="1" applyFont="1" applyNumberFormat="1" borderId="198" fillId="27" fontId="90" numFmtId="2" xfId="0"/>
    <xf applyAlignment="1" applyBorder="1" applyFill="1" applyFont="1" borderId="197" fillId="27" fontId="5" numFmtId="0" xfId="0"/>
    <xf applyAlignment="1" applyBorder="1" applyFill="1" applyFont="1" borderId="198" fillId="27" fontId="183" numFmtId="0" xfId="0"/>
    <xf applyBorder="1" applyFill="1" applyFont="1" applyNumberFormat="1" borderId="198" fillId="27" fontId="1" numFmtId="1" xfId="0"/>
    <xf applyBorder="1" applyFill="1" applyFont="1" applyNumberFormat="1" borderId="198" fillId="27" fontId="1" numFmtId="2" xfId="0"/>
    <xf applyBorder="1" applyFill="1" applyFont="1" borderId="198" fillId="27" fontId="5" numFmtId="0" xfId="0"/>
    <xf applyBorder="1" applyFill="1" applyFont="1" borderId="198" fillId="27" fontId="183" numFmtId="0" xfId="0"/>
    <xf applyFill="1" applyFont="1" borderId="0" fillId="0" fontId="4" numFmtId="0" xfId="0"/>
    <xf applyAlignment="1" applyBorder="1" applyFill="1" applyFont="1" applyProtection="1" borderId="198" fillId="27" fontId="8" numFmtId="170" xfId="1">
      <alignment horizontal="center"/>
      <protection locked="0"/>
    </xf>
    <xf applyBorder="1" applyFill="1" applyFont="1" applyNumberFormat="1" applyProtection="1" borderId="198" fillId="27" fontId="8" numFmtId="4" xfId="0">
      <protection locked="0"/>
    </xf>
    <xf applyBorder="1" applyFill="1" applyFont="1" applyNumberFormat="1" applyProtection="1" borderId="182" fillId="27" fontId="8" numFmtId="4" xfId="0">
      <protection locked="0"/>
    </xf>
    <xf applyAlignment="1" applyBorder="1" applyFill="1" applyFont="1" applyNumberFormat="1" applyProtection="1" borderId="198" fillId="27" fontId="4" numFmtId="4" xfId="0">
      <alignment horizontal="right"/>
      <protection locked="0"/>
    </xf>
    <xf applyAlignment="1" applyBorder="1" applyFill="1" applyFont="1" applyProtection="1" borderId="198" fillId="27" fontId="4" numFmtId="0" xfId="0">
      <alignment horizontal="right"/>
      <protection locked="0"/>
    </xf>
    <xf applyAlignment="1" applyBorder="1" applyFill="1" applyFont="1" applyNumberFormat="1" borderId="198" fillId="27" fontId="8" numFmtId="4" xfId="0">
      <alignment horizontal="right"/>
    </xf>
    <xf applyAlignment="1" applyBorder="1" applyFill="1" applyFont="1" applyNumberFormat="1" applyProtection="1" borderId="198" fillId="27" fontId="8" numFmtId="4" xfId="0">
      <alignment horizontal="right"/>
      <protection locked="0"/>
    </xf>
    <xf applyAlignment="1" applyBorder="1" applyFill="1" applyFont="1" applyNumberFormat="1" borderId="198" fillId="27" fontId="4" numFmtId="4" xfId="0">
      <alignment horizontal="right"/>
    </xf>
    <xf applyAlignment="1" applyBorder="1" applyFill="1" applyFont="1" applyNumberFormat="1" applyProtection="1" borderId="198" fillId="0" fontId="4" numFmtId="2" xfId="0">
      <alignment horizontal="center"/>
      <protection locked="0"/>
    </xf>
    <xf applyAlignment="1" applyBorder="1" applyFill="1" applyFont="1" applyProtection="1" borderId="198" fillId="0" fontId="4" numFmtId="0" xfId="0">
      <alignment wrapText="1"/>
      <protection locked="0"/>
    </xf>
    <xf applyBorder="1" applyFill="1" applyFont="1" applyProtection="1" borderId="198" fillId="5" fontId="4" numFmtId="0" xfId="0"/>
    <xf applyBorder="1" applyFill="1" applyFont="1" applyProtection="1" borderId="198" fillId="40" fontId="4" numFmtId="0" xfId="0"/>
    <xf applyBorder="1" applyFill="1" applyFont="1" applyNumberFormat="1" borderId="197" fillId="10" fontId="8" numFmtId="170" xfId="1"/>
    <xf applyBorder="1" applyFill="1" applyFont="1" applyProtection="1" borderId="181" fillId="0" fontId="8" numFmtId="170" xfId="1">
      <protection locked="0"/>
    </xf>
    <xf applyBorder="1" applyFont="1" applyProtection="1" borderId="197" fillId="0" fontId="4" numFmtId="170" xfId="1">
      <protection locked="0"/>
    </xf>
    <xf applyAlignment="1" applyBorder="1" applyFont="1" applyProtection="1" borderId="197" fillId="0" fontId="8" numFmtId="170" xfId="1">
      <alignment horizontal="center"/>
      <protection locked="0"/>
    </xf>
    <xf applyAlignment="1" applyBorder="1" applyFont="1" applyProtection="1" borderId="197" fillId="0" fontId="4" numFmtId="170" xfId="1">
      <alignment horizontal="center"/>
      <protection locked="0"/>
    </xf>
    <xf applyAlignment="1" applyBorder="1" applyFont="1" applyProtection="1" borderId="181" fillId="0" fontId="4" numFmtId="170" xfId="1">
      <alignment horizontal="center"/>
      <protection locked="0"/>
    </xf>
    <xf applyAlignment="1" applyBorder="1" applyFill="1" applyFont="1" applyProtection="1" borderId="197" fillId="0" fontId="8" numFmtId="0" xfId="0">
      <alignment horizontal="center"/>
      <protection locked="0"/>
    </xf>
    <xf applyAlignment="1" applyBorder="1" applyFill="1" applyFont="1" applyProtection="1" borderId="181" fillId="0" fontId="8" numFmtId="0" xfId="0">
      <alignment horizontal="center"/>
      <protection locked="0"/>
    </xf>
    <xf applyBorder="1" applyFill="1" applyFont="1" applyProtection="1" borderId="233" fillId="0" fontId="8" numFmtId="0" xfId="0">
      <protection locked="0"/>
    </xf>
    <xf applyBorder="1" applyFill="1" applyFont="1" applyProtection="1" borderId="184" fillId="0" fontId="8" numFmtId="0" xfId="0">
      <protection locked="0"/>
    </xf>
    <xf applyBorder="1" applyFill="1" applyFont="1" applyNumberFormat="1" borderId="233" fillId="10" fontId="8" numFmtId="2" xfId="0"/>
    <xf applyBorder="1" applyFont="1" applyNumberFormat="1" applyProtection="1" borderId="233" fillId="0" fontId="8" numFmtId="170" xfId="1">
      <protection locked="0"/>
    </xf>
    <xf applyBorder="1" applyFill="1" applyFont="1" applyNumberFormat="1" borderId="233" fillId="10" fontId="8" numFmtId="170" xfId="1"/>
    <xf applyBorder="1" applyFont="1" applyNumberFormat="1" borderId="233" fillId="0" fontId="8" numFmtId="4" xfId="0"/>
    <xf applyBorder="1" applyFont="1" borderId="184" fillId="0" fontId="4" numFmtId="0" xfId="0"/>
    <xf applyBorder="1" applyFont="1" borderId="233" fillId="0" fontId="8" numFmtId="170" xfId="1"/>
    <xf applyAlignment="1" applyBorder="1" applyFont="1" applyProtection="1" borderId="233" fillId="0" fontId="8" numFmtId="170" xfId="1">
      <alignment horizontal="center"/>
      <protection locked="0"/>
    </xf>
    <xf applyBorder="1" applyFont="1" borderId="184" fillId="0" fontId="4" numFmtId="170" xfId="1"/>
    <xf applyAlignment="1" applyBorder="1" applyFill="1" applyFont="1" applyNumberFormat="1" applyProtection="1" borderId="197" fillId="15" fontId="8" numFmtId="2" xfId="0">
      <protection locked="0"/>
    </xf>
    <xf applyAlignment="1" applyBorder="1" applyFill="1" applyFont="1" applyProtection="1" borderId="197" fillId="15" fontId="8" numFmtId="0" xfId="0">
      <protection locked="0"/>
    </xf>
    <xf applyAlignment="1" applyBorder="1" applyFill="1" applyFont="1" applyNumberFormat="1" borderId="197" fillId="15" fontId="8" numFmtId="2" xfId="0"/>
    <xf applyAlignment="1" applyBorder="1" applyFill="1" applyFont="1" applyNumberFormat="1" applyProtection="1" borderId="197" fillId="15" fontId="4" numFmtId="2" xfId="0">
      <protection locked="0"/>
    </xf>
    <xf applyAlignment="1" applyBorder="1" applyFill="1" applyFont="1" applyProtection="1" borderId="197" fillId="15" fontId="4" numFmtId="0" xfId="0">
      <protection locked="0"/>
    </xf>
    <xf applyAlignment="1" applyBorder="1" applyFill="1" applyFont="1" applyProtection="1" borderId="181" fillId="15" fontId="4" numFmtId="0" xfId="0">
      <protection locked="0"/>
    </xf>
    <xf applyBorder="1" applyFill="1" applyFont="1" applyNumberFormat="1" applyProtection="1" borderId="233" fillId="10" fontId="4" numFmtId="2" xfId="0">
      <protection locked="0"/>
    </xf>
    <xf applyBorder="1" applyFill="1" applyFont="1" applyNumberFormat="1" applyProtection="1" borderId="233" fillId="10" fontId="8" numFmtId="2" xfId="0"/>
    <xf applyBorder="1" applyFill="1" applyFont="1" applyNumberFormat="1" applyProtection="1" borderId="184" fillId="0" fontId="8" numFmtId="2" xfId="0"/>
    <xf applyBorder="1" applyFont="1" applyProtection="1" borderId="233" fillId="0" fontId="8" numFmtId="170" xfId="1">
      <protection locked="0"/>
    </xf>
    <xf applyBorder="1" applyFont="1" applyNumberFormat="1" applyProtection="1" borderId="233" fillId="0" fontId="8" numFmtId="2" xfId="0">
      <protection locked="0"/>
    </xf>
    <xf applyBorder="1" applyFont="1" applyNumberFormat="1" applyProtection="1" borderId="184" fillId="0" fontId="8" numFmtId="2" xfId="0">
      <protection locked="0"/>
    </xf>
    <xf applyBorder="1" applyFont="1" applyNumberFormat="1" applyProtection="1" borderId="233" fillId="0" fontId="4" numFmtId="2" xfId="0">
      <protection locked="0"/>
    </xf>
    <xf applyAlignment="1" applyBorder="1" applyFont="1" applyProtection="1" borderId="184" fillId="0" fontId="4" numFmtId="0" xfId="0">
      <alignment horizontal="center"/>
      <protection locked="0"/>
    </xf>
    <xf applyBorder="1" applyFont="1" applyNumberFormat="1" applyProtection="1" borderId="184" fillId="0" fontId="8" numFmtId="4" xfId="0">
      <protection locked="0"/>
    </xf>
    <xf applyBorder="1" applyFont="1" borderId="57" fillId="0" fontId="4" numFmtId="0" xfId="0"/>
    <xf applyAlignment="1" applyBorder="1" applyFont="1" applyNumberFormat="1" applyProtection="1" borderId="233" fillId="0" fontId="4" numFmtId="2" xfId="0">
      <alignment horizontal="center"/>
      <protection locked="0"/>
    </xf>
    <xf applyAlignment="1" applyBorder="1" applyFill="1" applyFont="1" applyNumberFormat="1" borderId="233" fillId="10" fontId="8" numFmtId="181" xfId="0">
      <alignment horizontal="center"/>
    </xf>
    <xf applyAlignment="1" applyBorder="1" applyFont="1" applyNumberFormat="1" applyProtection="1" borderId="233" fillId="0" fontId="8" numFmtId="2" xfId="0">
      <alignment horizontal="center"/>
      <protection locked="0"/>
    </xf>
    <xf applyAlignment="1" applyBorder="1" applyFill="1" applyFont="1" applyNumberFormat="1" applyProtection="1" borderId="233" fillId="10" fontId="8" numFmtId="181" xfId="0">
      <alignment horizontal="center"/>
      <protection locked="0"/>
    </xf>
    <xf applyBorder="1" applyFont="1" applyNumberFormat="1" applyProtection="1" borderId="216" fillId="0" fontId="4" numFmtId="2" xfId="0">
      <protection locked="0"/>
    </xf>
    <xf applyAlignment="1" applyBorder="1" applyFill="1" applyFont="1" applyProtection="1" borderId="233" fillId="10" fontId="4" numFmtId="0" xfId="0">
      <alignment horizontal="center"/>
    </xf>
    <xf applyAlignment="1" applyBorder="1" applyFill="1" applyFont="1" applyProtection="1" borderId="233" fillId="0" fontId="4" numFmtId="0" xfId="0">
      <alignment horizontal="center"/>
      <protection locked="0"/>
    </xf>
    <xf applyBorder="1" applyFill="1" applyFont="1" applyNumberFormat="1" applyProtection="1" borderId="233" fillId="23" fontId="89" numFmtId="2" xfId="0">
      <protection locked="0"/>
    </xf>
    <xf applyBorder="1" applyFill="1" applyFont="1" applyProtection="1" borderId="233" fillId="10" fontId="4" numFmtId="0" xfId="0">
      <protection locked="0"/>
    </xf>
    <xf applyAlignment="1" applyBorder="1" applyFill="1" applyFont="1" applyProtection="1" borderId="233" fillId="10" fontId="4" numFmtId="0" xfId="0">
      <alignment horizontal="center"/>
      <protection locked="0"/>
    </xf>
    <xf applyBorder="1" applyFill="1" applyFont="1" applyProtection="1" borderId="233" fillId="0" fontId="4" numFmtId="0" xfId="0">
      <protection locked="0"/>
    </xf>
    <xf applyBorder="1" applyFill="1" applyFont="1" applyNumberFormat="1" applyProtection="1" borderId="233" fillId="0" fontId="4" numFmtId="2" xfId="0">
      <protection locked="0"/>
    </xf>
    <xf applyBorder="1" applyFill="1" applyFont="1" applyProtection="1" borderId="181" fillId="0" fontId="4" numFmtId="0" xfId="0">
      <protection locked="0"/>
    </xf>
    <xf applyAlignment="1" applyBorder="1" applyFill="1" applyFont="1" applyProtection="1" borderId="184" fillId="0" fontId="4" numFmtId="0" xfId="0">
      <alignment horizontal="center"/>
      <protection locked="0"/>
    </xf>
    <xf applyAlignment="1" applyBorder="1" applyFill="1" applyFont="1" applyNumberFormat="1" applyProtection="1" borderId="233" fillId="15" fontId="8" numFmtId="1" xfId="0">
      <alignment horizontal="right"/>
      <protection locked="0"/>
    </xf>
    <xf applyAlignment="1" applyBorder="1" applyFill="1" applyFont="1" applyNumberFormat="1" applyProtection="1" borderId="233" fillId="15" fontId="8" numFmtId="2" xfId="0">
      <alignment horizontal="right"/>
      <protection locked="0"/>
    </xf>
    <xf applyAlignment="1" applyBorder="1" applyFill="1" applyFont="1" applyProtection="1" borderId="233" fillId="15" fontId="4" numFmtId="0" xfId="0">
      <alignment horizontal="right"/>
      <protection locked="0"/>
    </xf>
    <xf applyAlignment="1" applyBorder="1" applyFill="1" applyFont="1" applyProtection="1" borderId="233" fillId="15" fontId="4" numFmtId="0" xfId="0">
      <alignment horizontal="center"/>
      <protection locked="0"/>
    </xf>
    <xf applyAlignment="1" applyBorder="1" applyFill="1" applyFont="1" applyProtection="1" borderId="233" fillId="15" fontId="8" numFmtId="0" xfId="0">
      <alignment horizontal="center"/>
      <protection locked="0"/>
    </xf>
    <xf applyAlignment="1" applyBorder="1" applyFill="1" applyFont="1" applyNumberFormat="1" applyProtection="1" borderId="233" fillId="15" fontId="8" numFmtId="4" xfId="0">
      <alignment horizontal="right"/>
      <protection locked="0"/>
    </xf>
    <xf applyAlignment="1" applyBorder="1" applyFill="1" applyFont="1" applyNumberFormat="1" applyProtection="1" borderId="184" fillId="15" fontId="8" numFmtId="4" xfId="0">
      <alignment horizontal="right"/>
      <protection locked="0"/>
    </xf>
    <xf applyAlignment="1" applyBorder="1" applyFill="1" applyFont="1" applyNumberFormat="1" applyProtection="1" borderId="233" fillId="15" fontId="4" numFmtId="1" xfId="0">
      <alignment horizontal="right"/>
      <protection locked="0"/>
    </xf>
    <xf applyAlignment="1" applyBorder="1" applyFill="1" applyFont="1" applyNumberFormat="1" applyProtection="1" borderId="233" fillId="15" fontId="4" numFmtId="2" xfId="0">
      <alignment horizontal="right"/>
      <protection locked="0"/>
    </xf>
    <xf applyAlignment="1" applyBorder="1" applyFill="1" applyFont="1" applyNumberFormat="1" applyProtection="1" borderId="233" fillId="15" fontId="4" numFmtId="4" xfId="0">
      <alignment horizontal="right"/>
      <protection locked="0"/>
    </xf>
    <xf applyBorder="1" applyFill="1" applyFont="1" applyProtection="1" borderId="233" fillId="15" fontId="4" numFmtId="0" xfId="0">
      <protection locked="0"/>
    </xf>
    <xf applyBorder="1" applyFill="1" applyFont="1" applyNumberFormat="1" applyProtection="1" borderId="233" fillId="15" fontId="4" numFmtId="4" xfId="0">
      <protection locked="0"/>
    </xf>
    <xf applyAlignment="1" applyBorder="1" applyFill="1" applyFont="1" applyNumberFormat="1" borderId="233" fillId="15" fontId="4" numFmtId="4" xfId="0">
      <alignment horizontal="right"/>
    </xf>
    <xf applyBorder="1" applyFill="1" applyFont="1" applyNumberFormat="1" applyProtection="1" borderId="233" fillId="15" fontId="8" numFmtId="4" xfId="0">
      <protection locked="0"/>
    </xf>
    <xf applyBorder="1" applyFill="1" applyFont="1" applyNumberFormat="1" borderId="233" fillId="15" fontId="4" numFmtId="4" xfId="0"/>
    <xf applyBorder="1" applyFill="1" applyFont="1" applyNumberFormat="1" borderId="233" fillId="15" fontId="8" numFmtId="4" xfId="0"/>
    <xf applyBorder="1" applyFill="1" applyFont="1" applyNumberFormat="1" applyProtection="1" borderId="233" fillId="15" fontId="4" numFmtId="4" xfId="0"/>
    <xf applyBorder="1" applyFill="1" applyFont="1" applyNumberFormat="1" applyProtection="1" borderId="233" fillId="15" fontId="8" numFmtId="4" xfId="0"/>
    <xf applyBorder="1" applyFill="1" applyFont="1" applyNumberFormat="1" applyProtection="1" borderId="184" fillId="15" fontId="8" numFmtId="4" xfId="0"/>
    <xf applyAlignment="1" applyBorder="1" applyFont="1" applyNumberFormat="1" applyProtection="1" borderId="181" fillId="0" fontId="4" numFmtId="1" xfId="0">
      <alignment horizontal="right"/>
      <protection locked="0"/>
    </xf>
    <xf applyAlignment="1" applyBorder="1" applyFont="1" applyNumberFormat="1" applyProtection="1" borderId="184" fillId="0" fontId="4" numFmtId="1" xfId="0">
      <alignment horizontal="right"/>
      <protection locked="0"/>
    </xf>
    <xf applyAlignment="1" applyBorder="1" applyFont="1" applyNumberFormat="1" applyProtection="1" borderId="197" fillId="0" fontId="4" numFmtId="1" xfId="0">
      <alignment horizontal="center" wrapText="1"/>
      <protection locked="0"/>
    </xf>
    <xf applyAlignment="1" applyBorder="1" applyFont="1" applyProtection="1" borderId="197" fillId="0" fontId="39" numFmtId="0" xfId="0">
      <alignment horizontal="center"/>
      <protection locked="0"/>
    </xf>
    <xf applyBorder="1" applyFill="1" applyFont="1" applyNumberFormat="1" applyProtection="1" borderId="197" fillId="10" fontId="39" numFmtId="0" xfId="0"/>
    <xf applyBorder="1" applyFill="1" applyFont="1" applyProtection="1" borderId="197" fillId="10" fontId="39" numFmtId="0" xfId="0"/>
    <xf applyAlignment="1" applyBorder="1" applyFill="1" applyFont="1" applyNumberFormat="1" applyProtection="1" borderId="197" fillId="0" fontId="39" numFmtId="0" xfId="0">
      <alignment horizontal="center"/>
    </xf>
    <xf applyBorder="1" applyFill="1" applyFont="1" applyNumberFormat="1" applyProtection="1" borderId="197" fillId="10" fontId="39" numFmtId="14" xfId="0"/>
    <xf applyAlignment="1" applyBorder="1" applyFont="1" applyNumberFormat="1" applyProtection="1" borderId="197" fillId="0" fontId="39" numFmtId="2" xfId="0">
      <alignment horizontal="right"/>
      <protection locked="0"/>
    </xf>
    <xf applyAlignment="1" applyBorder="1" applyFont="1" applyNumberFormat="1" applyProtection="1" borderId="197" fillId="0" fontId="39" numFmtId="180" xfId="0">
      <alignment horizontal="right"/>
      <protection locked="0"/>
    </xf>
    <xf applyAlignment="1" applyBorder="1" applyFont="1" applyNumberFormat="1" applyProtection="1" borderId="197" fillId="0" fontId="39" numFmtId="182" xfId="0">
      <alignment horizontal="right"/>
      <protection locked="0"/>
    </xf>
    <xf applyAlignment="1" applyBorder="1" applyFont="1" applyNumberFormat="1" applyProtection="1" borderId="197" fillId="0" fontId="8" numFmtId="182" xfId="0">
      <alignment horizontal="right"/>
      <protection locked="0"/>
    </xf>
    <xf applyAlignment="1" applyBorder="1" applyFill="1" applyFont="1" applyNumberFormat="1" applyProtection="1" borderId="197" fillId="10" fontId="39" numFmtId="182" xfId="0">
      <alignment horizontal="right"/>
    </xf>
    <xf applyAlignment="1" applyBorder="1" applyFill="1" applyFont="1" applyNumberFormat="1" applyProtection="1" borderId="197" fillId="10" fontId="8" numFmtId="182" xfId="0">
      <alignment horizontal="right"/>
    </xf>
    <xf applyAlignment="1" applyBorder="1" applyFill="1" applyFont="1" applyNumberFormat="1" applyProtection="1" borderId="197" fillId="17" fontId="8" numFmtId="182" xfId="0">
      <alignment horizontal="center"/>
    </xf>
    <xf applyAlignment="1" applyBorder="1" applyFill="1" applyFont="1" applyNumberFormat="1" applyProtection="1" borderId="197" fillId="0" fontId="39" numFmtId="182" xfId="0">
      <alignment horizontal="right"/>
      <protection locked="0"/>
    </xf>
    <xf applyAlignment="1" applyBorder="1" applyFill="1" applyFont="1" applyNumberFormat="1" applyProtection="1" borderId="197" fillId="0" fontId="39" numFmtId="182" xfId="0">
      <alignment horizontal="right"/>
    </xf>
    <xf applyBorder="1" applyFont="1" applyNumberFormat="1" applyProtection="1" borderId="197" fillId="0" fontId="39" numFmtId="181" xfId="0">
      <protection locked="0"/>
    </xf>
    <xf applyBorder="1" applyFill="1" applyFont="1" applyNumberFormat="1" applyProtection="1" borderId="197" fillId="10" fontId="39" numFmtId="182" xfId="0"/>
    <xf applyBorder="1" applyFont="1" applyNumberFormat="1" applyProtection="1" borderId="197" fillId="0" fontId="39" numFmtId="182" xfId="0">
      <protection locked="0"/>
    </xf>
    <xf applyBorder="1" applyFill="1" applyFont="1" applyNumberFormat="1" applyProtection="1" borderId="197" fillId="0" fontId="8" numFmtId="182" xfId="0"/>
    <xf applyBorder="1" applyFill="1" applyFont="1" applyNumberFormat="1" applyProtection="1" borderId="197" fillId="0" fontId="39" numFmtId="182" xfId="0">
      <protection locked="0"/>
    </xf>
    <xf applyBorder="1" applyFill="1" applyFont="1" applyNumberFormat="1" applyProtection="1" borderId="197" fillId="10" fontId="8" numFmtId="182" xfId="0"/>
    <xf applyBorder="1" applyFont="1" applyNumberFormat="1" applyProtection="1" borderId="197" fillId="0" fontId="8" numFmtId="182" xfId="0">
      <protection locked="0"/>
    </xf>
    <xf applyBorder="1" applyFill="1" applyFont="1" applyNumberFormat="1" applyProtection="1" borderId="181" fillId="0" fontId="39" numFmtId="182" xfId="0"/>
    <xf applyAlignment="1" applyBorder="1" applyFill="1" applyFont="1" applyProtection="1" borderId="197" fillId="14" fontId="4" numFmtId="0" xfId="0">
      <alignment horizontal="center"/>
      <protection locked="0"/>
    </xf>
    <xf applyBorder="1" applyFill="1" applyFont="1" applyNumberFormat="1" applyProtection="1" borderId="198" fillId="14" fontId="8" numFmtId="4" xfId="0">
      <protection locked="0"/>
    </xf>
    <xf applyAlignment="1" applyBorder="1" applyFill="1" applyFont="1" applyNumberFormat="1" borderId="197" fillId="10" fontId="4" numFmtId="14" quotePrefix="1" xfId="0">
      <alignment horizontal="center"/>
    </xf>
    <xf applyAlignment="1" applyBorder="1" applyFill="1" applyFont="1" applyNumberFormat="1" applyProtection="1" borderId="197" fillId="0" fontId="4" numFmtId="172" xfId="1">
      <alignment horizontal="center"/>
      <protection locked="0"/>
    </xf>
    <xf applyAlignment="1" applyBorder="1" applyFill="1" applyFont="1" applyNumberFormat="1" applyProtection="1" borderId="198" fillId="0" fontId="4" numFmtId="4" xfId="0">
      <alignment horizontal="left" vertical="top"/>
      <protection locked="0"/>
    </xf>
    <xf applyAlignment="1" applyBorder="1" applyFill="1" applyFont="1" applyNumberFormat="1" applyProtection="1" borderId="198" fillId="16" fontId="4" numFmtId="1" xfId="0">
      <alignment horizontal="center"/>
      <protection locked="0"/>
    </xf>
    <xf applyAlignment="1" applyBorder="1" applyFill="1" applyFont="1" applyProtection="1" borderId="198" fillId="16" fontId="4" numFmtId="0" xfId="0">
      <alignment horizontal="center"/>
      <protection locked="0"/>
    </xf>
    <xf applyBorder="1" applyFill="1" applyFont="1" applyNumberFormat="1" applyProtection="1" borderId="198" fillId="16" fontId="4" numFmtId="0" xfId="0"/>
    <xf applyBorder="1" applyFill="1" applyFont="1" applyProtection="1" borderId="198" fillId="16" fontId="4" numFmtId="0" xfId="0"/>
    <xf applyAlignment="1" applyBorder="1" applyFill="1" applyFont="1" applyNumberFormat="1" applyProtection="1" borderId="198" fillId="16" fontId="4" numFmtId="0" xfId="0">
      <alignment horizontal="center"/>
    </xf>
    <xf applyBorder="1" applyFill="1" applyFont="1" applyNumberFormat="1" applyProtection="1" borderId="198" fillId="16" fontId="4" numFmtId="14" xfId="0"/>
    <xf applyAlignment="1" applyBorder="1" applyFill="1" applyFont="1" applyNumberFormat="1" applyProtection="1" borderId="198" fillId="16" fontId="4" numFmtId="182" xfId="0">
      <alignment horizontal="right"/>
    </xf>
    <xf applyAlignment="1" applyBorder="1" applyFill="1" applyFont="1" applyNumberFormat="1" applyProtection="1" borderId="198" fillId="16" fontId="8" numFmtId="182" xfId="0">
      <alignment horizontal="right"/>
      <protection locked="0"/>
    </xf>
    <xf applyBorder="1" applyFill="1" applyFont="1" applyNumberFormat="1" applyProtection="1" borderId="182" fillId="16" fontId="39" numFmtId="182" xfId="0"/>
    <xf applyAlignment="1" applyBorder="1" applyFill="1" applyFont="1" applyNumberFormat="1" applyProtection="1" borderId="198" fillId="16" fontId="8" numFmtId="182" xfId="0">
      <alignment horizontal="center"/>
    </xf>
    <xf applyAlignment="1" applyBorder="1" applyFill="1" applyFont="1" applyNumberFormat="1" applyProtection="1" borderId="198" fillId="16" fontId="8" numFmtId="182" xfId="0">
      <alignment horizontal="right"/>
    </xf>
    <xf applyBorder="1" applyFill="1" applyFont="1" applyProtection="1" borderId="198" fillId="40" fontId="4" numFmtId="0" xfId="0">
      <protection locked="0"/>
    </xf>
    <xf applyBorder="1" applyFill="1" applyFont="1" applyNumberFormat="1" applyProtection="1" borderId="198" fillId="40" fontId="4" numFmtId="165" xfId="0">
      <protection locked="0"/>
    </xf>
    <xf applyBorder="1" applyFill="1" applyFont="1" applyNumberFormat="1" applyProtection="1" borderId="198" fillId="16" fontId="4" numFmtId="182" xfId="0"/>
    <xf applyBorder="1" applyFill="1" applyFont="1" applyNumberFormat="1" applyProtection="1" borderId="198" fillId="16" fontId="8" numFmtId="182" xfId="0"/>
    <xf applyAlignment="1" applyBorder="1" applyFill="1" applyFont="1" applyProtection="1" borderId="197" fillId="16" fontId="8" numFmtId="170" xfId="1">
      <protection locked="0"/>
    </xf>
    <xf applyAlignment="1" applyBorder="1" applyFill="1" applyFont="1" applyNumberFormat="1" applyProtection="1" borderId="197" fillId="0" fontId="4" numFmtId="4" xfId="0">
      <alignment horizontal="left" vertical="top"/>
      <protection locked="0"/>
    </xf>
    <xf applyAlignment="1" applyBorder="1" applyFill="1" applyFont="1" applyProtection="1" borderId="198" fillId="0" fontId="4" numFmtId="0" xfId="0">
      <alignment horizontal="left" vertical="top"/>
      <protection locked="0"/>
    </xf>
    <xf applyAlignment="1" applyBorder="1" applyFill="1" applyFont="1" applyNumberFormat="1" applyProtection="1" borderId="191" fillId="0" fontId="4" numFmtId="4" xfId="0">
      <alignment horizontal="left" vertical="top"/>
      <protection locked="0"/>
    </xf>
    <xf applyFill="1" applyFont="1" borderId="0" fillId="0" fontId="4" numFmtId="0" xfId="0"/>
    <xf applyAlignment="1" applyBorder="1" applyFill="1" applyFont="1" borderId="225" fillId="29" fontId="7" numFmtId="0" xfId="0">
      <alignment vertical="top" wrapText="1"/>
    </xf>
    <xf applyAlignment="1" applyBorder="1" applyFill="1" applyFont="1" applyNumberFormat="1" borderId="226" fillId="0" fontId="7" numFmtId="14" xfId="0">
      <alignment horizontal="left" vertical="top" wrapText="1"/>
    </xf>
    <xf applyAlignment="1" applyBorder="1" applyFill="1" applyFont="1" borderId="171" fillId="37" fontId="57" numFmtId="0" xfId="0">
      <alignment horizontal="left"/>
    </xf>
    <xf applyAlignment="1" applyBorder="1" applyFill="1" applyFont="1" borderId="1" fillId="38" fontId="86" numFmtId="0" xfId="0">
      <alignment vertical="top" wrapText="1"/>
    </xf>
    <xf applyAlignment="1" applyBorder="1" applyFill="1" applyFont="1" borderId="1" fillId="38" fontId="87" numFmtId="0" xfId="0">
      <alignment vertical="top" wrapText="1"/>
    </xf>
    <xf applyAlignment="1" applyBorder="1" applyFill="1" applyFont="1" applyNumberFormat="1" borderId="198" fillId="27" fontId="8" numFmtId="4" xfId="0">
      <alignment horizontal="center"/>
    </xf>
    <xf applyAlignment="1" applyBorder="1" applyFill="1" applyFont="1" applyNumberFormat="1" borderId="182" fillId="27" fontId="8" numFmtId="2" xfId="0">
      <alignment horizontal="center"/>
    </xf>
    <xf applyAlignment="1" applyBorder="1" applyFill="1" applyFont="1" applyNumberFormat="1" applyProtection="1" borderId="198" fillId="0" fontId="8" numFmtId="2" xfId="0">
      <protection locked="0"/>
    </xf>
    <xf applyAlignment="1" applyBorder="1" applyFill="1" applyFont="1" applyProtection="1" borderId="198" fillId="0" fontId="8" numFmtId="0" xfId="0">
      <protection locked="0"/>
    </xf>
    <xf applyAlignment="1" applyBorder="1" applyFill="1" applyFont="1" applyNumberFormat="1" borderId="198" fillId="0" fontId="8" numFmtId="2" xfId="0"/>
    <xf applyAlignment="1" applyBorder="1" applyFill="1" applyFont="1" applyNumberFormat="1" applyProtection="1" borderId="198" fillId="0" fontId="4" numFmtId="2" xfId="0">
      <protection locked="0"/>
    </xf>
    <xf applyAlignment="1" applyBorder="1" applyFill="1" applyFont="1" applyProtection="1" borderId="198" fillId="0" fontId="4" numFmtId="0" xfId="0">
      <protection locked="0"/>
    </xf>
    <xf applyAlignment="1" applyBorder="1" applyFill="1" applyFont="1" applyProtection="1" borderId="182" fillId="0" fontId="4" numFmtId="0" xfId="0">
      <protection locked="0"/>
    </xf>
    <xf applyAlignment="1" applyBorder="1" applyFill="1" applyFont="1" applyNumberFormat="1" applyProtection="1" borderId="198" fillId="27" fontId="8" numFmtId="2" xfId="0">
      <protection locked="0"/>
    </xf>
    <xf applyAlignment="1" applyBorder="1" applyFill="1" applyFont="1" applyNumberFormat="1" applyProtection="1" borderId="198" fillId="27" fontId="4" numFmtId="4" xfId="0">
      <alignment horizontal="right"/>
    </xf>
    <xf applyAlignment="1" applyBorder="1" applyFill="1" applyFont="1" applyNumberFormat="1" applyProtection="1" borderId="198" fillId="27" fontId="8" numFmtId="4" xfId="0">
      <alignment horizontal="right"/>
    </xf>
    <xf applyFill="1" applyFont="1" borderId="0" fillId="0" fontId="4" numFmtId="0" xfId="0"/>
    <xf applyBorder="1" applyFill="1" applyFont="1" applyNumberFormat="1" borderId="198" fillId="0" fontId="8" numFmtId="3" xfId="0"/>
    <xf applyAlignment="1" applyBorder="1" applyFont="1" borderId="198" fillId="0" fontId="198" numFmtId="0" xfId="0">
      <alignment horizontal="left" vertical="top"/>
    </xf>
    <xf applyBorder="1" applyFill="1" applyFont="1" applyNumberFormat="1" borderId="0" fillId="27" fontId="83" numFmtId="1" xfId="0"/>
    <xf applyFill="1" applyFont="1" applyNumberFormat="1" borderId="0" fillId="27" fontId="4" numFmtId="1" xfId="0"/>
    <xf applyAlignment="1" applyBorder="1" applyFill="1" applyFont="1" applyNumberFormat="1" borderId="0" fillId="27" fontId="35" numFmtId="1" xfId="0">
      <alignment horizontal="left"/>
    </xf>
    <xf applyAlignment="1" applyBorder="1" applyFill="1" applyFont="1" applyNumberFormat="1" borderId="0" fillId="27" fontId="4" numFmtId="171" xfId="0">
      <alignment horizontal="right"/>
    </xf>
    <xf applyAlignment="1" applyFill="1" applyFont="1" applyNumberFormat="1" borderId="0" fillId="27" fontId="4" numFmtId="1" xfId="0">
      <alignment horizontal="right"/>
    </xf>
    <xf applyAlignment="1" applyBorder="1" applyFill="1" applyFont="1" borderId="1" fillId="27" fontId="115" numFmtId="0" xfId="0"/>
    <xf applyBorder="1" applyFill="1" applyFont="1" borderId="1" fillId="27" fontId="184" numFmtId="0" xfId="0"/>
    <xf applyBorder="1" applyFill="1" applyFont="1" borderId="1" fillId="27" fontId="90" numFmtId="0" xfId="0"/>
    <xf applyBorder="1" applyFill="1" applyFont="1" applyNumberFormat="1" borderId="1" fillId="27" fontId="90" numFmtId="3" xfId="0"/>
    <xf applyAlignment="1" applyBorder="1" applyFill="1" applyFont="1" borderId="198" fillId="27" fontId="5" numFmtId="0" xfId="0"/>
    <xf applyBorder="1" applyFill="1" applyFont="1" applyNumberFormat="1" borderId="198" fillId="27" fontId="1" numFmtId="4" xfId="0"/>
    <xf applyAlignment="1" applyFill="1" applyFont="1" borderId="0" fillId="27" fontId="8" numFmtId="0" xfId="0">
      <alignment horizontal="left"/>
    </xf>
    <xf applyAlignment="1" applyBorder="1" applyFill="1" applyFont="1" borderId="13" fillId="27" fontId="8" numFmtId="0" xfId="0">
      <alignment horizontal="left"/>
    </xf>
    <xf applyAlignment="1" applyBorder="1" applyFill="1" applyFont="1" applyNumberFormat="1" borderId="0" fillId="27" fontId="4" numFmtId="178" xfId="0">
      <alignment horizontal="right"/>
    </xf>
    <xf applyFill="1" applyFont="1" applyNumberFormat="1" borderId="0" fillId="27" fontId="4" numFmtId="178" xfId="0"/>
    <xf applyAlignment="1" applyBorder="1" applyFill="1" applyFont="1" borderId="0" fillId="27" fontId="1" numFmtId="0" xfId="0">
      <alignment horizontal="right"/>
    </xf>
    <xf applyFill="1" applyFont="1" borderId="0" fillId="0" fontId="4" numFmtId="0" xfId="0"/>
    <xf applyAlignment="1" applyBorder="1" applyFill="1" applyFont="1" applyProtection="1" borderId="197" fillId="27" fontId="4" numFmtId="0" xfId="0">
      <alignment vertical="top" wrapText="1"/>
      <protection locked="0"/>
    </xf>
    <xf applyAlignment="1" applyBorder="1" applyFill="1" applyFont="1" applyProtection="1" borderId="191" fillId="27" fontId="4" numFmtId="0" xfId="0">
      <alignment vertical="top" wrapText="1"/>
      <protection locked="0"/>
    </xf>
    <xf applyAlignment="1" applyBorder="1" applyFont="1" borderId="198" fillId="0" fontId="189" numFmtId="0" xfId="0">
      <alignment vertical="top" wrapText="1"/>
    </xf>
    <xf applyFill="1" applyFont="1" borderId="0" fillId="0" fontId="90" numFmtId="0" xfId="0"/>
    <xf applyAlignment="1" applyBorder="1" applyFill="1" applyFont="1" borderId="0" fillId="0" fontId="89" numFmtId="0" xfId="0"/>
    <xf applyBorder="1" applyFill="1" applyFont="1" applyProtection="1" borderId="197" fillId="15" fontId="39" numFmtId="0" xfId="0">
      <protection locked="0"/>
    </xf>
    <xf applyBorder="1" applyFill="1" applyFont="1" applyNumberFormat="1" applyProtection="1" borderId="197" fillId="15" fontId="39" numFmtId="4" xfId="0">
      <protection locked="0"/>
    </xf>
    <xf applyAlignment="1" applyBorder="1" applyFill="1" applyFont="1" applyNumberFormat="1" borderId="197" fillId="15" fontId="39" numFmtId="4" xfId="0">
      <alignment horizontal="right"/>
    </xf>
    <xf applyBorder="1" applyFill="1" applyFont="1" applyNumberFormat="1" borderId="197" fillId="15" fontId="39" numFmtId="4" xfId="0"/>
    <xf applyBorder="1" applyFill="1" applyFont="1" applyNumberFormat="1" applyProtection="1" borderId="197" fillId="15" fontId="39" numFmtId="4" xfId="0"/>
    <xf applyAlignment="1" applyBorder="1" applyFill="1" applyFont="1" borderId="47" fillId="10" fontId="8" numFmtId="0" xfId="0">
      <alignment horizontal="center"/>
    </xf>
    <xf applyAlignment="1" applyBorder="1" applyFont="1" borderId="197" fillId="0" fontId="4" numFmtId="170" xfId="1">
      <alignment horizontal="center"/>
    </xf>
    <xf applyBorder="1" applyFill="1" applyFont="1" borderId="197" fillId="0" fontId="4" numFmtId="170" xfId="1"/>
    <xf applyAlignment="1" applyBorder="1" applyFill="1" applyFont="1" applyNumberFormat="1" borderId="197" fillId="0" fontId="4" numFmtId="185" xfId="1">
      <alignment horizontal="center"/>
    </xf>
    <xf applyAlignment="1" applyBorder="1" applyFill="1" applyFont="1" borderId="197" fillId="0" fontId="8" numFmtId="170" xfId="1">
      <alignment horizontal="right"/>
    </xf>
    <xf applyAlignment="1" applyBorder="1" applyFill="1" applyFont="1" borderId="197" fillId="0" fontId="8" numFmtId="0" xfId="0">
      <alignment horizontal="center"/>
    </xf>
    <xf applyAlignment="1" applyBorder="1" applyFill="1" applyFont="1" borderId="197" fillId="0" fontId="4" numFmtId="170" xfId="1">
      <alignment horizontal="right"/>
    </xf>
    <xf applyAlignment="1" applyBorder="1" applyFill="1" applyFont="1" applyNumberFormat="1" borderId="197" fillId="0" fontId="39" numFmtId="1" xfId="1">
      <alignment horizontal="center"/>
    </xf>
    <xf applyAlignment="1" applyBorder="1" applyFill="1" applyFont="1" borderId="197" fillId="0" fontId="39" numFmtId="170" xfId="1">
      <alignment horizontal="right"/>
    </xf>
    <xf applyAlignment="1" applyBorder="1" applyFill="1" applyFont="1" borderId="197" fillId="17" fontId="8" numFmtId="170" xfId="1">
      <alignment horizontal="right"/>
    </xf>
    <xf applyBorder="1" applyFill="1" applyFont="1" borderId="197" fillId="0" fontId="8" numFmtId="170" xfId="1"/>
    <xf applyBorder="1" applyFill="1" applyFont="1" applyNumberFormat="1" borderId="197" fillId="0" fontId="4" numFmtId="0" xfId="1"/>
    <xf applyBorder="1" applyFill="1" applyFont="1" borderId="197" fillId="0" fontId="39" numFmtId="0" xfId="0"/>
    <xf applyBorder="1" applyFont="1" applyNumberFormat="1" borderId="197" fillId="0" fontId="4" numFmtId="0" xfId="1"/>
    <xf applyAlignment="1" applyBorder="1" applyFont="1" applyNumberFormat="1" borderId="197" fillId="0" fontId="4" numFmtId="1" xfId="1">
      <alignment horizontal="center"/>
    </xf>
    <xf applyAlignment="1" applyBorder="1" applyFont="1" borderId="197" fillId="0" fontId="4" numFmtId="170" xfId="1">
      <alignment horizontal="right"/>
    </xf>
    <xf applyAlignment="1" applyBorder="1" applyFill="1" applyFont="1" borderId="197" fillId="10" fontId="4" numFmtId="170" xfId="1">
      <alignment horizontal="right"/>
    </xf>
    <xf applyAlignment="1" applyBorder="1" applyFont="1" borderId="197" fillId="0" fontId="8" numFmtId="170" xfId="1">
      <alignment horizontal="right"/>
    </xf>
    <xf applyBorder="1" applyFont="1" borderId="197" fillId="0" fontId="4" numFmtId="170" xfId="1"/>
    <xf applyAlignment="1" applyBorder="1" applyFill="1" applyFont="1" borderId="197" fillId="40" fontId="8" numFmtId="170" xfId="1">
      <alignment horizontal="right"/>
    </xf>
    <xf applyAlignment="1" applyBorder="1" applyFill="1" applyFont="1" applyProtection="1" borderId="197" fillId="0" fontId="39" numFmtId="0" xfId="0">
      <alignment horizontal="center"/>
      <protection locked="0"/>
    </xf>
    <xf applyAlignment="1" applyBorder="1" applyFill="1" applyFont="1" applyNumberFormat="1" borderId="197" fillId="10" fontId="39" numFmtId="14" quotePrefix="1" xfId="0">
      <alignment horizontal="center"/>
    </xf>
    <xf applyAlignment="1" applyBorder="1" applyFill="1" applyFont="1" applyNumberFormat="1" applyProtection="1" borderId="197" fillId="0" fontId="39" numFmtId="172" xfId="1">
      <alignment horizontal="center"/>
      <protection locked="0"/>
    </xf>
    <xf applyAlignment="1" applyBorder="1" applyFill="1" applyFont="1" applyNumberFormat="1" applyProtection="1" borderId="197" fillId="0" fontId="39" numFmtId="1" xfId="1">
      <alignment horizontal="center"/>
      <protection locked="0"/>
    </xf>
    <xf applyAlignment="1" applyBorder="1" applyFont="1" applyNumberFormat="1" applyProtection="1" borderId="197" fillId="0" fontId="8" numFmtId="4" xfId="0">
      <alignment horizontal="center"/>
      <protection locked="0"/>
    </xf>
    <xf applyAlignment="1" applyBorder="1" applyFill="1" applyFont="1" applyNumberFormat="1" applyProtection="1" borderId="197" fillId="0" fontId="4" numFmtId="4" xfId="0">
      <alignment horizontal="left"/>
      <protection locked="0"/>
    </xf>
    <xf applyAlignment="1" applyBorder="1" applyFont="1" applyNumberFormat="1" applyProtection="1" borderId="197" fillId="0" fontId="39" numFmtId="4" xfId="0">
      <alignment horizontal="center"/>
      <protection locked="0"/>
    </xf>
    <xf applyAlignment="1" applyBorder="1" applyFill="1" applyFont="1" borderId="191" fillId="10" fontId="8" numFmtId="0" xfId="0">
      <alignment horizontal="center"/>
    </xf>
    <xf applyAlignment="1" applyBorder="1" applyFill="1" applyFont="1" borderId="235" fillId="10" fontId="8" numFmtId="0" xfId="0">
      <alignment horizontal="center"/>
    </xf>
    <xf applyAlignment="1" applyBorder="1" applyFill="1" applyFont="1" applyProtection="1" borderId="233" fillId="10" fontId="8" numFmtId="0" xfId="0">
      <alignment horizontal="center"/>
      <protection locked="0"/>
    </xf>
    <xf applyAlignment="1" applyBorder="1" applyFill="1" applyFont="1" applyProtection="1" borderId="197" fillId="16" fontId="8" numFmtId="0" xfId="0">
      <alignment horizontal="center"/>
      <protection locked="0"/>
    </xf>
    <xf applyBorder="1" applyFill="1" applyFont="1" applyNumberFormat="1" applyProtection="1" borderId="181" fillId="16" fontId="8" numFmtId="2" xfId="0">
      <protection locked="0"/>
    </xf>
    <xf applyAlignment="1" applyBorder="1" applyFill="1" applyFont="1" applyProtection="1" borderId="197" fillId="27" fontId="4" numFmtId="0" xfId="0">
      <alignment wrapText="1"/>
      <protection locked="0"/>
    </xf>
    <xf applyAlignment="1" applyBorder="1" applyFill="1" applyFont="1" applyProtection="1" borderId="191" fillId="27" fontId="4" numFmtId="0" xfId="0">
      <alignment wrapText="1"/>
      <protection locked="0"/>
    </xf>
    <xf applyAlignment="1" applyBorder="1" applyFill="1" applyFont="1" applyProtection="1" borderId="170" fillId="27" fontId="4" numFmtId="0" xfId="0">
      <alignment wrapText="1"/>
      <protection locked="0"/>
    </xf>
    <xf applyAlignment="1" applyBorder="1" applyFill="1" applyFont="1" applyProtection="1" borderId="172" fillId="27" fontId="4" numFmtId="0" xfId="0">
      <alignment wrapText="1"/>
      <protection locked="0"/>
    </xf>
    <xf applyAlignment="1" applyBorder="1" applyFill="1" applyFont="1" applyProtection="1" borderId="191" fillId="27" fontId="4" numFmtId="0" xfId="0">
      <alignment horizontal="left" vertical="top" wrapText="1"/>
      <protection locked="0"/>
    </xf>
    <xf applyAlignment="1" applyBorder="1" applyFill="1" applyFont="1" applyNumberFormat="1" applyProtection="1" borderId="198" fillId="27" fontId="4" numFmtId="4" xfId="0">
      <alignment horizontal="left" vertical="top"/>
      <protection locked="0"/>
    </xf>
    <xf applyAlignment="1" applyBorder="1" applyFill="1" applyFont="1" applyProtection="1" borderId="172" fillId="27" fontId="4" numFmtId="0" xfId="0">
      <alignment horizontal="left" vertical="top" wrapText="1"/>
      <protection locked="0"/>
    </xf>
    <xf applyAlignment="1" applyBorder="1" applyFill="1" applyFont="1" applyNumberFormat="1" applyProtection="1" borderId="171" fillId="27" fontId="4" numFmtId="4" xfId="0">
      <alignment horizontal="left" vertical="top"/>
      <protection locked="0"/>
    </xf>
    <xf applyAlignment="1" applyBorder="1" applyFill="1" applyFont="1" borderId="198" fillId="0" fontId="198" numFmtId="0" xfId="0">
      <alignment vertical="top" wrapText="1"/>
    </xf>
    <xf applyAlignment="1" applyFill="1" applyFont="1" applyNumberFormat="1" borderId="0" fillId="0" fontId="138" numFmtId="1" xfId="0">
      <alignment horizontal="left" indent="1"/>
    </xf>
    <xf applyAlignment="1" applyBorder="1" applyFill="1" applyFont="1" borderId="102" fillId="0" fontId="192" numFmtId="0" xfId="0">
      <alignment horizontal="right"/>
    </xf>
    <xf applyAlignment="1" applyBorder="1" applyFill="1" applyFont="1" applyProtection="1" borderId="17" fillId="27" fontId="4" numFmtId="0" xfId="0">
      <alignment vertical="top" wrapText="1"/>
      <protection locked="0"/>
    </xf>
    <xf applyAlignment="1" applyBorder="1" applyFill="1" applyFont="1" applyProtection="1" borderId="16" fillId="27" fontId="4" numFmtId="0" xfId="0">
      <alignment vertical="top" wrapText="1"/>
      <protection locked="0"/>
    </xf>
    <xf applyBorder="1" applyFill="1" applyFont="1" applyProtection="1" borderId="197" fillId="27" fontId="8" numFmtId="170" xfId="1">
      <protection locked="0"/>
    </xf>
    <xf applyAlignment="1" applyBorder="1" applyFill="1" applyFont="1" applyProtection="1" borderId="197" fillId="27" fontId="8" numFmtId="0" xfId="0">
      <alignment horizontal="center"/>
      <protection locked="0"/>
    </xf>
    <xf applyAlignment="1" applyBorder="1" applyFill="1" applyFont="1" applyProtection="1" borderId="197" fillId="40" fontId="8" numFmtId="0" xfId="0">
      <alignment horizontal="center"/>
      <protection locked="0"/>
    </xf>
    <xf applyBorder="1" applyFill="1" applyFont="1" applyNumberFormat="1" applyProtection="1" borderId="197" fillId="0" fontId="8" numFmtId="2" xfId="0">
      <protection locked="0"/>
    </xf>
    <xf applyAlignment="1" applyBorder="1" applyFill="1" applyFont="1" borderId="102" fillId="27" fontId="8" numFmtId="170" xfId="1">
      <alignment horizontal="right"/>
    </xf>
    <xf applyAlignment="1" applyBorder="1" applyFill="1" applyFont="1" applyNumberFormat="1" borderId="102" fillId="27" fontId="39" numFmtId="1" xfId="1">
      <alignment horizontal="center"/>
    </xf>
    <xf applyAlignment="1" applyBorder="1" applyFill="1" applyFont="1" borderId="102" fillId="27" fontId="39" numFmtId="170" xfId="1">
      <alignment horizontal="right"/>
    </xf>
    <xf applyAlignment="1" applyBorder="1" applyFill="1" applyFont="1" applyProtection="1" borderId="197" fillId="27" fontId="4" numFmtId="0" xfId="0">
      <alignment horizontal="center"/>
      <protection locked="0"/>
    </xf>
    <xf applyBorder="1" applyFill="1" applyFont="1" applyProtection="1" borderId="197" fillId="27" fontId="4" numFmtId="0" xfId="0">
      <protection locked="0"/>
    </xf>
    <xf applyBorder="1" applyFill="1" applyFont="1" applyNumberFormat="1" applyProtection="1" borderId="197" fillId="27" fontId="4" numFmtId="181" xfId="0"/>
    <xf applyAlignment="1" applyBorder="1" applyFill="1" applyFont="1" applyNumberFormat="1" applyProtection="1" borderId="197" fillId="27" fontId="4" numFmtId="181" xfId="0">
      <alignment horizontal="center"/>
      <protection locked="0"/>
    </xf>
    <xf applyAlignment="1" applyBorder="1" applyFill="1" applyFont="1" applyNumberFormat="1" applyProtection="1" borderId="197" fillId="27" fontId="4" numFmtId="4" xfId="0">
      <alignment horizontal="right"/>
      <protection locked="0"/>
    </xf>
    <xf applyAlignment="1" applyBorder="1" applyFill="1" applyFont="1" applyNumberFormat="1" applyProtection="1" borderId="197" fillId="27" fontId="4" numFmtId="4" xfId="0">
      <alignment horizontal="right"/>
    </xf>
    <xf applyAlignment="1" applyBorder="1" applyFill="1" applyFont="1" applyNumberFormat="1" applyProtection="1" borderId="197" fillId="27" fontId="108" numFmtId="4" xfId="0">
      <alignment horizontal="right"/>
      <protection locked="0"/>
    </xf>
    <xf applyBorder="1" applyFill="1" applyFont="1" applyNumberFormat="1" applyProtection="1" borderId="197" fillId="27" fontId="4" numFmtId="4" xfId="0">
      <protection locked="0"/>
    </xf>
    <xf applyBorder="1" applyFill="1" applyFont="1" applyNumberFormat="1" applyProtection="1" borderId="197" fillId="27" fontId="8" numFmtId="4" xfId="0">
      <protection locked="0"/>
    </xf>
    <xf applyBorder="1" applyFill="1" applyFont="1" applyNumberFormat="1" applyProtection="1" borderId="197" fillId="27" fontId="4" numFmtId="4" xfId="0"/>
    <xf applyBorder="1" applyFill="1" applyFont="1" applyNumberFormat="1" applyProtection="1" borderId="197" fillId="27" fontId="8" numFmtId="4" xfId="0"/>
    <xf applyBorder="1" applyFill="1" applyFont="1" applyNumberFormat="1" applyProtection="1" borderId="197" fillId="27" fontId="4" numFmtId="4" xfId="1"/>
    <xf applyBorder="1" applyFill="1" applyFont="1" applyNumberFormat="1" applyProtection="1" borderId="197" fillId="27" fontId="4" numFmtId="4" xfId="1">
      <protection locked="0"/>
    </xf>
    <xf applyAlignment="1" applyBorder="1" applyFill="1" applyFont="1" applyNumberFormat="1" applyProtection="1" borderId="197" fillId="27" fontId="8" numFmtId="1" xfId="0">
      <alignment horizontal="center"/>
    </xf>
    <xf applyBorder="1" applyFill="1" applyFont="1" applyNumberFormat="1" applyProtection="1" borderId="181" fillId="27" fontId="4" numFmtId="1" xfId="0">
      <protection locked="0"/>
    </xf>
    <xf applyAlignment="1" applyBorder="1" applyFill="1" applyFont="1" applyNumberFormat="1" applyProtection="1" borderId="198" fillId="27" fontId="4" numFmtId="2" xfId="0">
      <alignment horizontal="center"/>
      <protection locked="0"/>
    </xf>
    <xf applyAlignment="1" applyBorder="1" applyFill="1" applyFont="1" applyNumberFormat="1" borderId="198" fillId="27" fontId="8" numFmtId="181" xfId="0">
      <alignment horizontal="center"/>
    </xf>
    <xf applyAlignment="1" applyBorder="1" applyFill="1" applyFont="1" applyNumberFormat="1" applyProtection="1" borderId="198" fillId="27" fontId="8" numFmtId="2" xfId="0">
      <alignment horizontal="center"/>
      <protection locked="0"/>
    </xf>
    <xf applyAlignment="1" applyBorder="1" applyFill="1" applyFont="1" applyNumberFormat="1" applyProtection="1" borderId="198" fillId="27" fontId="8" numFmtId="181" xfId="0">
      <alignment horizontal="center"/>
      <protection locked="0"/>
    </xf>
    <xf applyAlignment="1" applyBorder="1" applyFill="1" applyFont="1" applyProtection="1" borderId="198" fillId="27" fontId="4" numFmtId="0" xfId="0">
      <alignment horizontal="center" wrapText="1"/>
      <protection locked="0"/>
    </xf>
    <xf applyAlignment="1" applyBorder="1" applyFill="1" applyFont="1" applyNumberFormat="1" borderId="198" fillId="27" fontId="149" numFmtId="4" xfId="0">
      <alignment horizontal="right"/>
    </xf>
    <xf applyAlignment="1" applyBorder="1" applyFill="1" applyFont="1" applyNumberFormat="1" applyProtection="1" borderId="198" fillId="27" fontId="149" numFmtId="4" xfId="0">
      <alignment horizontal="right"/>
      <protection locked="0"/>
    </xf>
    <xf applyAlignment="1" applyBorder="1" applyFill="1" applyFont="1" applyNumberFormat="1" borderId="198" fillId="27" fontId="134" numFmtId="4" xfId="0">
      <alignment horizontal="right"/>
    </xf>
    <xf applyAlignment="1" applyBorder="1" applyFill="1" applyFont="1" applyProtection="1" borderId="198" fillId="27" fontId="134" numFmtId="0" xfId="0">
      <alignment horizontal="right"/>
      <protection locked="0"/>
    </xf>
    <xf applyAlignment="1" applyBorder="1" applyFill="1" applyFont="1" applyNumberFormat="1" applyProtection="1" borderId="198" fillId="27" fontId="134" numFmtId="4" xfId="0">
      <alignment horizontal="right"/>
      <protection locked="0"/>
    </xf>
    <xf applyBorder="1" applyFill="1" borderId="198" fillId="27" fontId="0" numFmtId="0" xfId="0"/>
    <xf applyAlignment="1" applyBorder="1" applyFill="1" applyFont="1" applyProtection="1" borderId="198" fillId="40" fontId="8" numFmtId="0" xfId="0">
      <alignment horizontal="center"/>
      <protection locked="0"/>
    </xf>
    <xf applyAlignment="1" applyBorder="1" applyFill="1" applyFont="1" applyProtection="1" borderId="197" fillId="40" fontId="4" numFmtId="0" xfId="0">
      <alignment horizontal="center"/>
      <protection locked="0"/>
    </xf>
    <xf applyAlignment="1" applyBorder="1" applyFill="1" applyFont="1" applyProtection="1" borderId="197" fillId="40" fontId="39" numFmtId="0" xfId="0">
      <alignment horizontal="center"/>
      <protection locked="0"/>
    </xf>
    <xf applyAlignment="1" applyBorder="1" applyFill="1" applyFont="1" applyNumberFormat="1" applyProtection="1" borderId="197" fillId="40" fontId="39" numFmtId="172" xfId="1">
      <alignment horizontal="center"/>
      <protection locked="0"/>
    </xf>
    <xf applyAlignment="1" applyBorder="1" applyFill="1" applyFont="1" borderId="197" fillId="40" fontId="4" numFmtId="170" xfId="1">
      <alignment horizontal="right"/>
    </xf>
    <xf applyAlignment="1" applyBorder="1" applyFill="1" applyFont="1" applyNumberFormat="1" borderId="197" fillId="40" fontId="4" numFmtId="185" xfId="1">
      <alignment horizontal="center"/>
    </xf>
    <xf applyAlignment="1" applyBorder="1" applyFill="1" applyFont="1" applyNumberFormat="1" borderId="197" fillId="40" fontId="8" numFmtId="2" xfId="1">
      <alignment horizontal="right"/>
    </xf>
    <xf applyAlignment="1" applyBorder="1" applyFill="1" applyFont="1" applyNumberFormat="1" borderId="197" fillId="40" fontId="8" numFmtId="2" xfId="0">
      <alignment horizontal="right"/>
    </xf>
    <xf applyAlignment="1" applyBorder="1" borderId="198" fillId="0" fontId="0" numFmtId="0" xfId="0">
      <alignment horizontal="center" vertical="center"/>
    </xf>
    <xf applyAlignment="1" applyBorder="1" applyFill="1" borderId="198" fillId="40" fontId="0" numFmtId="0" xfId="0">
      <alignment horizontal="center" vertical="center"/>
    </xf>
    <xf applyAlignment="1" applyBorder="1" applyFill="1" applyNumberFormat="1" borderId="198" fillId="40" fontId="0" numFmtId="14" xfId="0">
      <alignment horizontal="center" vertical="center"/>
    </xf>
    <xf applyAlignment="1" applyBorder="1" applyFill="1" applyFont="1" borderId="198" fillId="40" fontId="1" numFmtId="0" xfId="0">
      <alignment horizontal="center" vertical="center"/>
    </xf>
    <xf applyBorder="1" applyFill="1" applyFont="1" applyNumberFormat="1" applyProtection="1" borderId="182" fillId="40" fontId="39" numFmtId="182" xfId="0"/>
    <xf applyAlignment="1" applyBorder="1" applyFill="1" applyFont="1" applyNumberFormat="1" applyProtection="1" borderId="198" fillId="40" fontId="39" numFmtId="182" xfId="0">
      <alignment horizontal="center"/>
    </xf>
    <xf applyAlignment="1" applyBorder="1" applyFill="1" applyFont="1" applyProtection="1" borderId="170" fillId="40" fontId="4" numFmtId="0" xfId="0">
      <alignment wrapText="1"/>
      <protection locked="0"/>
    </xf>
    <xf applyAlignment="1" applyBorder="1" applyFill="1" applyFont="1" applyProtection="1" borderId="172" fillId="40" fontId="4" numFmtId="0" xfId="0">
      <alignment wrapText="1"/>
      <protection locked="0"/>
    </xf>
    <xf applyAlignment="1" applyBorder="1" applyFill="1" applyFont="1" applyProtection="1" borderId="172" fillId="40" fontId="4" numFmtId="0" xfId="0">
      <alignment horizontal="left" vertical="top" wrapText="1"/>
      <protection locked="0"/>
    </xf>
    <xf applyAlignment="1" applyBorder="1" applyFill="1" applyFont="1" applyNumberFormat="1" applyProtection="1" borderId="171" fillId="40" fontId="4" numFmtId="4" xfId="0">
      <alignment horizontal="left" vertical="top"/>
      <protection locked="0"/>
    </xf>
    <xf applyBorder="1" applyFill="1" applyFont="1" applyProtection="1" borderId="197" fillId="40" fontId="4" numFmtId="0" xfId="0">
      <protection locked="0"/>
    </xf>
    <xf applyAlignment="1" applyBorder="1" applyFill="1" applyFont="1" applyProtection="1" borderId="197" fillId="40" fontId="4" numFmtId="0" xfId="0">
      <alignment horizontal="right"/>
      <protection locked="0"/>
    </xf>
    <xf applyAlignment="1" applyBorder="1" applyFill="1" applyFont="1" applyNumberFormat="1" applyProtection="1" borderId="197" fillId="40" fontId="4" numFmtId="4" xfId="0">
      <alignment horizontal="right"/>
      <protection locked="0"/>
    </xf>
    <xf applyAlignment="1" applyBorder="1" applyFill="1" applyFont="1" applyNumberFormat="1" borderId="197" fillId="40" fontId="149" numFmtId="4" xfId="0">
      <alignment horizontal="right"/>
    </xf>
    <xf applyAlignment="1" applyBorder="1" applyFill="1" applyFont="1" applyNumberFormat="1" applyProtection="1" borderId="197" fillId="40" fontId="149" numFmtId="4" xfId="0">
      <alignment horizontal="right"/>
      <protection locked="0"/>
    </xf>
    <xf applyAlignment="1" applyBorder="1" applyFill="1" applyFont="1" applyNumberFormat="1" borderId="197" fillId="40" fontId="134" numFmtId="4" xfId="0">
      <alignment horizontal="right"/>
    </xf>
    <xf applyAlignment="1" applyBorder="1" applyFill="1" applyFont="1" applyProtection="1" borderId="197" fillId="40" fontId="134" numFmtId="0" xfId="0">
      <alignment horizontal="right"/>
      <protection locked="0"/>
    </xf>
    <xf applyAlignment="1" applyBorder="1" applyFill="1" applyFont="1" applyNumberFormat="1" applyProtection="1" borderId="197" fillId="40" fontId="134" numFmtId="4" xfId="0">
      <alignment horizontal="right"/>
      <protection locked="0"/>
    </xf>
    <xf applyAlignment="1" applyBorder="1" applyFill="1" applyFont="1" applyNumberFormat="1" applyProtection="1" borderId="197" fillId="40" fontId="8" numFmtId="4" xfId="0">
      <alignment horizontal="right"/>
      <protection locked="0"/>
    </xf>
    <xf applyAlignment="1" applyBorder="1" applyFill="1" applyFont="1" applyNumberFormat="1" borderId="197" fillId="40" fontId="8" numFmtId="4" xfId="0">
      <alignment horizontal="right"/>
    </xf>
    <xf applyAlignment="1" applyBorder="1" applyFill="1" applyFont="1" applyNumberFormat="1" borderId="197" fillId="40" fontId="4" numFmtId="4" xfId="0">
      <alignment horizontal="right"/>
    </xf>
    <xf applyAlignment="1" applyBorder="1" applyFill="1" applyFont="1" applyProtection="1" borderId="198" fillId="40" fontId="4" numFmtId="0" xfId="0">
      <alignment horizontal="center"/>
      <protection locked="0"/>
    </xf>
    <xf applyAlignment="1" applyBorder="1" applyFill="1" applyFont="1" applyProtection="1" borderId="198" fillId="40" fontId="4" numFmtId="0" xfId="0">
      <alignment horizontal="right"/>
      <protection locked="0"/>
    </xf>
    <xf applyAlignment="1" applyBorder="1" applyFill="1" applyFont="1" applyNumberFormat="1" applyProtection="1" borderId="198" fillId="40" fontId="4" numFmtId="4" xfId="0">
      <alignment horizontal="right"/>
      <protection locked="0"/>
    </xf>
    <xf applyAlignment="1" applyBorder="1" applyFill="1" applyFont="1" applyNumberFormat="1" borderId="198" fillId="40" fontId="8" numFmtId="4" xfId="0">
      <alignment horizontal="right"/>
    </xf>
    <xf applyAlignment="1" applyBorder="1" applyFill="1" applyFont="1" applyNumberFormat="1" applyProtection="1" borderId="198" fillId="40" fontId="8" numFmtId="4" xfId="0">
      <alignment horizontal="right"/>
      <protection locked="0"/>
    </xf>
    <xf applyAlignment="1" applyBorder="1" applyFill="1" applyFont="1" applyNumberFormat="1" borderId="198" fillId="40" fontId="4" numFmtId="4" xfId="0">
      <alignment horizontal="right"/>
    </xf>
    <xf applyBorder="1" applyFill="1" borderId="198" fillId="40" fontId="0" numFmtId="0" xfId="0"/>
    <xf applyBorder="1" applyFill="1" applyFont="1" applyProtection="1" borderId="197" fillId="40" fontId="8" numFmtId="170" xfId="1">
      <protection locked="0"/>
    </xf>
    <xf applyBorder="1" applyFill="1" applyFont="1" applyProtection="1" borderId="198" fillId="40" fontId="8" numFmtId="170" xfId="1">
      <protection locked="0"/>
    </xf>
    <xf applyBorder="1" applyFill="1" applyFont="1" applyNumberFormat="1" applyProtection="1" borderId="198" fillId="40" fontId="8" numFmtId="2" xfId="0">
      <protection locked="0"/>
    </xf>
    <xf applyAlignment="1" applyBorder="1" applyFill="1" applyFont="1" applyNumberFormat="1" applyProtection="1" borderId="198" fillId="40" fontId="4" numFmtId="4" xfId="1">
      <alignment horizontal="right"/>
      <protection locked="0"/>
    </xf>
    <xf applyAlignment="1" applyBorder="1" applyFill="1" applyFont="1" applyNumberFormat="1" borderId="198" fillId="40" fontId="4" numFmtId="4" xfId="1">
      <alignment horizontal="right"/>
    </xf>
    <xf applyAlignment="1" applyBorder="1" applyFill="1" applyFont="1" applyProtection="1" borderId="198" fillId="40" fontId="4" numFmtId="0" xfId="0">
      <alignment horizontal="center" wrapText="1"/>
      <protection locked="0"/>
    </xf>
    <xf applyAlignment="1" applyBorder="1" applyFill="1" applyFont="1" applyNumberFormat="1" borderId="197" fillId="40" fontId="39" numFmtId="1" xfId="1">
      <alignment horizontal="center"/>
    </xf>
    <xf applyAlignment="1" applyBorder="1" applyFill="1" applyFont="1" borderId="197" fillId="40" fontId="39" numFmtId="170" xfId="1">
      <alignment horizontal="right"/>
    </xf>
    <xf applyBorder="1" applyFill="1" applyFont="1" borderId="197" fillId="40" fontId="8" numFmtId="170" xfId="1"/>
    <xf applyBorder="1" applyFill="1" applyFont="1" applyNumberFormat="1" borderId="197" fillId="40" fontId="4" numFmtId="0" xfId="1"/>
    <xf applyAlignment="1" applyBorder="1" applyFill="1" applyFont="1" borderId="198" fillId="17" fontId="8" numFmtId="170" xfId="1">
      <alignment horizontal="right"/>
    </xf>
    <xf applyAlignment="1" applyBorder="1" applyFill="1" applyFont="1" applyNumberFormat="1" borderId="198" fillId="40" fontId="8" numFmtId="173" xfId="1">
      <alignment horizontal="right"/>
    </xf>
    <xf applyAlignment="1" applyBorder="1" applyFill="1" applyFont="1" borderId="233" fillId="17" fontId="8" numFmtId="170" xfId="1">
      <alignment horizontal="right"/>
    </xf>
    <xf applyBorder="1" applyFill="1" applyFont="1" borderId="198" fillId="17" fontId="8" numFmtId="170" xfId="1"/>
    <xf applyBorder="1" applyFill="1" applyFont="1" borderId="233" fillId="17" fontId="8" numFmtId="170" xfId="1"/>
    <xf applyAlignment="1" applyBorder="1" applyFill="1" applyFont="1" applyNumberFormat="1" applyProtection="1" borderId="197" fillId="40" fontId="4" numFmtId="3" xfId="0">
      <alignment horizontal="center"/>
      <protection locked="0"/>
    </xf>
    <xf applyBorder="1" applyFill="1" applyFont="1" applyNumberFormat="1" borderId="198" fillId="40" fontId="8" numFmtId="170" xfId="1"/>
    <xf applyAlignment="1" applyBorder="1" applyFill="1" applyFont="1" applyNumberFormat="1" applyProtection="1" borderId="197" fillId="40" fontId="4" numFmtId="182" xfId="0">
      <alignment horizontal="center"/>
      <protection locked="0"/>
    </xf>
    <xf applyAlignment="1" applyBorder="1" applyFill="1" applyFont="1" applyNumberFormat="1" applyProtection="1" borderId="197" fillId="40" fontId="4" numFmtId="182" xfId="0">
      <alignment horizontal="center"/>
    </xf>
    <xf applyAlignment="1" applyBorder="1" applyFill="1" applyFont="1" applyNumberFormat="1" applyProtection="1" borderId="197" fillId="40" fontId="8" numFmtId="182" xfId="0">
      <alignment horizontal="center"/>
    </xf>
    <xf applyFill="1" applyFont="1" borderId="0" fillId="0" fontId="4" numFmtId="0" xfId="0"/>
    <xf applyBorder="1" applyFill="1" applyFont="1" borderId="197" fillId="40" fontId="39" numFmtId="0" xfId="0"/>
    <xf applyBorder="1" applyFill="1" applyFont="1" borderId="181" fillId="40" fontId="39" numFmtId="0" xfId="0"/>
    <xf applyAlignment="1" applyBorder="1" applyFill="1" applyFont="1" applyProtection="1" borderId="197" fillId="0" fontId="8" numFmtId="0" xfId="0">
      <protection locked="0"/>
    </xf>
    <xf applyAlignment="1" applyBorder="1" applyFill="1" applyFont="1" applyProtection="1" borderId="197" fillId="0" fontId="4" numFmtId="0" xfId="0">
      <protection locked="0"/>
    </xf>
    <xf applyAlignment="1" applyBorder="1" applyFill="1" applyFont="1" applyProtection="1" borderId="181" fillId="0" fontId="8" numFmtId="0" xfId="0">
      <protection locked="0"/>
    </xf>
    <xf applyBorder="1" applyFill="1" applyFont="1" borderId="140" fillId="27" fontId="97" numFmtId="0" xfId="0"/>
    <xf applyBorder="1" applyFill="1" applyFont="1" borderId="198" fillId="27" fontId="73" numFmtId="0" xfId="0"/>
    <xf applyBorder="1" applyFill="1" applyFont="1" borderId="102" fillId="27" fontId="73" numFmtId="0" xfId="0"/>
    <xf applyAlignment="1" applyBorder="1" applyFill="1" applyFont="1" applyNumberFormat="1" applyProtection="1" borderId="139" fillId="27" fontId="55" numFmtId="49" xfId="0">
      <alignment horizontal="center"/>
    </xf>
    <xf applyAlignment="1" applyBorder="1" applyFill="1" applyFont="1" applyNumberFormat="1" applyProtection="1" borderId="106" fillId="27" fontId="4" numFmtId="2" xfId="0">
      <alignment horizontal="center"/>
    </xf>
    <xf applyAlignment="1" applyBorder="1" applyFill="1" applyFont="1" borderId="102" fillId="45" fontId="69" numFmtId="0" xfId="0">
      <alignment horizontal="left"/>
    </xf>
    <xf applyAlignment="1" applyBorder="1" applyFill="1" applyFont="1" applyNumberFormat="1" applyProtection="1" borderId="139" fillId="46" fontId="55" numFmtId="49" xfId="0">
      <alignment horizontal="center"/>
    </xf>
    <xf applyAlignment="1" applyBorder="1" applyFill="1" applyFont="1" applyNumberFormat="1" applyProtection="1" borderId="139" fillId="45" fontId="55" numFmtId="49" xfId="0">
      <alignment horizontal="center"/>
    </xf>
    <xf applyAlignment="1" applyBorder="1" applyFill="1" applyFont="1" applyNumberFormat="1" applyProtection="1" borderId="106" fillId="45" fontId="4" numFmtId="2" xfId="0">
      <alignment horizontal="center"/>
    </xf>
    <xf applyAlignment="1" applyBorder="1" applyFill="1" applyFont="1" applyNumberFormat="1" applyProtection="1" borderId="106" fillId="46" fontId="4" numFmtId="2" xfId="0">
      <alignment horizontal="center"/>
    </xf>
    <xf applyAlignment="1" applyBorder="1" applyFill="1" applyFont="1" borderId="45" fillId="45" fontId="69" numFmtId="0" xfId="0">
      <alignment horizontal="left"/>
    </xf>
    <xf applyAlignment="1" applyBorder="1" applyFont="1" applyNumberFormat="1" applyProtection="1" borderId="233" fillId="0" fontId="134" numFmtId="4" xfId="0">
      <alignment horizontal="right"/>
      <protection locked="0"/>
    </xf>
    <xf applyAlignment="1" applyBorder="1" applyFont="1" applyNumberFormat="1" applyProtection="1" borderId="233" fillId="0" fontId="4" numFmtId="4" xfId="0">
      <alignment horizontal="right"/>
      <protection locked="0"/>
    </xf>
    <xf applyAlignment="1" applyBorder="1" applyFill="1" applyFont="1" borderId="140" fillId="46" fontId="73" numFmtId="0" xfId="0">
      <alignment horizontal="center"/>
    </xf>
    <xf applyAlignment="1" applyBorder="1" applyFill="1" applyFont="1" borderId="198" fillId="46" fontId="73" numFmtId="0" xfId="0">
      <alignment horizontal="left"/>
    </xf>
    <xf applyAlignment="1" applyBorder="1" applyFill="1" applyFont="1" borderId="45" fillId="45" fontId="73" numFmtId="0" xfId="0">
      <alignment horizontal="center"/>
    </xf>
    <xf applyAlignment="1" applyBorder="1" applyFill="1" applyFont="1" borderId="1" fillId="45" fontId="73" numFmtId="0" xfId="0">
      <alignment horizontal="left"/>
    </xf>
    <xf applyAlignment="1" applyBorder="1" applyFill="1" applyFont="1" applyNumberFormat="1" applyProtection="1" borderId="106" fillId="46" fontId="4" numFmtId="4" xfId="0">
      <alignment horizontal="center"/>
    </xf>
    <xf applyBorder="1" applyFill="1" applyFont="1" borderId="77" fillId="46" fontId="4" numFmtId="0" xfId="0"/>
    <xf applyBorder="1" applyFill="1" applyFont="1" borderId="77" fillId="45" fontId="4" numFmtId="0" xfId="0"/>
    <xf applyAlignment="1" applyBorder="1" applyFill="1" applyFont="1" applyNumberFormat="1" applyProtection="1" borderId="236" fillId="45" fontId="55" numFmtId="49" xfId="0">
      <alignment horizontal="center"/>
    </xf>
    <xf applyAlignment="1" applyBorder="1" applyFill="1" applyFont="1" applyNumberFormat="1" applyProtection="1" borderId="227" fillId="45" fontId="4" numFmtId="4" xfId="0">
      <alignment horizontal="center"/>
    </xf>
    <xf applyAlignment="1" applyBorder="1" applyFill="1" applyFont="1" applyNumberFormat="1" applyProtection="1" borderId="237" fillId="46" fontId="55" numFmtId="49" xfId="0">
      <alignment horizontal="center"/>
    </xf>
    <xf applyAlignment="1" applyBorder="1" applyFill="1" applyFont="1" applyNumberFormat="1" applyProtection="1" borderId="58" fillId="46" fontId="4" numFmtId="4" xfId="0">
      <alignment horizontal="center"/>
    </xf>
    <xf applyAlignment="1" applyBorder="1" applyFill="1" applyFont="1" applyNumberFormat="1" applyProtection="1" borderId="139" fillId="40" fontId="130" numFmtId="49" xfId="0">
      <alignment horizontal="center"/>
    </xf>
    <xf applyAlignment="1" applyBorder="1" applyFill="1" applyFont="1" applyNumberFormat="1" applyProtection="1" borderId="106" fillId="40" fontId="4" numFmtId="1" xfId="0">
      <alignment horizontal="center"/>
    </xf>
    <xf applyAlignment="1" applyBorder="1" applyFill="1" applyFont="1" applyNumberFormat="1" applyProtection="1" borderId="106" fillId="38" fontId="4" numFmtId="4" xfId="0">
      <alignment horizontal="center"/>
    </xf>
    <xf applyAlignment="1" applyBorder="1" applyFill="1" applyFont="1" borderId="102" fillId="40" fontId="73" numFmtId="0" xfId="0"/>
    <xf applyAlignment="1" applyBorder="1" applyFill="1" applyFont="1" borderId="102" fillId="40" fontId="8" numFmtId="0" xfId="0">
      <alignment horizontal="center"/>
    </xf>
    <xf applyAlignment="1" applyBorder="1" applyFill="1" applyFont="1" applyNumberFormat="1" borderId="102" fillId="40" fontId="8" numFmtId="3" xfId="0">
      <alignment horizontal="center"/>
    </xf>
    <xf applyAlignment="1" applyBorder="1" applyFill="1" applyFont="1" borderId="117" fillId="40" fontId="162" numFmtId="0" xfId="0">
      <alignment horizontal="left"/>
    </xf>
    <xf applyBorder="1" applyFill="1" applyFont="1" borderId="3" fillId="27" fontId="17" numFmtId="0" xfId="0"/>
    <xf applyAlignment="1" applyBorder="1" applyFill="1" applyFont="1" borderId="3" fillId="27" fontId="61" numFmtId="0" xfId="0">
      <alignment horizontal="center"/>
    </xf>
    <xf applyAlignment="1" applyBorder="1" applyFill="1" applyFont="1" applyNumberFormat="1" borderId="3" fillId="27" fontId="5" numFmtId="3" xfId="0">
      <alignment horizontal="center"/>
    </xf>
    <xf applyAlignment="1" applyBorder="1" applyFill="1" applyFont="1" borderId="3" fillId="27" fontId="5" numFmtId="0" xfId="0">
      <alignment horizontal="center"/>
    </xf>
    <xf applyFill="1" applyFont="1" applyProtection="1" borderId="0" fillId="27" fontId="39" numFmtId="0" xfId="0"/>
    <xf applyAlignment="1" applyFill="1" applyFont="1" borderId="0" fillId="27" fontId="35" numFmtId="0" xfId="0">
      <alignment horizontal="right"/>
    </xf>
    <xf applyAlignment="1" applyBorder="1" applyFill="1" applyFont="1" applyNumberFormat="1" borderId="1" fillId="27" fontId="35" numFmtId="1" xfId="0">
      <alignment horizontal="left"/>
    </xf>
    <xf applyAlignment="1" applyBorder="1" applyFill="1" applyFont="1" applyNumberFormat="1" borderId="0" fillId="27" fontId="35" numFmtId="1" xfId="0">
      <alignment horizontal="right"/>
    </xf>
    <xf applyAlignment="1" applyBorder="1" applyFill="1" applyFont="1" borderId="71" fillId="27" fontId="97" numFmtId="0" xfId="0">
      <alignment horizontal="left"/>
    </xf>
    <xf applyAlignment="1" applyBorder="1" applyFill="1" applyFont="1" borderId="45" fillId="45" fontId="69" numFmtId="0" xfId="0">
      <alignment horizontal="center"/>
    </xf>
    <xf applyAlignment="1" applyBorder="1" applyFill="1" applyFont="1" borderId="45" fillId="46" fontId="69" numFmtId="0" xfId="0">
      <alignment horizontal="center"/>
    </xf>
    <xf applyBorder="1" applyFont="1" applyProtection="1" borderId="235" fillId="0" fontId="4" numFmtId="0" xfId="0">
      <protection locked="0"/>
    </xf>
    <xf applyBorder="1" applyFont="1" applyNumberFormat="1" borderId="233" fillId="0" fontId="4" numFmtId="1" xfId="0"/>
    <xf applyBorder="1" applyFill="1" applyFont="1" applyNumberFormat="1" applyProtection="1" borderId="184" fillId="25" fontId="4" numFmtId="2" xfId="0">
      <protection locked="0"/>
    </xf>
    <xf applyAlignment="1" applyBorder="1" applyFont="1" applyNumberFormat="1" applyProtection="1" borderId="233" fillId="0" fontId="4" numFmtId="182" xfId="0">
      <alignment horizontal="center"/>
      <protection locked="0"/>
    </xf>
    <xf applyAlignment="1" applyBorder="1" applyFill="1" applyFont="1" applyNumberFormat="1" applyProtection="1" borderId="233" fillId="10" fontId="4" numFmtId="182" xfId="0">
      <alignment horizontal="center"/>
    </xf>
    <xf applyAlignment="1" applyBorder="1" applyFill="1" applyFont="1" applyNumberFormat="1" applyProtection="1" borderId="233" fillId="0" fontId="4" numFmtId="182" xfId="0">
      <alignment horizontal="center"/>
    </xf>
    <xf applyAlignment="1" applyBorder="1" applyFill="1" applyFont="1" applyNumberFormat="1" applyProtection="1" borderId="233" fillId="0" fontId="8" numFmtId="182" xfId="0">
      <alignment horizontal="center"/>
    </xf>
    <xf applyAlignment="1" applyBorder="1" applyFill="1" applyFont="1" applyNumberFormat="1" applyProtection="1" borderId="233" fillId="10" fontId="8" numFmtId="182" xfId="0">
      <alignment horizontal="center"/>
    </xf>
    <xf applyAlignment="1" applyBorder="1" applyFill="1" applyFont="1" applyNumberFormat="1" applyProtection="1" borderId="233" fillId="0" fontId="4" numFmtId="182" xfId="0">
      <alignment horizontal="center"/>
      <protection locked="0"/>
    </xf>
    <xf applyAlignment="1" applyBorder="1" applyFont="1" borderId="233" fillId="0" fontId="4" numFmtId="0" xfId="0">
      <alignment horizontal="center"/>
    </xf>
    <xf applyAlignment="1" applyBorder="1" applyFont="1" applyNumberFormat="1" borderId="233" fillId="0" fontId="4" numFmtId="182" xfId="0">
      <alignment horizontal="center"/>
    </xf>
    <xf applyBorder="1" applyFill="1" applyFont="1" applyNumberFormat="1" borderId="233" fillId="30" fontId="8" numFmtId="182" xfId="0"/>
    <xf applyBorder="1" applyFont="1" applyProtection="1" borderId="233" fillId="0" fontId="4" numFmtId="0" xfId="0">
      <protection locked="0"/>
    </xf>
    <xf applyBorder="1" applyFill="1" applyFont="1" applyNumberFormat="1" borderId="233" fillId="10" fontId="4" numFmtId="182" xfId="0"/>
    <xf applyBorder="1" applyFill="1" applyFont="1" applyNumberFormat="1" borderId="233" fillId="0" fontId="8" numFmtId="182" xfId="0"/>
    <xf applyAlignment="1" applyBorder="1" applyFill="1" applyFont="1" applyNumberFormat="1" applyProtection="1" borderId="233" fillId="14" fontId="4" numFmtId="182" xfId="0">
      <alignment horizontal="center"/>
      <protection locked="0"/>
    </xf>
    <xf applyBorder="1" applyFont="1" applyNumberFormat="1" applyProtection="1" borderId="233" fillId="0" fontId="4" numFmtId="182" xfId="0">
      <protection locked="0"/>
    </xf>
    <xf applyBorder="1" applyFont="1" applyNumberFormat="1" applyProtection="1" borderId="233" fillId="0" fontId="4" numFmtId="0" xfId="0">
      <protection locked="0"/>
    </xf>
    <xf applyAlignment="1" applyBorder="1" applyFill="1" applyFont="1" applyNumberFormat="1" applyProtection="1" borderId="233" fillId="14" fontId="4" numFmtId="182" xfId="0"/>
    <xf applyBorder="1" applyFill="1" applyFont="1" applyNumberFormat="1" borderId="233" fillId="14" fontId="4" numFmtId="182" xfId="0"/>
    <xf applyBorder="1" applyFill="1" applyFont="1" applyNumberFormat="1" borderId="233" fillId="14" fontId="4" numFmtId="2" xfId="0"/>
    <xf applyBorder="1" applyFill="1" applyFont="1" applyNumberFormat="1" borderId="233" fillId="0" fontId="4" numFmtId="2" xfId="0"/>
    <xf applyBorder="1" applyFill="1" applyFont="1" applyNumberFormat="1" borderId="233" fillId="0" fontId="8" numFmtId="2" xfId="0"/>
    <xf applyBorder="1" applyFont="1" applyProtection="1" borderId="233" fillId="0" fontId="8" numFmtId="0" xfId="0">
      <protection locked="0"/>
    </xf>
    <xf applyBorder="1" applyFont="1" applyProtection="1" borderId="184" fillId="0" fontId="4" numFmtId="0" xfId="0">
      <protection locked="0"/>
    </xf>
    <xf applyAlignment="1" applyBorder="1" applyFill="1" applyFont="1" applyNumberFormat="1" applyProtection="1" borderId="198" fillId="27" fontId="8" numFmtId="170" xfId="1">
      <alignment horizontal="center"/>
      <protection locked="0"/>
    </xf>
    <xf applyBorder="1" applyFill="1" applyFont="1" applyProtection="1" borderId="191" fillId="27" fontId="4" numFmtId="0" xfId="0">
      <protection locked="0"/>
    </xf>
    <xf applyAlignment="1" applyBorder="1" applyFill="1" applyFont="1" applyProtection="1" borderId="198" fillId="40" fontId="8" numFmtId="170" xfId="1">
      <alignment horizontal="center"/>
      <protection locked="0"/>
    </xf>
    <xf applyAlignment="1" applyBorder="1" applyFill="1" applyFont="1" applyNumberFormat="1" applyProtection="1" borderId="198" fillId="40" fontId="8" numFmtId="189" xfId="1">
      <alignment horizontal="center"/>
      <protection locked="0"/>
    </xf>
    <xf applyBorder="1" applyFill="1" applyFont="1" applyProtection="1" borderId="16" fillId="27" fontId="4" numFmtId="0" xfId="0">
      <protection locked="0"/>
    </xf>
    <xf applyAlignment="1" applyBorder="1" applyFill="1" applyFont="1" borderId="197" fillId="14" fontId="4" numFmtId="0" xfId="0">
      <alignment vertical="center" wrapText="1"/>
    </xf>
    <xf applyAlignment="1" applyBorder="1" applyFill="1" applyFont="1" applyProtection="1" borderId="191" fillId="14" fontId="4" numFmtId="0" xfId="0">
      <alignment vertical="top" wrapText="1"/>
      <protection locked="0"/>
    </xf>
    <xf applyBorder="1" applyFill="1" applyFont="1" borderId="182" fillId="27" fontId="8" numFmtId="170" xfId="1"/>
    <xf applyBorder="1" applyFill="1" applyFont="1" applyNumberFormat="1" borderId="198" fillId="27" fontId="8" numFmtId="2" xfId="0"/>
    <xf applyAlignment="1" applyBorder="1" applyFill="1" applyFont="1" applyNumberFormat="1" borderId="102" fillId="27" fontId="39" numFmtId="4" xfId="0">
      <alignment horizontal="right"/>
    </xf>
    <xf applyBorder="1" applyFill="1" applyFont="1" applyNumberFormat="1" applyProtection="1" borderId="198" fillId="27" fontId="4" numFmtId="4" xfId="0">
      <protection locked="0"/>
    </xf>
    <xf applyBorder="1" applyFill="1" applyFont="1" applyNumberFormat="1" borderId="198" fillId="10" fontId="4" numFmtId="4" xfId="0"/>
    <xf applyBorder="1" applyFill="1" applyFont="1" applyNumberFormat="1" borderId="198" fillId="10" fontId="8" numFmtId="4" xfId="0"/>
    <xf applyBorder="1" applyFill="1" applyFont="1" applyNumberFormat="1" applyProtection="1" borderId="102" fillId="27" fontId="39" numFmtId="4" xfId="0"/>
    <xf applyAlignment="1" applyBorder="1" applyFill="1" applyFont="1" applyProtection="1" borderId="17" fillId="27" fontId="4" numFmtId="0" xfId="0">
      <alignment wrapText="1"/>
      <protection locked="0"/>
    </xf>
    <xf applyAlignment="1" applyBorder="1" applyFill="1" applyFont="1" applyProtection="1" borderId="16" fillId="27" fontId="4" numFmtId="0" xfId="0">
      <alignment wrapText="1"/>
      <protection locked="0"/>
    </xf>
    <xf applyAlignment="1" applyBorder="1" applyFill="1" applyFont="1" borderId="214" fillId="0" fontId="200" numFmtId="0" xfId="0">
      <alignment horizontal="right"/>
    </xf>
    <xf applyAlignment="1" applyBorder="1" applyFill="1" applyFont="1" applyNumberFormat="1" applyProtection="1" borderId="198" fillId="9" fontId="4" numFmtId="188" xfId="0">
      <protection locked="0"/>
    </xf>
    <xf applyAlignment="1" applyBorder="1" applyFill="1" applyFont="1" applyNumberFormat="1" applyProtection="1" borderId="182" fillId="9" fontId="4" numFmtId="182" xfId="0">
      <protection locked="0"/>
    </xf>
    <xf applyAlignment="1" applyBorder="1" applyFill="1" applyFont="1" applyNumberFormat="1" applyProtection="1" borderId="198" fillId="25" fontId="4" numFmtId="188" xfId="0">
      <protection locked="0"/>
    </xf>
    <xf applyAlignment="1" applyBorder="1" applyFill="1" applyFont="1" borderId="35" fillId="10" fontId="39" numFmtId="0" xfId="0">
      <alignment horizontal="center"/>
    </xf>
    <xf applyAlignment="1" applyBorder="1" applyFill="1" applyFont="1" borderId="37" fillId="10" fontId="4" numFmtId="0" xfId="0">
      <alignment horizontal="center"/>
    </xf>
    <xf applyBorder="1" applyFill="1" applyFont="1" borderId="233" fillId="15" fontId="4" numFmtId="0" xfId="0"/>
    <xf applyBorder="1" applyFill="1" applyFont="1" borderId="198" fillId="15" fontId="39" numFmtId="0" xfId="0"/>
    <xf applyBorder="1" applyFill="1" applyFont="1" borderId="233" fillId="15" fontId="39" numFmtId="0" xfId="0"/>
    <xf applyBorder="1" applyFill="1" applyFont="1" borderId="198" fillId="17" fontId="39" numFmtId="0" xfId="0"/>
    <xf applyBorder="1" applyFill="1" applyFont="1" borderId="233" fillId="17" fontId="39" numFmtId="0" xfId="0"/>
    <xf applyBorder="1" applyFill="1" applyFont="1" borderId="182" fillId="15" fontId="39" numFmtId="0" xfId="0"/>
    <xf applyBorder="1" applyFill="1" applyFont="1" borderId="184" fillId="15" fontId="39" numFmtId="0" xfId="0"/>
    <xf applyBorder="1" applyFont="1" borderId="57" fillId="0" fontId="39" numFmtId="0" xfId="0"/>
    <xf applyAlignment="1" applyBorder="1" applyFont="1" applyNumberFormat="1" applyProtection="1" borderId="233" fillId="0" fontId="4" numFmtId="1" xfId="0">
      <alignment horizontal="center" wrapText="1"/>
      <protection locked="0"/>
    </xf>
    <xf applyAlignment="1" applyBorder="1" applyFont="1" applyProtection="1" borderId="198" fillId="0" fontId="39" numFmtId="0" xfId="0">
      <alignment horizontal="center"/>
      <protection locked="0"/>
    </xf>
    <xf applyAlignment="1" applyBorder="1" applyFont="1" applyProtection="1" borderId="233" fillId="0" fontId="39" numFmtId="0" xfId="0">
      <alignment horizontal="center"/>
      <protection locked="0"/>
    </xf>
    <xf applyBorder="1" applyFill="1" applyFont="1" applyNumberFormat="1" applyProtection="1" borderId="198" fillId="10" fontId="39" numFmtId="0" xfId="0"/>
    <xf applyBorder="1" applyFill="1" applyFont="1" applyNumberFormat="1" applyProtection="1" borderId="198" fillId="40" fontId="39" numFmtId="0" xfId="0"/>
    <xf applyBorder="1" applyFill="1" applyFont="1" applyNumberFormat="1" applyProtection="1" borderId="233" fillId="10" fontId="39" numFmtId="0" xfId="0"/>
    <xf applyBorder="1" applyFill="1" applyFont="1" applyProtection="1" borderId="198" fillId="10" fontId="39" numFmtId="0" xfId="0"/>
    <xf applyBorder="1" applyFill="1" applyFont="1" applyProtection="1" borderId="198" fillId="40" fontId="39" numFmtId="0" xfId="0"/>
    <xf applyBorder="1" applyFill="1" applyFont="1" applyProtection="1" borderId="233" fillId="10" fontId="39" numFmtId="0" xfId="0"/>
    <xf applyAlignment="1" applyBorder="1" applyFill="1" applyFont="1" applyNumberFormat="1" applyProtection="1" borderId="198" fillId="0" fontId="39" numFmtId="0" xfId="0">
      <alignment horizontal="center"/>
    </xf>
    <xf applyAlignment="1" applyBorder="1" applyFill="1" applyFont="1" applyNumberFormat="1" applyProtection="1" borderId="198" fillId="40" fontId="39" numFmtId="0" xfId="0">
      <alignment horizontal="center"/>
    </xf>
    <xf applyAlignment="1" applyBorder="1" applyFill="1" applyFont="1" applyNumberFormat="1" applyProtection="1" borderId="233" fillId="0" fontId="39" numFmtId="0" xfId="0">
      <alignment horizontal="center"/>
    </xf>
    <xf applyBorder="1" applyFill="1" applyFont="1" applyNumberFormat="1" applyProtection="1" borderId="198" fillId="10" fontId="39" numFmtId="14" xfId="0"/>
    <xf applyBorder="1" applyFill="1" applyFont="1" applyNumberFormat="1" applyProtection="1" borderId="233" fillId="10" fontId="39" numFmtId="14" xfId="0"/>
    <xf applyAlignment="1" applyBorder="1" applyFont="1" applyNumberFormat="1" applyProtection="1" borderId="198" fillId="0" fontId="39" numFmtId="2" xfId="0">
      <alignment horizontal="right"/>
      <protection locked="0"/>
    </xf>
    <xf applyAlignment="1" applyBorder="1" applyFill="1" applyFont="1" applyNumberFormat="1" applyProtection="1" borderId="198" fillId="16" fontId="39" numFmtId="2" xfId="0">
      <alignment horizontal="right"/>
      <protection locked="0"/>
    </xf>
    <xf applyAlignment="1" applyBorder="1" applyFill="1" applyFont="1" applyNumberFormat="1" applyProtection="1" borderId="198" fillId="40" fontId="39" numFmtId="2" xfId="0">
      <alignment horizontal="right"/>
      <protection locked="0"/>
    </xf>
    <xf applyAlignment="1" applyBorder="1" applyFont="1" applyNumberFormat="1" applyProtection="1" borderId="233" fillId="0" fontId="39" numFmtId="2" xfId="0">
      <alignment horizontal="right"/>
      <protection locked="0"/>
    </xf>
    <xf applyAlignment="1" applyBorder="1" applyFont="1" applyNumberFormat="1" applyProtection="1" borderId="198" fillId="0" fontId="39" numFmtId="180" xfId="0">
      <alignment horizontal="right"/>
      <protection locked="0"/>
    </xf>
    <xf applyAlignment="1" applyBorder="1" applyFill="1" applyFont="1" applyNumberFormat="1" applyProtection="1" borderId="198" fillId="16" fontId="39" numFmtId="180" xfId="0">
      <alignment horizontal="right"/>
      <protection locked="0"/>
    </xf>
    <xf applyAlignment="1" applyBorder="1" applyFont="1" applyNumberFormat="1" applyProtection="1" borderId="233" fillId="0" fontId="39" numFmtId="180" xfId="0">
      <alignment horizontal="right"/>
      <protection locked="0"/>
    </xf>
    <xf applyAlignment="1" applyBorder="1" applyFont="1" applyNumberFormat="1" applyProtection="1" borderId="198" fillId="0" fontId="39" numFmtId="182" xfId="0">
      <alignment horizontal="right"/>
      <protection locked="0"/>
    </xf>
    <xf applyAlignment="1" applyBorder="1" applyFill="1" applyFont="1" applyNumberFormat="1" applyProtection="1" borderId="198" fillId="16" fontId="39" numFmtId="182" xfId="0">
      <alignment horizontal="right"/>
      <protection locked="0"/>
    </xf>
    <xf applyAlignment="1" applyBorder="1" applyFill="1" applyFont="1" applyNumberFormat="1" applyProtection="1" borderId="198" fillId="40" fontId="39" numFmtId="182" xfId="0">
      <alignment horizontal="right"/>
      <protection locked="0"/>
    </xf>
    <xf applyAlignment="1" applyBorder="1" applyFont="1" applyNumberFormat="1" applyProtection="1" borderId="233" fillId="0" fontId="39" numFmtId="182" xfId="0">
      <alignment horizontal="right"/>
      <protection locked="0"/>
    </xf>
    <xf applyAlignment="1" applyBorder="1" applyFill="1" applyFont="1" applyNumberFormat="1" applyProtection="1" borderId="198" fillId="40" fontId="8" numFmtId="182" xfId="0">
      <alignment horizontal="right"/>
      <protection locked="0"/>
    </xf>
    <xf applyAlignment="1" applyBorder="1" applyFont="1" applyNumberFormat="1" applyProtection="1" borderId="233" fillId="0" fontId="8" numFmtId="182" xfId="0">
      <alignment horizontal="right"/>
      <protection locked="0"/>
    </xf>
    <xf applyAlignment="1" applyBorder="1" applyFill="1" applyFont="1" applyNumberFormat="1" applyProtection="1" borderId="198" fillId="10" fontId="39" numFmtId="182" xfId="0">
      <alignment horizontal="right"/>
    </xf>
    <xf applyAlignment="1" applyBorder="1" applyFill="1" applyFont="1" applyNumberFormat="1" applyProtection="1" borderId="198" fillId="40" fontId="39" numFmtId="182" xfId="0">
      <alignment horizontal="right"/>
    </xf>
    <xf applyAlignment="1" applyBorder="1" applyFill="1" applyFont="1" applyNumberFormat="1" applyProtection="1" borderId="233" fillId="10" fontId="39" numFmtId="182" xfId="0">
      <alignment horizontal="right"/>
    </xf>
    <xf applyAlignment="1" applyBorder="1" applyFill="1" applyFont="1" applyNumberFormat="1" applyProtection="1" borderId="198" fillId="40" fontId="8" numFmtId="182" xfId="0">
      <alignment horizontal="right"/>
    </xf>
    <xf applyAlignment="1" applyBorder="1" applyFill="1" applyFont="1" applyNumberFormat="1" applyProtection="1" borderId="233" fillId="10" fontId="8" numFmtId="182" xfId="0">
      <alignment horizontal="right"/>
    </xf>
    <xf applyAlignment="1" applyBorder="1" applyFill="1" applyFont="1" applyNumberFormat="1" applyProtection="1" borderId="198" fillId="40" fontId="8" numFmtId="182" xfId="0">
      <alignment horizontal="center"/>
    </xf>
    <xf applyAlignment="1" applyBorder="1" applyFill="1" applyFont="1" applyNumberFormat="1" applyProtection="1" borderId="233" fillId="17" fontId="8" numFmtId="182" xfId="0">
      <alignment horizontal="center"/>
    </xf>
    <xf applyAlignment="1" applyBorder="1" applyFill="1" applyFont="1" applyNumberFormat="1" applyProtection="1" borderId="198" fillId="0" fontId="39" numFmtId="182" xfId="0">
      <alignment horizontal="right"/>
      <protection locked="0"/>
    </xf>
    <xf applyAlignment="1" applyBorder="1" applyFill="1" applyFont="1" applyNumberFormat="1" applyProtection="1" borderId="233" fillId="0" fontId="39" numFmtId="182" xfId="0">
      <alignment horizontal="right"/>
      <protection locked="0"/>
    </xf>
    <xf applyAlignment="1" applyBorder="1" applyFill="1" applyFont="1" applyNumberFormat="1" applyProtection="1" borderId="198" fillId="0" fontId="39" numFmtId="182" xfId="0">
      <alignment horizontal="right"/>
    </xf>
    <xf applyAlignment="1" applyBorder="1" applyFill="1" applyFont="1" applyNumberFormat="1" applyProtection="1" borderId="198" fillId="16" fontId="39" numFmtId="182" xfId="0">
      <alignment horizontal="right"/>
    </xf>
    <xf applyAlignment="1" applyBorder="1" applyFill="1" applyFont="1" applyNumberFormat="1" applyProtection="1" borderId="233" fillId="0" fontId="39" numFmtId="182" xfId="0">
      <alignment horizontal="right"/>
    </xf>
    <xf applyBorder="1" applyFont="1" applyNumberFormat="1" applyProtection="1" borderId="198" fillId="0" fontId="39" numFmtId="181" xfId="0">
      <protection locked="0"/>
    </xf>
    <xf applyBorder="1" applyFill="1" applyFont="1" applyNumberFormat="1" applyProtection="1" borderId="198" fillId="16" fontId="39" numFmtId="181" xfId="0">
      <protection locked="0"/>
    </xf>
    <xf applyBorder="1" applyFill="1" applyFont="1" applyNumberFormat="1" applyProtection="1" borderId="198" fillId="40" fontId="39" numFmtId="181" xfId="0">
      <protection locked="0"/>
    </xf>
    <xf applyBorder="1" applyFont="1" applyNumberFormat="1" applyProtection="1" borderId="233" fillId="0" fontId="39" numFmtId="181" xfId="0">
      <protection locked="0"/>
    </xf>
    <xf applyBorder="1" applyFill="1" applyFont="1" applyNumberFormat="1" applyProtection="1" borderId="198" fillId="10" fontId="39" numFmtId="182" xfId="0"/>
    <xf applyBorder="1" applyFill="1" applyFont="1" applyNumberFormat="1" applyProtection="1" borderId="198" fillId="40" fontId="39" numFmtId="182" xfId="0"/>
    <xf applyBorder="1" applyFill="1" applyFont="1" applyNumberFormat="1" applyProtection="1" borderId="233" fillId="10" fontId="39" numFmtId="182" xfId="0"/>
    <xf applyBorder="1" applyFont="1" applyNumberFormat="1" applyProtection="1" borderId="198" fillId="0" fontId="39" numFmtId="182" xfId="0">
      <protection locked="0"/>
    </xf>
    <xf applyBorder="1" applyFill="1" applyFont="1" applyNumberFormat="1" applyProtection="1" borderId="198" fillId="16" fontId="39" numFmtId="182" xfId="0">
      <protection locked="0"/>
    </xf>
    <xf applyBorder="1" applyFill="1" applyFont="1" applyNumberFormat="1" applyProtection="1" borderId="198" fillId="40" fontId="39" numFmtId="182" xfId="0">
      <protection locked="0"/>
    </xf>
    <xf applyBorder="1" applyFont="1" applyNumberFormat="1" applyProtection="1" borderId="233" fillId="0" fontId="39" numFmtId="182" xfId="0">
      <protection locked="0"/>
    </xf>
    <xf applyBorder="1" applyFill="1" applyFont="1" applyNumberFormat="1" applyProtection="1" borderId="198" fillId="40" fontId="8" numFmtId="182" xfId="0"/>
    <xf applyBorder="1" applyFill="1" applyFont="1" applyNumberFormat="1" applyProtection="1" borderId="233" fillId="0" fontId="8" numFmtId="182" xfId="0"/>
    <xf applyBorder="1" applyFill="1" applyFont="1" applyNumberFormat="1" applyProtection="1" borderId="198" fillId="0" fontId="39" numFmtId="182" xfId="0">
      <protection locked="0"/>
    </xf>
    <xf applyBorder="1" applyFill="1" applyFont="1" applyNumberFormat="1" applyProtection="1" borderId="233" fillId="0" fontId="39" numFmtId="182" xfId="0">
      <protection locked="0"/>
    </xf>
    <xf applyBorder="1" applyFill="1" applyFont="1" applyNumberFormat="1" applyProtection="1" borderId="233" fillId="10" fontId="8" numFmtId="182" xfId="0"/>
    <xf applyBorder="1" applyFill="1" applyFont="1" applyNumberFormat="1" applyProtection="1" borderId="198" fillId="16" fontId="8" numFmtId="182" xfId="0">
      <protection locked="0"/>
    </xf>
    <xf applyBorder="1" applyFill="1" applyFont="1" applyNumberFormat="1" applyProtection="1" borderId="198" fillId="40" fontId="8" numFmtId="182" xfId="0">
      <protection locked="0"/>
    </xf>
    <xf applyBorder="1" applyFont="1" applyNumberFormat="1" applyProtection="1" borderId="233" fillId="0" fontId="8" numFmtId="182" xfId="0">
      <protection locked="0"/>
    </xf>
    <xf applyAlignment="1" applyBorder="1" applyFill="1" applyFont="1" borderId="0" fillId="0" fontId="4" numFmtId="0" xfId="0"/>
    <xf applyAlignment="1" applyBorder="1" applyFill="1" applyFont="1" borderId="0" fillId="0" fontId="4" numFmtId="0" xfId="0">
      <alignment horizontal="left"/>
    </xf>
    <xf applyFill="1" applyFont="1" borderId="0" fillId="0" fontId="4" numFmtId="0" xfId="0"/>
    <xf applyAlignment="1" applyBorder="1" applyFill="1" applyFont="1" borderId="0" fillId="35" fontId="4" numFmtId="0" xfId="0"/>
    <xf applyBorder="1" applyFill="1" applyFont="1" applyNumberFormat="1" borderId="1" fillId="27" fontId="90" numFmtId="2" xfId="0"/>
    <xf applyBorder="1" applyFill="1" applyFont="1" applyNumberFormat="1" borderId="1" fillId="27" fontId="90" numFmtId="4" xfId="0"/>
    <xf applyFill="1" applyFont="1" borderId="0" fillId="0" fontId="4" numFmtId="0" xfId="0"/>
    <xf applyFill="1" applyFont="1" borderId="0" fillId="0" fontId="4" numFmtId="0" xfId="0"/>
    <xf applyFill="1" applyFont="1" applyNumberFormat="1" borderId="0" fillId="27" fontId="113" numFmtId="1" xfId="0"/>
    <xf applyAlignment="1" applyBorder="1" applyFill="1" applyFont="1" applyNumberFormat="1" borderId="0" fillId="27" fontId="113" numFmtId="1" xfId="0">
      <alignment horizontal="right"/>
    </xf>
    <xf applyBorder="1" applyFill="1" applyFont="1" borderId="102" fillId="27" fontId="115" numFmtId="0" xfId="0"/>
    <xf applyBorder="1" applyFill="1" applyFont="1" borderId="102" fillId="27" fontId="184" numFmtId="0" xfId="0"/>
    <xf applyBorder="1" applyFill="1" applyFont="1" applyNumberFormat="1" borderId="102" fillId="27" fontId="90" numFmtId="2" xfId="0"/>
    <xf applyAlignment="1" applyBorder="1" applyFill="1" applyFont="1" borderId="221" fillId="27" fontId="108" numFmtId="0" xfId="0">
      <alignment horizontal="right"/>
    </xf>
    <xf applyAlignment="1" applyBorder="1" applyFill="1" applyFont="1" applyNumberFormat="1" borderId="187" fillId="27" fontId="89" numFmtId="178" xfId="0">
      <alignment horizontal="right"/>
    </xf>
    <xf applyAlignment="1" applyBorder="1" applyFill="1" applyFont="1" borderId="13" fillId="27" fontId="108" numFmtId="0" xfId="0">
      <alignment horizontal="right"/>
    </xf>
    <xf applyAlignment="1" applyBorder="1" applyFill="1" applyFont="1" applyNumberFormat="1" borderId="14" fillId="27" fontId="89" numFmtId="178" xfId="0">
      <alignment horizontal="right"/>
    </xf>
    <xf applyAlignment="1" applyBorder="1" applyFill="1" applyFont="1" borderId="102" fillId="27" fontId="193" numFmtId="0" xfId="0">
      <alignment horizontal="right"/>
    </xf>
    <xf applyFill="1" applyFont="1" borderId="0" fillId="27" fontId="115" numFmtId="0" xfId="0"/>
    <xf applyAlignment="1" applyBorder="1" applyFill="1" applyFont="1" borderId="13" fillId="27" fontId="89" numFmtId="0" xfId="0"/>
    <xf applyAlignment="1" applyBorder="1" applyFill="1" applyFont="1" borderId="2" fillId="27" fontId="193" numFmtId="0" xfId="0">
      <alignment horizontal="right"/>
    </xf>
    <xf applyAlignment="1" applyBorder="1" applyFill="1" applyFont="1" borderId="3" fillId="27" fontId="193" numFmtId="0" xfId="0">
      <alignment horizontal="right"/>
    </xf>
    <xf applyAlignment="1" applyBorder="1" applyFill="1" applyFont="1" borderId="15" fillId="27" fontId="106" numFmtId="0" xfId="0"/>
    <xf applyAlignment="1" applyBorder="1" applyFill="1" applyFont="1" borderId="13" fillId="27" fontId="106" numFmtId="0" xfId="0"/>
    <xf applyBorder="1" applyFill="1" applyFont="1" applyProtection="1" borderId="198" fillId="27" fontId="4" numFmtId="170" xfId="1">
      <protection locked="0"/>
    </xf>
    <xf applyBorder="1" applyFill="1" applyFont="1" applyProtection="1" borderId="198" fillId="27" fontId="8" numFmtId="0" xfId="0">
      <protection locked="0"/>
    </xf>
    <xf applyBorder="1" applyFill="1" applyFont="1" applyNumberFormat="1" applyProtection="1" borderId="198" fillId="27" fontId="8" numFmtId="1" xfId="0">
      <protection locked="0"/>
    </xf>
    <xf applyBorder="1" applyFill="1" applyFont="1" applyProtection="1" borderId="197" fillId="27" fontId="4" numFmtId="170" xfId="1">
      <protection locked="0"/>
    </xf>
    <xf applyAlignment="1" applyBorder="1" applyFill="1" applyFont="1" applyNumberFormat="1" applyProtection="1" borderId="198" fillId="27" fontId="4" numFmtId="182" xfId="0">
      <alignment horizontal="right"/>
      <protection locked="0"/>
    </xf>
    <xf applyBorder="1" applyFill="1" applyFont="1" borderId="197" fillId="17" fontId="8" numFmtId="170" xfId="1"/>
    <xf applyBorder="1" applyFill="1" applyFont="1" applyNumberFormat="1" borderId="197" fillId="17" fontId="39" numFmtId="2" xfId="0"/>
    <xf applyBorder="1" applyFont="1" applyProtection="1" borderId="225" fillId="0" fontId="4" numFmtId="0" xfId="0">
      <protection locked="0"/>
    </xf>
    <xf applyBorder="1" applyFill="1" applyFont="1" applyProtection="1" borderId="96" fillId="25" fontId="4" numFmtId="0" xfId="0">
      <protection locked="0"/>
    </xf>
    <xf applyBorder="1" applyFont="1" applyNumberFormat="1" borderId="197" fillId="0" fontId="4" numFmtId="1" xfId="0"/>
    <xf applyBorder="1" applyFill="1" applyFont="1" applyProtection="1" borderId="197" fillId="25" fontId="4" numFmtId="0" xfId="0">
      <protection locked="0"/>
    </xf>
    <xf applyBorder="1" applyFill="1" applyFont="1" applyNumberFormat="1" applyProtection="1" borderId="181" fillId="25" fontId="4" numFmtId="2" xfId="0">
      <protection locked="0"/>
    </xf>
    <xf applyBorder="1" applyFont="1" applyNumberFormat="1" applyProtection="1" borderId="67" fillId="0" fontId="4" numFmtId="2" xfId="0">
      <protection locked="0"/>
    </xf>
    <xf applyAlignment="1" applyBorder="1" applyFill="1" applyFont="1" applyProtection="1" borderId="197" fillId="27" fontId="39" numFmtId="0" xfId="0">
      <alignment horizontal="center"/>
      <protection locked="0"/>
    </xf>
    <xf applyAlignment="1" applyBorder="1" applyFill="1" applyFont="1" applyNumberFormat="1" applyProtection="1" borderId="197" fillId="27" fontId="39" numFmtId="172" xfId="1">
      <alignment horizontal="center"/>
      <protection locked="0"/>
    </xf>
    <xf applyAlignment="1" applyBorder="1" applyFill="1" applyFont="1" applyNumberFormat="1" applyProtection="1" borderId="197" fillId="27" fontId="4" numFmtId="1" xfId="1">
      <alignment horizontal="center"/>
      <protection locked="0"/>
    </xf>
    <xf applyAlignment="1" applyBorder="1" applyFill="1" borderId="198" fillId="27" fontId="0" numFmtId="0" xfId="0">
      <alignment horizontal="center" vertical="center"/>
    </xf>
    <xf applyAlignment="1" applyBorder="1" applyFill="1" applyFont="1" borderId="198" fillId="27" fontId="1" numFmtId="0" xfId="0">
      <alignment horizontal="center" vertical="center"/>
    </xf>
    <xf applyBorder="1" applyFill="1" applyFont="1" applyNumberFormat="1" applyProtection="1" borderId="198" fillId="27" fontId="39" numFmtId="0" xfId="0"/>
    <xf applyBorder="1" applyFill="1" applyFont="1" applyProtection="1" borderId="198" fillId="27" fontId="39" numFmtId="0" xfId="0"/>
    <xf applyAlignment="1" applyBorder="1" applyFill="1" applyFont="1" applyNumberFormat="1" applyProtection="1" borderId="198" fillId="27" fontId="39" numFmtId="0" xfId="0">
      <alignment horizontal="center"/>
    </xf>
    <xf applyAlignment="1" applyBorder="1" applyFill="1" applyNumberFormat="1" borderId="198" fillId="27" fontId="0" numFmtId="14" xfId="0">
      <alignment horizontal="center" vertical="center"/>
    </xf>
    <xf applyAlignment="1" applyBorder="1" applyFill="1" applyFont="1" applyNumberFormat="1" applyProtection="1" borderId="198" fillId="27" fontId="39" numFmtId="2" xfId="0">
      <alignment horizontal="right"/>
      <protection locked="0"/>
    </xf>
    <xf applyAlignment="1" applyBorder="1" applyFill="1" applyFont="1" applyNumberFormat="1" applyProtection="1" borderId="198" fillId="27" fontId="39" numFmtId="182" xfId="0">
      <alignment horizontal="right"/>
      <protection locked="0"/>
    </xf>
    <xf applyAlignment="1" applyBorder="1" applyFill="1" applyFont="1" applyNumberFormat="1" applyProtection="1" borderId="198" fillId="27" fontId="8" numFmtId="182" xfId="0">
      <alignment horizontal="right"/>
      <protection locked="0"/>
    </xf>
    <xf applyAlignment="1" applyBorder="1" applyFill="1" applyFont="1" applyNumberFormat="1" applyProtection="1" borderId="198" fillId="27" fontId="39" numFmtId="182" xfId="0">
      <alignment horizontal="right"/>
    </xf>
    <xf applyAlignment="1" applyBorder="1" applyFill="1" applyFont="1" applyNumberFormat="1" applyProtection="1" borderId="198" fillId="27" fontId="8" numFmtId="182" xfId="0">
      <alignment horizontal="right"/>
    </xf>
    <xf applyAlignment="1" applyBorder="1" applyFill="1" applyFont="1" applyNumberFormat="1" applyProtection="1" borderId="198" fillId="27" fontId="8" numFmtId="182" xfId="0">
      <alignment horizontal="center"/>
    </xf>
    <xf applyBorder="1" applyFill="1" applyFont="1" applyNumberFormat="1" applyProtection="1" borderId="198" fillId="27" fontId="39" numFmtId="181" xfId="0">
      <protection locked="0"/>
    </xf>
    <xf applyBorder="1" applyFill="1" applyFont="1" applyNumberFormat="1" applyProtection="1" borderId="198" fillId="27" fontId="39" numFmtId="182" xfId="0">
      <protection locked="0"/>
    </xf>
    <xf applyBorder="1" applyFill="1" applyFont="1" applyNumberFormat="1" applyProtection="1" borderId="198" fillId="27" fontId="8" numFmtId="182" xfId="0"/>
    <xf applyBorder="1" applyFill="1" applyFont="1" applyNumberFormat="1" applyProtection="1" borderId="198" fillId="27" fontId="8" numFmtId="182" xfId="0">
      <protection locked="0"/>
    </xf>
    <xf applyBorder="1" applyFill="1" applyFont="1" applyNumberFormat="1" applyProtection="1" borderId="182" fillId="27" fontId="39" numFmtId="182" xfId="0"/>
    <xf applyAlignment="1" applyBorder="1" applyFill="1" applyFont="1" applyNumberFormat="1" applyProtection="1" borderId="198" fillId="27" fontId="4" numFmtId="182" xfId="0">
      <alignment horizontal="right"/>
    </xf>
    <xf applyAlignment="1" applyBorder="1" applyFill="1" applyFont="1" applyProtection="1" borderId="197" fillId="27" fontId="8" numFmtId="170" xfId="1">
      <protection locked="0"/>
    </xf>
    <xf applyAlignment="1" applyBorder="1" applyFill="1" applyFont="1" borderId="181" fillId="27" fontId="4" numFmtId="0" xfId="0">
      <alignment horizontal="center"/>
    </xf>
    <xf applyAlignment="1" applyBorder="1" applyFill="1" applyFont="1" applyNumberFormat="1" applyProtection="1" borderId="197" fillId="27" fontId="4" numFmtId="4" xfId="1">
      <alignment horizontal="right"/>
      <protection locked="0"/>
    </xf>
    <xf applyAlignment="1" applyBorder="1" applyFill="1" applyFont="1" applyNumberFormat="1" borderId="197" fillId="27" fontId="4" numFmtId="4" xfId="1">
      <alignment horizontal="right"/>
    </xf>
    <xf applyAlignment="1" applyBorder="1" applyFill="1" applyFont="1" applyProtection="1" borderId="197" fillId="27" fontId="4" numFmtId="0" xfId="0">
      <alignment horizontal="right"/>
      <protection locked="0"/>
    </xf>
    <xf applyBorder="1" applyFill="1" applyFont="1" applyProtection="1" borderId="197" fillId="27" fontId="8" numFmtId="0" xfId="0">
      <protection locked="0"/>
    </xf>
    <xf applyAlignment="1" applyBorder="1" applyFill="1" applyFont="1" applyProtection="1" borderId="197" fillId="27" fontId="4" numFmtId="0" xfId="0">
      <alignment horizontal="center" wrapText="1"/>
      <protection locked="0"/>
    </xf>
    <xf applyBorder="1" applyFont="1" applyNumberFormat="1" applyProtection="1" borderId="238" fillId="0" fontId="4" numFmtId="49" xfId="0"/>
    <xf applyAlignment="1" applyBorder="1" applyFill="1" borderId="198" fillId="27" fontId="0" numFmtId="0" xfId="0">
      <alignment horizontal="center"/>
    </xf>
    <xf applyAlignment="1" applyBorder="1" applyFill="1" applyFont="1" applyNumberFormat="1" applyProtection="1" borderId="197" fillId="27" fontId="8" numFmtId="182" xfId="0">
      <alignment horizontal="center"/>
    </xf>
    <xf applyAlignment="1" applyBorder="1" applyFill="1" applyFont="1" applyNumberFormat="1" applyProtection="1" borderId="198" fillId="27" fontId="4" numFmtId="181" xfId="0">
      <alignment horizontal="center"/>
    </xf>
    <xf applyBorder="1" applyFill="1" applyFont="1" applyNumberFormat="1" applyProtection="1" borderId="198" fillId="27" fontId="4" numFmtId="181" xfId="0">
      <protection locked="0"/>
    </xf>
    <xf applyAlignment="1" applyBorder="1" applyFill="1" applyFont="1" borderId="198" fillId="27" fontId="4" numFmtId="0" xfId="0">
      <alignment horizontal="center"/>
    </xf>
    <xf applyAlignment="1" applyBorder="1" applyFill="1" applyFont="1" applyNumberFormat="1" applyProtection="1" borderId="198" fillId="27" fontId="8" numFmtId="1" xfId="0">
      <alignment horizontal="center"/>
    </xf>
    <xf applyAlignment="1" applyBorder="1" applyFill="1" applyFont="1" borderId="0" fillId="35" fontId="4" numFmtId="0" xfId="0"/>
    <xf applyAlignment="1" applyBorder="1" applyFill="1" applyFont="1" borderId="0" fillId="38" fontId="112" numFmtId="0" xfId="0"/>
    <xf applyAlignment="1" applyBorder="1" applyFill="1" applyFont="1" borderId="0" fillId="35" fontId="112" numFmtId="0" xfId="0"/>
    <xf applyAlignment="1" applyBorder="1" applyFill="1" applyFont="1" borderId="0" fillId="27" fontId="112" numFmtId="0" xfId="0"/>
    <xf applyAlignment="1" applyFill="1" applyFont="1" borderId="0" fillId="27" fontId="112" numFmtId="0" xfId="0">
      <alignment horizontal="left"/>
    </xf>
    <xf applyAlignment="1" applyBorder="1" applyFill="1" applyFont="1" applyProtection="1" borderId="16" fillId="27" fontId="4" numFmtId="0" xfId="0">
      <alignment horizontal="left" vertical="top" wrapText="1"/>
      <protection locked="0"/>
    </xf>
    <xf applyAlignment="1" applyBorder="1" applyFill="1" applyFont="1" applyProtection="1" borderId="1" fillId="27" fontId="4" numFmtId="0" xfId="0">
      <alignment horizontal="left" vertical="top" wrapText="1"/>
      <protection locked="0"/>
    </xf>
    <xf applyAlignment="1" applyBorder="1" applyFill="1" applyFont="1" applyProtection="1" borderId="17" fillId="27" fontId="4" numFmtId="0" xfId="0">
      <alignment horizontal="left" vertical="top" wrapText="1"/>
      <protection locked="0"/>
    </xf>
    <xf applyAlignment="1" applyBorder="1" applyFill="1" applyFont="1" applyProtection="1" borderId="197" fillId="27" fontId="4" numFmtId="0" xfId="0">
      <alignment horizontal="left" vertical="top" wrapText="1"/>
      <protection locked="0"/>
    </xf>
    <xf applyAlignment="1" applyBorder="1" applyFill="1" applyFont="1" applyNumberFormat="1" applyProtection="1" borderId="17" fillId="27" fontId="4" numFmtId="165" xfId="0">
      <alignment horizontal="left" vertical="top" wrapText="1"/>
      <protection locked="0"/>
    </xf>
    <xf applyAlignment="1" applyBorder="1" applyFill="1" applyFont="1" applyProtection="1" borderId="17" fillId="14" fontId="4" numFmtId="0" xfId="0">
      <alignment horizontal="left" vertical="top" wrapText="1"/>
      <protection locked="0"/>
    </xf>
    <xf applyAlignment="1" applyBorder="1" applyFill="1" applyFont="1" applyNumberFormat="1" applyProtection="1" borderId="198" fillId="14" fontId="4" numFmtId="4" xfId="0">
      <alignment horizontal="left" vertical="top"/>
      <protection locked="0"/>
    </xf>
    <xf applyAlignment="1" applyBorder="1" applyFill="1" applyFont="1" borderId="77" fillId="0" fontId="6" numFmtId="0" xfId="0">
      <alignment vertical="top" wrapText="1"/>
    </xf>
    <xf applyAlignment="1" applyBorder="1" applyFill="1" applyFont="1" borderId="198" fillId="24" fontId="5" numFmtId="0" xfId="0">
      <alignment vertical="top" wrapText="1"/>
    </xf>
    <xf applyAlignment="1" applyBorder="1" applyFill="1" applyFont="1" borderId="198" fillId="27" fontId="5" numFmtId="0" xfId="0">
      <alignment vertical="top" wrapText="1"/>
    </xf>
    <xf applyAlignment="1" applyBorder="1" applyFill="1" applyFont="1" borderId="198" fillId="45" fontId="5" numFmtId="0" xfId="0">
      <alignment vertical="top" wrapText="1"/>
    </xf>
    <xf applyAlignment="1" applyBorder="1" applyFill="1" applyFont="1" borderId="198" fillId="46" fontId="5" numFmtId="0" xfId="0">
      <alignment vertical="top" wrapText="1"/>
    </xf>
    <xf applyAlignment="1" applyBorder="1" applyFill="1" applyFont="1" applyNumberFormat="1" applyProtection="1" borderId="197" fillId="23" fontId="201" numFmtId="4" xfId="0">
      <alignment horizontal="right"/>
      <protection locked="0"/>
    </xf>
    <xf applyAlignment="1" applyBorder="1" applyFill="1" applyFont="1" borderId="198" fillId="24" fontId="202" numFmtId="0" xfId="0">
      <alignment vertical="top" wrapText="1"/>
    </xf>
    <xf applyAlignment="1" applyBorder="1" applyFill="1" applyFont="1" borderId="198" fillId="0" fontId="115" numFmtId="0" xfId="0">
      <alignment vertical="top" wrapText="1"/>
    </xf>
    <xf applyAlignment="1" applyBorder="1" applyFill="1" applyFont="1" applyNumberFormat="1" applyProtection="1" borderId="197" fillId="27" fontId="4" numFmtId="2" xfId="0">
      <alignment horizontal="center"/>
      <protection locked="0"/>
    </xf>
    <xf applyAlignment="1" applyBorder="1" applyFill="1" applyFont="1" applyNumberFormat="1" borderId="197" fillId="27" fontId="8" numFmtId="181" xfId="0">
      <alignment horizontal="center"/>
    </xf>
    <xf applyAlignment="1" applyBorder="1" applyFill="1" applyFont="1" applyNumberFormat="1" applyProtection="1" borderId="197" fillId="27" fontId="8" numFmtId="2" xfId="0">
      <alignment horizontal="center"/>
      <protection locked="0"/>
    </xf>
    <xf applyAlignment="1" applyBorder="1" applyFill="1" applyFont="1" applyNumberFormat="1" applyProtection="1" borderId="197" fillId="27" fontId="8" numFmtId="181" xfId="0">
      <alignment horizontal="center"/>
      <protection locked="0"/>
    </xf>
    <xf applyAlignment="1" applyBorder="1" applyFill="1" applyFont="1" applyProtection="1" borderId="181" fillId="27" fontId="4" numFmtId="0" xfId="0">
      <alignment horizontal="center"/>
      <protection locked="0"/>
    </xf>
    <xf applyAlignment="1" applyBorder="1" applyFill="1" applyFont="1" borderId="198" fillId="0" fontId="164" numFmtId="0" xfId="0">
      <alignment vertical="top" wrapText="1"/>
    </xf>
    <xf applyAlignment="1" applyBorder="1" applyFill="1" applyFont="1" borderId="198" fillId="45" fontId="164" numFmtId="0" xfId="0">
      <alignment vertical="top" wrapText="1"/>
    </xf>
    <xf applyAlignment="1" applyBorder="1" applyFont="1" borderId="198" fillId="0" fontId="5" numFmtId="0" xfId="0">
      <alignment horizontal="left" vertical="top" wrapText="1"/>
    </xf>
    <xf applyAlignment="1" applyBorder="1" applyFill="1" applyFont="1" borderId="185" fillId="27" fontId="106" numFmtId="0" xfId="0"/>
    <xf applyAlignment="1" applyBorder="1" applyFill="1" applyFont="1" borderId="186" fillId="27" fontId="106" numFmtId="0" xfId="0"/>
    <xf applyAlignment="1" applyBorder="1" applyFill="1" applyFont="1" borderId="102" fillId="27" fontId="192" numFmtId="0" xfId="0">
      <alignment horizontal="right"/>
    </xf>
    <xf applyFill="1" applyFont="1" borderId="0" fillId="27" fontId="5" numFmtId="0" xfId="0"/>
    <xf applyAlignment="1" applyBorder="1" applyFill="1" applyFont="1" applyNumberFormat="1" borderId="0" fillId="27" fontId="4" numFmtId="173" xfId="1"/>
    <xf applyAlignment="1" applyBorder="1" applyFill="1" applyFont="1" borderId="71" fillId="27" fontId="193" numFmtId="0" xfId="0">
      <alignment horizontal="right"/>
    </xf>
    <xf applyAlignment="1" applyBorder="1" applyFill="1" applyFont="1" borderId="186" fillId="27" fontId="89" numFmtId="0" xfId="0"/>
    <xf applyAlignment="1" applyBorder="1" applyFill="1" applyFont="1" borderId="59" fillId="27" fontId="89" numFmtId="0" xfId="0"/>
    <xf applyAlignment="1" applyBorder="1" applyFill="1" applyFont="1" borderId="59" fillId="27" fontId="108" numFmtId="0" xfId="0"/>
    <xf applyAlignment="1" applyBorder="1" applyFill="1" applyFont="1" borderId="198" fillId="0" fontId="1" numFmtId="0" xfId="0">
      <alignment wrapText="1"/>
    </xf>
    <xf applyBorder="1" applyFill="1" applyFont="1" applyProtection="1" borderId="238" fillId="40" fontId="4" numFmtId="0" xfId="0">
      <protection locked="0"/>
    </xf>
    <xf applyBorder="1" applyFill="1" applyFont="1" applyProtection="1" borderId="238" fillId="0" fontId="4" numFmtId="0" xfId="0">
      <protection locked="0"/>
    </xf>
    <xf applyBorder="1" applyFill="1" applyFont="1" borderId="197" fillId="40" fontId="4" numFmtId="0" xfId="0"/>
    <xf applyBorder="1" applyFill="1" applyFont="1" applyNumberFormat="1" borderId="197" fillId="40" fontId="4" numFmtId="2" xfId="0"/>
    <xf applyAlignment="1" applyBorder="1" applyFill="1" applyFont="1" borderId="197" fillId="40" fontId="4" numFmtId="0" xfId="0">
      <alignment horizontal="center"/>
    </xf>
    <xf applyBorder="1" applyFill="1" applyFont="1" borderId="181" fillId="40" fontId="4" numFmtId="0" xfId="0"/>
    <xf applyBorder="1" applyFill="1" applyFont="1" applyNumberFormat="1" applyProtection="1" borderId="198" fillId="40" fontId="4" numFmtId="0" xfId="0"/>
    <xf applyAlignment="1" applyBorder="1" applyFill="1" applyFont="1" applyNumberFormat="1" applyProtection="1" borderId="198" fillId="40" fontId="4" numFmtId="0" xfId="0">
      <alignment horizontal="center"/>
    </xf>
    <xf applyAlignment="1" applyBorder="1" applyFill="1" applyFont="1" applyNumberFormat="1" applyProtection="1" borderId="198" fillId="40" fontId="4" numFmtId="2" xfId="0">
      <alignment horizontal="right"/>
      <protection locked="0"/>
    </xf>
    <xf applyAlignment="1" applyBorder="1" applyFill="1" applyFont="1" applyNumberFormat="1" applyProtection="1" borderId="198" fillId="40" fontId="4" numFmtId="182" xfId="0">
      <alignment horizontal="right"/>
      <protection locked="0"/>
    </xf>
    <xf applyAlignment="1" applyBorder="1" applyFill="1" applyFont="1" applyNumberFormat="1" applyProtection="1" borderId="198" fillId="40" fontId="4" numFmtId="182" xfId="0">
      <alignment horizontal="right"/>
    </xf>
    <xf applyBorder="1" applyFill="1" applyFont="1" applyNumberFormat="1" applyProtection="1" borderId="198" fillId="40" fontId="4" numFmtId="181" xfId="0">
      <protection locked="0"/>
    </xf>
    <xf applyBorder="1" applyFill="1" applyFont="1" applyNumberFormat="1" applyProtection="1" borderId="198" fillId="40" fontId="4" numFmtId="182" xfId="0"/>
    <xf applyBorder="1" applyFill="1" applyFont="1" applyNumberFormat="1" applyProtection="1" borderId="198" fillId="40" fontId="4" numFmtId="182" xfId="0">
      <protection locked="0"/>
    </xf>
    <xf applyBorder="1" applyFill="1" applyFont="1" applyNumberFormat="1" applyProtection="1" borderId="182" fillId="40" fontId="4" numFmtId="182" xfId="0"/>
    <xf applyAlignment="1" applyBorder="1" applyFill="1" applyFont="1" applyNumberFormat="1" applyProtection="1" borderId="197" fillId="40" fontId="4" numFmtId="4" xfId="0">
      <alignment horizontal="center"/>
      <protection locked="0"/>
    </xf>
    <xf applyAlignment="1" applyBorder="1" applyFill="1" applyFont="1" applyNumberFormat="1" applyProtection="1" borderId="181" fillId="40" fontId="4" numFmtId="4" xfId="0">
      <alignment horizontal="right"/>
      <protection locked="0"/>
    </xf>
    <xf applyAlignment="1" applyBorder="1" applyFill="1" applyFont="1" applyNumberFormat="1" borderId="197" fillId="0" fontId="4" numFmtId="1" xfId="1">
      <alignment horizontal="center"/>
    </xf>
    <xf applyBorder="1" applyFill="1" applyFont="1" borderId="197" fillId="0" fontId="4" numFmtId="0" xfId="0"/>
    <xf applyAlignment="1" applyBorder="1" applyFill="1" applyFont="1" applyNumberFormat="1" borderId="197" fillId="40" fontId="4" numFmtId="1" xfId="1">
      <alignment horizontal="center"/>
    </xf>
    <xf applyAlignment="1" applyBorder="1" applyFill="1" applyFont="1" applyProtection="1" borderId="96" fillId="10" fontId="8" numFmtId="0" xfId="0">
      <alignment horizontal="center"/>
      <protection locked="0"/>
    </xf>
    <xf applyAlignment="1" applyBorder="1" applyFill="1" applyFont="1" applyNumberFormat="1" applyProtection="1" borderId="197" fillId="40" fontId="4" numFmtId="1" xfId="1">
      <alignment horizontal="center"/>
      <protection locked="0"/>
    </xf>
    <xf applyAlignment="1" applyBorder="1" applyFill="1" applyFont="1" borderId="102" fillId="27" fontId="39" numFmtId="170" xfId="1">
      <alignment horizontal="center"/>
    </xf>
    <xf applyAlignment="1" applyBorder="1" applyFill="1" applyFont="1" borderId="206" fillId="27" fontId="193" numFmtId="0" xfId="0">
      <alignment horizontal="right"/>
    </xf>
    <xf applyBorder="1" applyFill="1" applyFont="1" applyNumberFormat="1" borderId="198" fillId="0" fontId="1" numFmtId="2" xfId="0"/>
    <xf applyAlignment="1" applyBorder="1" applyFill="1" applyFont="1" borderId="198" fillId="0" fontId="4" numFmtId="0" xfId="0">
      <alignment horizontal="left"/>
    </xf>
    <xf applyAlignment="1" applyBorder="1" applyFill="1" applyFont="1" applyNumberFormat="1" borderId="191" fillId="0" fontId="4" numFmtId="2" xfId="0"/>
    <xf applyAlignment="1" applyBorder="1" applyFill="1" applyFont="1" borderId="198" fillId="16" fontId="7" numFmtId="0" xfId="0">
      <alignment vertical="top" wrapText="1"/>
    </xf>
    <xf applyAlignment="1" applyBorder="1" applyFill="1" applyFont="1" borderId="0" fillId="0" fontId="4" numFmtId="0" xfId="0">
      <alignment horizontal="right"/>
    </xf>
    <xf applyAlignment="1" applyFill="1" applyFont="1" borderId="0" fillId="0" fontId="4" numFmtId="0" xfId="0">
      <alignment horizontal="left"/>
    </xf>
    <xf applyFill="1" applyFont="1" borderId="0" fillId="27" fontId="83" numFmtId="0" xfId="0"/>
    <xf applyFill="1" applyFont="1" borderId="0" fillId="0" fontId="4" numFmtId="0" xfId="0"/>
    <xf applyAlignment="1" applyBorder="1" applyFill="1" applyFont="1" borderId="198" fillId="16" fontId="203" numFmtId="0" xfId="0">
      <alignment vertical="top" wrapText="1"/>
    </xf>
    <xf applyAlignment="1" applyBorder="1" applyFont="1" borderId="198" fillId="0" fontId="203" numFmtId="0" xfId="0">
      <alignment horizontal="left" vertical="top" wrapText="1"/>
    </xf>
    <xf applyAlignment="1" applyBorder="1" applyFont="1" borderId="198" fillId="0" fontId="204" numFmtId="0" xfId="0">
      <alignment wrapText="1"/>
    </xf>
    <xf applyFont="1" borderId="0" fillId="0" fontId="204" numFmtId="0" xfId="0"/>
    <xf applyAlignment="1" applyFill="1" applyFont="1" borderId="0" fillId="38" fontId="4" numFmtId="0" xfId="0">
      <alignment horizontal="left"/>
    </xf>
    <xf applyFill="1" applyFont="1" borderId="0" fillId="0" fontId="4" numFmtId="0" xfId="0"/>
    <xf applyFill="1" applyFont="1" borderId="0" fillId="0" fontId="205" numFmtId="0" xfId="0"/>
    <xf applyFill="1" applyFont="1" borderId="0" fillId="0" fontId="206" numFmtId="0" xfId="0"/>
    <xf applyBorder="1" applyFill="1" applyFont="1" borderId="62" fillId="0" fontId="206" numFmtId="0" xfId="0"/>
    <xf applyBorder="1" applyFill="1" applyFont="1" borderId="65" fillId="0" fontId="206" numFmtId="0" xfId="0"/>
    <xf applyBorder="1" applyFill="1" applyFont="1" borderId="67" fillId="0" fontId="206" numFmtId="0" xfId="0"/>
    <xf applyBorder="1" applyFont="1" borderId="102" fillId="0" fontId="207" numFmtId="0" xfId="0"/>
    <xf applyBorder="1" applyFont="1" borderId="71" fillId="0" fontId="207" numFmtId="0" xfId="0"/>
    <xf applyBorder="1" applyFont="1" borderId="72" fillId="0" fontId="207" numFmtId="0" xfId="0"/>
    <xf applyFont="1" borderId="0" fillId="0" fontId="207" numFmtId="0" xfId="0"/>
    <xf applyBorder="1" applyFill="1" applyFont="1" borderId="62" fillId="0" fontId="208" numFmtId="0" xfId="0"/>
    <xf applyAlignment="1" applyBorder="1" applyFill="1" applyFont="1" borderId="65" fillId="0" fontId="206" numFmtId="0" xfId="0"/>
    <xf applyAlignment="1" applyBorder="1" applyFill="1" applyFont="1" borderId="65" fillId="0" fontId="206" numFmtId="0" xfId="0">
      <alignment horizontal="left" indent="2"/>
    </xf>
    <xf applyAlignment="1" applyBorder="1" applyFill="1" applyFont="1" borderId="65" fillId="0" fontId="206" numFmtId="0" xfId="0">
      <alignment horizontal="left"/>
    </xf>
    <xf applyAlignment="1" applyBorder="1" applyFill="1" applyFont="1" borderId="67" fillId="0" fontId="206" numFmtId="0" xfId="0">
      <alignment horizontal="left"/>
    </xf>
    <xf applyBorder="1" applyFill="1" applyFont="1" borderId="0" fillId="0" fontId="205" numFmtId="0" xfId="0"/>
    <xf applyAlignment="1" applyBorder="1" applyFill="1" applyFont="1" borderId="104" fillId="0" fontId="206" numFmtId="0" xfId="0">
      <alignment horizontal="left" indent="1"/>
    </xf>
    <xf applyAlignment="1" applyFill="1" applyFont="1" borderId="0" fillId="27" fontId="206" numFmtId="0" xfId="0">
      <alignment horizontal="right"/>
    </xf>
    <xf applyFill="1" applyFont="1" borderId="0" fillId="27" fontId="206" numFmtId="0" xfId="0"/>
    <xf applyBorder="1" applyFill="1" applyFont="1" borderId="63" fillId="0" fontId="206" numFmtId="0" xfId="0"/>
    <xf applyBorder="1" applyFill="1" applyFont="1" borderId="0" fillId="0" fontId="206" numFmtId="0" xfId="0"/>
    <xf applyBorder="1" applyFill="1" applyFont="1" borderId="68" fillId="0" fontId="206" numFmtId="0" xfId="0"/>
    <xf applyBorder="1" applyFill="1" applyFont="1" borderId="208" fillId="0" fontId="209" numFmtId="0" xfId="0"/>
    <xf applyBorder="1" applyFill="1" applyFont="1" borderId="112" fillId="0" fontId="206" numFmtId="0" xfId="0"/>
    <xf applyAlignment="1" applyBorder="1" applyFill="1" applyFont="1" borderId="65" fillId="0" fontId="207" numFmtId="0" xfId="0">
      <alignment horizontal="left" indent="5" vertical="center"/>
    </xf>
    <xf applyAlignment="1" applyBorder="1" applyFill="1" applyFont="1" borderId="67" fillId="0" fontId="207" numFmtId="0" xfId="0">
      <alignment horizontal="left" indent="5" vertical="center"/>
    </xf>
    <xf applyAlignment="1" applyBorder="1" applyFill="1" applyFont="1" borderId="77" fillId="0" fontId="207" numFmtId="0" xfId="0">
      <alignment vertical="center"/>
    </xf>
    <xf applyBorder="1" applyFill="1" applyFont="1" borderId="62" fillId="0" fontId="205" numFmtId="0" xfId="0"/>
    <xf applyAlignment="1" applyBorder="1" applyFill="1" applyFont="1" borderId="65" fillId="0" fontId="206" numFmtId="0" xfId="0">
      <alignment horizontal="left" indent="1" vertical="center"/>
    </xf>
    <xf applyAlignment="1" applyBorder="1" applyFill="1" applyFont="1" borderId="65" fillId="0" fontId="206" numFmtId="0" xfId="0">
      <alignment horizontal="left" indent="2" vertical="center"/>
    </xf>
    <xf applyAlignment="1" applyFill="1" applyFont="1" borderId="0" fillId="0" fontId="207" numFmtId="0" xfId="0">
      <alignment vertical="center"/>
    </xf>
    <xf applyAlignment="1" applyBorder="1" applyFill="1" applyFont="1" borderId="111" fillId="0" fontId="210" numFmtId="0" xfId="0">
      <alignment horizontal="left"/>
    </xf>
    <xf applyAlignment="1" applyBorder="1" applyFill="1" applyFont="1" borderId="0" fillId="0" fontId="206" numFmtId="0" xfId="0">
      <alignment horizontal="right"/>
    </xf>
    <xf applyFill="1" applyFont="1" borderId="0" fillId="0" fontId="4" numFmtId="0" xfId="0"/>
    <xf applyFill="1" applyFont="1" borderId="0" fillId="0" fontId="170" numFmtId="0" xfId="0"/>
    <xf applyAlignment="1" applyBorder="1" applyFill="1" applyFont="1" borderId="185" fillId="27" fontId="106" numFmtId="0" xfId="0"/>
    <xf applyAlignment="1" applyBorder="1" applyFill="1" applyFont="1" borderId="186" fillId="27" fontId="106" numFmtId="0" xfId="0"/>
    <xf applyAlignment="1" applyBorder="1" applyFill="1" applyFont="1" borderId="0" fillId="40" fontId="4" numFmtId="0" xfId="0"/>
    <xf applyAlignment="1" applyBorder="1" applyFill="1" applyFont="1" borderId="198" fillId="16" fontId="188" numFmtId="0" xfId="0">
      <alignment vertical="center" wrapText="1"/>
    </xf>
    <xf applyAlignment="1" applyBorder="1" applyFont="1" applyNumberFormat="1" borderId="198" fillId="0" fontId="187" numFmtId="14" xfId="0">
      <alignment horizontal="left" vertical="top"/>
    </xf>
    <xf applyFont="1" borderId="0" fillId="0" fontId="188" numFmtId="0" xfId="0"/>
    <xf applyFill="1" applyFont="1" applyNumberFormat="1" borderId="0" fillId="27" fontId="4" numFmtId="3" xfId="0"/>
    <xf applyAlignment="1" applyBorder="1" applyFill="1" applyFont="1" applyProtection="1" borderId="182" fillId="14" fontId="4" numFmtId="0" xfId="0">
      <alignment horizontal="center"/>
      <protection locked="0"/>
    </xf>
    <xf applyBorder="1" applyFill="1" applyFont="1" applyNumberFormat="1" borderId="197" fillId="27" fontId="4" numFmtId="0" xfId="1"/>
    <xf applyBorder="1" applyFill="1" applyFont="1" applyNumberFormat="1" borderId="102" fillId="27" fontId="4" numFmtId="0" xfId="0"/>
    <xf applyAlignment="1" applyBorder="1" applyFill="1" applyFont="1" applyNumberFormat="1" borderId="197" fillId="27" fontId="4" numFmtId="185" xfId="1">
      <alignment horizontal="center"/>
    </xf>
    <xf applyFont="1" applyProtection="1" borderId="0" fillId="0" fontId="4" numFmtId="0" quotePrefix="1" xfId="0"/>
    <xf applyAlignment="1" applyBorder="1" applyFont="1" applyNumberFormat="1" borderId="198" fillId="0" fontId="211" numFmtId="14" xfId="0">
      <alignment horizontal="left" vertical="top"/>
    </xf>
    <xf applyAlignment="1" applyBorder="1" applyFont="1" borderId="198" fillId="0" fontId="212" numFmtId="0" xfId="0">
      <alignment wrapText="1"/>
    </xf>
    <xf applyAlignment="1" applyBorder="1" applyFont="1" borderId="198" fillId="0" fontId="211" numFmtId="0" xfId="0">
      <alignment horizontal="left" vertical="top" wrapText="1"/>
    </xf>
    <xf applyAlignment="1" applyBorder="1" applyFill="1" applyFont="1" borderId="198" fillId="29" fontId="7" numFmtId="0" xfId="0">
      <alignment vertical="top" wrapText="1"/>
    </xf>
    <xf applyAlignment="1" applyBorder="1" applyFill="1" applyFont="1" applyNumberFormat="1" borderId="198" fillId="0" fontId="7" numFmtId="14" xfId="0">
      <alignment horizontal="left" vertical="top" wrapText="1"/>
    </xf>
    <xf applyFill="1" applyFont="1" borderId="0" fillId="14" fontId="83" numFmtId="0" xfId="0"/>
    <xf applyFill="1" applyFont="1" borderId="0" fillId="14" fontId="84" numFmtId="0" xfId="0"/>
    <xf applyAlignment="1" applyBorder="1" applyFill="1" applyFont="1" borderId="198" fillId="16" fontId="1" numFmtId="0" xfId="0">
      <alignment vertical="center" wrapText="1"/>
    </xf>
    <xf applyAlignment="1" applyFill="1" applyFont="1" borderId="0" fillId="16" fontId="4" numFmtId="0" xfId="0">
      <alignment horizontal="right"/>
    </xf>
    <xf applyFill="1" applyFont="1" borderId="0" fillId="0" fontId="4" numFmtId="0" xfId="0"/>
    <xf applyAlignment="1" applyBorder="1" applyFill="1" applyFont="1" borderId="45" fillId="0" fontId="161" numFmtId="0" xfId="0">
      <alignment horizontal="center"/>
    </xf>
    <xf applyAlignment="1" applyBorder="1" applyFill="1" applyFont="1" borderId="163" fillId="0" fontId="161" numFmtId="0" xfId="0">
      <alignment horizontal="left"/>
    </xf>
    <xf applyBorder="1" applyFill="1" applyFont="1" borderId="198" fillId="17" fontId="142" numFmtId="0" xfId="0"/>
    <xf applyAlignment="1" applyBorder="1" applyFill="1" applyFont="1" applyNumberFormat="1" applyProtection="1" borderId="197" fillId="10" fontId="89" numFmtId="2" xfId="0">
      <alignment horizontal="center"/>
    </xf>
    <xf applyAlignment="1" applyBorder="1" applyFont="1" applyProtection="1" borderId="198" fillId="0" fontId="89" numFmtId="0" xfId="0">
      <alignment horizontal="center"/>
      <protection locked="0"/>
    </xf>
    <xf applyAlignment="1" applyBorder="1" applyFont="1" applyProtection="1" borderId="198" fillId="0" fontId="89" numFmtId="0" xfId="0">
      <alignment horizontal="right"/>
      <protection locked="0"/>
    </xf>
    <xf applyAlignment="1" applyBorder="1" applyFont="1" applyProtection="1" borderId="197" fillId="0" fontId="89" numFmtId="0" xfId="0">
      <alignment horizontal="center"/>
      <protection locked="0"/>
    </xf>
    <xf applyAlignment="1" applyBorder="1" applyFill="1" applyFont="1" applyProtection="1" borderId="233" fillId="15" fontId="89" numFmtId="0" xfId="0">
      <alignment horizontal="center"/>
      <protection locked="0"/>
    </xf>
    <xf applyAlignment="1" applyBorder="1" applyFill="1" applyFont="1" borderId="0" fillId="10" fontId="89" numFmtId="0" xfId="0">
      <alignment horizontal="center"/>
    </xf>
    <xf applyAlignment="1" applyFont="1" borderId="0" fillId="0" fontId="90" numFmtId="0" xfId="0">
      <alignment wrapText="1"/>
    </xf>
    <xf applyFont="1" borderId="0" fillId="0" fontId="89" numFmtId="0" xfId="0"/>
    <xf applyAlignment="1" applyBorder="1" applyFill="1" applyFont="1" applyNumberFormat="1" applyProtection="1" borderId="1" fillId="10" fontId="89" numFmtId="2" xfId="0">
      <alignment horizontal="center"/>
    </xf>
    <xf applyAlignment="1" applyBorder="1" applyFill="1" applyFont="1" borderId="45" fillId="0" fontId="148" numFmtId="0" xfId="0">
      <alignment horizontal="center"/>
    </xf>
    <xf applyAlignment="1" applyBorder="1" applyFill="1" applyFont="1" applyProtection="1" borderId="198" fillId="27" fontId="89" numFmtId="0" xfId="0">
      <alignment horizontal="center"/>
      <protection locked="0"/>
    </xf>
    <xf applyAlignment="1" applyBorder="1" applyFill="1" applyFont="1" applyProtection="1" borderId="198" fillId="0" fontId="89" numFmtId="0" xfId="0">
      <alignment horizontal="center"/>
      <protection locked="0"/>
    </xf>
    <xf applyAlignment="1" applyBorder="1" applyFill="1" applyFont="1" applyProtection="1" borderId="233" fillId="15" fontId="108" numFmtId="0" xfId="0">
      <alignment horizontal="center"/>
      <protection locked="0"/>
    </xf>
    <xf applyAlignment="1" applyBorder="1" applyFont="1" borderId="2" fillId="0" fontId="159" numFmtId="0" xfId="0">
      <alignment horizontal="center"/>
    </xf>
    <xf applyAlignment="1" applyFill="1" applyFont="1" borderId="0" fillId="39" fontId="172" numFmtId="0" xfId="0">
      <alignment horizontal="right"/>
    </xf>
    <xf applyBorder="1" applyFill="1" applyFont="1" applyNumberFormat="1" borderId="198" fillId="0" fontId="112" numFmtId="3" xfId="0"/>
    <xf applyBorder="1" applyFill="1" applyFont="1" borderId="0" fillId="39" fontId="89" numFmtId="0" xfId="0"/>
    <xf applyAlignment="1" applyFill="1" applyFont="1" borderId="0" fillId="39" fontId="123" numFmtId="0" xfId="0">
      <alignment horizontal="left"/>
    </xf>
    <xf applyBorder="1" applyFill="1" applyFont="1" borderId="0" fillId="39" fontId="39" numFmtId="0" xfId="0"/>
    <xf applyFill="1" applyFont="1" borderId="0" fillId="39" fontId="39" numFmtId="0" xfId="0"/>
    <xf applyAlignment="1" applyFill="1" applyFont="1" borderId="0" fillId="39" fontId="213" numFmtId="0" xfId="0">
      <alignment horizontal="center"/>
    </xf>
    <xf applyBorder="1" applyFill="1" applyFont="1" borderId="0" fillId="39" fontId="213" numFmtId="0" xfId="0"/>
    <xf applyFill="1" applyFont="1" borderId="0" fillId="39" fontId="213" numFmtId="0" xfId="0"/>
    <xf applyAlignment="1" applyBorder="1" applyFill="1" applyFont="1" borderId="0" fillId="39" fontId="213" numFmtId="0" xfId="0">
      <alignment horizontal="right"/>
    </xf>
    <xf applyAlignment="1" applyFill="1" applyFont="1" borderId="0" fillId="39" fontId="213" numFmtId="0" xfId="0">
      <alignment horizontal="right"/>
    </xf>
    <xf applyAlignment="1" applyBorder="1" applyFill="1" applyFont="1" borderId="0" fillId="39" fontId="213" numFmtId="0" xfId="0">
      <alignment horizontal="left" indent="2"/>
    </xf>
    <xf applyAlignment="1" applyBorder="1" applyFill="1" applyFont="1" borderId="1" fillId="39" fontId="213" numFmtId="0" xfId="0">
      <alignment horizontal="center"/>
    </xf>
    <xf applyBorder="1" applyFill="1" applyFont="1" applyNumberFormat="1" borderId="1" fillId="39" fontId="213" numFmtId="3" xfId="0"/>
    <xf applyAlignment="1" applyFill="1" applyFont="1" borderId="0" fillId="39" fontId="213" numFmtId="0" xfId="0">
      <alignment horizontal="left"/>
    </xf>
    <xf applyFill="1" applyFont="1" borderId="0" fillId="39" fontId="129" numFmtId="0" xfId="0"/>
    <xf applyFill="1" applyFont="1" borderId="0" fillId="39" fontId="89" numFmtId="0" xfId="0"/>
    <xf applyAlignment="1" applyFill="1" applyFont="1" borderId="0" fillId="39" fontId="129" numFmtId="0" xfId="0">
      <alignment horizontal="center"/>
    </xf>
    <xf applyAlignment="1" applyFill="1" applyFont="1" borderId="0" fillId="39" fontId="214" numFmtId="0" xfId="0">
      <alignment horizontal="right"/>
    </xf>
    <xf applyAlignment="1" applyFill="1" applyFont="1" borderId="0" fillId="39" fontId="213" numFmtId="0" xfId="0">
      <alignment horizontal="right" indent="1"/>
    </xf>
    <xf applyAlignment="1" applyBorder="1" applyFill="1" applyFont="1" borderId="0" fillId="39" fontId="213" numFmtId="0" xfId="0">
      <alignment horizontal="right" indent="2"/>
    </xf>
    <xf applyAlignment="1" applyBorder="1" applyFill="1" applyFont="1" borderId="0" fillId="39" fontId="213" numFmtId="0" xfId="0">
      <alignment horizontal="right" indent="3"/>
    </xf>
    <xf applyAlignment="1" applyBorder="1" applyFill="1" applyFont="1" borderId="0" fillId="39" fontId="213" numFmtId="0" xfId="0">
      <alignment horizontal="right" indent="1"/>
    </xf>
    <xf applyBorder="1" applyFill="1" applyFont="1" borderId="0" fillId="39" fontId="129" numFmtId="0" xfId="0"/>
    <xf applyAlignment="1" applyBorder="1" applyFill="1" applyFont="1" borderId="0" fillId="39" fontId="213" numFmtId="0" xfId="0">
      <alignment horizontal="center"/>
    </xf>
    <xf applyFill="1" applyFont="1" borderId="0" fillId="39" fontId="139" numFmtId="0" xfId="0"/>
    <xf applyFill="1" applyFont="1" borderId="0" fillId="39" fontId="215" numFmtId="0" xfId="0"/>
    <xf applyAlignment="1" applyFill="1" applyFont="1" borderId="0" fillId="39" fontId="106" numFmtId="0" xfId="0">
      <alignment vertical="center"/>
    </xf>
    <xf applyBorder="1" applyFill="1" applyFont="1" borderId="0" fillId="39" fontId="4" numFmtId="0" xfId="0"/>
    <xf applyFill="1" applyFont="1" borderId="0" fillId="39" fontId="4" numFmtId="0" xfId="0"/>
    <xf applyBorder="1" applyFill="1" applyFont="1" borderId="0" fillId="39" fontId="138" numFmtId="0" xfId="0"/>
    <xf applyAlignment="1" applyFill="1" applyFont="1" borderId="0" fillId="39" fontId="39" numFmtId="0" xfId="0">
      <alignment horizontal="center"/>
    </xf>
    <xf applyAlignment="1" applyFill="1" applyFont="1" borderId="0" fillId="39" fontId="4" numFmtId="0" xfId="0">
      <alignment horizontal="right"/>
    </xf>
    <xf applyAlignment="1" applyFill="1" applyFont="1" borderId="0" fillId="39" fontId="108" numFmtId="0" xfId="0">
      <alignment horizontal="left"/>
    </xf>
    <xf applyBorder="1" applyFill="1" applyFont="1" borderId="0" fillId="39" fontId="108" numFmtId="0" xfId="0"/>
    <xf applyAlignment="1" applyBorder="1" applyFill="1" borderId="102" fillId="39" fontId="0" numFmtId="0" xfId="0">
      <alignment horizontal="left"/>
    </xf>
    <xf applyAlignment="1" applyBorder="1" applyFill="1" borderId="198" fillId="39" fontId="0" numFmtId="0" xfId="0">
      <alignment horizontal="left"/>
    </xf>
    <xf applyFill="1" applyFont="1" borderId="0" fillId="39" fontId="90" numFmtId="0" xfId="0"/>
    <xf applyBorder="1" applyFill="1" applyFont="1" borderId="198" fillId="39" fontId="216" numFmtId="0" xfId="0"/>
    <xf applyBorder="1" applyFill="1" applyFont="1" borderId="71" fillId="39" fontId="216" numFmtId="0" xfId="0"/>
    <xf applyBorder="1" applyFill="1" applyFont="1" borderId="159" fillId="39" fontId="216" numFmtId="0" xfId="0"/>
    <xf applyAlignment="1" applyFill="1" applyFont="1" borderId="0" fillId="38" fontId="186" numFmtId="0" xfId="0">
      <alignment horizontal="right"/>
    </xf>
    <xf applyFill="1" applyFont="1" borderId="0" fillId="0" fontId="4" numFmtId="0" xfId="0"/>
    <xf applyAlignment="1" applyFill="1" applyFont="1" borderId="0" fillId="39" fontId="40" numFmtId="0" xfId="0">
      <alignment horizontal="left"/>
    </xf>
    <xf applyAlignment="1" applyFill="1" applyFont="1" borderId="0" fillId="39" fontId="39" numFmtId="0" xfId="0">
      <alignment horizontal="right"/>
    </xf>
    <xf applyAlignment="1" applyBorder="1" applyFill="1" applyFont="1" applyNumberFormat="1" applyProtection="1" borderId="236" fillId="0" fontId="55" numFmtId="49" xfId="0">
      <alignment horizontal="center"/>
    </xf>
    <xf applyAlignment="1" applyBorder="1" applyFill="1" applyFont="1" applyNumberFormat="1" applyProtection="1" borderId="237" fillId="0" fontId="55" numFmtId="49" xfId="0">
      <alignment horizontal="center"/>
    </xf>
    <xf applyAlignment="1" applyBorder="1" applyFill="1" applyFont="1" borderId="234" fillId="38" fontId="217" numFmtId="0" xfId="0">
      <alignment horizontal="center"/>
    </xf>
    <xf applyAlignment="1" applyBorder="1" applyFill="1" applyFont="1" borderId="198" fillId="16" fontId="212" numFmtId="0" xfId="0">
      <alignment vertical="center" wrapText="1"/>
    </xf>
    <xf applyFill="1" applyFont="1" borderId="0" fillId="0" fontId="4" numFmtId="0" xfId="0"/>
    <xf applyFill="1" applyFont="1" borderId="0" fillId="0" fontId="4" numFmtId="0" xfId="0"/>
    <xf applyAlignment="1" applyBorder="1" applyFill="1" applyFont="1" borderId="0" fillId="0" fontId="8" numFmtId="0" xfId="0"/>
    <xf applyAlignment="1" applyBorder="1" applyFill="1" applyFont="1" borderId="0" fillId="0" fontId="4" numFmtId="0" xfId="0">
      <alignment horizontal="right"/>
    </xf>
    <xf applyAlignment="1" applyBorder="1" applyFill="1" applyFont="1" borderId="0" fillId="0" fontId="4" numFmtId="0" xfId="0"/>
    <xf applyAlignment="1" applyBorder="1" applyFill="1" applyFont="1" applyNumberFormat="1" borderId="0" fillId="0" fontId="8" numFmtId="166" xfId="0"/>
    <xf applyFill="1" applyFont="1" borderId="0" fillId="0" fontId="4" numFmtId="0" xfId="0"/>
    <xf applyFill="1" applyFont="1" borderId="0" fillId="0" fontId="10" numFmtId="0" xfId="0"/>
    <xf applyAlignment="1" applyFill="1" applyFont="1" borderId="0" fillId="0" fontId="4" numFmtId="0" xfId="0"/>
    <xf applyAlignment="1" applyBorder="1" applyFill="1" applyFont="1" borderId="0" fillId="0" fontId="7" numFmtId="0" xfId="0"/>
    <xf applyAlignment="1" applyBorder="1" applyFill="1" applyFont="1" borderId="198" fillId="38" fontId="156" numFmtId="0" xfId="0">
      <alignment horizontal="center"/>
    </xf>
    <xf applyAlignment="1" applyFill="1" applyFont="1" borderId="0" fillId="27" fontId="121" numFmtId="0" xfId="0">
      <alignment horizontal="center"/>
    </xf>
    <xf applyAlignment="1" applyBorder="1" applyFill="1" applyFont="1" borderId="198" fillId="0" fontId="7" numFmtId="0" xfId="0">
      <alignment vertical="top" wrapText="1"/>
    </xf>
    <xf applyAlignment="1" applyBorder="1" applyFill="1" applyFont="1" borderId="226" fillId="0" fontId="1" numFmtId="0" xfId="0">
      <alignment horizontal="center" wrapText="1"/>
    </xf>
    <xf applyAlignment="1" applyBorder="1" applyFill="1" applyFont="1" borderId="227" fillId="0" fontId="1" numFmtId="0" xfId="0">
      <alignment horizontal="center" wrapText="1"/>
    </xf>
    <xf applyAlignment="1" applyBorder="1" applyFill="1" applyFont="1" borderId="161" fillId="0" fontId="1" numFmtId="0" xfId="0">
      <alignment horizontal="center" wrapText="1"/>
    </xf>
    <xf applyAlignment="1" applyBorder="1" applyFill="1" applyFont="1" borderId="162" fillId="0" fontId="1" numFmtId="0" xfId="0">
      <alignment horizontal="center" wrapText="1"/>
    </xf>
    <xf applyAlignment="1" applyBorder="1" applyFont="1" borderId="156" fillId="0" fontId="8" numFmtId="0" xfId="0">
      <alignment horizontal="left"/>
    </xf>
    <xf applyAlignment="1" applyBorder="1" applyFont="1" borderId="161" fillId="0" fontId="8" numFmtId="0" xfId="0">
      <alignment horizontal="left"/>
    </xf>
    <xf applyAlignment="1" applyBorder="1" applyFont="1" borderId="162" fillId="0" fontId="8" numFmtId="0" xfId="0">
      <alignment horizontal="left"/>
    </xf>
    <xf applyAlignment="1" applyBorder="1" applyFont="1" borderId="164" fillId="0" fontId="4" numFmtId="0" xfId="0">
      <alignment horizontal="left"/>
    </xf>
    <xf applyAlignment="1" applyBorder="1" applyFont="1" borderId="161" fillId="0" fontId="4" numFmtId="0" xfId="0">
      <alignment horizontal="left"/>
    </xf>
    <xf applyAlignment="1" applyBorder="1" applyFont="1" borderId="162" fillId="0" fontId="4" numFmtId="0" xfId="0">
      <alignment horizontal="left"/>
    </xf>
    <xf applyAlignment="1" applyFont="1" borderId="0" fillId="0" fontId="4" numFmtId="0" xfId="0">
      <alignment horizontal="left" wrapText="1"/>
    </xf>
    <xf applyAlignment="1" applyFont="1" borderId="0" fillId="0" fontId="4" numFmtId="0" xfId="0">
      <alignment wrapText="1"/>
    </xf>
    <xf applyAlignment="1" borderId="0" fillId="0" fontId="0" numFmtId="0" xfId="0">
      <alignment wrapText="1"/>
    </xf>
    <xf applyAlignment="1" applyFont="1" borderId="0" fillId="0" fontId="4" numFmtId="0" quotePrefix="1" xfId="0">
      <alignment wrapText="1"/>
    </xf>
    <xf applyAlignment="1" applyBorder="1" applyFill="1" applyFont="1" borderId="185" fillId="0" fontId="7" numFmtId="0" xfId="0"/>
    <xf applyAlignment="1" applyBorder="1" applyFill="1" applyFont="1" borderId="186" fillId="0" fontId="7" numFmtId="0" xfId="0"/>
    <xf applyAlignment="1" applyBorder="1" applyFill="1" applyFont="1" borderId="0" fillId="0" fontId="4" numFmtId="0" xfId="0"/>
    <xf applyAlignment="1" applyBorder="1" applyFill="1" applyFont="1" borderId="0" fillId="0" fontId="8" numFmtId="0" xfId="0">
      <alignment horizontal="left"/>
    </xf>
    <xf applyAlignment="1" applyBorder="1" applyFill="1" applyFont="1" borderId="0" fillId="0" fontId="8" numFmtId="0" xfId="0"/>
    <xf applyAlignment="1" applyFill="1" applyFont="1" borderId="0" fillId="0" fontId="8" numFmtId="0" xfId="0">
      <alignment horizontal="left"/>
    </xf>
    <xf applyAlignment="1" applyBorder="1" applyFill="1" applyFont="1" borderId="0" fillId="27" fontId="4" numFmtId="0" xfId="0"/>
    <xf applyAlignment="1" applyBorder="1" applyFill="1" applyFont="1" borderId="0" fillId="0" fontId="4" numFmtId="0" xfId="0">
      <alignment horizontal="right"/>
    </xf>
    <xf applyAlignment="1" applyBorder="1" applyFill="1" applyFont="1" borderId="0" fillId="37" fontId="4" numFmtId="0" xfId="0">
      <alignment horizontal="left"/>
    </xf>
    <xf applyAlignment="1" applyBorder="1" applyFill="1" applyFont="1" applyNumberFormat="1" borderId="0" fillId="0" fontId="8" numFmtId="166" xfId="0"/>
    <xf applyAlignment="1" applyBorder="1" applyFill="1" applyFont="1" borderId="187" fillId="0" fontId="7" numFmtId="0" xfId="0"/>
    <xf applyAlignment="1" applyBorder="1" applyFill="1" applyFont="1" borderId="82" fillId="10" fontId="7" numFmtId="0" xfId="0">
      <alignment horizontal="center" vertical="top" wrapText="1"/>
    </xf>
    <xf applyAlignment="1" applyBorder="1" applyFill="1" applyFont="1" borderId="71" fillId="10" fontId="7" numFmtId="0" xfId="0">
      <alignment horizontal="center" vertical="top" wrapText="1"/>
    </xf>
    <xf applyAlignment="1" applyBorder="1" applyFill="1" applyFont="1" borderId="72" fillId="10" fontId="7" numFmtId="0" xfId="0">
      <alignment horizontal="center" vertical="top" wrapText="1"/>
    </xf>
    <xf applyAlignment="1" applyBorder="1" applyFill="1" applyFont="1" borderId="82" fillId="10" fontId="7" numFmtId="0" xfId="0">
      <alignment horizontal="center" wrapText="1"/>
    </xf>
    <xf applyAlignment="1" applyBorder="1" applyFill="1" applyFont="1" borderId="71" fillId="10" fontId="7" numFmtId="0" xfId="0">
      <alignment horizontal="center" wrapText="1"/>
    </xf>
    <xf applyAlignment="1" applyBorder="1" applyFill="1" applyFont="1" borderId="72" fillId="10" fontId="7" numFmtId="0" xfId="0">
      <alignment horizontal="center" wrapText="1"/>
    </xf>
    <xf applyAlignment="1" applyBorder="1" applyFill="1" applyFont="1" borderId="0" fillId="0" fontId="4" numFmtId="0" xfId="0">
      <alignment horizontal="left"/>
    </xf>
    <xf applyAlignment="1" applyBorder="1" applyFill="1" applyFont="1" applyNumberFormat="1" borderId="0" fillId="0" fontId="4" numFmtId="166" xfId="0">
      <alignment horizontal="left"/>
    </xf>
    <xf applyFill="1" applyFont="1" borderId="0" fillId="0" fontId="4" numFmtId="0" xfId="0"/>
    <xf applyAlignment="1" applyBorder="1" applyFill="1" applyFont="1" borderId="0" fillId="35" fontId="4" numFmtId="0" xfId="0"/>
    <xf applyAlignment="1" applyBorder="1" applyFill="1" applyFont="1" borderId="0" fillId="37" fontId="89" numFmtId="0" xfId="0">
      <alignment horizontal="left"/>
    </xf>
    <xf applyAlignment="1" applyBorder="1" applyFill="1" applyFont="1" borderId="0" fillId="35" fontId="4" numFmtId="0" xfId="0">
      <alignment horizontal="right"/>
    </xf>
    <xf applyAlignment="1" applyBorder="1" applyFill="1" applyFont="1" borderId="188" fillId="27" fontId="89" numFmtId="0" xfId="0">
      <alignment horizontal="left"/>
    </xf>
    <xf applyAlignment="1" applyBorder="1" applyFill="1" applyFont="1" borderId="185" fillId="27" fontId="106" numFmtId="0" xfId="0"/>
    <xf applyAlignment="1" applyBorder="1" applyFill="1" applyFont="1" borderId="186" fillId="27" fontId="106" numFmtId="0" xfId="0"/>
    <xf applyFill="1" applyFont="1" borderId="0" fillId="0" fontId="10" numFmtId="0" xfId="0"/>
    <xf applyAlignment="1" applyFill="1" applyFont="1" borderId="0" fillId="0" fontId="4" numFmtId="0" xfId="0">
      <alignment horizontal="left"/>
    </xf>
    <xf applyAlignment="1" applyFill="1" applyFont="1" borderId="0" fillId="0" fontId="8" numFmtId="0" xfId="0"/>
    <xf applyAlignment="1" applyFill="1" applyFont="1" borderId="0" fillId="0" fontId="4" numFmtId="0" xfId="0"/>
    <xf applyAlignment="1" applyFill="1" applyFont="1" borderId="0" fillId="27" fontId="4" numFmtId="0" xfId="0">
      <alignment horizontal="left"/>
    </xf>
    <xf applyAlignment="1" applyBorder="1" applyFill="1" applyFont="1" borderId="220" fillId="27" fontId="106" numFmtId="0" xfId="0"/>
    <xf applyAlignment="1" applyBorder="1" applyFill="1" applyFont="1" borderId="221" fillId="27" fontId="106" numFmtId="0" xfId="0"/>
    <xf applyAlignment="1" applyBorder="1" applyFill="1" applyFont="1" borderId="188" fillId="27" fontId="89" numFmtId="0" xfId="0"/>
    <xf applyAlignment="1" applyBorder="1" applyFill="1" applyFont="1" borderId="185" fillId="27" fontId="7" numFmtId="0" xfId="0"/>
    <xf applyAlignment="1" applyBorder="1" applyFill="1" applyFont="1" borderId="186" fillId="27" fontId="7" numFmtId="0" xfId="0"/>
    <xf applyAlignment="1" applyFill="1" applyFont="1" borderId="0" fillId="27" fontId="8" numFmtId="0" xfId="0"/>
    <xf applyAlignment="1" applyBorder="1" applyFill="1" applyFont="1" borderId="0" fillId="40" fontId="4" numFmtId="0" xfId="0"/>
    <xf applyAlignment="1" applyBorder="1" applyFill="1" applyFont="1" borderId="188" fillId="0" fontId="4" numFmtId="0" xfId="0"/>
    <xf applyAlignment="1" applyBorder="1" applyFill="1" applyFont="1" borderId="0" fillId="43" fontId="4" numFmtId="0" xfId="0">
      <alignment horizontal="left"/>
    </xf>
    <xf applyBorder="1" applyFill="1" applyFont="1" borderId="188" fillId="0" fontId="4" numFmtId="0" xfId="0"/>
    <xf applyAlignment="1" applyBorder="1" applyFill="1" applyFont="1" borderId="0" fillId="0" fontId="7" numFmtId="0" xfId="0"/>
    <xf applyAlignment="1" applyBorder="1" applyFill="1" applyFont="1" borderId="0" fillId="35" fontId="112" numFmtId="0" xfId="0"/>
    <xf applyAlignment="1" applyBorder="1" applyFill="1" applyFont="1" borderId="220" fillId="0" fontId="7" numFmtId="0" xfId="0"/>
    <xf applyAlignment="1" applyBorder="1" applyFill="1" applyFont="1" borderId="221" fillId="0" fontId="7" numFmtId="0" xfId="0"/>
    <xf applyAlignment="1" applyBorder="1" applyFill="1" applyFont="1" borderId="0" fillId="0" fontId="112" numFmtId="0" xfId="0">
      <alignment horizontal="left"/>
    </xf>
    <xf applyAlignment="1" applyBorder="1" applyFill="1" applyFont="1" borderId="0" fillId="27" fontId="4" numFmtId="0" xfId="0">
      <alignment horizontal="left"/>
    </xf>
    <xf applyAlignment="1" applyFill="1" applyFont="1" borderId="0" fillId="27" fontId="111" numFmtId="0" xfId="0"/>
    <xf applyAlignment="1" applyBorder="1" applyFill="1" applyFont="1" borderId="185" fillId="27" fontId="154" numFmtId="0" xfId="0"/>
    <xf applyAlignment="1" applyBorder="1" applyFill="1" applyFont="1" borderId="186" fillId="27" fontId="154" numFmtId="0" xfId="0"/>
    <xf applyAlignment="1" applyFill="1" applyFont="1" borderId="0" fillId="0" fontId="4" numFmtId="0" xfId="0">
      <alignment horizontal="left" wrapText="1"/>
    </xf>
    <xf applyAlignment="1" applyBorder="1" applyFill="1" applyFont="1" borderId="2" fillId="0" fontId="10" numFmtId="0" xfId="0">
      <alignment horizontal="left" vertical="top" wrapText="1"/>
    </xf>
    <xf applyAlignment="1" applyBorder="1" applyFill="1" applyFont="1" borderId="3" fillId="0" fontId="10" numFmtId="0" xfId="0">
      <alignment horizontal="left" vertical="top" wrapText="1"/>
    </xf>
    <xf applyAlignment="1" applyBorder="1" applyFill="1" applyFont="1" borderId="4" fillId="0" fontId="10" numFmtId="0" xfId="0">
      <alignment horizontal="left" vertical="top" wrapText="1"/>
    </xf>
    <xf applyAlignment="1" applyBorder="1" applyFill="1" applyFont="1" borderId="2" fillId="0" fontId="86" numFmtId="0" xfId="0">
      <alignment horizontal="center" vertical="top" wrapText="1"/>
    </xf>
    <xf applyAlignment="1" applyBorder="1" applyFill="1" applyFont="1" borderId="3" fillId="0" fontId="86" numFmtId="0" xfId="0">
      <alignment horizontal="center" vertical="top" wrapText="1"/>
    </xf>
    <xf applyAlignment="1" applyBorder="1" applyFill="1" applyFont="1" borderId="4" fillId="0" fontId="86" numFmtId="0" xfId="0">
      <alignment horizontal="center" vertical="top" wrapText="1"/>
    </xf>
  </cellXfs>
  <cellStyles count="6">
    <cellStyle builtinId="3" name="Comma" xfId="1"/>
    <cellStyle builtinId="4" name="Currency" xfId="2"/>
    <cellStyle builtinId="8" name="Hyperlink" xfId="3"/>
    <cellStyle builtinId="0" name="Normal" xfId="0"/>
    <cellStyle name="Normal 2" xfId="5" xr:uid="{00000000-0005-0000-0000-000004000000}"/>
    <cellStyle builtinId="5" name="Percent" xfId="4"/>
  </cellStyles>
  <dxfs count="1576">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s>
  <tableStyles count="0" defaultPivotStyle="PivotStyleLight16" defaultTableStyle="TableStyleMedium2"/>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DDDDDD"/>
    </indexedColors>
    <mruColors>
      <color rgb="FFFFFFCC"/>
      <color rgb="FFFFFF99"/>
      <color rgb="FFFFC000"/>
      <color rgb="FFFFFF00"/>
      <color rgb="FFFF33CC"/>
      <color rgb="FF00FFCC"/>
      <color rgb="FFB482DA"/>
      <color rgb="FF33CCFF"/>
      <color rgb="FF00CC99"/>
      <color rgb="FF00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worksheets/sheet10.xml" Type="http://schemas.openxmlformats.org/officeDocument/2006/relationships/worksheet"/><Relationship Id="rId100" Target="worksheets/sheet496.xml" Type="http://schemas.openxmlformats.org/officeDocument/2006/relationships/worksheet"/><Relationship Id="rId101" Target="worksheets/sheet497.xml" Type="http://schemas.openxmlformats.org/officeDocument/2006/relationships/worksheet"/><Relationship Id="rId102" Target="worksheets/sheet498.xml" Type="http://schemas.openxmlformats.org/officeDocument/2006/relationships/worksheet"/><Relationship Id="rId11" Target="worksheets/sheet11.xml" Type="http://schemas.openxmlformats.org/officeDocument/2006/relationships/worksheet"/><Relationship Id="rId12" Target="worksheets/sheet12.xml" Type="http://schemas.openxmlformats.org/officeDocument/2006/relationships/worksheet"/><Relationship Id="rId13" Target="worksheets/sheet13.xml" Type="http://schemas.openxmlformats.org/officeDocument/2006/relationships/worksheet"/><Relationship Id="rId14" Target="worksheets/sheet14.xml" Type="http://schemas.openxmlformats.org/officeDocument/2006/relationships/worksheet"/><Relationship Id="rId15" Target="worksheets/sheet15.xml" Type="http://schemas.openxmlformats.org/officeDocument/2006/relationships/worksheet"/><Relationship Id="rId16" Target="worksheets/sheet16.xml" Type="http://schemas.openxmlformats.org/officeDocument/2006/relationships/worksheet"/><Relationship Id="rId17" Target="worksheets/sheet17.xml" Type="http://schemas.openxmlformats.org/officeDocument/2006/relationships/worksheet"/><Relationship Id="rId18" Target="worksheets/sheet18.xml" Type="http://schemas.openxmlformats.org/officeDocument/2006/relationships/worksheet"/><Relationship Id="rId19" Target="worksheets/sheet19.xml" Type="http://schemas.openxmlformats.org/officeDocument/2006/relationships/worksheet"/><Relationship Id="rId2" Target="worksheets/sheet2.xml" Type="http://schemas.openxmlformats.org/officeDocument/2006/relationships/worksheet"/><Relationship Id="rId20" Target="worksheets/sheet20.xml" Type="http://schemas.openxmlformats.org/officeDocument/2006/relationships/worksheet"/><Relationship Id="rId21" Target="worksheets/sheet21.xml" Type="http://schemas.openxmlformats.org/officeDocument/2006/relationships/worksheet"/><Relationship Id="rId22" Target="worksheets/sheet22.xml" Type="http://schemas.openxmlformats.org/officeDocument/2006/relationships/worksheet"/><Relationship Id="rId23" Target="worksheets/sheet23.xml" Type="http://schemas.openxmlformats.org/officeDocument/2006/relationships/worksheet"/><Relationship Id="rId24" Target="worksheets/sheet24.xml" Type="http://schemas.openxmlformats.org/officeDocument/2006/relationships/worksheet"/><Relationship Id="rId25" Target="worksheets/sheet25.xml" Type="http://schemas.openxmlformats.org/officeDocument/2006/relationships/worksheet"/><Relationship Id="rId26" Target="worksheets/sheet26.xml" Type="http://schemas.openxmlformats.org/officeDocument/2006/relationships/worksheet"/><Relationship Id="rId27" Target="worksheets/sheet27.xml" Type="http://schemas.openxmlformats.org/officeDocument/2006/relationships/worksheet"/><Relationship Id="rId28" Target="worksheets/sheet28.xml" Type="http://schemas.openxmlformats.org/officeDocument/2006/relationships/worksheet"/><Relationship Id="rId29" Target="worksheets/sheet29.xml" Type="http://schemas.openxmlformats.org/officeDocument/2006/relationships/worksheet"/><Relationship Id="rId3" Target="worksheets/sheet3.xml" Type="http://schemas.openxmlformats.org/officeDocument/2006/relationships/worksheet"/><Relationship Id="rId30" Target="worksheets/sheet30.xml" Type="http://schemas.openxmlformats.org/officeDocument/2006/relationships/worksheet"/><Relationship Id="rId31" Target="worksheets/sheet31.xml" Type="http://schemas.openxmlformats.org/officeDocument/2006/relationships/worksheet"/><Relationship Id="rId32" Target="worksheets/sheet32.xml" Type="http://schemas.openxmlformats.org/officeDocument/2006/relationships/worksheet"/><Relationship Id="rId33" Target="worksheets/sheet33.xml" Type="http://schemas.openxmlformats.org/officeDocument/2006/relationships/worksheet"/><Relationship Id="rId34" Target="worksheets/sheet34.xml" Type="http://schemas.openxmlformats.org/officeDocument/2006/relationships/worksheet"/><Relationship Id="rId35" Target="worksheets/sheet35.xml" Type="http://schemas.openxmlformats.org/officeDocument/2006/relationships/worksheet"/><Relationship Id="rId36" Target="worksheets/sheet36.xml" Type="http://schemas.openxmlformats.org/officeDocument/2006/relationships/worksheet"/><Relationship Id="rId37" Target="worksheets/sheet37.xml" Type="http://schemas.openxmlformats.org/officeDocument/2006/relationships/worksheet"/><Relationship Id="rId38" Target="worksheets/sheet38.xml" Type="http://schemas.openxmlformats.org/officeDocument/2006/relationships/worksheet"/><Relationship Id="rId39" Target="worksheets/sheet39.xml" Type="http://schemas.openxmlformats.org/officeDocument/2006/relationships/worksheet"/><Relationship Id="rId4" Target="worksheets/sheet4.xml" Type="http://schemas.openxmlformats.org/officeDocument/2006/relationships/worksheet"/><Relationship Id="rId40" Target="worksheets/sheet40.xml" Type="http://schemas.openxmlformats.org/officeDocument/2006/relationships/worksheet"/><Relationship Id="rId41" Target="worksheets/sheet41.xml" Type="http://schemas.openxmlformats.org/officeDocument/2006/relationships/worksheet"/><Relationship Id="rId42" Target="worksheets/sheet42.xml" Type="http://schemas.openxmlformats.org/officeDocument/2006/relationships/worksheet"/><Relationship Id="rId43" Target="worksheets/sheet43.xml" Type="http://schemas.openxmlformats.org/officeDocument/2006/relationships/worksheet"/><Relationship Id="rId44" Target="worksheets/sheet44.xml" Type="http://schemas.openxmlformats.org/officeDocument/2006/relationships/worksheet"/><Relationship Id="rId45" Target="worksheets/sheet45.xml" Type="http://schemas.openxmlformats.org/officeDocument/2006/relationships/worksheet"/><Relationship Id="rId46" Target="worksheets/sheet46.xml" Type="http://schemas.openxmlformats.org/officeDocument/2006/relationships/worksheet"/><Relationship Id="rId47" Target="worksheets/sheet47.xml" Type="http://schemas.openxmlformats.org/officeDocument/2006/relationships/worksheet"/><Relationship Id="rId48" Target="worksheets/sheet48.xml" Type="http://schemas.openxmlformats.org/officeDocument/2006/relationships/worksheet"/><Relationship Id="rId49" Target="worksheets/sheet49.xml" Type="http://schemas.openxmlformats.org/officeDocument/2006/relationships/worksheet"/><Relationship Id="rId5" Target="worksheets/sheet5.xml" Type="http://schemas.openxmlformats.org/officeDocument/2006/relationships/worksheet"/><Relationship Id="rId50" Target="worksheets/sheet50.xml" Type="http://schemas.openxmlformats.org/officeDocument/2006/relationships/worksheet"/><Relationship Id="rId51" Target="worksheets/sheet51.xml" Type="http://schemas.openxmlformats.org/officeDocument/2006/relationships/worksheet"/><Relationship Id="rId52" Target="worksheets/sheet52.xml" Type="http://schemas.openxmlformats.org/officeDocument/2006/relationships/worksheet"/><Relationship Id="rId53" Target="worksheets/sheet53.xml" Type="http://schemas.openxmlformats.org/officeDocument/2006/relationships/worksheet"/><Relationship Id="rId54" Target="worksheets/sheet54.xml" Type="http://schemas.openxmlformats.org/officeDocument/2006/relationships/worksheet"/><Relationship Id="rId55" Target="worksheets/sheet55.xml" Type="http://schemas.openxmlformats.org/officeDocument/2006/relationships/worksheet"/><Relationship Id="rId56" Target="worksheets/sheet56.xml" Type="http://schemas.openxmlformats.org/officeDocument/2006/relationships/worksheet"/><Relationship Id="rId57" Target="worksheets/sheet57.xml" Type="http://schemas.openxmlformats.org/officeDocument/2006/relationships/worksheet"/><Relationship Id="rId58" Target="worksheets/sheet58.xml" Type="http://schemas.openxmlformats.org/officeDocument/2006/relationships/worksheet"/><Relationship Id="rId59" Target="worksheets/sheet59.xml" Type="http://schemas.openxmlformats.org/officeDocument/2006/relationships/worksheet"/><Relationship Id="rId6" Target="worksheets/sheet6.xml" Type="http://schemas.openxmlformats.org/officeDocument/2006/relationships/worksheet"/><Relationship Id="rId60" Target="worksheets/sheet60.xml" Type="http://schemas.openxmlformats.org/officeDocument/2006/relationships/worksheet"/><Relationship Id="rId61" Target="worksheets/sheet61.xml" Type="http://schemas.openxmlformats.org/officeDocument/2006/relationships/worksheet"/><Relationship Id="rId62" Target="worksheets/sheet62.xml" Type="http://schemas.openxmlformats.org/officeDocument/2006/relationships/worksheet"/><Relationship Id="rId63" Target="worksheets/sheet63.xml" Type="http://schemas.openxmlformats.org/officeDocument/2006/relationships/worksheet"/><Relationship Id="rId64" Target="worksheets/sheet64.xml" Type="http://schemas.openxmlformats.org/officeDocument/2006/relationships/worksheet"/><Relationship Id="rId65" Target="worksheets/sheet65.xml" Type="http://schemas.openxmlformats.org/officeDocument/2006/relationships/worksheet"/><Relationship Id="rId66" Target="worksheets/sheet66.xml" Type="http://schemas.openxmlformats.org/officeDocument/2006/relationships/worksheet"/><Relationship Id="rId67" Target="worksheets/sheet67.xml" Type="http://schemas.openxmlformats.org/officeDocument/2006/relationships/worksheet"/><Relationship Id="rId68" Target="worksheets/sheet68.xml" Type="http://schemas.openxmlformats.org/officeDocument/2006/relationships/worksheet"/><Relationship Id="rId69" Target="worksheets/sheet69.xml" Type="http://schemas.openxmlformats.org/officeDocument/2006/relationships/worksheet"/><Relationship Id="rId7" Target="worksheets/sheet7.xml" Type="http://schemas.openxmlformats.org/officeDocument/2006/relationships/worksheet"/><Relationship Id="rId70" Target="worksheets/sheet70.xml" Type="http://schemas.openxmlformats.org/officeDocument/2006/relationships/worksheet"/><Relationship Id="rId71" Target="worksheets/sheet71.xml" Type="http://schemas.openxmlformats.org/officeDocument/2006/relationships/worksheet"/><Relationship Id="rId72" Target="worksheets/sheet72.xml" Type="http://schemas.openxmlformats.org/officeDocument/2006/relationships/worksheet"/><Relationship Id="rId73" Target="worksheets/sheet73.xml" Type="http://schemas.openxmlformats.org/officeDocument/2006/relationships/worksheet"/><Relationship Id="rId74" Target="worksheets/sheet74.xml" Type="http://schemas.openxmlformats.org/officeDocument/2006/relationships/worksheet"/><Relationship Id="rId75" Target="worksheets/sheet75.xml" Type="http://schemas.openxmlformats.org/officeDocument/2006/relationships/worksheet"/><Relationship Id="rId76" Target="worksheets/sheet76.xml" Type="http://schemas.openxmlformats.org/officeDocument/2006/relationships/worksheet"/><Relationship Id="rId77" Target="worksheets/sheet77.xml" Type="http://schemas.openxmlformats.org/officeDocument/2006/relationships/worksheet"/><Relationship Id="rId78" Target="worksheets/sheet78.xml" Type="http://schemas.openxmlformats.org/officeDocument/2006/relationships/worksheet"/><Relationship Id="rId79" Target="worksheets/sheet79.xml" Type="http://schemas.openxmlformats.org/officeDocument/2006/relationships/worksheet"/><Relationship Id="rId8" Target="worksheets/sheet8.xml" Type="http://schemas.openxmlformats.org/officeDocument/2006/relationships/worksheet"/><Relationship Id="rId80" Target="worksheets/sheet80.xml" Type="http://schemas.openxmlformats.org/officeDocument/2006/relationships/worksheet"/><Relationship Id="rId81" Target="worksheets/sheet81.xml" Type="http://schemas.openxmlformats.org/officeDocument/2006/relationships/worksheet"/><Relationship Id="rId82" Target="worksheets/sheet82.xml" Type="http://schemas.openxmlformats.org/officeDocument/2006/relationships/worksheet"/><Relationship Id="rId83" Target="worksheets/sheet83.xml" Type="http://schemas.openxmlformats.org/officeDocument/2006/relationships/worksheet"/><Relationship Id="rId84" Target="worksheets/sheet84.xml" Type="http://schemas.openxmlformats.org/officeDocument/2006/relationships/worksheet"/><Relationship Id="rId85" Target="worksheets/sheet85.xml" Type="http://schemas.openxmlformats.org/officeDocument/2006/relationships/worksheet"/><Relationship Id="rId86" Target="worksheets/sheet86.xml" Type="http://schemas.openxmlformats.org/officeDocument/2006/relationships/worksheet"/><Relationship Id="rId87" Target="worksheets/sheet87.xml" Type="http://schemas.openxmlformats.org/officeDocument/2006/relationships/worksheet"/><Relationship Id="rId88" Target="worksheets/sheet88.xml" Type="http://schemas.openxmlformats.org/officeDocument/2006/relationships/worksheet"/><Relationship Id="rId89" Target="theme/theme1.xml" Type="http://schemas.openxmlformats.org/officeDocument/2006/relationships/theme"/><Relationship Id="rId9" Target="worksheets/sheet9.xml" Type="http://schemas.openxmlformats.org/officeDocument/2006/relationships/worksheet"/><Relationship Id="rId90" Target="styles.xml" Type="http://schemas.openxmlformats.org/officeDocument/2006/relationships/styles"/><Relationship Id="rId91" Target="sharedStrings.xml" Type="http://schemas.openxmlformats.org/officeDocument/2006/relationships/sharedStrings"/><Relationship Id="rId93" Target="../customXml/item1.xml" Type="http://schemas.openxmlformats.org/officeDocument/2006/relationships/customXml"/><Relationship Id="rId94" Target="../customXml/item2.xml" Type="http://schemas.openxmlformats.org/officeDocument/2006/relationships/customXml"/><Relationship Id="rId95" Target="../customXml/item3.xml" Type="http://schemas.openxmlformats.org/officeDocument/2006/relationships/customXml"/><Relationship Id="rId96" Target="vbaProject.bin" Type="http://schemas.microsoft.com/office/2006/relationships/vbaProject"/></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Drop" dropLines="7" dropStyle="combo" dx="22" fmlaLink="$A$24" fmlaRange="$A$25:$A$31" noThreeD="1" sel="5" val="0"/>
</file>

<file path=xl/ctrlProps/ctrlProp11.xml><?xml version="1.0" encoding="utf-8"?>
<formControlPr xmlns="http://schemas.microsoft.com/office/spreadsheetml/2009/9/main" objectType="Drop" dropLines="7" dropStyle="combo" dx="22" fmlaLink="target!$A$33" fmlaRange="$A$1:$A$7" noThreeD="1" sel="4" val="0"/>
</file>

<file path=xl/ctrlProps/ctrlProp12.xml><?xml version="1.0" encoding="utf-8"?>
<formControlPr xmlns="http://schemas.microsoft.com/office/spreadsheetml/2009/9/main" objectType="Drop" dropLines="17" dropStyle="combo" dx="22" fmlaLink="target!$A$9" fmlaRange="$A$1:$A$17" noThreeD="1" sel="4" val="0"/>
</file>

<file path=xl/ctrlProps/ctrlProp13.xml><?xml version="1.0" encoding="utf-8"?>
<formControlPr xmlns="http://schemas.microsoft.com/office/spreadsheetml/2009/9/main" objectType="Drop" dropLines="12" dropStyle="combo" dx="22" fmlaLink="target!$A$13" fmlaRange="$A$1:$A$12" noThreeD="1" sel="4" val="0"/>
</file>

<file path=xl/ctrlProps/ctrlProp14.xml><?xml version="1.0" encoding="utf-8"?>
<formControlPr xmlns="http://schemas.microsoft.com/office/spreadsheetml/2009/9/main" objectType="Drop" dropLines="7" dropStyle="combo" dx="22" fmlaLink="target!$A$17" fmlaRange="$A$1:$A$7" noThreeD="1" sel="4" val="0"/>
</file>

<file path=xl/ctrlProps/ctrlProp15.xml><?xml version="1.0" encoding="utf-8"?>
<formControlPr xmlns="http://schemas.microsoft.com/office/spreadsheetml/2009/9/main" objectType="Drop" dropStyle="combo" dx="22" fmlaLink="target!$A$21" fmlaRange="$A$1:$A$8" noThreeD="1" sel="4" val="0"/>
</file>

<file path=xl/ctrlProps/ctrlProp16.xml><?xml version="1.0" encoding="utf-8"?>
<formControlPr xmlns="http://schemas.microsoft.com/office/spreadsheetml/2009/9/main" objectType="Drop" dropLines="9" dropStyle="combo" dx="22" fmlaLink="target!$A$25" fmlaRange="$A$1:$A$9" noThreeD="1" sel="4" val="0"/>
</file>

<file path=xl/ctrlProps/ctrlProp17.xml><?xml version="1.0" encoding="utf-8"?>
<formControlPr xmlns="http://schemas.microsoft.com/office/spreadsheetml/2009/9/main" objectType="Drop" dropLines="3" dropStyle="combo" dx="22" fmlaLink="target!$A$29" fmlaRange="$A$1:$A$3" noThreeD="1" sel="3" val="0"/>
</file>

<file path=xl/ctrlProps/ctrlProp18.xml><?xml version="1.0" encoding="utf-8"?>
<formControlPr xmlns="http://schemas.microsoft.com/office/spreadsheetml/2009/9/main" objectType="Drop" dropLines="5" dropStyle="combo" dx="22" fmlaLink="target!$A$49" fmlaRange="$A$1:$A$4" noThreeD="1" sel="1" val="0"/>
</file>

<file path=xl/ctrlProps/ctrlProp19.xml><?xml version="1.0" encoding="utf-8"?>
<formControlPr xmlns="http://schemas.microsoft.com/office/spreadsheetml/2009/9/main" objectType="Drop" dropLines="10" dropStyle="combo" dx="22" fmlaLink="target!$A$53" fmlaRange="$A$1:$A$10" noThreeD="1" sel="1" val="0"/>
</file>

<file path=xl/ctrlProps/ctrlProp20.xml><?xml version="1.0" encoding="utf-8"?>
<formControlPr xmlns="http://schemas.microsoft.com/office/spreadsheetml/2009/9/main" objectType="Drop" dropLines="6" dropStyle="combo" dx="22" fmlaLink="target!$A$57" fmlaRange="$A$1:$A$6" noThreeD="1" sel="1" val="0"/>
</file>

<file path=xl/ctrlProps/ctrlProp21.xml><?xml version="1.0" encoding="utf-8"?>
<formControlPr xmlns="http://schemas.microsoft.com/office/spreadsheetml/2009/9/main" objectType="Drop" dropLines="4" dropStyle="combo" dx="22" fmlaLink="target!$A$61" fmlaRange="$A$1:$A$4" noThreeD="1" sel="1" val="0"/>
</file>

<file path=xl/ctrlProps/ctrlProp22.xml><?xml version="1.0" encoding="utf-8"?>
<formControlPr xmlns="http://schemas.microsoft.com/office/spreadsheetml/2009/9/main" objectType="Drop" dropLines="4" dropStyle="combo" dx="22" fmlaLink="target!$A$65" fmlaRange="$A$1:$A$4" noThreeD="1" sel="1" val="0"/>
</file>

<file path=xl/ctrlProps/ctrlProp23.xml><?xml version="1.0" encoding="utf-8"?>
<formControlPr xmlns="http://schemas.microsoft.com/office/spreadsheetml/2009/9/main" objectType="Drop" dropLines="5" dropStyle="combo" dx="22" fmlaLink="target!$A$69" fmlaRange="$A$1:$A$5" noThreeD="1" sel="1" val="0"/>
</file>

<file path=xl/ctrlProps/ctrlProp24.xml><?xml version="1.0" encoding="utf-8"?>
<formControlPr xmlns="http://schemas.microsoft.com/office/spreadsheetml/2009/9/main" objectType="Drop" dropLines="11" dropStyle="combo" dx="22" fmlaLink="target!$A$73" fmlaRange="$A$1:$A$12" noThreeD="1" sel="1" val="0"/>
</file>

<file path=xl/ctrlProps/ctrlProp25.xml><?xml version="1.0" encoding="utf-8"?>
<formControlPr xmlns="http://schemas.microsoft.com/office/spreadsheetml/2009/9/main" objectType="Drop" dropLines="10" dropStyle="combo" dx="22" fmlaLink="target!$A$77" fmlaRange="$A$1:$A$10" noThreeD="1" sel="1" val="0"/>
</file>

<file path=xl/ctrlProps/ctrlProp26.xml><?xml version="1.0" encoding="utf-8"?>
<formControlPr xmlns="http://schemas.microsoft.com/office/spreadsheetml/2009/9/main" objectType="Drop" dropLines="12" dropStyle="combo" dx="22" fmlaLink="target!$A$81" fmlaRange="$A$1:$A$12" noThreeD="1" sel="1" val="0"/>
</file>

<file path=xl/ctrlProps/ctrlProp27.xml><?xml version="1.0" encoding="utf-8"?>
<formControlPr xmlns="http://schemas.microsoft.com/office/spreadsheetml/2009/9/main" objectType="Drop" dropLines="5" dropStyle="combo" dx="22" fmlaLink="target!$A$37" fmlaRange="$A$1:$A$5" noThreeD="1" sel="4" val="0"/>
</file>

<file path=xl/ctrlProps/ctrlProp28.xml><?xml version="1.0" encoding="utf-8"?>
<formControlPr xmlns="http://schemas.microsoft.com/office/spreadsheetml/2009/9/main" objectType="Drop" dropLines="7" dropStyle="combo" dx="22" fmlaLink="target!$A$41" fmlaRange="$A$1:$A$7" noThreeD="1" sel="4" val="0"/>
</file>

<file path=xl/ctrlProps/ctrlProp29.xml><?xml version="1.0" encoding="utf-8"?>
<formControlPr xmlns="http://schemas.microsoft.com/office/spreadsheetml/2009/9/main" objectType="CheckBox" fmlaLink="$A$21" lockText="1" noThreeD="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Drop" dropLines="12" dropStyle="combo" dx="22" fmlaLink="target!$A$85" fmlaRange="$A$1:$A$12" noThreeD="1" sel="4" val="0"/>
</file>

<file path=xl/ctrlProps/ctrlProp36.xml><?xml version="1.0" encoding="utf-8"?>
<formControlPr xmlns="http://schemas.microsoft.com/office/spreadsheetml/2009/9/main" objectType="Drop" dropLines="12" dropStyle="combo" dx="22" fmlaLink="target!$A$89" fmlaRange="$A$1:$A$12" noThreeD="1" sel="1" val="0"/>
</file>

<file path=xl/ctrlProps/ctrlProp37.xml><?xml version="1.0" encoding="utf-8"?>
<formControlPr xmlns="http://schemas.microsoft.com/office/spreadsheetml/2009/9/main" objectType="Drop" dropLines="7" dropStyle="combo" dx="22" fmlaLink="target!$A$93" fmlaRange="$A$1:$A$7" noThreeD="1" sel="1" val="0"/>
</file>

<file path=xl/ctrlProps/ctrlProp38.xml><?xml version="1.0" encoding="utf-8"?>
<formControlPr xmlns="http://schemas.microsoft.com/office/spreadsheetml/2009/9/main" objectType="Drop" dropLines="9" dropStyle="combo" dx="22" fmlaLink="target!$A$97" fmlaRange="$A$1:$A$9" noThreeD="1" sel="1" val="0"/>
</file>

<file path=xl/ctrlProps/ctrlProp39.xml><?xml version="1.0" encoding="utf-8"?>
<formControlPr xmlns="http://schemas.microsoft.com/office/spreadsheetml/2009/9/main" objectType="Drop" dropLines="10" dropStyle="combo" dx="22" fmlaLink="target!$A$101" fmlaRange="$A$1:$A$10" noThreeD="1" sel="4" val="0"/>
</file>

<file path=xl/ctrlProps/ctrlProp40.xml><?xml version="1.0" encoding="utf-8"?>
<formControlPr xmlns="http://schemas.microsoft.com/office/spreadsheetml/2009/9/main" objectType="Drop" dropStyle="combo" dx="22" fmlaLink="target!$A$105" fmlaRange="$A$1:$A$8" noThreeD="1" sel="1" val="0"/>
</file>

<file path=xl/ctrlProps/ctrlProp41.xml><?xml version="1.0" encoding="utf-8"?>
<formControlPr xmlns="http://schemas.microsoft.com/office/spreadsheetml/2009/9/main" objectType="Drop" dropLines="7" dropStyle="combo" dx="22" fmlaLink="target!$A$109" fmlaRange="$A$1:$A$7" noThreeD="1" sel="1" val="0"/>
</file>

<file path=xl/ctrlProps/ctrlProp42.xml><?xml version="1.0" encoding="utf-8"?>
<formControlPr xmlns="http://schemas.microsoft.com/office/spreadsheetml/2009/9/main" objectType="Drop" dropLines="9" dropStyle="combo" dx="22" fmlaLink="target!$A$113" fmlaRange="$A$1:$A$9" noThreeD="1" sel="1" val="0"/>
</file>

<file path=xl/ctrlProps/ctrlProp43.xml><?xml version="1.0" encoding="utf-8"?>
<formControlPr xmlns="http://schemas.microsoft.com/office/spreadsheetml/2009/9/main" objectType="Drop" dropLines="11" dropStyle="combo" dx="22" fmlaLink="target!$A$125" fmlaRange="$A$1:$A$11" noThreeD="1" sel="1" val="0"/>
</file>

<file path=xl/ctrlProps/ctrlProp44.xml><?xml version="1.0" encoding="utf-8"?>
<formControlPr xmlns="http://schemas.microsoft.com/office/spreadsheetml/2009/9/main" objectType="Drop" dropLines="9" dropStyle="combo" dx="22" fmlaLink="target!$A$129" fmlaRange="$A$1:$A$9" noThreeD="1" sel="1" val="0"/>
</file>

<file path=xl/ctrlProps/ctrlProp45.xml><?xml version="1.0" encoding="utf-8"?>
<formControlPr xmlns="http://schemas.microsoft.com/office/spreadsheetml/2009/9/main" objectType="Drop" dropLines="5" dropStyle="combo" dx="22" fmlaLink="target!$A$137" fmlaRange="$A$1:$A$5" noThreeD="1" sel="1" val="0"/>
</file>

<file path=xl/ctrlProps/ctrlProp46.xml><?xml version="1.0" encoding="utf-8"?>
<formControlPr xmlns="http://schemas.microsoft.com/office/spreadsheetml/2009/9/main" objectType="Drop" dropLines="13" dropStyle="combo" dx="22" fmlaLink="target!$A$141" fmlaRange="$A$1:$A$13" noThreeD="1" sel="1" val="0"/>
</file>

<file path=xl/ctrlProps/ctrlProp47.xml><?xml version="1.0" encoding="utf-8"?>
<formControlPr xmlns="http://schemas.microsoft.com/office/spreadsheetml/2009/9/main" objectType="Drop" dropLines="11" dropStyle="combo" dx="22" fmlaLink="target!$A$145" fmlaRange="$A$1:$A$11" noThreeD="1" sel="1" val="0"/>
</file>

<file path=xl/ctrlProps/ctrlProp48.xml><?xml version="1.0" encoding="utf-8"?>
<formControlPr xmlns="http://schemas.microsoft.com/office/spreadsheetml/2009/9/main" objectType="Drop" dropLines="9" dropStyle="combo" dx="22" fmlaLink="target!$A$149" fmlaRange="$A$1:$A$9" noThreeD="1" sel="4" val="0"/>
</file>

<file path=xl/ctrlProps/ctrlProp49.xml><?xml version="1.0" encoding="utf-8"?>
<formControlPr xmlns="http://schemas.microsoft.com/office/spreadsheetml/2009/9/main" objectType="CheckBox" fmlaLink="$A$23" lockText="1" noThreeD="1"/>
</file>

<file path=xl/ctrlProps/ctrlProp50.xml><?xml version="1.0" encoding="utf-8"?>
<formControlPr xmlns="http://schemas.microsoft.com/office/spreadsheetml/2009/9/main" objectType="Drop" dropLines="9" dropStyle="combo" dx="22" fmlaLink="target!$A$117" fmlaRange="$A$1:$A$9" noThreeD="1" sel="9" val="0"/>
</file>

<file path=xl/ctrlProps/ctrlProp51.xml><?xml version="1.0" encoding="utf-8"?>
<formControlPr xmlns="http://schemas.microsoft.com/office/spreadsheetml/2009/9/main" objectType="Drop" dropLines="12" dropStyle="combo" dx="22" fmlaLink="target!$A$121" fmlaRange="$A$1:$A$12" noThreeD="1" sel="4" val="0"/>
</file>

<file path=xl/ctrlProps/ctrlProp52.xml><?xml version="1.0" encoding="utf-8"?>
<formControlPr xmlns="http://schemas.microsoft.com/office/spreadsheetml/2009/9/main" objectType="CheckBox" checked="Checked" fmlaLink="$N$7" lockText="1" noThreeD="1"/>
</file>

<file path=xl/ctrlProps/ctrlProp53.xml><?xml version="1.0" encoding="utf-8"?>
<formControlPr xmlns="http://schemas.microsoft.com/office/spreadsheetml/2009/9/main" objectType="CheckBox" fmlaLink="$N$8" lockText="1" noThreeD="1"/>
</file>

<file path=xl/ctrlProps/ctrlProp54.xml><?xml version="1.0" encoding="utf-8"?>
<formControlPr xmlns="http://schemas.microsoft.com/office/spreadsheetml/2009/9/main" objectType="CheckBox" checked="Checked" fmlaLink="$N$9" lockText="1" noThreeD="1"/>
</file>

<file path=xl/ctrlProps/ctrlProp55.xml><?xml version="1.0" encoding="utf-8"?>
<formControlPr xmlns="http://schemas.microsoft.com/office/spreadsheetml/2009/9/main" objectType="CheckBox" fmlaLink="$N$11" lockText="1" noThreeD="1"/>
</file>

<file path=xl/ctrlProps/ctrlProp56.xml><?xml version="1.0" encoding="utf-8"?>
<formControlPr xmlns="http://schemas.microsoft.com/office/spreadsheetml/2009/9/main" objectType="CheckBox" fmlaLink="$P$8" lockText="1" noThreeD="1"/>
</file>

<file path=xl/ctrlProps/ctrlProp57.xml><?xml version="1.0" encoding="utf-8"?>
<formControlPr xmlns="http://schemas.microsoft.com/office/spreadsheetml/2009/9/main" objectType="CheckBox" fmlaLink="$P$9" lockText="1" noThreeD="1"/>
</file>

<file path=xl/ctrlProps/ctrlProp58.xml><?xml version="1.0" encoding="utf-8"?>
<formControlPr xmlns="http://schemas.microsoft.com/office/spreadsheetml/2009/9/main" objectType="CheckBox" fmlaLink="$P$10" lockText="1" noThreeD="1"/>
</file>

<file path=xl/ctrlProps/ctrlProp59.xml><?xml version="1.0" encoding="utf-8"?>
<formControlPr xmlns="http://schemas.microsoft.com/office/spreadsheetml/2009/9/main" objectType="CheckBox" fmlaLink="$P$7" lockText="1" noThreeD="1"/>
</file>

<file path=xl/ctrlProps/ctrlProp60.xml><?xml version="1.0" encoding="utf-8"?>
<formControlPr xmlns="http://schemas.microsoft.com/office/spreadsheetml/2009/9/main" objectType="CheckBox" fmlaLink="$N$10" lockText="1" noThreeD="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CheckBox" fmlaLink="$P$11" lockText="1" noThreeD="1"/>
</file>

<file path=xl/ctrlProps/ctrlProp65.xml><?xml version="1.0" encoding="utf-8"?>
<formControlPr xmlns="http://schemas.microsoft.com/office/spreadsheetml/2009/9/main" objectType="CheckBox" checked="Checked" fmlaLink="$P$12" lockText="1" noThreeD="1"/>
</file>

<file path=xl/ctrlProps/ctrlProp66.xml><?xml version="1.0" encoding="utf-8"?>
<formControlPr xmlns="http://schemas.microsoft.com/office/spreadsheetml/2009/9/main" objectType="CheckBox" fmlaLink="$R$7" lockText="1" noThreeD="1"/>
</file>

<file path=xl/ctrlProps/ctrlProp67.xml><?xml version="1.0" encoding="utf-8"?>
<formControlPr xmlns="http://schemas.microsoft.com/office/spreadsheetml/2009/9/main" objectType="CheckBox" fmlaLink="$R$8" lockText="1" noThreeD="1"/>
</file>

<file path=xl/ctrlProps/ctrlProp68.xml><?xml version="1.0" encoding="utf-8"?>
<formControlPr xmlns="http://schemas.microsoft.com/office/spreadsheetml/2009/9/main" objectType="CheckBox" fmlaLink="$R$9" lockText="1" noThreeD="1"/>
</file>

<file path=xl/ctrlProps/ctrlProp69.xml><?xml version="1.0" encoding="utf-8"?>
<formControlPr xmlns="http://schemas.microsoft.com/office/spreadsheetml/2009/9/main" objectType="CheckBox" fmlaLink="$R$10" lockText="1" noThreeD="1"/>
</file>

<file path=xl/ctrlProps/ctrlProp70.xml><?xml version="1.0" encoding="utf-8"?>
<formControlPr xmlns="http://schemas.microsoft.com/office/spreadsheetml/2009/9/main" objectType="CheckBox" fmlaLink="$R$11" lockText="1" noThreeD="1"/>
</file>

<file path=xl/ctrlProps/ctrlProp71.xml><?xml version="1.0" encoding="utf-8"?>
<formControlPr xmlns="http://schemas.microsoft.com/office/spreadsheetml/2009/9/main" objectType="CheckBox" checked="Checked" fmlaLink="$N$12" lockText="1" noThreeD="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CheckBox" fmlaLink="$M$35" lockText="1" noThreeD="1"/>
</file>

<file path=xl/ctrlProps/ctrlProp74.xml><?xml version="1.0" encoding="utf-8"?>
<formControlPr xmlns="http://schemas.microsoft.com/office/spreadsheetml/2009/9/main" objectType="Drop" dropLines="2" dropStyle="combo" dx="22" fmlaLink="$I$5" fmlaRange="data!$C$166:$C$167" noThreeD="1" sel="2" val="0"/>
</file>

<file path=xl/ctrlProps/ctrlProp75.xml><?xml version="1.0" encoding="utf-8"?>
<formControlPr xmlns="http://schemas.microsoft.com/office/spreadsheetml/2009/9/main" objectType="Drop" dropLines="4" dropStyle="combo" dx="22" fmlaLink="$I$8" fmlaRange="$A$11:$A$14" noThreeD="1" sel="2" val="0"/>
</file>

<file path=xl/ctrlProps/ctrlProp76.xml><?xml version="1.0" encoding="utf-8"?>
<formControlPr xmlns="http://schemas.microsoft.com/office/spreadsheetml/2009/9/main" objectType="CheckBox" fmlaLink="'REL(2)'!$N$5" lockText="1" noThreeD="1"/>
</file>

<file path=xl/ctrlProps/ctrlProp77.xml><?xml version="1.0" encoding="utf-8"?>
<formControlPr xmlns="http://schemas.microsoft.com/office/spreadsheetml/2009/9/main" objectType="CheckBox" fmlaLink="$N$37" lockText="1" noThreeD="1"/>
</file>

<file path=xl/ctrlProps/ctrlProp78.xml><?xml version="1.0" encoding="utf-8"?>
<formControlPr xmlns="http://schemas.microsoft.com/office/spreadsheetml/2009/9/main" objectType="CheckBox" fmlaLink="$N$41" lockText="1" noThreeD="1"/>
</file>

<file path=xl/ctrlProps/ctrlProp79.xml><?xml version="1.0" encoding="utf-8"?>
<formControlPr xmlns="http://schemas.microsoft.com/office/spreadsheetml/2009/9/main" objectType="CheckBox" fmlaLink="$N$42" lockText="1" noThreeD="1"/>
</file>

<file path=xl/ctrlProps/ctrlProp80.xml><?xml version="1.0" encoding="utf-8"?>
<formControlPr xmlns="http://schemas.microsoft.com/office/spreadsheetml/2009/9/main" objectType="Drop" dropLines="3" dropStyle="combo" dx="22" fmlaLink="$N$13" fmlaRange="$A$16:$A$18" noThreeD="1" sel="0" val="0"/>
</file>

<file path=xl/ctrlProps/ctrlProp81.xml><?xml version="1.0" encoding="utf-8"?>
<formControlPr xmlns="http://schemas.microsoft.com/office/spreadsheetml/2009/9/main" objectType="CheckBox" fmlaLink="$N$12" lockText="1" noThreeD="1"/>
</file>

<file path=xl/ctrlProps/ctrlProp82.xml><?xml version="1.0" encoding="utf-8"?>
<formControlPr xmlns="http://schemas.microsoft.com/office/spreadsheetml/2009/9/main" objectType="Drop" dropLines="3" dropStyle="combo" dx="22" fmlaLink="$N$25" fmlaRange="$A$24:$A$26" noThreeD="1" sel="0" val="0"/>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Drop" dropLines="3" dropStyle="combo" dx="22" fmlaLink="$F$5" fmlaRange="data!$C$173:$C$175" noThreeD="1" sel="1" val="0"/>
</file>

<file path=xl/ctrlProps/ctrlProp86.xml><?xml version="1.0" encoding="utf-8"?>
<formControlPr xmlns="http://schemas.microsoft.com/office/spreadsheetml/2009/9/main" objectType="Drop" dropLines="2" dropStyle="combo" dx="22" fmlaLink="$F$9" fmlaRange="data!$C$170:$C$171" noThreeD="1" sel="2" val="0"/>
</file>

<file path=xl/ctrlProps/ctrlProp87.xml><?xml version="1.0" encoding="utf-8"?>
<formControlPr xmlns="http://schemas.microsoft.com/office/spreadsheetml/2009/9/main" objectType="Drop" dropLines="3" dropStyle="combo" dx="22" fmlaLink="$F$13" fmlaRange="data!$C$177:$C$179" noThreeD="1" sel="1" val="0"/>
</file>

<file path=xl/ctrlProps/ctrlProp88.xml><?xml version="1.0" encoding="utf-8"?>
<formControlPr xmlns="http://schemas.microsoft.com/office/spreadsheetml/2009/9/main" objectType="Drop" dropLines="13" dropStyle="combo" dx="22" fmlaLink="$F$17" fmlaRange="data!$C$184:$C$196" noThreeD="1" sel="1" val="0"/>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CheckBox" fmlaLink="SE!$M$21" lockText="1" noThreeD="1"/>
</file>

<file path=xl/ctrlProps/ctrlProp92.xml><?xml version="1.0" encoding="utf-8"?>
<formControlPr xmlns="http://schemas.microsoft.com/office/spreadsheetml/2009/9/main" objectType="CheckBox" fmlaLink="SE!$L$21" lockText="1" noThreeD="1"/>
</file>

<file path=xl/ctrlProps/ctrlProp93.xml><?xml version="1.0" encoding="utf-8"?>
<formControlPr xmlns="http://schemas.microsoft.com/office/spreadsheetml/2009/9/main" objectType="CheckBox" fmlaLink="SE!$L$20" lockText="1" noThreeD="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CheckBox" fmlaLink="$M$20" lockText="1" noThreeD="1"/>
</file>

<file path=xl/ctrlProps/ctrlProp96.xml><?xml version="1.0" encoding="utf-8"?>
<formControlPr xmlns="http://schemas.microsoft.com/office/spreadsheetml/2009/9/main" objectType="CheckBox" fmlaLink="LUN!$P$20" lockText="1" noThreeD="1"/>
</file>

<file path=xl/ctrlProps/ctrlProp97.xml><?xml version="1.0" encoding="utf-8"?>
<formControlPr xmlns="http://schemas.microsoft.com/office/spreadsheetml/2009/9/main" objectType="CheckBox" fmlaLink="LUN!$P$19" lockText="1" noThreeD="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CheckBox" fmlaLink="PS!$R$20" lockText="1" noThreeD="1"/>
</file>

<file path=xl/ctrlProps/ctrlProp100.xml><?xml version="1.0" encoding="utf-8"?>
<formControlPr xmlns="http://schemas.microsoft.com/office/spreadsheetml/2009/9/main" objectType="CheckBox" fmlaLink="$S$20" lockText="1" noThreeD="1"/>
</file>

<file path=xl/ctrlProps/ctrlProp101.xml><?xml version="1.0" encoding="utf-8"?>
<formControlPr xmlns="http://schemas.microsoft.com/office/spreadsheetml/2009/9/main" objectType="CheckBox" fmlaLink="PS!$R$19" lockText="1" noThreeD="1"/>
</file>

<file path=xl/ctrlProps/ctrlProp102.xml><?xml version="1.0" encoding="utf-8"?>
<formControlPr xmlns="http://schemas.microsoft.com/office/spreadsheetml/2009/9/main" objectType="CheckBox" fmlaLink="PS!$S$19" lockText="1" noThreeD="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Drop" dropLines="3" dropStyle="combo" dx="22" fmlaLink="$O$23" fmlaRange="$O$20:$O$22" noThreeD="1" sel="2" val="0"/>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CheckBox" fmlaLink="$S$20" lockText="1" noThreeD="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Drop" dropLines="6" dropStyle="combo" dx="22" fmlaLink="$R$11" fmlaRange="$S$2:$S$7" sel="1" val="0"/>
</file>

<file path=xl/ctrlProps/ctrlProp110.xml><?xml version="1.0" encoding="utf-8"?>
<formControlPr xmlns="http://schemas.microsoft.com/office/spreadsheetml/2009/9/main" objectType="Drop" dropLines="6" dropStyle="combo" dx="22" fmlaLink="$R$12" fmlaRange="$S$2:$S$7" sel="1" val="0"/>
</file>

<file path=xl/ctrlProps/ctrlProp111.xml><?xml version="1.0" encoding="utf-8"?>
<formControlPr xmlns="http://schemas.microsoft.com/office/spreadsheetml/2009/9/main" objectType="Drop" dropLines="6" dropStyle="combo" dx="22" fmlaLink="$R$13" fmlaRange="$S$2:$S$7" sel="1" val="0"/>
</file>

<file path=xl/ctrlProps/ctrlProp112.xml><?xml version="1.0" encoding="utf-8"?>
<formControlPr xmlns="http://schemas.microsoft.com/office/spreadsheetml/2009/9/main" objectType="Drop" dropLines="6" dropStyle="combo" dx="22" fmlaLink="$R$14" fmlaRange="$S$2:$S$7" sel="1" val="0"/>
</file>

<file path=xl/ctrlProps/ctrlProp113.xml><?xml version="1.0" encoding="utf-8"?>
<formControlPr xmlns="http://schemas.microsoft.com/office/spreadsheetml/2009/9/main" objectType="Drop" dropLines="12" dropStyle="combo" dx="22" fmlaLink="$T$11" fmlaRange="$R$22:$R$33" noThreeD="1" sel="1" val="0"/>
</file>

<file path=xl/ctrlProps/ctrlProp114.xml><?xml version="1.0" encoding="utf-8"?>
<formControlPr xmlns="http://schemas.microsoft.com/office/spreadsheetml/2009/9/main" objectType="Drop" dropLines="12" dropStyle="combo" dx="22" fmlaLink="$T$12" fmlaRange="$R$22:$R$33" noThreeD="1" sel="1" val="0"/>
</file>

<file path=xl/ctrlProps/ctrlProp115.xml><?xml version="1.0" encoding="utf-8"?>
<formControlPr xmlns="http://schemas.microsoft.com/office/spreadsheetml/2009/9/main" objectType="Drop" dropLines="12" dropStyle="combo" dx="22" fmlaLink="$T$13" fmlaRange="$R$22:$R$33" noThreeD="1" sel="1" val="0"/>
</file>

<file path=xl/ctrlProps/ctrlProp116.xml><?xml version="1.0" encoding="utf-8"?>
<formControlPr xmlns="http://schemas.microsoft.com/office/spreadsheetml/2009/9/main" objectType="Drop" dropLines="12" dropStyle="combo" dx="22" fmlaLink="$T$14" fmlaRange="$R$22:$R$33" noThreeD="1" sel="1" val="0"/>
</file>

<file path=xl/ctrlProps/ctrlProp117.xml><?xml version="1.0" encoding="utf-8"?>
<formControlPr xmlns="http://schemas.microsoft.com/office/spreadsheetml/2009/9/main" objectType="Drop" dropLines="6" dropStyle="combo" dx="22" fmlaLink="$R$15" fmlaRange="$S$2:$S$7" sel="1" val="0"/>
</file>

<file path=xl/ctrlProps/ctrlProp118.xml><?xml version="1.0" encoding="utf-8"?>
<formControlPr xmlns="http://schemas.microsoft.com/office/spreadsheetml/2009/9/main" objectType="Drop" dropLines="12" dropStyle="combo" dx="22" fmlaLink="$T$15" fmlaRange="$R$22:$R$33" noThreeD="1" sel="1" val="0"/>
</file>

<file path=xl/ctrlProps/ctrlProp119.xml><?xml version="1.0" encoding="utf-8"?>
<formControlPr xmlns="http://schemas.microsoft.com/office/spreadsheetml/2009/9/main" objectType="Drop" dropLines="6" dropStyle="combo" dx="22" fmlaLink="$R$16" fmlaRange="$S$2:$S$7" sel="1" val="0"/>
</file>

<file path=xl/ctrlProps/ctrlProp120.xml><?xml version="1.0" encoding="utf-8"?>
<formControlPr xmlns="http://schemas.microsoft.com/office/spreadsheetml/2009/9/main" objectType="Drop" dropLines="12" dropStyle="combo" dx="22" fmlaLink="$T$16" fmlaRange="$R$22:$R$33" noThreeD="1" sel="1" val="0"/>
</file>

<file path=xl/ctrlProps/ctrlProp121.xml><?xml version="1.0" encoding="utf-8"?>
<formControlPr xmlns="http://schemas.microsoft.com/office/spreadsheetml/2009/9/main" objectType="Drop" dropLines="6" dropStyle="combo" dx="22" fmlaLink="$R$17" fmlaRange="$S$2:$S$7" sel="1" val="0"/>
</file>

<file path=xl/ctrlProps/ctrlProp122.xml><?xml version="1.0" encoding="utf-8"?>
<formControlPr xmlns="http://schemas.microsoft.com/office/spreadsheetml/2009/9/main" objectType="Drop" dropLines="12" dropStyle="combo" dx="22" fmlaLink="$T$17" fmlaRange="$R$22:$R$33" noThreeD="1" sel="1" val="0"/>
</file>

<file path=xl/ctrlProps/ctrlProp123.xml><?xml version="1.0" encoding="utf-8"?>
<formControlPr xmlns="http://schemas.microsoft.com/office/spreadsheetml/2009/9/main" objectType="Drop" dropLines="6" dropStyle="combo" dx="22" fmlaLink="$R$18" fmlaRange="$S$2:$S$7" sel="1" val="0"/>
</file>

<file path=xl/ctrlProps/ctrlProp124.xml><?xml version="1.0" encoding="utf-8"?>
<formControlPr xmlns="http://schemas.microsoft.com/office/spreadsheetml/2009/9/main" objectType="Drop" dropLines="12" dropStyle="combo" dx="22" fmlaLink="$T$18" fmlaRange="$R$22:$R$33" noThreeD="1" sel="1" val="0"/>
</file>

<file path=xl/ctrlProps/ctrlProp125.xml><?xml version="1.0" encoding="utf-8"?>
<formControlPr xmlns="http://schemas.microsoft.com/office/spreadsheetml/2009/9/main" objectType="Drop" dropLines="6" dropStyle="combo" dx="22" fmlaLink="$R$19" fmlaRange="$S$2:$S$7" sel="1" val="0"/>
</file>

<file path=xl/ctrlProps/ctrlProp126.xml><?xml version="1.0" encoding="utf-8"?>
<formControlPr xmlns="http://schemas.microsoft.com/office/spreadsheetml/2009/9/main" objectType="Drop" dropLines="12" dropStyle="combo" dx="22" fmlaLink="$T$19" fmlaRange="$R$22:$R$33" noThreeD="1" sel="1" val="0"/>
</file>

<file path=xl/ctrlProps/ctrlProp127.xml><?xml version="1.0" encoding="utf-8"?>
<formControlPr xmlns="http://schemas.microsoft.com/office/spreadsheetml/2009/9/main" objectType="Drop" dropLines="6" dropStyle="combo" dx="22" fmlaLink="$R$20" fmlaRange="$S$2:$S$7" sel="1" val="0"/>
</file>

<file path=xl/ctrlProps/ctrlProp128.xml><?xml version="1.0" encoding="utf-8"?>
<formControlPr xmlns="http://schemas.microsoft.com/office/spreadsheetml/2009/9/main" objectType="Drop" dropLines="12" dropStyle="combo" dx="22" fmlaLink="$T$20" fmlaRange="$R$22:$R$33" noThreeD="1" sel="1" val="0"/>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CheckBox" fmlaLink="$W$24" noThreeD="1"/>
</file>

<file path=xl/ctrlProps/ctrlProp131.xml><?xml version="1.0" encoding="utf-8"?>
<formControlPr xmlns="http://schemas.microsoft.com/office/spreadsheetml/2009/9/main" objectType="CheckBox" fmlaLink="$Q$4" lockText="1" noThreeD="1"/>
</file>

<file path=xl/ctrlProps/ctrlProp132.xml><?xml version="1.0" encoding="utf-8"?>
<formControlPr xmlns="http://schemas.microsoft.com/office/spreadsheetml/2009/9/main" objectType="CheckBox" fmlaLink="$Q$8" lockText="1" noThreeD="1"/>
</file>

<file path=xl/ctrlProps/ctrlProp133.xml><?xml version="1.0" encoding="utf-8"?>
<formControlPr xmlns="http://schemas.microsoft.com/office/spreadsheetml/2009/9/main" objectType="CheckBox" fmlaLink="$Q$9" lockText="1" noThreeD="1"/>
</file>

<file path=xl/ctrlProps/ctrlProp134.xml><?xml version="1.0" encoding="utf-8"?>
<formControlPr xmlns="http://schemas.microsoft.com/office/spreadsheetml/2009/9/main" objectType="CheckBox" fmlaLink="$Q$10" lockText="1" noThreeD="1"/>
</file>

<file path=xl/ctrlProps/ctrlProp135.xml><?xml version="1.0" encoding="utf-8"?>
<formControlPr xmlns="http://schemas.microsoft.com/office/spreadsheetml/2009/9/main" objectType="CheckBox" fmlaLink="$Q$11" lockText="1" noThreeD="1"/>
</file>

<file path=xl/ctrlProps/ctrlProp136.xml><?xml version="1.0" encoding="utf-8"?>
<formControlPr xmlns="http://schemas.microsoft.com/office/spreadsheetml/2009/9/main" objectType="CheckBox" fmlaLink="$Q$13" lockText="1" noThreeD="1"/>
</file>

<file path=xl/ctrlProps/ctrlProp137.xml><?xml version="1.0" encoding="utf-8"?>
<formControlPr xmlns="http://schemas.microsoft.com/office/spreadsheetml/2009/9/main" objectType="CheckBox" fmlaLink="$Q$15" lockText="1" noThreeD="1"/>
</file>

<file path=xl/ctrlProps/ctrlProp138.xml><?xml version="1.0" encoding="utf-8"?>
<formControlPr xmlns="http://schemas.microsoft.com/office/spreadsheetml/2009/9/main" objectType="CheckBox" fmlaLink="$Q$12" lockText="1" noThreeD="1"/>
</file>

<file path=xl/ctrlProps/ctrlProp139.xml><?xml version="1.0" encoding="utf-8"?>
<formControlPr xmlns="http://schemas.microsoft.com/office/spreadsheetml/2009/9/main" objectType="CheckBox" fmlaLink="$Q$14" lockText="1" noThreeD="1"/>
</file>

<file path=xl/drawings/_rels/drawing3.xml.rels><?xml version="1.0" encoding="UTF-8" standalone="no"?><Relationships xmlns="http://schemas.openxmlformats.org/package/2006/relationships"><Relationship Id="rId1" Target="../media/image1.png" Type="http://schemas.openxmlformats.org/officeDocument/2006/relationships/image"/><Relationship Id="rId2" Target="../media/image2.emf" Type="http://schemas.openxmlformats.org/officeDocument/2006/relationships/image"/><Relationship Id="rId3" Target="../media/image3.png" Type="http://schemas.openxmlformats.org/officeDocument/2006/relationships/image"/><Relationship Id="rId4" Target="../media/image4.png" Type="http://schemas.openxmlformats.org/officeDocument/2006/relationships/image"/><Relationship Id="rId5" Target="../media/image5.png" Type="http://schemas.openxmlformats.org/officeDocument/2006/relationships/image"/><Relationship Id="rId6" Target="../media/image6.png" Type="http://schemas.openxmlformats.org/officeDocument/2006/relationships/image"/><Relationship Id="rId7" Target="../media/image7.png" Type="http://schemas.openxmlformats.org/officeDocument/2006/relationships/image"/><Relationship Id="rId8" Target="../media/image8.png" Type="http://schemas.openxmlformats.org/officeDocument/2006/relationships/image"/><Relationship Id="rId9" Target="../media/image9.png" Type="http://schemas.openxmlformats.org/officeDocument/2006/relationships/image"/></Relationships>
</file>

<file path=xl/drawings/_rels/drawing8.xml.rels><?xml version="1.0" encoding="UTF-8" standalone="no"?><Relationships xmlns="http://schemas.openxmlformats.org/package/2006/relationships"><Relationship Id="rId1" Target="../media/image10.jpeg" Type="http://schemas.openxmlformats.org/officeDocument/2006/relationships/image"/></Relationships>
</file>

<file path=xl/drawings/_rels/drawing25.xml.rels><?xml version="1.0" encoding="UTF-8" standalone="no"?><Relationships xmlns="http://schemas.openxmlformats.org/package/2006/relationships"><Relationship Id="rId1" Target="../media/image10.jpeg" Type="http://schemas.openxmlformats.org/officeDocument/2006/relationships/image"/></Relationships>
</file>

<file path=xl/drawings/_rels/drawing26.xml.rels><?xml version="1.0" encoding="UTF-8" standalone="no"?><Relationships xmlns="http://schemas.openxmlformats.org/package/2006/relationships"><Relationship Id="rId1" Target="../media/image10.jpeg" Type="http://schemas.openxmlformats.org/officeDocument/2006/relationships/image"/></Relationships>
</file>

<file path=xl/drawings/drawing1.xml><?xml version="1.0" encoding="utf-8"?>
<xdr:wsDr xmlns:a="http://schemas.openxmlformats.org/drawingml/2006/main" xmlns:xdr="http://schemas.openxmlformats.org/drawingml/2006/spreadsheetDrawing">
  <mc:AlternateContent xmlns:mc="http://schemas.openxmlformats.org/markup-compatibility/2006">
    <mc:Choice xmlns:a14="http://schemas.microsoft.com/office/drawing/2010/main" Requires="a14">
      <xdr:twoCellAnchor>
        <xdr:from>
          <xdr:col>5</xdr:col>
          <xdr:colOff>152400</xdr:colOff>
          <xdr:row>54</xdr:row>
          <xdr:rowOff>47625</xdr:rowOff>
        </xdr:from>
        <xdr:to>
          <xdr:col>7</xdr:col>
          <xdr:colOff>285750</xdr:colOff>
          <xdr:row>56</xdr:row>
          <xdr:rowOff>76200</xdr:rowOff>
        </xdr:to>
        <xdr:sp macro="" textlink="">
          <xdr:nvSpPr>
            <xdr:cNvPr hidden="1" id="46081" name="Button 1">
              <a:extLst>
                <a:ext uri="{63B3BB69-23CF-44E3-9099-C40C66FF867C}">
                  <a14:compatExt spid="_x0000_s46081"/>
                </a:ext>
                <a:ext uri="{FF2B5EF4-FFF2-40B4-BE49-F238E27FC236}">
                  <a16:creationId xmlns:a16="http://schemas.microsoft.com/office/drawing/2014/main" id="{00000000-0008-0000-0100-000001B40000}"/>
                </a:ext>
              </a:extLst>
            </xdr:cNvPr>
            <xdr:cNvSpPr/>
          </xdr:nvSpPr>
          <xdr:spPr bwMode="auto">
            <a:xfrm>
              <a:off x="0" y="0"/>
              <a:ext cx="0" cy="0"/>
            </a:xfrm>
            <a:prstGeom prst="rect">
              <a:avLst/>
            </a:prstGeom>
            <a:noFill/>
            <a:ln w="9525">
              <a:miter lim="800000"/>
              <a:headEnd/>
              <a:tailEnd/>
            </a:ln>
            <a:effectLst/>
            <a:extLst>
              <a:ext uri="{AF507438-7753-43E0-B8FC-AC1667EBCBE1}">
                <a14:hiddenEffects>
                  <a:effectLst>
                    <a:outerShdw algn="ctr" dir="2700000" dist="107763" rotWithShape="0">
                      <a:srgbClr val="808080"/>
                    </a:outerShdw>
                  </a:effectLst>
                </a14:hiddenEffects>
              </a:ext>
            </a:extLst>
          </xdr:spPr>
          <xdr:txBody>
            <a:bodyPr anchor="ctr" bIns="22860" lIns="27432" rIns="27432" tIns="22860" upright="1" vertOverflow="clip" wrap="square"/>
            <a:lstStyle/>
            <a:p>
              <a:pPr algn="ctr" rtl="0">
                <a:defRPr sz="1000"/>
              </a:pPr>
              <a:r>
                <a:rPr b="0" baseline="0" i="0" lang="en-US" strike="noStrike" sz="1000" u="none">
                  <a:solidFill>
                    <a:srgbClr val="000000"/>
                  </a:solidFill>
                  <a:latin typeface="Arial"/>
                  <a:cs typeface="Arial"/>
                </a:rPr>
                <a:t>Recheck Calculation Results</a:t>
              </a:r>
            </a:p>
          </xdr:txBody>
        </xdr:sp>
        <xdr:clientData fPrintsWithSheet="0"/>
      </xdr:twoCellAnchor>
    </mc:Choice>
    <mc:Fallback/>
  </mc:AlternateContent>
</xdr:wsDr>
</file>

<file path=xl/drawings/drawing2.xml><?xml version="1.0" encoding="utf-8"?>
<xdr:wsDr xmlns:a="http://schemas.openxmlformats.org/drawingml/2006/main" xmlns:xdr="http://schemas.openxmlformats.org/drawingml/2006/spreadsheetDrawing">
  <xdr:oneCellAnchor>
    <xdr:from>
      <xdr:col>1</xdr:col>
      <xdr:colOff>1105259</xdr:colOff>
      <xdr:row>160</xdr:row>
      <xdr:rowOff>107831</xdr:rowOff>
    </xdr:from>
    <xdr:ext cx="184731" cy="264560"/>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4645684" y="65327123"/>
          <a:ext cx="184731" cy="264560"/>
        </a:xfrm>
        <a:prstGeom prst="rect">
          <a:avLst/>
        </a:prstGeom>
        <a:noFill/>
      </xdr:spPr>
      <xdr:style>
        <a:lnRef idx="0">
          <a:scrgbClr b="0" g="0" r="0"/>
        </a:lnRef>
        <a:fillRef idx="0">
          <a:scrgbClr b="0" g="0" r="0"/>
        </a:fillRef>
        <a:effectRef idx="0">
          <a:scrgbClr b="0" g="0" r="0"/>
        </a:effectRef>
        <a:fontRef idx="minor">
          <a:schemeClr val="tx1"/>
        </a:fontRef>
      </xdr:style>
      <xdr:txBody>
        <a:bodyPr anchor="t" horzOverflow="clip" rtlCol="0" vertOverflow="clip" wrap="none">
          <a:spAutoFit/>
        </a:bodyPr>
        <a:lstStyle/>
        <a:p>
          <a:endParaRPr lang="en-GB" sz="1100"/>
        </a:p>
      </xdr:txBody>
    </xdr:sp>
    <xdr:clientData/>
  </xdr:oneCellAnchor>
  <xdr:oneCellAnchor>
    <xdr:from>
      <xdr:col>1</xdr:col>
      <xdr:colOff>1105259</xdr:colOff>
      <xdr:row>161</xdr:row>
      <xdr:rowOff>107831</xdr:rowOff>
    </xdr:from>
    <xdr:ext cx="184731" cy="264560"/>
    <xdr:sp macro="" textlink="">
      <xdr:nvSpPr>
        <xdr:cNvPr id="4" name="TextBox 3">
          <a:extLst>
            <a:ext uri="{FF2B5EF4-FFF2-40B4-BE49-F238E27FC236}">
              <a16:creationId xmlns:a16="http://schemas.microsoft.com/office/drawing/2014/main" id="{00000000-0008-0000-0200-000004000000}"/>
            </a:ext>
          </a:extLst>
        </xdr:cNvPr>
        <xdr:cNvSpPr txBox="1"/>
      </xdr:nvSpPr>
      <xdr:spPr>
        <a:xfrm>
          <a:off x="4645684" y="61759741"/>
          <a:ext cx="184731" cy="264560"/>
        </a:xfrm>
        <a:prstGeom prst="rect">
          <a:avLst/>
        </a:prstGeom>
        <a:noFill/>
      </xdr:spPr>
      <xdr:style>
        <a:lnRef idx="0">
          <a:scrgbClr b="0" g="0" r="0"/>
        </a:lnRef>
        <a:fillRef idx="0">
          <a:scrgbClr b="0" g="0" r="0"/>
        </a:fillRef>
        <a:effectRef idx="0">
          <a:scrgbClr b="0" g="0" r="0"/>
        </a:effectRef>
        <a:fontRef idx="minor">
          <a:schemeClr val="tx1"/>
        </a:fontRef>
      </xdr:style>
      <xdr:txBody>
        <a:bodyPr anchor="t" horzOverflow="clip" rtlCol="0" vertOverflow="clip" wrap="none">
          <a:spAutoFit/>
        </a:bodyPr>
        <a:lstStyle/>
        <a:p>
          <a:endParaRPr lang="en-GB" sz="1100"/>
        </a:p>
      </xdr:txBody>
    </xdr:sp>
    <xdr:clientData/>
  </xdr:oneCellAnchor>
  <xdr:oneCellAnchor>
    <xdr:from>
      <xdr:col>1</xdr:col>
      <xdr:colOff>1105259</xdr:colOff>
      <xdr:row>162</xdr:row>
      <xdr:rowOff>107831</xdr:rowOff>
    </xdr:from>
    <xdr:ext cx="184731" cy="264560"/>
    <xdr:sp macro="" textlink="">
      <xdr:nvSpPr>
        <xdr:cNvPr id="7" name="TextBox 6">
          <a:extLst>
            <a:ext uri="{FF2B5EF4-FFF2-40B4-BE49-F238E27FC236}">
              <a16:creationId xmlns:a16="http://schemas.microsoft.com/office/drawing/2014/main" id="{00000000-0008-0000-0200-000007000000}"/>
            </a:ext>
          </a:extLst>
        </xdr:cNvPr>
        <xdr:cNvSpPr txBox="1"/>
      </xdr:nvSpPr>
      <xdr:spPr>
        <a:xfrm>
          <a:off x="4645684" y="61759741"/>
          <a:ext cx="184731" cy="264560"/>
        </a:xfrm>
        <a:prstGeom prst="rect">
          <a:avLst/>
        </a:prstGeom>
        <a:noFill/>
      </xdr:spPr>
      <xdr:style>
        <a:lnRef idx="0">
          <a:scrgbClr b="0" g="0" r="0"/>
        </a:lnRef>
        <a:fillRef idx="0">
          <a:scrgbClr b="0" g="0" r="0"/>
        </a:fillRef>
        <a:effectRef idx="0">
          <a:scrgbClr b="0" g="0" r="0"/>
        </a:effectRef>
        <a:fontRef idx="minor">
          <a:schemeClr val="tx1"/>
        </a:fontRef>
      </xdr:style>
      <xdr:txBody>
        <a:bodyPr anchor="t" horzOverflow="clip" rtlCol="0" vertOverflow="clip" wrap="none">
          <a:spAutoFit/>
        </a:bodyPr>
        <a:lstStyle/>
        <a:p>
          <a:endParaRPr lang="en-GB" sz="1100"/>
        </a:p>
      </xdr:txBody>
    </xdr:sp>
    <xdr:clientData/>
  </xdr:oneCellAnchor>
  <xdr:oneCellAnchor>
    <xdr:from>
      <xdr:col>1</xdr:col>
      <xdr:colOff>1105259</xdr:colOff>
      <xdr:row>163</xdr:row>
      <xdr:rowOff>107831</xdr:rowOff>
    </xdr:from>
    <xdr:ext cx="184731" cy="264560"/>
    <xdr:sp macro="" textlink="">
      <xdr:nvSpPr>
        <xdr:cNvPr id="8" name="TextBox 7">
          <a:extLst>
            <a:ext uri="{FF2B5EF4-FFF2-40B4-BE49-F238E27FC236}">
              <a16:creationId xmlns:a16="http://schemas.microsoft.com/office/drawing/2014/main" id="{00000000-0008-0000-0200-000008000000}"/>
            </a:ext>
          </a:extLst>
        </xdr:cNvPr>
        <xdr:cNvSpPr txBox="1"/>
      </xdr:nvSpPr>
      <xdr:spPr>
        <a:xfrm>
          <a:off x="4645684" y="61921487"/>
          <a:ext cx="184731" cy="264560"/>
        </a:xfrm>
        <a:prstGeom prst="rect">
          <a:avLst/>
        </a:prstGeom>
        <a:noFill/>
      </xdr:spPr>
      <xdr:style>
        <a:lnRef idx="0">
          <a:scrgbClr b="0" g="0" r="0"/>
        </a:lnRef>
        <a:fillRef idx="0">
          <a:scrgbClr b="0" g="0" r="0"/>
        </a:fillRef>
        <a:effectRef idx="0">
          <a:scrgbClr b="0" g="0" r="0"/>
        </a:effectRef>
        <a:fontRef idx="minor">
          <a:schemeClr val="tx1"/>
        </a:fontRef>
      </xdr:style>
      <xdr:txBody>
        <a:bodyPr anchor="t" horzOverflow="clip" rtlCol="0" vertOverflow="clip" wrap="none">
          <a:spAutoFit/>
        </a:bodyPr>
        <a:lstStyle/>
        <a:p>
          <a:endParaRPr lang="en-GB" sz="1100"/>
        </a:p>
      </xdr:txBody>
    </xdr:sp>
    <xdr:clientData/>
  </xdr:oneCellAnchor>
  <xdr:oneCellAnchor>
    <xdr:from>
      <xdr:col>1</xdr:col>
      <xdr:colOff>1105259</xdr:colOff>
      <xdr:row>163</xdr:row>
      <xdr:rowOff>107831</xdr:rowOff>
    </xdr:from>
    <xdr:ext cx="184731" cy="264560"/>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645684" y="62083232"/>
          <a:ext cx="184731" cy="264560"/>
        </a:xfrm>
        <a:prstGeom prst="rect">
          <a:avLst/>
        </a:prstGeom>
        <a:noFill/>
      </xdr:spPr>
      <xdr:style>
        <a:lnRef idx="0">
          <a:scrgbClr b="0" g="0" r="0"/>
        </a:lnRef>
        <a:fillRef idx="0">
          <a:scrgbClr b="0" g="0" r="0"/>
        </a:fillRef>
        <a:effectRef idx="0">
          <a:scrgbClr b="0" g="0" r="0"/>
        </a:effectRef>
        <a:fontRef idx="minor">
          <a:schemeClr val="tx1"/>
        </a:fontRef>
      </xdr:style>
      <xdr:txBody>
        <a:bodyPr anchor="t" horzOverflow="clip" rtlCol="0" vertOverflow="clip" wrap="none">
          <a:spAutoFit/>
        </a:bodyPr>
        <a:lstStyle/>
        <a:p>
          <a:endParaRPr lang="en-GB" sz="1100"/>
        </a:p>
      </xdr:txBody>
    </xdr:sp>
    <xdr:clientData/>
  </xdr:oneCellAnchor>
  <xdr:oneCellAnchor>
    <xdr:from>
      <xdr:col>1</xdr:col>
      <xdr:colOff>1105259</xdr:colOff>
      <xdr:row>164</xdr:row>
      <xdr:rowOff>107831</xdr:rowOff>
    </xdr:from>
    <xdr:ext cx="184731" cy="264560"/>
    <xdr:sp macro="" textlink="">
      <xdr:nvSpPr>
        <xdr:cNvPr id="10" name="TextBox 9">
          <a:extLst>
            <a:ext uri="{FF2B5EF4-FFF2-40B4-BE49-F238E27FC236}">
              <a16:creationId xmlns:a16="http://schemas.microsoft.com/office/drawing/2014/main" id="{00000000-0008-0000-0200-00000A000000}"/>
            </a:ext>
          </a:extLst>
        </xdr:cNvPr>
        <xdr:cNvSpPr txBox="1"/>
      </xdr:nvSpPr>
      <xdr:spPr>
        <a:xfrm>
          <a:off x="4645684" y="62406723"/>
          <a:ext cx="184731" cy="264560"/>
        </a:xfrm>
        <a:prstGeom prst="rect">
          <a:avLst/>
        </a:prstGeom>
        <a:noFill/>
      </xdr:spPr>
      <xdr:style>
        <a:lnRef idx="0">
          <a:scrgbClr b="0" g="0" r="0"/>
        </a:lnRef>
        <a:fillRef idx="0">
          <a:scrgbClr b="0" g="0" r="0"/>
        </a:fillRef>
        <a:effectRef idx="0">
          <a:scrgbClr b="0" g="0" r="0"/>
        </a:effectRef>
        <a:fontRef idx="minor">
          <a:schemeClr val="tx1"/>
        </a:fontRef>
      </xdr:style>
      <xdr:txBody>
        <a:bodyPr anchor="t" horzOverflow="clip" rtlCol="0" vertOverflow="clip" wrap="none">
          <a:spAutoFit/>
        </a:bodyPr>
        <a:lstStyle/>
        <a:p>
          <a:endParaRPr lang="en-GB" sz="1100"/>
        </a:p>
      </xdr:txBody>
    </xdr:sp>
    <xdr:clientData/>
  </xdr:oneCellAnchor>
  <xdr:oneCellAnchor>
    <xdr:from>
      <xdr:col>1</xdr:col>
      <xdr:colOff>1105259</xdr:colOff>
      <xdr:row>164</xdr:row>
      <xdr:rowOff>107831</xdr:rowOff>
    </xdr:from>
    <xdr:ext cx="184731" cy="264560"/>
    <xdr:sp macro="" textlink="">
      <xdr:nvSpPr>
        <xdr:cNvPr id="14" name="TextBox 13">
          <a:extLst>
            <a:ext uri="{FF2B5EF4-FFF2-40B4-BE49-F238E27FC236}">
              <a16:creationId xmlns:a16="http://schemas.microsoft.com/office/drawing/2014/main" id="{00000000-0008-0000-0200-00000E000000}"/>
            </a:ext>
          </a:extLst>
        </xdr:cNvPr>
        <xdr:cNvSpPr txBox="1"/>
      </xdr:nvSpPr>
      <xdr:spPr>
        <a:xfrm>
          <a:off x="4645684" y="62568468"/>
          <a:ext cx="184731" cy="264560"/>
        </a:xfrm>
        <a:prstGeom prst="rect">
          <a:avLst/>
        </a:prstGeom>
        <a:noFill/>
      </xdr:spPr>
      <xdr:style>
        <a:lnRef idx="0">
          <a:scrgbClr b="0" g="0" r="0"/>
        </a:lnRef>
        <a:fillRef idx="0">
          <a:scrgbClr b="0" g="0" r="0"/>
        </a:fillRef>
        <a:effectRef idx="0">
          <a:scrgbClr b="0" g="0" r="0"/>
        </a:effectRef>
        <a:fontRef idx="minor">
          <a:schemeClr val="tx1"/>
        </a:fontRef>
      </xdr:style>
      <xdr:txBody>
        <a:bodyPr anchor="t" horzOverflow="clip" rtlCol="0" vertOverflow="clip" wrap="none">
          <a:spAutoFit/>
        </a:bodyPr>
        <a:lstStyle/>
        <a:p>
          <a:endParaRPr lang="en-GB" sz="1100"/>
        </a:p>
      </xdr:txBody>
    </xdr:sp>
    <xdr:clientData/>
  </xdr:oneCellAnchor>
  <xdr:oneCellAnchor>
    <xdr:from>
      <xdr:col>1</xdr:col>
      <xdr:colOff>1105259</xdr:colOff>
      <xdr:row>164</xdr:row>
      <xdr:rowOff>107831</xdr:rowOff>
    </xdr:from>
    <xdr:ext cx="184731" cy="264560"/>
    <xdr:sp macro="" textlink="">
      <xdr:nvSpPr>
        <xdr:cNvPr id="15" name="TextBox 14">
          <a:extLst>
            <a:ext uri="{FF2B5EF4-FFF2-40B4-BE49-F238E27FC236}">
              <a16:creationId xmlns:a16="http://schemas.microsoft.com/office/drawing/2014/main" id="{00000000-0008-0000-0200-00000F000000}"/>
            </a:ext>
          </a:extLst>
        </xdr:cNvPr>
        <xdr:cNvSpPr txBox="1"/>
      </xdr:nvSpPr>
      <xdr:spPr>
        <a:xfrm>
          <a:off x="4645684" y="62568468"/>
          <a:ext cx="184731" cy="264560"/>
        </a:xfrm>
        <a:prstGeom prst="rect">
          <a:avLst/>
        </a:prstGeom>
        <a:noFill/>
      </xdr:spPr>
      <xdr:style>
        <a:lnRef idx="0">
          <a:scrgbClr b="0" g="0" r="0"/>
        </a:lnRef>
        <a:fillRef idx="0">
          <a:scrgbClr b="0" g="0" r="0"/>
        </a:fillRef>
        <a:effectRef idx="0">
          <a:scrgbClr b="0" g="0" r="0"/>
        </a:effectRef>
        <a:fontRef idx="minor">
          <a:schemeClr val="tx1"/>
        </a:fontRef>
      </xdr:style>
      <xdr:txBody>
        <a:bodyPr anchor="t" horzOverflow="clip" rtlCol="0" vertOverflow="clip" wrap="none">
          <a:spAutoFit/>
        </a:bodyPr>
        <a:lstStyle/>
        <a:p>
          <a:endParaRPr lang="en-GB" sz="1100"/>
        </a:p>
      </xdr:txBody>
    </xdr:sp>
    <xdr:clientData/>
  </xdr:oneCellAnchor>
  <xdr:oneCellAnchor>
    <xdr:from>
      <xdr:col>1</xdr:col>
      <xdr:colOff>1105259</xdr:colOff>
      <xdr:row>165</xdr:row>
      <xdr:rowOff>107831</xdr:rowOff>
    </xdr:from>
    <xdr:ext cx="184731" cy="264560"/>
    <xdr:sp macro="" textlink="">
      <xdr:nvSpPr>
        <xdr:cNvPr id="16" name="TextBox 15">
          <a:extLst>
            <a:ext uri="{FF2B5EF4-FFF2-40B4-BE49-F238E27FC236}">
              <a16:creationId xmlns:a16="http://schemas.microsoft.com/office/drawing/2014/main" id="{00000000-0008-0000-0200-000010000000}"/>
            </a:ext>
          </a:extLst>
        </xdr:cNvPr>
        <xdr:cNvSpPr txBox="1"/>
      </xdr:nvSpPr>
      <xdr:spPr>
        <a:xfrm>
          <a:off x="4645684" y="62891958"/>
          <a:ext cx="184731" cy="264560"/>
        </a:xfrm>
        <a:prstGeom prst="rect">
          <a:avLst/>
        </a:prstGeom>
        <a:noFill/>
      </xdr:spPr>
      <xdr:style>
        <a:lnRef idx="0">
          <a:scrgbClr b="0" g="0" r="0"/>
        </a:lnRef>
        <a:fillRef idx="0">
          <a:scrgbClr b="0" g="0" r="0"/>
        </a:fillRef>
        <a:effectRef idx="0">
          <a:scrgbClr b="0" g="0" r="0"/>
        </a:effectRef>
        <a:fontRef idx="minor">
          <a:schemeClr val="tx1"/>
        </a:fontRef>
      </xdr:style>
      <xdr:txBody>
        <a:bodyPr anchor="t" horzOverflow="clip" rtlCol="0" vertOverflow="clip" wrap="none">
          <a:spAutoFit/>
        </a:bodyPr>
        <a:lstStyle/>
        <a:p>
          <a:endParaRPr lang="en-GB" sz="1100"/>
        </a:p>
      </xdr:txBody>
    </xdr:sp>
    <xdr:clientData/>
  </xdr:oneCellAnchor>
  <xdr:oneCellAnchor>
    <xdr:from>
      <xdr:col>1</xdr:col>
      <xdr:colOff>1105259</xdr:colOff>
      <xdr:row>165</xdr:row>
      <xdr:rowOff>107831</xdr:rowOff>
    </xdr:from>
    <xdr:ext cx="184731" cy="264560"/>
    <xdr:sp macro="" textlink="">
      <xdr:nvSpPr>
        <xdr:cNvPr id="20" name="TextBox 19">
          <a:extLst>
            <a:ext uri="{FF2B5EF4-FFF2-40B4-BE49-F238E27FC236}">
              <a16:creationId xmlns:a16="http://schemas.microsoft.com/office/drawing/2014/main" id="{00000000-0008-0000-0200-000014000000}"/>
            </a:ext>
          </a:extLst>
        </xdr:cNvPr>
        <xdr:cNvSpPr txBox="1"/>
      </xdr:nvSpPr>
      <xdr:spPr>
        <a:xfrm>
          <a:off x="4645684" y="62891958"/>
          <a:ext cx="184731" cy="264560"/>
        </a:xfrm>
        <a:prstGeom prst="rect">
          <a:avLst/>
        </a:prstGeom>
        <a:noFill/>
      </xdr:spPr>
      <xdr:style>
        <a:lnRef idx="0">
          <a:scrgbClr b="0" g="0" r="0"/>
        </a:lnRef>
        <a:fillRef idx="0">
          <a:scrgbClr b="0" g="0" r="0"/>
        </a:fillRef>
        <a:effectRef idx="0">
          <a:scrgbClr b="0" g="0" r="0"/>
        </a:effectRef>
        <a:fontRef idx="minor">
          <a:schemeClr val="tx1"/>
        </a:fontRef>
      </xdr:style>
      <xdr:txBody>
        <a:bodyPr anchor="t" horzOverflow="clip" rtlCol="0" vertOverflow="clip" wrap="none">
          <a:spAutoFit/>
        </a:bodyPr>
        <a:lstStyle/>
        <a:p>
          <a:endParaRPr lang="en-GB" sz="1100"/>
        </a:p>
      </xdr:txBody>
    </xdr:sp>
    <xdr:clientData/>
  </xdr:oneCellAnchor>
  <xdr:oneCellAnchor>
    <xdr:from>
      <xdr:col>1</xdr:col>
      <xdr:colOff>1105259</xdr:colOff>
      <xdr:row>165</xdr:row>
      <xdr:rowOff>107831</xdr:rowOff>
    </xdr:from>
    <xdr:ext cx="184731" cy="264560"/>
    <xdr:sp macro="" textlink="">
      <xdr:nvSpPr>
        <xdr:cNvPr id="21" name="TextBox 20">
          <a:extLst>
            <a:ext uri="{FF2B5EF4-FFF2-40B4-BE49-F238E27FC236}">
              <a16:creationId xmlns:a16="http://schemas.microsoft.com/office/drawing/2014/main" id="{00000000-0008-0000-0200-000015000000}"/>
            </a:ext>
          </a:extLst>
        </xdr:cNvPr>
        <xdr:cNvSpPr txBox="1"/>
      </xdr:nvSpPr>
      <xdr:spPr>
        <a:xfrm>
          <a:off x="4645684" y="62891958"/>
          <a:ext cx="184731" cy="264560"/>
        </a:xfrm>
        <a:prstGeom prst="rect">
          <a:avLst/>
        </a:prstGeom>
        <a:noFill/>
      </xdr:spPr>
      <xdr:style>
        <a:lnRef idx="0">
          <a:scrgbClr b="0" g="0" r="0"/>
        </a:lnRef>
        <a:fillRef idx="0">
          <a:scrgbClr b="0" g="0" r="0"/>
        </a:fillRef>
        <a:effectRef idx="0">
          <a:scrgbClr b="0" g="0" r="0"/>
        </a:effectRef>
        <a:fontRef idx="minor">
          <a:schemeClr val="tx1"/>
        </a:fontRef>
      </xdr:style>
      <xdr:txBody>
        <a:bodyPr anchor="t" horzOverflow="clip" rtlCol="0" vertOverflow="clip" wrap="none">
          <a:spAutoFit/>
        </a:bodyPr>
        <a:lstStyle/>
        <a:p>
          <a:endParaRPr lang="en-GB" sz="1100"/>
        </a:p>
      </xdr:txBody>
    </xdr:sp>
    <xdr:clientData/>
  </xdr:oneCellAnchor>
  <xdr:oneCellAnchor>
    <xdr:from>
      <xdr:col>1</xdr:col>
      <xdr:colOff>1105259</xdr:colOff>
      <xdr:row>165</xdr:row>
      <xdr:rowOff>107831</xdr:rowOff>
    </xdr:from>
    <xdr:ext cx="184731" cy="264560"/>
    <xdr:sp macro="" textlink="">
      <xdr:nvSpPr>
        <xdr:cNvPr id="22" name="TextBox 21">
          <a:extLst>
            <a:ext uri="{FF2B5EF4-FFF2-40B4-BE49-F238E27FC236}">
              <a16:creationId xmlns:a16="http://schemas.microsoft.com/office/drawing/2014/main" id="{00000000-0008-0000-0200-000016000000}"/>
            </a:ext>
          </a:extLst>
        </xdr:cNvPr>
        <xdr:cNvSpPr txBox="1"/>
      </xdr:nvSpPr>
      <xdr:spPr>
        <a:xfrm>
          <a:off x="4645684" y="62891958"/>
          <a:ext cx="184731" cy="264560"/>
        </a:xfrm>
        <a:prstGeom prst="rect">
          <a:avLst/>
        </a:prstGeom>
        <a:noFill/>
      </xdr:spPr>
      <xdr:style>
        <a:lnRef idx="0">
          <a:scrgbClr b="0" g="0" r="0"/>
        </a:lnRef>
        <a:fillRef idx="0">
          <a:scrgbClr b="0" g="0" r="0"/>
        </a:fillRef>
        <a:effectRef idx="0">
          <a:scrgbClr b="0" g="0" r="0"/>
        </a:effectRef>
        <a:fontRef idx="minor">
          <a:schemeClr val="tx1"/>
        </a:fontRef>
      </xdr:style>
      <xdr:txBody>
        <a:bodyPr anchor="t" horzOverflow="clip" rtlCol="0" vertOverflow="clip" wrap="none">
          <a:spAutoFit/>
        </a:bodyPr>
        <a:lstStyle/>
        <a:p>
          <a:endParaRPr lang="en-GB" sz="1100"/>
        </a:p>
      </xdr:txBody>
    </xdr:sp>
    <xdr:clientData/>
  </xdr:oneCellAnchor>
</xdr:wsDr>
</file>

<file path=xl/drawings/drawing3.xml><?xml version="1.0" encoding="utf-8"?>
<xdr:wsDr xmlns:a="http://schemas.openxmlformats.org/drawingml/2006/main" xmlns:xdr="http://schemas.openxmlformats.org/drawingml/2006/spreadsheetDrawing">
  <xdr:twoCellAnchor>
    <xdr:from>
      <xdr:col>1</xdr:col>
      <xdr:colOff>9525</xdr:colOff>
      <xdr:row>154</xdr:row>
      <xdr:rowOff>0</xdr:rowOff>
    </xdr:from>
    <xdr:to>
      <xdr:col>4</xdr:col>
      <xdr:colOff>647700</xdr:colOff>
      <xdr:row>175</xdr:row>
      <xdr:rowOff>85725</xdr:rowOff>
    </xdr:to>
    <xdr:sp macro="" textlink="">
      <xdr:nvSpPr>
        <xdr:cNvPr hidden="1" id="66561" name="Object 1">
          <a:extLst>
            <a:ext uri="{63B3BB69-23CF-44E3-9099-C40C66FF867C}">
              <a14:compatExt xmlns:a14="http://schemas.microsoft.com/office/drawing/2010/main" spid="_x0000_s66561"/>
            </a:ext>
            <a:ext uri="{FF2B5EF4-FFF2-40B4-BE49-F238E27FC236}">
              <a16:creationId xmlns:a16="http://schemas.microsoft.com/office/drawing/2014/main" id="{00000000-0008-0000-0300-000001040100}"/>
            </a:ext>
          </a:extLst>
        </xdr:cNvPr>
        <xdr:cNvSpPr/>
      </xdr:nvSpPr>
      <xdr:spPr bwMode="auto">
        <a:xfrm>
          <a:off x="0" y="0"/>
          <a:ext cx="0" cy="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xdr:col>
      <xdr:colOff>38100</xdr:colOff>
      <xdr:row>387</xdr:row>
      <xdr:rowOff>19050</xdr:rowOff>
    </xdr:from>
    <xdr:to>
      <xdr:col>4</xdr:col>
      <xdr:colOff>69850</xdr:colOff>
      <xdr:row>409</xdr:row>
      <xdr:rowOff>91440</xdr:rowOff>
    </xdr:to>
    <xdr:pic>
      <xdr:nvPicPr>
        <xdr:cNvPr id="10" name="Picture 9">
          <a:extLst>
            <a:ext uri="{FF2B5EF4-FFF2-40B4-BE49-F238E27FC236}">
              <a16:creationId xmlns:a16="http://schemas.microsoft.com/office/drawing/2014/main" id="{00000000-0008-0000-0300-00000A000000}"/>
            </a:ext>
          </a:extLst>
        </xdr:cNvPr>
        <xdr:cNvPicPr/>
      </xdr:nvPicPr>
      <xdr:blipFill rotWithShape="1">
        <a:blip xmlns:r="http://schemas.openxmlformats.org/officeDocument/2006/relationships" cstate="print" r:embed="rId1">
          <a:extLst>
            <a:ext uri="{28A0092B-C50C-407E-A947-70E740481C1C}">
              <a14:useLocalDpi xmlns:a14="http://schemas.microsoft.com/office/drawing/2010/main"/>
            </a:ext>
          </a:extLst>
        </a:blip>
        <a:srcRect l="-1"/>
        <a:stretch/>
      </xdr:blipFill>
      <xdr:spPr bwMode="auto">
        <a:xfrm>
          <a:off x="85725" y="43767375"/>
          <a:ext cx="5451475" cy="3425190"/>
        </a:xfrm>
        <a:prstGeom prst="rect">
          <a:avLst/>
        </a:prstGeom>
        <a:ln>
          <a:noFill/>
        </a:ln>
        <a:extLst>
          <a:ext uri="{53640926-AAD7-44D8-BBD7-CCE9431645EC}">
            <a14:shadowObscured xmlns:a14="http://schemas.microsoft.com/office/drawing/2010/main"/>
          </a:ext>
        </a:extLst>
      </xdr:spPr>
    </xdr:pic>
    <xdr:clientData/>
  </xdr:twoCellAnchor>
  <xdr:twoCellAnchor>
    <xdr:from>
      <xdr:col>2</xdr:col>
      <xdr:colOff>942975</xdr:colOff>
      <xdr:row>400</xdr:row>
      <xdr:rowOff>142875</xdr:rowOff>
    </xdr:from>
    <xdr:to>
      <xdr:col>2</xdr:col>
      <xdr:colOff>1393190</xdr:colOff>
      <xdr:row>403</xdr:row>
      <xdr:rowOff>67310</xdr:rowOff>
    </xdr:to>
    <xdr:sp macro="" textlink="">
      <xdr:nvSpPr>
        <xdr:cNvPr id="11" name="Rectangle 10">
          <a:extLst>
            <a:ext uri="{FF2B5EF4-FFF2-40B4-BE49-F238E27FC236}">
              <a16:creationId xmlns:a16="http://schemas.microsoft.com/office/drawing/2014/main" id="{00000000-0008-0000-0300-00000B000000}"/>
            </a:ext>
          </a:extLst>
        </xdr:cNvPr>
        <xdr:cNvSpPr/>
      </xdr:nvSpPr>
      <xdr:spPr>
        <a:xfrm>
          <a:off x="1685925" y="45872400"/>
          <a:ext cx="450215" cy="381635"/>
        </a:xfrm>
        <a:prstGeom prst="rect">
          <a:avLst/>
        </a:prstGeom>
        <a:noFill/>
        <a:ln cmpd="sng">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anchor="ctr" anchorCtr="0" bIns="45720" compatLnSpc="1" forceAA="0" fromWordArt="0" lIns="91440" numCol="1" rIns="91440" rot="0" rtlCol="0" spcCol="0" spcFirstLastPara="0" tIns="45720" vert="horz" wrap="square">
          <a:prstTxWarp prst="textNoShape">
            <a:avLst/>
          </a:prstTxWarp>
          <a:noAutofit/>
        </a:bodyPr>
        <a:lstStyle/>
        <a:p>
          <a:endParaRPr lang="en-GB"/>
        </a:p>
      </xdr:txBody>
    </xdr:sp>
    <xdr:clientData/>
  </xdr:twoCellAnchor>
  <xdr:twoCellAnchor editAs="oneCell">
    <xdr:from>
      <xdr:col>0</xdr:col>
      <xdr:colOff>19050</xdr:colOff>
      <xdr:row>412</xdr:row>
      <xdr:rowOff>180975</xdr:rowOff>
    </xdr:from>
    <xdr:to>
      <xdr:col>3</xdr:col>
      <xdr:colOff>990600</xdr:colOff>
      <xdr:row>432</xdr:row>
      <xdr:rowOff>133350</xdr:rowOff>
    </xdr:to>
    <xdr:pic>
      <xdr:nvPicPr>
        <xdr:cNvPr id="9" name="Picture 8">
          <a:extLst>
            <a:ext uri="{FF2B5EF4-FFF2-40B4-BE49-F238E27FC236}">
              <a16:creationId xmlns:a16="http://schemas.microsoft.com/office/drawing/2014/main" id="{00000000-0008-0000-0300-000009000000}"/>
            </a:ext>
          </a:extLst>
        </xdr:cNvPr>
        <xdr:cNvPicPr>
          <a:picLocks noChangeArrowheads="1" noChangeAspect="1"/>
        </xdr:cNvPicPr>
      </xdr:nvPicPr>
      <xdr:blipFill>
        <a:blip xmlns:r="http://schemas.openxmlformats.org/officeDocument/2006/relationships" cstate="print" r:embed="rId2">
          <a:extLst>
            <a:ext uri="{28A0092B-C50C-407E-A947-70E740481C1C}">
              <a14:useLocalDpi xmlns:a14="http://schemas.microsoft.com/office/drawing/2010/main" val="0"/>
            </a:ext>
          </a:extLst>
        </a:blip>
        <a:srcRect/>
        <a:stretch>
          <a:fillRect/>
        </a:stretch>
      </xdr:blipFill>
      <xdr:spPr bwMode="auto">
        <a:xfrm>
          <a:off x="19050" y="48177450"/>
          <a:ext cx="5715000" cy="3762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151</xdr:row>
      <xdr:rowOff>0</xdr:rowOff>
    </xdr:from>
    <xdr:to>
      <xdr:col>4</xdr:col>
      <xdr:colOff>428625</xdr:colOff>
      <xdr:row>178</xdr:row>
      <xdr:rowOff>39184</xdr:rowOff>
    </xdr:to>
    <xdr:pic>
      <xdr:nvPicPr>
        <xdr:cNvPr id="12" name="Picture 11">
          <a:extLst>
            <a:ext uri="{FF2B5EF4-FFF2-40B4-BE49-F238E27FC236}">
              <a16:creationId xmlns:a16="http://schemas.microsoft.com/office/drawing/2014/main" id="{00000000-0008-0000-0300-00000C000000}"/>
            </a:ext>
          </a:extLst>
        </xdr:cNvPr>
        <xdr:cNvPicPr>
          <a:picLocks noChangeAspect="1"/>
        </xdr:cNvPicPr>
      </xdr:nvPicPr>
      <xdr:blipFill>
        <a:blip xmlns:r="http://schemas.openxmlformats.org/officeDocument/2006/relationships" r:embed="rId3"/>
        <a:stretch>
          <a:fillRect/>
        </a:stretch>
      </xdr:blipFill>
      <xdr:spPr>
        <a:xfrm>
          <a:off x="47625" y="23888700"/>
          <a:ext cx="6219825" cy="4268284"/>
        </a:xfrm>
        <a:prstGeom prst="rect">
          <a:avLst/>
        </a:prstGeom>
      </xdr:spPr>
    </xdr:pic>
    <xdr:clientData/>
  </xdr:twoCellAnchor>
  <xdr:twoCellAnchor editAs="oneCell">
    <xdr:from>
      <xdr:col>1</xdr:col>
      <xdr:colOff>0</xdr:colOff>
      <xdr:row>151</xdr:row>
      <xdr:rowOff>0</xdr:rowOff>
    </xdr:from>
    <xdr:to>
      <xdr:col>4</xdr:col>
      <xdr:colOff>410818</xdr:colOff>
      <xdr:row>178</xdr:row>
      <xdr:rowOff>38100</xdr:rowOff>
    </xdr:to>
    <xdr:pic>
      <xdr:nvPicPr>
        <xdr:cNvPr id="13" name="Picture 12">
          <a:extLst>
            <a:ext uri="{FF2B5EF4-FFF2-40B4-BE49-F238E27FC236}">
              <a16:creationId xmlns:a16="http://schemas.microsoft.com/office/drawing/2014/main" id="{00000000-0008-0000-0300-00000D000000}"/>
            </a:ext>
          </a:extLst>
        </xdr:cNvPr>
        <xdr:cNvPicPr>
          <a:picLocks noChangeAspect="1"/>
        </xdr:cNvPicPr>
      </xdr:nvPicPr>
      <xdr:blipFill>
        <a:blip xmlns:r="http://schemas.openxmlformats.org/officeDocument/2006/relationships" r:embed="rId4"/>
        <a:stretch>
          <a:fillRect/>
        </a:stretch>
      </xdr:blipFill>
      <xdr:spPr>
        <a:xfrm>
          <a:off x="47625" y="23888700"/>
          <a:ext cx="6202018" cy="4267200"/>
        </a:xfrm>
        <a:prstGeom prst="rect">
          <a:avLst/>
        </a:prstGeom>
      </xdr:spPr>
    </xdr:pic>
    <xdr:clientData/>
  </xdr:twoCellAnchor>
  <xdr:twoCellAnchor editAs="oneCell">
    <xdr:from>
      <xdr:col>1</xdr:col>
      <xdr:colOff>1</xdr:colOff>
      <xdr:row>180</xdr:row>
      <xdr:rowOff>0</xdr:rowOff>
    </xdr:from>
    <xdr:to>
      <xdr:col>4</xdr:col>
      <xdr:colOff>381001</xdr:colOff>
      <xdr:row>210</xdr:row>
      <xdr:rowOff>138427</xdr:rowOff>
    </xdr:to>
    <xdr:pic>
      <xdr:nvPicPr>
        <xdr:cNvPr id="8" name="Picture 7">
          <a:extLst>
            <a:ext uri="{FF2B5EF4-FFF2-40B4-BE49-F238E27FC236}">
              <a16:creationId xmlns:a16="http://schemas.microsoft.com/office/drawing/2014/main" id="{00000000-0008-0000-0300-000008000000}"/>
            </a:ext>
          </a:extLst>
        </xdr:cNvPr>
        <xdr:cNvPicPr>
          <a:picLocks noChangeAspect="1"/>
        </xdr:cNvPicPr>
      </xdr:nvPicPr>
      <xdr:blipFill>
        <a:blip xmlns:r="http://schemas.openxmlformats.org/officeDocument/2006/relationships" r:embed="rId5"/>
        <a:stretch>
          <a:fillRect/>
        </a:stretch>
      </xdr:blipFill>
      <xdr:spPr>
        <a:xfrm>
          <a:off x="47626" y="28460700"/>
          <a:ext cx="6172200" cy="4748527"/>
        </a:xfrm>
        <a:prstGeom prst="rect">
          <a:avLst/>
        </a:prstGeom>
      </xdr:spPr>
    </xdr:pic>
    <xdr:clientData/>
  </xdr:twoCellAnchor>
  <xdr:twoCellAnchor editAs="oneCell">
    <xdr:from>
      <xdr:col>1</xdr:col>
      <xdr:colOff>28575</xdr:colOff>
      <xdr:row>213</xdr:row>
      <xdr:rowOff>9525</xdr:rowOff>
    </xdr:from>
    <xdr:to>
      <xdr:col>4</xdr:col>
      <xdr:colOff>419100</xdr:colOff>
      <xdr:row>242</xdr:row>
      <xdr:rowOff>50044</xdr:rowOff>
    </xdr:to>
    <xdr:pic>
      <xdr:nvPicPr>
        <xdr:cNvPr id="16" name="Picture 15">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6"/>
        <a:stretch>
          <a:fillRect/>
        </a:stretch>
      </xdr:blipFill>
      <xdr:spPr>
        <a:xfrm>
          <a:off x="76200" y="33575625"/>
          <a:ext cx="6181725" cy="4460119"/>
        </a:xfrm>
        <a:prstGeom prst="rect">
          <a:avLst/>
        </a:prstGeom>
      </xdr:spPr>
    </xdr:pic>
    <xdr:clientData/>
  </xdr:twoCellAnchor>
  <xdr:twoCellAnchor editAs="oneCell">
    <xdr:from>
      <xdr:col>1</xdr:col>
      <xdr:colOff>0</xdr:colOff>
      <xdr:row>308</xdr:row>
      <xdr:rowOff>0</xdr:rowOff>
    </xdr:from>
    <xdr:to>
      <xdr:col>4</xdr:col>
      <xdr:colOff>856419</xdr:colOff>
      <xdr:row>337</xdr:row>
      <xdr:rowOff>104209</xdr:rowOff>
    </xdr:to>
    <xdr:pic>
      <xdr:nvPicPr>
        <xdr:cNvPr id="18" name="Picture 17">
          <a:extLst>
            <a:ext uri="{FF2B5EF4-FFF2-40B4-BE49-F238E27FC236}">
              <a16:creationId xmlns:a16="http://schemas.microsoft.com/office/drawing/2014/main" id="{00000000-0008-0000-0300-000012000000}"/>
            </a:ext>
          </a:extLst>
        </xdr:cNvPr>
        <xdr:cNvPicPr>
          <a:picLocks noChangeAspect="1"/>
        </xdr:cNvPicPr>
      </xdr:nvPicPr>
      <xdr:blipFill>
        <a:blip xmlns:r="http://schemas.openxmlformats.org/officeDocument/2006/relationships" r:embed="rId7"/>
        <a:stretch>
          <a:fillRect/>
        </a:stretch>
      </xdr:blipFill>
      <xdr:spPr>
        <a:xfrm>
          <a:off x="47625" y="38442900"/>
          <a:ext cx="6647619" cy="4523809"/>
        </a:xfrm>
        <a:prstGeom prst="rect">
          <a:avLst/>
        </a:prstGeom>
      </xdr:spPr>
    </xdr:pic>
    <xdr:clientData/>
  </xdr:twoCellAnchor>
  <xdr:twoCellAnchor editAs="oneCell">
    <xdr:from>
      <xdr:col>1</xdr:col>
      <xdr:colOff>19051</xdr:colOff>
      <xdr:row>340</xdr:row>
      <xdr:rowOff>38100</xdr:rowOff>
    </xdr:from>
    <xdr:to>
      <xdr:col>5</xdr:col>
      <xdr:colOff>600076</xdr:colOff>
      <xdr:row>378</xdr:row>
      <xdr:rowOff>12598</xdr:rowOff>
    </xdr:to>
    <xdr:pic>
      <xdr:nvPicPr>
        <xdr:cNvPr id="19" name="Picture 18">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8"/>
        <a:stretch>
          <a:fillRect/>
        </a:stretch>
      </xdr:blipFill>
      <xdr:spPr>
        <a:xfrm>
          <a:off x="66676" y="43434000"/>
          <a:ext cx="7715250" cy="5765698"/>
        </a:xfrm>
        <a:prstGeom prst="rect">
          <a:avLst/>
        </a:prstGeom>
      </xdr:spPr>
    </xdr:pic>
    <xdr:clientData/>
  </xdr:twoCellAnchor>
  <xdr:twoCellAnchor editAs="oneCell">
    <xdr:from>
      <xdr:col>1</xdr:col>
      <xdr:colOff>0</xdr:colOff>
      <xdr:row>279</xdr:row>
      <xdr:rowOff>0</xdr:rowOff>
    </xdr:from>
    <xdr:to>
      <xdr:col>4</xdr:col>
      <xdr:colOff>854016</xdr:colOff>
      <xdr:row>305</xdr:row>
      <xdr:rowOff>85695</xdr:rowOff>
    </xdr:to>
    <xdr:pic>
      <xdr:nvPicPr>
        <xdr:cNvPr id="14" name="Picture 13">
          <a:extLst>
            <a:ext uri="{FF2B5EF4-FFF2-40B4-BE49-F238E27FC236}">
              <a16:creationId xmlns:a16="http://schemas.microsoft.com/office/drawing/2014/main" id="{00000000-0008-0000-0300-00000E000000}"/>
            </a:ext>
          </a:extLst>
        </xdr:cNvPr>
        <xdr:cNvPicPr>
          <a:picLocks noChangeAspect="1"/>
        </xdr:cNvPicPr>
      </xdr:nvPicPr>
      <xdr:blipFill>
        <a:blip xmlns:r="http://schemas.openxmlformats.org/officeDocument/2006/relationships" r:embed="rId9"/>
        <a:stretch>
          <a:fillRect/>
        </a:stretch>
      </xdr:blipFill>
      <xdr:spPr>
        <a:xfrm>
          <a:off x="47625" y="43672125"/>
          <a:ext cx="6645216" cy="4048095"/>
        </a:xfrm>
        <a:prstGeom prst="rect">
          <a:avLst/>
        </a:prstGeom>
      </xdr:spPr>
    </xdr:pic>
    <xdr:clientData/>
  </xdr:twoCellAnchor>
</xdr:wsDr>
</file>

<file path=xl/drawings/drawing4.xml><?xml version="1.0" encoding="utf-8"?>
<xdr:wsDr xmlns:a="http://schemas.openxmlformats.org/drawingml/2006/main" xmlns:xdr="http://schemas.openxmlformats.org/drawingml/2006/spreadsheetDrawing">
  <mc:AlternateContent xmlns:mc="http://schemas.openxmlformats.org/markup-compatibility/2006">
    <mc:Choice xmlns:a14="http://schemas.microsoft.com/office/drawing/2010/main" Requires="a14">
      <xdr:twoCellAnchor>
        <xdr:from>
          <xdr:col>3</xdr:col>
          <xdr:colOff>142875</xdr:colOff>
          <xdr:row>1</xdr:row>
          <xdr:rowOff>38100</xdr:rowOff>
        </xdr:from>
        <xdr:to>
          <xdr:col>3</xdr:col>
          <xdr:colOff>1933575</xdr:colOff>
          <xdr:row>3</xdr:row>
          <xdr:rowOff>114300</xdr:rowOff>
        </xdr:to>
        <xdr:sp macro="" textlink="">
          <xdr:nvSpPr>
            <xdr:cNvPr hidden="1" id="45057" name="Button 1">
              <a:extLst>
                <a:ext uri="{63B3BB69-23CF-44E3-9099-C40C66FF867C}">
                  <a14:compatExt spid="_x0000_s45057"/>
                </a:ext>
                <a:ext uri="{FF2B5EF4-FFF2-40B4-BE49-F238E27FC236}">
                  <a16:creationId xmlns:a16="http://schemas.microsoft.com/office/drawing/2014/main" id="{00000000-0008-0000-0400-000001B00000}"/>
                </a:ext>
              </a:extLst>
            </xdr:cNvPr>
            <xdr:cNvSpPr/>
          </xdr:nvSpPr>
          <xdr:spPr bwMode="auto">
            <a:xfrm>
              <a:off x="0" y="0"/>
              <a:ext cx="0" cy="0"/>
            </a:xfrm>
            <a:prstGeom prst="rect">
              <a:avLst/>
            </a:prstGeom>
            <a:noFill/>
            <a:ln w="9525">
              <a:miter lim="800000"/>
              <a:headEnd/>
              <a:tailEnd/>
            </a:ln>
            <a:effectLst/>
            <a:extLst>
              <a:ext uri="{AF507438-7753-43E0-B8FC-AC1667EBCBE1}">
                <a14:hiddenEffects>
                  <a:effectLst>
                    <a:outerShdw algn="ctr" dir="2700000" dist="107763" rotWithShape="0">
                      <a:srgbClr val="808080"/>
                    </a:outerShdw>
                  </a:effectLst>
                </a14:hiddenEffects>
              </a:ext>
            </a:extLst>
          </xdr:spPr>
          <xdr:txBody>
            <a:bodyPr anchor="ctr" bIns="27432" lIns="27432" rIns="27432" tIns="27432" upright="1" vertOverflow="clip" wrap="square"/>
            <a:lstStyle/>
            <a:p>
              <a:pPr algn="ctr" rtl="0">
                <a:defRPr sz="1000"/>
              </a:pPr>
              <a:r>
                <a:rPr b="1" baseline="0" i="0" lang="en-US" strike="noStrike" sz="1100" u="none">
                  <a:solidFill>
                    <a:srgbClr val="FF0000"/>
                  </a:solidFill>
                  <a:latin typeface="Arial"/>
                  <a:cs typeface="Arial"/>
                </a:rPr>
                <a:t>Replay selected case</a:t>
              </a:r>
            </a:p>
          </xdr:txBody>
        </xdr:sp>
        <xdr:clientData fPrintsWithSheet="0"/>
      </xdr:twoCellAnchor>
    </mc:Choice>
    <mc:Fallback/>
  </mc:AlternateContent>
  <xdr:twoCellAnchor editAs="absolute">
    <xdr:from>
      <xdr:col>5</xdr:col>
      <xdr:colOff>38099</xdr:colOff>
      <xdr:row>0</xdr:row>
      <xdr:rowOff>47625</xdr:rowOff>
    </xdr:from>
    <xdr:to>
      <xdr:col>7</xdr:col>
      <xdr:colOff>4829174</xdr:colOff>
      <xdr:row>3</xdr:row>
      <xdr:rowOff>28575</xdr:rowOff>
    </xdr:to>
    <xdr:sp macro="" textlink="">
      <xdr:nvSpPr>
        <xdr:cNvPr id="45058" name="Text Box 2">
          <a:extLst>
            <a:ext uri="{FF2B5EF4-FFF2-40B4-BE49-F238E27FC236}">
              <a16:creationId xmlns:a16="http://schemas.microsoft.com/office/drawing/2014/main" id="{00000000-0008-0000-0400-000002B00000}"/>
            </a:ext>
          </a:extLst>
        </xdr:cNvPr>
        <xdr:cNvSpPr txBox="1">
          <a:spLocks noChangeArrowheads="1"/>
        </xdr:cNvSpPr>
      </xdr:nvSpPr>
      <xdr:spPr bwMode="auto">
        <a:xfrm>
          <a:off x="7619999" y="47625"/>
          <a:ext cx="6219825" cy="476250"/>
        </a:xfrm>
        <a:prstGeom prst="rect">
          <a:avLst/>
        </a:prstGeom>
        <a:solidFill>
          <a:srgbClr xmlns:a14="http://schemas.microsoft.com/office/drawing/2010/main" xmlns:mc="http://schemas.openxmlformats.org/markup-compatibility/2006" a14:legacySpreadsheetColorIndex="26" mc:Ignorable="a14" val="FFFFCC"/>
        </a:solidFill>
        <a:ln w="9525">
          <a:solidFill>
            <a:srgbClr xmlns:a14="http://schemas.microsoft.com/office/drawing/2010/main" xmlns:mc="http://schemas.openxmlformats.org/markup-compatibility/2006" a14:legacySpreadsheetColorIndex="21" mc:Ignorable="a14" val="008080"/>
          </a:solidFill>
          <a:miter lim="800000"/>
          <a:headEnd/>
          <a:tailEnd/>
        </a:ln>
        <a:effectLst/>
        <a:extLs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1" baseline="0" i="0" lang="en-GB" strike="noStrike" sz="900" u="none">
              <a:solidFill>
                <a:srgbClr val="008080"/>
              </a:solidFill>
              <a:latin typeface="Arial"/>
              <a:cs typeface="Arial"/>
            </a:rPr>
            <a:t>Enter the test case number (in the box on the left), tab out of the box, then press 'Replay selected case'.</a:t>
          </a:r>
        </a:p>
        <a:p>
          <a:pPr algn="l" rtl="0">
            <a:defRPr sz="1000"/>
          </a:pPr>
          <a:r>
            <a:rPr b="0" baseline="0" i="0" lang="en-GB" strike="noStrike" sz="900" u="none">
              <a:solidFill>
                <a:srgbClr val="008080"/>
              </a:solidFill>
              <a:latin typeface="Arial"/>
              <a:cs typeface="Arial"/>
            </a:rPr>
            <a:t>This will generate the test case and the results expected from processing this case through the SA tax calculation. </a:t>
          </a:r>
        </a:p>
        <a:p>
          <a:pPr algn="l" rtl="0">
            <a:defRPr sz="1000"/>
          </a:pPr>
          <a:r>
            <a:rPr b="0" baseline="0" i="0" lang="en-GB" strike="noStrike" sz="900" u="none">
              <a:solidFill>
                <a:srgbClr val="008080"/>
              </a:solidFill>
              <a:latin typeface="Arial"/>
              <a:cs typeface="Arial"/>
            </a:rPr>
            <a:t>Note: Any data already present in the input sheets will be deleted automatically prior to loading the selected data.</a:t>
          </a:r>
        </a:p>
      </xdr:txBody>
    </xdr:sp>
    <xdr:clientData fPrintsWithSheet="0"/>
  </xdr:twoCellAnchor>
  <mc:AlternateContent xmlns:mc="http://schemas.openxmlformats.org/markup-compatibility/2006">
    <mc:Choice xmlns:a14="http://schemas.microsoft.com/office/drawing/2010/main" Requires="a14">
      <xdr:twoCellAnchor editAs="oneCell">
        <xdr:from>
          <xdr:col>3</xdr:col>
          <xdr:colOff>2038350</xdr:colOff>
          <xdr:row>1</xdr:row>
          <xdr:rowOff>57150</xdr:rowOff>
        </xdr:from>
        <xdr:to>
          <xdr:col>4</xdr:col>
          <xdr:colOff>609600</xdr:colOff>
          <xdr:row>3</xdr:row>
          <xdr:rowOff>47625</xdr:rowOff>
        </xdr:to>
        <xdr:sp macro="" textlink="">
          <xdr:nvSpPr>
            <xdr:cNvPr hidden="1" id="45059" name="Button 3">
              <a:extLst>
                <a:ext uri="{63B3BB69-23CF-44E3-9099-C40C66FF867C}">
                  <a14:compatExt spid="_x0000_s45059"/>
                </a:ext>
                <a:ext uri="{FF2B5EF4-FFF2-40B4-BE49-F238E27FC236}">
                  <a16:creationId xmlns:a16="http://schemas.microsoft.com/office/drawing/2014/main" id="{00000000-0008-0000-0400-000003B00000}"/>
                </a:ext>
              </a:extLst>
            </xdr:cNvPr>
            <xdr:cNvSpPr/>
          </xdr:nvSpPr>
          <xdr:spPr bwMode="auto">
            <a:xfrm>
              <a:off x="0" y="0"/>
              <a:ext cx="0" cy="0"/>
            </a:xfrm>
            <a:prstGeom prst="rect">
              <a:avLst/>
            </a:prstGeom>
            <a:noFill/>
            <a:ln w="9525">
              <a:miter lim="800000"/>
              <a:headEnd/>
              <a:tailEnd/>
            </a:ln>
            <a:effectLst/>
            <a:extLst>
              <a:ext uri="{AF507438-7753-43E0-B8FC-AC1667EBCBE1}">
                <a14:hiddenEffects>
                  <a:effectLst>
                    <a:outerShdw algn="ctr" dir="2700000" dist="107763" rotWithShape="0">
                      <a:srgbClr val="808080"/>
                    </a:outerShdw>
                  </a:effectLst>
                </a14:hiddenEffects>
              </a:ext>
            </a:extLst>
          </xdr:spPr>
          <xdr:txBody>
            <a:bodyPr anchor="ctr" bIns="22860" lIns="27432" rIns="27432" tIns="22860" upright="1" vertOverflow="clip" wrap="square"/>
            <a:lstStyle/>
            <a:p>
              <a:pPr algn="ctr" rtl="0">
                <a:defRPr sz="1000"/>
              </a:pPr>
              <a:r>
                <a:rPr b="1" baseline="0" i="0" lang="en-US" strike="noStrike" sz="1000" u="none">
                  <a:solidFill>
                    <a:srgbClr val="008080"/>
                  </a:solidFill>
                  <a:latin typeface="Arial"/>
                  <a:cs typeface="Arial"/>
                </a:rPr>
                <a:t>Reset test selection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1590675</xdr:colOff>
          <xdr:row>2</xdr:row>
          <xdr:rowOff>190500</xdr:rowOff>
        </xdr:from>
        <xdr:to>
          <xdr:col>1</xdr:col>
          <xdr:colOff>3371850</xdr:colOff>
          <xdr:row>4</xdr:row>
          <xdr:rowOff>142875</xdr:rowOff>
        </xdr:to>
        <xdr:sp macro="" textlink="">
          <xdr:nvSpPr>
            <xdr:cNvPr hidden="1" id="45060" name="Button 4">
              <a:extLst>
                <a:ext uri="{63B3BB69-23CF-44E3-9099-C40C66FF867C}">
                  <a14:compatExt spid="_x0000_s45060"/>
                </a:ext>
                <a:ext uri="{FF2B5EF4-FFF2-40B4-BE49-F238E27FC236}">
                  <a16:creationId xmlns:a16="http://schemas.microsoft.com/office/drawing/2014/main" id="{00000000-0008-0000-0400-000004B00000}"/>
                </a:ext>
              </a:extLst>
            </xdr:cNvPr>
            <xdr:cNvSpPr/>
          </xdr:nvSpPr>
          <xdr:spPr bwMode="auto">
            <a:xfrm>
              <a:off x="0" y="0"/>
              <a:ext cx="0" cy="0"/>
            </a:xfrm>
            <a:prstGeom prst="rect">
              <a:avLst/>
            </a:prstGeom>
            <a:noFill/>
            <a:ln w="9525">
              <a:miter lim="800000"/>
              <a:headEnd/>
              <a:tailEnd/>
            </a:ln>
            <a:effectLst/>
            <a:extLst>
              <a:ext uri="{AF507438-7753-43E0-B8FC-AC1667EBCBE1}">
                <a14:hiddenEffects>
                  <a:effectLst>
                    <a:outerShdw algn="ctr" dir="2700000" dist="107763" rotWithShape="0">
                      <a:srgbClr val="808080"/>
                    </a:outerShdw>
                  </a:effectLst>
                </a14:hiddenEffects>
              </a:ext>
            </a:extLst>
          </xdr:spPr>
          <xdr:txBody>
            <a:bodyPr anchor="ctr" bIns="22860" lIns="27432" rIns="27432" tIns="22860" upright="1" vertOverflow="clip" wrap="square"/>
            <a:lstStyle/>
            <a:p>
              <a:pPr algn="ctr" rtl="0">
                <a:defRPr sz="1000"/>
              </a:pPr>
              <a:r>
                <a:rPr b="1" baseline="0" i="0" lang="en-US" strike="noStrike" sz="1000" u="none">
                  <a:solidFill>
                    <a:srgbClr val="008080"/>
                  </a:solidFill>
                  <a:latin typeface="Arial"/>
                  <a:cs typeface="Arial"/>
                </a:rPr>
                <a:t>View/Hide Components</a:t>
              </a:r>
            </a:p>
          </xdr:txBody>
        </xdr:sp>
        <xdr:clientData fPrintsWithSheet="0"/>
      </xdr:twoCellAnchor>
    </mc:Choice>
    <mc:Fallback/>
  </mc:AlternateContent>
</xdr:wsDr>
</file>

<file path=xl/drawings/drawing5.xml><?xml version="1.0" encoding="utf-8"?>
<xdr:wsDr xmlns:a="http://schemas.openxmlformats.org/drawingml/2006/main" xmlns:xdr="http://schemas.openxmlformats.org/drawingml/2006/spreadsheetDrawing">
  <mc:AlternateContent xmlns:mc="http://schemas.openxmlformats.org/markup-compatibility/2006">
    <mc:Choice xmlns:a14="http://schemas.microsoft.com/office/drawing/2010/main" Requires="a14">
      <xdr:twoCellAnchor editAs="oneCell">
        <xdr:from>
          <xdr:col>9</xdr:col>
          <xdr:colOff>104775</xdr:colOff>
          <xdr:row>13</xdr:row>
          <xdr:rowOff>19050</xdr:rowOff>
        </xdr:from>
        <xdr:to>
          <xdr:col>11</xdr:col>
          <xdr:colOff>352425</xdr:colOff>
          <xdr:row>15</xdr:row>
          <xdr:rowOff>95250</xdr:rowOff>
        </xdr:to>
        <xdr:sp macro="" textlink="">
          <xdr:nvSpPr>
            <xdr:cNvPr hidden="1" id="43026" name="Button 18">
              <a:extLst>
                <a:ext uri="{63B3BB69-23CF-44E3-9099-C40C66FF867C}">
                  <a14:compatExt spid="_x0000_s43026"/>
                </a:ext>
                <a:ext uri="{FF2B5EF4-FFF2-40B4-BE49-F238E27FC236}">
                  <a16:creationId xmlns:a16="http://schemas.microsoft.com/office/drawing/2014/main" id="{00000000-0008-0000-0500-000012A80000}"/>
                </a:ext>
              </a:extLst>
            </xdr:cNvPr>
            <xdr:cNvSpPr/>
          </xdr:nvSpPr>
          <xdr:spPr bwMode="auto">
            <a:xfrm>
              <a:off x="0" y="0"/>
              <a:ext cx="0" cy="0"/>
            </a:xfrm>
            <a:prstGeom prst="rect">
              <a:avLst/>
            </a:prstGeom>
            <a:noFill/>
            <a:ln w="9525">
              <a:miter lim="800000"/>
              <a:headEnd/>
              <a:tailEnd/>
            </a:ln>
            <a:effectLst/>
            <a:extLst>
              <a:ext uri="{AF507438-7753-43E0-B8FC-AC1667EBCBE1}">
                <a14:hiddenEffects>
                  <a:effectLst>
                    <a:outerShdw algn="ctr" dir="2700000" dist="107763" rotWithShape="0">
                      <a:srgbClr val="808080"/>
                    </a:outerShdw>
                  </a:effectLst>
                </a14:hiddenEffects>
              </a:ext>
            </a:extLst>
          </xdr:spPr>
          <xdr:txBody>
            <a:bodyPr anchor="ctr" bIns="27432" lIns="36576" rIns="36576" tIns="27432" upright="1" vertOverflow="clip" wrap="square"/>
            <a:lstStyle/>
            <a:p>
              <a:pPr algn="ctr" rtl="0">
                <a:defRPr sz="1000"/>
              </a:pPr>
              <a:r>
                <a:rPr b="1" baseline="0" i="0" lang="en-US" strike="noStrike" sz="1200" u="none">
                  <a:solidFill>
                    <a:srgbClr val="008080"/>
                  </a:solidFill>
                  <a:latin typeface="Arial"/>
                  <a:cs typeface="Arial"/>
                </a:rPr>
                <a:t>Test this case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104775</xdr:colOff>
          <xdr:row>22</xdr:row>
          <xdr:rowOff>9525</xdr:rowOff>
        </xdr:from>
        <xdr:to>
          <xdr:col>11</xdr:col>
          <xdr:colOff>371475</xdr:colOff>
          <xdr:row>24</xdr:row>
          <xdr:rowOff>38100</xdr:rowOff>
        </xdr:to>
        <xdr:sp macro="" textlink="">
          <xdr:nvSpPr>
            <xdr:cNvPr hidden="1" id="43027" name="Button 19">
              <a:extLst>
                <a:ext uri="{63B3BB69-23CF-44E3-9099-C40C66FF867C}">
                  <a14:compatExt spid="_x0000_s43027"/>
                </a:ext>
                <a:ext uri="{FF2B5EF4-FFF2-40B4-BE49-F238E27FC236}">
                  <a16:creationId xmlns:a16="http://schemas.microsoft.com/office/drawing/2014/main" id="{00000000-0008-0000-0500-000013A80000}"/>
                </a:ext>
              </a:extLst>
            </xdr:cNvPr>
            <xdr:cNvSpPr/>
          </xdr:nvSpPr>
          <xdr:spPr bwMode="auto">
            <a:xfrm>
              <a:off x="0" y="0"/>
              <a:ext cx="0" cy="0"/>
            </a:xfrm>
            <a:prstGeom prst="rect">
              <a:avLst/>
            </a:prstGeom>
            <a:noFill/>
            <a:ln w="9525">
              <a:miter lim="800000"/>
              <a:headEnd/>
              <a:tailEnd/>
            </a:ln>
            <a:effectLst/>
            <a:extLst>
              <a:ext uri="{AF507438-7753-43E0-B8FC-AC1667EBCBE1}">
                <a14:hiddenEffects>
                  <a:effectLst>
                    <a:outerShdw algn="ctr" dir="2700000" dist="107763" rotWithShape="0">
                      <a:srgbClr val="808080"/>
                    </a:outerShdw>
                  </a:effectLst>
                </a14:hiddenEffects>
              </a:ext>
            </a:extLst>
          </xdr:spPr>
          <xdr:txBody>
            <a:bodyPr anchor="ctr" bIns="22860" lIns="27432" rIns="27432" tIns="22860" upright="1" vertOverflow="clip" wrap="square"/>
            <a:lstStyle/>
            <a:p>
              <a:pPr algn="ctr" rtl="0">
                <a:defRPr sz="1000"/>
              </a:pPr>
              <a:r>
                <a:rPr b="1" baseline="0" i="0" lang="en-US" strike="noStrike" sz="1000" u="none">
                  <a:solidFill>
                    <a:srgbClr val="008080"/>
                  </a:solidFill>
                  <a:latin typeface="Arial"/>
                  <a:cs typeface="Arial"/>
                </a:rPr>
                <a:t>Reset test selection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76200</xdr:colOff>
          <xdr:row>8</xdr:row>
          <xdr:rowOff>114300</xdr:rowOff>
        </xdr:from>
        <xdr:to>
          <xdr:col>11</xdr:col>
          <xdr:colOff>323850</xdr:colOff>
          <xdr:row>10</xdr:row>
          <xdr:rowOff>104775</xdr:rowOff>
        </xdr:to>
        <xdr:sp macro="" textlink="">
          <xdr:nvSpPr>
            <xdr:cNvPr hidden="1" id="43028" name="Button 20">
              <a:extLst>
                <a:ext uri="{63B3BB69-23CF-44E3-9099-C40C66FF867C}">
                  <a14:compatExt spid="_x0000_s43028"/>
                </a:ext>
                <a:ext uri="{FF2B5EF4-FFF2-40B4-BE49-F238E27FC236}">
                  <a16:creationId xmlns:a16="http://schemas.microsoft.com/office/drawing/2014/main" id="{00000000-0008-0000-0500-000014A80000}"/>
                </a:ext>
              </a:extLst>
            </xdr:cNvPr>
            <xdr:cNvSpPr/>
          </xdr:nvSpPr>
          <xdr:spPr bwMode="auto">
            <a:xfrm>
              <a:off x="0" y="0"/>
              <a:ext cx="0" cy="0"/>
            </a:xfrm>
            <a:prstGeom prst="rect">
              <a:avLst/>
            </a:prstGeom>
            <a:noFill/>
            <a:ln w="9525">
              <a:miter lim="800000"/>
              <a:headEnd/>
              <a:tailEnd/>
            </a:ln>
            <a:effectLst/>
            <a:extLst>
              <a:ext uri="{AF507438-7753-43E0-B8FC-AC1667EBCBE1}">
                <a14:hiddenEffects>
                  <a:effectLst>
                    <a:outerShdw algn="ctr" dir="2700000" dist="107763" rotWithShape="0">
                      <a:srgbClr val="808080"/>
                    </a:outerShdw>
                  </a:effectLst>
                </a14:hiddenEffects>
              </a:ext>
            </a:extLst>
          </xdr:spPr>
          <xdr:txBody>
            <a:bodyPr anchor="ctr" bIns="22860" lIns="27432" rIns="27432" tIns="22860" upright="1" vertOverflow="clip" wrap="square"/>
            <a:lstStyle/>
            <a:p>
              <a:pPr algn="ctr" rtl="0">
                <a:defRPr sz="1000"/>
              </a:pPr>
              <a:r>
                <a:rPr b="1" baseline="0" i="0" lang="en-US" strike="noStrike" sz="1000" u="none">
                  <a:solidFill>
                    <a:srgbClr val="008080"/>
                  </a:solidFill>
                  <a:latin typeface="Arial"/>
                  <a:cs typeface="Arial"/>
                </a:rPr>
                <a:t>View/Hide Components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85725</xdr:colOff>
          <xdr:row>5</xdr:row>
          <xdr:rowOff>28575</xdr:rowOff>
        </xdr:from>
        <xdr:to>
          <xdr:col>11</xdr:col>
          <xdr:colOff>323850</xdr:colOff>
          <xdr:row>6</xdr:row>
          <xdr:rowOff>142875</xdr:rowOff>
        </xdr:to>
        <xdr:sp macro="" textlink="">
          <xdr:nvSpPr>
            <xdr:cNvPr hidden="1" id="43029" name="Button 21">
              <a:extLst>
                <a:ext uri="{63B3BB69-23CF-44E3-9099-C40C66FF867C}">
                  <a14:compatExt spid="_x0000_s43029"/>
                </a:ext>
                <a:ext uri="{FF2B5EF4-FFF2-40B4-BE49-F238E27FC236}">
                  <a16:creationId xmlns:a16="http://schemas.microsoft.com/office/drawing/2014/main" id="{00000000-0008-0000-0500-000015A80000}"/>
                </a:ext>
              </a:extLst>
            </xdr:cNvPr>
            <xdr:cNvSpPr/>
          </xdr:nvSpPr>
          <xdr:spPr bwMode="auto">
            <a:xfrm>
              <a:off x="0" y="0"/>
              <a:ext cx="0" cy="0"/>
            </a:xfrm>
            <a:prstGeom prst="rect">
              <a:avLst/>
            </a:prstGeom>
            <a:noFill/>
            <a:ln w="9525">
              <a:miter lim="800000"/>
              <a:headEnd/>
              <a:tailEnd/>
            </a:ln>
            <a:effectLst/>
            <a:extLst>
              <a:ext uri="{AF507438-7753-43E0-B8FC-AC1667EBCBE1}">
                <a14:hiddenEffects>
                  <a:effectLst>
                    <a:outerShdw algn="ctr" dir="2700000" dist="107763" rotWithShape="0">
                      <a:srgbClr val="808080"/>
                    </a:outerShdw>
                  </a:effectLst>
                </a14:hiddenEffects>
              </a:ext>
            </a:extLst>
          </xdr:spPr>
          <xdr:txBody>
            <a:bodyPr anchor="ctr" bIns="22860" lIns="27432" rIns="27432" tIns="22860" upright="1" vertOverflow="clip" wrap="square"/>
            <a:lstStyle/>
            <a:p>
              <a:pPr algn="ctr" rtl="0">
                <a:defRPr sz="1000"/>
              </a:pPr>
              <a:r>
                <a:rPr b="1" baseline="0" i="0" lang="en-US" strike="noStrike" sz="1000" u="none">
                  <a:solidFill>
                    <a:srgbClr val="008080"/>
                  </a:solidFill>
                  <a:latin typeface="Arial"/>
                  <a:cs typeface="Arial"/>
                </a:rPr>
                <a:t>More selection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104775</xdr:colOff>
          <xdr:row>17</xdr:row>
          <xdr:rowOff>104775</xdr:rowOff>
        </xdr:from>
        <xdr:to>
          <xdr:col>11</xdr:col>
          <xdr:colOff>361950</xdr:colOff>
          <xdr:row>20</xdr:row>
          <xdr:rowOff>38100</xdr:rowOff>
        </xdr:to>
        <xdr:sp macro="" textlink="">
          <xdr:nvSpPr>
            <xdr:cNvPr hidden="1" id="43030" name="Button 22">
              <a:extLst>
                <a:ext uri="{63B3BB69-23CF-44E3-9099-C40C66FF867C}">
                  <a14:compatExt spid="_x0000_s43030"/>
                </a:ext>
                <a:ext uri="{FF2B5EF4-FFF2-40B4-BE49-F238E27FC236}">
                  <a16:creationId xmlns:a16="http://schemas.microsoft.com/office/drawing/2014/main" id="{00000000-0008-0000-0500-000016A80000}"/>
                </a:ext>
              </a:extLst>
            </xdr:cNvPr>
            <xdr:cNvSpPr/>
          </xdr:nvSpPr>
          <xdr:spPr bwMode="auto">
            <a:xfrm>
              <a:off x="0" y="0"/>
              <a:ext cx="0" cy="0"/>
            </a:xfrm>
            <a:prstGeom prst="rect">
              <a:avLst/>
            </a:prstGeom>
            <a:noFill/>
            <a:ln w="9525">
              <a:miter lim="800000"/>
              <a:headEnd/>
              <a:tailEnd/>
            </a:ln>
            <a:effectLst/>
            <a:extLst>
              <a:ext uri="{AF507438-7753-43E0-B8FC-AC1667EBCBE1}">
                <a14:hiddenEffects>
                  <a:effectLst>
                    <a:outerShdw algn="ctr" dir="2700000" dist="107763" rotWithShape="0">
                      <a:srgbClr val="808080"/>
                    </a:outerShdw>
                  </a:effectLst>
                </a14:hiddenEffects>
              </a:ext>
            </a:extLst>
          </xdr:spPr>
          <xdr:txBody>
            <a:bodyPr anchor="ctr" bIns="27432" lIns="36576" rIns="36576" tIns="27432" upright="1" vertOverflow="clip" wrap="square"/>
            <a:lstStyle/>
            <a:p>
              <a:pPr algn="ctr" rtl="0">
                <a:defRPr sz="1000"/>
              </a:pPr>
              <a:r>
                <a:rPr b="1" baseline="0" i="0" lang="en-US" strike="noStrike" sz="1200" u="none">
                  <a:solidFill>
                    <a:srgbClr val="FF0000"/>
                  </a:solidFill>
                  <a:latin typeface="Arial"/>
                  <a:cs typeface="Arial"/>
                </a:rPr>
                <a:t>Record this case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xdr:row>
          <xdr:rowOff>9525</xdr:rowOff>
        </xdr:from>
        <xdr:to>
          <xdr:col>3</xdr:col>
          <xdr:colOff>914400</xdr:colOff>
          <xdr:row>4</xdr:row>
          <xdr:rowOff>57150</xdr:rowOff>
        </xdr:to>
        <xdr:sp macro="" textlink="">
          <xdr:nvSpPr>
            <xdr:cNvPr hidden="1" id="43031" name="Drop Down 23">
              <a:extLst>
                <a:ext uri="{63B3BB69-23CF-44E3-9099-C40C66FF867C}">
                  <a14:compatExt spid="_x0000_s43031"/>
                </a:ext>
                <a:ext uri="{FF2B5EF4-FFF2-40B4-BE49-F238E27FC236}">
                  <a16:creationId xmlns:a16="http://schemas.microsoft.com/office/drawing/2014/main" id="{00000000-0008-0000-0500-000017A8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14</xdr:row>
          <xdr:rowOff>38100</xdr:rowOff>
        </xdr:from>
        <xdr:to>
          <xdr:col>3</xdr:col>
          <xdr:colOff>533400</xdr:colOff>
          <xdr:row>15</xdr:row>
          <xdr:rowOff>85725</xdr:rowOff>
        </xdr:to>
        <xdr:sp macro="" textlink="">
          <xdr:nvSpPr>
            <xdr:cNvPr hidden="1" id="43032" name="Drop Down 24">
              <a:extLst>
                <a:ext uri="{63B3BB69-23CF-44E3-9099-C40C66FF867C}">
                  <a14:compatExt spid="_x0000_s43032"/>
                </a:ext>
                <a:ext uri="{FF2B5EF4-FFF2-40B4-BE49-F238E27FC236}">
                  <a16:creationId xmlns:a16="http://schemas.microsoft.com/office/drawing/2014/main" id="{00000000-0008-0000-0500-000018A8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6</xdr:row>
          <xdr:rowOff>28575</xdr:rowOff>
        </xdr:from>
        <xdr:to>
          <xdr:col>3</xdr:col>
          <xdr:colOff>533400</xdr:colOff>
          <xdr:row>7</xdr:row>
          <xdr:rowOff>76200</xdr:rowOff>
        </xdr:to>
        <xdr:sp macro="" textlink="">
          <xdr:nvSpPr>
            <xdr:cNvPr hidden="1" id="43033" name="Drop Down 25">
              <a:extLst>
                <a:ext uri="{63B3BB69-23CF-44E3-9099-C40C66FF867C}">
                  <a14:compatExt spid="_x0000_s43033"/>
                </a:ext>
                <a:ext uri="{FF2B5EF4-FFF2-40B4-BE49-F238E27FC236}">
                  <a16:creationId xmlns:a16="http://schemas.microsoft.com/office/drawing/2014/main" id="{00000000-0008-0000-0500-000019A8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xdr:colOff>
          <xdr:row>6</xdr:row>
          <xdr:rowOff>47625</xdr:rowOff>
        </xdr:from>
        <xdr:to>
          <xdr:col>5</xdr:col>
          <xdr:colOff>514350</xdr:colOff>
          <xdr:row>7</xdr:row>
          <xdr:rowOff>95250</xdr:rowOff>
        </xdr:to>
        <xdr:sp macro="" textlink="">
          <xdr:nvSpPr>
            <xdr:cNvPr hidden="1" id="43034" name="Drop Down 26">
              <a:extLst>
                <a:ext uri="{63B3BB69-23CF-44E3-9099-C40C66FF867C}">
                  <a14:compatExt spid="_x0000_s43034"/>
                </a:ext>
                <a:ext uri="{FF2B5EF4-FFF2-40B4-BE49-F238E27FC236}">
                  <a16:creationId xmlns:a16="http://schemas.microsoft.com/office/drawing/2014/main" id="{00000000-0008-0000-0500-00001AA8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6</xdr:row>
          <xdr:rowOff>57150</xdr:rowOff>
        </xdr:from>
        <xdr:to>
          <xdr:col>7</xdr:col>
          <xdr:colOff>533400</xdr:colOff>
          <xdr:row>7</xdr:row>
          <xdr:rowOff>104775</xdr:rowOff>
        </xdr:to>
        <xdr:sp macro="" textlink="">
          <xdr:nvSpPr>
            <xdr:cNvPr hidden="1" id="43035" name="Drop Down 27">
              <a:extLst>
                <a:ext uri="{63B3BB69-23CF-44E3-9099-C40C66FF867C}">
                  <a14:compatExt spid="_x0000_s43035"/>
                </a:ext>
                <a:ext uri="{FF2B5EF4-FFF2-40B4-BE49-F238E27FC236}">
                  <a16:creationId xmlns:a16="http://schemas.microsoft.com/office/drawing/2014/main" id="{00000000-0008-0000-0500-00001BA8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10</xdr:row>
          <xdr:rowOff>38100</xdr:rowOff>
        </xdr:from>
        <xdr:to>
          <xdr:col>3</xdr:col>
          <xdr:colOff>552450</xdr:colOff>
          <xdr:row>11</xdr:row>
          <xdr:rowOff>85725</xdr:rowOff>
        </xdr:to>
        <xdr:sp macro="" textlink="">
          <xdr:nvSpPr>
            <xdr:cNvPr hidden="1" id="43036" name="Drop Down 28">
              <a:extLst>
                <a:ext uri="{63B3BB69-23CF-44E3-9099-C40C66FF867C}">
                  <a14:compatExt spid="_x0000_s43036"/>
                </a:ext>
                <a:ext uri="{FF2B5EF4-FFF2-40B4-BE49-F238E27FC236}">
                  <a16:creationId xmlns:a16="http://schemas.microsoft.com/office/drawing/2014/main" id="{00000000-0008-0000-0500-00001CA8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10</xdr:row>
          <xdr:rowOff>47625</xdr:rowOff>
        </xdr:from>
        <xdr:to>
          <xdr:col>5</xdr:col>
          <xdr:colOff>523875</xdr:colOff>
          <xdr:row>11</xdr:row>
          <xdr:rowOff>95250</xdr:rowOff>
        </xdr:to>
        <xdr:sp macro="" textlink="">
          <xdr:nvSpPr>
            <xdr:cNvPr hidden="1" id="43037" name="Drop Down 29">
              <a:extLst>
                <a:ext uri="{63B3BB69-23CF-44E3-9099-C40C66FF867C}">
                  <a14:compatExt spid="_x0000_s43037"/>
                </a:ext>
                <a:ext uri="{FF2B5EF4-FFF2-40B4-BE49-F238E27FC236}">
                  <a16:creationId xmlns:a16="http://schemas.microsoft.com/office/drawing/2014/main" id="{00000000-0008-0000-0500-00001DA8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10</xdr:row>
          <xdr:rowOff>38100</xdr:rowOff>
        </xdr:from>
        <xdr:to>
          <xdr:col>7</xdr:col>
          <xdr:colOff>542925</xdr:colOff>
          <xdr:row>11</xdr:row>
          <xdr:rowOff>85725</xdr:rowOff>
        </xdr:to>
        <xdr:sp macro="" textlink="">
          <xdr:nvSpPr>
            <xdr:cNvPr hidden="1" id="43038" name="Drop Down 30">
              <a:extLst>
                <a:ext uri="{63B3BB69-23CF-44E3-9099-C40C66FF867C}">
                  <a14:compatExt spid="_x0000_s43038"/>
                </a:ext>
                <a:ext uri="{FF2B5EF4-FFF2-40B4-BE49-F238E27FC236}">
                  <a16:creationId xmlns:a16="http://schemas.microsoft.com/office/drawing/2014/main" id="{00000000-0008-0000-0500-00001EA8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19</xdr:row>
          <xdr:rowOff>57150</xdr:rowOff>
        </xdr:from>
        <xdr:to>
          <xdr:col>3</xdr:col>
          <xdr:colOff>552450</xdr:colOff>
          <xdr:row>20</xdr:row>
          <xdr:rowOff>104775</xdr:rowOff>
        </xdr:to>
        <xdr:sp macro="" textlink="">
          <xdr:nvSpPr>
            <xdr:cNvPr hidden="1" id="43039" name="Drop Down 31">
              <a:extLst>
                <a:ext uri="{63B3BB69-23CF-44E3-9099-C40C66FF867C}">
                  <a14:compatExt spid="_x0000_s43039"/>
                </a:ext>
                <a:ext uri="{FF2B5EF4-FFF2-40B4-BE49-F238E27FC236}">
                  <a16:creationId xmlns:a16="http://schemas.microsoft.com/office/drawing/2014/main" id="{00000000-0008-0000-0500-00001FA8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19</xdr:row>
          <xdr:rowOff>57150</xdr:rowOff>
        </xdr:from>
        <xdr:to>
          <xdr:col>5</xdr:col>
          <xdr:colOff>533400</xdr:colOff>
          <xdr:row>20</xdr:row>
          <xdr:rowOff>104775</xdr:rowOff>
        </xdr:to>
        <xdr:sp macro="" textlink="">
          <xdr:nvSpPr>
            <xdr:cNvPr hidden="1" id="43040" name="Drop Down 32">
              <a:extLst>
                <a:ext uri="{63B3BB69-23CF-44E3-9099-C40C66FF867C}">
                  <a14:compatExt spid="_x0000_s43040"/>
                </a:ext>
                <a:ext uri="{FF2B5EF4-FFF2-40B4-BE49-F238E27FC236}">
                  <a16:creationId xmlns:a16="http://schemas.microsoft.com/office/drawing/2014/main" id="{00000000-0008-0000-0500-000020A8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19</xdr:row>
          <xdr:rowOff>28575</xdr:rowOff>
        </xdr:from>
        <xdr:to>
          <xdr:col>7</xdr:col>
          <xdr:colOff>542925</xdr:colOff>
          <xdr:row>20</xdr:row>
          <xdr:rowOff>76200</xdr:rowOff>
        </xdr:to>
        <xdr:sp macro="" textlink="">
          <xdr:nvSpPr>
            <xdr:cNvPr hidden="1" id="43041" name="Drop Down 33">
              <a:extLst>
                <a:ext uri="{63B3BB69-23CF-44E3-9099-C40C66FF867C}">
                  <a14:compatExt spid="_x0000_s43041"/>
                </a:ext>
                <a:ext uri="{FF2B5EF4-FFF2-40B4-BE49-F238E27FC236}">
                  <a16:creationId xmlns:a16="http://schemas.microsoft.com/office/drawing/2014/main" id="{00000000-0008-0000-0500-000021A8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22</xdr:row>
          <xdr:rowOff>47625</xdr:rowOff>
        </xdr:from>
        <xdr:to>
          <xdr:col>3</xdr:col>
          <xdr:colOff>561975</xdr:colOff>
          <xdr:row>23</xdr:row>
          <xdr:rowOff>95250</xdr:rowOff>
        </xdr:to>
        <xdr:sp macro="" textlink="">
          <xdr:nvSpPr>
            <xdr:cNvPr hidden="1" id="43042" name="Drop Down 34">
              <a:extLst>
                <a:ext uri="{63B3BB69-23CF-44E3-9099-C40C66FF867C}">
                  <a14:compatExt spid="_x0000_s43042"/>
                </a:ext>
                <a:ext uri="{FF2B5EF4-FFF2-40B4-BE49-F238E27FC236}">
                  <a16:creationId xmlns:a16="http://schemas.microsoft.com/office/drawing/2014/main" id="{00000000-0008-0000-0500-000022A8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22</xdr:row>
          <xdr:rowOff>28575</xdr:rowOff>
        </xdr:from>
        <xdr:to>
          <xdr:col>5</xdr:col>
          <xdr:colOff>523875</xdr:colOff>
          <xdr:row>23</xdr:row>
          <xdr:rowOff>76200</xdr:rowOff>
        </xdr:to>
        <xdr:sp macro="" textlink="">
          <xdr:nvSpPr>
            <xdr:cNvPr hidden="1" id="43043" name="Drop Down 35">
              <a:extLst>
                <a:ext uri="{63B3BB69-23CF-44E3-9099-C40C66FF867C}">
                  <a14:compatExt spid="_x0000_s43043"/>
                </a:ext>
                <a:ext uri="{FF2B5EF4-FFF2-40B4-BE49-F238E27FC236}">
                  <a16:creationId xmlns:a16="http://schemas.microsoft.com/office/drawing/2014/main" id="{00000000-0008-0000-0500-000023A8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22</xdr:row>
          <xdr:rowOff>47625</xdr:rowOff>
        </xdr:from>
        <xdr:to>
          <xdr:col>7</xdr:col>
          <xdr:colOff>552450</xdr:colOff>
          <xdr:row>23</xdr:row>
          <xdr:rowOff>95250</xdr:rowOff>
        </xdr:to>
        <xdr:sp macro="" textlink="">
          <xdr:nvSpPr>
            <xdr:cNvPr hidden="1" id="43044" name="Drop Down 36">
              <a:extLst>
                <a:ext uri="{63B3BB69-23CF-44E3-9099-C40C66FF867C}">
                  <a14:compatExt spid="_x0000_s43044"/>
                </a:ext>
                <a:ext uri="{FF2B5EF4-FFF2-40B4-BE49-F238E27FC236}">
                  <a16:creationId xmlns:a16="http://schemas.microsoft.com/office/drawing/2014/main" id="{00000000-0008-0000-0500-000024A8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25</xdr:row>
          <xdr:rowOff>19050</xdr:rowOff>
        </xdr:from>
        <xdr:to>
          <xdr:col>3</xdr:col>
          <xdr:colOff>561975</xdr:colOff>
          <xdr:row>26</xdr:row>
          <xdr:rowOff>66675</xdr:rowOff>
        </xdr:to>
        <xdr:sp macro="" textlink="">
          <xdr:nvSpPr>
            <xdr:cNvPr hidden="1" id="43045" name="Drop Down 37">
              <a:extLst>
                <a:ext uri="{63B3BB69-23CF-44E3-9099-C40C66FF867C}">
                  <a14:compatExt spid="_x0000_s43045"/>
                </a:ext>
                <a:ext uri="{FF2B5EF4-FFF2-40B4-BE49-F238E27FC236}">
                  <a16:creationId xmlns:a16="http://schemas.microsoft.com/office/drawing/2014/main" id="{00000000-0008-0000-0500-000025A8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25</xdr:row>
          <xdr:rowOff>38100</xdr:rowOff>
        </xdr:from>
        <xdr:to>
          <xdr:col>5</xdr:col>
          <xdr:colOff>533400</xdr:colOff>
          <xdr:row>26</xdr:row>
          <xdr:rowOff>85725</xdr:rowOff>
        </xdr:to>
        <xdr:sp macro="" textlink="">
          <xdr:nvSpPr>
            <xdr:cNvPr hidden="1" id="43046" name="Drop Down 38">
              <a:extLst>
                <a:ext uri="{63B3BB69-23CF-44E3-9099-C40C66FF867C}">
                  <a14:compatExt spid="_x0000_s43046"/>
                </a:ext>
                <a:ext uri="{FF2B5EF4-FFF2-40B4-BE49-F238E27FC236}">
                  <a16:creationId xmlns:a16="http://schemas.microsoft.com/office/drawing/2014/main" id="{00000000-0008-0000-0500-000026A8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85725</xdr:colOff>
          <xdr:row>25</xdr:row>
          <xdr:rowOff>38100</xdr:rowOff>
        </xdr:from>
        <xdr:to>
          <xdr:col>7</xdr:col>
          <xdr:colOff>561975</xdr:colOff>
          <xdr:row>26</xdr:row>
          <xdr:rowOff>85725</xdr:rowOff>
        </xdr:to>
        <xdr:sp macro="" textlink="">
          <xdr:nvSpPr>
            <xdr:cNvPr hidden="1" id="43047" name="Drop Down 39">
              <a:extLst>
                <a:ext uri="{63B3BB69-23CF-44E3-9099-C40C66FF867C}">
                  <a14:compatExt spid="_x0000_s43047"/>
                </a:ext>
                <a:ext uri="{FF2B5EF4-FFF2-40B4-BE49-F238E27FC236}">
                  <a16:creationId xmlns:a16="http://schemas.microsoft.com/office/drawing/2014/main" id="{00000000-0008-0000-0500-000027A8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14</xdr:row>
          <xdr:rowOff>28575</xdr:rowOff>
        </xdr:from>
        <xdr:to>
          <xdr:col>5</xdr:col>
          <xdr:colOff>542925</xdr:colOff>
          <xdr:row>15</xdr:row>
          <xdr:rowOff>76200</xdr:rowOff>
        </xdr:to>
        <xdr:sp macro="" textlink="">
          <xdr:nvSpPr>
            <xdr:cNvPr hidden="1" id="43051" name="Drop Down 43">
              <a:extLst>
                <a:ext uri="{63B3BB69-23CF-44E3-9099-C40C66FF867C}">
                  <a14:compatExt spid="_x0000_s43051"/>
                </a:ext>
                <a:ext uri="{FF2B5EF4-FFF2-40B4-BE49-F238E27FC236}">
                  <a16:creationId xmlns:a16="http://schemas.microsoft.com/office/drawing/2014/main" id="{00000000-0008-0000-0500-00002BA8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14</xdr:row>
          <xdr:rowOff>19050</xdr:rowOff>
        </xdr:from>
        <xdr:to>
          <xdr:col>7</xdr:col>
          <xdr:colOff>523875</xdr:colOff>
          <xdr:row>15</xdr:row>
          <xdr:rowOff>66675</xdr:rowOff>
        </xdr:to>
        <xdr:sp macro="" textlink="">
          <xdr:nvSpPr>
            <xdr:cNvPr hidden="1" id="43053" name="Drop Down 45">
              <a:extLst>
                <a:ext uri="{63B3BB69-23CF-44E3-9099-C40C66FF867C}">
                  <a14:compatExt spid="_x0000_s43053"/>
                </a:ext>
                <a:ext uri="{FF2B5EF4-FFF2-40B4-BE49-F238E27FC236}">
                  <a16:creationId xmlns:a16="http://schemas.microsoft.com/office/drawing/2014/main" id="{00000000-0008-0000-0500-00002DA8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xdr:wsDr>
</file>

<file path=xl/drawings/drawing6.xml><?xml version="1.0" encoding="utf-8"?>
<xdr:wsDr xmlns:a="http://schemas.openxmlformats.org/drawingml/2006/main" xmlns:xdr="http://schemas.openxmlformats.org/drawingml/2006/spreadsheetDrawing">
  <xdr:twoCellAnchor>
    <xdr:from>
      <xdr:col>6</xdr:col>
      <xdr:colOff>238125</xdr:colOff>
      <xdr:row>10</xdr:row>
      <xdr:rowOff>114300</xdr:rowOff>
    </xdr:from>
    <xdr:to>
      <xdr:col>8</xdr:col>
      <xdr:colOff>361950</xdr:colOff>
      <xdr:row>12</xdr:row>
      <xdr:rowOff>0</xdr:rowOff>
    </xdr:to>
    <xdr:sp macro="[0]!MORESELECT_NICX_Click" textlink="">
      <xdr:nvSpPr>
        <xdr:cNvPr id="44077" name="Text Box 45">
          <a:extLst>
            <a:ext uri="{FF2B5EF4-FFF2-40B4-BE49-F238E27FC236}">
              <a16:creationId xmlns:a16="http://schemas.microsoft.com/office/drawing/2014/main" id="{00000000-0008-0000-0600-00002DAC0000}"/>
            </a:ext>
          </a:extLst>
        </xdr:cNvPr>
        <xdr:cNvSpPr txBox="1">
          <a:spLocks noChangeArrowheads="1"/>
        </xdr:cNvSpPr>
      </xdr:nvSpPr>
      <xdr:spPr bwMode="auto">
        <a:xfrm>
          <a:off x="4276725" y="1638300"/>
          <a:ext cx="1466850" cy="190500"/>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w="9525">
              <a:solidFill>
                <a:srgbClr xmlns:mc="http://schemas.openxmlformats.org/markup-compatibility/2006" a14:legacySpreadsheetColorIndex="64" mc:Ignorable="a14" val="00000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1000" u="none">
              <a:solidFill>
                <a:srgbClr val="000000"/>
              </a:solidFill>
              <a:latin typeface="Arial"/>
              <a:cs typeface="Arial"/>
            </a:rPr>
            <a:t>Class 4 NIC Exempt</a:t>
          </a:r>
        </a:p>
      </xdr:txBody>
    </xdr:sp>
    <xdr:clientData/>
  </xdr:twoCellAnchor>
  <mc:AlternateContent xmlns:mc="http://schemas.openxmlformats.org/markup-compatibility/2006">
    <mc:Choice xmlns:a14="http://schemas.microsoft.com/office/drawing/2010/main" Requires="a14">
      <xdr:twoCellAnchor editAs="oneCell">
        <xdr:from>
          <xdr:col>8</xdr:col>
          <xdr:colOff>161925</xdr:colOff>
          <xdr:row>10</xdr:row>
          <xdr:rowOff>85725</xdr:rowOff>
        </xdr:from>
        <xdr:to>
          <xdr:col>8</xdr:col>
          <xdr:colOff>466725</xdr:colOff>
          <xdr:row>12</xdr:row>
          <xdr:rowOff>0</xdr:rowOff>
        </xdr:to>
        <xdr:sp macro="" textlink="">
          <xdr:nvSpPr>
            <xdr:cNvPr hidden="1" id="44052" name="Check Box 20">
              <a:extLst>
                <a:ext uri="{63B3BB69-23CF-44E3-9099-C40C66FF867C}">
                  <a14:compatExt spid="_x0000_s44052"/>
                </a:ext>
                <a:ext uri="{FF2B5EF4-FFF2-40B4-BE49-F238E27FC236}">
                  <a16:creationId xmlns:a16="http://schemas.microsoft.com/office/drawing/2014/main" id="{00000000-0008-0000-0600-000014AC0000}"/>
                </a:ext>
              </a:extLst>
            </xdr:cNvPr>
            <xdr:cNvSpPr/>
          </xdr:nvSpPr>
          <xdr:spPr bwMode="auto">
            <a:xfrm>
              <a:off x="0" y="0"/>
              <a:ext cx="0" cy="0"/>
            </a:xfrm>
            <a:prstGeom prst="rect">
              <a:avLst/>
            </a:prstGeom>
            <a:noFill/>
            <a:ln>
              <a:noFill/>
            </a:ln>
            <a:effectLst/>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9525</xdr:colOff>
          <xdr:row>14</xdr:row>
          <xdr:rowOff>66675</xdr:rowOff>
        </xdr:from>
        <xdr:to>
          <xdr:col>11</xdr:col>
          <xdr:colOff>409575</xdr:colOff>
          <xdr:row>16</xdr:row>
          <xdr:rowOff>133350</xdr:rowOff>
        </xdr:to>
        <xdr:sp macro="" textlink="">
          <xdr:nvSpPr>
            <xdr:cNvPr hidden="1" id="44056" name="Button 24">
              <a:extLst>
                <a:ext uri="{63B3BB69-23CF-44E3-9099-C40C66FF867C}">
                  <a14:compatExt spid="_x0000_s44056"/>
                </a:ext>
                <a:ext uri="{FF2B5EF4-FFF2-40B4-BE49-F238E27FC236}">
                  <a16:creationId xmlns:a16="http://schemas.microsoft.com/office/drawing/2014/main" id="{00000000-0008-0000-0600-000018AC0000}"/>
                </a:ext>
              </a:extLst>
            </xdr:cNvPr>
            <xdr:cNvSpPr/>
          </xdr:nvSpPr>
          <xdr:spPr bwMode="auto">
            <a:xfrm>
              <a:off x="0" y="0"/>
              <a:ext cx="0" cy="0"/>
            </a:xfrm>
            <a:prstGeom prst="rect">
              <a:avLst/>
            </a:prstGeom>
            <a:noFill/>
            <a:ln w="9525">
              <a:miter lim="800000"/>
              <a:headEnd/>
              <a:tailEnd/>
            </a:ln>
            <a:effectLst/>
            <a:extLst>
              <a:ext uri="{AF507438-7753-43E0-B8FC-AC1667EBCBE1}">
                <a14:hiddenEffects>
                  <a:effectLst>
                    <a:outerShdw algn="ctr" dir="2700000" dist="107763" rotWithShape="0">
                      <a:srgbClr val="808080"/>
                    </a:outerShdw>
                  </a:effectLst>
                </a14:hiddenEffects>
              </a:ext>
            </a:extLst>
          </xdr:spPr>
          <xdr:txBody>
            <a:bodyPr anchor="ctr" bIns="27432" lIns="36576" rIns="36576" tIns="27432" upright="1" vertOverflow="clip" wrap="square"/>
            <a:lstStyle/>
            <a:p>
              <a:pPr algn="ctr" rtl="0">
                <a:defRPr sz="1000"/>
              </a:pPr>
              <a:r>
                <a:rPr b="1" baseline="0" i="0" lang="en-US" strike="noStrike" sz="1200" u="none">
                  <a:solidFill>
                    <a:srgbClr val="FF0000"/>
                  </a:solidFill>
                  <a:latin typeface="Arial"/>
                  <a:cs typeface="Arial"/>
                </a:rPr>
                <a:t>Record this case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9525</xdr:colOff>
          <xdr:row>5</xdr:row>
          <xdr:rowOff>95250</xdr:rowOff>
        </xdr:from>
        <xdr:to>
          <xdr:col>11</xdr:col>
          <xdr:colOff>400050</xdr:colOff>
          <xdr:row>7</xdr:row>
          <xdr:rowOff>85725</xdr:rowOff>
        </xdr:to>
        <xdr:sp macro="" textlink="">
          <xdr:nvSpPr>
            <xdr:cNvPr hidden="1" id="44057" name="Button 25">
              <a:extLst>
                <a:ext uri="{63B3BB69-23CF-44E3-9099-C40C66FF867C}">
                  <a14:compatExt spid="_x0000_s44057"/>
                </a:ext>
                <a:ext uri="{FF2B5EF4-FFF2-40B4-BE49-F238E27FC236}">
                  <a16:creationId xmlns:a16="http://schemas.microsoft.com/office/drawing/2014/main" id="{00000000-0008-0000-0600-000019AC0000}"/>
                </a:ext>
              </a:extLst>
            </xdr:cNvPr>
            <xdr:cNvSpPr/>
          </xdr:nvSpPr>
          <xdr:spPr bwMode="auto">
            <a:xfrm>
              <a:off x="0" y="0"/>
              <a:ext cx="0" cy="0"/>
            </a:xfrm>
            <a:prstGeom prst="rect">
              <a:avLst/>
            </a:prstGeom>
            <a:noFill/>
            <a:ln w="9525">
              <a:miter lim="800000"/>
              <a:headEnd/>
              <a:tailEnd/>
            </a:ln>
            <a:effectLst/>
            <a:extLst>
              <a:ext uri="{AF507438-7753-43E0-B8FC-AC1667EBCBE1}">
                <a14:hiddenEffects>
                  <a:effectLst>
                    <a:outerShdw algn="ctr" dir="2700000" dist="107763" rotWithShape="0">
                      <a:srgbClr val="808080"/>
                    </a:outerShdw>
                  </a:effectLst>
                </a14:hiddenEffects>
              </a:ext>
            </a:extLst>
          </xdr:spPr>
          <xdr:txBody>
            <a:bodyPr anchor="ctr" bIns="22860" lIns="27432" rIns="27432" tIns="22860" upright="1" vertOverflow="clip" wrap="square"/>
            <a:lstStyle/>
            <a:p>
              <a:pPr algn="ctr" rtl="0">
                <a:defRPr sz="1000"/>
              </a:pPr>
              <a:r>
                <a:rPr b="1" baseline="0" i="0" lang="en-US" strike="noStrike" sz="1000" u="none">
                  <a:solidFill>
                    <a:srgbClr val="008080"/>
                  </a:solidFill>
                  <a:latin typeface="Arial"/>
                  <a:cs typeface="Arial"/>
                </a:rPr>
                <a:t>View/Hide Components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18</xdr:row>
          <xdr:rowOff>85725</xdr:rowOff>
        </xdr:from>
        <xdr:to>
          <xdr:col>11</xdr:col>
          <xdr:colOff>409575</xdr:colOff>
          <xdr:row>20</xdr:row>
          <xdr:rowOff>114300</xdr:rowOff>
        </xdr:to>
        <xdr:sp macro="" textlink="">
          <xdr:nvSpPr>
            <xdr:cNvPr hidden="1" id="44058" name="Button 26">
              <a:extLst>
                <a:ext uri="{63B3BB69-23CF-44E3-9099-C40C66FF867C}">
                  <a14:compatExt spid="_x0000_s44058"/>
                </a:ext>
                <a:ext uri="{FF2B5EF4-FFF2-40B4-BE49-F238E27FC236}">
                  <a16:creationId xmlns:a16="http://schemas.microsoft.com/office/drawing/2014/main" id="{00000000-0008-0000-0600-00001AAC0000}"/>
                </a:ext>
              </a:extLst>
            </xdr:cNvPr>
            <xdr:cNvSpPr/>
          </xdr:nvSpPr>
          <xdr:spPr bwMode="auto">
            <a:xfrm>
              <a:off x="0" y="0"/>
              <a:ext cx="0" cy="0"/>
            </a:xfrm>
            <a:prstGeom prst="rect">
              <a:avLst/>
            </a:prstGeom>
            <a:noFill/>
            <a:ln w="9525">
              <a:miter lim="800000"/>
              <a:headEnd/>
              <a:tailEnd/>
            </a:ln>
            <a:effectLst/>
            <a:extLst>
              <a:ext uri="{AF507438-7753-43E0-B8FC-AC1667EBCBE1}">
                <a14:hiddenEffects>
                  <a:effectLst>
                    <a:outerShdw algn="ctr" dir="2700000" dist="107763" rotWithShape="0">
                      <a:srgbClr val="808080"/>
                    </a:outerShdw>
                  </a:effectLst>
                </a14:hiddenEffects>
              </a:ext>
            </a:extLst>
          </xdr:spPr>
          <xdr:txBody>
            <a:bodyPr anchor="ctr" bIns="22860" lIns="27432" rIns="27432" tIns="22860" upright="1" vertOverflow="clip" wrap="square"/>
            <a:lstStyle/>
            <a:p>
              <a:pPr algn="ctr" rtl="0">
                <a:defRPr sz="1000"/>
              </a:pPr>
              <a:r>
                <a:rPr b="1" baseline="0" i="0" lang="en-US" strike="noStrike" sz="1000" u="none">
                  <a:solidFill>
                    <a:srgbClr val="008080"/>
                  </a:solidFill>
                  <a:latin typeface="Arial"/>
                  <a:cs typeface="Arial"/>
                </a:rPr>
                <a:t>Reset test selection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123825</xdr:colOff>
          <xdr:row>2</xdr:row>
          <xdr:rowOff>0</xdr:rowOff>
        </xdr:from>
        <xdr:to>
          <xdr:col>11</xdr:col>
          <xdr:colOff>390525</xdr:colOff>
          <xdr:row>3</xdr:row>
          <xdr:rowOff>123825</xdr:rowOff>
        </xdr:to>
        <xdr:sp macro="" textlink="">
          <xdr:nvSpPr>
            <xdr:cNvPr hidden="1" id="44059" name="Button 27">
              <a:extLst>
                <a:ext uri="{63B3BB69-23CF-44E3-9099-C40C66FF867C}">
                  <a14:compatExt spid="_x0000_s44059"/>
                </a:ext>
                <a:ext uri="{FF2B5EF4-FFF2-40B4-BE49-F238E27FC236}">
                  <a16:creationId xmlns:a16="http://schemas.microsoft.com/office/drawing/2014/main" id="{00000000-0008-0000-0600-00001BAC0000}"/>
                </a:ext>
              </a:extLst>
            </xdr:cNvPr>
            <xdr:cNvSpPr/>
          </xdr:nvSpPr>
          <xdr:spPr bwMode="auto">
            <a:xfrm>
              <a:off x="0" y="0"/>
              <a:ext cx="0" cy="0"/>
            </a:xfrm>
            <a:prstGeom prst="rect">
              <a:avLst/>
            </a:prstGeom>
            <a:noFill/>
            <a:ln w="9525">
              <a:miter lim="800000"/>
              <a:headEnd/>
              <a:tailEnd/>
            </a:ln>
            <a:effectLst/>
            <a:extLst>
              <a:ext uri="{AF507438-7753-43E0-B8FC-AC1667EBCBE1}">
                <a14:hiddenEffects>
                  <a:effectLst>
                    <a:outerShdw algn="ctr" dir="2700000" dist="107763" rotWithShape="0">
                      <a:srgbClr val="808080"/>
                    </a:outerShdw>
                  </a:effectLst>
                </a14:hiddenEffects>
              </a:ext>
            </a:extLst>
          </xdr:spPr>
          <xdr:txBody>
            <a:bodyPr anchor="ctr" bIns="22860" lIns="27432" rIns="27432" tIns="22860" upright="1" vertOverflow="clip" wrap="square"/>
            <a:lstStyle/>
            <a:p>
              <a:pPr algn="ctr" rtl="0">
                <a:defRPr sz="1000"/>
              </a:pPr>
              <a:r>
                <a:rPr b="1" baseline="0" i="0" lang="en-US" strike="noStrike" sz="1000" u="none">
                  <a:solidFill>
                    <a:srgbClr val="008080"/>
                  </a:solidFill>
                  <a:latin typeface="Arial"/>
                  <a:cs typeface="Arial"/>
                </a:rPr>
                <a:t>&lt; Core selection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10</xdr:row>
          <xdr:rowOff>9525</xdr:rowOff>
        </xdr:from>
        <xdr:to>
          <xdr:col>11</xdr:col>
          <xdr:colOff>400050</xdr:colOff>
          <xdr:row>12</xdr:row>
          <xdr:rowOff>85725</xdr:rowOff>
        </xdr:to>
        <xdr:sp macro="" textlink="">
          <xdr:nvSpPr>
            <xdr:cNvPr hidden="1" id="44060" name="Button 28">
              <a:extLst>
                <a:ext uri="{63B3BB69-23CF-44E3-9099-C40C66FF867C}">
                  <a14:compatExt spid="_x0000_s44060"/>
                </a:ext>
                <a:ext uri="{FF2B5EF4-FFF2-40B4-BE49-F238E27FC236}">
                  <a16:creationId xmlns:a16="http://schemas.microsoft.com/office/drawing/2014/main" id="{00000000-0008-0000-0600-00001CAC0000}"/>
                </a:ext>
              </a:extLst>
            </xdr:cNvPr>
            <xdr:cNvSpPr/>
          </xdr:nvSpPr>
          <xdr:spPr bwMode="auto">
            <a:xfrm>
              <a:off x="0" y="0"/>
              <a:ext cx="0" cy="0"/>
            </a:xfrm>
            <a:prstGeom prst="rect">
              <a:avLst/>
            </a:prstGeom>
            <a:noFill/>
            <a:ln w="9525">
              <a:miter lim="800000"/>
              <a:headEnd/>
              <a:tailEnd/>
            </a:ln>
            <a:effectLst/>
            <a:extLst>
              <a:ext uri="{AF507438-7753-43E0-B8FC-AC1667EBCBE1}">
                <a14:hiddenEffects>
                  <a:effectLst>
                    <a:outerShdw algn="ctr" dir="2700000" dist="107763" rotWithShape="0">
                      <a:srgbClr val="808080"/>
                    </a:outerShdw>
                  </a:effectLst>
                </a14:hiddenEffects>
              </a:ext>
            </a:extLst>
          </xdr:spPr>
          <xdr:txBody>
            <a:bodyPr anchor="ctr" bIns="27432" lIns="36576" rIns="36576" tIns="27432" upright="1" vertOverflow="clip" wrap="square"/>
            <a:lstStyle/>
            <a:p>
              <a:pPr algn="ctr" rtl="0">
                <a:defRPr sz="1000"/>
              </a:pPr>
              <a:r>
                <a:rPr b="1" baseline="0" i="0" lang="en-US" strike="noStrike" sz="1200" u="none">
                  <a:solidFill>
                    <a:srgbClr val="008080"/>
                  </a:solidFill>
                  <a:latin typeface="Arial"/>
                  <a:cs typeface="Arial"/>
                </a:rPr>
                <a:t>Test this case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3</xdr:row>
          <xdr:rowOff>66675</xdr:rowOff>
        </xdr:from>
        <xdr:to>
          <xdr:col>3</xdr:col>
          <xdr:colOff>504825</xdr:colOff>
          <xdr:row>4</xdr:row>
          <xdr:rowOff>114300</xdr:rowOff>
        </xdr:to>
        <xdr:sp macro="" textlink="">
          <xdr:nvSpPr>
            <xdr:cNvPr hidden="1" id="44062" name="Drop Down 30">
              <a:extLst>
                <a:ext uri="{63B3BB69-23CF-44E3-9099-C40C66FF867C}">
                  <a14:compatExt spid="_x0000_s44062"/>
                </a:ext>
                <a:ext uri="{FF2B5EF4-FFF2-40B4-BE49-F238E27FC236}">
                  <a16:creationId xmlns:a16="http://schemas.microsoft.com/office/drawing/2014/main" id="{00000000-0008-0000-0600-00001EAC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3</xdr:row>
          <xdr:rowOff>47625</xdr:rowOff>
        </xdr:from>
        <xdr:to>
          <xdr:col>5</xdr:col>
          <xdr:colOff>533400</xdr:colOff>
          <xdr:row>4</xdr:row>
          <xdr:rowOff>95250</xdr:rowOff>
        </xdr:to>
        <xdr:sp macro="" textlink="">
          <xdr:nvSpPr>
            <xdr:cNvPr hidden="1" id="44063" name="Drop Down 31">
              <a:extLst>
                <a:ext uri="{63B3BB69-23CF-44E3-9099-C40C66FF867C}">
                  <a14:compatExt spid="_x0000_s44063"/>
                </a:ext>
                <a:ext uri="{FF2B5EF4-FFF2-40B4-BE49-F238E27FC236}">
                  <a16:creationId xmlns:a16="http://schemas.microsoft.com/office/drawing/2014/main" id="{00000000-0008-0000-0600-00001FAC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3</xdr:row>
          <xdr:rowOff>47625</xdr:rowOff>
        </xdr:from>
        <xdr:to>
          <xdr:col>8</xdr:col>
          <xdr:colOff>504825</xdr:colOff>
          <xdr:row>4</xdr:row>
          <xdr:rowOff>95250</xdr:rowOff>
        </xdr:to>
        <xdr:sp macro="" textlink="">
          <xdr:nvSpPr>
            <xdr:cNvPr hidden="1" id="44064" name="Drop Down 32">
              <a:extLst>
                <a:ext uri="{63B3BB69-23CF-44E3-9099-C40C66FF867C}">
                  <a14:compatExt spid="_x0000_s44064"/>
                </a:ext>
                <a:ext uri="{FF2B5EF4-FFF2-40B4-BE49-F238E27FC236}">
                  <a16:creationId xmlns:a16="http://schemas.microsoft.com/office/drawing/2014/main" id="{00000000-0008-0000-0600-000020AC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8</xdr:row>
          <xdr:rowOff>47625</xdr:rowOff>
        </xdr:from>
        <xdr:to>
          <xdr:col>3</xdr:col>
          <xdr:colOff>504825</xdr:colOff>
          <xdr:row>9</xdr:row>
          <xdr:rowOff>95250</xdr:rowOff>
        </xdr:to>
        <xdr:sp macro="" textlink="">
          <xdr:nvSpPr>
            <xdr:cNvPr hidden="1" id="44065" name="Drop Down 33">
              <a:extLst>
                <a:ext uri="{63B3BB69-23CF-44E3-9099-C40C66FF867C}">
                  <a14:compatExt spid="_x0000_s44065"/>
                </a:ext>
                <a:ext uri="{FF2B5EF4-FFF2-40B4-BE49-F238E27FC236}">
                  <a16:creationId xmlns:a16="http://schemas.microsoft.com/office/drawing/2014/main" id="{00000000-0008-0000-0600-000021AC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8</xdr:row>
          <xdr:rowOff>57150</xdr:rowOff>
        </xdr:from>
        <xdr:to>
          <xdr:col>5</xdr:col>
          <xdr:colOff>523875</xdr:colOff>
          <xdr:row>9</xdr:row>
          <xdr:rowOff>104775</xdr:rowOff>
        </xdr:to>
        <xdr:sp macro="" textlink="">
          <xdr:nvSpPr>
            <xdr:cNvPr hidden="1" id="44066" name="Drop Down 34">
              <a:extLst>
                <a:ext uri="{63B3BB69-23CF-44E3-9099-C40C66FF867C}">
                  <a14:compatExt spid="_x0000_s44066"/>
                </a:ext>
                <a:ext uri="{FF2B5EF4-FFF2-40B4-BE49-F238E27FC236}">
                  <a16:creationId xmlns:a16="http://schemas.microsoft.com/office/drawing/2014/main" id="{00000000-0008-0000-0600-000022AC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8</xdr:row>
          <xdr:rowOff>38100</xdr:rowOff>
        </xdr:from>
        <xdr:to>
          <xdr:col>8</xdr:col>
          <xdr:colOff>504825</xdr:colOff>
          <xdr:row>9</xdr:row>
          <xdr:rowOff>85725</xdr:rowOff>
        </xdr:to>
        <xdr:sp macro="" textlink="">
          <xdr:nvSpPr>
            <xdr:cNvPr hidden="1" id="44067" name="Drop Down 35">
              <a:extLst>
                <a:ext uri="{63B3BB69-23CF-44E3-9099-C40C66FF867C}">
                  <a14:compatExt spid="_x0000_s44067"/>
                </a:ext>
                <a:ext uri="{FF2B5EF4-FFF2-40B4-BE49-F238E27FC236}">
                  <a16:creationId xmlns:a16="http://schemas.microsoft.com/office/drawing/2014/main" id="{00000000-0008-0000-0600-000023AC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11</xdr:row>
          <xdr:rowOff>38100</xdr:rowOff>
        </xdr:from>
        <xdr:to>
          <xdr:col>3</xdr:col>
          <xdr:colOff>504825</xdr:colOff>
          <xdr:row>12</xdr:row>
          <xdr:rowOff>85725</xdr:rowOff>
        </xdr:to>
        <xdr:sp macro="" textlink="">
          <xdr:nvSpPr>
            <xdr:cNvPr hidden="1" id="44068" name="Drop Down 36">
              <a:extLst>
                <a:ext uri="{63B3BB69-23CF-44E3-9099-C40C66FF867C}">
                  <a14:compatExt spid="_x0000_s44068"/>
                </a:ext>
                <a:ext uri="{FF2B5EF4-FFF2-40B4-BE49-F238E27FC236}">
                  <a16:creationId xmlns:a16="http://schemas.microsoft.com/office/drawing/2014/main" id="{00000000-0008-0000-0600-000024AC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11</xdr:row>
          <xdr:rowOff>28575</xdr:rowOff>
        </xdr:from>
        <xdr:to>
          <xdr:col>5</xdr:col>
          <xdr:colOff>523875</xdr:colOff>
          <xdr:row>12</xdr:row>
          <xdr:rowOff>76200</xdr:rowOff>
        </xdr:to>
        <xdr:sp macro="" textlink="">
          <xdr:nvSpPr>
            <xdr:cNvPr hidden="1" id="44069" name="Drop Down 37">
              <a:extLst>
                <a:ext uri="{63B3BB69-23CF-44E3-9099-C40C66FF867C}">
                  <a14:compatExt spid="_x0000_s44069"/>
                </a:ext>
                <a:ext uri="{FF2B5EF4-FFF2-40B4-BE49-F238E27FC236}">
                  <a16:creationId xmlns:a16="http://schemas.microsoft.com/office/drawing/2014/main" id="{00000000-0008-0000-0600-000025AC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15</xdr:row>
          <xdr:rowOff>28575</xdr:rowOff>
        </xdr:from>
        <xdr:to>
          <xdr:col>3</xdr:col>
          <xdr:colOff>504825</xdr:colOff>
          <xdr:row>16</xdr:row>
          <xdr:rowOff>76200</xdr:rowOff>
        </xdr:to>
        <xdr:sp macro="" textlink="">
          <xdr:nvSpPr>
            <xdr:cNvPr hidden="1" id="44070" name="Drop Down 38">
              <a:extLst>
                <a:ext uri="{63B3BB69-23CF-44E3-9099-C40C66FF867C}">
                  <a14:compatExt spid="_x0000_s44070"/>
                </a:ext>
                <a:ext uri="{FF2B5EF4-FFF2-40B4-BE49-F238E27FC236}">
                  <a16:creationId xmlns:a16="http://schemas.microsoft.com/office/drawing/2014/main" id="{00000000-0008-0000-0600-000026AC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15</xdr:row>
          <xdr:rowOff>28575</xdr:rowOff>
        </xdr:from>
        <xdr:to>
          <xdr:col>5</xdr:col>
          <xdr:colOff>523875</xdr:colOff>
          <xdr:row>16</xdr:row>
          <xdr:rowOff>76200</xdr:rowOff>
        </xdr:to>
        <xdr:sp macro="" textlink="">
          <xdr:nvSpPr>
            <xdr:cNvPr hidden="1" id="44071" name="Drop Down 39">
              <a:extLst>
                <a:ext uri="{63B3BB69-23CF-44E3-9099-C40C66FF867C}">
                  <a14:compatExt spid="_x0000_s44071"/>
                </a:ext>
                <a:ext uri="{FF2B5EF4-FFF2-40B4-BE49-F238E27FC236}">
                  <a16:creationId xmlns:a16="http://schemas.microsoft.com/office/drawing/2014/main" id="{00000000-0008-0000-0600-000027AC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15</xdr:row>
          <xdr:rowOff>28575</xdr:rowOff>
        </xdr:from>
        <xdr:to>
          <xdr:col>8</xdr:col>
          <xdr:colOff>504825</xdr:colOff>
          <xdr:row>16</xdr:row>
          <xdr:rowOff>76200</xdr:rowOff>
        </xdr:to>
        <xdr:sp macro="" textlink="">
          <xdr:nvSpPr>
            <xdr:cNvPr hidden="1" id="44072" name="Drop Down 40">
              <a:extLst>
                <a:ext uri="{63B3BB69-23CF-44E3-9099-C40C66FF867C}">
                  <a14:compatExt spid="_x0000_s44072"/>
                </a:ext>
                <a:ext uri="{FF2B5EF4-FFF2-40B4-BE49-F238E27FC236}">
                  <a16:creationId xmlns:a16="http://schemas.microsoft.com/office/drawing/2014/main" id="{00000000-0008-0000-0600-000028AC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18</xdr:row>
          <xdr:rowOff>57150</xdr:rowOff>
        </xdr:from>
        <xdr:to>
          <xdr:col>3</xdr:col>
          <xdr:colOff>504825</xdr:colOff>
          <xdr:row>19</xdr:row>
          <xdr:rowOff>104775</xdr:rowOff>
        </xdr:to>
        <xdr:sp macro="" textlink="">
          <xdr:nvSpPr>
            <xdr:cNvPr hidden="1" id="44073" name="Drop Down 41">
              <a:extLst>
                <a:ext uri="{63B3BB69-23CF-44E3-9099-C40C66FF867C}">
                  <a14:compatExt spid="_x0000_s44073"/>
                </a:ext>
                <a:ext uri="{FF2B5EF4-FFF2-40B4-BE49-F238E27FC236}">
                  <a16:creationId xmlns:a16="http://schemas.microsoft.com/office/drawing/2014/main" id="{00000000-0008-0000-0600-000029AC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18</xdr:row>
          <xdr:rowOff>47625</xdr:rowOff>
        </xdr:from>
        <xdr:to>
          <xdr:col>5</xdr:col>
          <xdr:colOff>523875</xdr:colOff>
          <xdr:row>19</xdr:row>
          <xdr:rowOff>95250</xdr:rowOff>
        </xdr:to>
        <xdr:sp macro="" textlink="">
          <xdr:nvSpPr>
            <xdr:cNvPr hidden="1" id="44074" name="Drop Down 42">
              <a:extLst>
                <a:ext uri="{63B3BB69-23CF-44E3-9099-C40C66FF867C}">
                  <a14:compatExt spid="_x0000_s44074"/>
                </a:ext>
                <a:ext uri="{FF2B5EF4-FFF2-40B4-BE49-F238E27FC236}">
                  <a16:creationId xmlns:a16="http://schemas.microsoft.com/office/drawing/2014/main" id="{00000000-0008-0000-0600-00002AAC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18</xdr:row>
          <xdr:rowOff>47625</xdr:rowOff>
        </xdr:from>
        <xdr:to>
          <xdr:col>8</xdr:col>
          <xdr:colOff>504825</xdr:colOff>
          <xdr:row>19</xdr:row>
          <xdr:rowOff>95250</xdr:rowOff>
        </xdr:to>
        <xdr:sp macro="" textlink="">
          <xdr:nvSpPr>
            <xdr:cNvPr hidden="1" id="44079" name="Drop Down 47">
              <a:extLst>
                <a:ext uri="{63B3BB69-23CF-44E3-9099-C40C66FF867C}">
                  <a14:compatExt spid="_x0000_s44079"/>
                </a:ext>
                <a:ext uri="{FF2B5EF4-FFF2-40B4-BE49-F238E27FC236}">
                  <a16:creationId xmlns:a16="http://schemas.microsoft.com/office/drawing/2014/main" id="{00000000-0008-0000-0600-00002FAC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161925</xdr:colOff>
          <xdr:row>12</xdr:row>
          <xdr:rowOff>28575</xdr:rowOff>
        </xdr:from>
        <xdr:to>
          <xdr:col>8</xdr:col>
          <xdr:colOff>466725</xdr:colOff>
          <xdr:row>13</xdr:row>
          <xdr:rowOff>95250</xdr:rowOff>
        </xdr:to>
        <xdr:sp macro="" textlink="">
          <xdr:nvSpPr>
            <xdr:cNvPr hidden="1" id="44080" name="Check Box 48">
              <a:extLst>
                <a:ext uri="{63B3BB69-23CF-44E3-9099-C40C66FF867C}">
                  <a14:compatExt spid="_x0000_s44080"/>
                </a:ext>
                <a:ext uri="{FF2B5EF4-FFF2-40B4-BE49-F238E27FC236}">
                  <a16:creationId xmlns:a16="http://schemas.microsoft.com/office/drawing/2014/main" id="{00000000-0008-0000-0600-000030AC0000}"/>
                </a:ext>
              </a:extLst>
            </xdr:cNvPr>
            <xdr:cNvSpPr/>
          </xdr:nvSpPr>
          <xdr:spPr bwMode="auto">
            <a:xfrm>
              <a:off x="0" y="0"/>
              <a:ext cx="0" cy="0"/>
            </a:xfrm>
            <a:prstGeom prst="rect">
              <a:avLst/>
            </a:prstGeom>
            <a:noFill/>
            <a:ln>
              <a:noFill/>
            </a:ln>
            <a:effectLst/>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xdr:twoCellAnchor>
    <xdr:from>
      <xdr:col>6</xdr:col>
      <xdr:colOff>247650</xdr:colOff>
      <xdr:row>12</xdr:row>
      <xdr:rowOff>47624</xdr:rowOff>
    </xdr:from>
    <xdr:to>
      <xdr:col>8</xdr:col>
      <xdr:colOff>190500</xdr:colOff>
      <xdr:row>13</xdr:row>
      <xdr:rowOff>76199</xdr:rowOff>
    </xdr:to>
    <xdr:sp macro="[0]!MORESELECT_NICX_Click" textlink="">
      <xdr:nvSpPr>
        <xdr:cNvPr id="27" name="Text Box 45">
          <a:extLst>
            <a:ext uri="{FF2B5EF4-FFF2-40B4-BE49-F238E27FC236}">
              <a16:creationId xmlns:a16="http://schemas.microsoft.com/office/drawing/2014/main" id="{00000000-0008-0000-0600-00001B000000}"/>
            </a:ext>
          </a:extLst>
        </xdr:cNvPr>
        <xdr:cNvSpPr txBox="1">
          <a:spLocks noChangeArrowheads="1"/>
        </xdr:cNvSpPr>
      </xdr:nvSpPr>
      <xdr:spPr bwMode="auto">
        <a:xfrm>
          <a:off x="5219700" y="1876424"/>
          <a:ext cx="1285875" cy="180975"/>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w="9525">
              <a:solidFill>
                <a:srgbClr xmlns:mc="http://schemas.openxmlformats.org/markup-compatibility/2006" a14:legacySpreadsheetColorIndex="64" mc:Ignorable="a14" val="00000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1000" u="none">
              <a:solidFill>
                <a:srgbClr val="000000"/>
              </a:solidFill>
              <a:latin typeface="Arial"/>
              <a:cs typeface="Arial"/>
            </a:rPr>
            <a:t>Class 2 Voluntary NIC</a:t>
          </a:r>
        </a:p>
      </xdr:txBody>
    </xdr:sp>
    <xdr:clientData/>
  </xdr:twoCellAnchor>
  <mc:AlternateContent xmlns:mc="http://schemas.openxmlformats.org/markup-compatibility/2006">
    <mc:Choice xmlns:a14="http://schemas.microsoft.com/office/drawing/2010/main" Requires="a14">
      <xdr:twoCellAnchor editAs="oneCell">
        <xdr:from>
          <xdr:col>5</xdr:col>
          <xdr:colOff>47625</xdr:colOff>
          <xdr:row>21</xdr:row>
          <xdr:rowOff>38100</xdr:rowOff>
        </xdr:from>
        <xdr:to>
          <xdr:col>5</xdr:col>
          <xdr:colOff>523875</xdr:colOff>
          <xdr:row>22</xdr:row>
          <xdr:rowOff>85725</xdr:rowOff>
        </xdr:to>
        <xdr:sp macro="" textlink="">
          <xdr:nvSpPr>
            <xdr:cNvPr hidden="1" id="44081" name="Drop Down 49">
              <a:extLst>
                <a:ext uri="{63B3BB69-23CF-44E3-9099-C40C66FF867C}">
                  <a14:compatExt spid="_x0000_s44081"/>
                </a:ext>
                <a:ext uri="{FF2B5EF4-FFF2-40B4-BE49-F238E27FC236}">
                  <a16:creationId xmlns:a16="http://schemas.microsoft.com/office/drawing/2014/main" id="{00000000-0008-0000-0600-000031AC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38100</xdr:colOff>
          <xdr:row>21</xdr:row>
          <xdr:rowOff>47625</xdr:rowOff>
        </xdr:from>
        <xdr:to>
          <xdr:col>8</xdr:col>
          <xdr:colOff>514350</xdr:colOff>
          <xdr:row>22</xdr:row>
          <xdr:rowOff>95250</xdr:rowOff>
        </xdr:to>
        <xdr:sp macro="" textlink="">
          <xdr:nvSpPr>
            <xdr:cNvPr hidden="1" id="44082" name="Drop Down 50">
              <a:extLst>
                <a:ext uri="{63B3BB69-23CF-44E3-9099-C40C66FF867C}">
                  <a14:compatExt spid="_x0000_s44082"/>
                </a:ext>
                <a:ext uri="{FF2B5EF4-FFF2-40B4-BE49-F238E27FC236}">
                  <a16:creationId xmlns:a16="http://schemas.microsoft.com/office/drawing/2014/main" id="{00000000-0008-0000-0600-000032AC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xdr:wsDr>
</file>

<file path=xl/drawings/drawing7.xml><?xml version="1.0" encoding="utf-8"?>
<xdr:wsDr xmlns:a="http://schemas.openxmlformats.org/drawingml/2006/main" xmlns:xdr="http://schemas.openxmlformats.org/drawingml/2006/spreadsheetDrawing">
  <xdr:twoCellAnchor>
    <xdr:from>
      <xdr:col>7</xdr:col>
      <xdr:colOff>276225</xdr:colOff>
      <xdr:row>17</xdr:row>
      <xdr:rowOff>9525</xdr:rowOff>
    </xdr:from>
    <xdr:to>
      <xdr:col>9</xdr:col>
      <xdr:colOff>228600</xdr:colOff>
      <xdr:row>18</xdr:row>
      <xdr:rowOff>85725</xdr:rowOff>
    </xdr:to>
    <xdr:sp macro="[0]!SA110_CAL_Click" textlink="">
      <xdr:nvSpPr>
        <xdr:cNvPr id="49192" name="Rectangle 40">
          <a:extLst>
            <a:ext uri="{FF2B5EF4-FFF2-40B4-BE49-F238E27FC236}">
              <a16:creationId xmlns:a16="http://schemas.microsoft.com/office/drawing/2014/main" id="{00000000-0008-0000-1200-000028C00000}"/>
            </a:ext>
          </a:extLst>
        </xdr:cNvPr>
        <xdr:cNvSpPr>
          <a:spLocks noChangeArrowheads="1"/>
        </xdr:cNvSpPr>
      </xdr:nvSpPr>
      <xdr:spPr bwMode="auto">
        <a:xfrm>
          <a:off x="5210175" y="2647950"/>
          <a:ext cx="2209800" cy="200025"/>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w="3175">
              <a:solidFill>
                <a:srgbClr xmlns:mc="http://schemas.openxmlformats.org/markup-compatibility/2006" a14:legacySpreadsheetColorIndex="21" mc:Ignorable="a14" val="00808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1000" u="none">
              <a:solidFill>
                <a:srgbClr val="000000"/>
              </a:solidFill>
              <a:latin typeface="Arial"/>
              <a:cs typeface="Arial"/>
            </a:rPr>
            <a:t>Calculation (</a:t>
          </a:r>
          <a:r>
            <a:rPr b="0" baseline="0" i="0" lang="en-GB" strike="noStrike" sz="1000" u="none">
              <a:solidFill>
                <a:srgbClr val="008080"/>
              </a:solidFill>
              <a:latin typeface="Arial"/>
              <a:cs typeface="Arial"/>
            </a:rPr>
            <a:t>SA110</a:t>
          </a:r>
          <a:r>
            <a:rPr b="0" baseline="0" i="0" lang="en-GB" strike="noStrike" sz="1000" u="none">
              <a:solidFill>
                <a:srgbClr val="000000"/>
              </a:solidFill>
              <a:latin typeface="Arial"/>
              <a:cs typeface="Arial"/>
            </a:rPr>
            <a:t> CAL)</a:t>
          </a:r>
        </a:p>
      </xdr:txBody>
    </xdr:sp>
    <xdr:clientData/>
  </xdr:twoCellAnchor>
  <xdr:twoCellAnchor>
    <xdr:from>
      <xdr:col>7</xdr:col>
      <xdr:colOff>295275</xdr:colOff>
      <xdr:row>15</xdr:row>
      <xdr:rowOff>66675</xdr:rowOff>
    </xdr:from>
    <xdr:to>
      <xdr:col>10</xdr:col>
      <xdr:colOff>0</xdr:colOff>
      <xdr:row>17</xdr:row>
      <xdr:rowOff>0</xdr:rowOff>
    </xdr:to>
    <xdr:sp macro="[0]!SA109_NRD_Click" textlink="">
      <xdr:nvSpPr>
        <xdr:cNvPr id="49193" name="Rectangle 41">
          <a:extLst>
            <a:ext uri="{FF2B5EF4-FFF2-40B4-BE49-F238E27FC236}">
              <a16:creationId xmlns:a16="http://schemas.microsoft.com/office/drawing/2014/main" id="{00000000-0008-0000-1200-000029C00000}"/>
            </a:ext>
          </a:extLst>
        </xdr:cNvPr>
        <xdr:cNvSpPr>
          <a:spLocks noChangeArrowheads="1"/>
        </xdr:cNvSpPr>
      </xdr:nvSpPr>
      <xdr:spPr bwMode="auto">
        <a:xfrm>
          <a:off x="5229225" y="2419350"/>
          <a:ext cx="2209800" cy="219075"/>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w="3175">
              <a:solidFill>
                <a:srgbClr xmlns:mc="http://schemas.openxmlformats.org/markup-compatibility/2006" a14:legacySpreadsheetColorIndex="21" mc:Ignorable="a14" val="00808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1000" u="none">
              <a:solidFill>
                <a:srgbClr val="000000"/>
              </a:solidFill>
              <a:latin typeface="Arial"/>
              <a:cs typeface="Arial"/>
            </a:rPr>
            <a:t>Residence etc. (</a:t>
          </a:r>
          <a:r>
            <a:rPr b="0" baseline="0" i="0" lang="en-GB" strike="noStrike" sz="1000" u="none">
              <a:solidFill>
                <a:srgbClr val="008080"/>
              </a:solidFill>
              <a:latin typeface="Arial"/>
              <a:cs typeface="Arial"/>
            </a:rPr>
            <a:t>SA109</a:t>
          </a:r>
          <a:r>
            <a:rPr b="0" baseline="0" i="0" lang="en-GB" strike="noStrike" sz="1000" u="none">
              <a:solidFill>
                <a:srgbClr val="000000"/>
              </a:solidFill>
              <a:latin typeface="Arial"/>
              <a:cs typeface="Arial"/>
            </a:rPr>
            <a:t> NRD)</a:t>
          </a:r>
        </a:p>
      </xdr:txBody>
    </xdr:sp>
    <xdr:clientData/>
  </xdr:twoCellAnchor>
  <xdr:twoCellAnchor>
    <xdr:from>
      <xdr:col>7</xdr:col>
      <xdr:colOff>295275</xdr:colOff>
      <xdr:row>13</xdr:row>
      <xdr:rowOff>76200</xdr:rowOff>
    </xdr:from>
    <xdr:to>
      <xdr:col>10</xdr:col>
      <xdr:colOff>0</xdr:colOff>
      <xdr:row>15</xdr:row>
      <xdr:rowOff>9525</xdr:rowOff>
    </xdr:to>
    <xdr:sp macro="[0]!SA108_CGT_Click" textlink="">
      <xdr:nvSpPr>
        <xdr:cNvPr id="49194" name="Rectangle 42">
          <a:extLst>
            <a:ext uri="{FF2B5EF4-FFF2-40B4-BE49-F238E27FC236}">
              <a16:creationId xmlns:a16="http://schemas.microsoft.com/office/drawing/2014/main" id="{00000000-0008-0000-1200-00002AC00000}"/>
            </a:ext>
          </a:extLst>
        </xdr:cNvPr>
        <xdr:cNvSpPr>
          <a:spLocks noChangeArrowheads="1"/>
        </xdr:cNvSpPr>
      </xdr:nvSpPr>
      <xdr:spPr bwMode="auto">
        <a:xfrm>
          <a:off x="5229225" y="2143125"/>
          <a:ext cx="2209800" cy="219075"/>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w="3175">
              <a:solidFill>
                <a:srgbClr xmlns:mc="http://schemas.openxmlformats.org/markup-compatibility/2006" a14:legacySpreadsheetColorIndex="21" mc:Ignorable="a14" val="00808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1000" u="none">
              <a:solidFill>
                <a:srgbClr val="000000"/>
              </a:solidFill>
              <a:latin typeface="Arial"/>
              <a:cs typeface="Arial"/>
            </a:rPr>
            <a:t>Capital Gains (</a:t>
          </a:r>
          <a:r>
            <a:rPr b="0" baseline="0" i="0" lang="en-GB" strike="noStrike" sz="1000" u="none">
              <a:solidFill>
                <a:srgbClr val="008080"/>
              </a:solidFill>
              <a:latin typeface="Arial"/>
              <a:cs typeface="Arial"/>
            </a:rPr>
            <a:t>SA108</a:t>
          </a:r>
          <a:r>
            <a:rPr b="0" baseline="0" i="0" lang="en-GB" strike="noStrike" sz="1000" u="none">
              <a:solidFill>
                <a:srgbClr val="000000"/>
              </a:solidFill>
              <a:latin typeface="Arial"/>
              <a:cs typeface="Arial"/>
            </a:rPr>
            <a:t> CGT)</a:t>
          </a:r>
        </a:p>
      </xdr:txBody>
    </xdr:sp>
    <xdr:clientData/>
  </xdr:twoCellAnchor>
  <xdr:twoCellAnchor>
    <xdr:from>
      <xdr:col>7</xdr:col>
      <xdr:colOff>295275</xdr:colOff>
      <xdr:row>11</xdr:row>
      <xdr:rowOff>95250</xdr:rowOff>
    </xdr:from>
    <xdr:to>
      <xdr:col>9</xdr:col>
      <xdr:colOff>209550</xdr:colOff>
      <xdr:row>13</xdr:row>
      <xdr:rowOff>28575</xdr:rowOff>
    </xdr:to>
    <xdr:sp macro="[0]!SA107_TRU_Click" textlink="">
      <xdr:nvSpPr>
        <xdr:cNvPr id="49195" name="Rectangle 43">
          <a:extLst>
            <a:ext uri="{FF2B5EF4-FFF2-40B4-BE49-F238E27FC236}">
              <a16:creationId xmlns:a16="http://schemas.microsoft.com/office/drawing/2014/main" id="{00000000-0008-0000-1200-00002BC00000}"/>
            </a:ext>
          </a:extLst>
        </xdr:cNvPr>
        <xdr:cNvSpPr>
          <a:spLocks noChangeArrowheads="1"/>
        </xdr:cNvSpPr>
      </xdr:nvSpPr>
      <xdr:spPr bwMode="auto">
        <a:xfrm>
          <a:off x="5229225" y="1876425"/>
          <a:ext cx="2171700" cy="219075"/>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w="3175">
              <a:solidFill>
                <a:srgbClr xmlns:mc="http://schemas.openxmlformats.org/markup-compatibility/2006" a14:legacySpreadsheetColorIndex="21" mc:Ignorable="a14" val="00808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900" u="none">
              <a:solidFill>
                <a:srgbClr val="000000"/>
              </a:solidFill>
              <a:latin typeface="Arial"/>
              <a:cs typeface="Arial"/>
            </a:rPr>
            <a:t>Trust and Estates</a:t>
          </a:r>
          <a:r>
            <a:rPr b="0" baseline="0" i="0" lang="en-GB" strike="noStrike" sz="1000" u="none">
              <a:solidFill>
                <a:srgbClr val="000000"/>
              </a:solidFill>
              <a:latin typeface="Arial"/>
              <a:cs typeface="Arial"/>
            </a:rPr>
            <a:t> (</a:t>
          </a:r>
          <a:r>
            <a:rPr b="0" baseline="0" i="0" lang="en-GB" strike="noStrike" sz="1000" u="none">
              <a:solidFill>
                <a:srgbClr val="008080"/>
              </a:solidFill>
              <a:latin typeface="Arial"/>
              <a:cs typeface="Arial"/>
            </a:rPr>
            <a:t>SA107</a:t>
          </a:r>
          <a:r>
            <a:rPr b="0" baseline="0" i="0" lang="en-GB" strike="noStrike" sz="1000" u="none">
              <a:solidFill>
                <a:srgbClr val="000000"/>
              </a:solidFill>
              <a:latin typeface="Arial"/>
              <a:cs typeface="Arial"/>
            </a:rPr>
            <a:t> TRU)</a:t>
          </a:r>
        </a:p>
      </xdr:txBody>
    </xdr:sp>
    <xdr:clientData/>
  </xdr:twoCellAnchor>
  <xdr:twoCellAnchor>
    <xdr:from>
      <xdr:col>7</xdr:col>
      <xdr:colOff>314325</xdr:colOff>
      <xdr:row>9</xdr:row>
      <xdr:rowOff>133350</xdr:rowOff>
    </xdr:from>
    <xdr:to>
      <xdr:col>10</xdr:col>
      <xdr:colOff>19050</xdr:colOff>
      <xdr:row>11</xdr:row>
      <xdr:rowOff>66675</xdr:rowOff>
    </xdr:to>
    <xdr:sp macro="[0]!SA106_FOR_Click" textlink="">
      <xdr:nvSpPr>
        <xdr:cNvPr id="49196" name="Rectangle 44">
          <a:extLst>
            <a:ext uri="{FF2B5EF4-FFF2-40B4-BE49-F238E27FC236}">
              <a16:creationId xmlns:a16="http://schemas.microsoft.com/office/drawing/2014/main" id="{00000000-0008-0000-1200-00002CC00000}"/>
            </a:ext>
          </a:extLst>
        </xdr:cNvPr>
        <xdr:cNvSpPr>
          <a:spLocks noChangeArrowheads="1"/>
        </xdr:cNvSpPr>
      </xdr:nvSpPr>
      <xdr:spPr bwMode="auto">
        <a:xfrm>
          <a:off x="5248275" y="1628775"/>
          <a:ext cx="2209800" cy="219075"/>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w="3175">
              <a:solidFill>
                <a:srgbClr xmlns:mc="http://schemas.openxmlformats.org/markup-compatibility/2006" a14:legacySpreadsheetColorIndex="21" mc:Ignorable="a14" val="00808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1000" u="none">
              <a:solidFill>
                <a:srgbClr val="000000"/>
              </a:solidFill>
              <a:latin typeface="Arial"/>
              <a:cs typeface="Arial"/>
            </a:rPr>
            <a:t>Foreign (</a:t>
          </a:r>
          <a:r>
            <a:rPr b="0" baseline="0" i="0" lang="en-GB" strike="noStrike" sz="1000" u="none">
              <a:solidFill>
                <a:srgbClr val="008080"/>
              </a:solidFill>
              <a:latin typeface="Arial"/>
              <a:cs typeface="Arial"/>
            </a:rPr>
            <a:t>SA106</a:t>
          </a:r>
          <a:r>
            <a:rPr b="0" baseline="0" i="0" lang="en-GB" strike="noStrike" sz="1000" u="none">
              <a:solidFill>
                <a:srgbClr val="000000"/>
              </a:solidFill>
              <a:latin typeface="Arial"/>
              <a:cs typeface="Arial"/>
            </a:rPr>
            <a:t> FOR)</a:t>
          </a:r>
        </a:p>
      </xdr:txBody>
    </xdr:sp>
    <xdr:clientData/>
  </xdr:twoCellAnchor>
  <xdr:twoCellAnchor>
    <xdr:from>
      <xdr:col>7</xdr:col>
      <xdr:colOff>314325</xdr:colOff>
      <xdr:row>8</xdr:row>
      <xdr:rowOff>47625</xdr:rowOff>
    </xdr:from>
    <xdr:to>
      <xdr:col>9</xdr:col>
      <xdr:colOff>228600</xdr:colOff>
      <xdr:row>9</xdr:row>
      <xdr:rowOff>57150</xdr:rowOff>
    </xdr:to>
    <xdr:sp macro="[0]!SA105_PRO_Click" textlink="">
      <xdr:nvSpPr>
        <xdr:cNvPr id="49197" name="Rectangle 45">
          <a:extLst>
            <a:ext uri="{FF2B5EF4-FFF2-40B4-BE49-F238E27FC236}">
              <a16:creationId xmlns:a16="http://schemas.microsoft.com/office/drawing/2014/main" id="{00000000-0008-0000-1200-00002DC00000}"/>
            </a:ext>
          </a:extLst>
        </xdr:cNvPr>
        <xdr:cNvSpPr>
          <a:spLocks noChangeArrowheads="1"/>
        </xdr:cNvSpPr>
      </xdr:nvSpPr>
      <xdr:spPr bwMode="auto">
        <a:xfrm>
          <a:off x="5248275" y="1333500"/>
          <a:ext cx="2171700" cy="219075"/>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w="3175">
              <a:solidFill>
                <a:srgbClr xmlns:mc="http://schemas.openxmlformats.org/markup-compatibility/2006" a14:legacySpreadsheetColorIndex="21" mc:Ignorable="a14" val="00808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900" u="none">
              <a:solidFill>
                <a:srgbClr val="000000"/>
              </a:solidFill>
              <a:latin typeface="Arial"/>
              <a:cs typeface="Arial"/>
            </a:rPr>
            <a:t>Income from property</a:t>
          </a:r>
          <a:r>
            <a:rPr b="0" baseline="0" i="0" lang="en-GB" strike="noStrike" sz="1000" u="none">
              <a:solidFill>
                <a:srgbClr val="000000"/>
              </a:solidFill>
              <a:latin typeface="Arial"/>
              <a:cs typeface="Arial"/>
            </a:rPr>
            <a:t> (</a:t>
          </a:r>
          <a:r>
            <a:rPr b="0" baseline="0" i="0" lang="en-GB" strike="noStrike" sz="1000" u="none">
              <a:solidFill>
                <a:srgbClr val="008080"/>
              </a:solidFill>
              <a:latin typeface="Arial"/>
              <a:cs typeface="Arial"/>
            </a:rPr>
            <a:t>SA105</a:t>
          </a:r>
          <a:r>
            <a:rPr b="0" baseline="0" i="0" lang="en-GB" strike="noStrike" sz="1000" u="none">
              <a:solidFill>
                <a:srgbClr val="000000"/>
              </a:solidFill>
              <a:latin typeface="Arial"/>
              <a:cs typeface="Arial"/>
            </a:rPr>
            <a:t> PRO)</a:t>
          </a:r>
        </a:p>
      </xdr:txBody>
    </xdr:sp>
    <xdr:clientData/>
  </xdr:twoCellAnchor>
  <xdr:twoCellAnchor>
    <xdr:from>
      <xdr:col>5</xdr:col>
      <xdr:colOff>57150</xdr:colOff>
      <xdr:row>15</xdr:row>
      <xdr:rowOff>66675</xdr:rowOff>
    </xdr:from>
    <xdr:to>
      <xdr:col>7</xdr:col>
      <xdr:colOff>209550</xdr:colOff>
      <xdr:row>17</xdr:row>
      <xdr:rowOff>0</xdr:rowOff>
    </xdr:to>
    <xdr:sp macro="[0]!SA104_PS_Click" textlink="">
      <xdr:nvSpPr>
        <xdr:cNvPr id="49198" name="Rectangle 46">
          <a:extLst>
            <a:ext uri="{FF2B5EF4-FFF2-40B4-BE49-F238E27FC236}">
              <a16:creationId xmlns:a16="http://schemas.microsoft.com/office/drawing/2014/main" id="{00000000-0008-0000-1200-00002EC00000}"/>
            </a:ext>
          </a:extLst>
        </xdr:cNvPr>
        <xdr:cNvSpPr>
          <a:spLocks noChangeArrowheads="1"/>
        </xdr:cNvSpPr>
      </xdr:nvSpPr>
      <xdr:spPr bwMode="auto">
        <a:xfrm>
          <a:off x="2933700" y="2419350"/>
          <a:ext cx="2209800" cy="219075"/>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w="3175">
              <a:solidFill>
                <a:srgbClr xmlns:mc="http://schemas.openxmlformats.org/markup-compatibility/2006" a14:legacySpreadsheetColorIndex="21" mc:Ignorable="a14" val="00808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1000" u="none">
              <a:solidFill>
                <a:srgbClr val="000000"/>
              </a:solidFill>
              <a:latin typeface="Arial"/>
              <a:cs typeface="Arial"/>
            </a:rPr>
            <a:t>Partnership (</a:t>
          </a:r>
          <a:r>
            <a:rPr b="0" baseline="0" i="0" lang="en-GB" strike="noStrike" sz="1000" u="none">
              <a:solidFill>
                <a:srgbClr val="008080"/>
              </a:solidFill>
              <a:latin typeface="Arial"/>
              <a:cs typeface="Arial"/>
            </a:rPr>
            <a:t>SA104S/F</a:t>
          </a:r>
          <a:r>
            <a:rPr b="0" baseline="0" i="0" lang="en-GB" strike="noStrike" sz="1000" u="none">
              <a:solidFill>
                <a:srgbClr val="000000"/>
              </a:solidFill>
              <a:latin typeface="Arial"/>
              <a:cs typeface="Arial"/>
            </a:rPr>
            <a:t> PS)</a:t>
          </a:r>
        </a:p>
      </xdr:txBody>
    </xdr:sp>
    <xdr:clientData/>
  </xdr:twoCellAnchor>
  <xdr:twoCellAnchor>
    <xdr:from>
      <xdr:col>5</xdr:col>
      <xdr:colOff>57150</xdr:colOff>
      <xdr:row>13</xdr:row>
      <xdr:rowOff>85725</xdr:rowOff>
    </xdr:from>
    <xdr:to>
      <xdr:col>7</xdr:col>
      <xdr:colOff>209550</xdr:colOff>
      <xdr:row>15</xdr:row>
      <xdr:rowOff>19050</xdr:rowOff>
    </xdr:to>
    <xdr:sp macro="[0]!SA103L_LUN_Click" textlink="">
      <xdr:nvSpPr>
        <xdr:cNvPr id="49199" name="Rectangle 47">
          <a:extLst>
            <a:ext uri="{FF2B5EF4-FFF2-40B4-BE49-F238E27FC236}">
              <a16:creationId xmlns:a16="http://schemas.microsoft.com/office/drawing/2014/main" id="{00000000-0008-0000-1200-00002FC00000}"/>
            </a:ext>
          </a:extLst>
        </xdr:cNvPr>
        <xdr:cNvSpPr>
          <a:spLocks noChangeArrowheads="1"/>
        </xdr:cNvSpPr>
      </xdr:nvSpPr>
      <xdr:spPr bwMode="auto">
        <a:xfrm>
          <a:off x="2933700" y="2152650"/>
          <a:ext cx="2209800" cy="219075"/>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w="3175">
              <a:solidFill>
                <a:srgbClr xmlns:mc="http://schemas.openxmlformats.org/markup-compatibility/2006" a14:legacySpreadsheetColorIndex="21" mc:Ignorable="a14" val="00808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1000" u="none">
              <a:solidFill>
                <a:srgbClr val="000000"/>
              </a:solidFill>
              <a:latin typeface="Arial"/>
              <a:cs typeface="Arial"/>
            </a:rPr>
            <a:t>Lloyd's Underwriters (</a:t>
          </a:r>
          <a:r>
            <a:rPr b="0" baseline="0" i="0" lang="en-GB" strike="noStrike" sz="1000" u="none">
              <a:solidFill>
                <a:srgbClr val="008080"/>
              </a:solidFill>
              <a:latin typeface="Arial"/>
              <a:cs typeface="Arial"/>
            </a:rPr>
            <a:t>SA103L</a:t>
          </a:r>
          <a:r>
            <a:rPr b="0" baseline="0" i="0" lang="en-GB" strike="noStrike" sz="1000" u="none">
              <a:solidFill>
                <a:srgbClr val="000000"/>
              </a:solidFill>
              <a:latin typeface="Arial"/>
              <a:cs typeface="Arial"/>
            </a:rPr>
            <a:t> LUN)</a:t>
          </a:r>
        </a:p>
      </xdr:txBody>
    </xdr:sp>
    <xdr:clientData/>
  </xdr:twoCellAnchor>
  <xdr:twoCellAnchor>
    <xdr:from>
      <xdr:col>5</xdr:col>
      <xdr:colOff>57150</xdr:colOff>
      <xdr:row>11</xdr:row>
      <xdr:rowOff>104775</xdr:rowOff>
    </xdr:from>
    <xdr:to>
      <xdr:col>7</xdr:col>
      <xdr:colOff>209550</xdr:colOff>
      <xdr:row>13</xdr:row>
      <xdr:rowOff>38100</xdr:rowOff>
    </xdr:to>
    <xdr:sp macro="[0]!SA103SF_SE_Click" textlink="">
      <xdr:nvSpPr>
        <xdr:cNvPr id="49200" name="Rectangle 48">
          <a:extLst>
            <a:ext uri="{FF2B5EF4-FFF2-40B4-BE49-F238E27FC236}">
              <a16:creationId xmlns:a16="http://schemas.microsoft.com/office/drawing/2014/main" id="{00000000-0008-0000-1200-000030C00000}"/>
            </a:ext>
          </a:extLst>
        </xdr:cNvPr>
        <xdr:cNvSpPr>
          <a:spLocks noChangeArrowheads="1"/>
        </xdr:cNvSpPr>
      </xdr:nvSpPr>
      <xdr:spPr bwMode="auto">
        <a:xfrm>
          <a:off x="2933700" y="1885950"/>
          <a:ext cx="2209800" cy="219075"/>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w="3175">
              <a:solidFill>
                <a:srgbClr xmlns:mc="http://schemas.openxmlformats.org/markup-compatibility/2006" a14:legacySpreadsheetColorIndex="21" mc:Ignorable="a14" val="00808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1000" u="none">
              <a:solidFill>
                <a:srgbClr val="000000"/>
              </a:solidFill>
              <a:latin typeface="Arial"/>
              <a:cs typeface="Arial"/>
            </a:rPr>
            <a:t>Self employment (</a:t>
          </a:r>
          <a:r>
            <a:rPr b="0" baseline="0" i="0" lang="en-GB" strike="noStrike" sz="1000" u="none">
              <a:solidFill>
                <a:srgbClr val="008080"/>
              </a:solidFill>
              <a:latin typeface="Arial"/>
              <a:cs typeface="Arial"/>
            </a:rPr>
            <a:t>SA103S/F</a:t>
          </a:r>
          <a:r>
            <a:rPr b="0" baseline="0" i="0" lang="en-GB" strike="noStrike" sz="1000" u="none">
              <a:solidFill>
                <a:srgbClr val="000000"/>
              </a:solidFill>
              <a:latin typeface="Arial"/>
              <a:cs typeface="Arial"/>
            </a:rPr>
            <a:t> SE)</a:t>
          </a:r>
        </a:p>
      </xdr:txBody>
    </xdr:sp>
    <xdr:clientData/>
  </xdr:twoCellAnchor>
  <xdr:twoCellAnchor>
    <xdr:from>
      <xdr:col>5</xdr:col>
      <xdr:colOff>47625</xdr:colOff>
      <xdr:row>9</xdr:row>
      <xdr:rowOff>133350</xdr:rowOff>
    </xdr:from>
    <xdr:to>
      <xdr:col>7</xdr:col>
      <xdr:colOff>200025</xdr:colOff>
      <xdr:row>11</xdr:row>
      <xdr:rowOff>66675</xdr:rowOff>
    </xdr:to>
    <xdr:sp macro="[0]!SA102M_MOR_Click" textlink="">
      <xdr:nvSpPr>
        <xdr:cNvPr id="49201" name="Rectangle 49">
          <a:extLst>
            <a:ext uri="{FF2B5EF4-FFF2-40B4-BE49-F238E27FC236}">
              <a16:creationId xmlns:a16="http://schemas.microsoft.com/office/drawing/2014/main" id="{00000000-0008-0000-1200-000031C00000}"/>
            </a:ext>
          </a:extLst>
        </xdr:cNvPr>
        <xdr:cNvSpPr>
          <a:spLocks noChangeArrowheads="1"/>
        </xdr:cNvSpPr>
      </xdr:nvSpPr>
      <xdr:spPr bwMode="auto">
        <a:xfrm>
          <a:off x="2924175" y="1628775"/>
          <a:ext cx="2209800" cy="219075"/>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w="3175">
              <a:solidFill>
                <a:srgbClr xmlns:mc="http://schemas.openxmlformats.org/markup-compatibility/2006" a14:legacySpreadsheetColorIndex="21" mc:Ignorable="a14" val="00808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900" u="none">
              <a:solidFill>
                <a:srgbClr val="000000"/>
              </a:solidFill>
              <a:latin typeface="Arial"/>
              <a:cs typeface="Arial"/>
            </a:rPr>
            <a:t>Ministers of Religion</a:t>
          </a:r>
          <a:r>
            <a:rPr b="0" baseline="0" i="0" lang="en-GB" strike="noStrike" sz="1000" u="none">
              <a:solidFill>
                <a:srgbClr val="000000"/>
              </a:solidFill>
              <a:latin typeface="Arial"/>
              <a:cs typeface="Arial"/>
            </a:rPr>
            <a:t> (</a:t>
          </a:r>
          <a:r>
            <a:rPr b="0" baseline="0" i="0" lang="en-GB" strike="noStrike" sz="1000" u="none">
              <a:solidFill>
                <a:srgbClr val="008080"/>
              </a:solidFill>
              <a:latin typeface="Arial"/>
              <a:cs typeface="Arial"/>
            </a:rPr>
            <a:t>SA102M</a:t>
          </a:r>
          <a:r>
            <a:rPr b="0" baseline="0" i="0" lang="en-GB" strike="noStrike" sz="1000" u="none">
              <a:solidFill>
                <a:srgbClr val="000000"/>
              </a:solidFill>
              <a:latin typeface="Arial"/>
              <a:cs typeface="Arial"/>
            </a:rPr>
            <a:t> MOR)</a:t>
          </a:r>
        </a:p>
      </xdr:txBody>
    </xdr:sp>
    <xdr:clientData/>
  </xdr:twoCellAnchor>
  <xdr:twoCellAnchor>
    <xdr:from>
      <xdr:col>5</xdr:col>
      <xdr:colOff>57150</xdr:colOff>
      <xdr:row>8</xdr:row>
      <xdr:rowOff>57150</xdr:rowOff>
    </xdr:from>
    <xdr:to>
      <xdr:col>7</xdr:col>
      <xdr:colOff>209550</xdr:colOff>
      <xdr:row>9</xdr:row>
      <xdr:rowOff>66675</xdr:rowOff>
    </xdr:to>
    <xdr:sp macro="[0]!SA102_EMP_Click" textlink="">
      <xdr:nvSpPr>
        <xdr:cNvPr id="49202" name="Rectangle 50">
          <a:extLst>
            <a:ext uri="{FF2B5EF4-FFF2-40B4-BE49-F238E27FC236}">
              <a16:creationId xmlns:a16="http://schemas.microsoft.com/office/drawing/2014/main" id="{00000000-0008-0000-1200-000032C00000}"/>
            </a:ext>
          </a:extLst>
        </xdr:cNvPr>
        <xdr:cNvSpPr>
          <a:spLocks noChangeArrowheads="1"/>
        </xdr:cNvSpPr>
      </xdr:nvSpPr>
      <xdr:spPr bwMode="auto">
        <a:xfrm>
          <a:off x="2933700" y="1343025"/>
          <a:ext cx="2209800" cy="219075"/>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w="3175">
              <a:solidFill>
                <a:srgbClr xmlns:mc="http://schemas.openxmlformats.org/markup-compatibility/2006" a14:legacySpreadsheetColorIndex="21" mc:Ignorable="a14" val="00808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1000" u="none">
              <a:solidFill>
                <a:srgbClr val="000000"/>
              </a:solidFill>
              <a:latin typeface="Arial"/>
              <a:cs typeface="Arial"/>
            </a:rPr>
            <a:t>Employment (</a:t>
          </a:r>
          <a:r>
            <a:rPr b="0" baseline="0" i="0" lang="en-GB" strike="noStrike" sz="1000" u="none">
              <a:solidFill>
                <a:srgbClr val="008080"/>
              </a:solidFill>
              <a:latin typeface="Arial"/>
              <a:cs typeface="Arial"/>
            </a:rPr>
            <a:t>SA102</a:t>
          </a:r>
          <a:r>
            <a:rPr b="0" baseline="0" i="0" lang="en-GB" strike="noStrike" sz="1000" u="none">
              <a:solidFill>
                <a:srgbClr val="000000"/>
              </a:solidFill>
              <a:latin typeface="Arial"/>
              <a:cs typeface="Arial"/>
            </a:rPr>
            <a:t> EMP)</a:t>
          </a:r>
        </a:p>
      </xdr:txBody>
    </xdr:sp>
    <xdr:clientData/>
  </xdr:twoCellAnchor>
  <xdr:twoCellAnchor>
    <xdr:from>
      <xdr:col>2</xdr:col>
      <xdr:colOff>0</xdr:colOff>
      <xdr:row>16</xdr:row>
      <xdr:rowOff>85725</xdr:rowOff>
    </xdr:from>
    <xdr:to>
      <xdr:col>2</xdr:col>
      <xdr:colOff>2524125</xdr:colOff>
      <xdr:row>17</xdr:row>
      <xdr:rowOff>123825</xdr:rowOff>
    </xdr:to>
    <xdr:sp macro="[0]!SA101_AIL_Click" textlink="">
      <xdr:nvSpPr>
        <xdr:cNvPr id="49203" name="Rectangle 51">
          <a:extLst>
            <a:ext uri="{FF2B5EF4-FFF2-40B4-BE49-F238E27FC236}">
              <a16:creationId xmlns:a16="http://schemas.microsoft.com/office/drawing/2014/main" id="{00000000-0008-0000-1200-000033C00000}"/>
            </a:ext>
          </a:extLst>
        </xdr:cNvPr>
        <xdr:cNvSpPr>
          <a:spLocks noChangeArrowheads="1"/>
        </xdr:cNvSpPr>
      </xdr:nvSpPr>
      <xdr:spPr bwMode="auto">
        <a:xfrm>
          <a:off x="219075" y="2581275"/>
          <a:ext cx="2524125" cy="180975"/>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w="3175">
              <a:solidFill>
                <a:srgbClr xmlns:mc="http://schemas.openxmlformats.org/markup-compatibility/2006" a14:legacySpreadsheetColorIndex="21" mc:Ignorable="a14" val="00808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1000" u="none">
              <a:solidFill>
                <a:srgbClr val="000000"/>
              </a:solidFill>
              <a:latin typeface="Arial"/>
              <a:cs typeface="Arial"/>
            </a:rPr>
            <a:t>Pension Charges (</a:t>
          </a:r>
          <a:r>
            <a:rPr b="0" baseline="0" i="0" lang="en-GB" strike="noStrike" sz="1000" u="none">
              <a:solidFill>
                <a:srgbClr val="008080"/>
              </a:solidFill>
              <a:latin typeface="Arial"/>
              <a:cs typeface="Arial"/>
            </a:rPr>
            <a:t>SA101</a:t>
          </a:r>
          <a:r>
            <a:rPr b="0" baseline="0" i="0" lang="en-GB" strike="noStrike" sz="1000" u="none">
              <a:solidFill>
                <a:srgbClr val="000000"/>
              </a:solidFill>
              <a:latin typeface="Arial"/>
              <a:cs typeface="Arial"/>
            </a:rPr>
            <a:t> AIL)</a:t>
          </a:r>
        </a:p>
      </xdr:txBody>
    </xdr:sp>
    <xdr:clientData/>
  </xdr:twoCellAnchor>
  <xdr:twoCellAnchor>
    <xdr:from>
      <xdr:col>1</xdr:col>
      <xdr:colOff>47625</xdr:colOff>
      <xdr:row>14</xdr:row>
      <xdr:rowOff>76200</xdr:rowOff>
    </xdr:from>
    <xdr:to>
      <xdr:col>2</xdr:col>
      <xdr:colOff>2514600</xdr:colOff>
      <xdr:row>15</xdr:row>
      <xdr:rowOff>114300</xdr:rowOff>
    </xdr:to>
    <xdr:sp macro="[0]!SA101_MCA_Click" textlink="">
      <xdr:nvSpPr>
        <xdr:cNvPr id="49204" name="Rectangle 52">
          <a:extLst>
            <a:ext uri="{FF2B5EF4-FFF2-40B4-BE49-F238E27FC236}">
              <a16:creationId xmlns:a16="http://schemas.microsoft.com/office/drawing/2014/main" id="{00000000-0008-0000-1200-000034C00000}"/>
            </a:ext>
          </a:extLst>
        </xdr:cNvPr>
        <xdr:cNvSpPr>
          <a:spLocks noChangeArrowheads="1"/>
        </xdr:cNvSpPr>
      </xdr:nvSpPr>
      <xdr:spPr bwMode="auto">
        <a:xfrm>
          <a:off x="209550" y="2286000"/>
          <a:ext cx="2524125" cy="180975"/>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w="3175">
              <a:solidFill>
                <a:srgbClr xmlns:mc="http://schemas.openxmlformats.org/markup-compatibility/2006" a14:legacySpreadsheetColorIndex="21" mc:Ignorable="a14" val="00808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900" u="none">
              <a:solidFill>
                <a:srgbClr val="000000"/>
              </a:solidFill>
              <a:latin typeface="Arial"/>
              <a:cs typeface="Arial"/>
            </a:rPr>
            <a:t>Married Couples Allowance</a:t>
          </a:r>
          <a:r>
            <a:rPr b="0" baseline="0" i="0" lang="en-GB" strike="noStrike" sz="1000" u="none">
              <a:solidFill>
                <a:srgbClr val="000000"/>
              </a:solidFill>
              <a:latin typeface="Arial"/>
              <a:cs typeface="Arial"/>
            </a:rPr>
            <a:t> (</a:t>
          </a:r>
          <a:r>
            <a:rPr b="0" baseline="0" i="0" lang="en-GB" strike="noStrike" sz="1000" u="none">
              <a:solidFill>
                <a:srgbClr val="008080"/>
              </a:solidFill>
              <a:latin typeface="Arial"/>
              <a:cs typeface="Arial"/>
            </a:rPr>
            <a:t>SA101</a:t>
          </a:r>
          <a:r>
            <a:rPr b="0" baseline="0" i="0" lang="en-GB" strike="noStrike" sz="1000" u="none">
              <a:solidFill>
                <a:srgbClr val="000000"/>
              </a:solidFill>
              <a:latin typeface="Arial"/>
              <a:cs typeface="Arial"/>
            </a:rPr>
            <a:t> MCA)</a:t>
          </a:r>
        </a:p>
      </xdr:txBody>
    </xdr:sp>
    <xdr:clientData/>
  </xdr:twoCellAnchor>
  <xdr:twoCellAnchor>
    <xdr:from>
      <xdr:col>1</xdr:col>
      <xdr:colOff>38100</xdr:colOff>
      <xdr:row>12</xdr:row>
      <xdr:rowOff>95250</xdr:rowOff>
    </xdr:from>
    <xdr:to>
      <xdr:col>2</xdr:col>
      <xdr:colOff>2505075</xdr:colOff>
      <xdr:row>13</xdr:row>
      <xdr:rowOff>133350</xdr:rowOff>
    </xdr:to>
    <xdr:sp macro="[0]!SA101_AOR_Click" textlink="">
      <xdr:nvSpPr>
        <xdr:cNvPr id="49205" name="Rectangle 53">
          <a:extLst>
            <a:ext uri="{FF2B5EF4-FFF2-40B4-BE49-F238E27FC236}">
              <a16:creationId xmlns:a16="http://schemas.microsoft.com/office/drawing/2014/main" id="{00000000-0008-0000-1200-000035C00000}"/>
            </a:ext>
          </a:extLst>
        </xdr:cNvPr>
        <xdr:cNvSpPr>
          <a:spLocks noChangeArrowheads="1"/>
        </xdr:cNvSpPr>
      </xdr:nvSpPr>
      <xdr:spPr bwMode="auto">
        <a:xfrm>
          <a:off x="200025" y="2019300"/>
          <a:ext cx="2524125" cy="180975"/>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w="3175">
              <a:solidFill>
                <a:srgbClr xmlns:mc="http://schemas.openxmlformats.org/markup-compatibility/2006" a14:legacySpreadsheetColorIndex="21" mc:Ignorable="a14" val="00808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1000" u="none">
              <a:solidFill>
                <a:srgbClr val="000000"/>
              </a:solidFill>
              <a:latin typeface="Arial"/>
              <a:cs typeface="Arial"/>
            </a:rPr>
            <a:t>Other Reliefs (</a:t>
          </a:r>
          <a:r>
            <a:rPr b="0" baseline="0" i="0" lang="en-GB" strike="noStrike" sz="1000" u="none">
              <a:solidFill>
                <a:srgbClr val="008080"/>
              </a:solidFill>
              <a:latin typeface="Arial"/>
              <a:cs typeface="Arial"/>
            </a:rPr>
            <a:t>SA101</a:t>
          </a:r>
          <a:r>
            <a:rPr b="0" baseline="0" i="0" lang="en-GB" strike="noStrike" sz="1000" u="none">
              <a:solidFill>
                <a:srgbClr val="000000"/>
              </a:solidFill>
              <a:latin typeface="Arial"/>
              <a:cs typeface="Arial"/>
            </a:rPr>
            <a:t> AOR)</a:t>
          </a:r>
        </a:p>
      </xdr:txBody>
    </xdr:sp>
    <xdr:clientData/>
  </xdr:twoCellAnchor>
  <xdr:twoCellAnchor>
    <xdr:from>
      <xdr:col>1</xdr:col>
      <xdr:colOff>28575</xdr:colOff>
      <xdr:row>10</xdr:row>
      <xdr:rowOff>66675</xdr:rowOff>
    </xdr:from>
    <xdr:to>
      <xdr:col>2</xdr:col>
      <xdr:colOff>2495550</xdr:colOff>
      <xdr:row>12</xdr:row>
      <xdr:rowOff>0</xdr:rowOff>
    </xdr:to>
    <xdr:sp macro="[0]!SA101_ASE_Click" textlink="">
      <xdr:nvSpPr>
        <xdr:cNvPr id="49206" name="Rectangle 54">
          <a:extLst>
            <a:ext uri="{FF2B5EF4-FFF2-40B4-BE49-F238E27FC236}">
              <a16:creationId xmlns:a16="http://schemas.microsoft.com/office/drawing/2014/main" id="{00000000-0008-0000-1200-000036C00000}"/>
            </a:ext>
          </a:extLst>
        </xdr:cNvPr>
        <xdr:cNvSpPr>
          <a:spLocks noChangeArrowheads="1"/>
        </xdr:cNvSpPr>
      </xdr:nvSpPr>
      <xdr:spPr bwMode="auto">
        <a:xfrm>
          <a:off x="190500" y="1704975"/>
          <a:ext cx="2524125" cy="219075"/>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w="3175">
              <a:solidFill>
                <a:srgbClr xmlns:mc="http://schemas.openxmlformats.org/markup-compatibility/2006" a14:legacySpreadsheetColorIndex="21" mc:Ignorable="a14" val="00808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1000" u="none">
              <a:solidFill>
                <a:srgbClr val="000000"/>
              </a:solidFill>
              <a:latin typeface="Arial"/>
              <a:cs typeface="Arial"/>
            </a:rPr>
            <a:t>Shares Schemes (</a:t>
          </a:r>
          <a:r>
            <a:rPr b="0" baseline="0" i="0" lang="en-GB" strike="noStrike" sz="1000" u="none">
              <a:solidFill>
                <a:srgbClr val="008080"/>
              </a:solidFill>
              <a:latin typeface="Arial"/>
              <a:cs typeface="Arial"/>
            </a:rPr>
            <a:t>SA101</a:t>
          </a:r>
          <a:r>
            <a:rPr b="0" baseline="0" i="0" lang="en-GB" strike="noStrike" sz="1000" u="none">
              <a:solidFill>
                <a:srgbClr val="000000"/>
              </a:solidFill>
              <a:latin typeface="Arial"/>
              <a:cs typeface="Arial"/>
            </a:rPr>
            <a:t> ASE)</a:t>
          </a:r>
        </a:p>
      </xdr:txBody>
    </xdr:sp>
    <xdr:clientData/>
  </xdr:twoCellAnchor>
  <xdr:twoCellAnchor>
    <xdr:from>
      <xdr:col>1</xdr:col>
      <xdr:colOff>38100</xdr:colOff>
      <xdr:row>8</xdr:row>
      <xdr:rowOff>76200</xdr:rowOff>
    </xdr:from>
    <xdr:to>
      <xdr:col>2</xdr:col>
      <xdr:colOff>2505075</xdr:colOff>
      <xdr:row>9</xdr:row>
      <xdr:rowOff>104775</xdr:rowOff>
    </xdr:to>
    <xdr:sp macro="[0]!SA101_AOI_Click" textlink="">
      <xdr:nvSpPr>
        <xdr:cNvPr id="49207" name="Rectangle 55">
          <a:extLst>
            <a:ext uri="{FF2B5EF4-FFF2-40B4-BE49-F238E27FC236}">
              <a16:creationId xmlns:a16="http://schemas.microsoft.com/office/drawing/2014/main" id="{00000000-0008-0000-1200-000037C00000}"/>
            </a:ext>
          </a:extLst>
        </xdr:cNvPr>
        <xdr:cNvSpPr>
          <a:spLocks noChangeArrowheads="1"/>
        </xdr:cNvSpPr>
      </xdr:nvSpPr>
      <xdr:spPr bwMode="auto">
        <a:xfrm>
          <a:off x="200025" y="1362075"/>
          <a:ext cx="2524125" cy="238125"/>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w="3175">
              <a:solidFill>
                <a:srgbClr xmlns:mc="http://schemas.openxmlformats.org/markup-compatibility/2006" a14:legacySpreadsheetColorIndex="21" mc:Ignorable="a14" val="00808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1000" u="none">
              <a:solidFill>
                <a:srgbClr val="000000"/>
              </a:solidFill>
              <a:latin typeface="Arial"/>
              <a:cs typeface="Arial"/>
            </a:rPr>
            <a:t>Additional Information (</a:t>
          </a:r>
          <a:r>
            <a:rPr b="0" baseline="0" i="0" lang="en-GB" strike="noStrike" sz="1000" u="none">
              <a:solidFill>
                <a:srgbClr val="008080"/>
              </a:solidFill>
              <a:latin typeface="Arial"/>
              <a:cs typeface="Arial"/>
            </a:rPr>
            <a:t>SA101</a:t>
          </a:r>
          <a:r>
            <a:rPr b="0" baseline="0" i="0" lang="en-GB" strike="noStrike" sz="1000" u="none">
              <a:solidFill>
                <a:srgbClr val="000000"/>
              </a:solidFill>
              <a:latin typeface="Arial"/>
              <a:cs typeface="Arial"/>
            </a:rPr>
            <a:t> AOI)</a:t>
          </a:r>
        </a:p>
      </xdr:txBody>
    </xdr:sp>
    <xdr:clientData/>
  </xdr:twoCellAnchor>
  <mc:AlternateContent xmlns:mc="http://schemas.openxmlformats.org/markup-compatibility/2006">
    <mc:Choice xmlns:a14="http://schemas.microsoft.com/office/drawing/2010/main" Requires="a14">
      <xdr:twoCellAnchor editAs="oneCell">
        <xdr:from>
          <xdr:col>7</xdr:col>
          <xdr:colOff>57150</xdr:colOff>
          <xdr:row>8</xdr:row>
          <xdr:rowOff>19050</xdr:rowOff>
        </xdr:from>
        <xdr:to>
          <xdr:col>8</xdr:col>
          <xdr:colOff>28575</xdr:colOff>
          <xdr:row>9</xdr:row>
          <xdr:rowOff>38100</xdr:rowOff>
        </xdr:to>
        <xdr:sp macro="" textlink="">
          <xdr:nvSpPr>
            <xdr:cNvPr hidden="1" id="49208" name="Check Box 56">
              <a:extLst>
                <a:ext uri="{63B3BB69-23CF-44E3-9099-C40C66FF867C}">
                  <a14:compatExt spid="_x0000_s49208"/>
                </a:ext>
                <a:ext uri="{FF2B5EF4-FFF2-40B4-BE49-F238E27FC236}">
                  <a16:creationId xmlns:a16="http://schemas.microsoft.com/office/drawing/2014/main" id="{00000000-0008-0000-1200-000038C00000}"/>
                </a:ext>
              </a:extLst>
            </xdr:cNvPr>
            <xdr:cNvSpPr/>
          </xdr:nvSpPr>
          <xdr:spPr bwMode="auto">
            <a:xfrm>
              <a:off x="0" y="0"/>
              <a:ext cx="0" cy="0"/>
            </a:xfrm>
            <a:prstGeom prst="rect">
              <a:avLst/>
            </a:prstGeom>
            <a:noFill/>
            <a:ln>
              <a:noFill/>
            </a:ln>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9</xdr:row>
          <xdr:rowOff>104775</xdr:rowOff>
        </xdr:from>
        <xdr:to>
          <xdr:col>8</xdr:col>
          <xdr:colOff>28575</xdr:colOff>
          <xdr:row>11</xdr:row>
          <xdr:rowOff>38100</xdr:rowOff>
        </xdr:to>
        <xdr:sp macro="" textlink="">
          <xdr:nvSpPr>
            <xdr:cNvPr hidden="1" id="49209" name="Check Box 57">
              <a:extLst>
                <a:ext uri="{63B3BB69-23CF-44E3-9099-C40C66FF867C}">
                  <a14:compatExt spid="_x0000_s49209"/>
                </a:ext>
                <a:ext uri="{FF2B5EF4-FFF2-40B4-BE49-F238E27FC236}">
                  <a16:creationId xmlns:a16="http://schemas.microsoft.com/office/drawing/2014/main" id="{00000000-0008-0000-1200-000039C00000}"/>
                </a:ext>
              </a:extLst>
            </xdr:cNvPr>
            <xdr:cNvSpPr/>
          </xdr:nvSpPr>
          <xdr:spPr bwMode="auto">
            <a:xfrm>
              <a:off x="0" y="0"/>
              <a:ext cx="0" cy="0"/>
            </a:xfrm>
            <a:prstGeom prst="rect">
              <a:avLst/>
            </a:prstGeom>
            <a:noFill/>
            <a:ln>
              <a:noFill/>
            </a:ln>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11</xdr:row>
          <xdr:rowOff>76200</xdr:rowOff>
        </xdr:from>
        <xdr:to>
          <xdr:col>8</xdr:col>
          <xdr:colOff>38100</xdr:colOff>
          <xdr:row>13</xdr:row>
          <xdr:rowOff>19050</xdr:rowOff>
        </xdr:to>
        <xdr:sp macro="" textlink="">
          <xdr:nvSpPr>
            <xdr:cNvPr hidden="1" id="49210" name="Check Box 58">
              <a:extLst>
                <a:ext uri="{63B3BB69-23CF-44E3-9099-C40C66FF867C}">
                  <a14:compatExt spid="_x0000_s49210"/>
                </a:ext>
                <a:ext uri="{FF2B5EF4-FFF2-40B4-BE49-F238E27FC236}">
                  <a16:creationId xmlns:a16="http://schemas.microsoft.com/office/drawing/2014/main" id="{00000000-0008-0000-1200-00003AC00000}"/>
                </a:ext>
              </a:extLst>
            </xdr:cNvPr>
            <xdr:cNvSpPr/>
          </xdr:nvSpPr>
          <xdr:spPr bwMode="auto">
            <a:xfrm>
              <a:off x="0" y="0"/>
              <a:ext cx="0" cy="0"/>
            </a:xfrm>
            <a:prstGeom prst="rect">
              <a:avLst/>
            </a:prstGeom>
            <a:noFill/>
            <a:ln>
              <a:noFill/>
            </a:ln>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15</xdr:row>
          <xdr:rowOff>38100</xdr:rowOff>
        </xdr:from>
        <xdr:to>
          <xdr:col>8</xdr:col>
          <xdr:colOff>38100</xdr:colOff>
          <xdr:row>16</xdr:row>
          <xdr:rowOff>114300</xdr:rowOff>
        </xdr:to>
        <xdr:sp macro="" textlink="">
          <xdr:nvSpPr>
            <xdr:cNvPr hidden="1" id="49211" name="Check Box 59">
              <a:extLst>
                <a:ext uri="{63B3BB69-23CF-44E3-9099-C40C66FF867C}">
                  <a14:compatExt spid="_x0000_s49211"/>
                </a:ext>
                <a:ext uri="{FF2B5EF4-FFF2-40B4-BE49-F238E27FC236}">
                  <a16:creationId xmlns:a16="http://schemas.microsoft.com/office/drawing/2014/main" id="{00000000-0008-0000-1200-00003BC00000}"/>
                </a:ext>
              </a:extLst>
            </xdr:cNvPr>
            <xdr:cNvSpPr/>
          </xdr:nvSpPr>
          <xdr:spPr bwMode="auto">
            <a:xfrm>
              <a:off x="0" y="0"/>
              <a:ext cx="0" cy="0"/>
            </a:xfrm>
            <a:prstGeom prst="rect">
              <a:avLst/>
            </a:prstGeom>
            <a:noFill/>
            <a:ln>
              <a:noFill/>
            </a:ln>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76200</xdr:colOff>
          <xdr:row>9</xdr:row>
          <xdr:rowOff>95250</xdr:rowOff>
        </xdr:from>
        <xdr:to>
          <xdr:col>10</xdr:col>
          <xdr:colOff>38100</xdr:colOff>
          <xdr:row>11</xdr:row>
          <xdr:rowOff>28575</xdr:rowOff>
        </xdr:to>
        <xdr:sp macro="" textlink="">
          <xdr:nvSpPr>
            <xdr:cNvPr hidden="1" id="49212" name="Check Box 60">
              <a:extLst>
                <a:ext uri="{63B3BB69-23CF-44E3-9099-C40C66FF867C}">
                  <a14:compatExt spid="_x0000_s49212"/>
                </a:ext>
                <a:ext uri="{FF2B5EF4-FFF2-40B4-BE49-F238E27FC236}">
                  <a16:creationId xmlns:a16="http://schemas.microsoft.com/office/drawing/2014/main" id="{00000000-0008-0000-1200-00003CC00000}"/>
                </a:ext>
              </a:extLst>
            </xdr:cNvPr>
            <xdr:cNvSpPr/>
          </xdr:nvSpPr>
          <xdr:spPr bwMode="auto">
            <a:xfrm>
              <a:off x="0" y="0"/>
              <a:ext cx="0" cy="0"/>
            </a:xfrm>
            <a:prstGeom prst="rect">
              <a:avLst/>
            </a:prstGeom>
            <a:noFill/>
            <a:ln>
              <a:noFill/>
            </a:ln>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76200</xdr:colOff>
          <xdr:row>11</xdr:row>
          <xdr:rowOff>66675</xdr:rowOff>
        </xdr:from>
        <xdr:to>
          <xdr:col>10</xdr:col>
          <xdr:colOff>38100</xdr:colOff>
          <xdr:row>13</xdr:row>
          <xdr:rowOff>0</xdr:rowOff>
        </xdr:to>
        <xdr:sp macro="" textlink="">
          <xdr:nvSpPr>
            <xdr:cNvPr hidden="1" id="49213" name="Check Box 61">
              <a:extLst>
                <a:ext uri="{63B3BB69-23CF-44E3-9099-C40C66FF867C}">
                  <a14:compatExt spid="_x0000_s49213"/>
                </a:ext>
                <a:ext uri="{FF2B5EF4-FFF2-40B4-BE49-F238E27FC236}">
                  <a16:creationId xmlns:a16="http://schemas.microsoft.com/office/drawing/2014/main" id="{00000000-0008-0000-1200-00003DC00000}"/>
                </a:ext>
              </a:extLst>
            </xdr:cNvPr>
            <xdr:cNvSpPr/>
          </xdr:nvSpPr>
          <xdr:spPr bwMode="auto">
            <a:xfrm>
              <a:off x="0" y="0"/>
              <a:ext cx="0" cy="0"/>
            </a:xfrm>
            <a:prstGeom prst="rect">
              <a:avLst/>
            </a:prstGeom>
            <a:noFill/>
            <a:ln>
              <a:noFill/>
            </a:ln>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76200</xdr:colOff>
          <xdr:row>13</xdr:row>
          <xdr:rowOff>38100</xdr:rowOff>
        </xdr:from>
        <xdr:to>
          <xdr:col>10</xdr:col>
          <xdr:colOff>38100</xdr:colOff>
          <xdr:row>14</xdr:row>
          <xdr:rowOff>123825</xdr:rowOff>
        </xdr:to>
        <xdr:sp macro="" textlink="">
          <xdr:nvSpPr>
            <xdr:cNvPr hidden="1" id="49214" name="Check Box 62">
              <a:extLst>
                <a:ext uri="{63B3BB69-23CF-44E3-9099-C40C66FF867C}">
                  <a14:compatExt spid="_x0000_s49214"/>
                </a:ext>
                <a:ext uri="{FF2B5EF4-FFF2-40B4-BE49-F238E27FC236}">
                  <a16:creationId xmlns:a16="http://schemas.microsoft.com/office/drawing/2014/main" id="{00000000-0008-0000-1200-00003EC00000}"/>
                </a:ext>
              </a:extLst>
            </xdr:cNvPr>
            <xdr:cNvSpPr/>
          </xdr:nvSpPr>
          <xdr:spPr bwMode="auto">
            <a:xfrm>
              <a:off x="0" y="0"/>
              <a:ext cx="0" cy="0"/>
            </a:xfrm>
            <a:prstGeom prst="rect">
              <a:avLst/>
            </a:prstGeom>
            <a:noFill/>
            <a:ln>
              <a:noFill/>
            </a:ln>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76200</xdr:colOff>
          <xdr:row>8</xdr:row>
          <xdr:rowOff>19050</xdr:rowOff>
        </xdr:from>
        <xdr:to>
          <xdr:col>10</xdr:col>
          <xdr:colOff>38100</xdr:colOff>
          <xdr:row>9</xdr:row>
          <xdr:rowOff>38100</xdr:rowOff>
        </xdr:to>
        <xdr:sp macro="" textlink="">
          <xdr:nvSpPr>
            <xdr:cNvPr hidden="1" id="49215" name="Check Box 63">
              <a:extLst>
                <a:ext uri="{63B3BB69-23CF-44E3-9099-C40C66FF867C}">
                  <a14:compatExt spid="_x0000_s49215"/>
                </a:ext>
                <a:ext uri="{FF2B5EF4-FFF2-40B4-BE49-F238E27FC236}">
                  <a16:creationId xmlns:a16="http://schemas.microsoft.com/office/drawing/2014/main" id="{00000000-0008-0000-1200-00003FC00000}"/>
                </a:ext>
              </a:extLst>
            </xdr:cNvPr>
            <xdr:cNvSpPr/>
          </xdr:nvSpPr>
          <xdr:spPr bwMode="auto">
            <a:xfrm>
              <a:off x="0" y="0"/>
              <a:ext cx="0" cy="0"/>
            </a:xfrm>
            <a:prstGeom prst="rect">
              <a:avLst/>
            </a:prstGeom>
            <a:noFill/>
            <a:ln>
              <a:noFill/>
            </a:ln>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13</xdr:row>
          <xdr:rowOff>57150</xdr:rowOff>
        </xdr:from>
        <xdr:to>
          <xdr:col>8</xdr:col>
          <xdr:colOff>38100</xdr:colOff>
          <xdr:row>14</xdr:row>
          <xdr:rowOff>133350</xdr:rowOff>
        </xdr:to>
        <xdr:sp macro="" textlink="">
          <xdr:nvSpPr>
            <xdr:cNvPr hidden="1" id="49216" name="Check Box 64">
              <a:extLst>
                <a:ext uri="{63B3BB69-23CF-44E3-9099-C40C66FF867C}">
                  <a14:compatExt spid="_x0000_s49216"/>
                </a:ext>
                <a:ext uri="{FF2B5EF4-FFF2-40B4-BE49-F238E27FC236}">
                  <a16:creationId xmlns:a16="http://schemas.microsoft.com/office/drawing/2014/main" id="{00000000-0008-0000-1200-000040C00000}"/>
                </a:ext>
              </a:extLst>
            </xdr:cNvPr>
            <xdr:cNvSpPr/>
          </xdr:nvSpPr>
          <xdr:spPr bwMode="auto">
            <a:xfrm>
              <a:off x="0" y="0"/>
              <a:ext cx="0" cy="0"/>
            </a:xfrm>
            <a:prstGeom prst="rect">
              <a:avLst/>
            </a:prstGeom>
            <a:noFill/>
            <a:ln>
              <a:noFill/>
            </a:ln>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47625</xdr:colOff>
          <xdr:row>21</xdr:row>
          <xdr:rowOff>57150</xdr:rowOff>
        </xdr:from>
        <xdr:to>
          <xdr:col>2</xdr:col>
          <xdr:colOff>1581150</xdr:colOff>
          <xdr:row>23</xdr:row>
          <xdr:rowOff>66675</xdr:rowOff>
        </xdr:to>
        <xdr:sp macro="" textlink="">
          <xdr:nvSpPr>
            <xdr:cNvPr hidden="1" id="49217" name="Button 65">
              <a:extLst>
                <a:ext uri="{63B3BB69-23CF-44E3-9099-C40C66FF867C}">
                  <a14:compatExt spid="_x0000_s49217"/>
                </a:ext>
                <a:ext uri="{FF2B5EF4-FFF2-40B4-BE49-F238E27FC236}">
                  <a16:creationId xmlns:a16="http://schemas.microsoft.com/office/drawing/2014/main" id="{00000000-0008-0000-1200-000041C00000}"/>
                </a:ext>
              </a:extLst>
            </xdr:cNvPr>
            <xdr:cNvSpPr/>
          </xdr:nvSpPr>
          <xdr:spPr bwMode="auto">
            <a:xfrm>
              <a:off x="0" y="0"/>
              <a:ext cx="0" cy="0"/>
            </a:xfrm>
            <a:prstGeom prst="rect">
              <a:avLst/>
            </a:prstGeom>
            <a:noFill/>
            <a:ln w="9525">
              <a:miter lim="800000"/>
              <a:headEnd/>
              <a:tailEnd/>
            </a:ln>
          </xdr:spPr>
          <xdr:txBody>
            <a:bodyPr anchor="ctr" bIns="27432" lIns="36576" rIns="36576" tIns="27432" upright="1" vertOverflow="clip" wrap="square"/>
            <a:lstStyle/>
            <a:p>
              <a:pPr algn="ctr" rtl="0">
                <a:defRPr sz="1000"/>
              </a:pPr>
              <a:r>
                <a:rPr b="1" baseline="0" i="0" lang="en-US" strike="noStrike" sz="1200" u="none">
                  <a:solidFill>
                    <a:srgbClr val="008080"/>
                  </a:solidFill>
                  <a:latin typeface="Arial"/>
                  <a:cs typeface="Arial"/>
                </a:rPr>
                <a:t>Reset calculation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2019300</xdr:colOff>
          <xdr:row>21</xdr:row>
          <xdr:rowOff>47625</xdr:rowOff>
        </xdr:from>
        <xdr:to>
          <xdr:col>6</xdr:col>
          <xdr:colOff>1200150</xdr:colOff>
          <xdr:row>23</xdr:row>
          <xdr:rowOff>76200</xdr:rowOff>
        </xdr:to>
        <xdr:sp macro="" textlink="">
          <xdr:nvSpPr>
            <xdr:cNvPr hidden="1" id="49218" name="Button 66">
              <a:extLst>
                <a:ext uri="{63B3BB69-23CF-44E3-9099-C40C66FF867C}">
                  <a14:compatExt spid="_x0000_s49218"/>
                </a:ext>
                <a:ext uri="{FF2B5EF4-FFF2-40B4-BE49-F238E27FC236}">
                  <a16:creationId xmlns:a16="http://schemas.microsoft.com/office/drawing/2014/main" id="{00000000-0008-0000-1200-000042C00000}"/>
                </a:ext>
              </a:extLst>
            </xdr:cNvPr>
            <xdr:cNvSpPr/>
          </xdr:nvSpPr>
          <xdr:spPr bwMode="auto">
            <a:xfrm>
              <a:off x="0" y="0"/>
              <a:ext cx="0" cy="0"/>
            </a:xfrm>
            <a:prstGeom prst="rect">
              <a:avLst/>
            </a:prstGeom>
            <a:noFill/>
            <a:ln w="9525">
              <a:miter lim="800000"/>
              <a:headEnd/>
              <a:tailEnd/>
            </a:ln>
          </xdr:spPr>
          <xdr:txBody>
            <a:bodyPr anchor="ctr" bIns="27432" lIns="36576" rIns="36576" tIns="27432" upright="1" vertOverflow="clip" wrap="square"/>
            <a:lstStyle/>
            <a:p>
              <a:pPr algn="ctr" rtl="0">
                <a:defRPr sz="1000"/>
              </a:pPr>
              <a:r>
                <a:rPr b="1" baseline="0" i="0" lang="en-US" strike="noStrike" sz="1400" u="none">
                  <a:solidFill>
                    <a:srgbClr val="800000"/>
                  </a:solidFill>
                  <a:latin typeface="Arial"/>
                  <a:cs typeface="Arial"/>
                </a:rPr>
                <a:t>Calculate Now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21</xdr:row>
          <xdr:rowOff>66675</xdr:rowOff>
        </xdr:from>
        <xdr:to>
          <xdr:col>10</xdr:col>
          <xdr:colOff>19050</xdr:colOff>
          <xdr:row>23</xdr:row>
          <xdr:rowOff>66675</xdr:rowOff>
        </xdr:to>
        <xdr:sp macro="" textlink="">
          <xdr:nvSpPr>
            <xdr:cNvPr hidden="1" id="49219" name="Button 67">
              <a:extLst>
                <a:ext uri="{63B3BB69-23CF-44E3-9099-C40C66FF867C}">
                  <a14:compatExt spid="_x0000_s49219"/>
                </a:ext>
                <a:ext uri="{FF2B5EF4-FFF2-40B4-BE49-F238E27FC236}">
                  <a16:creationId xmlns:a16="http://schemas.microsoft.com/office/drawing/2014/main" id="{00000000-0008-0000-1200-000043C00000}"/>
                </a:ext>
              </a:extLst>
            </xdr:cNvPr>
            <xdr:cNvSpPr/>
          </xdr:nvSpPr>
          <xdr:spPr bwMode="auto">
            <a:xfrm>
              <a:off x="0" y="0"/>
              <a:ext cx="0" cy="0"/>
            </a:xfrm>
            <a:prstGeom prst="rect">
              <a:avLst/>
            </a:prstGeom>
            <a:noFill/>
            <a:ln w="9525">
              <a:miter lim="800000"/>
              <a:headEnd/>
              <a:tailEnd/>
            </a:ln>
          </xdr:spPr>
          <xdr:txBody>
            <a:bodyPr anchor="ctr" bIns="22860" lIns="27432" rIns="27432" tIns="22860" upright="1" vertOverflow="clip" wrap="square"/>
            <a:lstStyle/>
            <a:p>
              <a:pPr algn="ctr" rtl="0">
                <a:defRPr sz="1000"/>
              </a:pPr>
              <a:r>
                <a:rPr b="1" baseline="0" i="0" lang="en-US" strike="noStrike" sz="1000" u="none">
                  <a:solidFill>
                    <a:srgbClr val="008080"/>
                  </a:solidFill>
                  <a:latin typeface="Arial"/>
                  <a:cs typeface="Arial"/>
                </a:rPr>
                <a:t>Show/Hide the calculation worksheets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76200</xdr:colOff>
          <xdr:row>15</xdr:row>
          <xdr:rowOff>28575</xdr:rowOff>
        </xdr:from>
        <xdr:to>
          <xdr:col>10</xdr:col>
          <xdr:colOff>38100</xdr:colOff>
          <xdr:row>16</xdr:row>
          <xdr:rowOff>114300</xdr:rowOff>
        </xdr:to>
        <xdr:sp macro="" textlink="">
          <xdr:nvSpPr>
            <xdr:cNvPr hidden="1" id="49220" name="Check Box 68">
              <a:extLst>
                <a:ext uri="{63B3BB69-23CF-44E3-9099-C40C66FF867C}">
                  <a14:compatExt spid="_x0000_s49220"/>
                </a:ext>
                <a:ext uri="{FF2B5EF4-FFF2-40B4-BE49-F238E27FC236}">
                  <a16:creationId xmlns:a16="http://schemas.microsoft.com/office/drawing/2014/main" id="{00000000-0008-0000-1200-000044C00000}"/>
                </a:ext>
              </a:extLst>
            </xdr:cNvPr>
            <xdr:cNvSpPr/>
          </xdr:nvSpPr>
          <xdr:spPr bwMode="auto">
            <a:xfrm>
              <a:off x="0" y="0"/>
              <a:ext cx="0" cy="0"/>
            </a:xfrm>
            <a:prstGeom prst="rect">
              <a:avLst/>
            </a:prstGeom>
            <a:noFill/>
            <a:ln>
              <a:noFill/>
            </a:ln>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76200</xdr:colOff>
          <xdr:row>16</xdr:row>
          <xdr:rowOff>133350</xdr:rowOff>
        </xdr:from>
        <xdr:to>
          <xdr:col>10</xdr:col>
          <xdr:colOff>38100</xdr:colOff>
          <xdr:row>19</xdr:row>
          <xdr:rowOff>9525</xdr:rowOff>
        </xdr:to>
        <xdr:sp macro="" textlink="">
          <xdr:nvSpPr>
            <xdr:cNvPr hidden="1" id="49221" name="Check Box 69">
              <a:extLst>
                <a:ext uri="{63B3BB69-23CF-44E3-9099-C40C66FF867C}">
                  <a14:compatExt spid="_x0000_s49221"/>
                </a:ext>
                <a:ext uri="{FF2B5EF4-FFF2-40B4-BE49-F238E27FC236}">
                  <a16:creationId xmlns:a16="http://schemas.microsoft.com/office/drawing/2014/main" id="{00000000-0008-0000-1200-000045C00000}"/>
                </a:ext>
              </a:extLst>
            </xdr:cNvPr>
            <xdr:cNvSpPr/>
          </xdr:nvSpPr>
          <xdr:spPr bwMode="auto">
            <a:xfrm>
              <a:off x="0" y="0"/>
              <a:ext cx="0" cy="0"/>
            </a:xfrm>
            <a:prstGeom prst="rect">
              <a:avLst/>
            </a:prstGeom>
            <a:noFill/>
            <a:ln>
              <a:noFill/>
            </a:ln>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66675</xdr:colOff>
          <xdr:row>8</xdr:row>
          <xdr:rowOff>28575</xdr:rowOff>
        </xdr:from>
        <xdr:to>
          <xdr:col>4</xdr:col>
          <xdr:colOff>19050</xdr:colOff>
          <xdr:row>9</xdr:row>
          <xdr:rowOff>38100</xdr:rowOff>
        </xdr:to>
        <xdr:sp macro="" textlink="">
          <xdr:nvSpPr>
            <xdr:cNvPr hidden="1" id="49222" name="Check Box 70">
              <a:extLst>
                <a:ext uri="{63B3BB69-23CF-44E3-9099-C40C66FF867C}">
                  <a14:compatExt spid="_x0000_s49222"/>
                </a:ext>
                <a:ext uri="{FF2B5EF4-FFF2-40B4-BE49-F238E27FC236}">
                  <a16:creationId xmlns:a16="http://schemas.microsoft.com/office/drawing/2014/main" id="{00000000-0008-0000-1200-000046C00000}"/>
                </a:ext>
              </a:extLst>
            </xdr:cNvPr>
            <xdr:cNvSpPr/>
          </xdr:nvSpPr>
          <xdr:spPr bwMode="auto">
            <a:xfrm>
              <a:off x="0" y="0"/>
              <a:ext cx="0" cy="0"/>
            </a:xfrm>
            <a:prstGeom prst="rect">
              <a:avLst/>
            </a:prstGeom>
            <a:noFill/>
            <a:ln>
              <a:noFill/>
            </a:ln>
            <a:effectLst/>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66675</xdr:colOff>
          <xdr:row>10</xdr:row>
          <xdr:rowOff>9525</xdr:rowOff>
        </xdr:from>
        <xdr:to>
          <xdr:col>4</xdr:col>
          <xdr:colOff>19050</xdr:colOff>
          <xdr:row>11</xdr:row>
          <xdr:rowOff>85725</xdr:rowOff>
        </xdr:to>
        <xdr:sp macro="" textlink="">
          <xdr:nvSpPr>
            <xdr:cNvPr hidden="1" id="49223" name="Check Box 71">
              <a:extLst>
                <a:ext uri="{63B3BB69-23CF-44E3-9099-C40C66FF867C}">
                  <a14:compatExt spid="_x0000_s49223"/>
                </a:ext>
                <a:ext uri="{FF2B5EF4-FFF2-40B4-BE49-F238E27FC236}">
                  <a16:creationId xmlns:a16="http://schemas.microsoft.com/office/drawing/2014/main" id="{00000000-0008-0000-1200-000047C00000}"/>
                </a:ext>
              </a:extLst>
            </xdr:cNvPr>
            <xdr:cNvSpPr/>
          </xdr:nvSpPr>
          <xdr:spPr bwMode="auto">
            <a:xfrm>
              <a:off x="0" y="0"/>
              <a:ext cx="0" cy="0"/>
            </a:xfrm>
            <a:prstGeom prst="rect">
              <a:avLst/>
            </a:prstGeom>
            <a:noFill/>
            <a:ln>
              <a:noFill/>
            </a:ln>
            <a:effectLst/>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66675</xdr:colOff>
          <xdr:row>12</xdr:row>
          <xdr:rowOff>28575</xdr:rowOff>
        </xdr:from>
        <xdr:to>
          <xdr:col>4</xdr:col>
          <xdr:colOff>19050</xdr:colOff>
          <xdr:row>13</xdr:row>
          <xdr:rowOff>104775</xdr:rowOff>
        </xdr:to>
        <xdr:sp macro="" textlink="">
          <xdr:nvSpPr>
            <xdr:cNvPr hidden="1" id="49224" name="Check Box 72">
              <a:extLst>
                <a:ext uri="{63B3BB69-23CF-44E3-9099-C40C66FF867C}">
                  <a14:compatExt spid="_x0000_s49224"/>
                </a:ext>
                <a:ext uri="{FF2B5EF4-FFF2-40B4-BE49-F238E27FC236}">
                  <a16:creationId xmlns:a16="http://schemas.microsoft.com/office/drawing/2014/main" id="{00000000-0008-0000-1200-000048C00000}"/>
                </a:ext>
              </a:extLst>
            </xdr:cNvPr>
            <xdr:cNvSpPr/>
          </xdr:nvSpPr>
          <xdr:spPr bwMode="auto">
            <a:xfrm>
              <a:off x="0" y="0"/>
              <a:ext cx="0" cy="0"/>
            </a:xfrm>
            <a:prstGeom prst="rect">
              <a:avLst/>
            </a:prstGeom>
            <a:noFill/>
            <a:ln>
              <a:noFill/>
            </a:ln>
            <a:effectLst/>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66675</xdr:colOff>
          <xdr:row>14</xdr:row>
          <xdr:rowOff>38100</xdr:rowOff>
        </xdr:from>
        <xdr:to>
          <xdr:col>4</xdr:col>
          <xdr:colOff>19050</xdr:colOff>
          <xdr:row>15</xdr:row>
          <xdr:rowOff>114300</xdr:rowOff>
        </xdr:to>
        <xdr:sp macro="" textlink="">
          <xdr:nvSpPr>
            <xdr:cNvPr hidden="1" id="49225" name="Check Box 73">
              <a:extLst>
                <a:ext uri="{63B3BB69-23CF-44E3-9099-C40C66FF867C}">
                  <a14:compatExt spid="_x0000_s49225"/>
                </a:ext>
                <a:ext uri="{FF2B5EF4-FFF2-40B4-BE49-F238E27FC236}">
                  <a16:creationId xmlns:a16="http://schemas.microsoft.com/office/drawing/2014/main" id="{00000000-0008-0000-1200-000049C00000}"/>
                </a:ext>
              </a:extLst>
            </xdr:cNvPr>
            <xdr:cNvSpPr/>
          </xdr:nvSpPr>
          <xdr:spPr bwMode="auto">
            <a:xfrm>
              <a:off x="0" y="0"/>
              <a:ext cx="0" cy="0"/>
            </a:xfrm>
            <a:prstGeom prst="rect">
              <a:avLst/>
            </a:prstGeom>
            <a:noFill/>
            <a:ln>
              <a:noFill/>
            </a:ln>
            <a:effectLst/>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66675</xdr:colOff>
          <xdr:row>16</xdr:row>
          <xdr:rowOff>47625</xdr:rowOff>
        </xdr:from>
        <xdr:to>
          <xdr:col>4</xdr:col>
          <xdr:colOff>19050</xdr:colOff>
          <xdr:row>17</xdr:row>
          <xdr:rowOff>123825</xdr:rowOff>
        </xdr:to>
        <xdr:sp macro="" textlink="">
          <xdr:nvSpPr>
            <xdr:cNvPr hidden="1" id="49226" name="Check Box 74">
              <a:extLst>
                <a:ext uri="{63B3BB69-23CF-44E3-9099-C40C66FF867C}">
                  <a14:compatExt spid="_x0000_s49226"/>
                </a:ext>
                <a:ext uri="{FF2B5EF4-FFF2-40B4-BE49-F238E27FC236}">
                  <a16:creationId xmlns:a16="http://schemas.microsoft.com/office/drawing/2014/main" id="{00000000-0008-0000-1200-00004AC00000}"/>
                </a:ext>
              </a:extLst>
            </xdr:cNvPr>
            <xdr:cNvSpPr/>
          </xdr:nvSpPr>
          <xdr:spPr bwMode="auto">
            <a:xfrm>
              <a:off x="0" y="0"/>
              <a:ext cx="0" cy="0"/>
            </a:xfrm>
            <a:prstGeom prst="rect">
              <a:avLst/>
            </a:prstGeom>
            <a:noFill/>
            <a:ln>
              <a:noFill/>
            </a:ln>
            <a:effectLst/>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xdr:twoCellAnchor>
    <xdr:from>
      <xdr:col>1</xdr:col>
      <xdr:colOff>28575</xdr:colOff>
      <xdr:row>24</xdr:row>
      <xdr:rowOff>19050</xdr:rowOff>
    </xdr:from>
    <xdr:to>
      <xdr:col>2</xdr:col>
      <xdr:colOff>1590675</xdr:colOff>
      <xdr:row>28</xdr:row>
      <xdr:rowOff>66675</xdr:rowOff>
    </xdr:to>
    <xdr:sp macro="" textlink="">
      <xdr:nvSpPr>
        <xdr:cNvPr id="49227" name="Text Box 75">
          <a:extLst>
            <a:ext uri="{FF2B5EF4-FFF2-40B4-BE49-F238E27FC236}">
              <a16:creationId xmlns:a16="http://schemas.microsoft.com/office/drawing/2014/main" id="{00000000-0008-0000-1200-00004BC00000}"/>
            </a:ext>
          </a:extLst>
        </xdr:cNvPr>
        <xdr:cNvSpPr txBox="1">
          <a:spLocks noChangeArrowheads="1"/>
        </xdr:cNvSpPr>
      </xdr:nvSpPr>
      <xdr:spPr bwMode="auto">
        <a:xfrm>
          <a:off x="190500" y="3486150"/>
          <a:ext cx="1619250" cy="657225"/>
        </a:xfrm>
        <a:prstGeom prst="rect">
          <a:avLst/>
        </a:prstGeom>
        <a:solidFill>
          <a:srgbClr xmlns:a14="http://schemas.microsoft.com/office/drawing/2010/main" xmlns:mc="http://schemas.openxmlformats.org/markup-compatibility/2006" a14:legacySpreadsheetColorIndex="26" mc:Ignorable="a14" val="FFFFCC"/>
        </a:solidFill>
        <a:ln w="9525">
          <a:solidFill>
            <a:srgbClr xmlns:a14="http://schemas.microsoft.com/office/drawing/2010/main" xmlns:mc="http://schemas.openxmlformats.org/markup-compatibility/2006" a14:legacySpreadsheetColorIndex="38" mc:Ignorable="a14" val="008080"/>
          </a:solidFill>
          <a:miter lim="800000"/>
          <a:headEnd/>
          <a:tailEnd/>
        </a:ln>
        <a:effectLst/>
        <a:extLs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1" baseline="0" i="0" lang="en-GB" strike="noStrike" sz="900" u="none">
              <a:solidFill>
                <a:srgbClr val="008080"/>
              </a:solidFill>
              <a:latin typeface="Arial"/>
              <a:cs typeface="Arial"/>
            </a:rPr>
            <a:t>Reset calculation</a:t>
          </a:r>
          <a:endParaRPr b="0" baseline="0" i="0" lang="en-GB" strike="noStrike" sz="900" u="none">
            <a:solidFill>
              <a:srgbClr val="008080"/>
            </a:solidFill>
            <a:latin typeface="Arial"/>
            <a:cs typeface="Arial"/>
          </a:endParaRPr>
        </a:p>
        <a:p>
          <a:pPr algn="l" rtl="0">
            <a:defRPr sz="1000"/>
          </a:pPr>
          <a:r>
            <a:rPr b="0" baseline="0" i="0" lang="en-GB" strike="noStrike" sz="800" u="none">
              <a:solidFill>
                <a:srgbClr val="008080"/>
              </a:solidFill>
              <a:latin typeface="Arial"/>
              <a:cs typeface="Arial"/>
            </a:rPr>
            <a:t>Pressing this will remove all data from the calculation sheets and removes all additional pages.</a:t>
          </a:r>
          <a:endParaRPr b="0" baseline="0" i="0" lang="en-GB" strike="noStrike" sz="900" u="none">
            <a:solidFill>
              <a:srgbClr val="000000"/>
            </a:solidFill>
            <a:latin typeface="Arial"/>
            <a:cs typeface="Arial"/>
          </a:endParaRPr>
        </a:p>
        <a:p>
          <a:pPr algn="l" rtl="0">
            <a:defRPr sz="1000"/>
          </a:pPr>
          <a:endParaRPr b="0" baseline="0" i="0" lang="en-GB" strike="noStrike" sz="900" u="none">
            <a:solidFill>
              <a:srgbClr val="000000"/>
            </a:solidFill>
            <a:latin typeface="Arial"/>
            <a:cs typeface="Arial"/>
          </a:endParaRPr>
        </a:p>
      </xdr:txBody>
    </xdr:sp>
    <xdr:clientData/>
  </xdr:twoCellAnchor>
  <xdr:twoCellAnchor>
    <xdr:from>
      <xdr:col>1</xdr:col>
      <xdr:colOff>39757</xdr:colOff>
      <xdr:row>30</xdr:row>
      <xdr:rowOff>12009</xdr:rowOff>
    </xdr:from>
    <xdr:to>
      <xdr:col>2</xdr:col>
      <xdr:colOff>2004393</xdr:colOff>
      <xdr:row>36</xdr:row>
      <xdr:rowOff>140804</xdr:rowOff>
    </xdr:to>
    <xdr:sp macro="" textlink="">
      <xdr:nvSpPr>
        <xdr:cNvPr id="49228" name="Text Box 76">
          <a:extLst>
            <a:ext uri="{FF2B5EF4-FFF2-40B4-BE49-F238E27FC236}">
              <a16:creationId xmlns:a16="http://schemas.microsoft.com/office/drawing/2014/main" id="{00000000-0008-0000-1200-00004CC00000}"/>
            </a:ext>
          </a:extLst>
        </xdr:cNvPr>
        <xdr:cNvSpPr txBox="1">
          <a:spLocks noChangeArrowheads="1"/>
        </xdr:cNvSpPr>
      </xdr:nvSpPr>
      <xdr:spPr bwMode="auto">
        <a:xfrm>
          <a:off x="205409" y="4376944"/>
          <a:ext cx="2022614" cy="1023317"/>
        </a:xfrm>
        <a:prstGeom prst="rect">
          <a:avLst/>
        </a:prstGeom>
        <a:solidFill>
          <a:srgbClr xmlns:a14="http://schemas.microsoft.com/office/drawing/2010/main" xmlns:mc="http://schemas.openxmlformats.org/markup-compatibility/2006" a14:legacySpreadsheetColorIndex="26" mc:Ignorable="a14" val="FFFFCC"/>
        </a:solidFill>
        <a:ln w="9525">
          <a:solidFill>
            <a:srgbClr xmlns:a14="http://schemas.microsoft.com/office/drawing/2010/main" xmlns:mc="http://schemas.openxmlformats.org/markup-compatibility/2006" a14:legacySpreadsheetColorIndex="38" mc:Ignorable="a14" val="008080"/>
          </a:solidFill>
          <a:miter lim="800000"/>
          <a:headEnd/>
          <a:tailEnd/>
        </a:ln>
        <a:effectLst/>
        <a:extLs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1" baseline="0" i="0" lang="en-GB" strike="noStrike" sz="900" u="none">
              <a:solidFill>
                <a:srgbClr val="008080"/>
              </a:solidFill>
              <a:latin typeface="Arial"/>
              <a:cs typeface="Arial"/>
            </a:rPr>
            <a:t>Calculate Now</a:t>
          </a:r>
          <a:endParaRPr b="0" baseline="0" i="0" lang="en-GB" strike="noStrike" sz="900" u="none">
            <a:solidFill>
              <a:srgbClr val="008080"/>
            </a:solidFill>
            <a:latin typeface="Arial"/>
            <a:cs typeface="Arial"/>
          </a:endParaRPr>
        </a:p>
        <a:p>
          <a:pPr algn="l" rtl="0">
            <a:defRPr sz="1000"/>
          </a:pPr>
          <a:r>
            <a:rPr b="0" baseline="0" i="0" lang="en-GB" strike="noStrike" sz="800" u="none">
              <a:solidFill>
                <a:srgbClr val="008080"/>
              </a:solidFill>
              <a:latin typeface="Arial"/>
              <a:cs typeface="Arial"/>
            </a:rPr>
            <a:t>Once Tax return data has been entered on the input sheets press 'Calculate Now' to make the tabs for the calculation sheets appear.</a:t>
          </a:r>
          <a:endParaRPr b="0" baseline="0" i="0" lang="en-GB" strike="noStrike" sz="900" u="none">
            <a:solidFill>
              <a:srgbClr val="008080"/>
            </a:solidFill>
            <a:latin typeface="Arial"/>
            <a:cs typeface="Arial"/>
          </a:endParaRPr>
        </a:p>
        <a:p>
          <a:pPr algn="l" rtl="0">
            <a:defRPr sz="1000"/>
          </a:pPr>
          <a:r>
            <a:rPr b="0" baseline="0" i="1" lang="en-GB" strike="noStrike" sz="800" u="none">
              <a:solidFill>
                <a:srgbClr val="008080"/>
              </a:solidFill>
              <a:latin typeface="Arial"/>
              <a:cs typeface="Arial"/>
            </a:rPr>
            <a:t>Note: Amendments will not be reflected in the calculation sheets until 'Calculate Now' is pressed again.</a:t>
          </a:r>
          <a:endParaRPr b="0" baseline="0" i="1" lang="en-GB" strike="noStrike" sz="800" u="none">
            <a:solidFill>
              <a:srgbClr val="000080"/>
            </a:solidFill>
            <a:latin typeface="Arial"/>
            <a:cs typeface="Arial"/>
          </a:endParaRPr>
        </a:p>
        <a:p>
          <a:pPr algn="l" rtl="0">
            <a:defRPr sz="1000"/>
          </a:pPr>
          <a:endParaRPr b="0" baseline="0" i="1" lang="en-GB" strike="noStrike" sz="800" u="none">
            <a:solidFill>
              <a:srgbClr val="000080"/>
            </a:solidFill>
            <a:latin typeface="Arial"/>
            <a:cs typeface="Arial"/>
          </a:endParaRPr>
        </a:p>
      </xdr:txBody>
    </xdr:sp>
    <xdr:clientData/>
  </xdr:twoCellAnchor>
  <xdr:twoCellAnchor>
    <xdr:from>
      <xdr:col>10</xdr:col>
      <xdr:colOff>125482</xdr:colOff>
      <xdr:row>21</xdr:row>
      <xdr:rowOff>61705</xdr:rowOff>
    </xdr:from>
    <xdr:to>
      <xdr:col>11</xdr:col>
      <xdr:colOff>1708702</xdr:colOff>
      <xdr:row>23</xdr:row>
      <xdr:rowOff>71231</xdr:rowOff>
    </xdr:to>
    <xdr:sp macro="" textlink="">
      <xdr:nvSpPr>
        <xdr:cNvPr id="49229" name="Text Box 77">
          <a:extLst>
            <a:ext uri="{FF2B5EF4-FFF2-40B4-BE49-F238E27FC236}">
              <a16:creationId xmlns:a16="http://schemas.microsoft.com/office/drawing/2014/main" id="{00000000-0008-0000-1200-00004DC00000}"/>
            </a:ext>
          </a:extLst>
        </xdr:cNvPr>
        <xdr:cNvSpPr txBox="1">
          <a:spLocks noChangeArrowheads="1"/>
        </xdr:cNvSpPr>
      </xdr:nvSpPr>
      <xdr:spPr bwMode="auto">
        <a:xfrm>
          <a:off x="7571547" y="3051727"/>
          <a:ext cx="2519155" cy="315982"/>
        </a:xfrm>
        <a:prstGeom prst="rect">
          <a:avLst/>
        </a:prstGeom>
        <a:solidFill>
          <a:srgbClr xmlns:a14="http://schemas.microsoft.com/office/drawing/2010/main" xmlns:mc="http://schemas.openxmlformats.org/markup-compatibility/2006" a14:legacySpreadsheetColorIndex="26" mc:Ignorable="a14" val="FFFFCC"/>
        </a:solidFill>
        <a:ln w="9525">
          <a:solidFill>
            <a:srgbClr xmlns:a14="http://schemas.microsoft.com/office/drawing/2010/main" xmlns:mc="http://schemas.openxmlformats.org/markup-compatibility/2006" a14:legacySpreadsheetColorIndex="38" mc:Ignorable="a14" val="008080"/>
          </a:solidFill>
          <a:miter lim="800000"/>
          <a:headEnd/>
          <a:tailEnd/>
        </a:ln>
        <a:effectLst/>
        <a:extLs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27432" tIns="22860" upright="1" vertOverflow="clip" wrap="square"/>
        <a:lstStyle/>
        <a:p>
          <a:pPr algn="ctr" rtl="0">
            <a:defRPr sz="1000"/>
          </a:pPr>
          <a:r>
            <a:rPr b="0" baseline="0" i="0" lang="en-GB" strike="noStrike" sz="800" u="none">
              <a:solidFill>
                <a:srgbClr val="008080"/>
              </a:solidFill>
              <a:latin typeface="Arial"/>
              <a:cs typeface="Arial"/>
            </a:rPr>
            <a:t>The background working sheets can be toggled on/off at any time.</a:t>
          </a:r>
        </a:p>
      </xdr:txBody>
    </xdr:sp>
    <xdr:clientData/>
  </xdr:twoCellAnchor>
  <xdr:twoCellAnchor>
    <xdr:from>
      <xdr:col>10</xdr:col>
      <xdr:colOff>123825</xdr:colOff>
      <xdr:row>7</xdr:row>
      <xdr:rowOff>200025</xdr:rowOff>
    </xdr:from>
    <xdr:to>
      <xdr:col>11</xdr:col>
      <xdr:colOff>457200</xdr:colOff>
      <xdr:row>20</xdr:row>
      <xdr:rowOff>0</xdr:rowOff>
    </xdr:to>
    <xdr:sp macro="" textlink="">
      <xdr:nvSpPr>
        <xdr:cNvPr id="49230" name="Text Box 78">
          <a:extLst>
            <a:ext uri="{FF2B5EF4-FFF2-40B4-BE49-F238E27FC236}">
              <a16:creationId xmlns:a16="http://schemas.microsoft.com/office/drawing/2014/main" id="{00000000-0008-0000-1200-00004EC00000}"/>
            </a:ext>
          </a:extLst>
        </xdr:cNvPr>
        <xdr:cNvSpPr txBox="1">
          <a:spLocks noChangeArrowheads="1"/>
        </xdr:cNvSpPr>
      </xdr:nvSpPr>
      <xdr:spPr bwMode="auto">
        <a:xfrm>
          <a:off x="7569890" y="1293329"/>
          <a:ext cx="1269310" cy="1613867"/>
        </a:xfrm>
        <a:prstGeom prst="rect">
          <a:avLst/>
        </a:prstGeom>
        <a:solidFill>
          <a:srgbClr xmlns:a14="http://schemas.microsoft.com/office/drawing/2010/main" xmlns:mc="http://schemas.openxmlformats.org/markup-compatibility/2006" a14:legacySpreadsheetColorIndex="26" mc:Ignorable="a14" val="FFFFCC"/>
        </a:solidFill>
        <a:ln w="9525">
          <a:solidFill>
            <a:srgbClr xmlns:a14="http://schemas.microsoft.com/office/drawing/2010/main" xmlns:mc="http://schemas.openxmlformats.org/markup-compatibility/2006" a14:legacySpreadsheetColorIndex="38" mc:Ignorable="a14" val="008080"/>
          </a:solidFill>
          <a:miter lim="800000"/>
          <a:headEnd/>
          <a:tailEnd/>
        </a:ln>
        <a:effectLst/>
        <a:extLs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1" baseline="0" i="0" lang="en-GB" strike="noStrike" sz="900" u="none">
              <a:solidFill>
                <a:srgbClr val="008080"/>
              </a:solidFill>
              <a:latin typeface="Arial"/>
              <a:cs typeface="Arial"/>
            </a:rPr>
            <a:t>Additional sheets.</a:t>
          </a:r>
          <a:endParaRPr b="0" baseline="0" i="0" lang="en-GB" strike="noStrike" sz="1000" u="none">
            <a:solidFill>
              <a:srgbClr val="008080"/>
            </a:solidFill>
            <a:latin typeface="Arial"/>
            <a:cs typeface="Arial"/>
          </a:endParaRPr>
        </a:p>
        <a:p>
          <a:pPr algn="l" rtl="0">
            <a:defRPr sz="1000"/>
          </a:pPr>
          <a:r>
            <a:rPr b="0" baseline="0" i="0" lang="en-GB" strike="noStrike" sz="800" u="none">
              <a:solidFill>
                <a:srgbClr val="008080"/>
              </a:solidFill>
              <a:latin typeface="Arial"/>
              <a:cs typeface="Arial"/>
            </a:rPr>
            <a:t>The tabs for the core return (INC1, INC2, REL1 &amp; REL2) are always visible. Tick the required additional information and additional pages to make additional tabs appear.</a:t>
          </a:r>
          <a:endParaRPr b="0" baseline="0" i="0" lang="en-GB" strike="noStrike" sz="900" u="none">
            <a:solidFill>
              <a:srgbClr val="008080"/>
            </a:solidFill>
            <a:latin typeface="Arial"/>
            <a:cs typeface="Arial"/>
          </a:endParaRPr>
        </a:p>
        <a:p>
          <a:pPr algn="l" rtl="0">
            <a:defRPr sz="1000"/>
          </a:pPr>
          <a:r>
            <a:rPr b="0" baseline="0" i="1" lang="en-GB" strike="noStrike" sz="800" u="none">
              <a:solidFill>
                <a:srgbClr val="008080"/>
              </a:solidFill>
              <a:latin typeface="Arial"/>
              <a:cs typeface="Arial"/>
            </a:rPr>
            <a:t>Note: When an additional sheet is removed (unticked) all data on that sheet is lost.</a:t>
          </a:r>
          <a:endParaRPr b="0" baseline="0" i="0" lang="en-GB" strike="noStrike" sz="900" u="none">
            <a:solidFill>
              <a:srgbClr val="000000"/>
            </a:solidFill>
            <a:latin typeface="Arial"/>
            <a:cs typeface="Arial"/>
          </a:endParaRPr>
        </a:p>
        <a:p>
          <a:pPr algn="l" rtl="0">
            <a:defRPr sz="1000"/>
          </a:pPr>
          <a:endParaRPr b="0" baseline="0" i="0" lang="en-GB" strike="noStrike" sz="900" u="none">
            <a:solidFill>
              <a:srgbClr val="000000"/>
            </a:solidFill>
            <a:latin typeface="Arial"/>
            <a:cs typeface="Arial"/>
          </a:endParaRPr>
        </a:p>
      </xdr:txBody>
    </xdr:sp>
    <xdr:clientData/>
  </xdr:twoCellAnchor>
  <xdr:twoCellAnchor>
    <xdr:from>
      <xdr:col>10</xdr:col>
      <xdr:colOff>151986</xdr:colOff>
      <xdr:row>25</xdr:row>
      <xdr:rowOff>161924</xdr:rowOff>
    </xdr:from>
    <xdr:to>
      <xdr:col>11</xdr:col>
      <xdr:colOff>1571211</xdr:colOff>
      <xdr:row>36</xdr:row>
      <xdr:rowOff>149086</xdr:rowOff>
    </xdr:to>
    <xdr:sp macro="" textlink="">
      <xdr:nvSpPr>
        <xdr:cNvPr id="42" name="Text Box 78">
          <a:extLst>
            <a:ext uri="{FF2B5EF4-FFF2-40B4-BE49-F238E27FC236}">
              <a16:creationId xmlns:a16="http://schemas.microsoft.com/office/drawing/2014/main" id="{00000000-0008-0000-1200-00002A000000}"/>
            </a:ext>
          </a:extLst>
        </xdr:cNvPr>
        <xdr:cNvSpPr txBox="1">
          <a:spLocks noChangeArrowheads="1"/>
        </xdr:cNvSpPr>
      </xdr:nvSpPr>
      <xdr:spPr bwMode="auto">
        <a:xfrm>
          <a:off x="7598051" y="3764859"/>
          <a:ext cx="2355160" cy="1643684"/>
        </a:xfrm>
        <a:prstGeom prst="rect">
          <a:avLst/>
        </a:prstGeom>
        <a:solidFill>
          <a:srgbClr xmlns:a14="http://schemas.microsoft.com/office/drawing/2010/main" xmlns:mc="http://schemas.openxmlformats.org/markup-compatibility/2006" a14:legacySpreadsheetColorIndex="26" mc:Ignorable="a14" val="FFFFCC"/>
        </a:solidFill>
        <a:ln w="9525">
          <a:solidFill>
            <a:srgbClr xmlns:a14="http://schemas.microsoft.com/office/drawing/2010/main" xmlns:mc="http://schemas.openxmlformats.org/markup-compatibility/2006" a14:legacySpreadsheetColorIndex="38" mc:Ignorable="a14" val="008080"/>
          </a:solidFill>
          <a:miter lim="800000"/>
          <a:headEnd/>
          <a:tailEnd/>
        </a:ln>
        <a:effectLst/>
        <a:extLs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1" baseline="0" i="0" lang="en-GB" strike="noStrike" sz="900" u="none">
              <a:solidFill>
                <a:srgbClr val="008080"/>
              </a:solidFill>
              <a:latin typeface="Arial"/>
              <a:cs typeface="Arial"/>
            </a:rPr>
            <a:t>Tax Calculation.</a:t>
          </a:r>
          <a:endParaRPr b="0" baseline="0" i="0" lang="en-GB" strike="noStrike" sz="1000" u="none">
            <a:solidFill>
              <a:srgbClr val="008080"/>
            </a:solidFill>
            <a:latin typeface="Arial"/>
            <a:cs typeface="Arial"/>
          </a:endParaRPr>
        </a:p>
        <a:p>
          <a:pPr algn="l" rtl="0">
            <a:defRPr sz="1000"/>
          </a:pPr>
          <a:r>
            <a:rPr b="0" baseline="0" i="0" lang="en-GB" strike="noStrike" sz="800" u="none">
              <a:solidFill>
                <a:srgbClr val="008080"/>
              </a:solidFill>
              <a:latin typeface="Arial"/>
              <a:ea typeface="+mn-ea"/>
              <a:cs typeface="Arial"/>
            </a:rPr>
            <a:t>This software is designed to provide an efficient means of calculating tax liability. For instance, deductions and allowances are given in a manner that produces the greatest reduction in the customer’s liability to income tax in the vast majority of cases. But each customer’s circumstances are different. Whilst every attempt is made to ensure the calculation is in the customer's favour it will not calculate determinately every customer’s individual liability. </a:t>
          </a:r>
        </a:p>
      </xdr:txBody>
    </xdr:sp>
    <xdr:clientData/>
  </xdr:twoCellAnchor>
  <xdr:twoCellAnchor>
    <xdr:from>
      <xdr:col>6</xdr:col>
      <xdr:colOff>0</xdr:colOff>
      <xdr:row>17</xdr:row>
      <xdr:rowOff>0</xdr:rowOff>
    </xdr:from>
    <xdr:to>
      <xdr:col>7</xdr:col>
      <xdr:colOff>219075</xdr:colOff>
      <xdr:row>19</xdr:row>
      <xdr:rowOff>9525</xdr:rowOff>
    </xdr:to>
    <xdr:sp macro="[0]!SA104_PS_Click" textlink="">
      <xdr:nvSpPr>
        <xdr:cNvPr id="48" name="Rectangle 46">
          <a:extLst>
            <a:ext uri="{FF2B5EF4-FFF2-40B4-BE49-F238E27FC236}">
              <a16:creationId xmlns:a16="http://schemas.microsoft.com/office/drawing/2014/main" id="{00000000-0008-0000-1200-000030000000}"/>
            </a:ext>
          </a:extLst>
        </xdr:cNvPr>
        <xdr:cNvSpPr>
          <a:spLocks noChangeArrowheads="1"/>
        </xdr:cNvSpPr>
      </xdr:nvSpPr>
      <xdr:spPr bwMode="auto">
        <a:xfrm>
          <a:off x="2943225" y="2638425"/>
          <a:ext cx="2209800" cy="219075"/>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w="3175">
              <a:solidFill>
                <a:srgbClr xmlns:mc="http://schemas.openxmlformats.org/markup-compatibility/2006" a14:legacySpreadsheetColorIndex="21" mc:Ignorable="a14" val="00808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defTabSz="914400" eaLnBrk="1" fontAlgn="auto" hangingPunct="1" indent="0" latinLnBrk="0" lvl="0" marL="0" marR="0" rtl="0">
            <a:lnSpc>
              <a:spcPct val="100000"/>
            </a:lnSpc>
            <a:spcBef>
              <a:spcPts val="0"/>
            </a:spcBef>
            <a:spcAft>
              <a:spcPts val="0"/>
            </a:spcAft>
            <a:buClrTx/>
            <a:buSzTx/>
            <a:buFontTx/>
            <a:buNone/>
            <a:tabLst/>
            <a:defRPr sz="1000"/>
          </a:pPr>
          <a:r>
            <a:rPr b="0" baseline="0" cap="none" i="0" kern="0" kumimoji="0" lang="en-GB" noProof="0" normalizeH="0" spc="0" strike="noStrike" sz="1000" u="none">
              <a:ln>
                <a:noFill/>
              </a:ln>
              <a:solidFill>
                <a:srgbClr val="000000"/>
              </a:solidFill>
              <a:effectLst/>
              <a:uLnTx/>
              <a:uFillTx/>
              <a:latin typeface="Arial"/>
              <a:cs typeface="Arial"/>
            </a:rPr>
            <a:t>National Insurance CL2 &amp; CL1 (NI)</a:t>
          </a:r>
        </a:p>
      </xdr:txBody>
    </xdr:sp>
    <xdr:clientData/>
  </xdr:twoCellAnchor>
  <mc:AlternateContent xmlns:mc="http://schemas.openxmlformats.org/markup-compatibility/2006">
    <mc:Choice xmlns:a14="http://schemas.microsoft.com/office/drawing/2010/main" Requires="a14">
      <xdr:twoCellAnchor editAs="oneCell">
        <xdr:from>
          <xdr:col>7</xdr:col>
          <xdr:colOff>66675</xdr:colOff>
          <xdr:row>16</xdr:row>
          <xdr:rowOff>123825</xdr:rowOff>
        </xdr:from>
        <xdr:to>
          <xdr:col>8</xdr:col>
          <xdr:colOff>38100</xdr:colOff>
          <xdr:row>18</xdr:row>
          <xdr:rowOff>57150</xdr:rowOff>
        </xdr:to>
        <xdr:sp macro="" textlink="">
          <xdr:nvSpPr>
            <xdr:cNvPr hidden="1" id="2" name="Check Box 76">
              <a:extLst>
                <a:ext uri="{63B3BB69-23CF-44E3-9099-C40C66FF867C}">
                  <a14:compatExt spid="_x0000_s49228"/>
                </a:ext>
                <a:ext uri="{FF2B5EF4-FFF2-40B4-BE49-F238E27FC236}">
                  <a16:creationId xmlns:a16="http://schemas.microsoft.com/office/drawing/2014/main" id="{00000000-0008-0000-1200-000002000000}"/>
                </a:ext>
              </a:extLst>
            </xdr:cNvPr>
            <xdr:cNvSpPr/>
          </xdr:nvSpPr>
          <xdr:spPr bwMode="auto">
            <a:xfrm>
              <a:off x="0" y="0"/>
              <a:ext cx="0" cy="0"/>
            </a:xfrm>
            <a:prstGeom prst="rect">
              <a:avLst/>
            </a:prstGeom>
            <a:noFill/>
            <a:ln>
              <a:noFill/>
            </a:ln>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2019300</xdr:colOff>
          <xdr:row>23</xdr:row>
          <xdr:rowOff>142875</xdr:rowOff>
        </xdr:from>
        <xdr:to>
          <xdr:col>6</xdr:col>
          <xdr:colOff>1200150</xdr:colOff>
          <xdr:row>25</xdr:row>
          <xdr:rowOff>161925</xdr:rowOff>
        </xdr:to>
        <xdr:sp macro="" textlink="">
          <xdr:nvSpPr>
            <xdr:cNvPr hidden="1" id="3" name="Button 78">
              <a:extLst>
                <a:ext uri="{63B3BB69-23CF-44E3-9099-C40C66FF867C}">
                  <a14:compatExt spid="_x0000_s49230"/>
                </a:ext>
                <a:ext uri="{FF2B5EF4-FFF2-40B4-BE49-F238E27FC236}">
                  <a16:creationId xmlns:a16="http://schemas.microsoft.com/office/drawing/2014/main" id="{00000000-0008-0000-1200-000003000000}"/>
                </a:ext>
              </a:extLst>
            </xdr:cNvPr>
            <xdr:cNvSpPr/>
          </xdr:nvSpPr>
          <xdr:spPr bwMode="auto">
            <a:xfrm>
              <a:off x="0" y="0"/>
              <a:ext cx="0" cy="0"/>
            </a:xfrm>
            <a:prstGeom prst="rect">
              <a:avLst/>
            </a:prstGeom>
            <a:noFill/>
            <a:ln w="9525">
              <a:miter lim="800000"/>
              <a:headEnd/>
              <a:tailEnd/>
            </a:ln>
          </xdr:spPr>
          <xdr:txBody>
            <a:bodyPr anchor="ctr" bIns="27432" lIns="36576" rIns="36576" tIns="27432" upright="1" vertOverflow="clip" wrap="square"/>
            <a:lstStyle/>
            <a:p>
              <a:pPr algn="ctr" rtl="0">
                <a:defRPr sz="1000"/>
              </a:pPr>
              <a:r>
                <a:rPr b="1" baseline="0" i="0" lang="en-US" strike="noStrike" sz="1400" u="none">
                  <a:solidFill>
                    <a:srgbClr val="800000"/>
                  </a:solidFill>
                  <a:latin typeface="Arial"/>
                  <a:cs typeface="Arial"/>
                </a:rPr>
                <a:t>Cyfrifwch Nawr</a:t>
              </a:r>
            </a:p>
          </xdr:txBody>
        </xdr:sp>
        <xdr:clientData fPrintsWithSheet="0"/>
      </xdr:twoCellAnchor>
    </mc:Choice>
    <mc:Fallback/>
  </mc:AlternateContent>
  <xdr:twoCellAnchor>
    <xdr:from>
      <xdr:col>7</xdr:col>
      <xdr:colOff>1</xdr:colOff>
      <xdr:row>26</xdr:row>
      <xdr:rowOff>4141</xdr:rowOff>
    </xdr:from>
    <xdr:to>
      <xdr:col>10</xdr:col>
      <xdr:colOff>1</xdr:colOff>
      <xdr:row>29</xdr:row>
      <xdr:rowOff>8282</xdr:rowOff>
    </xdr:to>
    <xdr:sp macro="" textlink="">
      <xdr:nvSpPr>
        <xdr:cNvPr id="45" name="Text Box 76">
          <a:extLst>
            <a:ext uri="{FF2B5EF4-FFF2-40B4-BE49-F238E27FC236}">
              <a16:creationId xmlns:a16="http://schemas.microsoft.com/office/drawing/2014/main" id="{00000000-0008-0000-1200-00002D000000}"/>
            </a:ext>
          </a:extLst>
        </xdr:cNvPr>
        <xdr:cNvSpPr txBox="1">
          <a:spLocks noChangeArrowheads="1"/>
        </xdr:cNvSpPr>
      </xdr:nvSpPr>
      <xdr:spPr bwMode="auto">
        <a:xfrm>
          <a:off x="4936436" y="3772728"/>
          <a:ext cx="2509630" cy="451402"/>
        </a:xfrm>
        <a:prstGeom prst="rect">
          <a:avLst/>
        </a:prstGeom>
        <a:solidFill>
          <a:srgbClr xmlns:a14="http://schemas.microsoft.com/office/drawing/2010/main" xmlns:mc="http://schemas.openxmlformats.org/markup-compatibility/2006" a14:legacySpreadsheetColorIndex="26" mc:Ignorable="a14" val="FFFFCC"/>
        </a:solidFill>
        <a:ln w="9525">
          <a:solidFill>
            <a:srgbClr xmlns:a14="http://schemas.microsoft.com/office/drawing/2010/main" xmlns:mc="http://schemas.openxmlformats.org/markup-compatibility/2006" a14:legacySpreadsheetColorIndex="38" mc:Ignorable="a14" val="008080"/>
          </a:solidFill>
          <a:miter lim="800000"/>
          <a:headEnd/>
          <a:tailEnd/>
        </a:ln>
        <a:effectLst/>
        <a:extLs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1" baseline="0" i="0" lang="en-GB" strike="noStrike" sz="900" u="none">
              <a:solidFill>
                <a:srgbClr val="008080"/>
              </a:solidFill>
              <a:latin typeface="Arial"/>
              <a:cs typeface="Arial"/>
            </a:rPr>
            <a:t>In-Year Calculation</a:t>
          </a:r>
          <a:endParaRPr b="0" baseline="0" i="0" lang="en-GB" strike="noStrike" sz="900" u="none">
            <a:solidFill>
              <a:srgbClr val="008080"/>
            </a:solidFill>
            <a:latin typeface="Arial"/>
            <a:cs typeface="Arial"/>
          </a:endParaRPr>
        </a:p>
        <a:p>
          <a:pPr algn="l" rtl="0">
            <a:defRPr sz="1000"/>
          </a:pPr>
          <a:r>
            <a:rPr b="0" baseline="0" i="0" lang="en-GB" strike="noStrike" sz="800" u="none">
              <a:solidFill>
                <a:srgbClr val="008080"/>
              </a:solidFill>
              <a:latin typeface="Arial"/>
              <a:cs typeface="Arial"/>
            </a:rPr>
            <a:t>If you are completing an in-year repayment calculation and you want to restrict the Personal Allowance tick the box below and enter the amount of PA in the box</a:t>
          </a:r>
          <a:endParaRPr b="0" baseline="0" i="1" lang="en-GB" strike="noStrike" sz="800" u="none">
            <a:solidFill>
              <a:srgbClr val="000080"/>
            </a:solidFill>
            <a:latin typeface="Arial"/>
            <a:cs typeface="Arial"/>
          </a:endParaRPr>
        </a:p>
        <a:p>
          <a:pPr algn="l" rtl="0">
            <a:defRPr sz="1000"/>
          </a:pPr>
          <a:endParaRPr b="0" baseline="0" i="1" lang="en-GB" strike="noStrike" sz="800" u="none">
            <a:solidFill>
              <a:srgbClr val="000080"/>
            </a:solidFill>
            <a:latin typeface="Arial"/>
            <a:cs typeface="Arial"/>
          </a:endParaRPr>
        </a:p>
      </xdr:txBody>
    </xdr:sp>
    <xdr:clientData/>
  </xdr:twoCellAnchor>
  <mc:AlternateContent xmlns:mc="http://schemas.openxmlformats.org/markup-compatibility/2006">
    <mc:Choice xmlns:a14="http://schemas.microsoft.com/office/drawing/2010/main" Requires="a14">
      <xdr:twoCellAnchor editAs="oneCell">
        <xdr:from>
          <xdr:col>7</xdr:col>
          <xdr:colOff>38100</xdr:colOff>
          <xdr:row>29</xdr:row>
          <xdr:rowOff>142875</xdr:rowOff>
        </xdr:from>
        <xdr:to>
          <xdr:col>8</xdr:col>
          <xdr:colOff>133350</xdr:colOff>
          <xdr:row>31</xdr:row>
          <xdr:rowOff>66675</xdr:rowOff>
        </xdr:to>
        <xdr:sp macro="" textlink="">
          <xdr:nvSpPr>
            <xdr:cNvPr hidden="1" id="49231" name="Check Box 79">
              <a:extLst>
                <a:ext uri="{63B3BB69-23CF-44E3-9099-C40C66FF867C}">
                  <a14:compatExt spid="_x0000_s49231"/>
                </a:ext>
                <a:ext uri="{FF2B5EF4-FFF2-40B4-BE49-F238E27FC236}">
                  <a16:creationId xmlns:a16="http://schemas.microsoft.com/office/drawing/2014/main" id="{00000000-0008-0000-1200-00004FC00000}"/>
                </a:ext>
              </a:extLst>
            </xdr:cNvPr>
            <xdr:cNvSpPr/>
          </xdr:nvSpPr>
          <xdr:spPr bwMode="auto">
            <a:xfrm>
              <a:off x="0" y="0"/>
              <a:ext cx="0" cy="0"/>
            </a:xfrm>
            <a:prstGeom prst="rect">
              <a:avLst/>
            </a:prstGeom>
            <a:noFill/>
            <a:ln>
              <a:noFill/>
            </a:ln>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Lst>
          </xdr:spPr>
        </xdr:sp>
        <xdr:clientData/>
      </xdr:twoCellAnchor>
    </mc:Choice>
    <mc:Fallback/>
  </mc:AlternateContent>
</xdr:wsDr>
</file>

<file path=xl/drawings/drawing8.xml><?xml version="1.0" encoding="utf-8"?>
<xdr:wsDr xmlns:a="http://schemas.openxmlformats.org/drawingml/2006/main" xmlns:xdr="http://schemas.openxmlformats.org/drawingml/2006/spreadsheetDrawing">
  <xdr:twoCellAnchor editAs="oneCell">
    <xdr:from>
      <xdr:col>1</xdr:col>
      <xdr:colOff>0</xdr:colOff>
      <xdr:row>0</xdr:row>
      <xdr:rowOff>0</xdr:rowOff>
    </xdr:from>
    <xdr:to>
      <xdr:col>3</xdr:col>
      <xdr:colOff>723900</xdr:colOff>
      <xdr:row>0</xdr:row>
      <xdr:rowOff>400050</xdr:rowOff>
    </xdr:to>
    <xdr:pic>
      <xdr:nvPicPr>
        <xdr:cNvPr id="3" name="Picture 4">
          <a:extLst>
            <a:ext uri="{FF2B5EF4-FFF2-40B4-BE49-F238E27FC236}">
              <a16:creationId xmlns:a16="http://schemas.microsoft.com/office/drawing/2014/main" id="{00000000-0008-0000-1400-000003000000}"/>
            </a:ext>
          </a:extLst>
        </xdr:cNvPr>
        <xdr:cNvPicPr>
          <a:picLocks noChangeArrowheads="1" noChangeAspect="1"/>
        </xdr:cNvPicPr>
      </xdr:nvPicPr>
      <xdr:blipFill>
        <a:blip xmlns:r="http://schemas.openxmlformats.org/officeDocument/2006/relationships" cstate="print" r:embed="rId1">
          <a:extLst>
            <a:ext uri="{28A0092B-C50C-407E-A947-70E740481C1C}">
              <a14:useLocalDpi xmlns:a14="http://schemas.microsoft.com/office/drawing/2010/main" val="0"/>
            </a:ext>
          </a:extLst>
        </a:blip>
        <a:srcRect/>
        <a:stretch>
          <a:fillRect/>
        </a:stretch>
      </xdr:blipFill>
      <xdr:spPr bwMode="auto">
        <a:xfrm>
          <a:off x="76200" y="0"/>
          <a:ext cx="154305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a="http://schemas.openxmlformats.org/drawingml/2006/main" xmlns:xdr="http://schemas.openxmlformats.org/drawingml/2006/spreadsheetDrawing">
  <mc:AlternateContent xmlns:mc="http://schemas.openxmlformats.org/markup-compatibility/2006">
    <mc:Choice xmlns:a14="http://schemas.microsoft.com/office/drawing/2010/main" Requires="a14">
      <xdr:twoCellAnchor editAs="oneCell">
        <xdr:from>
          <xdr:col>3</xdr:col>
          <xdr:colOff>0</xdr:colOff>
          <xdr:row>4</xdr:row>
          <xdr:rowOff>9525</xdr:rowOff>
        </xdr:from>
        <xdr:to>
          <xdr:col>6</xdr:col>
          <xdr:colOff>809625</xdr:colOff>
          <xdr:row>5</xdr:row>
          <xdr:rowOff>9525</xdr:rowOff>
        </xdr:to>
        <xdr:sp macro="" textlink="">
          <xdr:nvSpPr>
            <xdr:cNvPr hidden="1" id="40964" name="Drop Down 4">
              <a:extLst>
                <a:ext uri="{63B3BB69-23CF-44E3-9099-C40C66FF867C}">
                  <a14:compatExt spid="_x0000_s40964"/>
                </a:ext>
                <a:ext uri="{FF2B5EF4-FFF2-40B4-BE49-F238E27FC236}">
                  <a16:creationId xmlns:a16="http://schemas.microsoft.com/office/drawing/2014/main" id="{00000000-0008-0000-1C00-000004A00000}"/>
                </a:ext>
              </a:extLst>
            </xdr:cNvPr>
            <xdr:cNvSpPr/>
          </xdr:nvSpPr>
          <xdr:spPr bwMode="auto">
            <a:xfrm>
              <a:off x="0" y="0"/>
              <a:ext cx="0" cy="0"/>
            </a:xfrm>
            <a:prstGeom prst="rect">
              <a:avLst/>
            </a:prstGeom>
            <a:noFill/>
            <a:ln>
              <a:noFill/>
            </a:ln>
            <a:effectLst/>
            <a:extLst>
              <a:ext uri="{91240B29-F687-4F45-9708-019B960494DF}">
                <a14:hiddenLine w="317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xdr:row>
          <xdr:rowOff>0</xdr:rowOff>
        </xdr:from>
        <xdr:to>
          <xdr:col>3</xdr:col>
          <xdr:colOff>609600</xdr:colOff>
          <xdr:row>8</xdr:row>
          <xdr:rowOff>0</xdr:rowOff>
        </xdr:to>
        <xdr:sp macro="" textlink="">
          <xdr:nvSpPr>
            <xdr:cNvPr hidden="1" id="40971" name="Drop Down 11">
              <a:extLst>
                <a:ext uri="{63B3BB69-23CF-44E3-9099-C40C66FF867C}">
                  <a14:compatExt spid="_x0000_s40971"/>
                </a:ext>
                <a:ext uri="{FF2B5EF4-FFF2-40B4-BE49-F238E27FC236}">
                  <a16:creationId xmlns:a16="http://schemas.microsoft.com/office/drawing/2014/main" id="{00000000-0008-0000-1C00-00000BA0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xdr:wsDr>
</file>

<file path=xl/drawings/drawing10.xml><?xml version="1.0" encoding="utf-8"?>
<xdr:wsDr xmlns:a="http://schemas.openxmlformats.org/drawingml/2006/main" xmlns:xdr="http://schemas.openxmlformats.org/drawingml/2006/spreadsheetDrawing">
  <xdr:twoCellAnchor>
    <xdr:from>
      <xdr:col>3</xdr:col>
      <xdr:colOff>0</xdr:colOff>
      <xdr:row>2</xdr:row>
      <xdr:rowOff>123826</xdr:rowOff>
    </xdr:from>
    <xdr:to>
      <xdr:col>4</xdr:col>
      <xdr:colOff>371475</xdr:colOff>
      <xdr:row>4</xdr:row>
      <xdr:rowOff>28576</xdr:rowOff>
    </xdr:to>
    <xdr:sp macro="[0]!BPA_Click" textlink="">
      <xdr:nvSpPr>
        <xdr:cNvPr id="39940" name="Text Box 4">
          <a:extLst>
            <a:ext uri="{FF2B5EF4-FFF2-40B4-BE49-F238E27FC236}">
              <a16:creationId xmlns:a16="http://schemas.microsoft.com/office/drawing/2014/main" id="{00000000-0008-0000-1F00-0000049C0000}"/>
            </a:ext>
          </a:extLst>
        </xdr:cNvPr>
        <xdr:cNvSpPr txBox="1">
          <a:spLocks noChangeArrowheads="1"/>
        </xdr:cNvSpPr>
      </xdr:nvSpPr>
      <xdr:spPr bwMode="auto">
        <a:xfrm>
          <a:off x="1209675" y="428626"/>
          <a:ext cx="1285875" cy="209550"/>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algn="ctr" w="3175">
              <a:solidFill>
                <a:srgbClr xmlns:mc="http://schemas.openxmlformats.org/markup-compatibility/2006" a14:legacySpreadsheetColorIndex="21" mc:Ignorable="a14" val="00808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1000" u="none">
              <a:solidFill>
                <a:srgbClr val="000000"/>
              </a:solidFill>
              <a:latin typeface="Arial"/>
              <a:cs typeface="Arial"/>
            </a:rPr>
            <a:t>Registered blind</a:t>
          </a:r>
        </a:p>
      </xdr:txBody>
    </xdr:sp>
    <xdr:clientData/>
  </xdr:twoCellAnchor>
  <mc:AlternateContent xmlns:mc="http://schemas.openxmlformats.org/markup-compatibility/2006">
    <mc:Choice xmlns:a14="http://schemas.microsoft.com/office/drawing/2010/main" Requires="a14">
      <xdr:twoCellAnchor editAs="oneCell">
        <xdr:from>
          <xdr:col>2</xdr:col>
          <xdr:colOff>276225</xdr:colOff>
          <xdr:row>3</xdr:row>
          <xdr:rowOff>66675</xdr:rowOff>
        </xdr:from>
        <xdr:to>
          <xdr:col>3</xdr:col>
          <xdr:colOff>180975</xdr:colOff>
          <xdr:row>5</xdr:row>
          <xdr:rowOff>38100</xdr:rowOff>
        </xdr:to>
        <xdr:sp macro="" textlink="">
          <xdr:nvSpPr>
            <xdr:cNvPr hidden="1" id="39937" name="Check Box 1">
              <a:extLst>
                <a:ext uri="{63B3BB69-23CF-44E3-9099-C40C66FF867C}">
                  <a14:compatExt spid="_x0000_s39937"/>
                </a:ext>
                <a:ext uri="{FF2B5EF4-FFF2-40B4-BE49-F238E27FC236}">
                  <a16:creationId xmlns:a16="http://schemas.microsoft.com/office/drawing/2014/main" id="{00000000-0008-0000-1F00-0000019C0000}"/>
                </a:ext>
              </a:extLst>
            </xdr:cNvPr>
            <xdr:cNvSpPr/>
          </xdr:nvSpPr>
          <xdr:spPr bwMode="auto">
            <a:xfrm>
              <a:off x="0" y="0"/>
              <a:ext cx="0" cy="0"/>
            </a:xfrm>
            <a:prstGeom prst="rect">
              <a:avLst/>
            </a:prstGeom>
            <a:noFill/>
            <a:ln>
              <a:noFill/>
            </a:ln>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Lst>
          </xdr:spPr>
        </xdr:sp>
        <xdr:clientData/>
      </xdr:twoCellAnchor>
    </mc:Choice>
    <mc:Fallback/>
  </mc:AlternateContent>
  <xdr:twoCellAnchor>
    <xdr:from>
      <xdr:col>3</xdr:col>
      <xdr:colOff>9525</xdr:colOff>
      <xdr:row>9</xdr:row>
      <xdr:rowOff>133350</xdr:rowOff>
    </xdr:from>
    <xdr:to>
      <xdr:col>5</xdr:col>
      <xdr:colOff>0</xdr:colOff>
      <xdr:row>11</xdr:row>
      <xdr:rowOff>85725</xdr:rowOff>
    </xdr:to>
    <xdr:sp macro="[0]!SL_Click" textlink="">
      <xdr:nvSpPr>
        <xdr:cNvPr id="39941" name="Text Box 5">
          <a:extLst>
            <a:ext uri="{FF2B5EF4-FFF2-40B4-BE49-F238E27FC236}">
              <a16:creationId xmlns:a16="http://schemas.microsoft.com/office/drawing/2014/main" id="{00000000-0008-0000-1F00-0000059C0000}"/>
            </a:ext>
          </a:extLst>
        </xdr:cNvPr>
        <xdr:cNvSpPr txBox="1">
          <a:spLocks noChangeArrowheads="1"/>
        </xdr:cNvSpPr>
      </xdr:nvSpPr>
      <xdr:spPr bwMode="auto">
        <a:xfrm>
          <a:off x="1219200" y="2571750"/>
          <a:ext cx="1419225" cy="257175"/>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algn="ctr" w="3175">
              <a:solidFill>
                <a:srgbClr xmlns:mc="http://schemas.openxmlformats.org/markup-compatibility/2006" a14:legacySpreadsheetColorIndex="21" mc:Ignorable="a14" val="00808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1000" u="none">
              <a:solidFill>
                <a:srgbClr val="000000"/>
              </a:solidFill>
              <a:latin typeface="Arial"/>
              <a:cs typeface="Arial"/>
            </a:rPr>
            <a:t>Student Loan Payer</a:t>
          </a:r>
        </a:p>
      </xdr:txBody>
    </xdr:sp>
    <xdr:clientData/>
  </xdr:twoCellAnchor>
  <mc:AlternateContent xmlns:mc="http://schemas.openxmlformats.org/markup-compatibility/2006">
    <mc:Choice xmlns:a14="http://schemas.microsoft.com/office/drawing/2010/main" Requires="a14">
      <xdr:twoCellAnchor editAs="oneCell">
        <xdr:from>
          <xdr:col>2</xdr:col>
          <xdr:colOff>266700</xdr:colOff>
          <xdr:row>31</xdr:row>
          <xdr:rowOff>66675</xdr:rowOff>
        </xdr:from>
        <xdr:to>
          <xdr:col>3</xdr:col>
          <xdr:colOff>171450</xdr:colOff>
          <xdr:row>33</xdr:row>
          <xdr:rowOff>38100</xdr:rowOff>
        </xdr:to>
        <xdr:sp macro="" textlink="">
          <xdr:nvSpPr>
            <xdr:cNvPr hidden="1" id="39943" name="Check Box 7">
              <a:extLst>
                <a:ext uri="{63B3BB69-23CF-44E3-9099-C40C66FF867C}">
                  <a14:compatExt spid="_x0000_s39943"/>
                </a:ext>
                <a:ext uri="{FF2B5EF4-FFF2-40B4-BE49-F238E27FC236}">
                  <a16:creationId xmlns:a16="http://schemas.microsoft.com/office/drawing/2014/main" id="{00000000-0008-0000-1F00-0000079C0000}"/>
                </a:ext>
              </a:extLst>
            </xdr:cNvPr>
            <xdr:cNvSpPr/>
          </xdr:nvSpPr>
          <xdr:spPr bwMode="auto">
            <a:xfrm>
              <a:off x="0" y="0"/>
              <a:ext cx="0" cy="0"/>
            </a:xfrm>
            <a:prstGeom prst="rect">
              <a:avLst/>
            </a:prstGeom>
            <a:noFill/>
            <a:ln>
              <a:noFill/>
            </a:ln>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37</xdr:row>
          <xdr:rowOff>66675</xdr:rowOff>
        </xdr:from>
        <xdr:to>
          <xdr:col>3</xdr:col>
          <xdr:colOff>171450</xdr:colOff>
          <xdr:row>39</xdr:row>
          <xdr:rowOff>38100</xdr:rowOff>
        </xdr:to>
        <xdr:sp macro="" textlink="">
          <xdr:nvSpPr>
            <xdr:cNvPr hidden="1" id="39946" name="Check Box 10">
              <a:extLst>
                <a:ext uri="{63B3BB69-23CF-44E3-9099-C40C66FF867C}">
                  <a14:compatExt spid="_x0000_s39946"/>
                </a:ext>
                <a:ext uri="{FF2B5EF4-FFF2-40B4-BE49-F238E27FC236}">
                  <a16:creationId xmlns:a16="http://schemas.microsoft.com/office/drawing/2014/main" id="{00000000-0008-0000-1F00-00000A9C0000}"/>
                </a:ext>
              </a:extLst>
            </xdr:cNvPr>
            <xdr:cNvSpPr/>
          </xdr:nvSpPr>
          <xdr:spPr bwMode="auto">
            <a:xfrm>
              <a:off x="0" y="0"/>
              <a:ext cx="0" cy="0"/>
            </a:xfrm>
            <a:prstGeom prst="rect">
              <a:avLst/>
            </a:prstGeom>
            <a:noFill/>
            <a:ln>
              <a:noFill/>
            </a:ln>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37</xdr:row>
          <xdr:rowOff>66675</xdr:rowOff>
        </xdr:from>
        <xdr:to>
          <xdr:col>7</xdr:col>
          <xdr:colOff>171450</xdr:colOff>
          <xdr:row>39</xdr:row>
          <xdr:rowOff>38100</xdr:rowOff>
        </xdr:to>
        <xdr:sp macro="" textlink="">
          <xdr:nvSpPr>
            <xdr:cNvPr hidden="1" id="39947" name="Check Box 11">
              <a:extLst>
                <a:ext uri="{63B3BB69-23CF-44E3-9099-C40C66FF867C}">
                  <a14:compatExt spid="_x0000_s39947"/>
                </a:ext>
                <a:ext uri="{FF2B5EF4-FFF2-40B4-BE49-F238E27FC236}">
                  <a16:creationId xmlns:a16="http://schemas.microsoft.com/office/drawing/2014/main" id="{00000000-0008-0000-1F00-00000B9C0000}"/>
                </a:ext>
              </a:extLst>
            </xdr:cNvPr>
            <xdr:cNvSpPr/>
          </xdr:nvSpPr>
          <xdr:spPr bwMode="auto">
            <a:xfrm>
              <a:off x="0" y="0"/>
              <a:ext cx="0" cy="0"/>
            </a:xfrm>
            <a:prstGeom prst="rect">
              <a:avLst/>
            </a:prstGeom>
            <a:noFill/>
            <a:ln>
              <a:noFill/>
            </a:ln>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xdr:row>
          <xdr:rowOff>28575</xdr:rowOff>
        </xdr:from>
        <xdr:to>
          <xdr:col>3</xdr:col>
          <xdr:colOff>409575</xdr:colOff>
          <xdr:row>14</xdr:row>
          <xdr:rowOff>66675</xdr:rowOff>
        </xdr:to>
        <xdr:sp macro="" textlink="">
          <xdr:nvSpPr>
            <xdr:cNvPr hidden="1" id="39949" name="Drop Down 13">
              <a:extLst>
                <a:ext uri="{63B3BB69-23CF-44E3-9099-C40C66FF867C}">
                  <a14:compatExt spid="_x0000_s39949"/>
                </a:ext>
                <a:ext uri="{FF2B5EF4-FFF2-40B4-BE49-F238E27FC236}">
                  <a16:creationId xmlns:a16="http://schemas.microsoft.com/office/drawing/2014/main" id="{00000000-0008-0000-1F00-00000D9C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276225</xdr:colOff>
          <xdr:row>10</xdr:row>
          <xdr:rowOff>95250</xdr:rowOff>
        </xdr:from>
        <xdr:to>
          <xdr:col>3</xdr:col>
          <xdr:colOff>180975</xdr:colOff>
          <xdr:row>12</xdr:row>
          <xdr:rowOff>9525</xdr:rowOff>
        </xdr:to>
        <xdr:sp macro="" textlink="">
          <xdr:nvSpPr>
            <xdr:cNvPr hidden="1" id="39952" name="Check Box 16">
              <a:extLst>
                <a:ext uri="{63B3BB69-23CF-44E3-9099-C40C66FF867C}">
                  <a14:compatExt spid="_x0000_s39952"/>
                </a:ext>
                <a:ext uri="{FF2B5EF4-FFF2-40B4-BE49-F238E27FC236}">
                  <a16:creationId xmlns:a16="http://schemas.microsoft.com/office/drawing/2014/main" id="{00000000-0008-0000-1F00-0000109C0000}"/>
                </a:ext>
              </a:extLst>
            </xdr:cNvPr>
            <xdr:cNvSpPr/>
          </xdr:nvSpPr>
          <xdr:spPr bwMode="auto">
            <a:xfrm>
              <a:off x="0" y="0"/>
              <a:ext cx="0" cy="0"/>
            </a:xfrm>
            <a:prstGeom prst="rect">
              <a:avLst/>
            </a:prstGeom>
            <a:noFill/>
            <a:ln>
              <a:noFill/>
            </a:ln>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17</xdr:row>
          <xdr:rowOff>28575</xdr:rowOff>
        </xdr:from>
        <xdr:to>
          <xdr:col>3</xdr:col>
          <xdr:colOff>419100</xdr:colOff>
          <xdr:row>18</xdr:row>
          <xdr:rowOff>66675</xdr:rowOff>
        </xdr:to>
        <xdr:sp macro="" textlink="">
          <xdr:nvSpPr>
            <xdr:cNvPr hidden="1" id="39961" name="Drop Down 25">
              <a:extLst>
                <a:ext uri="{63B3BB69-23CF-44E3-9099-C40C66FF867C}">
                  <a14:compatExt spid="_x0000_s39961"/>
                </a:ext>
                <a:ext uri="{FF2B5EF4-FFF2-40B4-BE49-F238E27FC236}">
                  <a16:creationId xmlns:a16="http://schemas.microsoft.com/office/drawing/2014/main" id="{00000000-0008-0000-1F00-0000199C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xdr:wsDr>
</file>

<file path=xl/drawings/drawing11.xml><?xml version="1.0" encoding="utf-8"?>
<xdr:wsDr xmlns:a="http://schemas.openxmlformats.org/drawingml/2006/main" xmlns:xdr="http://schemas.openxmlformats.org/drawingml/2006/spreadsheetDrawing">
  <mc:AlternateContent xmlns:mc="http://schemas.openxmlformats.org/markup-compatibility/2006">
    <mc:Choice xmlns:a14="http://schemas.microsoft.com/office/drawing/2010/main" Requires="a14">
      <xdr:twoCellAnchor>
        <xdr:from>
          <xdr:col>8</xdr:col>
          <xdr:colOff>485775</xdr:colOff>
          <xdr:row>11</xdr:row>
          <xdr:rowOff>76200</xdr:rowOff>
        </xdr:from>
        <xdr:to>
          <xdr:col>9</xdr:col>
          <xdr:colOff>19050</xdr:colOff>
          <xdr:row>13</xdr:row>
          <xdr:rowOff>47625</xdr:rowOff>
        </xdr:to>
        <xdr:sp macro="" textlink="">
          <xdr:nvSpPr>
            <xdr:cNvPr hidden="1" id="25601" name="Button 1">
              <a:extLst>
                <a:ext uri="{63B3BB69-23CF-44E3-9099-C40C66FF867C}">
                  <a14:compatExt spid="_x0000_s25601"/>
                </a:ext>
                <a:ext uri="{FF2B5EF4-FFF2-40B4-BE49-F238E27FC236}">
                  <a16:creationId xmlns:a16="http://schemas.microsoft.com/office/drawing/2014/main" id="{00000000-0008-0000-2000-000001640000}"/>
                </a:ext>
              </a:extLst>
            </xdr:cNvPr>
            <xdr:cNvSpPr/>
          </xdr:nvSpPr>
          <xdr:spPr bwMode="auto">
            <a:xfrm>
              <a:off x="0" y="0"/>
              <a:ext cx="0" cy="0"/>
            </a:xfrm>
            <a:prstGeom prst="rect">
              <a:avLst/>
            </a:prstGeom>
            <a:noFill/>
            <a:ln w="9525">
              <a:miter lim="800000"/>
              <a:headEnd/>
              <a:tailEnd/>
            </a:ln>
          </xdr:spPr>
          <xdr:txBody>
            <a:bodyPr anchor="ctr" bIns="27432" lIns="36576" rIns="36576" tIns="27432" upright="1" vertOverflow="clip" wrap="square"/>
            <a:lstStyle/>
            <a:p>
              <a:pPr algn="ctr" rtl="0">
                <a:defRPr sz="1000"/>
              </a:pPr>
              <a:r>
                <a:rPr b="1" baseline="0" i="0" lang="en-US" strike="noStrike" sz="1200" u="none">
                  <a:solidFill>
                    <a:srgbClr val="008000"/>
                  </a:solidFill>
                  <a:latin typeface="Arial"/>
                  <a:cs typeface="Arial"/>
                </a:rPr>
                <a:t>Multiple Gains</a:t>
              </a:r>
            </a:p>
          </xdr:txBody>
        </xdr:sp>
        <xdr:clientData fPrintsWithSheet="0"/>
      </xdr:twoCellAnchor>
    </mc:Choice>
    <mc:Fallback/>
  </mc:AlternateContent>
  <xdr:twoCellAnchor>
    <xdr:from>
      <xdr:col>10</xdr:col>
      <xdr:colOff>38100</xdr:colOff>
      <xdr:row>11</xdr:row>
      <xdr:rowOff>85725</xdr:rowOff>
    </xdr:from>
    <xdr:to>
      <xdr:col>11</xdr:col>
      <xdr:colOff>1057275</xdr:colOff>
      <xdr:row>21</xdr:row>
      <xdr:rowOff>95250</xdr:rowOff>
    </xdr:to>
    <xdr:sp macro="" textlink="">
      <xdr:nvSpPr>
        <xdr:cNvPr id="25603" name="Text Box 3">
          <a:extLst>
            <a:ext uri="{FF2B5EF4-FFF2-40B4-BE49-F238E27FC236}">
              <a16:creationId xmlns:a16="http://schemas.microsoft.com/office/drawing/2014/main" id="{00000000-0008-0000-2000-000003640000}"/>
            </a:ext>
          </a:extLst>
        </xdr:cNvPr>
        <xdr:cNvSpPr txBox="1">
          <a:spLocks noChangeArrowheads="1"/>
        </xdr:cNvSpPr>
      </xdr:nvSpPr>
      <xdr:spPr bwMode="auto">
        <a:xfrm>
          <a:off x="6858000" y="1581150"/>
          <a:ext cx="1133475" cy="1381125"/>
        </a:xfrm>
        <a:prstGeom prst="rect">
          <a:avLst/>
        </a:prstGeom>
        <a:solidFill>
          <a:srgbClr xmlns:a14="http://schemas.microsoft.com/office/drawing/2010/main" xmlns:mc="http://schemas.openxmlformats.org/markup-compatibility/2006" a14:legacySpreadsheetColorIndex="26" mc:Ignorable="a14" val="FFFFCC"/>
        </a:solidFill>
        <a:ln w="9525">
          <a:solidFill>
            <a:srgbClr xmlns:a14="http://schemas.microsoft.com/office/drawing/2010/main" xmlns:mc="http://schemas.openxmlformats.org/markup-compatibility/2006" a14:legacySpreadsheetColorIndex="38" mc:Ignorable="a14" val="008080"/>
          </a:solidFill>
          <a:miter lim="800000"/>
          <a:headEnd/>
          <a:tailEnd/>
        </a:ln>
        <a:effectLst/>
        <a:extLs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1" baseline="0" i="0" lang="en-GB" strike="noStrike" sz="900" u="none">
              <a:solidFill>
                <a:srgbClr val="000000"/>
              </a:solidFill>
              <a:latin typeface="Arial"/>
              <a:cs typeface="Arial"/>
            </a:rPr>
            <a:t>Gains on UK life policies </a:t>
          </a:r>
          <a:endParaRPr b="0" baseline="0" i="0" lang="en-GB" strike="noStrike" sz="900" u="none">
            <a:solidFill>
              <a:srgbClr val="000000"/>
            </a:solidFill>
            <a:latin typeface="Arial"/>
            <a:cs typeface="Arial"/>
          </a:endParaRPr>
        </a:p>
        <a:p>
          <a:pPr algn="l" rtl="0">
            <a:defRPr sz="1000"/>
          </a:pPr>
          <a:r>
            <a:rPr b="0" baseline="0" i="0" lang="en-GB" strike="noStrike" sz="800" u="none">
              <a:solidFill>
                <a:srgbClr val="000000"/>
              </a:solidFill>
              <a:latin typeface="Arial"/>
              <a:cs typeface="Arial"/>
            </a:rPr>
            <a:t>Enter a single gain in boxes 4 &amp; 5 (or 6 &amp; 7, or 8, 9, &amp; 10).</a:t>
          </a:r>
        </a:p>
        <a:p>
          <a:pPr algn="l" rtl="0">
            <a:defRPr sz="1000"/>
          </a:pPr>
          <a:r>
            <a:rPr b="0" baseline="0" i="0" lang="en-GB" strike="noStrike" sz="800" u="none">
              <a:solidFill>
                <a:srgbClr val="000000"/>
              </a:solidFill>
              <a:latin typeface="Arial"/>
              <a:cs typeface="Arial"/>
            </a:rPr>
            <a:t>When there is more than one  leave these boxes blank and click 'multiple gains'.</a:t>
          </a:r>
        </a:p>
      </xdr:txBody>
    </xdr:sp>
    <xdr:clientData/>
  </xdr:twoCellAnchor>
</xdr:wsDr>
</file>

<file path=xl/drawings/drawing12.xml><?xml version="1.0" encoding="utf-8"?>
<xdr:wsDr xmlns:a="http://schemas.openxmlformats.org/drawingml/2006/main" xmlns:xdr="http://schemas.openxmlformats.org/drawingml/2006/spreadsheetDrawing">
  <mc:AlternateContent xmlns:mc="http://schemas.openxmlformats.org/markup-compatibility/2006">
    <mc:Choice xmlns:a14="http://schemas.microsoft.com/office/drawing/2010/main" Requires="a14">
      <xdr:twoCellAnchor>
        <xdr:from>
          <xdr:col>3</xdr:col>
          <xdr:colOff>200025</xdr:colOff>
          <xdr:row>22</xdr:row>
          <xdr:rowOff>142875</xdr:rowOff>
        </xdr:from>
        <xdr:to>
          <xdr:col>7</xdr:col>
          <xdr:colOff>38100</xdr:colOff>
          <xdr:row>24</xdr:row>
          <xdr:rowOff>152400</xdr:rowOff>
        </xdr:to>
        <xdr:sp macro="" textlink="">
          <xdr:nvSpPr>
            <xdr:cNvPr hidden="1" id="26625" name="Button 1">
              <a:extLst>
                <a:ext uri="{63B3BB69-23CF-44E3-9099-C40C66FF867C}">
                  <a14:compatExt spid="_x0000_s26625"/>
                </a:ext>
                <a:ext uri="{FF2B5EF4-FFF2-40B4-BE49-F238E27FC236}">
                  <a16:creationId xmlns:a16="http://schemas.microsoft.com/office/drawing/2014/main" id="{00000000-0008-0000-2100-000001680000}"/>
                </a:ext>
              </a:extLst>
            </xdr:cNvPr>
            <xdr:cNvSpPr/>
          </xdr:nvSpPr>
          <xdr:spPr bwMode="auto">
            <a:xfrm>
              <a:off x="0" y="0"/>
              <a:ext cx="0" cy="0"/>
            </a:xfrm>
            <a:prstGeom prst="rect">
              <a:avLst/>
            </a:prstGeom>
            <a:noFill/>
            <a:ln w="9525">
              <a:miter lim="800000"/>
              <a:headEnd/>
              <a:tailEnd/>
            </a:ln>
          </xdr:spPr>
          <xdr:txBody>
            <a:bodyPr anchor="ctr" bIns="27432" lIns="36576" rIns="36576" tIns="27432" upright="1" vertOverflow="clip" wrap="square"/>
            <a:lstStyle/>
            <a:p>
              <a:pPr algn="ctr" rtl="0">
                <a:defRPr sz="1000"/>
              </a:pPr>
              <a:r>
                <a:rPr b="1" baseline="0" i="0" lang="en-US" strike="noStrike" sz="1200" u="none">
                  <a:solidFill>
                    <a:srgbClr val="008000"/>
                  </a:solidFill>
                  <a:latin typeface="Arial"/>
                  <a:cs typeface="Arial"/>
                </a:rPr>
                <a:t>Update life insurance gains</a:t>
              </a:r>
            </a:p>
          </xdr:txBody>
        </xdr:sp>
        <xdr:clientData fPrintsWithSheet="0"/>
      </xdr:twoCellAnchor>
    </mc:Choice>
    <mc:Fallback/>
  </mc:AlternateContent>
  <xdr:twoCellAnchor>
    <xdr:from>
      <xdr:col>2</xdr:col>
      <xdr:colOff>57150</xdr:colOff>
      <xdr:row>23</xdr:row>
      <xdr:rowOff>152400</xdr:rowOff>
    </xdr:from>
    <xdr:to>
      <xdr:col>3</xdr:col>
      <xdr:colOff>190500</xdr:colOff>
      <xdr:row>23</xdr:row>
      <xdr:rowOff>152400</xdr:rowOff>
    </xdr:to>
    <xdr:sp macro="" textlink="">
      <xdr:nvSpPr>
        <xdr:cNvPr id="26626" name="Line 2">
          <a:extLst>
            <a:ext uri="{FF2B5EF4-FFF2-40B4-BE49-F238E27FC236}">
              <a16:creationId xmlns:a16="http://schemas.microsoft.com/office/drawing/2014/main" id="{00000000-0008-0000-2100-000002680000}"/>
            </a:ext>
          </a:extLst>
        </xdr:cNvPr>
        <xdr:cNvSpPr>
          <a:spLocks noChangeShapeType="1"/>
        </xdr:cNvSpPr>
      </xdr:nvSpPr>
      <xdr:spPr bwMode="auto">
        <a:xfrm>
          <a:off x="1533525" y="3829050"/>
          <a:ext cx="552450" cy="0"/>
        </a:xfrm>
        <a:prstGeom prst="line">
          <a:avLst/>
        </a:prstGeom>
        <a:noFill/>
        <a:ln w="9525">
          <a:solidFill>
            <a:srgbClr xmlns:a14="http://schemas.microsoft.com/office/drawing/2010/main" xmlns:mc="http://schemas.openxmlformats.org/markup-compatibility/2006" a14:legacySpreadsheetColorIndex="64" mc:Ignorable="a14" val="000000"/>
          </a:solidFill>
          <a:round/>
          <a:headEnd/>
          <a:tailEnd len="med" type="triangle" w="med"/>
        </a:ln>
        <a:extLst>
          <a:ext uri="{909E8E84-426E-40DD-AFC4-6F175D3DCCD1}">
            <a14:hiddenFill xmlns:a14="http://schemas.microsoft.com/office/drawing/2010/main">
              <a:noFill/>
            </a14:hiddenFill>
          </a:ext>
        </a:extLst>
      </xdr:spPr>
    </xdr:sp>
    <xdr:clientData/>
  </xdr:twoCellAnchor>
</xdr:wsDr>
</file>

<file path=xl/drawings/drawing13.xml><?xml version="1.0" encoding="utf-8"?>
<xdr:wsDr xmlns:a="http://schemas.openxmlformats.org/drawingml/2006/main" xmlns:xdr="http://schemas.openxmlformats.org/drawingml/2006/spreadsheetDrawing">
  <mc:AlternateContent xmlns:mc="http://schemas.openxmlformats.org/markup-compatibility/2006">
    <mc:Choice xmlns:a14="http://schemas.microsoft.com/office/drawing/2010/main" Requires="a14">
      <xdr:twoCellAnchor editAs="oneCell">
        <xdr:from>
          <xdr:col>3</xdr:col>
          <xdr:colOff>9525</xdr:colOff>
          <xdr:row>4</xdr:row>
          <xdr:rowOff>0</xdr:rowOff>
        </xdr:from>
        <xdr:to>
          <xdr:col>4</xdr:col>
          <xdr:colOff>1704975</xdr:colOff>
          <xdr:row>5</xdr:row>
          <xdr:rowOff>47625</xdr:rowOff>
        </xdr:to>
        <xdr:sp macro="" textlink="">
          <xdr:nvSpPr>
            <xdr:cNvPr descr="MCA Claim" hidden="1" id="50177" name="Drop Down 1">
              <a:extLst>
                <a:ext uri="{63B3BB69-23CF-44E3-9099-C40C66FF867C}">
                  <a14:compatExt spid="_x0000_s50177"/>
                </a:ext>
                <a:ext uri="{FF2B5EF4-FFF2-40B4-BE49-F238E27FC236}">
                  <a16:creationId xmlns:a16="http://schemas.microsoft.com/office/drawing/2014/main" id="{00000000-0008-0000-2400-000001C40000}"/>
                </a:ext>
              </a:extLst>
            </xdr:cNvPr>
            <xdr:cNvSpPr/>
          </xdr:nvSpPr>
          <xdr:spPr bwMode="auto">
            <a:xfrm>
              <a:off x="0" y="0"/>
              <a:ext cx="0" cy="0"/>
            </a:xfrm>
            <a:prstGeom prst="rect">
              <a:avLst/>
            </a:prstGeom>
            <a:noFill/>
            <a:ln>
              <a:noFill/>
            </a:ln>
            <a:effectLst/>
            <a:extLst>
              <a:ext uri="{91240B29-F687-4F45-9708-019B960494DF}">
                <a14:hiddenLine w="317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xdr:row>
          <xdr:rowOff>0</xdr:rowOff>
        </xdr:from>
        <xdr:to>
          <xdr:col>4</xdr:col>
          <xdr:colOff>1695450</xdr:colOff>
          <xdr:row>9</xdr:row>
          <xdr:rowOff>47625</xdr:rowOff>
        </xdr:to>
        <xdr:sp macro="" textlink="">
          <xdr:nvSpPr>
            <xdr:cNvPr descr="Date of birth of older spouse" hidden="1" id="50178" name="Drop Down 2">
              <a:extLst>
                <a:ext uri="{63B3BB69-23CF-44E3-9099-C40C66FF867C}">
                  <a14:compatExt spid="_x0000_s50178"/>
                </a:ext>
                <a:ext uri="{FF2B5EF4-FFF2-40B4-BE49-F238E27FC236}">
                  <a16:creationId xmlns:a16="http://schemas.microsoft.com/office/drawing/2014/main" id="{00000000-0008-0000-2400-000002C40000}"/>
                </a:ext>
              </a:extLst>
            </xdr:cNvPr>
            <xdr:cNvSpPr/>
          </xdr:nvSpPr>
          <xdr:spPr bwMode="auto">
            <a:xfrm>
              <a:off x="0" y="0"/>
              <a:ext cx="0" cy="0"/>
            </a:xfrm>
            <a:prstGeom prst="rect">
              <a:avLst/>
            </a:prstGeom>
            <a:noFill/>
            <a:ln>
              <a:noFill/>
            </a:ln>
            <a:effectLst/>
            <a:extLst>
              <a:ext uri="{91240B29-F687-4F45-9708-019B960494DF}">
                <a14:hiddenLine w="317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xdr:row>
          <xdr:rowOff>9525</xdr:rowOff>
        </xdr:from>
        <xdr:to>
          <xdr:col>4</xdr:col>
          <xdr:colOff>1695450</xdr:colOff>
          <xdr:row>13</xdr:row>
          <xdr:rowOff>57150</xdr:rowOff>
        </xdr:to>
        <xdr:sp macro="" textlink="">
          <xdr:nvSpPr>
            <xdr:cNvPr descr="Amount allocated to lower income partner " hidden="1" id="50179" name="Drop Down 3">
              <a:extLst>
                <a:ext uri="{63B3BB69-23CF-44E3-9099-C40C66FF867C}">
                  <a14:compatExt spid="_x0000_s50179"/>
                </a:ext>
                <a:ext uri="{FF2B5EF4-FFF2-40B4-BE49-F238E27FC236}">
                  <a16:creationId xmlns:a16="http://schemas.microsoft.com/office/drawing/2014/main" id="{00000000-0008-0000-2400-000003C40000}"/>
                </a:ext>
              </a:extLst>
            </xdr:cNvPr>
            <xdr:cNvSpPr/>
          </xdr:nvSpPr>
          <xdr:spPr bwMode="auto">
            <a:xfrm>
              <a:off x="0" y="0"/>
              <a:ext cx="0" cy="0"/>
            </a:xfrm>
            <a:prstGeom prst="rect">
              <a:avLst/>
            </a:prstGeom>
            <a:noFill/>
            <a:ln>
              <a:noFill/>
            </a:ln>
            <a:effectLst/>
            <a:extLst>
              <a:ext uri="{91240B29-F687-4F45-9708-019B960494DF}">
                <a14:hiddenLine w="317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16</xdr:row>
          <xdr:rowOff>9525</xdr:rowOff>
        </xdr:from>
        <xdr:to>
          <xdr:col>4</xdr:col>
          <xdr:colOff>1704975</xdr:colOff>
          <xdr:row>17</xdr:row>
          <xdr:rowOff>57150</xdr:rowOff>
        </xdr:to>
        <xdr:sp macro="" textlink="">
          <xdr:nvSpPr>
            <xdr:cNvPr descr="Number of months married " hidden="1" id="50180" name="Drop Down 4">
              <a:extLst>
                <a:ext uri="{63B3BB69-23CF-44E3-9099-C40C66FF867C}">
                  <a14:compatExt spid="_x0000_s50180"/>
                </a:ext>
                <a:ext uri="{FF2B5EF4-FFF2-40B4-BE49-F238E27FC236}">
                  <a16:creationId xmlns:a16="http://schemas.microsoft.com/office/drawing/2014/main" id="{00000000-0008-0000-2400-000004C40000}"/>
                </a:ext>
              </a:extLst>
            </xdr:cNvPr>
            <xdr:cNvSpPr/>
          </xdr:nvSpPr>
          <xdr:spPr bwMode="auto">
            <a:xfrm>
              <a:off x="0" y="0"/>
              <a:ext cx="0" cy="0"/>
            </a:xfrm>
            <a:prstGeom prst="rect">
              <a:avLst/>
            </a:prstGeom>
            <a:noFill/>
            <a:ln>
              <a:noFill/>
            </a:ln>
            <a:effectLst/>
            <a:extLst>
              <a:ext uri="{91240B29-F687-4F45-9708-019B960494DF}">
                <a14:hiddenLine w="317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xdr:wsDr>
</file>

<file path=xl/drawings/drawing14.xml><?xml version="1.0" encoding="utf-8"?>
<xdr:wsDr xmlns:a="http://schemas.openxmlformats.org/drawingml/2006/main" xmlns:xdr="http://schemas.openxmlformats.org/drawingml/2006/spreadsheetDrawing">
  <mc:AlternateContent xmlns:mc="http://schemas.openxmlformats.org/markup-compatibility/2006">
    <mc:Choice xmlns:a14="http://schemas.microsoft.com/office/drawing/2010/main" Requires="a14">
      <xdr:twoCellAnchor editAs="absolute">
        <xdr:from>
          <xdr:col>15</xdr:col>
          <xdr:colOff>285750</xdr:colOff>
          <xdr:row>35</xdr:row>
          <xdr:rowOff>19050</xdr:rowOff>
        </xdr:from>
        <xdr:to>
          <xdr:col>17</xdr:col>
          <xdr:colOff>1333500</xdr:colOff>
          <xdr:row>39</xdr:row>
          <xdr:rowOff>66675</xdr:rowOff>
        </xdr:to>
        <xdr:sp macro="" textlink="">
          <xdr:nvSpPr>
            <xdr:cNvPr hidden="1" id="2052" name="Button 4">
              <a:extLst>
                <a:ext uri="{63B3BB69-23CF-44E3-9099-C40C66FF867C}">
                  <a14:compatExt spid="_x0000_s2052"/>
                </a:ext>
                <a:ext uri="{FF2B5EF4-FFF2-40B4-BE49-F238E27FC236}">
                  <a16:creationId xmlns:a16="http://schemas.microsoft.com/office/drawing/2014/main" id="{00000000-0008-0000-2600-000004080000}"/>
                </a:ext>
              </a:extLst>
            </xdr:cNvPr>
            <xdr:cNvSpPr/>
          </xdr:nvSpPr>
          <xdr:spPr bwMode="auto">
            <a:xfrm>
              <a:off x="0" y="0"/>
              <a:ext cx="0" cy="0"/>
            </a:xfrm>
            <a:prstGeom prst="rect">
              <a:avLst/>
            </a:prstGeom>
            <a:noFill/>
            <a:ln w="9525">
              <a:miter lim="800000"/>
              <a:headEnd/>
              <a:tailEnd/>
            </a:ln>
          </xdr:spPr>
          <xdr:txBody>
            <a:bodyPr anchor="ctr" bIns="22860" lIns="27432" rIns="27432" tIns="22860" upright="1" vertOverflow="clip" wrap="square"/>
            <a:lstStyle/>
            <a:p>
              <a:pPr algn="ctr" rtl="0">
                <a:defRPr sz="1000"/>
              </a:pPr>
              <a:r>
                <a:rPr b="1" baseline="0" i="0" lang="en-US" strike="noStrike" sz="1000" u="none">
                  <a:solidFill>
                    <a:srgbClr val="008080"/>
                  </a:solidFill>
                  <a:latin typeface="Arial"/>
                  <a:cs typeface="Arial"/>
                </a:rPr>
                <a:t>Enter Class 1 amount for Class 4 calculation</a:t>
              </a:r>
            </a:p>
          </xdr:txBody>
        </xdr:sp>
        <xdr:clientData/>
      </xdr:twoCellAnchor>
    </mc:Choice>
    <mc:Fallback/>
  </mc:AlternateContent>
</xdr:wsDr>
</file>

<file path=xl/drawings/drawing15.xml><?xml version="1.0" encoding="utf-8"?>
<xdr:wsDr xmlns:a="http://schemas.openxmlformats.org/drawingml/2006/main" xmlns:xdr="http://schemas.openxmlformats.org/drawingml/2006/spreadsheetDrawing">
  <mc:AlternateContent xmlns:mc="http://schemas.openxmlformats.org/markup-compatibility/2006">
    <mc:Choice xmlns:a14="http://schemas.microsoft.com/office/drawing/2010/main" Requires="a14">
      <xdr:twoCellAnchor editAs="absolute">
        <xdr:from>
          <xdr:col>8</xdr:col>
          <xdr:colOff>876300</xdr:colOff>
          <xdr:row>24</xdr:row>
          <xdr:rowOff>47625</xdr:rowOff>
        </xdr:from>
        <xdr:to>
          <xdr:col>9</xdr:col>
          <xdr:colOff>2286000</xdr:colOff>
          <xdr:row>28</xdr:row>
          <xdr:rowOff>95250</xdr:rowOff>
        </xdr:to>
        <xdr:sp macro="" textlink="">
          <xdr:nvSpPr>
            <xdr:cNvPr hidden="1" id="165889" name="Button 1">
              <a:extLst>
                <a:ext uri="{63B3BB69-23CF-44E3-9099-C40C66FF867C}">
                  <a14:compatExt spid="_x0000_s165889"/>
                </a:ext>
                <a:ext uri="{FF2B5EF4-FFF2-40B4-BE49-F238E27FC236}">
                  <a16:creationId xmlns:a16="http://schemas.microsoft.com/office/drawing/2014/main" id="{00000000-0008-0000-2700-000001880200}"/>
                </a:ext>
              </a:extLst>
            </xdr:cNvPr>
            <xdr:cNvSpPr/>
          </xdr:nvSpPr>
          <xdr:spPr bwMode="auto">
            <a:xfrm>
              <a:off x="0" y="0"/>
              <a:ext cx="0" cy="0"/>
            </a:xfrm>
            <a:prstGeom prst="rect">
              <a:avLst/>
            </a:prstGeom>
            <a:noFill/>
            <a:ln w="9525">
              <a:miter lim="800000"/>
              <a:headEnd/>
              <a:tailEnd/>
            </a:ln>
          </xdr:spPr>
          <xdr:txBody>
            <a:bodyPr anchor="ctr" bIns="22860" lIns="27432" rIns="27432" tIns="22860" upright="1" vertOverflow="clip" wrap="square"/>
            <a:lstStyle/>
            <a:p>
              <a:pPr algn="ctr" rtl="0">
                <a:defRPr sz="1000"/>
              </a:pPr>
              <a:r>
                <a:rPr b="1" baseline="0" i="0" lang="en-US" strike="noStrike" sz="1000" u="none">
                  <a:solidFill>
                    <a:srgbClr val="008080"/>
                  </a:solidFill>
                  <a:latin typeface="Arial"/>
                  <a:cs typeface="Arial"/>
                </a:rPr>
                <a:t>Enter Class 1 amount for Class 4 calculation</a:t>
              </a:r>
            </a:p>
          </xdr:txBody>
        </xdr:sp>
        <xdr:clientData/>
      </xdr:twoCellAnchor>
    </mc:Choice>
    <mc:Fallback/>
  </mc:AlternateContent>
</xdr:wsDr>
</file>

<file path=xl/drawings/drawing16.xml><?xml version="1.0" encoding="utf-8"?>
<xdr:wsDr xmlns:a="http://schemas.openxmlformats.org/drawingml/2006/main" xmlns:xdr="http://schemas.openxmlformats.org/drawingml/2006/spreadsheetDrawing">
  <xdr:twoCellAnchor>
    <xdr:from>
      <xdr:col>7</xdr:col>
      <xdr:colOff>0</xdr:colOff>
      <xdr:row>27</xdr:row>
      <xdr:rowOff>142875</xdr:rowOff>
    </xdr:from>
    <xdr:to>
      <xdr:col>8</xdr:col>
      <xdr:colOff>990600</xdr:colOff>
      <xdr:row>30</xdr:row>
      <xdr:rowOff>19050</xdr:rowOff>
    </xdr:to>
    <xdr:sp macro="[0]!FSE_NICX_Click" textlink="">
      <xdr:nvSpPr>
        <xdr:cNvPr id="7179" name="Text Box 11">
          <a:extLst>
            <a:ext uri="{FF2B5EF4-FFF2-40B4-BE49-F238E27FC236}">
              <a16:creationId xmlns:a16="http://schemas.microsoft.com/office/drawing/2014/main" id="{00000000-0008-0000-2800-00000B1C0000}"/>
            </a:ext>
          </a:extLst>
        </xdr:cNvPr>
        <xdr:cNvSpPr txBox="1">
          <a:spLocks noChangeArrowheads="1"/>
        </xdr:cNvSpPr>
      </xdr:nvSpPr>
      <xdr:spPr bwMode="auto">
        <a:xfrm>
          <a:off x="4810125" y="4333875"/>
          <a:ext cx="1885950" cy="333375"/>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algn="ctr" w="3175">
              <a:solidFill>
                <a:srgbClr xmlns:mc="http://schemas.openxmlformats.org/markup-compatibility/2006" a14:legacySpreadsheetColorIndex="21" mc:Ignorable="a14" val="00808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1000" u="none">
              <a:solidFill>
                <a:srgbClr val="000000"/>
              </a:solidFill>
              <a:latin typeface="Arial"/>
              <a:cs typeface="Arial"/>
            </a:rPr>
            <a:t>Exempt from Class 4 NIC </a:t>
          </a:r>
          <a:r>
            <a:rPr b="0" baseline="0" i="0" lang="en-GB" strike="noStrike" sz="800" u="none">
              <a:solidFill>
                <a:srgbClr val="003366"/>
              </a:solidFill>
              <a:latin typeface="Arial"/>
              <a:cs typeface="Arial"/>
            </a:rPr>
            <a:t>(FSE)</a:t>
          </a:r>
        </a:p>
      </xdr:txBody>
    </xdr:sp>
    <xdr:clientData/>
  </xdr:twoCellAnchor>
  <xdr:twoCellAnchor>
    <xdr:from>
      <xdr:col>3</xdr:col>
      <xdr:colOff>0</xdr:colOff>
      <xdr:row>15</xdr:row>
      <xdr:rowOff>104775</xdr:rowOff>
    </xdr:from>
    <xdr:to>
      <xdr:col>4</xdr:col>
      <xdr:colOff>1247775</xdr:colOff>
      <xdr:row>17</xdr:row>
      <xdr:rowOff>133350</xdr:rowOff>
    </xdr:to>
    <xdr:sp macro="[0]!SSE_NICX_Click" textlink="">
      <xdr:nvSpPr>
        <xdr:cNvPr id="7177" name="Text Box 9">
          <a:extLst>
            <a:ext uri="{FF2B5EF4-FFF2-40B4-BE49-F238E27FC236}">
              <a16:creationId xmlns:a16="http://schemas.microsoft.com/office/drawing/2014/main" id="{00000000-0008-0000-2800-0000091C0000}"/>
            </a:ext>
          </a:extLst>
        </xdr:cNvPr>
        <xdr:cNvSpPr txBox="1">
          <a:spLocks noChangeArrowheads="1"/>
        </xdr:cNvSpPr>
      </xdr:nvSpPr>
      <xdr:spPr bwMode="auto">
        <a:xfrm>
          <a:off x="1438275" y="2276475"/>
          <a:ext cx="2409825" cy="314325"/>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algn="ctr" w="3175">
              <a:solidFill>
                <a:srgbClr xmlns:mc="http://schemas.openxmlformats.org/markup-compatibility/2006" a14:legacySpreadsheetColorIndex="21" mc:Ignorable="a14" val="00808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1000" u="none">
              <a:solidFill>
                <a:srgbClr val="000000"/>
              </a:solidFill>
              <a:latin typeface="Arial"/>
              <a:cs typeface="Arial"/>
            </a:rPr>
            <a:t>Excempt from paying Class 4 NIC </a:t>
          </a:r>
          <a:r>
            <a:rPr b="0" baseline="0" i="0" lang="en-GB" strike="noStrike" sz="800" u="none">
              <a:solidFill>
                <a:srgbClr val="003366"/>
              </a:solidFill>
              <a:latin typeface="Arial"/>
              <a:cs typeface="Arial"/>
            </a:rPr>
            <a:t>(SSE)</a:t>
          </a:r>
        </a:p>
      </xdr:txBody>
    </xdr:sp>
    <xdr:clientData/>
  </xdr:twoCellAnchor>
  <mc:AlternateContent xmlns:mc="http://schemas.openxmlformats.org/markup-compatibility/2006">
    <mc:Choice xmlns:a14="http://schemas.microsoft.com/office/drawing/2010/main" Requires="a14">
      <xdr:twoCellAnchor editAs="oneCell">
        <xdr:from>
          <xdr:col>6</xdr:col>
          <xdr:colOff>342900</xdr:colOff>
          <xdr:row>28</xdr:row>
          <xdr:rowOff>104775</xdr:rowOff>
        </xdr:from>
        <xdr:to>
          <xdr:col>7</xdr:col>
          <xdr:colOff>257175</xdr:colOff>
          <xdr:row>30</xdr:row>
          <xdr:rowOff>19050</xdr:rowOff>
        </xdr:to>
        <xdr:sp macro="" textlink="">
          <xdr:nvSpPr>
            <xdr:cNvPr hidden="1" id="7169" name="Check Box 1">
              <a:extLst>
                <a:ext uri="{63B3BB69-23CF-44E3-9099-C40C66FF867C}">
                  <a14:compatExt spid="_x0000_s7169"/>
                </a:ext>
                <a:ext uri="{FF2B5EF4-FFF2-40B4-BE49-F238E27FC236}">
                  <a16:creationId xmlns:a16="http://schemas.microsoft.com/office/drawing/2014/main" id="{00000000-0008-0000-2800-0000011C0000}"/>
                </a:ext>
              </a:extLst>
            </xdr:cNvPr>
            <xdr:cNvSpPr/>
          </xdr:nvSpPr>
          <xdr:spPr bwMode="auto">
            <a:xfrm>
              <a:off x="0" y="0"/>
              <a:ext cx="0" cy="0"/>
            </a:xfrm>
            <a:prstGeom prst="rect">
              <a:avLst/>
            </a:prstGeom>
            <a:noFill/>
            <a:ln>
              <a:noFill/>
            </a:ln>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323850</xdr:colOff>
          <xdr:row>16</xdr:row>
          <xdr:rowOff>95250</xdr:rowOff>
        </xdr:from>
        <xdr:to>
          <xdr:col>3</xdr:col>
          <xdr:colOff>238125</xdr:colOff>
          <xdr:row>18</xdr:row>
          <xdr:rowOff>9525</xdr:rowOff>
        </xdr:to>
        <xdr:sp macro="" textlink="">
          <xdr:nvSpPr>
            <xdr:cNvPr hidden="1" id="7170" name="Check Box 2">
              <a:extLst>
                <a:ext uri="{63B3BB69-23CF-44E3-9099-C40C66FF867C}">
                  <a14:compatExt spid="_x0000_s7170"/>
                </a:ext>
                <a:ext uri="{FF2B5EF4-FFF2-40B4-BE49-F238E27FC236}">
                  <a16:creationId xmlns:a16="http://schemas.microsoft.com/office/drawing/2014/main" id="{00000000-0008-0000-2800-0000021C0000}"/>
                </a:ext>
              </a:extLst>
            </xdr:cNvPr>
            <xdr:cNvSpPr/>
          </xdr:nvSpPr>
          <xdr:spPr bwMode="auto">
            <a:xfrm>
              <a:off x="0" y="0"/>
              <a:ext cx="0" cy="0"/>
            </a:xfrm>
            <a:prstGeom prst="rect">
              <a:avLst/>
            </a:prstGeom>
            <a:noFill/>
            <a:ln>
              <a:noFill/>
            </a:ln>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314325</xdr:colOff>
          <xdr:row>13</xdr:row>
          <xdr:rowOff>95250</xdr:rowOff>
        </xdr:from>
        <xdr:to>
          <xdr:col>3</xdr:col>
          <xdr:colOff>228600</xdr:colOff>
          <xdr:row>15</xdr:row>
          <xdr:rowOff>9525</xdr:rowOff>
        </xdr:to>
        <xdr:sp macro="" textlink="">
          <xdr:nvSpPr>
            <xdr:cNvPr hidden="1" id="7173" name="Check Box 5">
              <a:extLst>
                <a:ext uri="{63B3BB69-23CF-44E3-9099-C40C66FF867C}">
                  <a14:compatExt spid="_x0000_s7173"/>
                </a:ext>
                <a:ext uri="{FF2B5EF4-FFF2-40B4-BE49-F238E27FC236}">
                  <a16:creationId xmlns:a16="http://schemas.microsoft.com/office/drawing/2014/main" id="{00000000-0008-0000-2800-0000051C0000}"/>
                </a:ext>
              </a:extLst>
            </xdr:cNvPr>
            <xdr:cNvSpPr/>
          </xdr:nvSpPr>
          <xdr:spPr bwMode="auto">
            <a:xfrm>
              <a:off x="0" y="0"/>
              <a:ext cx="0" cy="0"/>
            </a:xfrm>
            <a:prstGeom prst="rect">
              <a:avLst/>
            </a:prstGeom>
            <a:noFill/>
            <a:ln>
              <a:noFill/>
            </a:ln>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1619250</xdr:colOff>
          <xdr:row>35</xdr:row>
          <xdr:rowOff>0</xdr:rowOff>
        </xdr:from>
        <xdr:to>
          <xdr:col>9</xdr:col>
          <xdr:colOff>2219325</xdr:colOff>
          <xdr:row>39</xdr:row>
          <xdr:rowOff>85725</xdr:rowOff>
        </xdr:to>
        <xdr:sp macro="" textlink="">
          <xdr:nvSpPr>
            <xdr:cNvPr hidden="1" id="7178" name="Button 10">
              <a:extLst>
                <a:ext uri="{63B3BB69-23CF-44E3-9099-C40C66FF867C}">
                  <a14:compatExt spid="_x0000_s7178"/>
                </a:ext>
                <a:ext uri="{FF2B5EF4-FFF2-40B4-BE49-F238E27FC236}">
                  <a16:creationId xmlns:a16="http://schemas.microsoft.com/office/drawing/2014/main" id="{00000000-0008-0000-2800-00000A1C0000}"/>
                </a:ext>
              </a:extLst>
            </xdr:cNvPr>
            <xdr:cNvSpPr/>
          </xdr:nvSpPr>
          <xdr:spPr bwMode="auto">
            <a:xfrm>
              <a:off x="0" y="0"/>
              <a:ext cx="0" cy="0"/>
            </a:xfrm>
            <a:prstGeom prst="rect">
              <a:avLst/>
            </a:prstGeom>
            <a:noFill/>
            <a:ln w="9525">
              <a:miter lim="800000"/>
              <a:headEnd/>
              <a:tailEnd/>
            </a:ln>
          </xdr:spPr>
          <xdr:txBody>
            <a:bodyPr anchor="ctr" bIns="22860" lIns="27432" rIns="27432" tIns="22860" upright="1" vertOverflow="clip" wrap="square"/>
            <a:lstStyle/>
            <a:p>
              <a:pPr algn="ctr" rtl="0">
                <a:defRPr sz="1000"/>
              </a:pPr>
              <a:r>
                <a:rPr b="1" baseline="0" i="0" lang="en-US" strike="noStrike" sz="1000" u="none">
                  <a:solidFill>
                    <a:srgbClr val="008080"/>
                  </a:solidFill>
                  <a:latin typeface="Arial"/>
                  <a:cs typeface="Arial"/>
                </a:rPr>
                <a:t>Enter Class 2 amount or</a:t>
              </a:r>
            </a:p>
            <a:p>
              <a:pPr algn="ctr" rtl="0">
                <a:defRPr sz="1000"/>
              </a:pPr>
              <a:r>
                <a:rPr b="1" baseline="0" i="0" lang="en-US" strike="noStrike" sz="1000" u="none">
                  <a:solidFill>
                    <a:srgbClr val="008080"/>
                  </a:solidFill>
                  <a:latin typeface="Arial"/>
                  <a:cs typeface="Arial"/>
                </a:rPr>
                <a:t>Class 1 for Class 4 calculation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342900</xdr:colOff>
          <xdr:row>25</xdr:row>
          <xdr:rowOff>104775</xdr:rowOff>
        </xdr:from>
        <xdr:to>
          <xdr:col>7</xdr:col>
          <xdr:colOff>257175</xdr:colOff>
          <xdr:row>27</xdr:row>
          <xdr:rowOff>19050</xdr:rowOff>
        </xdr:to>
        <xdr:sp macro="" textlink="">
          <xdr:nvSpPr>
            <xdr:cNvPr hidden="1" id="2" name="Check Box 11">
              <a:extLst>
                <a:ext uri="{63B3BB69-23CF-44E3-9099-C40C66FF867C}">
                  <a14:compatExt spid="_x0000_s7179"/>
                </a:ext>
                <a:ext uri="{FF2B5EF4-FFF2-40B4-BE49-F238E27FC236}">
                  <a16:creationId xmlns:a16="http://schemas.microsoft.com/office/drawing/2014/main" id="{00000000-0008-0000-2800-000002000000}"/>
                </a:ext>
              </a:extLst>
            </xdr:cNvPr>
            <xdr:cNvSpPr/>
          </xdr:nvSpPr>
          <xdr:spPr bwMode="auto">
            <a:xfrm>
              <a:off x="0" y="0"/>
              <a:ext cx="0" cy="0"/>
            </a:xfrm>
            <a:prstGeom prst="rect">
              <a:avLst/>
            </a:prstGeom>
            <a:noFill/>
            <a:ln>
              <a:noFill/>
            </a:ln>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Lst>
          </xdr:spPr>
        </xdr:sp>
        <xdr:clientData/>
      </xdr:twoCellAnchor>
    </mc:Choice>
    <mc:Fallback/>
  </mc:AlternateContent>
</xdr:wsDr>
</file>

<file path=xl/drawings/drawing17.xml><?xml version="1.0" encoding="utf-8"?>
<xdr:wsDr xmlns:a="http://schemas.openxmlformats.org/drawingml/2006/main" xmlns:xdr="http://schemas.openxmlformats.org/drawingml/2006/spreadsheetDrawing">
  <xdr:twoCellAnchor>
    <xdr:from>
      <xdr:col>11</xdr:col>
      <xdr:colOff>9524</xdr:colOff>
      <xdr:row>15</xdr:row>
      <xdr:rowOff>0</xdr:rowOff>
    </xdr:from>
    <xdr:to>
      <xdr:col>12</xdr:col>
      <xdr:colOff>981074</xdr:colOff>
      <xdr:row>16</xdr:row>
      <xdr:rowOff>133350</xdr:rowOff>
    </xdr:to>
    <xdr:sp macro="[0]!LUN_NICDEF_Click" textlink="">
      <xdr:nvSpPr>
        <xdr:cNvPr id="8196" name="Text Box 4">
          <a:extLst>
            <a:ext uri="{FF2B5EF4-FFF2-40B4-BE49-F238E27FC236}">
              <a16:creationId xmlns:a16="http://schemas.microsoft.com/office/drawing/2014/main" id="{00000000-0008-0000-2900-000004200000}"/>
            </a:ext>
          </a:extLst>
        </xdr:cNvPr>
        <xdr:cNvSpPr txBox="1">
          <a:spLocks noChangeArrowheads="1"/>
        </xdr:cNvSpPr>
      </xdr:nvSpPr>
      <xdr:spPr bwMode="auto">
        <a:xfrm>
          <a:off x="5695949" y="2914650"/>
          <a:ext cx="1800225" cy="295275"/>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algn="ctr" w="3175">
              <a:solidFill>
                <a:srgbClr xmlns:mc="http://schemas.openxmlformats.org/markup-compatibility/2006" a14:legacySpreadsheetColorIndex="21" mc:Ignorable="a14" val="00808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1000" u="none">
              <a:solidFill>
                <a:srgbClr val="000000"/>
              </a:solidFill>
              <a:latin typeface="Arial"/>
              <a:ea typeface="+mn-ea"/>
              <a:cs typeface="Arial"/>
            </a:rPr>
            <a:t>Exempt from Class 4 NIC </a:t>
          </a:r>
          <a:r>
            <a:rPr b="0" baseline="0" i="0" lang="en-GB" strike="noStrike" sz="800" u="none">
              <a:solidFill>
                <a:srgbClr val="000000"/>
              </a:solidFill>
              <a:latin typeface="Arial"/>
              <a:ea typeface="+mn-ea"/>
              <a:cs typeface="Arial"/>
            </a:rPr>
            <a:t>(LUN)</a:t>
          </a:r>
        </a:p>
      </xdr:txBody>
    </xdr:sp>
    <xdr:clientData/>
  </xdr:twoCellAnchor>
  <mc:AlternateContent xmlns:mc="http://schemas.openxmlformats.org/markup-compatibility/2006">
    <mc:Choice xmlns:a14="http://schemas.microsoft.com/office/drawing/2010/main" Requires="a14">
      <xdr:twoCellAnchor editAs="oneCell">
        <xdr:from>
          <xdr:col>10</xdr:col>
          <xdr:colOff>371475</xdr:colOff>
          <xdr:row>15</xdr:row>
          <xdr:rowOff>133350</xdr:rowOff>
        </xdr:from>
        <xdr:to>
          <xdr:col>11</xdr:col>
          <xdr:colOff>266700</xdr:colOff>
          <xdr:row>17</xdr:row>
          <xdr:rowOff>0</xdr:rowOff>
        </xdr:to>
        <xdr:sp macro="" textlink="">
          <xdr:nvSpPr>
            <xdr:cNvPr hidden="1" id="8194" name="Check Box 2">
              <a:extLst>
                <a:ext uri="{63B3BB69-23CF-44E3-9099-C40C66FF867C}">
                  <a14:compatExt spid="_x0000_s8194"/>
                </a:ext>
                <a:ext uri="{FF2B5EF4-FFF2-40B4-BE49-F238E27FC236}">
                  <a16:creationId xmlns:a16="http://schemas.microsoft.com/office/drawing/2014/main" id="{00000000-0008-0000-2900-000002200000}"/>
                </a:ext>
              </a:extLst>
            </xdr:cNvPr>
            <xdr:cNvSpPr/>
          </xdr:nvSpPr>
          <xdr:spPr bwMode="auto">
            <a:xfrm>
              <a:off x="0" y="0"/>
              <a:ext cx="0" cy="0"/>
            </a:xfrm>
            <a:prstGeom prst="rect">
              <a:avLst/>
            </a:prstGeom>
            <a:noFill/>
            <a:ln>
              <a:noFill/>
            </a:ln>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371475</xdr:colOff>
          <xdr:row>12</xdr:row>
          <xdr:rowOff>123825</xdr:rowOff>
        </xdr:from>
        <xdr:to>
          <xdr:col>11</xdr:col>
          <xdr:colOff>266700</xdr:colOff>
          <xdr:row>13</xdr:row>
          <xdr:rowOff>152400</xdr:rowOff>
        </xdr:to>
        <xdr:sp macro="" textlink="">
          <xdr:nvSpPr>
            <xdr:cNvPr hidden="1" id="2" name="Check Box 4">
              <a:extLst>
                <a:ext uri="{63B3BB69-23CF-44E3-9099-C40C66FF867C}">
                  <a14:compatExt spid="_x0000_s8196"/>
                </a:ext>
                <a:ext uri="{FF2B5EF4-FFF2-40B4-BE49-F238E27FC236}">
                  <a16:creationId xmlns:a16="http://schemas.microsoft.com/office/drawing/2014/main" id="{00000000-0008-0000-2900-000002000000}"/>
                </a:ext>
              </a:extLst>
            </xdr:cNvPr>
            <xdr:cNvSpPr/>
          </xdr:nvSpPr>
          <xdr:spPr bwMode="auto">
            <a:xfrm>
              <a:off x="0" y="0"/>
              <a:ext cx="0" cy="0"/>
            </a:xfrm>
            <a:prstGeom prst="rect">
              <a:avLst/>
            </a:prstGeom>
            <a:noFill/>
            <a:ln>
              <a:noFill/>
            </a:ln>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895350</xdr:colOff>
          <xdr:row>22</xdr:row>
          <xdr:rowOff>28575</xdr:rowOff>
        </xdr:from>
        <xdr:to>
          <xdr:col>13</xdr:col>
          <xdr:colOff>295275</xdr:colOff>
          <xdr:row>26</xdr:row>
          <xdr:rowOff>104775</xdr:rowOff>
        </xdr:to>
        <xdr:sp macro="" textlink="">
          <xdr:nvSpPr>
            <xdr:cNvPr hidden="1" id="8198" name="Button 6">
              <a:extLst>
                <a:ext uri="{63B3BB69-23CF-44E3-9099-C40C66FF867C}">
                  <a14:compatExt spid="_x0000_s8198"/>
                </a:ext>
                <a:ext uri="{FF2B5EF4-FFF2-40B4-BE49-F238E27FC236}">
                  <a16:creationId xmlns:a16="http://schemas.microsoft.com/office/drawing/2014/main" id="{00000000-0008-0000-2900-000006200000}"/>
                </a:ext>
              </a:extLst>
            </xdr:cNvPr>
            <xdr:cNvSpPr/>
          </xdr:nvSpPr>
          <xdr:spPr bwMode="auto">
            <a:xfrm>
              <a:off x="0" y="0"/>
              <a:ext cx="0" cy="0"/>
            </a:xfrm>
            <a:prstGeom prst="rect">
              <a:avLst/>
            </a:prstGeom>
            <a:noFill/>
            <a:ln w="9525">
              <a:miter lim="800000"/>
              <a:headEnd/>
              <a:tailEnd/>
            </a:ln>
          </xdr:spPr>
          <xdr:txBody>
            <a:bodyPr anchor="ctr" bIns="22860" lIns="27432" rIns="27432" tIns="22860" upright="1" vertOverflow="clip" wrap="square"/>
            <a:lstStyle/>
            <a:p>
              <a:pPr algn="ctr" rtl="0">
                <a:defRPr sz="1000"/>
              </a:pPr>
              <a:r>
                <a:rPr b="1" baseline="0" i="0" lang="en-US" strike="noStrike" sz="1000" u="none">
                  <a:solidFill>
                    <a:srgbClr val="008080"/>
                  </a:solidFill>
                  <a:latin typeface="Arial"/>
                  <a:cs typeface="Arial"/>
                </a:rPr>
                <a:t>Enter Class 2 amount or</a:t>
              </a:r>
            </a:p>
            <a:p>
              <a:pPr algn="ctr" rtl="0">
                <a:defRPr sz="1000"/>
              </a:pPr>
              <a:r>
                <a:rPr b="1" baseline="0" i="0" lang="en-US" strike="noStrike" sz="1000" u="none">
                  <a:solidFill>
                    <a:srgbClr val="008080"/>
                  </a:solidFill>
                  <a:latin typeface="Arial"/>
                  <a:cs typeface="Arial"/>
                </a:rPr>
                <a:t>Class 1 for Class 4 calculation</a:t>
              </a:r>
            </a:p>
          </xdr:txBody>
        </xdr:sp>
        <xdr:clientData/>
      </xdr:twoCellAnchor>
    </mc:Choice>
    <mc:Fallback/>
  </mc:AlternateContent>
</xdr:wsDr>
</file>

<file path=xl/drawings/drawing18.xml><?xml version="1.0" encoding="utf-8"?>
<xdr:wsDr xmlns:a="http://schemas.openxmlformats.org/drawingml/2006/main" xmlns:xdr="http://schemas.openxmlformats.org/drawingml/2006/spreadsheetDrawing">
  <xdr:twoCellAnchor>
    <xdr:from>
      <xdr:col>10</xdr:col>
      <xdr:colOff>9525</xdr:colOff>
      <xdr:row>11</xdr:row>
      <xdr:rowOff>114300</xdr:rowOff>
    </xdr:from>
    <xdr:to>
      <xdr:col>11</xdr:col>
      <xdr:colOff>847725</xdr:colOff>
      <xdr:row>13</xdr:row>
      <xdr:rowOff>9525</xdr:rowOff>
    </xdr:to>
    <xdr:sp macro="[0]!FPS_NICX_Click" textlink="">
      <xdr:nvSpPr>
        <xdr:cNvPr id="9223" name="Text Box 7">
          <a:extLst>
            <a:ext uri="{FF2B5EF4-FFF2-40B4-BE49-F238E27FC236}">
              <a16:creationId xmlns:a16="http://schemas.microsoft.com/office/drawing/2014/main" id="{00000000-0008-0000-2A00-000007240000}"/>
            </a:ext>
          </a:extLst>
        </xdr:cNvPr>
        <xdr:cNvSpPr txBox="1">
          <a:spLocks noChangeArrowheads="1"/>
        </xdr:cNvSpPr>
      </xdr:nvSpPr>
      <xdr:spPr bwMode="auto">
        <a:xfrm>
          <a:off x="7448550" y="1771650"/>
          <a:ext cx="1857375" cy="180975"/>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algn="ctr" w="3175">
              <a:solidFill>
                <a:srgbClr xmlns:mc="http://schemas.openxmlformats.org/markup-compatibility/2006" a14:legacySpreadsheetColorIndex="21" mc:Ignorable="a14" val="00808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1000" u="none">
              <a:solidFill>
                <a:srgbClr val="000000"/>
              </a:solidFill>
              <a:latin typeface="Arial"/>
              <a:cs typeface="Arial"/>
            </a:rPr>
            <a:t>Exempt from Class 4 NIC </a:t>
          </a:r>
          <a:r>
            <a:rPr b="0" baseline="0" i="0" lang="en-GB" strike="noStrike" sz="800" u="none">
              <a:solidFill>
                <a:srgbClr val="003366"/>
              </a:solidFill>
              <a:latin typeface="Arial"/>
              <a:cs typeface="Arial"/>
            </a:rPr>
            <a:t>(FPS)</a:t>
          </a:r>
        </a:p>
      </xdr:txBody>
    </xdr:sp>
    <xdr:clientData/>
  </xdr:twoCellAnchor>
  <xdr:twoCellAnchor>
    <xdr:from>
      <xdr:col>2</xdr:col>
      <xdr:colOff>323850</xdr:colOff>
      <xdr:row>21</xdr:row>
      <xdr:rowOff>0</xdr:rowOff>
    </xdr:from>
    <xdr:to>
      <xdr:col>4</xdr:col>
      <xdr:colOff>981075</xdr:colOff>
      <xdr:row>22</xdr:row>
      <xdr:rowOff>133350</xdr:rowOff>
    </xdr:to>
    <xdr:sp macro="[0]!SPS_NICX_Click" textlink="">
      <xdr:nvSpPr>
        <xdr:cNvPr id="9221" name="Text Box 5">
          <a:extLst>
            <a:ext uri="{FF2B5EF4-FFF2-40B4-BE49-F238E27FC236}">
              <a16:creationId xmlns:a16="http://schemas.microsoft.com/office/drawing/2014/main" id="{00000000-0008-0000-2A00-000005240000}"/>
            </a:ext>
          </a:extLst>
        </xdr:cNvPr>
        <xdr:cNvSpPr txBox="1">
          <a:spLocks noChangeArrowheads="1"/>
        </xdr:cNvSpPr>
      </xdr:nvSpPr>
      <xdr:spPr bwMode="auto">
        <a:xfrm>
          <a:off x="676275" y="2114550"/>
          <a:ext cx="1838325" cy="295275"/>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algn="ctr" w="3175">
              <a:solidFill>
                <a:srgbClr xmlns:mc="http://schemas.openxmlformats.org/markup-compatibility/2006" a14:legacySpreadsheetColorIndex="21" mc:Ignorable="a14" val="00808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1000" u="none">
              <a:solidFill>
                <a:srgbClr val="000000"/>
              </a:solidFill>
              <a:latin typeface="Arial"/>
              <a:cs typeface="Arial"/>
            </a:rPr>
            <a:t>Exempt from Class 4 NIC </a:t>
          </a:r>
          <a:r>
            <a:rPr b="0" baseline="0" i="0" lang="en-GB" strike="noStrike" sz="800" u="none">
              <a:solidFill>
                <a:srgbClr val="003366"/>
              </a:solidFill>
              <a:latin typeface="Arial"/>
              <a:cs typeface="Arial"/>
            </a:rPr>
            <a:t>(SPS)</a:t>
          </a:r>
        </a:p>
      </xdr:txBody>
    </xdr:sp>
    <xdr:clientData/>
  </xdr:twoCellAnchor>
  <mc:AlternateContent xmlns:mc="http://schemas.openxmlformats.org/markup-compatibility/2006">
    <mc:Choice xmlns:a14="http://schemas.microsoft.com/office/drawing/2010/main" Requires="a14">
      <xdr:twoCellAnchor editAs="oneCell">
        <xdr:from>
          <xdr:col>2</xdr:col>
          <xdr:colOff>295275</xdr:colOff>
          <xdr:row>21</xdr:row>
          <xdr:rowOff>104775</xdr:rowOff>
        </xdr:from>
        <xdr:to>
          <xdr:col>3</xdr:col>
          <xdr:colOff>266700</xdr:colOff>
          <xdr:row>23</xdr:row>
          <xdr:rowOff>0</xdr:rowOff>
        </xdr:to>
        <xdr:sp macro="" textlink="">
          <xdr:nvSpPr>
            <xdr:cNvPr hidden="1" id="9217" name="Check Box 1">
              <a:extLst>
                <a:ext uri="{63B3BB69-23CF-44E3-9099-C40C66FF867C}">
                  <a14:compatExt spid="_x0000_s9217"/>
                </a:ext>
                <a:ext uri="{FF2B5EF4-FFF2-40B4-BE49-F238E27FC236}">
                  <a16:creationId xmlns:a16="http://schemas.microsoft.com/office/drawing/2014/main" id="{00000000-0008-0000-2A00-000001240000}"/>
                </a:ext>
              </a:extLst>
            </xdr:cNvPr>
            <xdr:cNvSpPr/>
          </xdr:nvSpPr>
          <xdr:spPr bwMode="auto">
            <a:xfrm>
              <a:off x="0" y="0"/>
              <a:ext cx="0" cy="0"/>
            </a:xfrm>
            <a:prstGeom prst="rect">
              <a:avLst/>
            </a:prstGeom>
            <a:noFill/>
            <a:ln>
              <a:noFill/>
            </a:ln>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314325</xdr:colOff>
          <xdr:row>12</xdr:row>
          <xdr:rowOff>104775</xdr:rowOff>
        </xdr:from>
        <xdr:to>
          <xdr:col>10</xdr:col>
          <xdr:colOff>285750</xdr:colOff>
          <xdr:row>14</xdr:row>
          <xdr:rowOff>0</xdr:rowOff>
        </xdr:to>
        <xdr:sp macro="" textlink="">
          <xdr:nvSpPr>
            <xdr:cNvPr hidden="1" id="9219" name="Check Box 3">
              <a:extLst>
                <a:ext uri="{63B3BB69-23CF-44E3-9099-C40C66FF867C}">
                  <a14:compatExt spid="_x0000_s9219"/>
                </a:ext>
                <a:ext uri="{FF2B5EF4-FFF2-40B4-BE49-F238E27FC236}">
                  <a16:creationId xmlns:a16="http://schemas.microsoft.com/office/drawing/2014/main" id="{00000000-0008-0000-2A00-000003240000}"/>
                </a:ext>
              </a:extLst>
            </xdr:cNvPr>
            <xdr:cNvSpPr/>
          </xdr:nvSpPr>
          <xdr:spPr bwMode="auto">
            <a:xfrm>
              <a:off x="0" y="0"/>
              <a:ext cx="0" cy="0"/>
            </a:xfrm>
            <a:prstGeom prst="rect">
              <a:avLst/>
            </a:prstGeom>
            <a:noFill/>
            <a:ln>
              <a:noFill/>
            </a:ln>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285750</xdr:colOff>
          <xdr:row>18</xdr:row>
          <xdr:rowOff>114300</xdr:rowOff>
        </xdr:from>
        <xdr:to>
          <xdr:col>3</xdr:col>
          <xdr:colOff>257175</xdr:colOff>
          <xdr:row>20</xdr:row>
          <xdr:rowOff>9525</xdr:rowOff>
        </xdr:to>
        <xdr:sp macro="" textlink="">
          <xdr:nvSpPr>
            <xdr:cNvPr hidden="1" id="9220" name="Check Box 4">
              <a:extLst>
                <a:ext uri="{63B3BB69-23CF-44E3-9099-C40C66FF867C}">
                  <a14:compatExt spid="_x0000_s9220"/>
                </a:ext>
                <a:ext uri="{FF2B5EF4-FFF2-40B4-BE49-F238E27FC236}">
                  <a16:creationId xmlns:a16="http://schemas.microsoft.com/office/drawing/2014/main" id="{00000000-0008-0000-2A00-000004240000}"/>
                </a:ext>
              </a:extLst>
            </xdr:cNvPr>
            <xdr:cNvSpPr/>
          </xdr:nvSpPr>
          <xdr:spPr bwMode="auto">
            <a:xfrm>
              <a:off x="0" y="0"/>
              <a:ext cx="0" cy="0"/>
            </a:xfrm>
            <a:prstGeom prst="rect">
              <a:avLst/>
            </a:prstGeom>
            <a:noFill/>
            <a:ln>
              <a:noFill/>
            </a:ln>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285750</xdr:colOff>
          <xdr:row>12</xdr:row>
          <xdr:rowOff>114300</xdr:rowOff>
        </xdr:from>
        <xdr:to>
          <xdr:col>7</xdr:col>
          <xdr:colOff>238125</xdr:colOff>
          <xdr:row>14</xdr:row>
          <xdr:rowOff>9525</xdr:rowOff>
        </xdr:to>
        <xdr:sp macro="" textlink="">
          <xdr:nvSpPr>
            <xdr:cNvPr hidden="1" id="2" name="Check Box 5">
              <a:extLst>
                <a:ext uri="{63B3BB69-23CF-44E3-9099-C40C66FF867C}">
                  <a14:compatExt spid="_x0000_s9221"/>
                </a:ext>
                <a:ext uri="{FF2B5EF4-FFF2-40B4-BE49-F238E27FC236}">
                  <a16:creationId xmlns:a16="http://schemas.microsoft.com/office/drawing/2014/main" id="{00000000-0008-0000-2A00-000002000000}"/>
                </a:ext>
              </a:extLst>
            </xdr:cNvPr>
            <xdr:cNvSpPr/>
          </xdr:nvSpPr>
          <xdr:spPr bwMode="auto">
            <a:xfrm>
              <a:off x="0" y="0"/>
              <a:ext cx="0" cy="0"/>
            </a:xfrm>
            <a:prstGeom prst="rect">
              <a:avLst/>
            </a:prstGeom>
            <a:noFill/>
            <a:ln>
              <a:noFill/>
            </a:ln>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85725</xdr:colOff>
          <xdr:row>5</xdr:row>
          <xdr:rowOff>57150</xdr:rowOff>
        </xdr:from>
        <xdr:to>
          <xdr:col>14</xdr:col>
          <xdr:colOff>1171575</xdr:colOff>
          <xdr:row>9</xdr:row>
          <xdr:rowOff>104775</xdr:rowOff>
        </xdr:to>
        <xdr:sp macro="" textlink="">
          <xdr:nvSpPr>
            <xdr:cNvPr hidden="1" id="9222" name="Button 6">
              <a:extLst>
                <a:ext uri="{63B3BB69-23CF-44E3-9099-C40C66FF867C}">
                  <a14:compatExt spid="_x0000_s9222"/>
                </a:ext>
                <a:ext uri="{FF2B5EF4-FFF2-40B4-BE49-F238E27FC236}">
                  <a16:creationId xmlns:a16="http://schemas.microsoft.com/office/drawing/2014/main" id="{00000000-0008-0000-2A00-000006240000}"/>
                </a:ext>
              </a:extLst>
            </xdr:cNvPr>
            <xdr:cNvSpPr/>
          </xdr:nvSpPr>
          <xdr:spPr bwMode="auto">
            <a:xfrm>
              <a:off x="0" y="0"/>
              <a:ext cx="0" cy="0"/>
            </a:xfrm>
            <a:prstGeom prst="rect">
              <a:avLst/>
            </a:prstGeom>
            <a:noFill/>
            <a:ln w="9525">
              <a:miter lim="800000"/>
              <a:headEnd/>
              <a:tailEnd/>
            </a:ln>
          </xdr:spPr>
          <xdr:txBody>
            <a:bodyPr anchor="ctr" bIns="22860" lIns="27432" rIns="27432" tIns="22860" upright="1" vertOverflow="clip" wrap="square"/>
            <a:lstStyle/>
            <a:p>
              <a:pPr algn="ctr" rtl="0">
                <a:defRPr sz="1000"/>
              </a:pPr>
              <a:r>
                <a:rPr b="1" baseline="0" i="0" lang="en-US" strike="noStrike" sz="1000" u="none">
                  <a:solidFill>
                    <a:srgbClr val="008080"/>
                  </a:solidFill>
                  <a:latin typeface="Arial"/>
                  <a:cs typeface="Arial"/>
                </a:rPr>
                <a:t>Enter Class 2 amount or</a:t>
              </a:r>
            </a:p>
            <a:p>
              <a:pPr algn="ctr" rtl="0">
                <a:defRPr sz="1000"/>
              </a:pPr>
              <a:r>
                <a:rPr b="1" baseline="0" i="0" lang="en-US" strike="noStrike" sz="1000" u="none">
                  <a:solidFill>
                    <a:srgbClr val="008080"/>
                  </a:solidFill>
                  <a:latin typeface="Arial"/>
                  <a:cs typeface="Arial"/>
                </a:rPr>
                <a:t>Class 1 for Class 4 calculation</a:t>
              </a:r>
            </a:p>
          </xdr:txBody>
        </xdr:sp>
        <xdr:clientData/>
      </xdr:twoCellAnchor>
    </mc:Choice>
    <mc:Fallback/>
  </mc:AlternateContent>
</xdr:wsDr>
</file>

<file path=xl/drawings/drawing19.xml><?xml version="1.0" encoding="utf-8"?>
<xdr:wsDr xmlns:a="http://schemas.openxmlformats.org/drawingml/2006/main" xmlns:xdr="http://schemas.openxmlformats.org/drawingml/2006/spreadsheetDrawing">
  <mc:AlternateContent xmlns:mc="http://schemas.openxmlformats.org/markup-compatibility/2006">
    <mc:Choice xmlns:a14="http://schemas.microsoft.com/office/drawing/2010/main" Requires="a14">
      <xdr:twoCellAnchor editAs="oneCell">
        <xdr:from>
          <xdr:col>3</xdr:col>
          <xdr:colOff>28575</xdr:colOff>
          <xdr:row>32</xdr:row>
          <xdr:rowOff>19050</xdr:rowOff>
        </xdr:from>
        <xdr:to>
          <xdr:col>3</xdr:col>
          <xdr:colOff>504825</xdr:colOff>
          <xdr:row>33</xdr:row>
          <xdr:rowOff>57150</xdr:rowOff>
        </xdr:to>
        <xdr:sp macro="" textlink="">
          <xdr:nvSpPr>
            <xdr:cNvPr hidden="1" id="84993" name="Drop Down 1">
              <a:extLst>
                <a:ext uri="{63B3BB69-23CF-44E3-9099-C40C66FF867C}">
                  <a14:compatExt spid="_x0000_s84993"/>
                </a:ext>
                <a:ext uri="{FF2B5EF4-FFF2-40B4-BE49-F238E27FC236}">
                  <a16:creationId xmlns:a16="http://schemas.microsoft.com/office/drawing/2014/main" id="{00000000-0008-0000-2B00-0000014C01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xdr:twoCellAnchor>
    <xdr:from>
      <xdr:col>5</xdr:col>
      <xdr:colOff>207963</xdr:colOff>
      <xdr:row>19</xdr:row>
      <xdr:rowOff>31155</xdr:rowOff>
    </xdr:from>
    <xdr:to>
      <xdr:col>7</xdr:col>
      <xdr:colOff>679847</xdr:colOff>
      <xdr:row>21</xdr:row>
      <xdr:rowOff>4961</xdr:rowOff>
    </xdr:to>
    <xdr:sp macro="" textlink="">
      <xdr:nvSpPr>
        <xdr:cNvPr id="6" name="Text Box 77">
          <a:extLst>
            <a:ext uri="{FF2B5EF4-FFF2-40B4-BE49-F238E27FC236}">
              <a16:creationId xmlns:a16="http://schemas.microsoft.com/office/drawing/2014/main" id="{00000000-0008-0000-2B00-000006000000}"/>
            </a:ext>
          </a:extLst>
        </xdr:cNvPr>
        <xdr:cNvSpPr txBox="1">
          <a:spLocks noChangeArrowheads="1"/>
        </xdr:cNvSpPr>
      </xdr:nvSpPr>
      <xdr:spPr bwMode="auto">
        <a:xfrm>
          <a:off x="4211440" y="3146624"/>
          <a:ext cx="2540595" cy="301228"/>
        </a:xfrm>
        <a:prstGeom prst="rect">
          <a:avLst/>
        </a:prstGeom>
        <a:solidFill>
          <a:srgbClr val="CCFFFF"/>
        </a:solidFill>
        <a:ln w="9525">
          <a:solidFill>
            <a:srgbClr xmlns:a14="http://schemas.microsoft.com/office/drawing/2010/main" xmlns:mc="http://schemas.openxmlformats.org/markup-compatibility/2006" a14:legacySpreadsheetColorIndex="38" mc:Ignorable="a14" val="008080"/>
          </a:solidFill>
          <a:miter lim="800000"/>
          <a:headEnd/>
          <a:tailEnd/>
        </a:ln>
        <a:effectLst/>
      </xdr:spPr>
      <xdr:txBody>
        <a:bodyPr anchor="t" bIns="0" lIns="27432" rIns="27432" tIns="22860" upright="1" vertOverflow="clip" wrap="square"/>
        <a:lstStyle/>
        <a:p>
          <a:pPr algn="ctr" defTabSz="914400" eaLnBrk="1" fontAlgn="auto" hangingPunct="1" indent="0" latinLnBrk="0" lvl="0" marL="0" marR="0" rtl="0">
            <a:lnSpc>
              <a:spcPct val="100000"/>
            </a:lnSpc>
            <a:spcBef>
              <a:spcPts val="0"/>
            </a:spcBef>
            <a:spcAft>
              <a:spcPts val="0"/>
            </a:spcAft>
            <a:buClrTx/>
            <a:buSzTx/>
            <a:buFontTx/>
            <a:buNone/>
            <a:tabLst/>
            <a:defRPr sz="1000"/>
          </a:pPr>
          <a:r>
            <a:rPr b="0" baseline="0" cap="none" i="0" kern="0" kumimoji="0" lang="en-GB" noProof="0" normalizeH="0" spc="0" strike="noStrike" sz="800" u="none">
              <a:ln>
                <a:noFill/>
              </a:ln>
              <a:solidFill>
                <a:srgbClr val="008080"/>
              </a:solidFill>
              <a:effectLst/>
              <a:uLnTx/>
              <a:uFillTx/>
              <a:latin typeface="Arial"/>
              <a:cs typeface="Arial"/>
            </a:rPr>
            <a:t>Note: ET=Earnings Threshold, UAP = Upper Accrual Point, UEL=Upper Earnings Limit)</a:t>
          </a:r>
        </a:p>
      </xdr:txBody>
    </xdr:sp>
    <xdr:clientData/>
  </xdr:twoCellAnchor>
  <xdr:twoCellAnchor>
    <xdr:from>
      <xdr:col>2</xdr:col>
      <xdr:colOff>158750</xdr:colOff>
      <xdr:row>21</xdr:row>
      <xdr:rowOff>69453</xdr:rowOff>
    </xdr:from>
    <xdr:to>
      <xdr:col>7</xdr:col>
      <xdr:colOff>694531</xdr:colOff>
      <xdr:row>23</xdr:row>
      <xdr:rowOff>109141</xdr:rowOff>
    </xdr:to>
    <xdr:sp macro="" textlink="">
      <xdr:nvSpPr>
        <xdr:cNvPr id="4" name="Text Box 77">
          <a:extLst>
            <a:ext uri="{FF2B5EF4-FFF2-40B4-BE49-F238E27FC236}">
              <a16:creationId xmlns:a16="http://schemas.microsoft.com/office/drawing/2014/main" id="{00000000-0008-0000-2B00-000004000000}"/>
            </a:ext>
          </a:extLst>
        </xdr:cNvPr>
        <xdr:cNvSpPr txBox="1">
          <a:spLocks noChangeArrowheads="1"/>
        </xdr:cNvSpPr>
      </xdr:nvSpPr>
      <xdr:spPr bwMode="auto">
        <a:xfrm>
          <a:off x="1468438" y="3512344"/>
          <a:ext cx="5298281" cy="367110"/>
        </a:xfrm>
        <a:prstGeom prst="rect">
          <a:avLst/>
        </a:prstGeom>
        <a:solidFill>
          <a:srgbClr val="CCFFFF"/>
        </a:solidFill>
        <a:ln w="9525">
          <a:solidFill>
            <a:srgbClr xmlns:a14="http://schemas.microsoft.com/office/drawing/2010/main" xmlns:mc="http://schemas.openxmlformats.org/markup-compatibility/2006" a14:legacySpreadsheetColorIndex="38" mc:Ignorable="a14" val="008080"/>
          </a:solidFill>
          <a:miter lim="800000"/>
          <a:headEnd/>
          <a:tailEnd/>
        </a:ln>
        <a:effectLst/>
      </xdr:spPr>
      <xdr:txBody>
        <a:bodyPr anchor="t" bIns="0" lIns="27432" rIns="27432" tIns="22860" upright="1" vertOverflow="clip" wrap="square"/>
        <a:lstStyle/>
        <a:p>
          <a:pPr algn="ctr" defTabSz="914400" eaLnBrk="1" fontAlgn="auto" hangingPunct="1" indent="0" latinLnBrk="0" lvl="0" marL="0" marR="0" rtl="0">
            <a:lnSpc>
              <a:spcPct val="100000"/>
            </a:lnSpc>
            <a:spcBef>
              <a:spcPts val="0"/>
            </a:spcBef>
            <a:spcAft>
              <a:spcPts val="0"/>
            </a:spcAft>
            <a:buClrTx/>
            <a:buSzTx/>
            <a:buFontTx/>
            <a:buNone/>
            <a:tabLst/>
            <a:defRPr sz="1000"/>
          </a:pPr>
          <a:r>
            <a:rPr b="0" baseline="0" cap="none" i="1" kern="0" kumimoji="0" lang="en-GB" noProof="0" normalizeH="0" spc="0" strike="noStrike" sz="1050" u="none">
              <a:ln>
                <a:noFill/>
              </a:ln>
              <a:solidFill>
                <a:srgbClr val="008080"/>
              </a:solidFill>
              <a:effectLst/>
              <a:uLnTx/>
              <a:uFillTx/>
              <a:latin typeface="Arial"/>
              <a:cs typeface="Arial"/>
            </a:rPr>
            <a:t>Note: From 2016-17 the P11D's and P60's were changed so that the columns for 1c and 1d are combined into one column that has earnings from PT to UEL. </a:t>
          </a:r>
        </a:p>
      </xdr:txBody>
    </xdr:sp>
    <xdr:clientData/>
  </xdr:twoCellAnchor>
  <xdr:twoCellAnchor>
    <xdr:from>
      <xdr:col>5</xdr:col>
      <xdr:colOff>207963</xdr:colOff>
      <xdr:row>26</xdr:row>
      <xdr:rowOff>49610</xdr:rowOff>
    </xdr:from>
    <xdr:to>
      <xdr:col>7</xdr:col>
      <xdr:colOff>679847</xdr:colOff>
      <xdr:row>28</xdr:row>
      <xdr:rowOff>23416</xdr:rowOff>
    </xdr:to>
    <xdr:sp macro="" textlink="">
      <xdr:nvSpPr>
        <xdr:cNvPr id="5" name="Text Box 77">
          <a:extLst>
            <a:ext uri="{FF2B5EF4-FFF2-40B4-BE49-F238E27FC236}">
              <a16:creationId xmlns:a16="http://schemas.microsoft.com/office/drawing/2014/main" id="{00000000-0008-0000-2B00-000005000000}"/>
            </a:ext>
          </a:extLst>
        </xdr:cNvPr>
        <xdr:cNvSpPr txBox="1">
          <a:spLocks noChangeArrowheads="1"/>
        </xdr:cNvSpPr>
      </xdr:nvSpPr>
      <xdr:spPr bwMode="auto">
        <a:xfrm>
          <a:off x="4211440" y="4311056"/>
          <a:ext cx="2540595" cy="301228"/>
        </a:xfrm>
        <a:prstGeom prst="rect">
          <a:avLst/>
        </a:prstGeom>
        <a:solidFill>
          <a:srgbClr val="CCFFFF"/>
        </a:solidFill>
        <a:ln w="9525">
          <a:solidFill>
            <a:srgbClr xmlns:a14="http://schemas.microsoft.com/office/drawing/2010/main" xmlns:mc="http://schemas.openxmlformats.org/markup-compatibility/2006" a14:legacySpreadsheetColorIndex="38" mc:Ignorable="a14" val="008080"/>
          </a:solidFill>
          <a:miter lim="800000"/>
          <a:headEnd/>
          <a:tailEnd/>
        </a:ln>
        <a:effectLst/>
      </xdr:spPr>
      <xdr:txBody>
        <a:bodyPr anchor="t" bIns="0" lIns="27432" rIns="27432" tIns="22860" upright="1" vertOverflow="clip" wrap="square"/>
        <a:lstStyle/>
        <a:p>
          <a:pPr algn="ctr" defTabSz="914400" eaLnBrk="1" fontAlgn="auto" hangingPunct="1" indent="0" latinLnBrk="0" lvl="0" marL="0" marR="0" rtl="0">
            <a:lnSpc>
              <a:spcPct val="100000"/>
            </a:lnSpc>
            <a:spcBef>
              <a:spcPts val="0"/>
            </a:spcBef>
            <a:spcAft>
              <a:spcPts val="0"/>
            </a:spcAft>
            <a:buClrTx/>
            <a:buSzTx/>
            <a:buFontTx/>
            <a:buNone/>
            <a:tabLst/>
            <a:defRPr sz="1000"/>
          </a:pPr>
          <a:r>
            <a:rPr b="0" baseline="0" cap="none" i="0" kern="0" kumimoji="0" lang="en-GB" noProof="0" normalizeH="0" spc="0" strike="noStrike" sz="800" u="none">
              <a:ln>
                <a:noFill/>
              </a:ln>
              <a:solidFill>
                <a:srgbClr val="008080"/>
              </a:solidFill>
              <a:effectLst/>
              <a:uLnTx/>
              <a:uFillTx/>
              <a:latin typeface="Arial"/>
              <a:cs typeface="Arial"/>
            </a:rPr>
            <a:t>Note: ET=Earnings Threshold, UAP = Upper Accrual Point, UEL=Upper Earnings Limit)</a:t>
          </a:r>
        </a:p>
      </xdr:txBody>
    </xdr:sp>
    <xdr:clientData/>
  </xdr:twoCellAnchor>
  <xdr:twoCellAnchor>
    <xdr:from>
      <xdr:col>2</xdr:col>
      <xdr:colOff>158750</xdr:colOff>
      <xdr:row>28</xdr:row>
      <xdr:rowOff>87908</xdr:rowOff>
    </xdr:from>
    <xdr:to>
      <xdr:col>7</xdr:col>
      <xdr:colOff>694531</xdr:colOff>
      <xdr:row>30</xdr:row>
      <xdr:rowOff>127596</xdr:rowOff>
    </xdr:to>
    <xdr:sp macro="" textlink="">
      <xdr:nvSpPr>
        <xdr:cNvPr id="7" name="Text Box 77">
          <a:extLst>
            <a:ext uri="{FF2B5EF4-FFF2-40B4-BE49-F238E27FC236}">
              <a16:creationId xmlns:a16="http://schemas.microsoft.com/office/drawing/2014/main" id="{00000000-0008-0000-2B00-000007000000}"/>
            </a:ext>
          </a:extLst>
        </xdr:cNvPr>
        <xdr:cNvSpPr txBox="1">
          <a:spLocks noChangeArrowheads="1"/>
        </xdr:cNvSpPr>
      </xdr:nvSpPr>
      <xdr:spPr bwMode="auto">
        <a:xfrm>
          <a:off x="1468438" y="4676776"/>
          <a:ext cx="5298281" cy="367110"/>
        </a:xfrm>
        <a:prstGeom prst="rect">
          <a:avLst/>
        </a:prstGeom>
        <a:solidFill>
          <a:srgbClr val="CCFFFF"/>
        </a:solidFill>
        <a:ln w="9525">
          <a:solidFill>
            <a:srgbClr xmlns:a14="http://schemas.microsoft.com/office/drawing/2010/main" xmlns:mc="http://schemas.openxmlformats.org/markup-compatibility/2006" a14:legacySpreadsheetColorIndex="38" mc:Ignorable="a14" val="008080"/>
          </a:solidFill>
          <a:miter lim="800000"/>
          <a:headEnd/>
          <a:tailEnd/>
        </a:ln>
        <a:effectLst/>
      </xdr:spPr>
      <xdr:txBody>
        <a:bodyPr anchor="t" bIns="0" lIns="27432" rIns="27432" tIns="22860" upright="1" vertOverflow="clip" wrap="square"/>
        <a:lstStyle/>
        <a:p>
          <a:pPr algn="ctr" defTabSz="914400" eaLnBrk="1" fontAlgn="auto" hangingPunct="1" indent="0" latinLnBrk="0" lvl="0" marL="0" marR="0" rtl="0">
            <a:lnSpc>
              <a:spcPct val="100000"/>
            </a:lnSpc>
            <a:spcBef>
              <a:spcPts val="0"/>
            </a:spcBef>
            <a:spcAft>
              <a:spcPts val="0"/>
            </a:spcAft>
            <a:buClrTx/>
            <a:buSzTx/>
            <a:buFontTx/>
            <a:buNone/>
            <a:tabLst/>
            <a:defRPr sz="1000"/>
          </a:pPr>
          <a:r>
            <a:rPr b="0" baseline="0" cap="none" i="1" kern="0" kumimoji="0" lang="en-GB" noProof="0" normalizeH="0" spc="0" strike="noStrike" sz="1050" u="none">
              <a:ln>
                <a:noFill/>
              </a:ln>
              <a:solidFill>
                <a:srgbClr val="008080"/>
              </a:solidFill>
              <a:effectLst/>
              <a:uLnTx/>
              <a:uFillTx/>
              <a:latin typeface="Arial"/>
              <a:cs typeface="Arial"/>
            </a:rPr>
            <a:t>Note: From 2016-17 the P11D's and P60's were changed so that the columns for 1c and 1d are combined into one column that has earnings from PT to UEL. </a:t>
          </a:r>
        </a:p>
      </xdr:txBody>
    </xdr:sp>
    <xdr:clientData/>
  </xdr:twoCellAnchor>
</xdr:wsDr>
</file>

<file path=xl/drawings/drawing20.xml><?xml version="1.0" encoding="utf-8"?>
<xdr:wsDr xmlns:a="http://schemas.openxmlformats.org/drawingml/2006/main" xmlns:xdr="http://schemas.openxmlformats.org/drawingml/2006/spreadsheetDrawing">
  <mc:AlternateContent xmlns:mc="http://schemas.openxmlformats.org/markup-compatibility/2006">
    <mc:Choice xmlns:a14="http://schemas.microsoft.com/office/drawing/2010/main" Requires="a14">
      <xdr:twoCellAnchor editAs="absolute">
        <xdr:from>
          <xdr:col>6</xdr:col>
          <xdr:colOff>190500</xdr:colOff>
          <xdr:row>7</xdr:row>
          <xdr:rowOff>104775</xdr:rowOff>
        </xdr:from>
        <xdr:to>
          <xdr:col>8</xdr:col>
          <xdr:colOff>457200</xdr:colOff>
          <xdr:row>10</xdr:row>
          <xdr:rowOff>57150</xdr:rowOff>
        </xdr:to>
        <xdr:sp macro="" textlink="">
          <xdr:nvSpPr>
            <xdr:cNvPr hidden="1" id="23561" name="Button 9">
              <a:extLst>
                <a:ext uri="{63B3BB69-23CF-44E3-9099-C40C66FF867C}">
                  <a14:compatExt spid="_x0000_s23561"/>
                </a:ext>
                <a:ext uri="{FF2B5EF4-FFF2-40B4-BE49-F238E27FC236}">
                  <a16:creationId xmlns:a16="http://schemas.microsoft.com/office/drawing/2014/main" id="{00000000-0008-0000-2D00-0000095C0000}"/>
                </a:ext>
              </a:extLst>
            </xdr:cNvPr>
            <xdr:cNvSpPr/>
          </xdr:nvSpPr>
          <xdr:spPr bwMode="auto">
            <a:xfrm>
              <a:off x="0" y="0"/>
              <a:ext cx="0" cy="0"/>
            </a:xfrm>
            <a:prstGeom prst="rect">
              <a:avLst/>
            </a:prstGeom>
            <a:noFill/>
            <a:ln w="9525">
              <a:miter lim="800000"/>
              <a:headEnd/>
              <a:tailEnd/>
            </a:ln>
          </xdr:spPr>
          <xdr:txBody>
            <a:bodyPr anchor="ctr" bIns="22860" lIns="27432" rIns="27432" tIns="22860" upright="1" vertOverflow="clip" wrap="square"/>
            <a:lstStyle/>
            <a:p>
              <a:pPr algn="ctr" rtl="0">
                <a:defRPr sz="1000"/>
              </a:pPr>
              <a:r>
                <a:rPr b="1" baseline="0" i="0" lang="en-US" strike="noStrike" sz="1000" u="none">
                  <a:solidFill>
                    <a:srgbClr val="008080"/>
                  </a:solidFill>
                  <a:latin typeface="Arial"/>
                  <a:cs typeface="Arial"/>
                </a:rPr>
                <a:t>Calculate Foreign Tax </a:t>
              </a:r>
            </a:p>
            <a:p>
              <a:pPr algn="ctr" rtl="0">
                <a:defRPr sz="1000"/>
              </a:pPr>
              <a:r>
                <a:rPr b="1" baseline="0" i="0" lang="en-US" strike="noStrike" sz="1000" u="none">
                  <a:solidFill>
                    <a:srgbClr val="008080"/>
                  </a:solidFill>
                  <a:latin typeface="Arial"/>
                  <a:cs typeface="Arial"/>
                </a:rPr>
                <a:t>Credit Relief on income</a:t>
              </a:r>
            </a:p>
          </xdr:txBody>
        </xdr:sp>
        <xdr:clientData/>
      </xdr:twoCellAnchor>
    </mc:Choice>
    <mc:Fallback/>
  </mc:AlternateContent>
  <xdr:twoCellAnchor editAs="oneCell">
    <xdr:from>
      <xdr:col>2</xdr:col>
      <xdr:colOff>152400</xdr:colOff>
      <xdr:row>2</xdr:row>
      <xdr:rowOff>9525</xdr:rowOff>
    </xdr:from>
    <xdr:to>
      <xdr:col>9</xdr:col>
      <xdr:colOff>171450</xdr:colOff>
      <xdr:row>6</xdr:row>
      <xdr:rowOff>9525</xdr:rowOff>
    </xdr:to>
    <xdr:sp macro="" textlink="">
      <xdr:nvSpPr>
        <xdr:cNvPr id="23562" name="Text Box 10">
          <a:extLst>
            <a:ext uri="{FF2B5EF4-FFF2-40B4-BE49-F238E27FC236}">
              <a16:creationId xmlns:a16="http://schemas.microsoft.com/office/drawing/2014/main" id="{00000000-0008-0000-2D00-00000A5C0000}"/>
            </a:ext>
          </a:extLst>
        </xdr:cNvPr>
        <xdr:cNvSpPr txBox="1">
          <a:spLocks noChangeArrowheads="1"/>
        </xdr:cNvSpPr>
      </xdr:nvSpPr>
      <xdr:spPr bwMode="auto">
        <a:xfrm>
          <a:off x="304800" y="247650"/>
          <a:ext cx="4019550" cy="609600"/>
        </a:xfrm>
        <a:prstGeom prst="rect">
          <a:avLst/>
        </a:prstGeom>
        <a:solidFill>
          <a:srgbClr xmlns:a14="http://schemas.microsoft.com/office/drawing/2010/main" xmlns:mc="http://schemas.openxmlformats.org/markup-compatibility/2006" a14:legacySpreadsheetColorIndex="47" mc:Ignorable="a14" val="FFCC99"/>
        </a:solidFill>
        <a:ln w="9525">
          <a:solidFill>
            <a:srgbClr xmlns:a14="http://schemas.microsoft.com/office/drawing/2010/main" xmlns:mc="http://schemas.openxmlformats.org/markup-compatibility/2006" a14:legacySpreadsheetColorIndex="38" mc:Ignorable="a14" val="008080"/>
          </a:solidFill>
          <a:miter lim="800000"/>
          <a:headEnd/>
          <a:tailEnd/>
        </a:ln>
        <a:effectLst/>
        <a:extLs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1" baseline="0" i="1" lang="en-GB" strike="noStrike" sz="900" u="none">
              <a:solidFill>
                <a:srgbClr val="008080"/>
              </a:solidFill>
              <a:latin typeface="Arial"/>
              <a:cs typeface="Arial"/>
            </a:rPr>
            <a:t>Foreign Tax Credit Relief on income</a:t>
          </a:r>
          <a:endParaRPr b="0" baseline="0" i="0" lang="en-GB" strike="noStrike" sz="900" u="none">
            <a:solidFill>
              <a:srgbClr val="000000"/>
            </a:solidFill>
            <a:latin typeface="Arial"/>
            <a:cs typeface="Arial"/>
          </a:endParaRPr>
        </a:p>
        <a:p>
          <a:pPr algn="l" rtl="0">
            <a:defRPr sz="1000"/>
          </a:pPr>
          <a:r>
            <a:rPr b="0" baseline="0" i="0" lang="en-GB" strike="noStrike" sz="800" u="none">
              <a:solidFill>
                <a:srgbClr val="008080"/>
              </a:solidFill>
              <a:latin typeface="Arial"/>
              <a:cs typeface="Arial"/>
            </a:rPr>
            <a:t>If Tax Credit Relief has already been calculated enter the result in box 2.</a:t>
          </a:r>
        </a:p>
        <a:p>
          <a:pPr algn="l" rtl="0">
            <a:defRPr sz="1000"/>
          </a:pPr>
          <a:r>
            <a:rPr b="0" baseline="0" i="0" lang="en-GB" strike="noStrike" sz="800" u="none">
              <a:solidFill>
                <a:srgbClr val="008080"/>
              </a:solidFill>
              <a:latin typeface="Arial"/>
              <a:cs typeface="Arial"/>
            </a:rPr>
            <a:t>Otherwise complete the remaining boxes, then click the 'Calculate Foreign Tax Credit Relief on income’ button to work out Tax Credit Relief on up to 10 items of income. </a:t>
          </a:r>
          <a:endParaRPr b="0" baseline="0" i="0" lang="en-GB" strike="noStrike" sz="800" u="none">
            <a:solidFill>
              <a:srgbClr val="000080"/>
            </a:solidFill>
            <a:latin typeface="Arial"/>
            <a:cs typeface="Arial"/>
          </a:endParaRPr>
        </a:p>
        <a:p>
          <a:pPr algn="l" rtl="0">
            <a:defRPr sz="1000"/>
          </a:pPr>
          <a:endParaRPr b="0" baseline="0" i="0" lang="en-GB" strike="noStrike" sz="800" u="none">
            <a:solidFill>
              <a:srgbClr val="000080"/>
            </a:solidFill>
            <a:latin typeface="Arial"/>
            <a:cs typeface="Arial"/>
          </a:endParaRPr>
        </a:p>
      </xdr:txBody>
    </xdr:sp>
    <xdr:clientData/>
  </xdr:twoCellAnchor>
  <mc:AlternateContent xmlns:mc="http://schemas.openxmlformats.org/markup-compatibility/2006">
    <mc:Choice xmlns:a14="http://schemas.microsoft.com/office/drawing/2010/main" Requires="a14">
      <xdr:twoCellAnchor editAs="absolute">
        <xdr:from>
          <xdr:col>14</xdr:col>
          <xdr:colOff>19050</xdr:colOff>
          <xdr:row>38</xdr:row>
          <xdr:rowOff>38100</xdr:rowOff>
        </xdr:from>
        <xdr:to>
          <xdr:col>16</xdr:col>
          <xdr:colOff>781050</xdr:colOff>
          <xdr:row>39</xdr:row>
          <xdr:rowOff>152400</xdr:rowOff>
        </xdr:to>
        <xdr:sp macro="" textlink="">
          <xdr:nvSpPr>
            <xdr:cNvPr hidden="1" id="23563" name="Button 11">
              <a:extLst>
                <a:ext uri="{63B3BB69-23CF-44E3-9099-C40C66FF867C}">
                  <a14:compatExt spid="_x0000_s23563"/>
                </a:ext>
                <a:ext uri="{FF2B5EF4-FFF2-40B4-BE49-F238E27FC236}">
                  <a16:creationId xmlns:a16="http://schemas.microsoft.com/office/drawing/2014/main" id="{00000000-0008-0000-2D00-00000B5C0000}"/>
                </a:ext>
              </a:extLst>
            </xdr:cNvPr>
            <xdr:cNvSpPr/>
          </xdr:nvSpPr>
          <xdr:spPr bwMode="auto">
            <a:xfrm>
              <a:off x="0" y="0"/>
              <a:ext cx="0" cy="0"/>
            </a:xfrm>
            <a:prstGeom prst="rect">
              <a:avLst/>
            </a:prstGeom>
            <a:noFill/>
            <a:ln w="9525">
              <a:miter lim="800000"/>
              <a:headEnd/>
              <a:tailEnd/>
            </a:ln>
          </xdr:spPr>
          <xdr:txBody>
            <a:bodyPr anchor="ctr" bIns="22860" lIns="27432" rIns="27432" tIns="22860" upright="1" vertOverflow="clip" wrap="square"/>
            <a:lstStyle/>
            <a:p>
              <a:pPr algn="ctr" rtl="0">
                <a:defRPr sz="1000"/>
              </a:pPr>
              <a:r>
                <a:rPr b="1" baseline="0" i="0" lang="en-US" strike="noStrike" sz="1000" u="none">
                  <a:solidFill>
                    <a:srgbClr val="008080"/>
                  </a:solidFill>
                  <a:latin typeface="Arial"/>
                  <a:cs typeface="Arial"/>
                </a:rPr>
                <a:t>Multiple foreign life policy gains</a:t>
              </a:r>
            </a:p>
          </xdr:txBody>
        </xdr:sp>
        <xdr:clientData fPrintsWithSheet="0"/>
      </xdr:twoCellAnchor>
    </mc:Choice>
    <mc:Fallback/>
  </mc:AlternateContent>
  <xdr:twoCellAnchor editAs="absolute">
    <xdr:from>
      <xdr:col>10</xdr:col>
      <xdr:colOff>352424</xdr:colOff>
      <xdr:row>27</xdr:row>
      <xdr:rowOff>33338</xdr:rowOff>
    </xdr:from>
    <xdr:to>
      <xdr:col>16</xdr:col>
      <xdr:colOff>280987</xdr:colOff>
      <xdr:row>31</xdr:row>
      <xdr:rowOff>14288</xdr:rowOff>
    </xdr:to>
    <xdr:sp macro="" textlink="">
      <xdr:nvSpPr>
        <xdr:cNvPr id="23564" name="Text Box 12">
          <a:extLst>
            <a:ext uri="{FF2B5EF4-FFF2-40B4-BE49-F238E27FC236}">
              <a16:creationId xmlns:a16="http://schemas.microsoft.com/office/drawing/2014/main" id="{00000000-0008-0000-2D00-00000C5C0000}"/>
            </a:ext>
          </a:extLst>
        </xdr:cNvPr>
        <xdr:cNvSpPr txBox="1">
          <a:spLocks noChangeArrowheads="1"/>
        </xdr:cNvSpPr>
      </xdr:nvSpPr>
      <xdr:spPr bwMode="auto">
        <a:xfrm>
          <a:off x="5119687" y="4081463"/>
          <a:ext cx="3276600" cy="585788"/>
        </a:xfrm>
        <a:prstGeom prst="rect">
          <a:avLst/>
        </a:prstGeom>
        <a:solidFill>
          <a:srgbClr xmlns:a14="http://schemas.microsoft.com/office/drawing/2010/main" xmlns:mc="http://schemas.openxmlformats.org/markup-compatibility/2006" a14:legacySpreadsheetColorIndex="47" mc:Ignorable="a14" val="FFCC99"/>
        </a:solidFill>
        <a:ln w="9525">
          <a:solidFill>
            <a:srgbClr xmlns:a14="http://schemas.microsoft.com/office/drawing/2010/main" xmlns:mc="http://schemas.openxmlformats.org/markup-compatibility/2006" a14:legacySpreadsheetColorIndex="38" mc:Ignorable="a14" val="008080"/>
          </a:solidFill>
          <a:miter lim="800000"/>
          <a:headEnd/>
          <a:tailEnd/>
        </a:ln>
        <a:effectLst/>
        <a:extLs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1" baseline="0" i="1" lang="en-GB" strike="noStrike" sz="900" u="none">
              <a:solidFill>
                <a:srgbClr val="008080"/>
              </a:solidFill>
              <a:latin typeface="Arial"/>
              <a:cs typeface="Arial"/>
            </a:rPr>
            <a:t>Gains on foreign life policies</a:t>
          </a:r>
          <a:endParaRPr b="0" baseline="0" i="0" lang="en-GB" strike="noStrike" sz="900" u="none">
            <a:solidFill>
              <a:srgbClr val="000000"/>
            </a:solidFill>
            <a:latin typeface="Arial"/>
            <a:cs typeface="Arial"/>
          </a:endParaRPr>
        </a:p>
        <a:p>
          <a:pPr algn="l" rtl="0">
            <a:defRPr sz="1000"/>
          </a:pPr>
          <a:r>
            <a:rPr b="1" baseline="0" i="0" lang="en-GB" strike="noStrike" sz="900" u="none">
              <a:solidFill>
                <a:srgbClr val="008080"/>
              </a:solidFill>
              <a:latin typeface="Arial"/>
              <a:cs typeface="Arial"/>
            </a:rPr>
            <a:t>S</a:t>
          </a:r>
          <a:r>
            <a:rPr b="1" baseline="0" i="0" lang="en-GB" strike="noStrike" sz="800" u="none">
              <a:solidFill>
                <a:srgbClr val="008080"/>
              </a:solidFill>
              <a:latin typeface="Arial"/>
              <a:cs typeface="Arial"/>
            </a:rPr>
            <a:t>ingle gain</a:t>
          </a:r>
          <a:r>
            <a:rPr b="0" baseline="0" i="0" lang="en-GB" strike="noStrike" sz="800" u="none">
              <a:solidFill>
                <a:srgbClr val="008080"/>
              </a:solidFill>
              <a:latin typeface="Arial"/>
              <a:cs typeface="Arial"/>
            </a:rPr>
            <a:t>: enter in boxes 43, 44 and 45. </a:t>
          </a:r>
        </a:p>
        <a:p>
          <a:pPr algn="l" rtl="0">
            <a:defRPr sz="1000"/>
          </a:pPr>
          <a:r>
            <a:rPr b="1" baseline="0" i="0" lang="en-GB" strike="noStrike" sz="800" u="none">
              <a:solidFill>
                <a:srgbClr val="008080"/>
              </a:solidFill>
              <a:latin typeface="Arial"/>
              <a:cs typeface="Arial"/>
            </a:rPr>
            <a:t>Multiple gains</a:t>
          </a:r>
          <a:r>
            <a:rPr b="0" baseline="0" i="0" lang="en-GB" strike="noStrike" sz="800" u="none">
              <a:solidFill>
                <a:srgbClr val="008080"/>
              </a:solidFill>
              <a:latin typeface="Arial"/>
              <a:cs typeface="Arial"/>
            </a:rPr>
            <a:t>: leave boxes 43 to 45 blank and click the 'multiple foreign life policy gains' button.</a:t>
          </a:r>
        </a:p>
      </xdr:txBody>
    </xdr:sp>
    <xdr:clientData/>
  </xdr:twoCellAnchor>
  <xdr:twoCellAnchor editAs="oneCell">
    <xdr:from>
      <xdr:col>2</xdr:col>
      <xdr:colOff>266700</xdr:colOff>
      <xdr:row>21</xdr:row>
      <xdr:rowOff>123825</xdr:rowOff>
    </xdr:from>
    <xdr:to>
      <xdr:col>5</xdr:col>
      <xdr:colOff>95250</xdr:colOff>
      <xdr:row>24</xdr:row>
      <xdr:rowOff>133350</xdr:rowOff>
    </xdr:to>
    <xdr:sp macro="[0]!FOR_SWISS_TAX_Click" textlink="">
      <xdr:nvSpPr>
        <xdr:cNvPr id="23566" name="Text Box 14">
          <a:extLst>
            <a:ext uri="{FF2B5EF4-FFF2-40B4-BE49-F238E27FC236}">
              <a16:creationId xmlns:a16="http://schemas.microsoft.com/office/drawing/2014/main" id="{00000000-0008-0000-2D00-00000E5C0000}"/>
            </a:ext>
          </a:extLst>
        </xdr:cNvPr>
        <xdr:cNvSpPr txBox="1">
          <a:spLocks noChangeArrowheads="1"/>
        </xdr:cNvSpPr>
      </xdr:nvSpPr>
      <xdr:spPr bwMode="auto">
        <a:xfrm>
          <a:off x="419100" y="2581275"/>
          <a:ext cx="1514475" cy="466725"/>
        </a:xfrm>
        <a:prstGeom prst="rect">
          <a:avLst/>
        </a:prstGeom>
        <a:solidFill>
          <a:srgbClr xmlns:a14="http://schemas.microsoft.com/office/drawing/2010/main" xmlns:mc="http://schemas.openxmlformats.org/markup-compatibility/2006" a14:legacySpreadsheetColorIndex="47" mc:Ignorable="a14" val="FFCC99"/>
        </a:solidFill>
        <a:ln w="9525">
          <a:solidFill>
            <a:srgbClr xmlns:a14="http://schemas.microsoft.com/office/drawing/2010/main" xmlns:mc="http://schemas.openxmlformats.org/markup-compatibility/2006" a14:legacySpreadsheetColorIndex="38" mc:Ignorable="a14" val="008080"/>
          </a:solidFill>
          <a:miter lim="800000"/>
          <a:headEnd/>
          <a:tailEnd/>
        </a:ln>
        <a:effectLst/>
        <a:extLs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800" u="none">
              <a:solidFill>
                <a:srgbClr val="000000"/>
              </a:solidFill>
              <a:latin typeface="Arial"/>
              <a:cs typeface="Arial"/>
            </a:rPr>
            <a:t>Swiss Tax agreement.</a:t>
          </a:r>
        </a:p>
        <a:p>
          <a:pPr algn="l" rtl="0">
            <a:defRPr sz="1000"/>
          </a:pPr>
          <a:r>
            <a:rPr b="0" baseline="0" i="0" lang="en-GB" strike="noStrike" sz="800" u="none">
              <a:solidFill>
                <a:srgbClr val="000000"/>
              </a:solidFill>
              <a:latin typeface="Arial"/>
              <a:cs typeface="Arial"/>
            </a:rPr>
            <a:t>Where the tax paid covers</a:t>
          </a:r>
        </a:p>
        <a:p>
          <a:pPr algn="l" rtl="0">
            <a:defRPr sz="1000"/>
          </a:pPr>
          <a:r>
            <a:rPr b="0" baseline="0" i="0" lang="en-GB" strike="noStrike" sz="800" u="none">
              <a:solidFill>
                <a:srgbClr val="000000"/>
              </a:solidFill>
              <a:latin typeface="Arial"/>
              <a:cs typeface="Arial"/>
            </a:rPr>
            <a:t> UK tax liability on the income</a:t>
          </a:r>
          <a:endParaRPr b="0" baseline="0" i="0" lang="en-GB" strike="noStrike" sz="800" u="none">
            <a:solidFill>
              <a:srgbClr val="000080"/>
            </a:solidFill>
            <a:latin typeface="Arial"/>
            <a:cs typeface="Arial"/>
          </a:endParaRPr>
        </a:p>
        <a:p>
          <a:pPr algn="l" rtl="0">
            <a:defRPr sz="1000"/>
          </a:pPr>
          <a:endParaRPr b="0" baseline="0" i="0" lang="en-GB" strike="noStrike" sz="800" u="none">
            <a:solidFill>
              <a:srgbClr val="000080"/>
            </a:solidFill>
            <a:latin typeface="Arial"/>
            <a:cs typeface="Arial"/>
          </a:endParaRPr>
        </a:p>
      </xdr:txBody>
    </xdr:sp>
    <xdr:clientData/>
  </xdr:twoCellAnchor>
  <mc:AlternateContent xmlns:mc="http://schemas.openxmlformats.org/markup-compatibility/2006">
    <mc:Choice xmlns:a14="http://schemas.microsoft.com/office/drawing/2010/main" Requires="a14">
      <xdr:twoCellAnchor editAs="oneCell">
        <xdr:from>
          <xdr:col>4</xdr:col>
          <xdr:colOff>333375</xdr:colOff>
          <xdr:row>21</xdr:row>
          <xdr:rowOff>123825</xdr:rowOff>
        </xdr:from>
        <xdr:to>
          <xdr:col>5</xdr:col>
          <xdr:colOff>171450</xdr:colOff>
          <xdr:row>23</xdr:row>
          <xdr:rowOff>85725</xdr:rowOff>
        </xdr:to>
        <xdr:sp macro="" textlink="">
          <xdr:nvSpPr>
            <xdr:cNvPr hidden="1" id="23567" name="Check Box 15">
              <a:extLst>
                <a:ext uri="{63B3BB69-23CF-44E3-9099-C40C66FF867C}">
                  <a14:compatExt spid="_x0000_s23567"/>
                </a:ext>
                <a:ext uri="{FF2B5EF4-FFF2-40B4-BE49-F238E27FC236}">
                  <a16:creationId xmlns:a16="http://schemas.microsoft.com/office/drawing/2014/main" id="{00000000-0008-0000-2D00-00000F5C0000}"/>
                </a:ext>
              </a:extLst>
            </xdr:cNvPr>
            <xdr:cNvSpPr/>
          </xdr:nvSpPr>
          <xdr:spPr bwMode="auto">
            <a:xfrm>
              <a:off x="0" y="0"/>
              <a:ext cx="0" cy="0"/>
            </a:xfrm>
            <a:prstGeom prst="rect">
              <a:avLst/>
            </a:prstGeom>
            <a:noFill/>
            <a:ln>
              <a:noFill/>
            </a:ln>
            <a:effectLst/>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xdr:wsDr>
</file>

<file path=xl/drawings/drawing21.xml><?xml version="1.0" encoding="utf-8"?>
<xdr:wsDr xmlns:a="http://schemas.openxmlformats.org/drawingml/2006/main" xmlns:xdr="http://schemas.openxmlformats.org/drawingml/2006/spreadsheetDrawing">
  <mc:AlternateContent xmlns:mc="http://schemas.openxmlformats.org/markup-compatibility/2006">
    <mc:Choice xmlns:a14="http://schemas.microsoft.com/office/drawing/2010/main" Requires="a14">
      <xdr:twoCellAnchor>
        <xdr:from>
          <xdr:col>7</xdr:col>
          <xdr:colOff>361950</xdr:colOff>
          <xdr:row>5</xdr:row>
          <xdr:rowOff>28575</xdr:rowOff>
        </xdr:from>
        <xdr:to>
          <xdr:col>12</xdr:col>
          <xdr:colOff>790575</xdr:colOff>
          <xdr:row>7</xdr:row>
          <xdr:rowOff>9525</xdr:rowOff>
        </xdr:to>
        <xdr:sp macro="" textlink="">
          <xdr:nvSpPr>
            <xdr:cNvPr hidden="1" id="24582" name="Button 6">
              <a:extLst>
                <a:ext uri="{63B3BB69-23CF-44E3-9099-C40C66FF867C}">
                  <a14:compatExt spid="_x0000_s24582"/>
                </a:ext>
                <a:ext uri="{FF2B5EF4-FFF2-40B4-BE49-F238E27FC236}">
                  <a16:creationId xmlns:a16="http://schemas.microsoft.com/office/drawing/2014/main" id="{00000000-0008-0000-2F00-000006600000}"/>
                </a:ext>
              </a:extLst>
            </xdr:cNvPr>
            <xdr:cNvSpPr/>
          </xdr:nvSpPr>
          <xdr:spPr bwMode="auto">
            <a:xfrm>
              <a:off x="0" y="0"/>
              <a:ext cx="0" cy="0"/>
            </a:xfrm>
            <a:prstGeom prst="rect">
              <a:avLst/>
            </a:prstGeom>
            <a:noFill/>
            <a:ln w="9525">
              <a:miter lim="800000"/>
              <a:headEnd/>
              <a:tailEnd/>
            </a:ln>
          </xdr:spPr>
          <xdr:txBody>
            <a:bodyPr anchor="ctr" bIns="27432" lIns="36576" rIns="36576" tIns="27432" upright="1" vertOverflow="clip" wrap="square"/>
            <a:lstStyle/>
            <a:p>
              <a:pPr algn="ctr" rtl="0">
                <a:defRPr sz="1000"/>
              </a:pPr>
              <a:r>
                <a:rPr b="1" baseline="0" i="0" lang="en-US" strike="noStrike" sz="1200" u="none">
                  <a:solidFill>
                    <a:srgbClr val="008080"/>
                  </a:solidFill>
                  <a:latin typeface="Arial"/>
                  <a:cs typeface="Arial"/>
                </a:rPr>
                <a:t>Calculate FTCR and update box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9</xdr:row>
          <xdr:rowOff>0</xdr:rowOff>
        </xdr:from>
        <xdr:to>
          <xdr:col>3</xdr:col>
          <xdr:colOff>38100</xdr:colOff>
          <xdr:row>10</xdr:row>
          <xdr:rowOff>38100</xdr:rowOff>
        </xdr:to>
        <xdr:sp macro="" textlink="">
          <xdr:nvSpPr>
            <xdr:cNvPr hidden="1" id="24584" name="Drop Down 8">
              <a:extLst>
                <a:ext uri="{63B3BB69-23CF-44E3-9099-C40C66FF867C}">
                  <a14:compatExt spid="_x0000_s24584"/>
                </a:ext>
                <a:ext uri="{FF2B5EF4-FFF2-40B4-BE49-F238E27FC236}">
                  <a16:creationId xmlns:a16="http://schemas.microsoft.com/office/drawing/2014/main" id="{00000000-0008-0000-2F00-00000860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13</xdr:row>
          <xdr:rowOff>0</xdr:rowOff>
        </xdr:from>
        <xdr:to>
          <xdr:col>3</xdr:col>
          <xdr:colOff>28575</xdr:colOff>
          <xdr:row>14</xdr:row>
          <xdr:rowOff>38100</xdr:rowOff>
        </xdr:to>
        <xdr:sp macro="" textlink="">
          <xdr:nvSpPr>
            <xdr:cNvPr hidden="1" id="24585" name="Drop Down 9">
              <a:extLst>
                <a:ext uri="{63B3BB69-23CF-44E3-9099-C40C66FF867C}">
                  <a14:compatExt spid="_x0000_s24585"/>
                </a:ext>
                <a:ext uri="{FF2B5EF4-FFF2-40B4-BE49-F238E27FC236}">
                  <a16:creationId xmlns:a16="http://schemas.microsoft.com/office/drawing/2014/main" id="{00000000-0008-0000-2F00-00000960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17</xdr:row>
          <xdr:rowOff>0</xdr:rowOff>
        </xdr:from>
        <xdr:to>
          <xdr:col>3</xdr:col>
          <xdr:colOff>47625</xdr:colOff>
          <xdr:row>18</xdr:row>
          <xdr:rowOff>38100</xdr:rowOff>
        </xdr:to>
        <xdr:sp macro="" textlink="">
          <xdr:nvSpPr>
            <xdr:cNvPr hidden="1" id="24586" name="Drop Down 10">
              <a:extLst>
                <a:ext uri="{63B3BB69-23CF-44E3-9099-C40C66FF867C}">
                  <a14:compatExt spid="_x0000_s24586"/>
                </a:ext>
                <a:ext uri="{FF2B5EF4-FFF2-40B4-BE49-F238E27FC236}">
                  <a16:creationId xmlns:a16="http://schemas.microsoft.com/office/drawing/2014/main" id="{00000000-0008-0000-2F00-00000A60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21</xdr:row>
          <xdr:rowOff>0</xdr:rowOff>
        </xdr:from>
        <xdr:to>
          <xdr:col>3</xdr:col>
          <xdr:colOff>47625</xdr:colOff>
          <xdr:row>22</xdr:row>
          <xdr:rowOff>38100</xdr:rowOff>
        </xdr:to>
        <xdr:sp macro="" textlink="">
          <xdr:nvSpPr>
            <xdr:cNvPr hidden="1" id="24587" name="Drop Down 11">
              <a:extLst>
                <a:ext uri="{63B3BB69-23CF-44E3-9099-C40C66FF867C}">
                  <a14:compatExt spid="_x0000_s24587"/>
                </a:ext>
                <a:ext uri="{FF2B5EF4-FFF2-40B4-BE49-F238E27FC236}">
                  <a16:creationId xmlns:a16="http://schemas.microsoft.com/office/drawing/2014/main" id="{00000000-0008-0000-2F00-00000B60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8</xdr:row>
          <xdr:rowOff>133350</xdr:rowOff>
        </xdr:from>
        <xdr:to>
          <xdr:col>10</xdr:col>
          <xdr:colOff>628650</xdr:colOff>
          <xdr:row>10</xdr:row>
          <xdr:rowOff>9525</xdr:rowOff>
        </xdr:to>
        <xdr:sp macro="" textlink="">
          <xdr:nvSpPr>
            <xdr:cNvPr hidden="1" id="24589" name="Drop Down 13">
              <a:extLst>
                <a:ext uri="{63B3BB69-23CF-44E3-9099-C40C66FF867C}">
                  <a14:compatExt spid="_x0000_s24589"/>
                </a:ext>
                <a:ext uri="{FF2B5EF4-FFF2-40B4-BE49-F238E27FC236}">
                  <a16:creationId xmlns:a16="http://schemas.microsoft.com/office/drawing/2014/main" id="{00000000-0008-0000-2F00-00000D60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12</xdr:row>
          <xdr:rowOff>133350</xdr:rowOff>
        </xdr:from>
        <xdr:to>
          <xdr:col>10</xdr:col>
          <xdr:colOff>628650</xdr:colOff>
          <xdr:row>14</xdr:row>
          <xdr:rowOff>9525</xdr:rowOff>
        </xdr:to>
        <xdr:sp macro="" textlink="">
          <xdr:nvSpPr>
            <xdr:cNvPr hidden="1" id="24590" name="Drop Down 14">
              <a:extLst>
                <a:ext uri="{63B3BB69-23CF-44E3-9099-C40C66FF867C}">
                  <a14:compatExt spid="_x0000_s24590"/>
                </a:ext>
                <a:ext uri="{FF2B5EF4-FFF2-40B4-BE49-F238E27FC236}">
                  <a16:creationId xmlns:a16="http://schemas.microsoft.com/office/drawing/2014/main" id="{00000000-0008-0000-2F00-00000E60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9525</xdr:colOff>
          <xdr:row>16</xdr:row>
          <xdr:rowOff>123825</xdr:rowOff>
        </xdr:from>
        <xdr:to>
          <xdr:col>10</xdr:col>
          <xdr:colOff>638175</xdr:colOff>
          <xdr:row>17</xdr:row>
          <xdr:rowOff>161925</xdr:rowOff>
        </xdr:to>
        <xdr:sp macro="" textlink="">
          <xdr:nvSpPr>
            <xdr:cNvPr hidden="1" id="24591" name="Drop Down 15">
              <a:extLst>
                <a:ext uri="{63B3BB69-23CF-44E3-9099-C40C66FF867C}">
                  <a14:compatExt spid="_x0000_s24591"/>
                </a:ext>
                <a:ext uri="{FF2B5EF4-FFF2-40B4-BE49-F238E27FC236}">
                  <a16:creationId xmlns:a16="http://schemas.microsoft.com/office/drawing/2014/main" id="{00000000-0008-0000-2F00-00000F60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20</xdr:row>
          <xdr:rowOff>142875</xdr:rowOff>
        </xdr:from>
        <xdr:to>
          <xdr:col>10</xdr:col>
          <xdr:colOff>628650</xdr:colOff>
          <xdr:row>22</xdr:row>
          <xdr:rowOff>19050</xdr:rowOff>
        </xdr:to>
        <xdr:sp macro="" textlink="">
          <xdr:nvSpPr>
            <xdr:cNvPr hidden="1" id="24592" name="Drop Down 16">
              <a:extLst>
                <a:ext uri="{63B3BB69-23CF-44E3-9099-C40C66FF867C}">
                  <a14:compatExt spid="_x0000_s24592"/>
                </a:ext>
                <a:ext uri="{FF2B5EF4-FFF2-40B4-BE49-F238E27FC236}">
                  <a16:creationId xmlns:a16="http://schemas.microsoft.com/office/drawing/2014/main" id="{00000000-0008-0000-2F00-00001060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xdr:twoCellAnchor>
    <xdr:from>
      <xdr:col>14</xdr:col>
      <xdr:colOff>152400</xdr:colOff>
      <xdr:row>1</xdr:row>
      <xdr:rowOff>0</xdr:rowOff>
    </xdr:from>
    <xdr:to>
      <xdr:col>14</xdr:col>
      <xdr:colOff>1685925</xdr:colOff>
      <xdr:row>28</xdr:row>
      <xdr:rowOff>63500</xdr:rowOff>
    </xdr:to>
    <xdr:sp macro="" textlink="">
      <xdr:nvSpPr>
        <xdr:cNvPr id="24593" name="Text Box 17">
          <a:extLst>
            <a:ext uri="{FF2B5EF4-FFF2-40B4-BE49-F238E27FC236}">
              <a16:creationId xmlns:a16="http://schemas.microsoft.com/office/drawing/2014/main" id="{00000000-0008-0000-2F00-000011600000}"/>
            </a:ext>
          </a:extLst>
        </xdr:cNvPr>
        <xdr:cNvSpPr txBox="1">
          <a:spLocks noChangeArrowheads="1"/>
        </xdr:cNvSpPr>
      </xdr:nvSpPr>
      <xdr:spPr bwMode="auto">
        <a:xfrm>
          <a:off x="10111317" y="158750"/>
          <a:ext cx="1533525" cy="4349750"/>
        </a:xfrm>
        <a:prstGeom prst="rect">
          <a:avLst/>
        </a:prstGeom>
        <a:noFill/>
        <a:ln w="9525">
          <a:solidFill>
            <a:srgbClr xmlns:a14="http://schemas.microsoft.com/office/drawing/2010/main" xmlns:mc="http://schemas.openxmlformats.org/markup-compatibility/2006" a14:legacySpreadsheetColorIndex="64" mc:Ignorable="a14" val="000000"/>
          </a:solidFill>
          <a:miter lim="800000"/>
          <a:headEnd/>
          <a:tailEnd/>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900" u="none">
              <a:solidFill>
                <a:srgbClr val="008080"/>
              </a:solidFill>
              <a:latin typeface="Arial"/>
              <a:cs typeface="Arial"/>
            </a:rPr>
            <a:t>Select the income type, enter the income from column B of the foreign pages,  and the tax from column C.</a:t>
          </a:r>
        </a:p>
        <a:p>
          <a:pPr algn="l" rtl="0">
            <a:defRPr sz="1000"/>
          </a:pPr>
          <a:endParaRPr b="0" baseline="0" i="0" lang="en-GB" strike="noStrike" sz="900" u="none">
            <a:solidFill>
              <a:srgbClr val="008080"/>
            </a:solidFill>
            <a:latin typeface="Arial"/>
            <a:cs typeface="Arial"/>
          </a:endParaRPr>
        </a:p>
        <a:p>
          <a:pPr algn="l" rtl="0">
            <a:defRPr sz="1000"/>
          </a:pPr>
          <a:r>
            <a:rPr b="0" baseline="0" i="0" lang="en-GB" strike="noStrike" sz="900" u="none">
              <a:solidFill>
                <a:srgbClr val="008080"/>
              </a:solidFill>
              <a:latin typeface="Arial"/>
              <a:cs typeface="Arial"/>
            </a:rPr>
            <a:t>For foreign dividends that qualify for UK tax credits select income type: 'dividends that qualify for UK tax credits'.</a:t>
          </a:r>
        </a:p>
        <a:p>
          <a:pPr algn="l" rtl="0">
            <a:defRPr sz="1000"/>
          </a:pPr>
          <a:endParaRPr b="0" baseline="0" i="0" lang="en-GB" strike="noStrike" sz="900" u="none">
            <a:solidFill>
              <a:srgbClr val="008080"/>
            </a:solidFill>
            <a:latin typeface="Arial"/>
            <a:cs typeface="Arial"/>
          </a:endParaRPr>
        </a:p>
        <a:p>
          <a:pPr algn="l" rtl="0">
            <a:defRPr sz="1000"/>
          </a:pPr>
          <a:r>
            <a:rPr b="0" baseline="0" i="0" lang="en-GB" strike="noStrike" sz="900" u="none">
              <a:solidFill>
                <a:srgbClr val="008080"/>
              </a:solidFill>
              <a:latin typeface="Arial"/>
              <a:cs typeface="Arial"/>
            </a:rPr>
            <a:t>For foreign dividends that do not qualify for UK tax credits (in FOR7)  select income type: 'dividends that do not qualify'.</a:t>
          </a:r>
        </a:p>
        <a:p>
          <a:pPr algn="l" rtl="0">
            <a:defRPr sz="1000"/>
          </a:pPr>
          <a:endParaRPr b="0" baseline="0" i="0" lang="en-GB" strike="noStrike" sz="900" u="none">
            <a:solidFill>
              <a:srgbClr val="008080"/>
            </a:solidFill>
            <a:latin typeface="Arial"/>
            <a:cs typeface="Arial"/>
          </a:endParaRPr>
        </a:p>
        <a:p>
          <a:pPr algn="l" rtl="0">
            <a:defRPr sz="1000"/>
          </a:pPr>
          <a:r>
            <a:rPr b="0" baseline="0" i="0" lang="en-GB" strike="noStrike" sz="900" u="none">
              <a:solidFill>
                <a:srgbClr val="008080"/>
              </a:solidFill>
              <a:latin typeface="Arial"/>
              <a:cs typeface="Arial"/>
            </a:rPr>
            <a:t>If restrictions apply to the maximum % of foreign tax that can be claimed (see link) select the % restriction that is to apply. (If no restrictions use 100%).</a:t>
          </a:r>
        </a:p>
        <a:p>
          <a:pPr algn="l" rtl="0">
            <a:defRPr sz="1000"/>
          </a:pPr>
          <a:endParaRPr b="0" baseline="0" i="0" lang="en-GB" strike="noStrike" sz="900" u="none">
            <a:solidFill>
              <a:srgbClr val="008080"/>
            </a:solidFill>
            <a:latin typeface="Arial"/>
            <a:cs typeface="Arial"/>
          </a:endParaRPr>
        </a:p>
        <a:p>
          <a:pPr algn="l" rtl="0">
            <a:defRPr sz="1000"/>
          </a:pPr>
          <a:r>
            <a:rPr b="0" baseline="0" i="0" lang="en-GB" strike="noStrike" sz="900" u="none">
              <a:solidFill>
                <a:srgbClr val="008080"/>
              </a:solidFill>
              <a:latin typeface="Arial"/>
              <a:cs typeface="Arial"/>
            </a:rPr>
            <a:t>Press the 'Calculate FTCR and update box 2' button to calculate the FTCR due. </a:t>
          </a:r>
        </a:p>
        <a:p>
          <a:pPr algn="l" rtl="0">
            <a:defRPr sz="1000"/>
          </a:pPr>
          <a:endParaRPr b="0" baseline="0" i="0" lang="en-GB" strike="noStrike" sz="900" u="none">
            <a:solidFill>
              <a:srgbClr val="008080"/>
            </a:solidFill>
            <a:latin typeface="Arial"/>
            <a:cs typeface="Arial"/>
          </a:endParaRPr>
        </a:p>
        <a:p>
          <a:pPr algn="l" rtl="0">
            <a:defRPr sz="1000"/>
          </a:pPr>
          <a:r>
            <a:rPr b="0" baseline="0" i="0" lang="en-GB" strike="noStrike" sz="900" u="none">
              <a:solidFill>
                <a:srgbClr val="008080"/>
              </a:solidFill>
              <a:latin typeface="Arial"/>
              <a:cs typeface="Arial"/>
            </a:rPr>
            <a:t>The calculation will do any grossing-up necessary and apply any restrictions specified.</a:t>
          </a:r>
        </a:p>
      </xdr:txBody>
    </xdr:sp>
    <xdr:clientData/>
  </xdr:twoCellAnchor>
  <mc:AlternateContent xmlns:mc="http://schemas.openxmlformats.org/markup-compatibility/2006">
    <mc:Choice xmlns:a14="http://schemas.microsoft.com/office/drawing/2010/main" Requires="a14">
      <xdr:twoCellAnchor editAs="oneCell">
        <xdr:from>
          <xdr:col>2</xdr:col>
          <xdr:colOff>19050</xdr:colOff>
          <xdr:row>25</xdr:row>
          <xdr:rowOff>0</xdr:rowOff>
        </xdr:from>
        <xdr:to>
          <xdr:col>3</xdr:col>
          <xdr:colOff>47625</xdr:colOff>
          <xdr:row>26</xdr:row>
          <xdr:rowOff>38100</xdr:rowOff>
        </xdr:to>
        <xdr:sp macro="" textlink="">
          <xdr:nvSpPr>
            <xdr:cNvPr hidden="1" id="24594" name="Drop Down 18">
              <a:extLst>
                <a:ext uri="{63B3BB69-23CF-44E3-9099-C40C66FF867C}">
                  <a14:compatExt spid="_x0000_s24594"/>
                </a:ext>
                <a:ext uri="{FF2B5EF4-FFF2-40B4-BE49-F238E27FC236}">
                  <a16:creationId xmlns:a16="http://schemas.microsoft.com/office/drawing/2014/main" id="{00000000-0008-0000-2F00-00001260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24</xdr:row>
          <xdr:rowOff>133350</xdr:rowOff>
        </xdr:from>
        <xdr:to>
          <xdr:col>10</xdr:col>
          <xdr:colOff>628650</xdr:colOff>
          <xdr:row>26</xdr:row>
          <xdr:rowOff>9525</xdr:rowOff>
        </xdr:to>
        <xdr:sp macro="" textlink="">
          <xdr:nvSpPr>
            <xdr:cNvPr hidden="1" id="24595" name="Drop Down 19">
              <a:extLst>
                <a:ext uri="{63B3BB69-23CF-44E3-9099-C40C66FF867C}">
                  <a14:compatExt spid="_x0000_s24595"/>
                </a:ext>
                <a:ext uri="{FF2B5EF4-FFF2-40B4-BE49-F238E27FC236}">
                  <a16:creationId xmlns:a16="http://schemas.microsoft.com/office/drawing/2014/main" id="{00000000-0008-0000-2F00-00001360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29</xdr:row>
          <xdr:rowOff>0</xdr:rowOff>
        </xdr:from>
        <xdr:to>
          <xdr:col>3</xdr:col>
          <xdr:colOff>47625</xdr:colOff>
          <xdr:row>30</xdr:row>
          <xdr:rowOff>38100</xdr:rowOff>
        </xdr:to>
        <xdr:sp macro="" textlink="">
          <xdr:nvSpPr>
            <xdr:cNvPr hidden="1" id="24596" name="Drop Down 20">
              <a:extLst>
                <a:ext uri="{63B3BB69-23CF-44E3-9099-C40C66FF867C}">
                  <a14:compatExt spid="_x0000_s24596"/>
                </a:ext>
                <a:ext uri="{FF2B5EF4-FFF2-40B4-BE49-F238E27FC236}">
                  <a16:creationId xmlns:a16="http://schemas.microsoft.com/office/drawing/2014/main" id="{00000000-0008-0000-2F00-00001460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28</xdr:row>
          <xdr:rowOff>142875</xdr:rowOff>
        </xdr:from>
        <xdr:to>
          <xdr:col>10</xdr:col>
          <xdr:colOff>628650</xdr:colOff>
          <xdr:row>30</xdr:row>
          <xdr:rowOff>19050</xdr:rowOff>
        </xdr:to>
        <xdr:sp macro="" textlink="">
          <xdr:nvSpPr>
            <xdr:cNvPr hidden="1" id="24597" name="Drop Down 21">
              <a:extLst>
                <a:ext uri="{63B3BB69-23CF-44E3-9099-C40C66FF867C}">
                  <a14:compatExt spid="_x0000_s24597"/>
                </a:ext>
                <a:ext uri="{FF2B5EF4-FFF2-40B4-BE49-F238E27FC236}">
                  <a16:creationId xmlns:a16="http://schemas.microsoft.com/office/drawing/2014/main" id="{00000000-0008-0000-2F00-00001560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33</xdr:row>
          <xdr:rowOff>0</xdr:rowOff>
        </xdr:from>
        <xdr:to>
          <xdr:col>3</xdr:col>
          <xdr:colOff>47625</xdr:colOff>
          <xdr:row>34</xdr:row>
          <xdr:rowOff>38100</xdr:rowOff>
        </xdr:to>
        <xdr:sp macro="" textlink="">
          <xdr:nvSpPr>
            <xdr:cNvPr hidden="1" id="24598" name="Drop Down 22">
              <a:extLst>
                <a:ext uri="{63B3BB69-23CF-44E3-9099-C40C66FF867C}">
                  <a14:compatExt spid="_x0000_s24598"/>
                </a:ext>
                <a:ext uri="{FF2B5EF4-FFF2-40B4-BE49-F238E27FC236}">
                  <a16:creationId xmlns:a16="http://schemas.microsoft.com/office/drawing/2014/main" id="{00000000-0008-0000-2F00-00001660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32</xdr:row>
          <xdr:rowOff>142875</xdr:rowOff>
        </xdr:from>
        <xdr:to>
          <xdr:col>10</xdr:col>
          <xdr:colOff>628650</xdr:colOff>
          <xdr:row>34</xdr:row>
          <xdr:rowOff>19050</xdr:rowOff>
        </xdr:to>
        <xdr:sp macro="" textlink="">
          <xdr:nvSpPr>
            <xdr:cNvPr hidden="1" id="24599" name="Drop Down 23">
              <a:extLst>
                <a:ext uri="{63B3BB69-23CF-44E3-9099-C40C66FF867C}">
                  <a14:compatExt spid="_x0000_s24599"/>
                </a:ext>
                <a:ext uri="{FF2B5EF4-FFF2-40B4-BE49-F238E27FC236}">
                  <a16:creationId xmlns:a16="http://schemas.microsoft.com/office/drawing/2014/main" id="{00000000-0008-0000-2F00-00001760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37</xdr:row>
          <xdr:rowOff>0</xdr:rowOff>
        </xdr:from>
        <xdr:to>
          <xdr:col>3</xdr:col>
          <xdr:colOff>47625</xdr:colOff>
          <xdr:row>38</xdr:row>
          <xdr:rowOff>38100</xdr:rowOff>
        </xdr:to>
        <xdr:sp macro="" textlink="">
          <xdr:nvSpPr>
            <xdr:cNvPr hidden="1" id="24600" name="Drop Down 24">
              <a:extLst>
                <a:ext uri="{63B3BB69-23CF-44E3-9099-C40C66FF867C}">
                  <a14:compatExt spid="_x0000_s24600"/>
                </a:ext>
                <a:ext uri="{FF2B5EF4-FFF2-40B4-BE49-F238E27FC236}">
                  <a16:creationId xmlns:a16="http://schemas.microsoft.com/office/drawing/2014/main" id="{00000000-0008-0000-2F00-00001860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36</xdr:row>
          <xdr:rowOff>142875</xdr:rowOff>
        </xdr:from>
        <xdr:to>
          <xdr:col>10</xdr:col>
          <xdr:colOff>628650</xdr:colOff>
          <xdr:row>38</xdr:row>
          <xdr:rowOff>19050</xdr:rowOff>
        </xdr:to>
        <xdr:sp macro="" textlink="">
          <xdr:nvSpPr>
            <xdr:cNvPr hidden="1" id="24601" name="Drop Down 25">
              <a:extLst>
                <a:ext uri="{63B3BB69-23CF-44E3-9099-C40C66FF867C}">
                  <a14:compatExt spid="_x0000_s24601"/>
                </a:ext>
                <a:ext uri="{FF2B5EF4-FFF2-40B4-BE49-F238E27FC236}">
                  <a16:creationId xmlns:a16="http://schemas.microsoft.com/office/drawing/2014/main" id="{00000000-0008-0000-2F00-00001960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41</xdr:row>
          <xdr:rowOff>0</xdr:rowOff>
        </xdr:from>
        <xdr:to>
          <xdr:col>3</xdr:col>
          <xdr:colOff>47625</xdr:colOff>
          <xdr:row>42</xdr:row>
          <xdr:rowOff>38100</xdr:rowOff>
        </xdr:to>
        <xdr:sp macro="" textlink="">
          <xdr:nvSpPr>
            <xdr:cNvPr hidden="1" id="24618" name="Drop Down 42">
              <a:extLst>
                <a:ext uri="{63B3BB69-23CF-44E3-9099-C40C66FF867C}">
                  <a14:compatExt spid="_x0000_s24618"/>
                </a:ext>
                <a:ext uri="{FF2B5EF4-FFF2-40B4-BE49-F238E27FC236}">
                  <a16:creationId xmlns:a16="http://schemas.microsoft.com/office/drawing/2014/main" id="{00000000-0008-0000-2F00-00002A60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40</xdr:row>
          <xdr:rowOff>133350</xdr:rowOff>
        </xdr:from>
        <xdr:to>
          <xdr:col>10</xdr:col>
          <xdr:colOff>628650</xdr:colOff>
          <xdr:row>42</xdr:row>
          <xdr:rowOff>9525</xdr:rowOff>
        </xdr:to>
        <xdr:sp macro="" textlink="">
          <xdr:nvSpPr>
            <xdr:cNvPr hidden="1" id="24619" name="Drop Down 43">
              <a:extLst>
                <a:ext uri="{63B3BB69-23CF-44E3-9099-C40C66FF867C}">
                  <a14:compatExt spid="_x0000_s24619"/>
                </a:ext>
                <a:ext uri="{FF2B5EF4-FFF2-40B4-BE49-F238E27FC236}">
                  <a16:creationId xmlns:a16="http://schemas.microsoft.com/office/drawing/2014/main" id="{00000000-0008-0000-2F00-00002B60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45</xdr:row>
          <xdr:rowOff>0</xdr:rowOff>
        </xdr:from>
        <xdr:to>
          <xdr:col>3</xdr:col>
          <xdr:colOff>47625</xdr:colOff>
          <xdr:row>46</xdr:row>
          <xdr:rowOff>38100</xdr:rowOff>
        </xdr:to>
        <xdr:sp macro="" textlink="">
          <xdr:nvSpPr>
            <xdr:cNvPr hidden="1" id="24620" name="Drop Down 44">
              <a:extLst>
                <a:ext uri="{63B3BB69-23CF-44E3-9099-C40C66FF867C}">
                  <a14:compatExt spid="_x0000_s24620"/>
                </a:ext>
                <a:ext uri="{FF2B5EF4-FFF2-40B4-BE49-F238E27FC236}">
                  <a16:creationId xmlns:a16="http://schemas.microsoft.com/office/drawing/2014/main" id="{00000000-0008-0000-2F00-00002C60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44</xdr:row>
          <xdr:rowOff>142875</xdr:rowOff>
        </xdr:from>
        <xdr:to>
          <xdr:col>10</xdr:col>
          <xdr:colOff>628650</xdr:colOff>
          <xdr:row>46</xdr:row>
          <xdr:rowOff>19050</xdr:rowOff>
        </xdr:to>
        <xdr:sp macro="" textlink="">
          <xdr:nvSpPr>
            <xdr:cNvPr hidden="1" id="24621" name="Drop Down 45">
              <a:extLst>
                <a:ext uri="{63B3BB69-23CF-44E3-9099-C40C66FF867C}">
                  <a14:compatExt spid="_x0000_s24621"/>
                </a:ext>
                <a:ext uri="{FF2B5EF4-FFF2-40B4-BE49-F238E27FC236}">
                  <a16:creationId xmlns:a16="http://schemas.microsoft.com/office/drawing/2014/main" id="{00000000-0008-0000-2F00-00002D60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xdr:wsDr>
</file>

<file path=xl/drawings/drawing22.xml><?xml version="1.0" encoding="utf-8"?>
<xdr:wsDr xmlns:a="http://schemas.openxmlformats.org/drawingml/2006/main" xmlns:xdr="http://schemas.openxmlformats.org/drawingml/2006/spreadsheetDrawing">
  <mc:AlternateContent xmlns:mc="http://schemas.openxmlformats.org/markup-compatibility/2006">
    <mc:Choice xmlns:a14="http://schemas.microsoft.com/office/drawing/2010/main" Requires="a14">
      <xdr:twoCellAnchor editAs="absolute">
        <xdr:from>
          <xdr:col>1</xdr:col>
          <xdr:colOff>171450</xdr:colOff>
          <xdr:row>19</xdr:row>
          <xdr:rowOff>133350</xdr:rowOff>
        </xdr:from>
        <xdr:to>
          <xdr:col>7</xdr:col>
          <xdr:colOff>0</xdr:colOff>
          <xdr:row>22</xdr:row>
          <xdr:rowOff>28575</xdr:rowOff>
        </xdr:to>
        <xdr:sp macro="" textlink="">
          <xdr:nvSpPr>
            <xdr:cNvPr hidden="1" id="27649" name="Button 1">
              <a:extLst>
                <a:ext uri="{63B3BB69-23CF-44E3-9099-C40C66FF867C}">
                  <a14:compatExt spid="_x0000_s27649"/>
                </a:ext>
                <a:ext uri="{FF2B5EF4-FFF2-40B4-BE49-F238E27FC236}">
                  <a16:creationId xmlns:a16="http://schemas.microsoft.com/office/drawing/2014/main" id="{00000000-0008-0000-3000-0000016C0000}"/>
                </a:ext>
              </a:extLst>
            </xdr:cNvPr>
            <xdr:cNvSpPr/>
          </xdr:nvSpPr>
          <xdr:spPr bwMode="auto">
            <a:xfrm>
              <a:off x="0" y="0"/>
              <a:ext cx="0" cy="0"/>
            </a:xfrm>
            <a:prstGeom prst="rect">
              <a:avLst/>
            </a:prstGeom>
            <a:noFill/>
            <a:ln w="9525">
              <a:miter lim="800000"/>
              <a:headEnd/>
              <a:tailEnd/>
            </a:ln>
          </xdr:spPr>
          <xdr:txBody>
            <a:bodyPr anchor="ctr" bIns="27432" lIns="27432" rIns="27432" tIns="27432" upright="1" vertOverflow="clip" wrap="square"/>
            <a:lstStyle/>
            <a:p>
              <a:pPr algn="ctr" rtl="0">
                <a:defRPr sz="1000"/>
              </a:pPr>
              <a:r>
                <a:rPr b="1" baseline="0" i="0" lang="en-US" strike="noStrike" sz="1100" u="none">
                  <a:solidFill>
                    <a:srgbClr val="008080"/>
                  </a:solidFill>
                  <a:latin typeface="Arial"/>
                  <a:cs typeface="Arial"/>
                </a:rPr>
                <a:t>Update boxes 43 to 45 on the Foreign pages</a:t>
              </a:r>
            </a:p>
          </xdr:txBody>
        </xdr:sp>
        <xdr:clientData fPrintsWithSheet="0"/>
      </xdr:twoCellAnchor>
    </mc:Choice>
    <mc:Fallback/>
  </mc:AlternateContent>
</xdr:wsDr>
</file>

<file path=xl/drawings/drawing23.xml><?xml version="1.0" encoding="utf-8"?>
<xdr:wsDr xmlns:a="http://schemas.openxmlformats.org/drawingml/2006/main" xmlns:xdr="http://schemas.openxmlformats.org/drawingml/2006/spreadsheetDrawing">
  <mc:AlternateContent xmlns:mc="http://schemas.openxmlformats.org/markup-compatibility/2006">
    <mc:Choice xmlns:a14="http://schemas.microsoft.com/office/drawing/2010/main" Requires="a14">
      <xdr:twoCellAnchor editAs="oneCell">
        <xdr:from>
          <xdr:col>15</xdr:col>
          <xdr:colOff>285750</xdr:colOff>
          <xdr:row>25</xdr:row>
          <xdr:rowOff>114300</xdr:rowOff>
        </xdr:from>
        <xdr:to>
          <xdr:col>16</xdr:col>
          <xdr:colOff>257175</xdr:colOff>
          <xdr:row>27</xdr:row>
          <xdr:rowOff>28575</xdr:rowOff>
        </xdr:to>
        <xdr:sp macro="" textlink="">
          <xdr:nvSpPr>
            <xdr:cNvPr hidden="1" id="226308" name="Check Box 4">
              <a:extLst>
                <a:ext uri="{63B3BB69-23CF-44E3-9099-C40C66FF867C}">
                  <a14:compatExt spid="_x0000_s226308"/>
                </a:ext>
                <a:ext uri="{FF2B5EF4-FFF2-40B4-BE49-F238E27FC236}">
                  <a16:creationId xmlns:a16="http://schemas.microsoft.com/office/drawing/2014/main" id="{00000000-0008-0000-3200-000004740300}"/>
                </a:ext>
              </a:extLst>
            </xdr:cNvPr>
            <xdr:cNvSpPr/>
          </xdr:nvSpPr>
          <xdr:spPr bwMode="auto">
            <a:xfrm>
              <a:off x="0" y="0"/>
              <a:ext cx="0" cy="0"/>
            </a:xfrm>
            <a:prstGeom prst="rect">
              <a:avLst/>
            </a:prstGeom>
            <a:noFill/>
            <a:ln>
              <a:noFill/>
            </a:ln>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Lst>
          </xdr:spPr>
        </xdr:sp>
        <xdr:clientData/>
      </xdr:twoCellAnchor>
    </mc:Choice>
    <mc:Fallback/>
  </mc:AlternateContent>
</xdr:wsDr>
</file>

<file path=xl/drawings/drawing24.xml><?xml version="1.0" encoding="utf-8"?>
<xdr:wsDr xmlns:a="http://schemas.openxmlformats.org/drawingml/2006/main" xmlns:xdr="http://schemas.openxmlformats.org/drawingml/2006/spreadsheetDrawing">
  <xdr:twoCellAnchor>
    <xdr:from>
      <xdr:col>8</xdr:col>
      <xdr:colOff>19050</xdr:colOff>
      <xdr:row>12</xdr:row>
      <xdr:rowOff>142875</xdr:rowOff>
    </xdr:from>
    <xdr:to>
      <xdr:col>11</xdr:col>
      <xdr:colOff>495300</xdr:colOff>
      <xdr:row>14</xdr:row>
      <xdr:rowOff>47625</xdr:rowOff>
    </xdr:to>
    <xdr:sp macro="[0]!NRD_RB_OVER_7YEARS_Click" textlink="">
      <xdr:nvSpPr>
        <xdr:cNvPr id="3093" name="Text Box 21">
          <a:extLst>
            <a:ext uri="{FF2B5EF4-FFF2-40B4-BE49-F238E27FC236}">
              <a16:creationId xmlns:a16="http://schemas.microsoft.com/office/drawing/2014/main" id="{00000000-0008-0000-3300-0000150C0000}"/>
            </a:ext>
          </a:extLst>
        </xdr:cNvPr>
        <xdr:cNvSpPr txBox="1">
          <a:spLocks noChangeArrowheads="1"/>
        </xdr:cNvSpPr>
      </xdr:nvSpPr>
      <xdr:spPr bwMode="auto">
        <a:xfrm>
          <a:off x="4095750" y="2085975"/>
          <a:ext cx="2952750" cy="228600"/>
        </a:xfrm>
        <a:prstGeom prst="rect">
          <a:avLst/>
        </a:prstGeom>
        <a:noFill/>
        <a:ln>
          <a:noFill/>
        </a:ln>
        <a:effectLst/>
      </xdr:spPr>
      <xdr:txBody>
        <a:bodyPr anchor="t" bIns="0" lIns="27432" rIns="0" tIns="22860" upright="1" vertOverflow="clip" wrap="square"/>
        <a:lstStyle/>
        <a:p>
          <a:pPr algn="l" rtl="0">
            <a:defRPr sz="1000"/>
          </a:pPr>
          <a:r>
            <a:rPr b="0" baseline="0" i="0" lang="en-GB" strike="noStrike" sz="1000" u="none">
              <a:solidFill>
                <a:srgbClr val="000000"/>
              </a:solidFill>
              <a:latin typeface="Arial"/>
              <a:cs typeface="Arial"/>
            </a:rPr>
            <a:t>If you were UK resident for 12 of the past 14 years</a:t>
          </a:r>
        </a:p>
      </xdr:txBody>
    </xdr:sp>
    <xdr:clientData/>
  </xdr:twoCellAnchor>
  <xdr:twoCellAnchor>
    <xdr:from>
      <xdr:col>8</xdr:col>
      <xdr:colOff>19049</xdr:colOff>
      <xdr:row>9</xdr:row>
      <xdr:rowOff>152400</xdr:rowOff>
    </xdr:from>
    <xdr:to>
      <xdr:col>10</xdr:col>
      <xdr:colOff>171449</xdr:colOff>
      <xdr:row>11</xdr:row>
      <xdr:rowOff>28575</xdr:rowOff>
    </xdr:to>
    <xdr:sp macro="[0]!NRD_RB_OVER_12YEARS_Click" textlink="">
      <xdr:nvSpPr>
        <xdr:cNvPr id="3094" name="Text Box 22">
          <a:extLst>
            <a:ext uri="{FF2B5EF4-FFF2-40B4-BE49-F238E27FC236}">
              <a16:creationId xmlns:a16="http://schemas.microsoft.com/office/drawing/2014/main" id="{00000000-0008-0000-3300-0000160C0000}"/>
            </a:ext>
          </a:extLst>
        </xdr:cNvPr>
        <xdr:cNvSpPr txBox="1">
          <a:spLocks noChangeArrowheads="1"/>
        </xdr:cNvSpPr>
      </xdr:nvSpPr>
      <xdr:spPr bwMode="auto">
        <a:xfrm>
          <a:off x="4095749" y="1609725"/>
          <a:ext cx="2276475" cy="200025"/>
        </a:xfrm>
        <a:prstGeom prst="rect">
          <a:avLst/>
        </a:prstGeom>
        <a:noFill/>
        <a:ln>
          <a:noFill/>
        </a:ln>
        <a:effectLst/>
      </xdr:spPr>
      <xdr:txBody>
        <a:bodyPr anchor="t" bIns="0" lIns="27432" rIns="0" tIns="22860" upright="1" vertOverflow="clip" wrap="square"/>
        <a:lstStyle/>
        <a:p>
          <a:pPr algn="l" rtl="0">
            <a:defRPr sz="1000"/>
          </a:pPr>
          <a:r>
            <a:rPr b="0" baseline="0" i="0" lang="en-GB" strike="noStrike" sz="1000" u="none">
              <a:solidFill>
                <a:srgbClr val="000000"/>
              </a:solidFill>
              <a:latin typeface="Arial"/>
              <a:cs typeface="Arial"/>
            </a:rPr>
            <a:t>If you were deemed UK domicile	</a:t>
          </a:r>
        </a:p>
      </xdr:txBody>
    </xdr:sp>
    <xdr:clientData/>
  </xdr:twoCellAnchor>
  <xdr:twoCellAnchor>
    <xdr:from>
      <xdr:col>8</xdr:col>
      <xdr:colOff>9525</xdr:colOff>
      <xdr:row>6</xdr:row>
      <xdr:rowOff>152400</xdr:rowOff>
    </xdr:from>
    <xdr:to>
      <xdr:col>10</xdr:col>
      <xdr:colOff>76200</xdr:colOff>
      <xdr:row>8</xdr:row>
      <xdr:rowOff>9525</xdr:rowOff>
    </xdr:to>
    <xdr:sp macro="[0]!NRD_RB_UNDER_2K_Click" textlink="">
      <xdr:nvSpPr>
        <xdr:cNvPr id="3092" name="Text Box 20">
          <a:extLst>
            <a:ext uri="{FF2B5EF4-FFF2-40B4-BE49-F238E27FC236}">
              <a16:creationId xmlns:a16="http://schemas.microsoft.com/office/drawing/2014/main" id="{00000000-0008-0000-3300-0000140C0000}"/>
            </a:ext>
          </a:extLst>
        </xdr:cNvPr>
        <xdr:cNvSpPr txBox="1">
          <a:spLocks noChangeArrowheads="1"/>
        </xdr:cNvSpPr>
      </xdr:nvSpPr>
      <xdr:spPr bwMode="auto">
        <a:xfrm>
          <a:off x="4524375" y="1123950"/>
          <a:ext cx="2190750" cy="180975"/>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algn="ctr" w="3175">
              <a:solidFill>
                <a:srgbClr xmlns:mc="http://schemas.openxmlformats.org/markup-compatibility/2006" a14:legacySpreadsheetColorIndex="21" mc:Ignorable="a14" val="00808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1000" u="none">
              <a:solidFill>
                <a:srgbClr val="000000"/>
              </a:solidFill>
              <a:latin typeface="Arial"/>
              <a:cs typeface="Arial"/>
            </a:rPr>
            <a:t>Unremitted income less than £2,000</a:t>
          </a:r>
        </a:p>
      </xdr:txBody>
    </xdr:sp>
    <xdr:clientData/>
  </xdr:twoCellAnchor>
  <xdr:twoCellAnchor>
    <xdr:from>
      <xdr:col>8</xdr:col>
      <xdr:colOff>9525</xdr:colOff>
      <xdr:row>3</xdr:row>
      <xdr:rowOff>152401</xdr:rowOff>
    </xdr:from>
    <xdr:to>
      <xdr:col>10</xdr:col>
      <xdr:colOff>76200</xdr:colOff>
      <xdr:row>5</xdr:row>
      <xdr:rowOff>19051</xdr:rowOff>
    </xdr:to>
    <xdr:sp macro="[0]!NRD_RB_CLAIM_Click" textlink="">
      <xdr:nvSpPr>
        <xdr:cNvPr id="3091" name="Text Box 19">
          <a:extLst>
            <a:ext uri="{FF2B5EF4-FFF2-40B4-BE49-F238E27FC236}">
              <a16:creationId xmlns:a16="http://schemas.microsoft.com/office/drawing/2014/main" id="{00000000-0008-0000-3300-0000130C0000}"/>
            </a:ext>
          </a:extLst>
        </xdr:cNvPr>
        <xdr:cNvSpPr txBox="1">
          <a:spLocks noChangeArrowheads="1"/>
        </xdr:cNvSpPr>
      </xdr:nvSpPr>
      <xdr:spPr bwMode="auto">
        <a:xfrm>
          <a:off x="4524375" y="638176"/>
          <a:ext cx="2190750" cy="190500"/>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algn="ctr" w="3175">
              <a:solidFill>
                <a:srgbClr xmlns:mc="http://schemas.openxmlformats.org/markup-compatibility/2006" a14:legacySpreadsheetColorIndex="21" mc:Ignorable="a14" val="00808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1000" u="none">
              <a:solidFill>
                <a:srgbClr val="000000"/>
              </a:solidFill>
              <a:latin typeface="Arial"/>
              <a:cs typeface="Arial"/>
            </a:rPr>
            <a:t>Claim for the remittance basis</a:t>
          </a:r>
        </a:p>
      </xdr:txBody>
    </xdr:sp>
    <xdr:clientData/>
  </xdr:twoCellAnchor>
  <xdr:twoCellAnchor>
    <xdr:from>
      <xdr:col>3</xdr:col>
      <xdr:colOff>0</xdr:colOff>
      <xdr:row>11</xdr:row>
      <xdr:rowOff>9525</xdr:rowOff>
    </xdr:from>
    <xdr:to>
      <xdr:col>5</xdr:col>
      <xdr:colOff>1000125</xdr:colOff>
      <xdr:row>13</xdr:row>
      <xdr:rowOff>0</xdr:rowOff>
    </xdr:to>
    <xdr:sp macro="[0]!NRD_ALL_CLAIM_OTHER_Click" textlink="">
      <xdr:nvSpPr>
        <xdr:cNvPr id="3090" name="Text Box 18">
          <a:extLst>
            <a:ext uri="{FF2B5EF4-FFF2-40B4-BE49-F238E27FC236}">
              <a16:creationId xmlns:a16="http://schemas.microsoft.com/office/drawing/2014/main" id="{00000000-0008-0000-3300-0000120C0000}"/>
            </a:ext>
          </a:extLst>
        </xdr:cNvPr>
        <xdr:cNvSpPr txBox="1">
          <a:spLocks noChangeArrowheads="1"/>
        </xdr:cNvSpPr>
      </xdr:nvSpPr>
      <xdr:spPr bwMode="auto">
        <a:xfrm>
          <a:off x="838200" y="1790700"/>
          <a:ext cx="2190750" cy="314325"/>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algn="ctr" w="3175">
              <a:solidFill>
                <a:srgbClr xmlns:mc="http://schemas.openxmlformats.org/markup-compatibility/2006" a14:legacySpreadsheetColorIndex="21" mc:Ignorable="a14" val="00808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1000" u="none">
              <a:solidFill>
                <a:srgbClr val="000000"/>
              </a:solidFill>
              <a:latin typeface="Arial"/>
              <a:cs typeface="Arial"/>
            </a:rPr>
            <a:t>Allowances claimed (other basis)</a:t>
          </a:r>
        </a:p>
      </xdr:txBody>
    </xdr:sp>
    <xdr:clientData/>
  </xdr:twoCellAnchor>
  <xdr:twoCellAnchor>
    <xdr:from>
      <xdr:col>2</xdr:col>
      <xdr:colOff>323850</xdr:colOff>
      <xdr:row>8</xdr:row>
      <xdr:rowOff>9525</xdr:rowOff>
    </xdr:from>
    <xdr:to>
      <xdr:col>5</xdr:col>
      <xdr:colOff>990600</xdr:colOff>
      <xdr:row>10</xdr:row>
      <xdr:rowOff>0</xdr:rowOff>
    </xdr:to>
    <xdr:sp macro="[0]!NRD_ALL_CLAIM_DTA_Click" textlink="">
      <xdr:nvSpPr>
        <xdr:cNvPr id="3089" name="Text Box 17">
          <a:extLst>
            <a:ext uri="{FF2B5EF4-FFF2-40B4-BE49-F238E27FC236}">
              <a16:creationId xmlns:a16="http://schemas.microsoft.com/office/drawing/2014/main" id="{00000000-0008-0000-3300-0000110C0000}"/>
            </a:ext>
          </a:extLst>
        </xdr:cNvPr>
        <xdr:cNvSpPr txBox="1">
          <a:spLocks noChangeArrowheads="1"/>
        </xdr:cNvSpPr>
      </xdr:nvSpPr>
      <xdr:spPr bwMode="auto">
        <a:xfrm>
          <a:off x="828675" y="1304925"/>
          <a:ext cx="2190750" cy="314325"/>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algn="ctr" w="3175">
              <a:solidFill>
                <a:srgbClr xmlns:mc="http://schemas.openxmlformats.org/markup-compatibility/2006" a14:legacySpreadsheetColorIndex="21" mc:Ignorable="a14" val="00808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1000" u="none">
              <a:solidFill>
                <a:srgbClr val="000000"/>
              </a:solidFill>
              <a:latin typeface="Arial"/>
              <a:cs typeface="Arial"/>
            </a:rPr>
            <a:t>Allowances claimed (by DTA)</a:t>
          </a:r>
        </a:p>
      </xdr:txBody>
    </xdr:sp>
    <xdr:clientData/>
  </xdr:twoCellAnchor>
  <xdr:twoCellAnchor>
    <xdr:from>
      <xdr:col>2</xdr:col>
      <xdr:colOff>314325</xdr:colOff>
      <xdr:row>4</xdr:row>
      <xdr:rowOff>0</xdr:rowOff>
    </xdr:from>
    <xdr:to>
      <xdr:col>5</xdr:col>
      <xdr:colOff>981075</xdr:colOff>
      <xdr:row>5</xdr:row>
      <xdr:rowOff>152400</xdr:rowOff>
    </xdr:to>
    <xdr:sp macro="[0]!NRD_NOT_RESIDENT_Click" textlink="">
      <xdr:nvSpPr>
        <xdr:cNvPr id="3088" name="Text Box 16">
          <a:extLst>
            <a:ext uri="{FF2B5EF4-FFF2-40B4-BE49-F238E27FC236}">
              <a16:creationId xmlns:a16="http://schemas.microsoft.com/office/drawing/2014/main" id="{00000000-0008-0000-3300-0000100C0000}"/>
            </a:ext>
          </a:extLst>
        </xdr:cNvPr>
        <xdr:cNvSpPr txBox="1">
          <a:spLocks noChangeArrowheads="1"/>
        </xdr:cNvSpPr>
      </xdr:nvSpPr>
      <xdr:spPr bwMode="auto">
        <a:xfrm>
          <a:off x="819150" y="647700"/>
          <a:ext cx="2190750" cy="314325"/>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algn="ctr" w="3175">
              <a:solidFill>
                <a:srgbClr xmlns:mc="http://schemas.openxmlformats.org/markup-compatibility/2006" a14:legacySpreadsheetColorIndex="21" mc:Ignorable="a14" val="00808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1000" u="none">
              <a:solidFill>
                <a:srgbClr val="000000"/>
              </a:solidFill>
              <a:latin typeface="Arial"/>
              <a:cs typeface="Arial"/>
            </a:rPr>
            <a:t>Not resident in UK for return year</a:t>
          </a:r>
        </a:p>
      </xdr:txBody>
    </xdr:sp>
    <xdr:clientData/>
  </xdr:twoCellAnchor>
  <mc:AlternateContent xmlns:mc="http://schemas.openxmlformats.org/markup-compatibility/2006">
    <mc:Choice xmlns:a14="http://schemas.microsoft.com/office/drawing/2010/main" Requires="a14">
      <xdr:twoCellAnchor editAs="oneCell">
        <xdr:from>
          <xdr:col>2</xdr:col>
          <xdr:colOff>285750</xdr:colOff>
          <xdr:row>4</xdr:row>
          <xdr:rowOff>104775</xdr:rowOff>
        </xdr:from>
        <xdr:to>
          <xdr:col>3</xdr:col>
          <xdr:colOff>238125</xdr:colOff>
          <xdr:row>6</xdr:row>
          <xdr:rowOff>0</xdr:rowOff>
        </xdr:to>
        <xdr:sp macro="" textlink="">
          <xdr:nvSpPr>
            <xdr:cNvPr hidden="1" id="3075" name="Check Box 3">
              <a:extLst>
                <a:ext uri="{63B3BB69-23CF-44E3-9099-C40C66FF867C}">
                  <a14:compatExt spid="_x0000_s3075"/>
                </a:ext>
                <a:ext uri="{FF2B5EF4-FFF2-40B4-BE49-F238E27FC236}">
                  <a16:creationId xmlns:a16="http://schemas.microsoft.com/office/drawing/2014/main" id="{00000000-0008-0000-3300-0000030C0000}"/>
                </a:ext>
              </a:extLst>
            </xdr:cNvPr>
            <xdr:cNvSpPr/>
          </xdr:nvSpPr>
          <xdr:spPr bwMode="auto">
            <a:xfrm>
              <a:off x="0" y="0"/>
              <a:ext cx="0" cy="0"/>
            </a:xfrm>
            <a:prstGeom prst="rect">
              <a:avLst/>
            </a:prstGeom>
            <a:noFill/>
            <a:ln>
              <a:noFill/>
            </a:ln>
            <a:effectLst/>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285750</xdr:colOff>
          <xdr:row>8</xdr:row>
          <xdr:rowOff>114300</xdr:rowOff>
        </xdr:from>
        <xdr:to>
          <xdr:col>3</xdr:col>
          <xdr:colOff>238125</xdr:colOff>
          <xdr:row>10</xdr:row>
          <xdr:rowOff>9525</xdr:rowOff>
        </xdr:to>
        <xdr:sp macro="" textlink="">
          <xdr:nvSpPr>
            <xdr:cNvPr hidden="1" id="3077" name="Check Box 5">
              <a:extLst>
                <a:ext uri="{63B3BB69-23CF-44E3-9099-C40C66FF867C}">
                  <a14:compatExt spid="_x0000_s3077"/>
                </a:ext>
                <a:ext uri="{FF2B5EF4-FFF2-40B4-BE49-F238E27FC236}">
                  <a16:creationId xmlns:a16="http://schemas.microsoft.com/office/drawing/2014/main" id="{00000000-0008-0000-3300-0000050C0000}"/>
                </a:ext>
              </a:extLst>
            </xdr:cNvPr>
            <xdr:cNvSpPr/>
          </xdr:nvSpPr>
          <xdr:spPr bwMode="auto">
            <a:xfrm>
              <a:off x="0" y="0"/>
              <a:ext cx="0" cy="0"/>
            </a:xfrm>
            <a:prstGeom prst="rect">
              <a:avLst/>
            </a:prstGeom>
            <a:noFill/>
            <a:ln>
              <a:noFill/>
            </a:ln>
            <a:effectLst/>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285750</xdr:colOff>
          <xdr:row>11</xdr:row>
          <xdr:rowOff>114300</xdr:rowOff>
        </xdr:from>
        <xdr:to>
          <xdr:col>3</xdr:col>
          <xdr:colOff>238125</xdr:colOff>
          <xdr:row>13</xdr:row>
          <xdr:rowOff>9525</xdr:rowOff>
        </xdr:to>
        <xdr:sp macro="" textlink="">
          <xdr:nvSpPr>
            <xdr:cNvPr hidden="1" id="3079" name="Check Box 7">
              <a:extLst>
                <a:ext uri="{63B3BB69-23CF-44E3-9099-C40C66FF867C}">
                  <a14:compatExt spid="_x0000_s3079"/>
                </a:ext>
                <a:ext uri="{FF2B5EF4-FFF2-40B4-BE49-F238E27FC236}">
                  <a16:creationId xmlns:a16="http://schemas.microsoft.com/office/drawing/2014/main" id="{00000000-0008-0000-3300-0000070C0000}"/>
                </a:ext>
              </a:extLst>
            </xdr:cNvPr>
            <xdr:cNvSpPr/>
          </xdr:nvSpPr>
          <xdr:spPr bwMode="auto">
            <a:xfrm>
              <a:off x="0" y="0"/>
              <a:ext cx="0" cy="0"/>
            </a:xfrm>
            <a:prstGeom prst="rect">
              <a:avLst/>
            </a:prstGeom>
            <a:noFill/>
            <a:ln>
              <a:noFill/>
            </a:ln>
            <a:effectLst/>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314325</xdr:colOff>
          <xdr:row>4</xdr:row>
          <xdr:rowOff>114300</xdr:rowOff>
        </xdr:from>
        <xdr:to>
          <xdr:col>8</xdr:col>
          <xdr:colOff>266700</xdr:colOff>
          <xdr:row>6</xdr:row>
          <xdr:rowOff>9525</xdr:rowOff>
        </xdr:to>
        <xdr:sp macro="" textlink="">
          <xdr:nvSpPr>
            <xdr:cNvPr hidden="1" id="3080" name="Check Box 8">
              <a:extLst>
                <a:ext uri="{63B3BB69-23CF-44E3-9099-C40C66FF867C}">
                  <a14:compatExt spid="_x0000_s3080"/>
                </a:ext>
                <a:ext uri="{FF2B5EF4-FFF2-40B4-BE49-F238E27FC236}">
                  <a16:creationId xmlns:a16="http://schemas.microsoft.com/office/drawing/2014/main" id="{00000000-0008-0000-3300-0000080C0000}"/>
                </a:ext>
              </a:extLst>
            </xdr:cNvPr>
            <xdr:cNvSpPr/>
          </xdr:nvSpPr>
          <xdr:spPr bwMode="auto">
            <a:xfrm>
              <a:off x="0" y="0"/>
              <a:ext cx="0" cy="0"/>
            </a:xfrm>
            <a:prstGeom prst="rect">
              <a:avLst/>
            </a:prstGeom>
            <a:noFill/>
            <a:ln>
              <a:noFill/>
            </a:ln>
            <a:effectLst/>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314325</xdr:colOff>
          <xdr:row>7</xdr:row>
          <xdr:rowOff>104775</xdr:rowOff>
        </xdr:from>
        <xdr:to>
          <xdr:col>8</xdr:col>
          <xdr:colOff>266700</xdr:colOff>
          <xdr:row>9</xdr:row>
          <xdr:rowOff>0</xdr:rowOff>
        </xdr:to>
        <xdr:sp macro="" textlink="">
          <xdr:nvSpPr>
            <xdr:cNvPr hidden="1" id="3082" name="Check Box 10">
              <a:extLst>
                <a:ext uri="{63B3BB69-23CF-44E3-9099-C40C66FF867C}">
                  <a14:compatExt spid="_x0000_s3082"/>
                </a:ext>
                <a:ext uri="{FF2B5EF4-FFF2-40B4-BE49-F238E27FC236}">
                  <a16:creationId xmlns:a16="http://schemas.microsoft.com/office/drawing/2014/main" id="{00000000-0008-0000-3300-00000A0C0000}"/>
                </a:ext>
              </a:extLst>
            </xdr:cNvPr>
            <xdr:cNvSpPr/>
          </xdr:nvSpPr>
          <xdr:spPr bwMode="auto">
            <a:xfrm>
              <a:off x="0" y="0"/>
              <a:ext cx="0" cy="0"/>
            </a:xfrm>
            <a:prstGeom prst="rect">
              <a:avLst/>
            </a:prstGeom>
            <a:noFill/>
            <a:ln>
              <a:noFill/>
            </a:ln>
            <a:effectLst/>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314325</xdr:colOff>
          <xdr:row>13</xdr:row>
          <xdr:rowOff>114300</xdr:rowOff>
        </xdr:from>
        <xdr:to>
          <xdr:col>8</xdr:col>
          <xdr:colOff>266700</xdr:colOff>
          <xdr:row>15</xdr:row>
          <xdr:rowOff>9525</xdr:rowOff>
        </xdr:to>
        <xdr:sp macro="" textlink="">
          <xdr:nvSpPr>
            <xdr:cNvPr hidden="1" id="3083" name="Check Box 11">
              <a:extLst>
                <a:ext uri="{63B3BB69-23CF-44E3-9099-C40C66FF867C}">
                  <a14:compatExt spid="_x0000_s3083"/>
                </a:ext>
                <a:ext uri="{FF2B5EF4-FFF2-40B4-BE49-F238E27FC236}">
                  <a16:creationId xmlns:a16="http://schemas.microsoft.com/office/drawing/2014/main" id="{00000000-0008-0000-3300-00000B0C0000}"/>
                </a:ext>
              </a:extLst>
            </xdr:cNvPr>
            <xdr:cNvSpPr/>
          </xdr:nvSpPr>
          <xdr:spPr bwMode="auto">
            <a:xfrm>
              <a:off x="0" y="0"/>
              <a:ext cx="0" cy="0"/>
            </a:xfrm>
            <a:prstGeom prst="rect">
              <a:avLst/>
            </a:prstGeom>
            <a:noFill/>
            <a:ln>
              <a:noFill/>
            </a:ln>
            <a:effectLst/>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304800</xdr:colOff>
          <xdr:row>19</xdr:row>
          <xdr:rowOff>114300</xdr:rowOff>
        </xdr:from>
        <xdr:to>
          <xdr:col>8</xdr:col>
          <xdr:colOff>257175</xdr:colOff>
          <xdr:row>21</xdr:row>
          <xdr:rowOff>9525</xdr:rowOff>
        </xdr:to>
        <xdr:sp macro="" textlink="">
          <xdr:nvSpPr>
            <xdr:cNvPr hidden="1" id="3084" name="Check Box 12">
              <a:extLst>
                <a:ext uri="{63B3BB69-23CF-44E3-9099-C40C66FF867C}">
                  <a14:compatExt spid="_x0000_s3084"/>
                </a:ext>
                <a:ext uri="{FF2B5EF4-FFF2-40B4-BE49-F238E27FC236}">
                  <a16:creationId xmlns:a16="http://schemas.microsoft.com/office/drawing/2014/main" id="{00000000-0008-0000-3300-00000C0C0000}"/>
                </a:ext>
              </a:extLst>
            </xdr:cNvPr>
            <xdr:cNvSpPr/>
          </xdr:nvSpPr>
          <xdr:spPr bwMode="auto">
            <a:xfrm>
              <a:off x="0" y="0"/>
              <a:ext cx="0" cy="0"/>
            </a:xfrm>
            <a:prstGeom prst="rect">
              <a:avLst/>
            </a:prstGeom>
            <a:noFill/>
            <a:ln>
              <a:noFill/>
            </a:ln>
            <a:effectLst/>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314325</xdr:colOff>
          <xdr:row>10</xdr:row>
          <xdr:rowOff>104775</xdr:rowOff>
        </xdr:from>
        <xdr:to>
          <xdr:col>8</xdr:col>
          <xdr:colOff>266700</xdr:colOff>
          <xdr:row>12</xdr:row>
          <xdr:rowOff>0</xdr:rowOff>
        </xdr:to>
        <xdr:sp macro="" textlink="">
          <xdr:nvSpPr>
            <xdr:cNvPr hidden="1" id="3087" name="Check Box 15">
              <a:extLst>
                <a:ext uri="{63B3BB69-23CF-44E3-9099-C40C66FF867C}">
                  <a14:compatExt spid="_x0000_s3087"/>
                </a:ext>
                <a:ext uri="{FF2B5EF4-FFF2-40B4-BE49-F238E27FC236}">
                  <a16:creationId xmlns:a16="http://schemas.microsoft.com/office/drawing/2014/main" id="{00000000-0008-0000-3300-00000F0C0000}"/>
                </a:ext>
              </a:extLst>
            </xdr:cNvPr>
            <xdr:cNvSpPr/>
          </xdr:nvSpPr>
          <xdr:spPr bwMode="auto">
            <a:xfrm>
              <a:off x="0" y="0"/>
              <a:ext cx="0" cy="0"/>
            </a:xfrm>
            <a:prstGeom prst="rect">
              <a:avLst/>
            </a:prstGeom>
            <a:noFill/>
            <a:ln>
              <a:noFill/>
            </a:ln>
            <a:effectLst/>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xdr:twoCellAnchor>
    <xdr:from>
      <xdr:col>8</xdr:col>
      <xdr:colOff>19050</xdr:colOff>
      <xdr:row>18</xdr:row>
      <xdr:rowOff>133351</xdr:rowOff>
    </xdr:from>
    <xdr:to>
      <xdr:col>9</xdr:col>
      <xdr:colOff>942975</xdr:colOff>
      <xdr:row>20</xdr:row>
      <xdr:rowOff>19051</xdr:rowOff>
    </xdr:to>
    <xdr:sp macro="[0]!NRD_RB_UNDER_18_Click" textlink="">
      <xdr:nvSpPr>
        <xdr:cNvPr id="3095" name="Text Box 23">
          <a:extLst>
            <a:ext uri="{FF2B5EF4-FFF2-40B4-BE49-F238E27FC236}">
              <a16:creationId xmlns:a16="http://schemas.microsoft.com/office/drawing/2014/main" id="{00000000-0008-0000-3300-0000170C0000}"/>
            </a:ext>
          </a:extLst>
        </xdr:cNvPr>
        <xdr:cNvSpPr txBox="1">
          <a:spLocks noChangeArrowheads="1"/>
        </xdr:cNvSpPr>
      </xdr:nvSpPr>
      <xdr:spPr bwMode="auto">
        <a:xfrm>
          <a:off x="4533900" y="3048001"/>
          <a:ext cx="1885950" cy="209550"/>
        </a:xfrm>
        <a:prstGeom prst="rect">
          <a:avLst/>
        </a:prstGeom>
        <a:noFill/>
        <a:ln>
          <a:noFill/>
        </a:ln>
        <a:effectLst/>
        <a:extLst>
          <a:ext uri="{909E8E84-426E-40DD-AFC4-6F175D3DCCD1}">
            <a14:hiddenFill xmlns:a14="http://schemas.microsoft.com/office/drawing/2010/main">
              <a:solidFill>
                <a:srgbClr xmlns:mc="http://schemas.openxmlformats.org/markup-compatibility/2006" a14:legacySpreadsheetColorIndex="9" mc:Ignorable="a14" val="FFFFFF"/>
              </a:solidFill>
            </a14:hiddenFill>
          </a:ext>
          <a:ext uri="{91240B29-F687-4F45-9708-019B960494DF}">
            <a14:hiddenLine xmlns:a14="http://schemas.microsoft.com/office/drawing/2010/main" algn="ctr" w="3175">
              <a:solidFill>
                <a:srgbClr xmlns:mc="http://schemas.openxmlformats.org/markup-compatibility/2006" a14:legacySpreadsheetColorIndex="21" mc:Ignorable="a14" val="008080"/>
              </a:solidFill>
              <a:miter lim="800000"/>
              <a:headEnd/>
              <a:tailEnd/>
            </a14:hiddenLine>
          </a:ext>
          <a:ext uri="{AF507438-7753-43E0-B8FC-AC1667EBCBE1}">
            <a14:hiddenEffects xmlns:a14="http://schemas.microsoft.com/office/drawing/2010/main">
              <a:effectLst>
                <a:outerShdw algn="ctr" dir="2700000" dist="107763" rotWithShape="0">
                  <a:srgbClr val="808080"/>
                </a:outerShdw>
              </a:effectLst>
            </a14:hiddenEffects>
          </a:ext>
        </a:extLst>
      </xdr:spPr>
      <xdr:txBody>
        <a:bodyPr anchor="t" bIns="0" lIns="27432" rIns="0" tIns="22860" upright="1" vertOverflow="clip" wrap="square"/>
        <a:lstStyle/>
        <a:p>
          <a:pPr algn="l" rtl="0">
            <a:defRPr sz="1000"/>
          </a:pPr>
          <a:r>
            <a:rPr b="0" baseline="0" i="0" lang="en-GB" strike="noStrike" sz="1000" u="none">
              <a:solidFill>
                <a:srgbClr val="000000"/>
              </a:solidFill>
              <a:latin typeface="Arial"/>
              <a:cs typeface="Arial"/>
            </a:rPr>
            <a:t>Age under 18</a:t>
          </a:r>
        </a:p>
      </xdr:txBody>
    </xdr:sp>
    <xdr:clientData/>
  </xdr:twoCellAnchor>
  <xdr:twoCellAnchor>
    <xdr:from>
      <xdr:col>8</xdr:col>
      <xdr:colOff>19050</xdr:colOff>
      <xdr:row>15</xdr:row>
      <xdr:rowOff>114300</xdr:rowOff>
    </xdr:from>
    <xdr:to>
      <xdr:col>11</xdr:col>
      <xdr:colOff>438150</xdr:colOff>
      <xdr:row>17</xdr:row>
      <xdr:rowOff>28575</xdr:rowOff>
    </xdr:to>
    <xdr:sp macro="[0]!NRD_RB_OVER_7YEARS_Click" textlink="">
      <xdr:nvSpPr>
        <xdr:cNvPr id="21" name="Text Box 21">
          <a:extLst>
            <a:ext uri="{FF2B5EF4-FFF2-40B4-BE49-F238E27FC236}">
              <a16:creationId xmlns:a16="http://schemas.microsoft.com/office/drawing/2014/main" id="{00000000-0008-0000-3300-000015000000}"/>
            </a:ext>
          </a:extLst>
        </xdr:cNvPr>
        <xdr:cNvSpPr txBox="1">
          <a:spLocks noChangeArrowheads="1"/>
        </xdr:cNvSpPr>
      </xdr:nvSpPr>
      <xdr:spPr bwMode="auto">
        <a:xfrm>
          <a:off x="4095750" y="2543175"/>
          <a:ext cx="2895600" cy="238125"/>
        </a:xfrm>
        <a:prstGeom prst="rect">
          <a:avLst/>
        </a:prstGeom>
        <a:noFill/>
        <a:ln>
          <a:noFill/>
        </a:ln>
        <a:effectLst/>
      </xdr:spPr>
      <xdr:txBody>
        <a:bodyPr anchor="t" bIns="0" lIns="27432" rIns="0" tIns="22860" upright="1" vertOverflow="clip" wrap="square"/>
        <a:lstStyle/>
        <a:p>
          <a:pPr algn="l" rtl="0">
            <a:defRPr sz="1000"/>
          </a:pPr>
          <a:r>
            <a:rPr b="0" baseline="0" i="0" lang="en-GB" strike="noStrike" sz="1000" u="none">
              <a:solidFill>
                <a:srgbClr val="000000"/>
              </a:solidFill>
              <a:latin typeface="Arial"/>
              <a:cs typeface="Arial"/>
            </a:rPr>
            <a:t>If you were UK resident for 7 of the past 9 years</a:t>
          </a:r>
        </a:p>
      </xdr:txBody>
    </xdr:sp>
    <xdr:clientData/>
  </xdr:twoCellAnchor>
  <mc:AlternateContent xmlns:mc="http://schemas.openxmlformats.org/markup-compatibility/2006">
    <mc:Choice xmlns:a14="http://schemas.microsoft.com/office/drawing/2010/main" Requires="a14">
      <xdr:twoCellAnchor editAs="oneCell">
        <xdr:from>
          <xdr:col>7</xdr:col>
          <xdr:colOff>304800</xdr:colOff>
          <xdr:row>16</xdr:row>
          <xdr:rowOff>104775</xdr:rowOff>
        </xdr:from>
        <xdr:to>
          <xdr:col>8</xdr:col>
          <xdr:colOff>257175</xdr:colOff>
          <xdr:row>18</xdr:row>
          <xdr:rowOff>0</xdr:rowOff>
        </xdr:to>
        <xdr:sp macro="" textlink="">
          <xdr:nvSpPr>
            <xdr:cNvPr hidden="1" id="3194" name="Check Box 122">
              <a:extLst>
                <a:ext uri="{63B3BB69-23CF-44E3-9099-C40C66FF867C}">
                  <a14:compatExt spid="_x0000_s3194"/>
                </a:ext>
                <a:ext uri="{FF2B5EF4-FFF2-40B4-BE49-F238E27FC236}">
                  <a16:creationId xmlns:a16="http://schemas.microsoft.com/office/drawing/2014/main" id="{00000000-0008-0000-3300-00007A0C0000}"/>
                </a:ext>
              </a:extLst>
            </xdr:cNvPr>
            <xdr:cNvSpPr/>
          </xdr:nvSpPr>
          <xdr:spPr bwMode="auto">
            <a:xfrm>
              <a:off x="0" y="0"/>
              <a:ext cx="0" cy="0"/>
            </a:xfrm>
            <a:prstGeom prst="rect">
              <a:avLst/>
            </a:prstGeom>
            <a:noFill/>
            <a:ln>
              <a:noFill/>
            </a:ln>
            <a:effectLst/>
            <a:extLst>
              <a:ext uri="{909E8E84-426E-40DD-AFC4-6F175D3DCCD1}">
                <a14:hiddenFill>
                  <a:solidFill>
                    <a:srgbClr a14:legacySpreadsheetColorIndex="9" mc:Ignorable="a14" val="FFFFFF"/>
                  </a:solidFill>
                </a14:hiddenFill>
              </a:ext>
              <a:ext uri="{91240B29-F687-4F45-9708-019B960494DF}">
                <a14:hiddenLine w="9525">
                  <a:solidFill>
                    <a:srgbClr a14:legacySpreadsheetColorIndex="64" mc:Ignorable="a14" val="000000"/>
                  </a:solidFill>
                  <a:miter lim="800000"/>
                  <a:headEnd/>
                  <a:tailEnd/>
                </a14:hiddenLine>
              </a:ext>
              <a:ext uri="{AF507438-7753-43E0-B8FC-AC1667EBCBE1}">
                <a14:hiddenEffects>
                  <a:effectLst>
                    <a:outerShdw algn="ctr" dir="2700000" dist="107763" rotWithShape="0">
                      <a:srgbClr val="808080"/>
                    </a:outerShdw>
                  </a:effectLst>
                </a14:hiddenEffects>
              </a:ext>
            </a:extLst>
          </xdr:spPr>
        </xdr:sp>
        <xdr:clientData/>
      </xdr:twoCellAnchor>
    </mc:Choice>
    <mc:Fallback/>
  </mc:AlternateContent>
</xdr:wsDr>
</file>

<file path=xl/drawings/drawing25.xml><?xml version="1.0" encoding="utf-8"?>
<xdr:wsDr xmlns:a="http://schemas.openxmlformats.org/drawingml/2006/main" xmlns:xdr="http://schemas.openxmlformats.org/drawingml/2006/spreadsheetDrawing">
  <xdr:twoCellAnchor editAs="oneCell">
    <xdr:from>
      <xdr:col>1</xdr:col>
      <xdr:colOff>0</xdr:colOff>
      <xdr:row>0</xdr:row>
      <xdr:rowOff>0</xdr:rowOff>
    </xdr:from>
    <xdr:to>
      <xdr:col>4</xdr:col>
      <xdr:colOff>647700</xdr:colOff>
      <xdr:row>0</xdr:row>
      <xdr:rowOff>400050</xdr:rowOff>
    </xdr:to>
    <xdr:pic>
      <xdr:nvPicPr>
        <xdr:cNvPr id="2" name="Picture 4">
          <a:extLst>
            <a:ext uri="{FF2B5EF4-FFF2-40B4-BE49-F238E27FC236}">
              <a16:creationId xmlns:a16="http://schemas.microsoft.com/office/drawing/2014/main" id="{00000000-0008-0000-3500-000002000000}"/>
            </a:ext>
          </a:extLst>
        </xdr:cNvPr>
        <xdr:cNvPicPr>
          <a:picLocks noChangeArrowheads="1" noChangeAspect="1"/>
        </xdr:cNvPicPr>
      </xdr:nvPicPr>
      <xdr:blipFill>
        <a:blip xmlns:r="http://schemas.openxmlformats.org/officeDocument/2006/relationships" cstate="print" r:embed="rId1">
          <a:extLst>
            <a:ext uri="{28A0092B-C50C-407E-A947-70E740481C1C}">
              <a14:useLocalDpi xmlns:a14="http://schemas.microsoft.com/office/drawing/2010/main" val="0"/>
            </a:ext>
          </a:extLst>
        </a:blip>
        <a:srcRect/>
        <a:stretch>
          <a:fillRect/>
        </a:stretch>
      </xdr:blipFill>
      <xdr:spPr bwMode="auto">
        <a:xfrm>
          <a:off x="304800" y="0"/>
          <a:ext cx="154305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6.xml><?xml version="1.0" encoding="utf-8"?>
<xdr:wsDr xmlns:a="http://schemas.openxmlformats.org/drawingml/2006/main" xmlns:xdr="http://schemas.openxmlformats.org/drawingml/2006/spreadsheetDrawing">
  <xdr:twoCellAnchor editAs="oneCell">
    <xdr:from>
      <xdr:col>2</xdr:col>
      <xdr:colOff>0</xdr:colOff>
      <xdr:row>0</xdr:row>
      <xdr:rowOff>0</xdr:rowOff>
    </xdr:from>
    <xdr:to>
      <xdr:col>4</xdr:col>
      <xdr:colOff>720725</xdr:colOff>
      <xdr:row>0</xdr:row>
      <xdr:rowOff>400050</xdr:rowOff>
    </xdr:to>
    <xdr:pic>
      <xdr:nvPicPr>
        <xdr:cNvPr id="2" name="Picture 4">
          <a:extLst>
            <a:ext uri="{FF2B5EF4-FFF2-40B4-BE49-F238E27FC236}">
              <a16:creationId xmlns:a16="http://schemas.microsoft.com/office/drawing/2014/main" id="{00000000-0008-0000-3600-000002000000}"/>
            </a:ext>
          </a:extLst>
        </xdr:cNvPr>
        <xdr:cNvPicPr>
          <a:picLocks noChangeArrowheads="1" noChangeAspect="1"/>
        </xdr:cNvPicPr>
      </xdr:nvPicPr>
      <xdr:blipFill>
        <a:blip xmlns:r="http://schemas.openxmlformats.org/officeDocument/2006/relationships" cstate="print" r:embed="rId1">
          <a:extLst>
            <a:ext uri="{28A0092B-C50C-407E-A947-70E740481C1C}">
              <a14:useLocalDpi xmlns:a14="http://schemas.microsoft.com/office/drawing/2010/main" val="0"/>
            </a:ext>
          </a:extLst>
        </a:blip>
        <a:srcRect/>
        <a:stretch>
          <a:fillRect/>
        </a:stretch>
      </xdr:blipFill>
      <xdr:spPr bwMode="auto">
        <a:xfrm>
          <a:off x="355600" y="0"/>
          <a:ext cx="154305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lastClr="000000" val="windowText"/>
      </a:dk1>
      <a:lt1>
        <a:sysClr lastClr="FFFFFF" val="window"/>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panose="020F0302020204030204"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panose="020F0502020204030204"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algn="ctr" cap="flat" cmpd="sng" w="6350">
          <a:solidFill>
            <a:schemeClr val="phClr"/>
          </a:solidFill>
          <a:prstDash val="solid"/>
          <a:miter lim="800000"/>
        </a:ln>
        <a:ln algn="ctr" cap="flat" cmpd="sng" w="12700">
          <a:solidFill>
            <a:schemeClr val="phClr"/>
          </a:solidFill>
          <a:prstDash val="solid"/>
          <a:miter lim="800000"/>
        </a:ln>
        <a:ln algn="ctr" cap="flat" cmpd="sng" w="19050">
          <a:solidFill>
            <a:schemeClr val="phClr"/>
          </a:solidFill>
          <a:prstDash val="solid"/>
          <a:miter lim="800000"/>
        </a:ln>
      </a:lnStyleLst>
      <a:effectStyleLst>
        <a:effectStyle>
          <a:effectLst/>
        </a:effectStyle>
        <a:effectStyle>
          <a:effectLst/>
        </a:effectStyle>
        <a:effectStyle>
          <a:effectLst>
            <a:outerShdw algn="ctr" blurRad="57150" dir="5400000" dist="19050"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b="0" l="0" r="0" t="0"/>
          <a:pathLst/>
        </a:custGeom>
        <a:solidFill>
          <a:srgbClr xmlns:a14="http://schemas.microsoft.com/office/drawing/2010/main" xmlns:mc="http://schemas.openxmlformats.org/markup-compatibility/2006" a14:legacySpreadsheetColorIndex="9" mc:Ignorable="a14" val="090000"/>
        </a:solidFill>
        <a:ln algn="ctr" cap="flat" cmpd="sng" w="9525">
          <a:solidFill>
            <a:srgbClr xmlns:a14="http://schemas.microsoft.com/office/drawing/2010/main" xmlns:mc="http://schemas.openxmlformats.org/markup-compatibility/2006" a14:legacySpreadsheetColorIndex="64" mc:Ignorable="a14" val="400000"/>
          </a:solidFill>
          <a:prstDash val="solid"/>
          <a:round/>
          <a:headEnd len="med" type="none" w="med"/>
          <a:tailEnd len="med" type="none" w="med"/>
        </a:ln>
        <a:effectLst/>
        <a:extLst>
          <a:ext uri="{AF507438-7753-43E0-B8FC-AC1667EBCBE1}">
            <a14:hiddenEffects xmlns:a14="http://schemas.microsoft.com/office/drawing/2010/main">
              <a:effectLst>
                <a:outerShdw algn="ctr" dir="2700000" dist="107763" rotWithShape="0">
                  <a:srgbClr val="808080"/>
                </a:outerShdw>
              </a:effectLst>
            </a14:hiddenEffects>
          </a:ext>
        </a:extLst>
      </a:spPr>
      <a:bodyPr bIns="0" lIns="18288" rIns="0" tIns="0" upright="1" vertOverflow="clip" wrap="square"/>
      <a:lstStyle/>
    </a:spDef>
    <a:lnDef>
      <a:spPr bwMode="auto">
        <a:xfrm>
          <a:off x="0" y="0"/>
          <a:ext cx="1" cy="1"/>
        </a:xfrm>
        <a:custGeom>
          <a:avLst/>
          <a:gdLst/>
          <a:ahLst/>
          <a:cxnLst/>
          <a:rect b="0" l="0" r="0" t="0"/>
          <a:pathLst/>
        </a:custGeom>
        <a:solidFill>
          <a:srgbClr xmlns:a14="http://schemas.microsoft.com/office/drawing/2010/main" xmlns:mc="http://schemas.openxmlformats.org/markup-compatibility/2006" a14:legacySpreadsheetColorIndex="9" mc:Ignorable="a14" val="090000"/>
        </a:solidFill>
        <a:ln algn="ctr" cap="flat" cmpd="sng" w="9525">
          <a:solidFill>
            <a:srgbClr xmlns:a14="http://schemas.microsoft.com/office/drawing/2010/main" xmlns:mc="http://schemas.openxmlformats.org/markup-compatibility/2006" a14:legacySpreadsheetColorIndex="64" mc:Ignorable="a14" val="400000"/>
          </a:solidFill>
          <a:prstDash val="solid"/>
          <a:round/>
          <a:headEnd len="med" type="none" w="med"/>
          <a:tailEnd len="med" type="none" w="med"/>
        </a:ln>
        <a:effectLst/>
        <a:extLst>
          <a:ext uri="{AF507438-7753-43E0-B8FC-AC1667EBCBE1}">
            <a14:hiddenEffects xmlns:a14="http://schemas.microsoft.com/office/drawing/2010/main">
              <a:effectLst>
                <a:outerShdw algn="ctr" dir="2700000" dist="107763" rotWithShape="0">
                  <a:srgbClr val="808080"/>
                </a:outerShdw>
              </a:effectLst>
            </a14:hiddenEffects>
          </a:ext>
        </a:extLst>
      </a:spPr>
      <a:bodyPr bIns="0" lIns="18288" rIns="0" tIns="0" upright="1" vertOverflow="clip" wrap="square"/>
      <a:lstStyle/>
    </a:lnDef>
  </a:objectDefaults>
  <a:extraClrSchemeLst/>
  <a:extLst>
    <a:ext uri="{05A4C25C-085E-4340-85A3-A5531E510DB2}">
      <thm15:themeFamily xmlns:thm15="http://schemas.microsoft.com/office/thememl/2012/main" id="{62F939B6-93AF-4DB8-9C6B-D6C7DFDC589F}" name="Office Theme" vid="{4A3C46E8-61CC-4603-A589-7422A47A8E4A}"/>
    </a:ext>
  </a:ext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s>
</file>

<file path=xl/worksheets/_rels/sheet2.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drawing1.xml" Type="http://schemas.openxmlformats.org/officeDocument/2006/relationships/drawing"/><Relationship Id="rId3" Target="../drawings/vmlDrawing1.vml" Type="http://schemas.openxmlformats.org/officeDocument/2006/relationships/vmlDrawing"/><Relationship Id="rId4" Target="../ctrlProps/ctrlProp1.xml" Type="http://schemas.openxmlformats.org/officeDocument/2006/relationships/ctrlProp"/></Relationships>
</file>

<file path=xl/worksheets/_rels/sheet3.xml.rels><?xml version="1.0" encoding="UTF-8" standalone="no"?><Relationships xmlns="http://schemas.openxmlformats.org/package/2006/relationships"><Relationship Id="rId1" Target="../printerSettings/printerSettings3.bin" Type="http://schemas.openxmlformats.org/officeDocument/2006/relationships/printerSettings"/><Relationship Id="rId2" Target="../drawings/drawing2.xml" Type="http://schemas.openxmlformats.org/officeDocument/2006/relationships/drawing"/></Relationships>
</file>

<file path=xl/worksheets/_rels/sheet4.xml.rels><?xml version="1.0" encoding="UTF-8" standalone="no"?><Relationships xmlns="http://schemas.openxmlformats.org/package/2006/relationships"><Relationship Id="rId1" Target="http://bg.inrev.gov.uk/tax/actionguides/40100/tax40072_main.htm" TargetMode="External" Type="http://schemas.openxmlformats.org/officeDocument/2006/relationships/hyperlink"/><Relationship Id="rId2" Target="https://www.gov.uk/government/publications/limit-on-income-tax-reliefs-hs204-self-assessment-helpsheet" TargetMode="External" Type="http://schemas.openxmlformats.org/officeDocument/2006/relationships/hyperlink"/><Relationship Id="rId3" Target="../printerSettings/printerSettings4.bin" Type="http://schemas.openxmlformats.org/officeDocument/2006/relationships/printerSettings"/><Relationship Id="rId4" Target="../drawings/drawing3.xml" Type="http://schemas.openxmlformats.org/officeDocument/2006/relationships/drawing"/></Relationships>
</file>

<file path=xl/worksheets/_rels/sheet5.xml.rels><?xml version="1.0" encoding="UTF-8" standalone="no"?><Relationships xmlns="http://schemas.openxmlformats.org/package/2006/relationships"><Relationship Id="rId1" Target="../printerSettings/printerSettings5.bin" Type="http://schemas.openxmlformats.org/officeDocument/2006/relationships/printerSettings"/><Relationship Id="rId2" Target="../drawings/drawing4.xml" Type="http://schemas.openxmlformats.org/officeDocument/2006/relationships/drawing"/><Relationship Id="rId3" Target="../drawings/vmlDrawing2.vml" Type="http://schemas.openxmlformats.org/officeDocument/2006/relationships/vmlDrawing"/><Relationship Id="rId4" Target="../ctrlProps/ctrlProp2.xml" Type="http://schemas.openxmlformats.org/officeDocument/2006/relationships/ctrlProp"/><Relationship Id="rId5" Target="../ctrlProps/ctrlProp3.xml" Type="http://schemas.openxmlformats.org/officeDocument/2006/relationships/ctrlProp"/><Relationship Id="rId6" Target="../ctrlProps/ctrlProp4.xml" Type="http://schemas.openxmlformats.org/officeDocument/2006/relationships/ctrlProp"/></Relationships>
</file>

<file path=xl/worksheets/_rels/sheet6.xml.rels><?xml version="1.0" encoding="UTF-8" standalone="no"?><Relationships xmlns="http://schemas.openxmlformats.org/package/2006/relationships"><Relationship Id="rId1" Target="../printerSettings/printerSettings6.bin" Type="http://schemas.openxmlformats.org/officeDocument/2006/relationships/printerSettings"/><Relationship Id="rId10" Target="../ctrlProps/ctrlProp11.xml" Type="http://schemas.openxmlformats.org/officeDocument/2006/relationships/ctrlProp"/><Relationship Id="rId11" Target="../ctrlProps/ctrlProp12.xml" Type="http://schemas.openxmlformats.org/officeDocument/2006/relationships/ctrlProp"/><Relationship Id="rId12" Target="../ctrlProps/ctrlProp13.xml" Type="http://schemas.openxmlformats.org/officeDocument/2006/relationships/ctrlProp"/><Relationship Id="rId13" Target="../ctrlProps/ctrlProp14.xml" Type="http://schemas.openxmlformats.org/officeDocument/2006/relationships/ctrlProp"/><Relationship Id="rId14" Target="../ctrlProps/ctrlProp15.xml" Type="http://schemas.openxmlformats.org/officeDocument/2006/relationships/ctrlProp"/><Relationship Id="rId15" Target="../ctrlProps/ctrlProp16.xml" Type="http://schemas.openxmlformats.org/officeDocument/2006/relationships/ctrlProp"/><Relationship Id="rId16" Target="../ctrlProps/ctrlProp17.xml" Type="http://schemas.openxmlformats.org/officeDocument/2006/relationships/ctrlProp"/><Relationship Id="rId17" Target="../ctrlProps/ctrlProp18.xml" Type="http://schemas.openxmlformats.org/officeDocument/2006/relationships/ctrlProp"/><Relationship Id="rId18" Target="../ctrlProps/ctrlProp19.xml" Type="http://schemas.openxmlformats.org/officeDocument/2006/relationships/ctrlProp"/><Relationship Id="rId19" Target="../ctrlProps/ctrlProp20.xml" Type="http://schemas.openxmlformats.org/officeDocument/2006/relationships/ctrlProp"/><Relationship Id="rId2" Target="../drawings/drawing5.xml" Type="http://schemas.openxmlformats.org/officeDocument/2006/relationships/drawing"/><Relationship Id="rId20" Target="../ctrlProps/ctrlProp21.xml" Type="http://schemas.openxmlformats.org/officeDocument/2006/relationships/ctrlProp"/><Relationship Id="rId21" Target="../ctrlProps/ctrlProp22.xml" Type="http://schemas.openxmlformats.org/officeDocument/2006/relationships/ctrlProp"/><Relationship Id="rId22" Target="../ctrlProps/ctrlProp23.xml" Type="http://schemas.openxmlformats.org/officeDocument/2006/relationships/ctrlProp"/><Relationship Id="rId23" Target="../ctrlProps/ctrlProp24.xml" Type="http://schemas.openxmlformats.org/officeDocument/2006/relationships/ctrlProp"/><Relationship Id="rId24" Target="../ctrlProps/ctrlProp25.xml" Type="http://schemas.openxmlformats.org/officeDocument/2006/relationships/ctrlProp"/><Relationship Id="rId25" Target="../ctrlProps/ctrlProp26.xml" Type="http://schemas.openxmlformats.org/officeDocument/2006/relationships/ctrlProp"/><Relationship Id="rId26" Target="../ctrlProps/ctrlProp27.xml" Type="http://schemas.openxmlformats.org/officeDocument/2006/relationships/ctrlProp"/><Relationship Id="rId27" Target="../ctrlProps/ctrlProp28.xml" Type="http://schemas.openxmlformats.org/officeDocument/2006/relationships/ctrlProp"/><Relationship Id="rId3" Target="../drawings/vmlDrawing3.vml" Type="http://schemas.openxmlformats.org/officeDocument/2006/relationships/vmlDrawing"/><Relationship Id="rId4" Target="../ctrlProps/ctrlProp5.xml" Type="http://schemas.openxmlformats.org/officeDocument/2006/relationships/ctrlProp"/><Relationship Id="rId5" Target="../ctrlProps/ctrlProp6.xml" Type="http://schemas.openxmlformats.org/officeDocument/2006/relationships/ctrlProp"/><Relationship Id="rId6" Target="../ctrlProps/ctrlProp7.xml" Type="http://schemas.openxmlformats.org/officeDocument/2006/relationships/ctrlProp"/><Relationship Id="rId7" Target="../ctrlProps/ctrlProp8.xml" Type="http://schemas.openxmlformats.org/officeDocument/2006/relationships/ctrlProp"/><Relationship Id="rId8" Target="../ctrlProps/ctrlProp9.xml" Type="http://schemas.openxmlformats.org/officeDocument/2006/relationships/ctrlProp"/><Relationship Id="rId9" Target="../ctrlProps/ctrlProp10.xml" Type="http://schemas.openxmlformats.org/officeDocument/2006/relationships/ctrlProp"/></Relationships>
</file>

<file path=xl/worksheets/_rels/sheet7.xml.rels><?xml version="1.0" encoding="UTF-8" standalone="no"?><Relationships xmlns="http://schemas.openxmlformats.org/package/2006/relationships"><Relationship Id="rId1" Target="../printerSettings/printerSettings7.bin" Type="http://schemas.openxmlformats.org/officeDocument/2006/relationships/printerSettings"/><Relationship Id="rId10" Target="../ctrlProps/ctrlProp35.xml" Type="http://schemas.openxmlformats.org/officeDocument/2006/relationships/ctrlProp"/><Relationship Id="rId11" Target="../ctrlProps/ctrlProp36.xml" Type="http://schemas.openxmlformats.org/officeDocument/2006/relationships/ctrlProp"/><Relationship Id="rId12" Target="../ctrlProps/ctrlProp37.xml" Type="http://schemas.openxmlformats.org/officeDocument/2006/relationships/ctrlProp"/><Relationship Id="rId13" Target="../ctrlProps/ctrlProp38.xml" Type="http://schemas.openxmlformats.org/officeDocument/2006/relationships/ctrlProp"/><Relationship Id="rId14" Target="../ctrlProps/ctrlProp39.xml" Type="http://schemas.openxmlformats.org/officeDocument/2006/relationships/ctrlProp"/><Relationship Id="rId15" Target="../ctrlProps/ctrlProp40.xml" Type="http://schemas.openxmlformats.org/officeDocument/2006/relationships/ctrlProp"/><Relationship Id="rId16" Target="../ctrlProps/ctrlProp41.xml" Type="http://schemas.openxmlformats.org/officeDocument/2006/relationships/ctrlProp"/><Relationship Id="rId17" Target="../ctrlProps/ctrlProp42.xml" Type="http://schemas.openxmlformats.org/officeDocument/2006/relationships/ctrlProp"/><Relationship Id="rId18" Target="../ctrlProps/ctrlProp43.xml" Type="http://schemas.openxmlformats.org/officeDocument/2006/relationships/ctrlProp"/><Relationship Id="rId19" Target="../ctrlProps/ctrlProp44.xml" Type="http://schemas.openxmlformats.org/officeDocument/2006/relationships/ctrlProp"/><Relationship Id="rId2" Target="../drawings/drawing6.xml" Type="http://schemas.openxmlformats.org/officeDocument/2006/relationships/drawing"/><Relationship Id="rId20" Target="../ctrlProps/ctrlProp45.xml" Type="http://schemas.openxmlformats.org/officeDocument/2006/relationships/ctrlProp"/><Relationship Id="rId21" Target="../ctrlProps/ctrlProp46.xml" Type="http://schemas.openxmlformats.org/officeDocument/2006/relationships/ctrlProp"/><Relationship Id="rId22" Target="../ctrlProps/ctrlProp47.xml" Type="http://schemas.openxmlformats.org/officeDocument/2006/relationships/ctrlProp"/><Relationship Id="rId23" Target="../ctrlProps/ctrlProp48.xml" Type="http://schemas.openxmlformats.org/officeDocument/2006/relationships/ctrlProp"/><Relationship Id="rId24" Target="../ctrlProps/ctrlProp49.xml" Type="http://schemas.openxmlformats.org/officeDocument/2006/relationships/ctrlProp"/><Relationship Id="rId25" Target="../ctrlProps/ctrlProp50.xml" Type="http://schemas.openxmlformats.org/officeDocument/2006/relationships/ctrlProp"/><Relationship Id="rId26" Target="../ctrlProps/ctrlProp51.xml" Type="http://schemas.openxmlformats.org/officeDocument/2006/relationships/ctrlProp"/><Relationship Id="rId3" Target="../drawings/vmlDrawing4.vml" Type="http://schemas.openxmlformats.org/officeDocument/2006/relationships/vmlDrawing"/><Relationship Id="rId4" Target="../ctrlProps/ctrlProp29.xml" Type="http://schemas.openxmlformats.org/officeDocument/2006/relationships/ctrlProp"/><Relationship Id="rId5" Target="../ctrlProps/ctrlProp30.xml" Type="http://schemas.openxmlformats.org/officeDocument/2006/relationships/ctrlProp"/><Relationship Id="rId6" Target="../ctrlProps/ctrlProp31.xml" Type="http://schemas.openxmlformats.org/officeDocument/2006/relationships/ctrlProp"/><Relationship Id="rId7" Target="../ctrlProps/ctrlProp32.xml" Type="http://schemas.openxmlformats.org/officeDocument/2006/relationships/ctrlProp"/><Relationship Id="rId8" Target="../ctrlProps/ctrlProp33.xml" Type="http://schemas.openxmlformats.org/officeDocument/2006/relationships/ctrlProp"/><Relationship Id="rId9" Target="../ctrlProps/ctrlProp34.xml" Type="http://schemas.openxmlformats.org/officeDocument/2006/relationships/ctrlProp"/></Relationships>
</file>

<file path=xl/worksheets/_rels/sheet8.xml.rels><?xml version="1.0" encoding="UTF-8" standalone="no"?><Relationships xmlns="http://schemas.openxmlformats.org/package/2006/relationships"><Relationship Id="rId1" Target="../printerSettings/printerSettings8.bin" Type="http://schemas.openxmlformats.org/officeDocument/2006/relationships/printerSettings"/></Relationships>
</file>

<file path=xl/worksheets/_rels/sheet9.xml.rels><?xml version="1.0" encoding="UTF-8" standalone="no"?><Relationships xmlns="http://schemas.openxmlformats.org/package/2006/relationships"><Relationship Id="rId1" Target="../printerSettings/printerSettings9.bin" Type="http://schemas.openxmlformats.org/officeDocument/2006/relationships/printerSettings"/></Relationships>
</file>

<file path=xl/worksheets/_rels/sheet10.xml.rels><?xml version="1.0" encoding="UTF-8" standalone="no"?><Relationships xmlns="http://schemas.openxmlformats.org/package/2006/relationships"><Relationship Id="rId1" Target="../printerSettings/printerSettings10.bin" Type="http://schemas.openxmlformats.org/officeDocument/2006/relationships/printerSettings"/><Relationship Id="rId2" Target="../drawings/vmlDrawing5.vml" Type="http://schemas.openxmlformats.org/officeDocument/2006/relationships/vmlDrawing"/><Relationship Id="rId3" Target="../comments1.xml" Type="http://schemas.openxmlformats.org/officeDocument/2006/relationships/comments"/></Relationships>
</file>

<file path=xl/worksheets/_rels/sheet11.xml.rels><?xml version="1.0" encoding="UTF-8" standalone="no"?><Relationships xmlns="http://schemas.openxmlformats.org/package/2006/relationships"><Relationship Id="rId1" Target="../printerSettings/printerSettings11.bin" Type="http://schemas.openxmlformats.org/officeDocument/2006/relationships/printerSettings"/></Relationships>
</file>

<file path=xl/worksheets/_rels/sheet12.xml.rels><?xml version="1.0" encoding="UTF-8" standalone="no"?><Relationships xmlns="http://schemas.openxmlformats.org/package/2006/relationships"><Relationship Id="rId1" Target="../printerSettings/printerSettings12.bin" Type="http://schemas.openxmlformats.org/officeDocument/2006/relationships/printerSettings"/><Relationship Id="rId2" Target="../drawings/vmlDrawing6.vml" Type="http://schemas.openxmlformats.org/officeDocument/2006/relationships/vmlDrawing"/><Relationship Id="rId3" Target="../comments2.xml" Type="http://schemas.openxmlformats.org/officeDocument/2006/relationships/comments"/></Relationships>
</file>

<file path=xl/worksheets/_rels/sheet13.xml.rels><?xml version="1.0" encoding="UTF-8" standalone="no"?><Relationships xmlns="http://schemas.openxmlformats.org/package/2006/relationships"><Relationship Id="rId1" Target="../printerSettings/printerSettings13.bin" Type="http://schemas.openxmlformats.org/officeDocument/2006/relationships/printerSettings"/><Relationship Id="rId2" Target="../drawings/vmlDrawing7.vml" Type="http://schemas.openxmlformats.org/officeDocument/2006/relationships/vmlDrawing"/><Relationship Id="rId3" Target="../comments3.xml" Type="http://schemas.openxmlformats.org/officeDocument/2006/relationships/comments"/></Relationships>
</file>

<file path=xl/worksheets/_rels/sheet14.xml.rels><?xml version="1.0" encoding="UTF-8" standalone="no"?><Relationships xmlns="http://schemas.openxmlformats.org/package/2006/relationships"><Relationship Id="rId1" Target="../printerSettings/printerSettings14.bin" Type="http://schemas.openxmlformats.org/officeDocument/2006/relationships/printerSettings"/><Relationship Id="rId2" Target="../drawings/vmlDrawing8.vml" Type="http://schemas.openxmlformats.org/officeDocument/2006/relationships/vmlDrawing"/><Relationship Id="rId3" Target="../comments4.xml" Type="http://schemas.openxmlformats.org/officeDocument/2006/relationships/comments"/></Relationships>
</file>

<file path=xl/worksheets/_rels/sheet15.xml.rels><?xml version="1.0" encoding="UTF-8" standalone="no"?><Relationships xmlns="http://schemas.openxmlformats.org/package/2006/relationships"><Relationship Id="rId1" Target="../printerSettings/printerSettings15.bin" Type="http://schemas.openxmlformats.org/officeDocument/2006/relationships/printerSettings"/></Relationships>
</file>

<file path=xl/worksheets/_rels/sheet16.xml.rels><?xml version="1.0" encoding="UTF-8" standalone="no"?><Relationships xmlns="http://schemas.openxmlformats.org/package/2006/relationships"><Relationship Id="rId1" Target="../printerSettings/printerSettings16.bin" Type="http://schemas.openxmlformats.org/officeDocument/2006/relationships/printerSettings"/><Relationship Id="rId2" Target="../drawings/vmlDrawing9.vml" Type="http://schemas.openxmlformats.org/officeDocument/2006/relationships/vmlDrawing"/><Relationship Id="rId3" Target="../comments5.xml" Type="http://schemas.openxmlformats.org/officeDocument/2006/relationships/comments"/></Relationships>
</file>

<file path=xl/worksheets/_rels/sheet17.xml.rels><?xml version="1.0" encoding="UTF-8" standalone="no"?><Relationships xmlns="http://schemas.openxmlformats.org/package/2006/relationships"><Relationship Id="rId1" Target="../printerSettings/printerSettings17.bin" Type="http://schemas.openxmlformats.org/officeDocument/2006/relationships/printerSettings"/></Relationships>
</file>

<file path=xl/worksheets/_rels/sheet18.xml.rels><?xml version="1.0" encoding="UTF-8" standalone="no"?><Relationships xmlns="http://schemas.openxmlformats.org/package/2006/relationships"><Relationship Id="rId1" Target="../printerSettings/printerSettings18.bin" Type="http://schemas.openxmlformats.org/officeDocument/2006/relationships/printerSettings"/><Relationship Id="rId2" Target="../drawings/vmlDrawing10.vml" Type="http://schemas.openxmlformats.org/officeDocument/2006/relationships/vmlDrawing"/><Relationship Id="rId3" Target="../comments6.xml" Type="http://schemas.openxmlformats.org/officeDocument/2006/relationships/comments"/></Relationships>
</file>

<file path=xl/worksheets/_rels/sheet19.xml.rels><?xml version="1.0" encoding="UTF-8" standalone="no"?><Relationships xmlns="http://schemas.openxmlformats.org/package/2006/relationships"><Relationship Id="rId1" Target="../printerSettings/printerSettings19.bin" Type="http://schemas.openxmlformats.org/officeDocument/2006/relationships/printerSettings"/><Relationship Id="rId10" Target="../ctrlProps/ctrlProp58.xml" Type="http://schemas.openxmlformats.org/officeDocument/2006/relationships/ctrlProp"/><Relationship Id="rId11" Target="../ctrlProps/ctrlProp59.xml" Type="http://schemas.openxmlformats.org/officeDocument/2006/relationships/ctrlProp"/><Relationship Id="rId12" Target="../ctrlProps/ctrlProp60.xml" Type="http://schemas.openxmlformats.org/officeDocument/2006/relationships/ctrlProp"/><Relationship Id="rId13" Target="../ctrlProps/ctrlProp61.xml" Type="http://schemas.openxmlformats.org/officeDocument/2006/relationships/ctrlProp"/><Relationship Id="rId14" Target="../ctrlProps/ctrlProp62.xml" Type="http://schemas.openxmlformats.org/officeDocument/2006/relationships/ctrlProp"/><Relationship Id="rId15" Target="../ctrlProps/ctrlProp63.xml" Type="http://schemas.openxmlformats.org/officeDocument/2006/relationships/ctrlProp"/><Relationship Id="rId16" Target="../ctrlProps/ctrlProp64.xml" Type="http://schemas.openxmlformats.org/officeDocument/2006/relationships/ctrlProp"/><Relationship Id="rId17" Target="../ctrlProps/ctrlProp65.xml" Type="http://schemas.openxmlformats.org/officeDocument/2006/relationships/ctrlProp"/><Relationship Id="rId18" Target="../ctrlProps/ctrlProp66.xml" Type="http://schemas.openxmlformats.org/officeDocument/2006/relationships/ctrlProp"/><Relationship Id="rId19" Target="../ctrlProps/ctrlProp67.xml" Type="http://schemas.openxmlformats.org/officeDocument/2006/relationships/ctrlProp"/><Relationship Id="rId2" Target="../drawings/drawing7.xml" Type="http://schemas.openxmlformats.org/officeDocument/2006/relationships/drawing"/><Relationship Id="rId20" Target="../ctrlProps/ctrlProp68.xml" Type="http://schemas.openxmlformats.org/officeDocument/2006/relationships/ctrlProp"/><Relationship Id="rId21" Target="../ctrlProps/ctrlProp69.xml" Type="http://schemas.openxmlformats.org/officeDocument/2006/relationships/ctrlProp"/><Relationship Id="rId22" Target="../ctrlProps/ctrlProp70.xml" Type="http://schemas.openxmlformats.org/officeDocument/2006/relationships/ctrlProp"/><Relationship Id="rId23" Target="../ctrlProps/ctrlProp71.xml" Type="http://schemas.openxmlformats.org/officeDocument/2006/relationships/ctrlProp"/><Relationship Id="rId24" Target="../ctrlProps/ctrlProp72.xml" Type="http://schemas.openxmlformats.org/officeDocument/2006/relationships/ctrlProp"/><Relationship Id="rId25" Target="../ctrlProps/ctrlProp73.xml" Type="http://schemas.openxmlformats.org/officeDocument/2006/relationships/ctrlProp"/><Relationship Id="rId3" Target="../drawings/vmlDrawing11.vml" Type="http://schemas.openxmlformats.org/officeDocument/2006/relationships/vmlDrawing"/><Relationship Id="rId4" Target="../ctrlProps/ctrlProp52.xml" Type="http://schemas.openxmlformats.org/officeDocument/2006/relationships/ctrlProp"/><Relationship Id="rId5" Target="../ctrlProps/ctrlProp53.xml" Type="http://schemas.openxmlformats.org/officeDocument/2006/relationships/ctrlProp"/><Relationship Id="rId6" Target="../ctrlProps/ctrlProp54.xml" Type="http://schemas.openxmlformats.org/officeDocument/2006/relationships/ctrlProp"/><Relationship Id="rId7" Target="../ctrlProps/ctrlProp55.xml" Type="http://schemas.openxmlformats.org/officeDocument/2006/relationships/ctrlProp"/><Relationship Id="rId8" Target="../ctrlProps/ctrlProp56.xml" Type="http://schemas.openxmlformats.org/officeDocument/2006/relationships/ctrlProp"/><Relationship Id="rId9" Target="../ctrlProps/ctrlProp57.xml" Type="http://schemas.openxmlformats.org/officeDocument/2006/relationships/ctrlProp"/></Relationships>
</file>

<file path=xl/worksheets/_rels/sheet20.xml.rels><?xml version="1.0" encoding="UTF-8" standalone="no"?><Relationships xmlns="http://schemas.openxmlformats.org/package/2006/relationships"><Relationship Id="rId1" Target="../printerSettings/printerSettings20.bin" Type="http://schemas.openxmlformats.org/officeDocument/2006/relationships/printerSettings"/></Relationships>
</file>

<file path=xl/worksheets/_rels/sheet21.xml.rels><?xml version="1.0" encoding="UTF-8" standalone="no"?><Relationships xmlns="http://schemas.openxmlformats.org/package/2006/relationships"><Relationship Id="rId1" Target="../printerSettings/printerSettings21.bin" Type="http://schemas.openxmlformats.org/officeDocument/2006/relationships/printerSettings"/><Relationship Id="rId2" Target="../drawings/drawing8.xml" Type="http://schemas.openxmlformats.org/officeDocument/2006/relationships/drawing"/></Relationships>
</file>

<file path=xl/worksheets/_rels/sheet22.xml.rels><?xml version="1.0" encoding="UTF-8" standalone="no"?><Relationships xmlns="http://schemas.openxmlformats.org/package/2006/relationships"><Relationship Id="rId1" Target="../printerSettings/printerSettings22.bin" Type="http://schemas.openxmlformats.org/officeDocument/2006/relationships/printerSettings"/></Relationships>
</file>

<file path=xl/worksheets/_rels/sheet23.xml.rels><?xml version="1.0" encoding="UTF-8" standalone="no"?><Relationships xmlns="http://schemas.openxmlformats.org/package/2006/relationships"><Relationship Id="rId1" Target="../printerSettings/printerSettings23.bin" Type="http://schemas.openxmlformats.org/officeDocument/2006/relationships/printerSettings"/></Relationships>
</file>

<file path=xl/worksheets/_rels/sheet24.xml.rels><?xml version="1.0" encoding="UTF-8" standalone="no"?><Relationships xmlns="http://schemas.openxmlformats.org/package/2006/relationships"><Relationship Id="rId1" Target="../printerSettings/printerSettings24.bin" Type="http://schemas.openxmlformats.org/officeDocument/2006/relationships/printerSettings"/></Relationships>
</file>

<file path=xl/worksheets/_rels/sheet25.xml.rels><?xml version="1.0" encoding="UTF-8" standalone="no"?><Relationships xmlns="http://schemas.openxmlformats.org/package/2006/relationships"><Relationship Id="rId1" Target="../printerSettings/printerSettings25.bin" Type="http://schemas.openxmlformats.org/officeDocument/2006/relationships/printerSettings"/></Relationships>
</file>

<file path=xl/worksheets/_rels/sheet26.xml.rels><?xml version="1.0" encoding="UTF-8" standalone="no"?><Relationships xmlns="http://schemas.openxmlformats.org/package/2006/relationships"><Relationship Id="rId1" Target="../printerSettings/printerSettings26.bin" Type="http://schemas.openxmlformats.org/officeDocument/2006/relationships/printerSettings"/></Relationships>
</file>

<file path=xl/worksheets/_rels/sheet27.xml.rels><?xml version="1.0" encoding="UTF-8" standalone="no"?><Relationships xmlns="http://schemas.openxmlformats.org/package/2006/relationships"><Relationship Id="rId1" Target="../printerSettings/printerSettings27.bin" Type="http://schemas.openxmlformats.org/officeDocument/2006/relationships/printerSettings"/></Relationships>
</file>

<file path=xl/worksheets/_rels/sheet28.xml.rels><?xml version="1.0" encoding="UTF-8" standalone="no"?><Relationships xmlns="http://schemas.openxmlformats.org/package/2006/relationships"><Relationship Id="rId1" Target="../printerSettings/printerSettings28.bin" Type="http://schemas.openxmlformats.org/officeDocument/2006/relationships/printerSettings"/></Relationships>
</file>

<file path=xl/worksheets/_rels/sheet29.xml.rels><?xml version="1.0" encoding="UTF-8" standalone="no"?><Relationships xmlns="http://schemas.openxmlformats.org/package/2006/relationships"><Relationship Id="rId1" Target="../printerSettings/printerSettings29.bin" Type="http://schemas.openxmlformats.org/officeDocument/2006/relationships/printerSettings"/><Relationship Id="rId2" Target="../drawings/drawing9.xml" Type="http://schemas.openxmlformats.org/officeDocument/2006/relationships/drawing"/><Relationship Id="rId3" Target="../drawings/vmlDrawing12.vml" Type="http://schemas.openxmlformats.org/officeDocument/2006/relationships/vmlDrawing"/><Relationship Id="rId4" Target="../ctrlProps/ctrlProp74.xml" Type="http://schemas.openxmlformats.org/officeDocument/2006/relationships/ctrlProp"/><Relationship Id="rId5" Target="../ctrlProps/ctrlProp75.xml" Type="http://schemas.openxmlformats.org/officeDocument/2006/relationships/ctrlProp"/><Relationship Id="rId6" Target="../comments7.xml" Type="http://schemas.openxmlformats.org/officeDocument/2006/relationships/comments"/></Relationships>
</file>

<file path=xl/worksheets/_rels/sheet30.xml.rels><?xml version="1.0" encoding="UTF-8" standalone="no"?><Relationships xmlns="http://schemas.openxmlformats.org/package/2006/relationships"><Relationship Id="rId1" Target="../printerSettings/printerSettings30.bin" Type="http://schemas.openxmlformats.org/officeDocument/2006/relationships/printerSettings"/></Relationships>
</file>

<file path=xl/worksheets/_rels/sheet31.xml.rels><?xml version="1.0" encoding="UTF-8" standalone="no"?><Relationships xmlns="http://schemas.openxmlformats.org/package/2006/relationships"><Relationship Id="rId1" Target="../printerSettings/printerSettings31.bin" Type="http://schemas.openxmlformats.org/officeDocument/2006/relationships/printerSettings"/></Relationships>
</file>

<file path=xl/worksheets/_rels/sheet32.xml.rels><?xml version="1.0" encoding="UTF-8" standalone="no"?><Relationships xmlns="http://schemas.openxmlformats.org/package/2006/relationships"><Relationship Id="rId1" Target="../printerSettings/printerSettings32.bin" Type="http://schemas.openxmlformats.org/officeDocument/2006/relationships/printerSettings"/><Relationship Id="rId10" Target="../ctrlProps/ctrlProp82.xml" Type="http://schemas.openxmlformats.org/officeDocument/2006/relationships/ctrlProp"/><Relationship Id="rId11" Target="../comments8.xml" Type="http://schemas.openxmlformats.org/officeDocument/2006/relationships/comments"/><Relationship Id="rId2" Target="../drawings/drawing10.xml" Type="http://schemas.openxmlformats.org/officeDocument/2006/relationships/drawing"/><Relationship Id="rId3" Target="../drawings/vmlDrawing13.vml" Type="http://schemas.openxmlformats.org/officeDocument/2006/relationships/vmlDrawing"/><Relationship Id="rId4" Target="../ctrlProps/ctrlProp76.xml" Type="http://schemas.openxmlformats.org/officeDocument/2006/relationships/ctrlProp"/><Relationship Id="rId5" Target="../ctrlProps/ctrlProp77.xml" Type="http://schemas.openxmlformats.org/officeDocument/2006/relationships/ctrlProp"/><Relationship Id="rId6" Target="../ctrlProps/ctrlProp78.xml" Type="http://schemas.openxmlformats.org/officeDocument/2006/relationships/ctrlProp"/><Relationship Id="rId7" Target="../ctrlProps/ctrlProp79.xml" Type="http://schemas.openxmlformats.org/officeDocument/2006/relationships/ctrlProp"/><Relationship Id="rId8" Target="../ctrlProps/ctrlProp80.xml" Type="http://schemas.openxmlformats.org/officeDocument/2006/relationships/ctrlProp"/><Relationship Id="rId9" Target="../ctrlProps/ctrlProp81.xml" Type="http://schemas.openxmlformats.org/officeDocument/2006/relationships/ctrlProp"/></Relationships>
</file>

<file path=xl/worksheets/_rels/sheet33.xml.rels><?xml version="1.0" encoding="UTF-8" standalone="no"?><Relationships xmlns="http://schemas.openxmlformats.org/package/2006/relationships"><Relationship Id="rId1" Target="../printerSettings/printerSettings33.bin" Type="http://schemas.openxmlformats.org/officeDocument/2006/relationships/printerSettings"/><Relationship Id="rId2" Target="../drawings/drawing11.xml" Type="http://schemas.openxmlformats.org/officeDocument/2006/relationships/drawing"/><Relationship Id="rId3" Target="../drawings/vmlDrawing14.vml" Type="http://schemas.openxmlformats.org/officeDocument/2006/relationships/vmlDrawing"/><Relationship Id="rId4" Target="../ctrlProps/ctrlProp83.xml" Type="http://schemas.openxmlformats.org/officeDocument/2006/relationships/ctrlProp"/></Relationships>
</file>

<file path=xl/worksheets/_rels/sheet34.xml.rels><?xml version="1.0" encoding="UTF-8" standalone="no"?><Relationships xmlns="http://schemas.openxmlformats.org/package/2006/relationships"><Relationship Id="rId1" Target="../printerSettings/printerSettings34.bin" Type="http://schemas.openxmlformats.org/officeDocument/2006/relationships/printerSettings"/><Relationship Id="rId2" Target="../drawings/drawing12.xml" Type="http://schemas.openxmlformats.org/officeDocument/2006/relationships/drawing"/><Relationship Id="rId3" Target="../drawings/vmlDrawing15.vml" Type="http://schemas.openxmlformats.org/officeDocument/2006/relationships/vmlDrawing"/><Relationship Id="rId4" Target="../ctrlProps/ctrlProp84.xml" Type="http://schemas.openxmlformats.org/officeDocument/2006/relationships/ctrlProp"/></Relationships>
</file>

<file path=xl/worksheets/_rels/sheet35.xml.rels><?xml version="1.0" encoding="UTF-8" standalone="no"?><Relationships xmlns="http://schemas.openxmlformats.org/package/2006/relationships"><Relationship Id="rId1" Target="../printerSettings/printerSettings35.bin" Type="http://schemas.openxmlformats.org/officeDocument/2006/relationships/printerSettings"/></Relationships>
</file>

<file path=xl/worksheets/_rels/sheet36.xml.rels><?xml version="1.0" encoding="UTF-8" standalone="no"?><Relationships xmlns="http://schemas.openxmlformats.org/package/2006/relationships"><Relationship Id="rId1" Target="../printerSettings/printerSettings36.bin" Type="http://schemas.openxmlformats.org/officeDocument/2006/relationships/printerSettings"/></Relationships>
</file>

<file path=xl/worksheets/_rels/sheet37.xml.rels><?xml version="1.0" encoding="UTF-8" standalone="no"?><Relationships xmlns="http://schemas.openxmlformats.org/package/2006/relationships"><Relationship Id="rId1" Target="../drawings/drawing13.xml" Type="http://schemas.openxmlformats.org/officeDocument/2006/relationships/drawing"/><Relationship Id="rId2" Target="../drawings/vmlDrawing16.vml" Type="http://schemas.openxmlformats.org/officeDocument/2006/relationships/vmlDrawing"/><Relationship Id="rId3" Target="../ctrlProps/ctrlProp85.xml" Type="http://schemas.openxmlformats.org/officeDocument/2006/relationships/ctrlProp"/><Relationship Id="rId4" Target="../ctrlProps/ctrlProp86.xml" Type="http://schemas.openxmlformats.org/officeDocument/2006/relationships/ctrlProp"/><Relationship Id="rId5" Target="../ctrlProps/ctrlProp87.xml" Type="http://schemas.openxmlformats.org/officeDocument/2006/relationships/ctrlProp"/><Relationship Id="rId6" Target="../ctrlProps/ctrlProp88.xml" Type="http://schemas.openxmlformats.org/officeDocument/2006/relationships/ctrlProp"/></Relationships>
</file>

<file path=xl/worksheets/_rels/sheet38.xml.rels><?xml version="1.0" encoding="UTF-8" standalone="no"?><Relationships xmlns="http://schemas.openxmlformats.org/package/2006/relationships"><Relationship Id="rId1" Target="../printerSettings/printerSettings37.bin" Type="http://schemas.openxmlformats.org/officeDocument/2006/relationships/printerSettings"/></Relationships>
</file>

<file path=xl/worksheets/_rels/sheet39.xml.rels><?xml version="1.0" encoding="UTF-8" standalone="no"?><Relationships xmlns="http://schemas.openxmlformats.org/package/2006/relationships"><Relationship Id="rId1" Target="../printerSettings/printerSettings38.bin" Type="http://schemas.openxmlformats.org/officeDocument/2006/relationships/printerSettings"/><Relationship Id="rId2" Target="../drawings/drawing14.xml" Type="http://schemas.openxmlformats.org/officeDocument/2006/relationships/drawing"/><Relationship Id="rId3" Target="../drawings/vmlDrawing17.vml" Type="http://schemas.openxmlformats.org/officeDocument/2006/relationships/vmlDrawing"/><Relationship Id="rId4" Target="../ctrlProps/ctrlProp89.xml" Type="http://schemas.openxmlformats.org/officeDocument/2006/relationships/ctrlProp"/></Relationships>
</file>

<file path=xl/worksheets/_rels/sheet40.xml.rels><?xml version="1.0" encoding="UTF-8" standalone="no"?><Relationships xmlns="http://schemas.openxmlformats.org/package/2006/relationships"><Relationship Id="rId1" Target="../printerSettings/printerSettings39.bin" Type="http://schemas.openxmlformats.org/officeDocument/2006/relationships/printerSettings"/><Relationship Id="rId2" Target="../drawings/drawing15.xml" Type="http://schemas.openxmlformats.org/officeDocument/2006/relationships/drawing"/><Relationship Id="rId3" Target="../drawings/vmlDrawing18.vml" Type="http://schemas.openxmlformats.org/officeDocument/2006/relationships/vmlDrawing"/><Relationship Id="rId4" Target="../ctrlProps/ctrlProp90.xml" Type="http://schemas.openxmlformats.org/officeDocument/2006/relationships/ctrlProp"/></Relationships>
</file>

<file path=xl/worksheets/_rels/sheet41.xml.rels><?xml version="1.0" encoding="UTF-8" standalone="no"?><Relationships xmlns="http://schemas.openxmlformats.org/package/2006/relationships"><Relationship Id="rId1" Target="../printerSettings/printerSettings40.bin" Type="http://schemas.openxmlformats.org/officeDocument/2006/relationships/printerSettings"/><Relationship Id="rId2" Target="../drawings/drawing16.xml" Type="http://schemas.openxmlformats.org/officeDocument/2006/relationships/drawing"/><Relationship Id="rId3" Target="../drawings/vmlDrawing19.vml" Type="http://schemas.openxmlformats.org/officeDocument/2006/relationships/vmlDrawing"/><Relationship Id="rId4" Target="../ctrlProps/ctrlProp91.xml" Type="http://schemas.openxmlformats.org/officeDocument/2006/relationships/ctrlProp"/><Relationship Id="rId5" Target="../ctrlProps/ctrlProp92.xml" Type="http://schemas.openxmlformats.org/officeDocument/2006/relationships/ctrlProp"/><Relationship Id="rId6" Target="../ctrlProps/ctrlProp93.xml" Type="http://schemas.openxmlformats.org/officeDocument/2006/relationships/ctrlProp"/><Relationship Id="rId7" Target="../ctrlProps/ctrlProp94.xml" Type="http://schemas.openxmlformats.org/officeDocument/2006/relationships/ctrlProp"/><Relationship Id="rId8" Target="../ctrlProps/ctrlProp95.xml" Type="http://schemas.openxmlformats.org/officeDocument/2006/relationships/ctrlProp"/></Relationships>
</file>

<file path=xl/worksheets/_rels/sheet42.xml.rels><?xml version="1.0" encoding="UTF-8" standalone="no"?><Relationships xmlns="http://schemas.openxmlformats.org/package/2006/relationships"><Relationship Id="rId1" Target="../printerSettings/printerSettings41.bin" Type="http://schemas.openxmlformats.org/officeDocument/2006/relationships/printerSettings"/><Relationship Id="rId2" Target="../drawings/drawing17.xml" Type="http://schemas.openxmlformats.org/officeDocument/2006/relationships/drawing"/><Relationship Id="rId3" Target="../drawings/vmlDrawing20.vml" Type="http://schemas.openxmlformats.org/officeDocument/2006/relationships/vmlDrawing"/><Relationship Id="rId4" Target="../ctrlProps/ctrlProp96.xml" Type="http://schemas.openxmlformats.org/officeDocument/2006/relationships/ctrlProp"/><Relationship Id="rId5" Target="../ctrlProps/ctrlProp97.xml" Type="http://schemas.openxmlformats.org/officeDocument/2006/relationships/ctrlProp"/><Relationship Id="rId6" Target="../ctrlProps/ctrlProp98.xml" Type="http://schemas.openxmlformats.org/officeDocument/2006/relationships/ctrlProp"/></Relationships>
</file>

<file path=xl/worksheets/_rels/sheet43.xml.rels><?xml version="1.0" encoding="UTF-8" standalone="no"?><Relationships xmlns="http://schemas.openxmlformats.org/package/2006/relationships"><Relationship Id="rId1" Target="../printerSettings/printerSettings42.bin" Type="http://schemas.openxmlformats.org/officeDocument/2006/relationships/printerSettings"/><Relationship Id="rId2" Target="../drawings/drawing18.xml" Type="http://schemas.openxmlformats.org/officeDocument/2006/relationships/drawing"/><Relationship Id="rId3" Target="../drawings/vmlDrawing21.vml" Type="http://schemas.openxmlformats.org/officeDocument/2006/relationships/vmlDrawing"/><Relationship Id="rId4" Target="../ctrlProps/ctrlProp99.xml" Type="http://schemas.openxmlformats.org/officeDocument/2006/relationships/ctrlProp"/><Relationship Id="rId5" Target="../ctrlProps/ctrlProp100.xml" Type="http://schemas.openxmlformats.org/officeDocument/2006/relationships/ctrlProp"/><Relationship Id="rId6" Target="../ctrlProps/ctrlProp101.xml" Type="http://schemas.openxmlformats.org/officeDocument/2006/relationships/ctrlProp"/><Relationship Id="rId7" Target="../ctrlProps/ctrlProp102.xml" Type="http://schemas.openxmlformats.org/officeDocument/2006/relationships/ctrlProp"/><Relationship Id="rId8" Target="../ctrlProps/ctrlProp103.xml" Type="http://schemas.openxmlformats.org/officeDocument/2006/relationships/ctrlProp"/></Relationships>
</file>

<file path=xl/worksheets/_rels/sheet44.xml.rels><?xml version="1.0" encoding="UTF-8" standalone="no"?><Relationships xmlns="http://schemas.openxmlformats.org/package/2006/relationships"><Relationship Id="rId1" Target="../printerSettings/printerSettings43.bin" Type="http://schemas.openxmlformats.org/officeDocument/2006/relationships/printerSettings"/><Relationship Id="rId2" Target="../drawings/drawing19.xml" Type="http://schemas.openxmlformats.org/officeDocument/2006/relationships/drawing"/><Relationship Id="rId3" Target="../drawings/vmlDrawing22.vml" Type="http://schemas.openxmlformats.org/officeDocument/2006/relationships/vmlDrawing"/><Relationship Id="rId4" Target="../ctrlProps/ctrlProp104.xml" Type="http://schemas.openxmlformats.org/officeDocument/2006/relationships/ctrlProp"/></Relationships>
</file>

<file path=xl/worksheets/_rels/sheet45.xml.rels><?xml version="1.0" encoding="UTF-8" standalone="no"?><Relationships xmlns="http://schemas.openxmlformats.org/package/2006/relationships"><Relationship Id="rId1" Target="../printerSettings/printerSettings44.bin" Type="http://schemas.openxmlformats.org/officeDocument/2006/relationships/printerSettings"/></Relationships>
</file>

<file path=xl/worksheets/_rels/sheet46.xml.rels><?xml version="1.0" encoding="UTF-8" standalone="no"?><Relationships xmlns="http://schemas.openxmlformats.org/package/2006/relationships"><Relationship Id="rId1" Target="../printerSettings/printerSettings45.bin" Type="http://schemas.openxmlformats.org/officeDocument/2006/relationships/printerSettings"/><Relationship Id="rId2" Target="../drawings/drawing20.xml" Type="http://schemas.openxmlformats.org/officeDocument/2006/relationships/drawing"/><Relationship Id="rId3" Target="../drawings/vmlDrawing23.vml" Type="http://schemas.openxmlformats.org/officeDocument/2006/relationships/vmlDrawing"/><Relationship Id="rId4" Target="../ctrlProps/ctrlProp105.xml" Type="http://schemas.openxmlformats.org/officeDocument/2006/relationships/ctrlProp"/><Relationship Id="rId5" Target="../ctrlProps/ctrlProp106.xml" Type="http://schemas.openxmlformats.org/officeDocument/2006/relationships/ctrlProp"/><Relationship Id="rId6" Target="../ctrlProps/ctrlProp107.xml" Type="http://schemas.openxmlformats.org/officeDocument/2006/relationships/ctrlProp"/></Relationships>
</file>

<file path=xl/worksheets/_rels/sheet48.xml.rels><?xml version="1.0" encoding="UTF-8" standalone="no"?><Relationships xmlns="http://schemas.openxmlformats.org/package/2006/relationships"><Relationship Id="rId1" Target="https://www.gov.uk/government/publications/double-taxation-treaties-territory-residents-with-uk-income" TargetMode="External" Type="http://schemas.openxmlformats.org/officeDocument/2006/relationships/hyperlink"/><Relationship Id="rId10" Target="../ctrlProps/ctrlProp112.xml" Type="http://schemas.openxmlformats.org/officeDocument/2006/relationships/ctrlProp"/><Relationship Id="rId11" Target="../ctrlProps/ctrlProp113.xml" Type="http://schemas.openxmlformats.org/officeDocument/2006/relationships/ctrlProp"/><Relationship Id="rId12" Target="../ctrlProps/ctrlProp114.xml" Type="http://schemas.openxmlformats.org/officeDocument/2006/relationships/ctrlProp"/><Relationship Id="rId13" Target="../ctrlProps/ctrlProp115.xml" Type="http://schemas.openxmlformats.org/officeDocument/2006/relationships/ctrlProp"/><Relationship Id="rId14" Target="../ctrlProps/ctrlProp116.xml" Type="http://schemas.openxmlformats.org/officeDocument/2006/relationships/ctrlProp"/><Relationship Id="rId15" Target="../ctrlProps/ctrlProp117.xml" Type="http://schemas.openxmlformats.org/officeDocument/2006/relationships/ctrlProp"/><Relationship Id="rId16" Target="../ctrlProps/ctrlProp118.xml" Type="http://schemas.openxmlformats.org/officeDocument/2006/relationships/ctrlProp"/><Relationship Id="rId17" Target="../ctrlProps/ctrlProp119.xml" Type="http://schemas.openxmlformats.org/officeDocument/2006/relationships/ctrlProp"/><Relationship Id="rId18" Target="../ctrlProps/ctrlProp120.xml" Type="http://schemas.openxmlformats.org/officeDocument/2006/relationships/ctrlProp"/><Relationship Id="rId19" Target="../ctrlProps/ctrlProp121.xml" Type="http://schemas.openxmlformats.org/officeDocument/2006/relationships/ctrlProp"/><Relationship Id="rId2" Target="http://bg.inrev.gov.uk/tax/helpcards/tax50104.pdf" TargetMode="External" Type="http://schemas.openxmlformats.org/officeDocument/2006/relationships/hyperlink"/><Relationship Id="rId20" Target="../ctrlProps/ctrlProp122.xml" Type="http://schemas.openxmlformats.org/officeDocument/2006/relationships/ctrlProp"/><Relationship Id="rId21" Target="../ctrlProps/ctrlProp123.xml" Type="http://schemas.openxmlformats.org/officeDocument/2006/relationships/ctrlProp"/><Relationship Id="rId22" Target="../ctrlProps/ctrlProp124.xml" Type="http://schemas.openxmlformats.org/officeDocument/2006/relationships/ctrlProp"/><Relationship Id="rId23" Target="../ctrlProps/ctrlProp125.xml" Type="http://schemas.openxmlformats.org/officeDocument/2006/relationships/ctrlProp"/><Relationship Id="rId24" Target="../ctrlProps/ctrlProp126.xml" Type="http://schemas.openxmlformats.org/officeDocument/2006/relationships/ctrlProp"/><Relationship Id="rId25" Target="../ctrlProps/ctrlProp127.xml" Type="http://schemas.openxmlformats.org/officeDocument/2006/relationships/ctrlProp"/><Relationship Id="rId26" Target="../ctrlProps/ctrlProp128.xml" Type="http://schemas.openxmlformats.org/officeDocument/2006/relationships/ctrlProp"/><Relationship Id="rId27" Target="../comments9.xml" Type="http://schemas.openxmlformats.org/officeDocument/2006/relationships/comments"/><Relationship Id="rId3" Target="../printerSettings/printerSettings46.bin" Type="http://schemas.openxmlformats.org/officeDocument/2006/relationships/printerSettings"/><Relationship Id="rId4" Target="../drawings/drawing21.xml" Type="http://schemas.openxmlformats.org/officeDocument/2006/relationships/drawing"/><Relationship Id="rId5" Target="../drawings/vmlDrawing24.vml" Type="http://schemas.openxmlformats.org/officeDocument/2006/relationships/vmlDrawing"/><Relationship Id="rId6" Target="../ctrlProps/ctrlProp108.xml" Type="http://schemas.openxmlformats.org/officeDocument/2006/relationships/ctrlProp"/><Relationship Id="rId7" Target="../ctrlProps/ctrlProp109.xml" Type="http://schemas.openxmlformats.org/officeDocument/2006/relationships/ctrlProp"/><Relationship Id="rId8" Target="../ctrlProps/ctrlProp110.xml" Type="http://schemas.openxmlformats.org/officeDocument/2006/relationships/ctrlProp"/><Relationship Id="rId9" Target="../ctrlProps/ctrlProp111.xml" Type="http://schemas.openxmlformats.org/officeDocument/2006/relationships/ctrlProp"/></Relationships>
</file>

<file path=xl/worksheets/_rels/sheet49.xml.rels><?xml version="1.0" encoding="UTF-8" standalone="no"?><Relationships xmlns="http://schemas.openxmlformats.org/package/2006/relationships"><Relationship Id="rId1" Target="../printerSettings/printerSettings47.bin" Type="http://schemas.openxmlformats.org/officeDocument/2006/relationships/printerSettings"/><Relationship Id="rId2" Target="../drawings/drawing22.xml" Type="http://schemas.openxmlformats.org/officeDocument/2006/relationships/drawing"/><Relationship Id="rId3" Target="../drawings/vmlDrawing25.vml" Type="http://schemas.openxmlformats.org/officeDocument/2006/relationships/vmlDrawing"/><Relationship Id="rId4" Target="../ctrlProps/ctrlProp129.xml" Type="http://schemas.openxmlformats.org/officeDocument/2006/relationships/ctrlProp"/></Relationships>
</file>

<file path=xl/worksheets/_rels/sheet50.xml.rels><?xml version="1.0" encoding="UTF-8" standalone="no"?><Relationships xmlns="http://schemas.openxmlformats.org/package/2006/relationships"><Relationship Id="rId1" Target="../printerSettings/printerSettings48.bin" Type="http://schemas.openxmlformats.org/officeDocument/2006/relationships/printerSettings"/></Relationships>
</file>

<file path=xl/worksheets/_rels/sheet51.xml.rels><?xml version="1.0" encoding="UTF-8" standalone="no"?><Relationships xmlns="http://schemas.openxmlformats.org/package/2006/relationships"><Relationship Id="rId1" Target="../printerSettings/printerSettings49.bin" Type="http://schemas.openxmlformats.org/officeDocument/2006/relationships/printerSettings"/><Relationship Id="rId2" Target="../drawings/drawing23.xml" Type="http://schemas.openxmlformats.org/officeDocument/2006/relationships/drawing"/><Relationship Id="rId3" Target="../drawings/vmlDrawing26.vml" Type="http://schemas.openxmlformats.org/officeDocument/2006/relationships/vmlDrawing"/><Relationship Id="rId4" Target="../ctrlProps/ctrlProp130.xml" Type="http://schemas.openxmlformats.org/officeDocument/2006/relationships/ctrlProp"/></Relationships>
</file>

<file path=xl/worksheets/_rels/sheet52.xml.rels><?xml version="1.0" encoding="UTF-8" standalone="no"?><Relationships xmlns="http://schemas.openxmlformats.org/package/2006/relationships"><Relationship Id="rId1" Target="../printerSettings/printerSettings50.bin" Type="http://schemas.openxmlformats.org/officeDocument/2006/relationships/printerSettings"/><Relationship Id="rId10" Target="../ctrlProps/ctrlProp137.xml" Type="http://schemas.openxmlformats.org/officeDocument/2006/relationships/ctrlProp"/><Relationship Id="rId11" Target="../ctrlProps/ctrlProp138.xml" Type="http://schemas.openxmlformats.org/officeDocument/2006/relationships/ctrlProp"/><Relationship Id="rId12" Target="../ctrlProps/ctrlProp139.xml" Type="http://schemas.openxmlformats.org/officeDocument/2006/relationships/ctrlProp"/><Relationship Id="rId2" Target="../drawings/drawing24.xml" Type="http://schemas.openxmlformats.org/officeDocument/2006/relationships/drawing"/><Relationship Id="rId3" Target="../drawings/vmlDrawing27.vml" Type="http://schemas.openxmlformats.org/officeDocument/2006/relationships/vmlDrawing"/><Relationship Id="rId4" Target="../ctrlProps/ctrlProp131.xml" Type="http://schemas.openxmlformats.org/officeDocument/2006/relationships/ctrlProp"/><Relationship Id="rId5" Target="../ctrlProps/ctrlProp132.xml" Type="http://schemas.openxmlformats.org/officeDocument/2006/relationships/ctrlProp"/><Relationship Id="rId6" Target="../ctrlProps/ctrlProp133.xml" Type="http://schemas.openxmlformats.org/officeDocument/2006/relationships/ctrlProp"/><Relationship Id="rId7" Target="../ctrlProps/ctrlProp134.xml" Type="http://schemas.openxmlformats.org/officeDocument/2006/relationships/ctrlProp"/><Relationship Id="rId8" Target="../ctrlProps/ctrlProp135.xml" Type="http://schemas.openxmlformats.org/officeDocument/2006/relationships/ctrlProp"/><Relationship Id="rId9" Target="../ctrlProps/ctrlProp136.xml" Type="http://schemas.openxmlformats.org/officeDocument/2006/relationships/ctrlProp"/></Relationships>
</file>

<file path=xl/worksheets/_rels/sheet53.xml.rels><?xml version="1.0" encoding="UTF-8" standalone="no"?><Relationships xmlns="http://schemas.openxmlformats.org/package/2006/relationships"><Relationship Id="rId1" Target="../printerSettings/printerSettings51.bin" Type="http://schemas.openxmlformats.org/officeDocument/2006/relationships/printerSettings"/></Relationships>
</file>

<file path=xl/worksheets/_rels/sheet54.xml.rels><?xml version="1.0" encoding="UTF-8" standalone="no"?><Relationships xmlns="http://schemas.openxmlformats.org/package/2006/relationships"><Relationship Id="rId1" Target="../printerSettings/printerSettings52.bin" Type="http://schemas.openxmlformats.org/officeDocument/2006/relationships/printerSettings"/><Relationship Id="rId2" Target="../drawings/drawing25.xml" Type="http://schemas.openxmlformats.org/officeDocument/2006/relationships/drawing"/></Relationships>
</file>

<file path=xl/worksheets/_rels/sheet55.xml.rels><?xml version="1.0" encoding="UTF-8" standalone="no"?><Relationships xmlns="http://schemas.openxmlformats.org/package/2006/relationships"><Relationship Id="rId1" Target="../printerSettings/printerSettings53.bin" Type="http://schemas.openxmlformats.org/officeDocument/2006/relationships/printerSettings"/><Relationship Id="rId2" Target="../drawings/drawing26.xml" Type="http://schemas.openxmlformats.org/officeDocument/2006/relationships/drawing"/></Relationships>
</file>

<file path=xl/worksheets/_rels/sheet56.xml.rels><?xml version="1.0" encoding="UTF-8" standalone="no"?><Relationships xmlns="http://schemas.openxmlformats.org/package/2006/relationships"><Relationship Id="rId1" Target="../printerSettings/printerSettings54.bin" Type="http://schemas.openxmlformats.org/officeDocument/2006/relationships/printerSettings"/></Relationships>
</file>

<file path=xl/worksheets/_rels/sheet57.xml.rels><?xml version="1.0" encoding="UTF-8" standalone="no"?><Relationships xmlns="http://schemas.openxmlformats.org/package/2006/relationships"><Relationship Id="rId1" Target="../printerSettings/printerSettings55.bin" Type="http://schemas.openxmlformats.org/officeDocument/2006/relationships/printerSettings"/></Relationships>
</file>

<file path=xl/worksheets/_rels/sheet58.xml.rels><?xml version="1.0" encoding="UTF-8" standalone="no"?><Relationships xmlns="http://schemas.openxmlformats.org/package/2006/relationships"><Relationship Id="rId1" Target="../printerSettings/printerSettings56.bin" Type="http://schemas.openxmlformats.org/officeDocument/2006/relationships/printerSettings"/></Relationships>
</file>

<file path=xl/worksheets/_rels/sheet59.xml.rels><?xml version="1.0" encoding="UTF-8" standalone="no"?><Relationships xmlns="http://schemas.openxmlformats.org/package/2006/relationships"><Relationship Id="rId1" Target="../printerSettings/printerSettings57.bin" Type="http://schemas.openxmlformats.org/officeDocument/2006/relationships/printerSettings"/></Relationships>
</file>

<file path=xl/worksheets/_rels/sheet60.xml.rels><?xml version="1.0" encoding="UTF-8" standalone="no"?><Relationships xmlns="http://schemas.openxmlformats.org/package/2006/relationships"><Relationship Id="rId1" Target="../printerSettings/printerSettings58.bin" Type="http://schemas.openxmlformats.org/officeDocument/2006/relationships/printerSettings"/></Relationships>
</file>

<file path=xl/worksheets/_rels/sheet61.xml.rels><?xml version="1.0" encoding="UTF-8" standalone="no"?><Relationships xmlns="http://schemas.openxmlformats.org/package/2006/relationships"><Relationship Id="rId1" Target="../printerSettings/printerSettings59.bin" Type="http://schemas.openxmlformats.org/officeDocument/2006/relationships/printerSettings"/></Relationships>
</file>

<file path=xl/worksheets/_rels/sheet62.xml.rels><?xml version="1.0" encoding="UTF-8" standalone="no"?><Relationships xmlns="http://schemas.openxmlformats.org/package/2006/relationships"><Relationship Id="rId1" Target="../printerSettings/printerSettings60.bin" Type="http://schemas.openxmlformats.org/officeDocument/2006/relationships/printerSettings"/></Relationships>
</file>

<file path=xl/worksheets/_rels/sheet63.xml.rels><?xml version="1.0" encoding="UTF-8" standalone="no"?><Relationships xmlns="http://schemas.openxmlformats.org/package/2006/relationships"><Relationship Id="rId1" Target="../printerSettings/printerSettings61.bin" Type="http://schemas.openxmlformats.org/officeDocument/2006/relationships/printerSettings"/></Relationships>
</file>

<file path=xl/worksheets/_rels/sheet64.xml.rels><?xml version="1.0" encoding="UTF-8" standalone="no"?><Relationships xmlns="http://schemas.openxmlformats.org/package/2006/relationships"><Relationship Id="rId1" Target="../printerSettings/printerSettings62.bin" Type="http://schemas.openxmlformats.org/officeDocument/2006/relationships/printerSettings"/></Relationships>
</file>

<file path=xl/worksheets/_rels/sheet65.xml.rels><?xml version="1.0" encoding="UTF-8" standalone="no"?><Relationships xmlns="http://schemas.openxmlformats.org/package/2006/relationships"><Relationship Id="rId1" Target="../printerSettings/printerSettings63.bin" Type="http://schemas.openxmlformats.org/officeDocument/2006/relationships/printerSettings"/></Relationships>
</file>

<file path=xl/worksheets/_rels/sheet66.xml.rels><?xml version="1.0" encoding="UTF-8" standalone="no"?><Relationships xmlns="http://schemas.openxmlformats.org/package/2006/relationships"><Relationship Id="rId1" Target="../printerSettings/printerSettings64.bin" Type="http://schemas.openxmlformats.org/officeDocument/2006/relationships/printerSettings"/></Relationships>
</file>

<file path=xl/worksheets/_rels/sheet67.xml.rels><?xml version="1.0" encoding="UTF-8" standalone="no"?><Relationships xmlns="http://schemas.openxmlformats.org/package/2006/relationships"><Relationship Id="rId1" Target="../printerSettings/printerSettings65.bin" Type="http://schemas.openxmlformats.org/officeDocument/2006/relationships/printerSettings"/></Relationships>
</file>

<file path=xl/worksheets/_rels/sheet68.xml.rels><?xml version="1.0" encoding="UTF-8" standalone="no"?><Relationships xmlns="http://schemas.openxmlformats.org/package/2006/relationships"><Relationship Id="rId1" Target="../printerSettings/printerSettings66.bin" Type="http://schemas.openxmlformats.org/officeDocument/2006/relationships/printerSettings"/></Relationships>
</file>

<file path=xl/worksheets/_rels/sheet69.xml.rels><?xml version="1.0" encoding="UTF-8" standalone="no"?><Relationships xmlns="http://schemas.openxmlformats.org/package/2006/relationships"><Relationship Id="rId1" Target="../printerSettings/printerSettings67.bin" Type="http://schemas.openxmlformats.org/officeDocument/2006/relationships/printerSettings"/></Relationships>
</file>

<file path=xl/worksheets/_rels/sheet70.xml.rels><?xml version="1.0" encoding="UTF-8" standalone="no"?><Relationships xmlns="http://schemas.openxmlformats.org/package/2006/relationships"><Relationship Id="rId1" Target="../printerSettings/printerSettings68.bin" Type="http://schemas.openxmlformats.org/officeDocument/2006/relationships/printerSettings"/></Relationships>
</file>

<file path=xl/worksheets/_rels/sheet71.xml.rels><?xml version="1.0" encoding="UTF-8" standalone="no"?><Relationships xmlns="http://schemas.openxmlformats.org/package/2006/relationships"><Relationship Id="rId1" Target="../printerSettings/printerSettings69.bin" Type="http://schemas.openxmlformats.org/officeDocument/2006/relationships/printerSettings"/></Relationships>
</file>

<file path=xl/worksheets/_rels/sheet72.xml.rels><?xml version="1.0" encoding="UTF-8" standalone="no"?><Relationships xmlns="http://schemas.openxmlformats.org/package/2006/relationships"><Relationship Id="rId1" Target="../printerSettings/printerSettings70.bin" Type="http://schemas.openxmlformats.org/officeDocument/2006/relationships/printerSettings"/></Relationships>
</file>

<file path=xl/worksheets/_rels/sheet73.xml.rels><?xml version="1.0" encoding="UTF-8" standalone="no"?><Relationships xmlns="http://schemas.openxmlformats.org/package/2006/relationships"><Relationship Id="rId1" Target="../printerSettings/printerSettings71.bin" Type="http://schemas.openxmlformats.org/officeDocument/2006/relationships/printerSettings"/></Relationships>
</file>

<file path=xl/worksheets/_rels/sheet74.xml.rels><?xml version="1.0" encoding="UTF-8" standalone="no"?><Relationships xmlns="http://schemas.openxmlformats.org/package/2006/relationships"><Relationship Id="rId1" Target="../printerSettings/printerSettings72.bin" Type="http://schemas.openxmlformats.org/officeDocument/2006/relationships/printerSettings"/></Relationships>
</file>

<file path=xl/worksheets/_rels/sheet75.xml.rels><?xml version="1.0" encoding="UTF-8" standalone="no"?><Relationships xmlns="http://schemas.openxmlformats.org/package/2006/relationships"><Relationship Id="rId1" Target="../printerSettings/printerSettings73.bin" Type="http://schemas.openxmlformats.org/officeDocument/2006/relationships/printerSettings"/></Relationships>
</file>

<file path=xl/worksheets/_rels/sheet76.xml.rels><?xml version="1.0" encoding="UTF-8" standalone="no"?><Relationships xmlns="http://schemas.openxmlformats.org/package/2006/relationships"><Relationship Id="rId1" Target="../printerSettings/printerSettings74.bin" Type="http://schemas.openxmlformats.org/officeDocument/2006/relationships/printerSettings"/></Relationships>
</file>

<file path=xl/worksheets/_rels/sheet77.xml.rels><?xml version="1.0" encoding="UTF-8" standalone="no"?><Relationships xmlns="http://schemas.openxmlformats.org/package/2006/relationships"><Relationship Id="rId1" Target="../printerSettings/printerSettings75.bin" Type="http://schemas.openxmlformats.org/officeDocument/2006/relationships/printerSettings"/></Relationships>
</file>

<file path=xl/worksheets/_rels/sheet78.xml.rels><?xml version="1.0" encoding="UTF-8" standalone="no"?><Relationships xmlns="http://schemas.openxmlformats.org/package/2006/relationships"><Relationship Id="rId1" Target="../printerSettings/printerSettings76.bin" Type="http://schemas.openxmlformats.org/officeDocument/2006/relationships/printerSettings"/></Relationships>
</file>

<file path=xl/worksheets/_rels/sheet79.xml.rels><?xml version="1.0" encoding="UTF-8" standalone="no"?><Relationships xmlns="http://schemas.openxmlformats.org/package/2006/relationships"><Relationship Id="rId1" Target="../printerSettings/printerSettings77.bin" Type="http://schemas.openxmlformats.org/officeDocument/2006/relationships/printerSettings"/></Relationships>
</file>

<file path=xl/worksheets/_rels/sheet80.xml.rels><?xml version="1.0" encoding="UTF-8" standalone="no"?><Relationships xmlns="http://schemas.openxmlformats.org/package/2006/relationships"><Relationship Id="rId1" Target="../printerSettings/printerSettings78.bin" Type="http://schemas.openxmlformats.org/officeDocument/2006/relationships/printerSettings"/></Relationships>
</file>

<file path=xl/worksheets/_rels/sheet81.xml.rels><?xml version="1.0" encoding="UTF-8" standalone="no"?><Relationships xmlns="http://schemas.openxmlformats.org/package/2006/relationships"><Relationship Id="rId1" Target="../printerSettings/printerSettings79.bin" Type="http://schemas.openxmlformats.org/officeDocument/2006/relationships/printerSettings"/></Relationships>
</file>

<file path=xl/worksheets/_rels/sheet83.xml.rels><?xml version="1.0" encoding="UTF-8" standalone="no"?><Relationships xmlns="http://schemas.openxmlformats.org/package/2006/relationships"><Relationship Id="rId1" Target="../printerSettings/printerSettings80.bin" Type="http://schemas.openxmlformats.org/officeDocument/2006/relationships/printerSettings"/></Relationships>
</file>

<file path=xl/worksheets/_rels/sheet84.xml.rels><?xml version="1.0" encoding="UTF-8" standalone="no"?><Relationships xmlns="http://schemas.openxmlformats.org/package/2006/relationships"><Relationship Id="rId1" Target="../printerSettings/printerSettings81.bin" Type="http://schemas.openxmlformats.org/officeDocument/2006/relationships/printerSettings"/></Relationships>
</file>

<file path=xl/worksheets/_rels/sheet85.xml.rels><?xml version="1.0" encoding="UTF-8" standalone="no"?><Relationships xmlns="http://schemas.openxmlformats.org/package/2006/relationships"><Relationship Id="rId1" Target="../printerSettings/printerSettings82.bin" Type="http://schemas.openxmlformats.org/officeDocument/2006/relationships/printerSettings"/></Relationships>
</file>

<file path=xl/worksheets/_rels/sheet86.xml.rels><?xml version="1.0" encoding="UTF-8" standalone="no"?><Relationships xmlns="http://schemas.openxmlformats.org/package/2006/relationships"><Relationship Id="rId1" Target="../printerSettings/printerSettings83.bin" Type="http://schemas.openxmlformats.org/officeDocument/2006/relationships/printerSettings"/></Relationships>
</file>

<file path=xl/worksheets/_rels/sheet87.xml.rels><?xml version="1.0" encoding="UTF-8" standalone="no"?><Relationships xmlns="http://schemas.openxmlformats.org/package/2006/relationships"><Relationship Id="rId1" Target="../printerSettings/printerSettings84.bin" Type="http://schemas.openxmlformats.org/officeDocument/2006/relationships/printerSettings"/></Relationships>
</file>

<file path=xl/worksheets/_rels/sheet88.xml.rels><?xml version="1.0" encoding="UTF-8" standalone="no"?><Relationships xmlns="http://schemas.openxmlformats.org/package/2006/relationships"><Relationship Id="rId1" Target="../printerSettings/printerSettings85.bin" Type="http://schemas.openxmlformats.org/officeDocument/2006/relationships/printerSettings"/></Relationships>
</file>

<file path=xl/worksheets/sheet1.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4">
    <tabColor rgb="FFFFFF99"/>
  </sheetPr>
  <dimension ref="A1:AQ263"/>
  <sheetViews>
    <sheetView workbookViewId="0" zoomScale="106" zoomScaleNormal="106">
      <pane activePane="bottomRight" state="frozen" topLeftCell="N2" xSplit="1" ySplit="1"/>
      <selection activeCell="B1" pane="topRight" sqref="B1"/>
      <selection activeCell="A2" pane="bottomLeft" sqref="A2"/>
      <selection activeCell="AE7" pane="bottomRight" sqref="AE7"/>
    </sheetView>
  </sheetViews>
  <sheetFormatPr defaultColWidth="5.7109375" defaultRowHeight="12" x14ac:dyDescent="0.2"/>
  <cols>
    <col min="1" max="1" bestFit="true" customWidth="true" style="98" width="4.42578125" collapsed="true"/>
    <col min="2" max="2" bestFit="true" customWidth="true" style="264" width="4.85546875" collapsed="true"/>
    <col min="3" max="5" bestFit="true" customWidth="true" style="503" width="5.85546875" collapsed="true"/>
    <col min="6" max="8" bestFit="true" customWidth="true" style="503" width="6.28515625" collapsed="true"/>
    <col min="9" max="9" bestFit="true" customWidth="true" style="503" width="4.42578125" collapsed="true"/>
    <col min="10" max="10" bestFit="true" customWidth="true" style="34" width="5.0" collapsed="true"/>
    <col min="11" max="11" bestFit="true" customWidth="true" style="34" width="5.140625" collapsed="true"/>
    <col min="12" max="12" bestFit="true" customWidth="true" style="264" width="3.85546875" collapsed="true"/>
    <col min="13" max="15" bestFit="true" customWidth="true" style="503" width="5.85546875" collapsed="true"/>
    <col min="16" max="18" bestFit="true" customWidth="true" style="503" width="6.42578125" collapsed="true"/>
    <col min="19" max="19" bestFit="true" customWidth="true" style="503" width="5.0" collapsed="true"/>
    <col min="20" max="20" bestFit="true" customWidth="true" style="503" width="5.28515625" collapsed="true"/>
    <col min="21" max="21" bestFit="true" customWidth="true" style="503" width="3.7109375" collapsed="true"/>
    <col min="22" max="23" bestFit="true" customWidth="true" style="503" width="6.42578125" collapsed="true"/>
    <col min="24" max="24" bestFit="true" customWidth="true" style="503" width="5.28515625" collapsed="true"/>
    <col min="25" max="27" bestFit="true" customWidth="true" style="503" width="4.42578125" collapsed="true"/>
    <col min="28" max="29" bestFit="true" customWidth="true" style="503" width="4.5703125" collapsed="true"/>
    <col min="30" max="30" bestFit="true" customWidth="true" style="503" width="3.7109375" collapsed="true"/>
    <col min="31" max="31" bestFit="true" customWidth="true" style="503" width="4.0" collapsed="true"/>
    <col min="32" max="32" bestFit="true" customWidth="true" style="503" width="5.0" collapsed="true"/>
    <col min="33" max="34" bestFit="true" customWidth="true" style="503" width="4.85546875" collapsed="true"/>
    <col min="35" max="35" bestFit="true" customWidth="true" style="503" width="4.5703125" collapsed="true"/>
    <col min="36" max="36" bestFit="true" customWidth="true" style="503" width="4.85546875" collapsed="true"/>
    <col min="37" max="37" bestFit="true" customWidth="true" style="503" width="5.0" collapsed="true"/>
    <col min="38" max="38" bestFit="true" customWidth="true" style="503" width="4.5703125" collapsed="true"/>
    <col min="39" max="39" bestFit="true" customWidth="true" style="503" width="7.42578125" collapsed="true"/>
    <col min="40" max="40" bestFit="true" customWidth="true" style="503" width="7.140625" collapsed="true"/>
    <col min="41" max="41" bestFit="true" customWidth="true" style="503" width="7.0" collapsed="true"/>
    <col min="42" max="42" bestFit="true" customWidth="true" style="503" width="8.140625" collapsed="true"/>
    <col min="43" max="16384" style="503" width="5.7109375" collapsed="true"/>
  </cols>
  <sheetData>
    <row customFormat="1" ht="12.75" r="1" s="98" spans="1:42" thickBot="1" x14ac:dyDescent="0.25">
      <c r="A1" s="953">
        <v>263</v>
      </c>
      <c r="B1" s="577" t="s">
        <v>650</v>
      </c>
      <c r="C1" s="576" t="s">
        <v>3738</v>
      </c>
      <c r="D1" s="576" t="s">
        <v>3737</v>
      </c>
      <c r="E1" s="576" t="s">
        <v>3736</v>
      </c>
      <c r="F1" s="576" t="s">
        <v>3735</v>
      </c>
      <c r="G1" s="576" t="s">
        <v>3734</v>
      </c>
      <c r="H1" s="576" t="s">
        <v>3899</v>
      </c>
      <c r="I1" s="577" t="s">
        <v>2845</v>
      </c>
      <c r="J1" s="857" t="s">
        <v>3023</v>
      </c>
      <c r="K1" s="990" t="s">
        <v>4225</v>
      </c>
      <c r="L1" s="577" t="s">
        <v>908</v>
      </c>
      <c r="M1" s="576" t="s">
        <v>3994</v>
      </c>
      <c r="N1" s="576" t="s">
        <v>3995</v>
      </c>
      <c r="O1" s="576" t="s">
        <v>3996</v>
      </c>
      <c r="P1" s="576" t="s">
        <v>2090</v>
      </c>
      <c r="Q1" s="576" t="s">
        <v>2091</v>
      </c>
      <c r="R1" s="576" t="s">
        <v>2092</v>
      </c>
      <c r="S1" s="576" t="s">
        <v>3830</v>
      </c>
      <c r="T1" s="576" t="s">
        <v>614</v>
      </c>
      <c r="U1" s="576" t="s">
        <v>3832</v>
      </c>
      <c r="V1" s="576" t="s">
        <v>1065</v>
      </c>
      <c r="W1" s="576" t="s">
        <v>1066</v>
      </c>
      <c r="X1" s="576" t="s">
        <v>2075</v>
      </c>
      <c r="Y1" s="576" t="s">
        <v>2076</v>
      </c>
      <c r="Z1" s="576" t="s">
        <v>3663</v>
      </c>
      <c r="AA1" s="576" t="s">
        <v>3665</v>
      </c>
      <c r="AB1" s="576" t="s">
        <v>2261</v>
      </c>
      <c r="AC1" s="576" t="s">
        <v>3316</v>
      </c>
      <c r="AD1" s="1316" t="s">
        <v>4564</v>
      </c>
      <c r="AE1" s="1316" t="s">
        <v>4565</v>
      </c>
      <c r="AF1" s="576" t="s">
        <v>3318</v>
      </c>
      <c r="AG1" s="576" t="s">
        <v>3319</v>
      </c>
      <c r="AH1" s="3505" t="s">
        <v>8212</v>
      </c>
      <c r="AI1" s="576" t="s">
        <v>3320</v>
      </c>
      <c r="AJ1" s="576" t="s">
        <v>2768</v>
      </c>
      <c r="AK1" s="576" t="s">
        <v>3321</v>
      </c>
      <c r="AL1" s="576" t="s">
        <v>568</v>
      </c>
      <c r="AM1" s="576" t="s">
        <v>1850</v>
      </c>
      <c r="AN1" s="576" t="s">
        <v>1851</v>
      </c>
      <c r="AO1" s="576" t="s">
        <v>3173</v>
      </c>
      <c r="AP1" s="574" t="s">
        <v>4547</v>
      </c>
    </row>
    <row r="2" spans="1:42" x14ac:dyDescent="0.2">
      <c r="A2" s="578">
        <v>1</v>
      </c>
      <c r="B2" s="2398">
        <v>2</v>
      </c>
      <c r="C2" s="2398">
        <v>2</v>
      </c>
      <c r="D2" s="2398">
        <v>2</v>
      </c>
      <c r="E2" s="2398">
        <v>2</v>
      </c>
      <c r="F2" s="2398">
        <v>2</v>
      </c>
      <c r="G2" s="2398">
        <v>2</v>
      </c>
      <c r="H2" s="2398">
        <v>2</v>
      </c>
      <c r="I2" s="2398">
        <v>2</v>
      </c>
      <c r="J2" s="2398">
        <v>2</v>
      </c>
      <c r="K2" s="2398">
        <v>2</v>
      </c>
      <c r="L2" s="3508">
        <v>2</v>
      </c>
      <c r="M2" s="122">
        <v>1</v>
      </c>
      <c r="N2" s="122">
        <v>1</v>
      </c>
      <c r="O2" s="122">
        <v>1</v>
      </c>
      <c r="P2" s="122">
        <v>1</v>
      </c>
      <c r="Q2" s="122">
        <v>1</v>
      </c>
      <c r="R2" s="122">
        <v>1</v>
      </c>
      <c r="S2" s="122">
        <v>1</v>
      </c>
      <c r="T2" s="1915">
        <v>1</v>
      </c>
      <c r="U2" s="122">
        <v>1</v>
      </c>
      <c r="V2" s="3125">
        <v>2</v>
      </c>
      <c r="W2" s="1915">
        <v>1</v>
      </c>
      <c r="X2" s="2399">
        <v>1</v>
      </c>
      <c r="Y2" s="1915">
        <v>1</v>
      </c>
      <c r="Z2" s="1915">
        <v>1</v>
      </c>
      <c r="AA2" s="2489">
        <v>1</v>
      </c>
      <c r="AB2" s="1915">
        <v>1</v>
      </c>
      <c r="AC2" s="1915">
        <v>1</v>
      </c>
      <c r="AD2" s="2399">
        <v>1</v>
      </c>
      <c r="AE2" s="2399">
        <v>1</v>
      </c>
      <c r="AF2" s="1915">
        <v>1</v>
      </c>
      <c r="AG2" s="122">
        <v>1</v>
      </c>
      <c r="AH2" s="2399">
        <v>1</v>
      </c>
      <c r="AI2" s="122">
        <v>1</v>
      </c>
      <c r="AJ2" s="122">
        <v>1</v>
      </c>
      <c r="AK2" s="122">
        <v>1</v>
      </c>
      <c r="AL2" s="122">
        <v>1</v>
      </c>
      <c r="AM2" s="122">
        <v>7</v>
      </c>
      <c r="AN2" s="745">
        <v>0</v>
      </c>
      <c r="AO2" s="122" t="b">
        <v>0</v>
      </c>
      <c r="AP2" s="122" t="b">
        <v>0</v>
      </c>
    </row>
    <row r="3" spans="1:42" x14ac:dyDescent="0.2">
      <c r="A3" s="574">
        <v>2</v>
      </c>
      <c r="B3" s="2398">
        <v>3</v>
      </c>
      <c r="C3" s="2398">
        <v>3</v>
      </c>
      <c r="D3" s="2398">
        <v>3</v>
      </c>
      <c r="E3" s="2398">
        <v>3</v>
      </c>
      <c r="F3" s="2398">
        <v>3</v>
      </c>
      <c r="G3" s="2398">
        <v>3</v>
      </c>
      <c r="H3" s="2398">
        <v>3</v>
      </c>
      <c r="I3" s="2398">
        <v>3</v>
      </c>
      <c r="J3" s="2398">
        <v>3</v>
      </c>
      <c r="K3" s="2398">
        <v>3</v>
      </c>
      <c r="L3" s="3509">
        <v>2</v>
      </c>
      <c r="M3" s="122">
        <v>1</v>
      </c>
      <c r="N3" s="122">
        <v>1</v>
      </c>
      <c r="O3" s="122">
        <v>1</v>
      </c>
      <c r="P3" s="122">
        <v>1</v>
      </c>
      <c r="Q3" s="122">
        <v>1</v>
      </c>
      <c r="R3" s="122">
        <v>1</v>
      </c>
      <c r="S3" s="122">
        <v>1</v>
      </c>
      <c r="T3" s="1915">
        <v>1</v>
      </c>
      <c r="U3" s="122">
        <v>1</v>
      </c>
      <c r="V3" s="3125">
        <v>3</v>
      </c>
      <c r="W3" s="1915">
        <v>1</v>
      </c>
      <c r="X3" s="2399">
        <v>1</v>
      </c>
      <c r="Y3" s="1915">
        <v>1</v>
      </c>
      <c r="Z3" s="1915">
        <v>1</v>
      </c>
      <c r="AA3" s="2489">
        <v>1</v>
      </c>
      <c r="AB3" s="1915">
        <v>1</v>
      </c>
      <c r="AC3" s="1915">
        <v>1</v>
      </c>
      <c r="AD3" s="2399">
        <v>1</v>
      </c>
      <c r="AE3" s="2399">
        <v>1</v>
      </c>
      <c r="AF3" s="3125">
        <v>3</v>
      </c>
      <c r="AG3" s="122">
        <v>1</v>
      </c>
      <c r="AH3" s="2399">
        <v>1</v>
      </c>
      <c r="AI3" s="122">
        <v>1</v>
      </c>
      <c r="AJ3" s="122">
        <v>1</v>
      </c>
      <c r="AK3" s="122">
        <v>1</v>
      </c>
      <c r="AL3" s="122">
        <v>5</v>
      </c>
      <c r="AM3" s="122">
        <v>5</v>
      </c>
      <c r="AN3" s="745">
        <v>0</v>
      </c>
      <c r="AO3" s="122" t="b">
        <v>0</v>
      </c>
      <c r="AP3" s="122" t="b">
        <v>0</v>
      </c>
    </row>
    <row r="4" spans="1:42" x14ac:dyDescent="0.2">
      <c r="A4" s="574">
        <v>3</v>
      </c>
      <c r="B4" s="2398">
        <v>4</v>
      </c>
      <c r="C4" s="2398">
        <v>4</v>
      </c>
      <c r="D4" s="2398">
        <v>4</v>
      </c>
      <c r="E4" s="2398">
        <v>4</v>
      </c>
      <c r="F4" s="2398">
        <v>4</v>
      </c>
      <c r="G4" s="2398">
        <v>4</v>
      </c>
      <c r="H4" s="2398">
        <v>4</v>
      </c>
      <c r="I4" s="2398">
        <v>4</v>
      </c>
      <c r="J4" s="2398">
        <v>4</v>
      </c>
      <c r="K4" s="2398">
        <v>4</v>
      </c>
      <c r="L4" s="3509">
        <v>2</v>
      </c>
      <c r="M4" s="122">
        <v>1</v>
      </c>
      <c r="N4" s="122">
        <v>1</v>
      </c>
      <c r="O4" s="122">
        <v>1</v>
      </c>
      <c r="P4" s="122">
        <v>1</v>
      </c>
      <c r="Q4" s="122">
        <v>1</v>
      </c>
      <c r="R4" s="122">
        <v>1</v>
      </c>
      <c r="S4" s="122">
        <v>1</v>
      </c>
      <c r="T4" s="1915">
        <v>1</v>
      </c>
      <c r="U4" s="122">
        <v>1</v>
      </c>
      <c r="V4" s="3125">
        <v>4</v>
      </c>
      <c r="W4" s="1915">
        <v>1</v>
      </c>
      <c r="X4" s="2399">
        <v>1</v>
      </c>
      <c r="Y4" s="1915">
        <v>1</v>
      </c>
      <c r="Z4" s="3125">
        <v>4</v>
      </c>
      <c r="AA4" s="2489">
        <v>1</v>
      </c>
      <c r="AB4" s="1915">
        <v>1</v>
      </c>
      <c r="AC4" s="1915">
        <v>1</v>
      </c>
      <c r="AD4" s="2399">
        <v>11</v>
      </c>
      <c r="AE4" s="3125">
        <v>4</v>
      </c>
      <c r="AF4" s="1915">
        <v>1</v>
      </c>
      <c r="AG4" s="122">
        <v>1</v>
      </c>
      <c r="AH4" s="2399">
        <v>1</v>
      </c>
      <c r="AI4" s="122">
        <v>1</v>
      </c>
      <c r="AJ4" s="122">
        <v>1</v>
      </c>
      <c r="AK4" s="122">
        <v>1</v>
      </c>
      <c r="AL4" s="122">
        <v>4</v>
      </c>
      <c r="AM4" s="122">
        <v>5</v>
      </c>
      <c r="AN4" s="745">
        <v>600</v>
      </c>
      <c r="AO4" s="122" t="b">
        <v>0</v>
      </c>
      <c r="AP4" s="122" t="b">
        <v>0</v>
      </c>
    </row>
    <row r="5" spans="1:42" x14ac:dyDescent="0.2">
      <c r="A5" s="574">
        <v>4</v>
      </c>
      <c r="B5" s="2398">
        <v>5</v>
      </c>
      <c r="C5" s="2398">
        <v>5</v>
      </c>
      <c r="D5" s="2398">
        <v>5</v>
      </c>
      <c r="E5" s="2398">
        <v>5</v>
      </c>
      <c r="F5" s="2398">
        <v>5</v>
      </c>
      <c r="G5" s="2398">
        <v>5</v>
      </c>
      <c r="H5" s="2398">
        <v>5</v>
      </c>
      <c r="I5" s="2398">
        <v>5</v>
      </c>
      <c r="J5" s="2398">
        <v>5</v>
      </c>
      <c r="K5" s="2398">
        <v>5</v>
      </c>
      <c r="L5" s="3509">
        <v>1</v>
      </c>
      <c r="M5" s="122">
        <v>1</v>
      </c>
      <c r="N5" s="122">
        <v>1</v>
      </c>
      <c r="O5" s="122">
        <v>1</v>
      </c>
      <c r="P5" s="122">
        <v>1</v>
      </c>
      <c r="Q5" s="122">
        <v>1</v>
      </c>
      <c r="R5" s="122">
        <v>1</v>
      </c>
      <c r="S5" s="122">
        <v>1</v>
      </c>
      <c r="T5" s="1915">
        <v>1</v>
      </c>
      <c r="U5" s="122">
        <v>1</v>
      </c>
      <c r="V5" s="3125">
        <v>5</v>
      </c>
      <c r="W5" s="1915">
        <v>1</v>
      </c>
      <c r="X5" s="2399">
        <v>1</v>
      </c>
      <c r="Y5" s="1915">
        <v>1</v>
      </c>
      <c r="Z5" s="1915">
        <v>1</v>
      </c>
      <c r="AA5" s="2489">
        <v>1</v>
      </c>
      <c r="AB5" s="1915">
        <v>1</v>
      </c>
      <c r="AC5" s="1915">
        <v>1</v>
      </c>
      <c r="AD5" s="2399">
        <v>1</v>
      </c>
      <c r="AE5" s="2399">
        <v>1</v>
      </c>
      <c r="AF5" s="1915">
        <v>1</v>
      </c>
      <c r="AG5" s="122">
        <v>1</v>
      </c>
      <c r="AH5" s="2399">
        <v>1</v>
      </c>
      <c r="AI5" s="122">
        <v>1</v>
      </c>
      <c r="AJ5" s="122">
        <v>1</v>
      </c>
      <c r="AK5" s="122">
        <v>1</v>
      </c>
      <c r="AL5" s="122">
        <v>1</v>
      </c>
      <c r="AM5" s="122">
        <v>5</v>
      </c>
      <c r="AN5" s="745">
        <v>0</v>
      </c>
      <c r="AO5" s="122" t="b">
        <v>0</v>
      </c>
      <c r="AP5" s="122" t="b">
        <v>0</v>
      </c>
    </row>
    <row r="6" spans="1:42" x14ac:dyDescent="0.2">
      <c r="A6" s="574">
        <v>5</v>
      </c>
      <c r="B6" s="2398">
        <v>6</v>
      </c>
      <c r="C6" s="2398">
        <v>6</v>
      </c>
      <c r="D6" s="2398">
        <v>6</v>
      </c>
      <c r="E6" s="2398">
        <v>6</v>
      </c>
      <c r="F6" s="2398">
        <v>6</v>
      </c>
      <c r="G6" s="2398">
        <v>6</v>
      </c>
      <c r="H6" s="2398">
        <v>6</v>
      </c>
      <c r="I6" s="2398">
        <v>6</v>
      </c>
      <c r="J6" s="2398">
        <v>6</v>
      </c>
      <c r="K6" s="2398">
        <v>6</v>
      </c>
      <c r="L6" s="3509">
        <v>2</v>
      </c>
      <c r="M6" s="122">
        <v>1</v>
      </c>
      <c r="N6" s="122">
        <v>1</v>
      </c>
      <c r="O6" s="122">
        <v>1</v>
      </c>
      <c r="P6" s="122">
        <v>1</v>
      </c>
      <c r="Q6" s="122">
        <v>1</v>
      </c>
      <c r="R6" s="122">
        <v>1</v>
      </c>
      <c r="S6" s="122">
        <v>1</v>
      </c>
      <c r="T6" s="1915">
        <v>1</v>
      </c>
      <c r="U6" s="122">
        <v>1</v>
      </c>
      <c r="V6" s="1915">
        <v>1</v>
      </c>
      <c r="W6" s="1915">
        <v>1</v>
      </c>
      <c r="X6" s="2399">
        <v>1</v>
      </c>
      <c r="Y6" s="1915">
        <v>1</v>
      </c>
      <c r="Z6" s="3125">
        <v>6</v>
      </c>
      <c r="AA6" s="2489">
        <v>1</v>
      </c>
      <c r="AB6" s="1915">
        <v>1</v>
      </c>
      <c r="AC6" s="1915">
        <v>1</v>
      </c>
      <c r="AD6" s="2399">
        <v>11</v>
      </c>
      <c r="AE6" s="122">
        <v>1</v>
      </c>
      <c r="AF6" s="1915">
        <v>1</v>
      </c>
      <c r="AG6" s="122">
        <v>1</v>
      </c>
      <c r="AH6" s="2399">
        <v>1</v>
      </c>
      <c r="AI6" s="122">
        <v>1</v>
      </c>
      <c r="AJ6" s="122">
        <v>1</v>
      </c>
      <c r="AK6" s="122">
        <v>1</v>
      </c>
      <c r="AL6" s="122">
        <v>1</v>
      </c>
      <c r="AM6" s="122">
        <v>5</v>
      </c>
      <c r="AN6" s="745">
        <v>0</v>
      </c>
      <c r="AO6" s="122" t="b">
        <v>0</v>
      </c>
      <c r="AP6" s="122" t="b">
        <v>0</v>
      </c>
    </row>
    <row r="7" spans="1:42" x14ac:dyDescent="0.2">
      <c r="A7" s="574">
        <v>6</v>
      </c>
      <c r="B7" s="2398">
        <v>7</v>
      </c>
      <c r="C7" s="2398">
        <v>7</v>
      </c>
      <c r="D7" s="2398">
        <v>7</v>
      </c>
      <c r="E7" s="2398">
        <v>7</v>
      </c>
      <c r="F7" s="2398">
        <v>7</v>
      </c>
      <c r="G7" s="2398">
        <v>7</v>
      </c>
      <c r="H7" s="2398">
        <v>7</v>
      </c>
      <c r="I7" s="2398">
        <v>7</v>
      </c>
      <c r="J7" s="2398">
        <v>7</v>
      </c>
      <c r="K7" s="2398">
        <v>7</v>
      </c>
      <c r="L7" s="3509">
        <v>2</v>
      </c>
      <c r="M7" s="122">
        <v>1</v>
      </c>
      <c r="N7" s="122">
        <v>1</v>
      </c>
      <c r="O7" s="122">
        <v>1</v>
      </c>
      <c r="P7" s="122">
        <v>1</v>
      </c>
      <c r="Q7" s="122">
        <v>1</v>
      </c>
      <c r="R7" s="122">
        <v>1</v>
      </c>
      <c r="S7" s="122">
        <v>1</v>
      </c>
      <c r="T7" s="1915">
        <v>1</v>
      </c>
      <c r="U7" s="122">
        <v>1</v>
      </c>
      <c r="V7" s="1915">
        <v>1</v>
      </c>
      <c r="W7" s="1915">
        <v>1</v>
      </c>
      <c r="X7" s="2399">
        <v>1</v>
      </c>
      <c r="Y7" s="1915">
        <v>1</v>
      </c>
      <c r="Z7" s="1915">
        <v>1</v>
      </c>
      <c r="AA7" s="2489">
        <v>1</v>
      </c>
      <c r="AB7" s="1915">
        <v>1</v>
      </c>
      <c r="AC7" s="1915">
        <v>1</v>
      </c>
      <c r="AD7" s="2399">
        <v>13</v>
      </c>
      <c r="AE7" s="122">
        <v>1</v>
      </c>
      <c r="AF7" s="1915">
        <v>1</v>
      </c>
      <c r="AG7" s="122">
        <v>1</v>
      </c>
      <c r="AH7" s="2399">
        <v>1</v>
      </c>
      <c r="AI7" s="122">
        <v>1</v>
      </c>
      <c r="AJ7" s="122">
        <v>1</v>
      </c>
      <c r="AK7" s="122">
        <v>1</v>
      </c>
      <c r="AL7" s="122">
        <v>1</v>
      </c>
      <c r="AM7" s="122">
        <v>4</v>
      </c>
      <c r="AN7" s="745">
        <v>0</v>
      </c>
      <c r="AO7" s="122" t="b">
        <v>1</v>
      </c>
      <c r="AP7" s="122" t="b">
        <v>0</v>
      </c>
    </row>
    <row r="8" spans="1:42" x14ac:dyDescent="0.2">
      <c r="A8" s="574">
        <v>7</v>
      </c>
      <c r="B8" s="2398">
        <v>8</v>
      </c>
      <c r="C8" s="2398">
        <v>8</v>
      </c>
      <c r="D8" s="2398">
        <v>8</v>
      </c>
      <c r="E8" s="2398">
        <v>8</v>
      </c>
      <c r="F8" s="2398">
        <v>8</v>
      </c>
      <c r="G8" s="2398">
        <v>8</v>
      </c>
      <c r="H8" s="2398">
        <v>8</v>
      </c>
      <c r="I8" s="2398">
        <v>8</v>
      </c>
      <c r="J8" s="2398">
        <v>8</v>
      </c>
      <c r="K8" s="2398">
        <v>8</v>
      </c>
      <c r="L8" s="3509">
        <v>2</v>
      </c>
      <c r="M8" s="122">
        <v>1</v>
      </c>
      <c r="N8" s="122">
        <v>1</v>
      </c>
      <c r="O8" s="122">
        <v>1</v>
      </c>
      <c r="P8" s="122">
        <v>1</v>
      </c>
      <c r="Q8" s="122">
        <v>1</v>
      </c>
      <c r="R8" s="122">
        <v>1</v>
      </c>
      <c r="S8" s="122">
        <v>1</v>
      </c>
      <c r="T8" s="1915">
        <v>8</v>
      </c>
      <c r="U8" s="122">
        <v>1</v>
      </c>
      <c r="V8" s="3125">
        <v>8</v>
      </c>
      <c r="W8" s="1915">
        <v>1</v>
      </c>
      <c r="X8" s="2399">
        <v>1</v>
      </c>
      <c r="Y8" s="1915">
        <v>1</v>
      </c>
      <c r="Z8" s="1915">
        <v>1</v>
      </c>
      <c r="AA8" s="2489">
        <v>1</v>
      </c>
      <c r="AB8" s="1915">
        <v>1</v>
      </c>
      <c r="AC8" s="1915">
        <v>1</v>
      </c>
      <c r="AD8" s="2399">
        <v>1</v>
      </c>
      <c r="AE8" s="122">
        <v>1</v>
      </c>
      <c r="AF8" s="1915">
        <v>1</v>
      </c>
      <c r="AG8" s="122">
        <v>1</v>
      </c>
      <c r="AH8" s="2399">
        <v>1</v>
      </c>
      <c r="AI8" s="122">
        <v>1</v>
      </c>
      <c r="AJ8" s="122">
        <v>1</v>
      </c>
      <c r="AK8" s="122">
        <v>1</v>
      </c>
      <c r="AL8" s="122">
        <v>5</v>
      </c>
      <c r="AM8" s="122">
        <v>3</v>
      </c>
      <c r="AN8" s="745">
        <v>0</v>
      </c>
      <c r="AO8" s="122" t="b">
        <v>1</v>
      </c>
      <c r="AP8" s="122" t="b">
        <v>0</v>
      </c>
    </row>
    <row r="9" spans="1:42" x14ac:dyDescent="0.2">
      <c r="A9" s="574">
        <v>8</v>
      </c>
      <c r="B9" s="2398">
        <v>9</v>
      </c>
      <c r="C9" s="2398">
        <v>9</v>
      </c>
      <c r="D9" s="2398">
        <v>9</v>
      </c>
      <c r="E9" s="2398">
        <v>9</v>
      </c>
      <c r="F9" s="2398">
        <v>9</v>
      </c>
      <c r="G9" s="2398">
        <v>9</v>
      </c>
      <c r="H9" s="2398">
        <v>9</v>
      </c>
      <c r="I9" s="2398">
        <v>9</v>
      </c>
      <c r="J9" s="2398">
        <v>9</v>
      </c>
      <c r="K9" s="2398">
        <v>9</v>
      </c>
      <c r="L9" s="3509">
        <v>2</v>
      </c>
      <c r="M9" s="122">
        <v>1</v>
      </c>
      <c r="N9" s="122">
        <v>1</v>
      </c>
      <c r="O9" s="122">
        <v>1</v>
      </c>
      <c r="P9" s="122">
        <v>1</v>
      </c>
      <c r="Q9" s="122">
        <v>1</v>
      </c>
      <c r="R9" s="122">
        <v>1</v>
      </c>
      <c r="S9" s="122">
        <v>1</v>
      </c>
      <c r="T9" s="3125">
        <v>9</v>
      </c>
      <c r="U9" s="122">
        <v>1</v>
      </c>
      <c r="V9" s="1915">
        <v>1</v>
      </c>
      <c r="W9" s="1915">
        <v>1</v>
      </c>
      <c r="X9" s="2399">
        <v>1</v>
      </c>
      <c r="Y9" s="1915">
        <v>1</v>
      </c>
      <c r="Z9" s="3125">
        <v>9</v>
      </c>
      <c r="AA9" s="2489">
        <v>1</v>
      </c>
      <c r="AB9" s="1915">
        <v>1</v>
      </c>
      <c r="AC9" s="1915">
        <v>1</v>
      </c>
      <c r="AD9" s="2399">
        <v>11</v>
      </c>
      <c r="AE9" s="122">
        <v>1</v>
      </c>
      <c r="AF9" s="1915">
        <v>1</v>
      </c>
      <c r="AG9" s="122">
        <v>1</v>
      </c>
      <c r="AH9" s="2399">
        <v>1</v>
      </c>
      <c r="AI9" s="122">
        <v>1</v>
      </c>
      <c r="AJ9" s="122">
        <v>1</v>
      </c>
      <c r="AK9" s="122">
        <v>1</v>
      </c>
      <c r="AL9" s="122">
        <v>1</v>
      </c>
      <c r="AM9" s="122">
        <v>1</v>
      </c>
      <c r="AN9" s="745">
        <v>0</v>
      </c>
      <c r="AO9" s="122" t="b">
        <v>1</v>
      </c>
      <c r="AP9" s="122" t="b">
        <v>0</v>
      </c>
    </row>
    <row r="10" spans="1:42" x14ac:dyDescent="0.2">
      <c r="A10" s="574">
        <v>9</v>
      </c>
      <c r="B10" s="2398">
        <v>10</v>
      </c>
      <c r="C10" s="2398">
        <v>10</v>
      </c>
      <c r="D10" s="2398">
        <v>10</v>
      </c>
      <c r="E10" s="2398">
        <v>10</v>
      </c>
      <c r="F10" s="2398">
        <v>10</v>
      </c>
      <c r="G10" s="2398">
        <v>10</v>
      </c>
      <c r="H10" s="2398">
        <v>10</v>
      </c>
      <c r="I10" s="2398">
        <v>10</v>
      </c>
      <c r="J10" s="2398">
        <v>10</v>
      </c>
      <c r="K10" s="2398">
        <v>10</v>
      </c>
      <c r="L10" s="3509">
        <v>2</v>
      </c>
      <c r="M10" s="122">
        <v>1</v>
      </c>
      <c r="N10" s="122">
        <v>1</v>
      </c>
      <c r="O10" s="122">
        <v>1</v>
      </c>
      <c r="P10" s="122">
        <v>1</v>
      </c>
      <c r="Q10" s="122">
        <v>1</v>
      </c>
      <c r="R10" s="122">
        <v>1</v>
      </c>
      <c r="S10" s="122">
        <v>1</v>
      </c>
      <c r="T10" s="1915">
        <v>1</v>
      </c>
      <c r="U10" s="122">
        <v>1</v>
      </c>
      <c r="V10" s="1915">
        <v>1</v>
      </c>
      <c r="W10" s="1915">
        <v>1</v>
      </c>
      <c r="X10" s="2399">
        <v>1</v>
      </c>
      <c r="Y10" s="3125">
        <v>10</v>
      </c>
      <c r="Z10" s="1915">
        <v>1</v>
      </c>
      <c r="AA10" s="2489">
        <v>1</v>
      </c>
      <c r="AB10" s="1915">
        <v>1</v>
      </c>
      <c r="AC10" s="1915">
        <v>1</v>
      </c>
      <c r="AD10" s="2399">
        <v>1</v>
      </c>
      <c r="AE10" s="122">
        <v>1</v>
      </c>
      <c r="AF10" s="3125">
        <v>10</v>
      </c>
      <c r="AG10" s="122">
        <v>1</v>
      </c>
      <c r="AH10" s="2399">
        <v>1</v>
      </c>
      <c r="AI10" s="122">
        <v>1</v>
      </c>
      <c r="AJ10" s="122">
        <v>1</v>
      </c>
      <c r="AK10" s="122">
        <v>1</v>
      </c>
      <c r="AL10" s="122">
        <v>1</v>
      </c>
      <c r="AM10" s="122">
        <v>5</v>
      </c>
      <c r="AN10" s="745">
        <v>0</v>
      </c>
      <c r="AO10" s="122" t="b">
        <v>0</v>
      </c>
      <c r="AP10" s="122" t="b">
        <v>0</v>
      </c>
    </row>
    <row r="11" spans="1:42" x14ac:dyDescent="0.2">
      <c r="A11" s="574">
        <v>10</v>
      </c>
      <c r="B11" s="2398">
        <v>11</v>
      </c>
      <c r="C11" s="2398">
        <v>11</v>
      </c>
      <c r="D11" s="2398">
        <v>11</v>
      </c>
      <c r="E11" s="2398">
        <v>11</v>
      </c>
      <c r="F11" s="2398">
        <v>11</v>
      </c>
      <c r="G11" s="2398">
        <v>11</v>
      </c>
      <c r="H11" s="2398">
        <v>11</v>
      </c>
      <c r="I11" s="2398">
        <v>11</v>
      </c>
      <c r="J11" s="2398">
        <v>11</v>
      </c>
      <c r="K11" s="2398">
        <v>11</v>
      </c>
      <c r="L11" s="3510">
        <v>2</v>
      </c>
      <c r="M11" s="2025">
        <v>1</v>
      </c>
      <c r="N11" s="2025">
        <v>1</v>
      </c>
      <c r="O11" s="2025">
        <v>1</v>
      </c>
      <c r="P11" s="2025">
        <v>1</v>
      </c>
      <c r="Q11" s="2025">
        <v>1</v>
      </c>
      <c r="R11" s="2025">
        <v>1</v>
      </c>
      <c r="S11" s="2025">
        <v>1</v>
      </c>
      <c r="T11" s="1915">
        <v>1</v>
      </c>
      <c r="U11" s="122">
        <v>1</v>
      </c>
      <c r="V11" s="1915">
        <v>1</v>
      </c>
      <c r="W11" s="1915">
        <v>1</v>
      </c>
      <c r="X11" s="2399">
        <v>1</v>
      </c>
      <c r="Y11" s="1915">
        <v>1</v>
      </c>
      <c r="Z11" s="1915">
        <v>1</v>
      </c>
      <c r="AA11" s="2489">
        <v>1</v>
      </c>
      <c r="AB11" s="1915">
        <v>1</v>
      </c>
      <c r="AC11" s="1915">
        <v>1</v>
      </c>
      <c r="AD11" s="2399">
        <v>1</v>
      </c>
      <c r="AE11" s="122">
        <v>1</v>
      </c>
      <c r="AF11" s="1915">
        <v>1</v>
      </c>
      <c r="AG11" s="2025">
        <v>1</v>
      </c>
      <c r="AH11" s="2399">
        <v>1</v>
      </c>
      <c r="AI11" s="2025">
        <v>1</v>
      </c>
      <c r="AJ11" s="2025">
        <v>1</v>
      </c>
      <c r="AK11" s="2025">
        <v>1</v>
      </c>
      <c r="AL11" s="2025">
        <v>1</v>
      </c>
      <c r="AM11" s="122">
        <v>5</v>
      </c>
      <c r="AN11" s="745">
        <v>0</v>
      </c>
      <c r="AO11" s="122" t="b">
        <v>0</v>
      </c>
      <c r="AP11" s="122" t="b">
        <v>0</v>
      </c>
    </row>
    <row r="12" spans="1:42" x14ac:dyDescent="0.2">
      <c r="A12" s="574">
        <v>11</v>
      </c>
      <c r="B12" s="2398">
        <v>12</v>
      </c>
      <c r="C12" s="2398">
        <v>12</v>
      </c>
      <c r="D12" s="2398">
        <v>12</v>
      </c>
      <c r="E12" s="2398">
        <v>12</v>
      </c>
      <c r="F12" s="2398">
        <v>12</v>
      </c>
      <c r="G12" s="2398">
        <v>12</v>
      </c>
      <c r="H12" s="2398">
        <v>12</v>
      </c>
      <c r="I12" s="2398">
        <v>12</v>
      </c>
      <c r="J12" s="2398">
        <v>12</v>
      </c>
      <c r="K12" s="2398">
        <v>12</v>
      </c>
      <c r="L12" s="3509">
        <v>2</v>
      </c>
      <c r="M12" s="122">
        <v>1</v>
      </c>
      <c r="N12" s="122">
        <v>1</v>
      </c>
      <c r="O12" s="122">
        <v>1</v>
      </c>
      <c r="P12" s="122">
        <v>1</v>
      </c>
      <c r="Q12" s="122">
        <v>1</v>
      </c>
      <c r="R12" s="122">
        <v>1</v>
      </c>
      <c r="S12" s="122">
        <v>1</v>
      </c>
      <c r="T12" s="1915">
        <v>1</v>
      </c>
      <c r="U12" s="122">
        <v>1</v>
      </c>
      <c r="V12" s="3125">
        <v>12</v>
      </c>
      <c r="W12" s="1915">
        <v>1</v>
      </c>
      <c r="X12" s="2399">
        <v>1</v>
      </c>
      <c r="Y12" s="1915">
        <v>1</v>
      </c>
      <c r="Z12" s="1915">
        <v>1</v>
      </c>
      <c r="AA12" s="2489">
        <v>1</v>
      </c>
      <c r="AB12" s="1915">
        <v>1</v>
      </c>
      <c r="AC12" s="1915">
        <v>1</v>
      </c>
      <c r="AD12" s="2399">
        <v>1</v>
      </c>
      <c r="AE12" s="122">
        <v>1</v>
      </c>
      <c r="AF12" s="3125">
        <v>12</v>
      </c>
      <c r="AG12" s="122">
        <v>1</v>
      </c>
      <c r="AH12" s="2399">
        <v>1</v>
      </c>
      <c r="AI12" s="122">
        <v>1</v>
      </c>
      <c r="AJ12" s="122">
        <v>1</v>
      </c>
      <c r="AK12" s="122">
        <v>1</v>
      </c>
      <c r="AL12" s="122">
        <v>5</v>
      </c>
      <c r="AM12" s="122">
        <v>1</v>
      </c>
      <c r="AN12" s="745">
        <v>0</v>
      </c>
      <c r="AO12" s="122" t="b">
        <v>1</v>
      </c>
      <c r="AP12" s="122" t="b">
        <v>0</v>
      </c>
    </row>
    <row r="13" spans="1:42" x14ac:dyDescent="0.2">
      <c r="A13" s="574">
        <v>12</v>
      </c>
      <c r="B13" s="2398">
        <v>13</v>
      </c>
      <c r="C13" s="2398">
        <v>13</v>
      </c>
      <c r="D13" s="2398">
        <v>13</v>
      </c>
      <c r="E13" s="2398">
        <v>13</v>
      </c>
      <c r="F13" s="2398">
        <v>13</v>
      </c>
      <c r="G13" s="2398">
        <v>13</v>
      </c>
      <c r="H13" s="2398">
        <v>13</v>
      </c>
      <c r="I13" s="2398">
        <v>13</v>
      </c>
      <c r="J13" s="2398">
        <v>13</v>
      </c>
      <c r="K13" s="2398">
        <v>13</v>
      </c>
      <c r="L13" s="3510">
        <v>2</v>
      </c>
      <c r="M13" s="2025">
        <v>1</v>
      </c>
      <c r="N13" s="2025">
        <v>1</v>
      </c>
      <c r="O13" s="2025">
        <v>1</v>
      </c>
      <c r="P13" s="2025">
        <v>1</v>
      </c>
      <c r="Q13" s="2025">
        <v>1</v>
      </c>
      <c r="R13" s="2025">
        <v>1</v>
      </c>
      <c r="S13" s="2025">
        <v>1</v>
      </c>
      <c r="T13" s="1915">
        <v>1</v>
      </c>
      <c r="U13" s="122">
        <v>1</v>
      </c>
      <c r="V13" s="1915">
        <v>1</v>
      </c>
      <c r="W13" s="1915">
        <v>1</v>
      </c>
      <c r="X13" s="2399">
        <v>1</v>
      </c>
      <c r="Y13" s="1915">
        <v>1</v>
      </c>
      <c r="Z13" s="1915">
        <v>1</v>
      </c>
      <c r="AA13" s="2489">
        <v>1</v>
      </c>
      <c r="AB13" s="1915">
        <v>1</v>
      </c>
      <c r="AC13" s="1915">
        <v>1</v>
      </c>
      <c r="AD13" s="2399">
        <v>1</v>
      </c>
      <c r="AE13" s="122">
        <v>1</v>
      </c>
      <c r="AF13" s="1915">
        <v>1</v>
      </c>
      <c r="AG13" s="2025">
        <v>1</v>
      </c>
      <c r="AH13" s="2399">
        <v>1</v>
      </c>
      <c r="AI13" s="2025">
        <v>1</v>
      </c>
      <c r="AJ13" s="2025">
        <v>1</v>
      </c>
      <c r="AK13" s="2025">
        <v>1</v>
      </c>
      <c r="AL13" s="2025">
        <v>1</v>
      </c>
      <c r="AM13" s="122">
        <v>1</v>
      </c>
      <c r="AN13" s="745">
        <v>0</v>
      </c>
      <c r="AO13" s="122" t="b">
        <v>0</v>
      </c>
      <c r="AP13" s="122" t="b">
        <v>0</v>
      </c>
    </row>
    <row r="14" spans="1:42" x14ac:dyDescent="0.2">
      <c r="A14" s="574">
        <v>13</v>
      </c>
      <c r="B14" s="2398">
        <v>14</v>
      </c>
      <c r="C14" s="2398">
        <v>14</v>
      </c>
      <c r="D14" s="2398">
        <v>14</v>
      </c>
      <c r="E14" s="2398">
        <v>14</v>
      </c>
      <c r="F14" s="2398">
        <v>14</v>
      </c>
      <c r="G14" s="2398">
        <v>14</v>
      </c>
      <c r="H14" s="2398">
        <v>14</v>
      </c>
      <c r="I14" s="2398">
        <v>14</v>
      </c>
      <c r="J14" s="2398">
        <v>14</v>
      </c>
      <c r="K14" s="2398">
        <v>14</v>
      </c>
      <c r="L14" s="3509">
        <v>2</v>
      </c>
      <c r="M14" s="122">
        <v>1</v>
      </c>
      <c r="N14" s="122">
        <v>1</v>
      </c>
      <c r="O14" s="122">
        <v>1</v>
      </c>
      <c r="P14" s="122">
        <v>1</v>
      </c>
      <c r="Q14" s="122">
        <v>1</v>
      </c>
      <c r="R14" s="122">
        <v>1</v>
      </c>
      <c r="S14" s="122">
        <v>1</v>
      </c>
      <c r="T14" s="3125">
        <v>14</v>
      </c>
      <c r="U14" s="122">
        <v>1</v>
      </c>
      <c r="V14" s="3125">
        <v>14</v>
      </c>
      <c r="W14" s="1915">
        <v>1</v>
      </c>
      <c r="X14" s="2399">
        <v>1</v>
      </c>
      <c r="Y14" s="1915">
        <v>1</v>
      </c>
      <c r="Z14" s="3125">
        <v>14</v>
      </c>
      <c r="AA14" s="2489">
        <v>1</v>
      </c>
      <c r="AB14" s="1915">
        <v>1</v>
      </c>
      <c r="AC14" s="1915">
        <v>1</v>
      </c>
      <c r="AD14" s="2399">
        <v>11</v>
      </c>
      <c r="AE14" s="3125">
        <v>14</v>
      </c>
      <c r="AF14" s="3125">
        <v>14</v>
      </c>
      <c r="AG14" s="122">
        <v>1</v>
      </c>
      <c r="AH14" s="2399">
        <v>1</v>
      </c>
      <c r="AI14" s="122">
        <v>1</v>
      </c>
      <c r="AJ14" s="122">
        <v>1</v>
      </c>
      <c r="AK14" s="122">
        <v>1</v>
      </c>
      <c r="AL14" s="122">
        <v>5</v>
      </c>
      <c r="AM14" s="122">
        <v>1</v>
      </c>
      <c r="AN14" s="745">
        <v>617</v>
      </c>
      <c r="AO14" s="122" t="b">
        <v>1</v>
      </c>
      <c r="AP14" s="122" t="b">
        <v>0</v>
      </c>
    </row>
    <row r="15" spans="1:42" x14ac:dyDescent="0.2">
      <c r="A15" s="574">
        <v>14</v>
      </c>
      <c r="B15" s="2398">
        <v>15</v>
      </c>
      <c r="C15" s="2398">
        <v>15</v>
      </c>
      <c r="D15" s="2398">
        <v>15</v>
      </c>
      <c r="E15" s="2398">
        <v>15</v>
      </c>
      <c r="F15" s="2398">
        <v>15</v>
      </c>
      <c r="G15" s="2398">
        <v>15</v>
      </c>
      <c r="H15" s="2398">
        <v>15</v>
      </c>
      <c r="I15" s="2398">
        <v>15</v>
      </c>
      <c r="J15" s="2398">
        <v>15</v>
      </c>
      <c r="K15" s="2398">
        <v>15</v>
      </c>
      <c r="L15" s="3509">
        <v>2</v>
      </c>
      <c r="M15" s="122">
        <v>1</v>
      </c>
      <c r="N15" s="122">
        <v>1</v>
      </c>
      <c r="O15" s="122">
        <v>1</v>
      </c>
      <c r="P15" s="122">
        <v>1</v>
      </c>
      <c r="Q15" s="122">
        <v>1</v>
      </c>
      <c r="R15" s="122">
        <v>1</v>
      </c>
      <c r="S15" s="122">
        <v>1</v>
      </c>
      <c r="T15" s="1915">
        <v>1</v>
      </c>
      <c r="U15" s="122">
        <v>1</v>
      </c>
      <c r="V15" s="3125">
        <v>15</v>
      </c>
      <c r="W15" s="1915">
        <v>1</v>
      </c>
      <c r="X15" s="2399">
        <v>1</v>
      </c>
      <c r="Y15" s="1915">
        <v>1</v>
      </c>
      <c r="Z15" s="1915">
        <v>1</v>
      </c>
      <c r="AA15" s="2489">
        <v>1</v>
      </c>
      <c r="AB15" s="1915">
        <v>1</v>
      </c>
      <c r="AC15" s="1915">
        <v>1</v>
      </c>
      <c r="AD15" s="2399">
        <v>1</v>
      </c>
      <c r="AE15" s="122">
        <v>1</v>
      </c>
      <c r="AF15" s="1915">
        <v>1</v>
      </c>
      <c r="AG15" s="122">
        <v>1</v>
      </c>
      <c r="AH15" s="2399">
        <v>1</v>
      </c>
      <c r="AI15" s="122">
        <v>1</v>
      </c>
      <c r="AJ15" s="122">
        <v>1</v>
      </c>
      <c r="AK15" s="122">
        <v>1</v>
      </c>
      <c r="AL15" s="122">
        <v>5</v>
      </c>
      <c r="AM15" s="122">
        <v>7</v>
      </c>
      <c r="AN15" s="745">
        <v>0</v>
      </c>
      <c r="AO15" s="122" t="b">
        <v>0</v>
      </c>
      <c r="AP15" s="122" t="b">
        <v>0</v>
      </c>
    </row>
    <row r="16" spans="1:42" x14ac:dyDescent="0.2">
      <c r="A16" s="574">
        <v>15</v>
      </c>
      <c r="B16" s="2398">
        <v>16</v>
      </c>
      <c r="C16" s="2398">
        <v>16</v>
      </c>
      <c r="D16" s="2398">
        <v>16</v>
      </c>
      <c r="E16" s="2398">
        <v>16</v>
      </c>
      <c r="F16" s="2398">
        <v>16</v>
      </c>
      <c r="G16" s="2398">
        <v>16</v>
      </c>
      <c r="H16" s="2398">
        <v>16</v>
      </c>
      <c r="I16" s="2398">
        <v>16</v>
      </c>
      <c r="J16" s="2398">
        <v>16</v>
      </c>
      <c r="K16" s="2398">
        <v>16</v>
      </c>
      <c r="L16" s="3509">
        <v>2</v>
      </c>
      <c r="M16" s="122">
        <v>1</v>
      </c>
      <c r="N16" s="122">
        <v>1</v>
      </c>
      <c r="O16" s="122">
        <v>1</v>
      </c>
      <c r="P16" s="122">
        <v>1</v>
      </c>
      <c r="Q16" s="122">
        <v>1</v>
      </c>
      <c r="R16" s="122">
        <v>1</v>
      </c>
      <c r="S16" s="122">
        <v>1</v>
      </c>
      <c r="T16" s="1915">
        <v>1</v>
      </c>
      <c r="U16" s="122">
        <v>1</v>
      </c>
      <c r="V16" s="1915">
        <v>1</v>
      </c>
      <c r="W16" s="1915">
        <v>1</v>
      </c>
      <c r="X16" s="2399">
        <v>1</v>
      </c>
      <c r="Y16" s="1915">
        <v>1</v>
      </c>
      <c r="Z16" s="3125">
        <v>16</v>
      </c>
      <c r="AA16" s="2489">
        <v>1</v>
      </c>
      <c r="AB16" s="1915">
        <v>1</v>
      </c>
      <c r="AC16" s="1915">
        <v>1</v>
      </c>
      <c r="AD16" s="2399">
        <v>11</v>
      </c>
      <c r="AE16" s="122">
        <v>1</v>
      </c>
      <c r="AF16" s="1915">
        <v>1</v>
      </c>
      <c r="AG16" s="122">
        <v>1</v>
      </c>
      <c r="AH16" s="2399">
        <v>1</v>
      </c>
      <c r="AI16" s="122">
        <v>1</v>
      </c>
      <c r="AJ16" s="122">
        <v>1</v>
      </c>
      <c r="AK16" s="122">
        <v>1</v>
      </c>
      <c r="AL16" s="122">
        <v>1</v>
      </c>
      <c r="AM16" s="122">
        <v>7</v>
      </c>
      <c r="AN16" s="745">
        <v>0</v>
      </c>
      <c r="AO16" s="122" t="b">
        <v>0</v>
      </c>
      <c r="AP16" s="122" t="b">
        <v>0</v>
      </c>
    </row>
    <row r="17" spans="1:42" x14ac:dyDescent="0.2">
      <c r="A17" s="574">
        <v>16</v>
      </c>
      <c r="B17" s="2398">
        <v>17</v>
      </c>
      <c r="C17" s="2398">
        <v>17</v>
      </c>
      <c r="D17" s="2398">
        <v>17</v>
      </c>
      <c r="E17" s="2398">
        <v>17</v>
      </c>
      <c r="F17" s="2398">
        <v>17</v>
      </c>
      <c r="G17" s="2398">
        <v>17</v>
      </c>
      <c r="H17" s="2398">
        <v>17</v>
      </c>
      <c r="I17" s="2398">
        <v>17</v>
      </c>
      <c r="J17" s="2398">
        <v>17</v>
      </c>
      <c r="K17" s="2398">
        <v>17</v>
      </c>
      <c r="L17" s="3510">
        <v>2</v>
      </c>
      <c r="M17" s="2025">
        <v>1</v>
      </c>
      <c r="N17" s="2025">
        <v>1</v>
      </c>
      <c r="O17" s="2025">
        <v>1</v>
      </c>
      <c r="P17" s="2025">
        <v>1</v>
      </c>
      <c r="Q17" s="2025">
        <v>1</v>
      </c>
      <c r="R17" s="2025">
        <v>1</v>
      </c>
      <c r="S17" s="2025">
        <v>1</v>
      </c>
      <c r="T17" s="1915">
        <v>1</v>
      </c>
      <c r="U17" s="122">
        <v>1</v>
      </c>
      <c r="V17" s="1915">
        <v>1</v>
      </c>
      <c r="W17" s="1915">
        <v>1</v>
      </c>
      <c r="X17" s="2399">
        <v>1</v>
      </c>
      <c r="Y17" s="1915">
        <v>1</v>
      </c>
      <c r="Z17" s="1915">
        <v>1</v>
      </c>
      <c r="AA17" s="2489">
        <v>1</v>
      </c>
      <c r="AB17" s="1915">
        <v>1</v>
      </c>
      <c r="AC17" s="1915">
        <v>1</v>
      </c>
      <c r="AD17" s="2399">
        <v>1</v>
      </c>
      <c r="AE17" s="122">
        <v>1</v>
      </c>
      <c r="AF17" s="3125">
        <v>17</v>
      </c>
      <c r="AG17" s="2025">
        <v>1</v>
      </c>
      <c r="AH17" s="2399">
        <v>1</v>
      </c>
      <c r="AI17" s="2025">
        <v>1</v>
      </c>
      <c r="AJ17" s="2025">
        <v>1</v>
      </c>
      <c r="AK17" s="2025">
        <v>1</v>
      </c>
      <c r="AL17" s="2025">
        <v>1</v>
      </c>
      <c r="AM17" s="2025">
        <v>5</v>
      </c>
      <c r="AN17" s="1809">
        <v>0</v>
      </c>
      <c r="AO17" s="122" t="b">
        <v>0</v>
      </c>
      <c r="AP17" s="122" t="b">
        <v>0</v>
      </c>
    </row>
    <row r="18" spans="1:42" x14ac:dyDescent="0.2">
      <c r="A18" s="574">
        <v>17</v>
      </c>
      <c r="B18" s="2398">
        <v>18</v>
      </c>
      <c r="C18" s="2398">
        <v>18</v>
      </c>
      <c r="D18" s="2398">
        <v>18</v>
      </c>
      <c r="E18" s="2398">
        <v>18</v>
      </c>
      <c r="F18" s="2398">
        <v>18</v>
      </c>
      <c r="G18" s="2398">
        <v>18</v>
      </c>
      <c r="H18" s="2398">
        <v>18</v>
      </c>
      <c r="I18" s="2398">
        <v>18</v>
      </c>
      <c r="J18" s="2398">
        <v>18</v>
      </c>
      <c r="K18" s="2398">
        <v>18</v>
      </c>
      <c r="L18" s="3510">
        <v>2</v>
      </c>
      <c r="M18" s="2025">
        <v>1</v>
      </c>
      <c r="N18" s="2025">
        <v>1</v>
      </c>
      <c r="O18" s="2025">
        <v>1</v>
      </c>
      <c r="P18" s="2025">
        <v>1</v>
      </c>
      <c r="Q18" s="2025">
        <v>1</v>
      </c>
      <c r="R18" s="2025">
        <v>1</v>
      </c>
      <c r="S18" s="2025">
        <v>1</v>
      </c>
      <c r="T18" s="1915">
        <v>1</v>
      </c>
      <c r="U18" s="122">
        <v>1</v>
      </c>
      <c r="V18" s="3125">
        <v>18</v>
      </c>
      <c r="W18" s="1915">
        <v>1</v>
      </c>
      <c r="X18" s="2399">
        <v>1</v>
      </c>
      <c r="Y18" s="1915">
        <v>1</v>
      </c>
      <c r="Z18" s="1915">
        <v>1</v>
      </c>
      <c r="AA18" s="2489">
        <v>1</v>
      </c>
      <c r="AB18" s="1915">
        <v>1</v>
      </c>
      <c r="AC18" s="1915">
        <v>1</v>
      </c>
      <c r="AD18" s="2399">
        <v>1</v>
      </c>
      <c r="AE18" s="122">
        <v>1</v>
      </c>
      <c r="AF18" s="3125">
        <v>18</v>
      </c>
      <c r="AG18" s="2025">
        <v>1</v>
      </c>
      <c r="AH18" s="2399">
        <v>1</v>
      </c>
      <c r="AI18" s="2025">
        <v>1</v>
      </c>
      <c r="AJ18" s="2025">
        <v>1</v>
      </c>
      <c r="AK18" s="2025">
        <v>1</v>
      </c>
      <c r="AL18" s="2025">
        <v>5</v>
      </c>
      <c r="AM18" s="2025">
        <v>7</v>
      </c>
      <c r="AN18" s="1809">
        <v>0</v>
      </c>
      <c r="AO18" s="122" t="b">
        <v>0</v>
      </c>
      <c r="AP18" s="122" t="b">
        <v>0</v>
      </c>
    </row>
    <row r="19" spans="1:42" x14ac:dyDescent="0.2">
      <c r="A19" s="574">
        <v>18</v>
      </c>
      <c r="B19" s="2398">
        <v>19</v>
      </c>
      <c r="C19" s="2398">
        <v>19</v>
      </c>
      <c r="D19" s="2398">
        <v>19</v>
      </c>
      <c r="E19" s="2398">
        <v>19</v>
      </c>
      <c r="F19" s="2398">
        <v>19</v>
      </c>
      <c r="G19" s="2398">
        <v>19</v>
      </c>
      <c r="H19" s="2398">
        <v>19</v>
      </c>
      <c r="I19" s="2398">
        <v>19</v>
      </c>
      <c r="J19" s="2398">
        <v>19</v>
      </c>
      <c r="K19" s="2398">
        <v>19</v>
      </c>
      <c r="L19" s="3510">
        <v>2</v>
      </c>
      <c r="M19" s="2025">
        <v>1</v>
      </c>
      <c r="N19" s="2025">
        <v>1</v>
      </c>
      <c r="O19" s="2025">
        <v>1</v>
      </c>
      <c r="P19" s="2025">
        <v>1</v>
      </c>
      <c r="Q19" s="2025">
        <v>1</v>
      </c>
      <c r="R19" s="2025">
        <v>1</v>
      </c>
      <c r="S19" s="2025">
        <v>1</v>
      </c>
      <c r="T19" s="1915">
        <v>1</v>
      </c>
      <c r="U19" s="122">
        <v>1</v>
      </c>
      <c r="V19" s="3125">
        <v>19</v>
      </c>
      <c r="W19" s="1915">
        <v>1</v>
      </c>
      <c r="X19" s="2399">
        <v>1</v>
      </c>
      <c r="Y19" s="1915">
        <v>1</v>
      </c>
      <c r="Z19" s="1915">
        <v>1</v>
      </c>
      <c r="AA19" s="2489">
        <v>1</v>
      </c>
      <c r="AB19" s="1915">
        <v>1</v>
      </c>
      <c r="AC19" s="1915">
        <v>1</v>
      </c>
      <c r="AD19" s="2399">
        <v>1</v>
      </c>
      <c r="AE19" s="122">
        <v>1</v>
      </c>
      <c r="AF19" s="1915">
        <v>1</v>
      </c>
      <c r="AG19" s="2025">
        <v>1</v>
      </c>
      <c r="AH19" s="2399">
        <v>1</v>
      </c>
      <c r="AI19" s="2025">
        <v>1</v>
      </c>
      <c r="AJ19" s="2025">
        <v>1</v>
      </c>
      <c r="AK19" s="2025">
        <v>1</v>
      </c>
      <c r="AL19" s="2025">
        <v>7</v>
      </c>
      <c r="AM19" s="2025">
        <v>7</v>
      </c>
      <c r="AN19" s="1809">
        <v>0</v>
      </c>
      <c r="AO19" s="122" t="b">
        <v>0</v>
      </c>
      <c r="AP19" s="122" t="b">
        <v>0</v>
      </c>
    </row>
    <row r="20" spans="1:42" x14ac:dyDescent="0.2">
      <c r="A20" s="574">
        <v>19</v>
      </c>
      <c r="B20" s="2398">
        <v>20</v>
      </c>
      <c r="C20" s="2398">
        <v>20</v>
      </c>
      <c r="D20" s="2398">
        <v>20</v>
      </c>
      <c r="E20" s="2398">
        <v>20</v>
      </c>
      <c r="F20" s="2398">
        <v>20</v>
      </c>
      <c r="G20" s="2398">
        <v>20</v>
      </c>
      <c r="H20" s="2398">
        <v>20</v>
      </c>
      <c r="I20" s="2398">
        <v>20</v>
      </c>
      <c r="J20" s="2398">
        <v>20</v>
      </c>
      <c r="K20" s="2398">
        <v>20</v>
      </c>
      <c r="L20" s="3510">
        <v>2</v>
      </c>
      <c r="M20" s="2025">
        <v>1</v>
      </c>
      <c r="N20" s="2025">
        <v>1</v>
      </c>
      <c r="O20" s="2025">
        <v>1</v>
      </c>
      <c r="P20" s="2025">
        <v>1</v>
      </c>
      <c r="Q20" s="2025">
        <v>1</v>
      </c>
      <c r="R20" s="2025">
        <v>1</v>
      </c>
      <c r="S20" s="2025">
        <v>1</v>
      </c>
      <c r="T20" s="1915">
        <v>1</v>
      </c>
      <c r="U20" s="122">
        <v>1</v>
      </c>
      <c r="V20" s="3125">
        <v>20</v>
      </c>
      <c r="W20" s="1915">
        <v>1</v>
      </c>
      <c r="X20" s="2399">
        <v>1</v>
      </c>
      <c r="Y20" s="1915">
        <v>1</v>
      </c>
      <c r="Z20" s="1915">
        <v>1</v>
      </c>
      <c r="AA20" s="2489">
        <v>1</v>
      </c>
      <c r="AB20" s="1915">
        <v>1</v>
      </c>
      <c r="AC20" s="1915">
        <v>1</v>
      </c>
      <c r="AD20" s="2399">
        <v>1</v>
      </c>
      <c r="AE20" s="122">
        <v>1</v>
      </c>
      <c r="AF20" s="1915">
        <v>1</v>
      </c>
      <c r="AG20" s="2025">
        <v>1</v>
      </c>
      <c r="AH20" s="2399">
        <v>1</v>
      </c>
      <c r="AI20" s="2025">
        <v>1</v>
      </c>
      <c r="AJ20" s="2025">
        <v>1</v>
      </c>
      <c r="AK20" s="2025">
        <v>1</v>
      </c>
      <c r="AL20" s="2025">
        <v>1</v>
      </c>
      <c r="AM20" s="2025">
        <v>5</v>
      </c>
      <c r="AN20" s="1809">
        <v>0</v>
      </c>
      <c r="AO20" s="122" t="b">
        <v>0</v>
      </c>
      <c r="AP20" s="122" t="b">
        <v>0</v>
      </c>
    </row>
    <row r="21" spans="1:42" x14ac:dyDescent="0.2">
      <c r="A21" s="574">
        <v>20</v>
      </c>
      <c r="B21" s="2398">
        <v>21</v>
      </c>
      <c r="C21" s="2398">
        <v>21</v>
      </c>
      <c r="D21" s="2398">
        <v>21</v>
      </c>
      <c r="E21" s="2398">
        <v>21</v>
      </c>
      <c r="F21" s="2398">
        <v>21</v>
      </c>
      <c r="G21" s="2398">
        <v>21</v>
      </c>
      <c r="H21" s="2398">
        <v>21</v>
      </c>
      <c r="I21" s="2398">
        <v>21</v>
      </c>
      <c r="J21" s="2398">
        <v>21</v>
      </c>
      <c r="K21" s="2398">
        <v>21</v>
      </c>
      <c r="L21" s="3510">
        <v>2</v>
      </c>
      <c r="M21" s="2025">
        <v>1</v>
      </c>
      <c r="N21" s="2025">
        <v>1</v>
      </c>
      <c r="O21" s="2025">
        <v>1</v>
      </c>
      <c r="P21" s="2025">
        <v>1</v>
      </c>
      <c r="Q21" s="2025">
        <v>1</v>
      </c>
      <c r="R21" s="2025">
        <v>1</v>
      </c>
      <c r="S21" s="2025">
        <v>1</v>
      </c>
      <c r="T21" s="1915">
        <v>1</v>
      </c>
      <c r="U21" s="122">
        <v>1</v>
      </c>
      <c r="V21" s="3125">
        <v>21</v>
      </c>
      <c r="W21" s="1915">
        <v>1</v>
      </c>
      <c r="X21" s="2399">
        <v>1</v>
      </c>
      <c r="Y21" s="1915">
        <v>1</v>
      </c>
      <c r="Z21" s="1915">
        <v>1</v>
      </c>
      <c r="AA21" s="2489">
        <v>1</v>
      </c>
      <c r="AB21" s="1915">
        <v>1</v>
      </c>
      <c r="AC21" s="1915">
        <v>1</v>
      </c>
      <c r="AD21" s="2399">
        <v>1</v>
      </c>
      <c r="AE21" s="122">
        <v>1</v>
      </c>
      <c r="AF21" s="1915">
        <v>1</v>
      </c>
      <c r="AG21" s="2025">
        <v>1</v>
      </c>
      <c r="AH21" s="2399">
        <v>1</v>
      </c>
      <c r="AI21" s="2025">
        <v>1</v>
      </c>
      <c r="AJ21" s="2025">
        <v>1</v>
      </c>
      <c r="AK21" s="2025">
        <v>1</v>
      </c>
      <c r="AL21" s="2025">
        <v>1</v>
      </c>
      <c r="AM21" s="2025">
        <v>5</v>
      </c>
      <c r="AN21" s="1809">
        <v>0</v>
      </c>
      <c r="AO21" s="122" t="b">
        <v>0</v>
      </c>
      <c r="AP21" s="122" t="b">
        <v>0</v>
      </c>
    </row>
    <row r="22" spans="1:42" x14ac:dyDescent="0.2">
      <c r="A22" s="574">
        <v>21</v>
      </c>
      <c r="B22" s="2398">
        <v>22</v>
      </c>
      <c r="C22" s="2398">
        <v>22</v>
      </c>
      <c r="D22" s="2398">
        <v>22</v>
      </c>
      <c r="E22" s="2398">
        <v>22</v>
      </c>
      <c r="F22" s="2398">
        <v>22</v>
      </c>
      <c r="G22" s="2398">
        <v>22</v>
      </c>
      <c r="H22" s="2398">
        <v>22</v>
      </c>
      <c r="I22" s="2398">
        <v>22</v>
      </c>
      <c r="J22" s="2398">
        <v>22</v>
      </c>
      <c r="K22" s="2398">
        <v>22</v>
      </c>
      <c r="L22" s="3509">
        <v>2</v>
      </c>
      <c r="M22" s="122">
        <v>1</v>
      </c>
      <c r="N22" s="122">
        <v>1</v>
      </c>
      <c r="O22" s="122">
        <v>1</v>
      </c>
      <c r="P22" s="122">
        <v>1</v>
      </c>
      <c r="Q22" s="122">
        <v>1</v>
      </c>
      <c r="R22" s="122">
        <v>1</v>
      </c>
      <c r="S22" s="122">
        <v>1</v>
      </c>
      <c r="T22" s="1915">
        <v>1</v>
      </c>
      <c r="U22" s="122">
        <v>1</v>
      </c>
      <c r="V22" s="3125">
        <v>22</v>
      </c>
      <c r="W22" s="1915">
        <v>1</v>
      </c>
      <c r="X22" s="2399">
        <v>1</v>
      </c>
      <c r="Y22" s="1915">
        <v>1</v>
      </c>
      <c r="Z22" s="1915">
        <v>1</v>
      </c>
      <c r="AA22" s="2489">
        <v>1</v>
      </c>
      <c r="AB22" s="1915">
        <v>1</v>
      </c>
      <c r="AC22" s="1915">
        <v>1</v>
      </c>
      <c r="AD22" s="2399">
        <v>1</v>
      </c>
      <c r="AE22" s="122">
        <v>1</v>
      </c>
      <c r="AF22" s="1915">
        <v>1</v>
      </c>
      <c r="AG22" s="122">
        <v>1</v>
      </c>
      <c r="AH22" s="2399">
        <v>1</v>
      </c>
      <c r="AI22" s="122">
        <v>1</v>
      </c>
      <c r="AJ22" s="122">
        <v>1</v>
      </c>
      <c r="AK22" s="122">
        <v>1</v>
      </c>
      <c r="AL22" s="2025">
        <v>1</v>
      </c>
      <c r="AM22" s="122">
        <v>5</v>
      </c>
      <c r="AN22" s="1809">
        <v>0</v>
      </c>
      <c r="AO22" s="122" t="b">
        <v>0</v>
      </c>
      <c r="AP22" s="122" t="b">
        <v>0</v>
      </c>
    </row>
    <row r="23" spans="1:42" x14ac:dyDescent="0.2">
      <c r="A23" s="574">
        <v>22</v>
      </c>
      <c r="B23" s="2398">
        <v>23</v>
      </c>
      <c r="C23" s="2398">
        <v>23</v>
      </c>
      <c r="D23" s="2398">
        <v>23</v>
      </c>
      <c r="E23" s="2398">
        <v>23</v>
      </c>
      <c r="F23" s="2398">
        <v>23</v>
      </c>
      <c r="G23" s="2398">
        <v>23</v>
      </c>
      <c r="H23" s="2398">
        <v>23</v>
      </c>
      <c r="I23" s="2398">
        <v>23</v>
      </c>
      <c r="J23" s="2398">
        <v>23</v>
      </c>
      <c r="K23" s="2398">
        <v>23</v>
      </c>
      <c r="L23" s="3509">
        <v>2</v>
      </c>
      <c r="M23" s="122">
        <v>1</v>
      </c>
      <c r="N23" s="122">
        <v>1</v>
      </c>
      <c r="O23" s="122">
        <v>1</v>
      </c>
      <c r="P23" s="122">
        <v>1</v>
      </c>
      <c r="Q23" s="122">
        <v>1</v>
      </c>
      <c r="R23" s="122">
        <v>1</v>
      </c>
      <c r="S23" s="122">
        <v>1</v>
      </c>
      <c r="T23" s="1915">
        <v>1</v>
      </c>
      <c r="U23" s="122">
        <v>1</v>
      </c>
      <c r="V23" s="1915">
        <v>1</v>
      </c>
      <c r="W23" s="1915">
        <v>1</v>
      </c>
      <c r="X23" s="2399">
        <v>1</v>
      </c>
      <c r="Y23" s="3125">
        <v>23</v>
      </c>
      <c r="Z23" s="1915">
        <v>1</v>
      </c>
      <c r="AA23" s="2489">
        <v>1</v>
      </c>
      <c r="AB23" s="1915">
        <v>1</v>
      </c>
      <c r="AC23" s="1915">
        <v>1</v>
      </c>
      <c r="AD23" s="2399">
        <v>5</v>
      </c>
      <c r="AE23" s="122">
        <v>1</v>
      </c>
      <c r="AF23" s="1915">
        <v>1</v>
      </c>
      <c r="AG23" s="122">
        <v>1</v>
      </c>
      <c r="AH23" s="2399">
        <v>1</v>
      </c>
      <c r="AI23" s="122">
        <v>1</v>
      </c>
      <c r="AJ23" s="122">
        <v>1</v>
      </c>
      <c r="AK23" s="122">
        <v>1</v>
      </c>
      <c r="AL23" s="122">
        <v>1</v>
      </c>
      <c r="AM23" s="122">
        <v>5</v>
      </c>
      <c r="AN23" s="745">
        <v>0</v>
      </c>
      <c r="AO23" s="122" t="b">
        <v>0</v>
      </c>
      <c r="AP23" s="122" t="b">
        <v>0</v>
      </c>
    </row>
    <row r="24" spans="1:42" x14ac:dyDescent="0.2">
      <c r="A24" s="574">
        <v>23</v>
      </c>
      <c r="B24" s="2398">
        <v>24</v>
      </c>
      <c r="C24" s="2398">
        <v>24</v>
      </c>
      <c r="D24" s="2398">
        <v>24</v>
      </c>
      <c r="E24" s="2398">
        <v>24</v>
      </c>
      <c r="F24" s="2398">
        <v>24</v>
      </c>
      <c r="G24" s="2398">
        <v>24</v>
      </c>
      <c r="H24" s="2398">
        <v>24</v>
      </c>
      <c r="I24" s="2398">
        <v>24</v>
      </c>
      <c r="J24" s="2398">
        <v>24</v>
      </c>
      <c r="K24" s="2398">
        <v>24</v>
      </c>
      <c r="L24" s="3509">
        <v>2</v>
      </c>
      <c r="M24" s="122">
        <v>1</v>
      </c>
      <c r="N24" s="122">
        <v>1</v>
      </c>
      <c r="O24" s="122">
        <v>1</v>
      </c>
      <c r="P24" s="122">
        <v>1</v>
      </c>
      <c r="Q24" s="122">
        <v>1</v>
      </c>
      <c r="R24" s="122">
        <v>1</v>
      </c>
      <c r="S24" s="122">
        <v>1</v>
      </c>
      <c r="T24" s="1915">
        <v>1</v>
      </c>
      <c r="U24" s="122">
        <v>1</v>
      </c>
      <c r="V24" s="3125">
        <v>24</v>
      </c>
      <c r="W24" s="1915">
        <v>1</v>
      </c>
      <c r="X24" s="2399">
        <v>1</v>
      </c>
      <c r="Y24" s="1915">
        <v>1</v>
      </c>
      <c r="Z24" s="1915">
        <v>1</v>
      </c>
      <c r="AA24" s="2489">
        <v>1</v>
      </c>
      <c r="AB24" s="1915">
        <v>1</v>
      </c>
      <c r="AC24" s="1915">
        <v>1</v>
      </c>
      <c r="AD24" s="2399">
        <v>1</v>
      </c>
      <c r="AE24" s="122">
        <v>1</v>
      </c>
      <c r="AF24" s="3125">
        <v>24</v>
      </c>
      <c r="AG24" s="122">
        <v>1</v>
      </c>
      <c r="AH24" s="2399">
        <v>1</v>
      </c>
      <c r="AI24" s="122">
        <v>1</v>
      </c>
      <c r="AJ24" s="122">
        <v>1</v>
      </c>
      <c r="AK24" s="122">
        <v>1</v>
      </c>
      <c r="AL24" s="122">
        <v>5</v>
      </c>
      <c r="AM24" s="122">
        <v>7</v>
      </c>
      <c r="AN24" s="1809">
        <v>0</v>
      </c>
      <c r="AO24" s="122" t="b">
        <v>0</v>
      </c>
      <c r="AP24" s="122" t="b">
        <v>0</v>
      </c>
    </row>
    <row r="25" spans="1:42" x14ac:dyDescent="0.2">
      <c r="A25" s="574">
        <v>24</v>
      </c>
      <c r="B25" s="2398">
        <v>25</v>
      </c>
      <c r="C25" s="2398">
        <v>25</v>
      </c>
      <c r="D25" s="2398">
        <v>25</v>
      </c>
      <c r="E25" s="2398">
        <v>25</v>
      </c>
      <c r="F25" s="2398">
        <v>25</v>
      </c>
      <c r="G25" s="2398">
        <v>25</v>
      </c>
      <c r="H25" s="2398">
        <v>25</v>
      </c>
      <c r="I25" s="2398">
        <v>25</v>
      </c>
      <c r="J25" s="2398">
        <v>25</v>
      </c>
      <c r="K25" s="2398">
        <v>25</v>
      </c>
      <c r="L25" s="3509">
        <v>2</v>
      </c>
      <c r="M25" s="122">
        <v>1</v>
      </c>
      <c r="N25" s="122">
        <v>1</v>
      </c>
      <c r="O25" s="122">
        <v>1</v>
      </c>
      <c r="P25" s="122">
        <v>1</v>
      </c>
      <c r="Q25" s="122">
        <v>1</v>
      </c>
      <c r="R25" s="122">
        <v>1</v>
      </c>
      <c r="S25" s="122">
        <v>1</v>
      </c>
      <c r="T25" s="1915">
        <v>1</v>
      </c>
      <c r="U25" s="122">
        <v>1</v>
      </c>
      <c r="V25" s="1915">
        <v>1</v>
      </c>
      <c r="W25" s="1915">
        <v>1</v>
      </c>
      <c r="X25" s="2399">
        <v>1</v>
      </c>
      <c r="Y25" s="1915">
        <v>1</v>
      </c>
      <c r="Z25" s="1915">
        <v>1</v>
      </c>
      <c r="AA25" s="2489">
        <v>1</v>
      </c>
      <c r="AB25" s="1915">
        <v>1</v>
      </c>
      <c r="AC25" s="1915">
        <v>1</v>
      </c>
      <c r="AD25" s="2399">
        <v>1</v>
      </c>
      <c r="AE25" s="122">
        <v>1</v>
      </c>
      <c r="AF25" s="1915">
        <v>1</v>
      </c>
      <c r="AG25" s="122">
        <v>1</v>
      </c>
      <c r="AH25" s="2399">
        <v>1</v>
      </c>
      <c r="AI25" s="122">
        <v>1</v>
      </c>
      <c r="AJ25" s="122">
        <v>1</v>
      </c>
      <c r="AK25" s="122">
        <v>1</v>
      </c>
      <c r="AL25" s="122">
        <v>1</v>
      </c>
      <c r="AM25" s="122">
        <v>7</v>
      </c>
      <c r="AN25" s="1809">
        <v>0</v>
      </c>
      <c r="AO25" s="122" t="b">
        <v>0</v>
      </c>
      <c r="AP25" s="122" t="b">
        <v>0</v>
      </c>
    </row>
    <row r="26" spans="1:42" x14ac:dyDescent="0.2">
      <c r="A26" s="574">
        <v>25</v>
      </c>
      <c r="B26" s="2398">
        <v>26</v>
      </c>
      <c r="C26" s="2398">
        <v>26</v>
      </c>
      <c r="D26" s="2398">
        <v>26</v>
      </c>
      <c r="E26" s="2398">
        <v>26</v>
      </c>
      <c r="F26" s="2398">
        <v>26</v>
      </c>
      <c r="G26" s="2398">
        <v>26</v>
      </c>
      <c r="H26" s="2398">
        <v>26</v>
      </c>
      <c r="I26" s="2398">
        <v>26</v>
      </c>
      <c r="J26" s="2398">
        <v>26</v>
      </c>
      <c r="K26" s="2398">
        <v>26</v>
      </c>
      <c r="L26" s="3509">
        <v>2</v>
      </c>
      <c r="M26" s="122">
        <v>1</v>
      </c>
      <c r="N26" s="122">
        <v>1</v>
      </c>
      <c r="O26" s="122">
        <v>1</v>
      </c>
      <c r="P26" s="122">
        <v>1</v>
      </c>
      <c r="Q26" s="122">
        <v>1</v>
      </c>
      <c r="R26" s="122">
        <v>1</v>
      </c>
      <c r="S26" s="122">
        <v>1</v>
      </c>
      <c r="T26" s="1915">
        <v>1</v>
      </c>
      <c r="U26" s="122">
        <v>1</v>
      </c>
      <c r="V26" s="3125">
        <v>26</v>
      </c>
      <c r="W26" s="1915">
        <v>1</v>
      </c>
      <c r="X26" s="2399">
        <v>1</v>
      </c>
      <c r="Y26" s="3125">
        <v>26</v>
      </c>
      <c r="Z26" s="3125">
        <v>26</v>
      </c>
      <c r="AA26" s="2489">
        <v>1</v>
      </c>
      <c r="AB26" s="1915">
        <v>1</v>
      </c>
      <c r="AC26" s="1915">
        <v>1</v>
      </c>
      <c r="AD26" s="2399">
        <v>11</v>
      </c>
      <c r="AE26" s="3125">
        <v>26</v>
      </c>
      <c r="AF26" s="3125">
        <v>26</v>
      </c>
      <c r="AG26" s="122">
        <v>1</v>
      </c>
      <c r="AH26" s="2399">
        <v>1</v>
      </c>
      <c r="AI26" s="122">
        <v>1</v>
      </c>
      <c r="AJ26" s="122">
        <v>1</v>
      </c>
      <c r="AK26" s="122">
        <v>1</v>
      </c>
      <c r="AL26" s="122">
        <v>1</v>
      </c>
      <c r="AM26" s="122">
        <v>7</v>
      </c>
      <c r="AN26" s="1809">
        <v>0</v>
      </c>
      <c r="AO26" s="122" t="b">
        <v>0</v>
      </c>
      <c r="AP26" s="122" t="b">
        <v>0</v>
      </c>
    </row>
    <row r="27" spans="1:42" x14ac:dyDescent="0.2">
      <c r="A27" s="574">
        <v>26</v>
      </c>
      <c r="B27" s="2398">
        <v>27</v>
      </c>
      <c r="C27" s="2400">
        <v>27</v>
      </c>
      <c r="D27" s="2399">
        <v>1</v>
      </c>
      <c r="E27" s="2399">
        <v>1</v>
      </c>
      <c r="F27" s="2399">
        <v>1</v>
      </c>
      <c r="G27" s="2398">
        <v>27</v>
      </c>
      <c r="H27" s="2399">
        <v>1</v>
      </c>
      <c r="I27" s="2399">
        <v>1</v>
      </c>
      <c r="J27" s="2399">
        <v>1</v>
      </c>
      <c r="K27" s="2398">
        <v>27</v>
      </c>
      <c r="L27" s="2489">
        <v>2</v>
      </c>
      <c r="M27" s="2400">
        <v>1</v>
      </c>
      <c r="N27" s="2400">
        <v>1</v>
      </c>
      <c r="O27" s="2400">
        <v>1</v>
      </c>
      <c r="P27" s="2400">
        <v>1</v>
      </c>
      <c r="Q27" s="2400">
        <v>1</v>
      </c>
      <c r="R27" s="2400">
        <v>1</v>
      </c>
      <c r="S27" s="2400">
        <v>1</v>
      </c>
      <c r="T27" s="2400">
        <v>1</v>
      </c>
      <c r="U27" s="2400">
        <v>1</v>
      </c>
      <c r="V27" s="2398">
        <v>27</v>
      </c>
      <c r="W27" s="2400">
        <v>1</v>
      </c>
      <c r="X27" s="2400">
        <v>1</v>
      </c>
      <c r="Y27" s="2400">
        <v>1</v>
      </c>
      <c r="Z27" s="2400">
        <v>1</v>
      </c>
      <c r="AA27" s="2489">
        <v>1</v>
      </c>
      <c r="AB27" s="2400">
        <v>1</v>
      </c>
      <c r="AC27" s="2400">
        <v>1</v>
      </c>
      <c r="AD27" s="2400">
        <v>1</v>
      </c>
      <c r="AE27" s="2400">
        <v>1</v>
      </c>
      <c r="AF27" s="2400">
        <v>1</v>
      </c>
      <c r="AG27" s="2400">
        <v>1</v>
      </c>
      <c r="AH27" s="2400">
        <v>1</v>
      </c>
      <c r="AI27" s="2400">
        <v>1</v>
      </c>
      <c r="AJ27" s="2400">
        <v>1</v>
      </c>
      <c r="AK27" s="2400">
        <v>1</v>
      </c>
      <c r="AL27" s="2400">
        <v>1</v>
      </c>
      <c r="AM27" s="2400">
        <v>6</v>
      </c>
      <c r="AN27" s="3506">
        <v>0</v>
      </c>
      <c r="AO27" s="2400" t="b">
        <v>0</v>
      </c>
      <c r="AP27" s="2400" t="b">
        <v>0</v>
      </c>
    </row>
    <row r="28" spans="1:42" x14ac:dyDescent="0.2">
      <c r="A28" s="574">
        <v>27</v>
      </c>
      <c r="B28" s="2398">
        <v>28</v>
      </c>
      <c r="C28" s="2398">
        <v>28</v>
      </c>
      <c r="D28" s="2399">
        <v>1</v>
      </c>
      <c r="E28" s="2399">
        <v>1</v>
      </c>
      <c r="F28" s="2399">
        <v>1</v>
      </c>
      <c r="G28" s="2399">
        <v>1</v>
      </c>
      <c r="H28" s="2398">
        <v>28</v>
      </c>
      <c r="I28" s="2399">
        <v>1</v>
      </c>
      <c r="J28" s="2399">
        <v>1</v>
      </c>
      <c r="K28" s="2398">
        <v>28</v>
      </c>
      <c r="L28" s="2489">
        <v>2</v>
      </c>
      <c r="M28" s="2400">
        <v>1</v>
      </c>
      <c r="N28" s="2400">
        <v>1</v>
      </c>
      <c r="O28" s="2400">
        <v>1</v>
      </c>
      <c r="P28" s="2400">
        <v>1</v>
      </c>
      <c r="Q28" s="2400">
        <v>1</v>
      </c>
      <c r="R28" s="2400">
        <v>1</v>
      </c>
      <c r="S28" s="2400">
        <v>1</v>
      </c>
      <c r="T28" s="2400">
        <v>1</v>
      </c>
      <c r="U28" s="2400">
        <v>1</v>
      </c>
      <c r="V28" s="2398">
        <v>28</v>
      </c>
      <c r="W28" s="2400">
        <v>1</v>
      </c>
      <c r="X28" s="2400">
        <v>1</v>
      </c>
      <c r="Y28" s="2400">
        <v>1</v>
      </c>
      <c r="Z28" s="2400">
        <v>28</v>
      </c>
      <c r="AA28" s="2489">
        <v>1</v>
      </c>
      <c r="AB28" s="2400">
        <v>1</v>
      </c>
      <c r="AC28" s="2400">
        <v>1</v>
      </c>
      <c r="AD28" s="2400">
        <v>1</v>
      </c>
      <c r="AE28" s="2400">
        <v>1</v>
      </c>
      <c r="AF28" s="2400">
        <v>28</v>
      </c>
      <c r="AG28" s="2400">
        <v>1</v>
      </c>
      <c r="AH28" s="2400">
        <v>1</v>
      </c>
      <c r="AI28" s="2400">
        <v>1</v>
      </c>
      <c r="AJ28" s="2400">
        <v>1</v>
      </c>
      <c r="AK28" s="2400">
        <v>1</v>
      </c>
      <c r="AL28" s="2400">
        <v>1</v>
      </c>
      <c r="AM28" s="2400">
        <v>5</v>
      </c>
      <c r="AN28" s="3506">
        <v>0</v>
      </c>
      <c r="AO28" s="2400" t="b">
        <v>0</v>
      </c>
      <c r="AP28" s="2400" t="b">
        <v>0</v>
      </c>
    </row>
    <row r="29" spans="1:42" x14ac:dyDescent="0.2">
      <c r="A29" s="574">
        <v>28</v>
      </c>
      <c r="B29" s="2398">
        <v>29</v>
      </c>
      <c r="C29" s="2398">
        <v>29</v>
      </c>
      <c r="D29" s="2398">
        <v>29</v>
      </c>
      <c r="E29" s="2399">
        <v>1</v>
      </c>
      <c r="F29" s="2399">
        <v>1</v>
      </c>
      <c r="G29" s="2398">
        <v>29</v>
      </c>
      <c r="H29" s="2399">
        <v>1</v>
      </c>
      <c r="I29" s="2399">
        <v>1</v>
      </c>
      <c r="J29" s="2399">
        <v>1</v>
      </c>
      <c r="K29" s="2399">
        <v>1</v>
      </c>
      <c r="L29" s="2489">
        <v>2</v>
      </c>
      <c r="M29" s="2400">
        <v>1</v>
      </c>
      <c r="N29" s="2400">
        <v>1</v>
      </c>
      <c r="O29" s="2400">
        <v>1</v>
      </c>
      <c r="P29" s="2400">
        <v>1</v>
      </c>
      <c r="Q29" s="2400">
        <v>1</v>
      </c>
      <c r="R29" s="2400">
        <v>1</v>
      </c>
      <c r="S29" s="2400">
        <v>1</v>
      </c>
      <c r="T29" s="2400">
        <v>1</v>
      </c>
      <c r="U29" s="2400">
        <v>1</v>
      </c>
      <c r="V29" s="2398">
        <v>1</v>
      </c>
      <c r="W29" s="2400">
        <v>1</v>
      </c>
      <c r="X29" s="2400">
        <v>1</v>
      </c>
      <c r="Y29" s="2400">
        <v>1</v>
      </c>
      <c r="Z29" s="2400">
        <v>1</v>
      </c>
      <c r="AA29" s="2489">
        <v>1</v>
      </c>
      <c r="AB29" s="2400">
        <v>1</v>
      </c>
      <c r="AC29" s="2400">
        <v>1</v>
      </c>
      <c r="AD29" s="2400">
        <v>1</v>
      </c>
      <c r="AE29" s="2400">
        <v>1</v>
      </c>
      <c r="AF29" s="2400">
        <v>1</v>
      </c>
      <c r="AG29" s="2400">
        <v>1</v>
      </c>
      <c r="AH29" s="2400">
        <v>1</v>
      </c>
      <c r="AI29" s="2400">
        <v>1</v>
      </c>
      <c r="AJ29" s="2400">
        <v>1</v>
      </c>
      <c r="AK29" s="2400">
        <v>1</v>
      </c>
      <c r="AL29" s="2400">
        <v>1</v>
      </c>
      <c r="AM29" s="2400">
        <v>5</v>
      </c>
      <c r="AN29" s="3506">
        <v>0</v>
      </c>
      <c r="AO29" s="2400" t="b">
        <v>0</v>
      </c>
      <c r="AP29" s="2400" t="b">
        <v>0</v>
      </c>
    </row>
    <row r="30" spans="1:42" x14ac:dyDescent="0.2">
      <c r="A30" s="574">
        <v>29</v>
      </c>
      <c r="B30" s="2398">
        <v>30</v>
      </c>
      <c r="C30" s="2398">
        <v>30</v>
      </c>
      <c r="D30" s="2399">
        <v>1</v>
      </c>
      <c r="E30" s="2399">
        <v>1</v>
      </c>
      <c r="F30" s="2398">
        <v>30</v>
      </c>
      <c r="G30" s="2399">
        <v>1</v>
      </c>
      <c r="H30" s="2399">
        <v>1</v>
      </c>
      <c r="I30" s="2399">
        <v>1</v>
      </c>
      <c r="J30" s="2399">
        <v>1</v>
      </c>
      <c r="K30" s="2399">
        <v>1</v>
      </c>
      <c r="L30" s="2489">
        <v>2</v>
      </c>
      <c r="M30" s="2400">
        <v>1</v>
      </c>
      <c r="N30" s="2400">
        <v>1</v>
      </c>
      <c r="O30" s="2400">
        <v>1</v>
      </c>
      <c r="P30" s="2400">
        <v>1</v>
      </c>
      <c r="Q30" s="2400">
        <v>1</v>
      </c>
      <c r="R30" s="2400">
        <v>1</v>
      </c>
      <c r="S30" s="2400">
        <v>1</v>
      </c>
      <c r="T30" s="2400">
        <v>1</v>
      </c>
      <c r="U30" s="2400">
        <v>1</v>
      </c>
      <c r="V30" s="2398">
        <v>30</v>
      </c>
      <c r="W30" s="2400">
        <v>1</v>
      </c>
      <c r="X30" s="2400">
        <v>1</v>
      </c>
      <c r="Y30" s="2400">
        <v>1</v>
      </c>
      <c r="Z30" s="2400">
        <v>1</v>
      </c>
      <c r="AA30" s="2489">
        <v>1</v>
      </c>
      <c r="AB30" s="2400">
        <v>1</v>
      </c>
      <c r="AC30" s="2400">
        <v>1</v>
      </c>
      <c r="AD30" s="2400">
        <v>1</v>
      </c>
      <c r="AE30" s="2400">
        <v>1</v>
      </c>
      <c r="AF30" s="2400">
        <v>1</v>
      </c>
      <c r="AG30" s="2400">
        <v>1</v>
      </c>
      <c r="AH30" s="2400">
        <v>1</v>
      </c>
      <c r="AI30" s="2400">
        <v>1</v>
      </c>
      <c r="AJ30" s="2400">
        <v>1</v>
      </c>
      <c r="AK30" s="2400">
        <v>1</v>
      </c>
      <c r="AL30" s="2400">
        <v>1</v>
      </c>
      <c r="AM30" s="2400">
        <v>6</v>
      </c>
      <c r="AN30" s="3506">
        <v>0</v>
      </c>
      <c r="AO30" s="2400" t="b">
        <v>0</v>
      </c>
      <c r="AP30" s="2400" t="b">
        <v>0</v>
      </c>
    </row>
    <row r="31" spans="1:42" x14ac:dyDescent="0.2">
      <c r="A31" s="574">
        <v>30</v>
      </c>
      <c r="B31" s="2398">
        <v>31</v>
      </c>
      <c r="C31" s="2398">
        <v>31</v>
      </c>
      <c r="D31" s="2399">
        <v>1</v>
      </c>
      <c r="E31" s="2399">
        <v>1</v>
      </c>
      <c r="F31" s="2398">
        <v>31</v>
      </c>
      <c r="G31" s="2399">
        <v>1</v>
      </c>
      <c r="H31" s="2399">
        <v>1</v>
      </c>
      <c r="I31" s="2399">
        <v>1</v>
      </c>
      <c r="J31" s="2399">
        <v>1</v>
      </c>
      <c r="K31" s="2399">
        <v>1</v>
      </c>
      <c r="L31" s="2489">
        <v>2</v>
      </c>
      <c r="M31" s="2400">
        <v>1</v>
      </c>
      <c r="N31" s="2400">
        <v>1</v>
      </c>
      <c r="O31" s="2400">
        <v>1</v>
      </c>
      <c r="P31" s="2400">
        <v>1</v>
      </c>
      <c r="Q31" s="2400">
        <v>1</v>
      </c>
      <c r="R31" s="2400">
        <v>1</v>
      </c>
      <c r="S31" s="2400">
        <v>1</v>
      </c>
      <c r="T31" s="2400">
        <v>1</v>
      </c>
      <c r="U31" s="2400">
        <v>1</v>
      </c>
      <c r="V31" s="2398">
        <v>31</v>
      </c>
      <c r="W31" s="2400">
        <v>1</v>
      </c>
      <c r="X31" s="2400">
        <v>1</v>
      </c>
      <c r="Y31" s="2400">
        <v>1</v>
      </c>
      <c r="Z31" s="2400">
        <v>31</v>
      </c>
      <c r="AA31" s="2489">
        <v>1</v>
      </c>
      <c r="AB31" s="2400">
        <v>1</v>
      </c>
      <c r="AC31" s="2400">
        <v>1</v>
      </c>
      <c r="AD31" s="2400">
        <v>6</v>
      </c>
      <c r="AE31" s="2400">
        <v>1</v>
      </c>
      <c r="AF31" s="2400">
        <v>1</v>
      </c>
      <c r="AG31" s="2400">
        <v>1</v>
      </c>
      <c r="AH31" s="2400">
        <v>1</v>
      </c>
      <c r="AI31" s="2400">
        <v>1</v>
      </c>
      <c r="AJ31" s="2400">
        <v>1</v>
      </c>
      <c r="AK31" s="2400">
        <v>1</v>
      </c>
      <c r="AL31" s="2400">
        <v>10</v>
      </c>
      <c r="AM31" s="2400">
        <v>5</v>
      </c>
      <c r="AN31" s="3506">
        <v>0</v>
      </c>
      <c r="AO31" s="2400" t="b">
        <v>0</v>
      </c>
      <c r="AP31" s="2400" t="b">
        <v>0</v>
      </c>
    </row>
    <row r="32" spans="1:42" x14ac:dyDescent="0.2">
      <c r="A32" s="574">
        <v>31</v>
      </c>
      <c r="B32" s="2398">
        <v>32</v>
      </c>
      <c r="C32" s="2399">
        <v>1</v>
      </c>
      <c r="D32" s="2398">
        <v>32</v>
      </c>
      <c r="E32" s="2398">
        <v>32</v>
      </c>
      <c r="F32" s="2398">
        <v>32</v>
      </c>
      <c r="G32" s="2398">
        <v>32</v>
      </c>
      <c r="H32" s="2398">
        <v>32</v>
      </c>
      <c r="I32" s="2398">
        <v>32</v>
      </c>
      <c r="J32" s="2398">
        <v>32</v>
      </c>
      <c r="K32" s="2398">
        <v>32</v>
      </c>
      <c r="L32" s="2489">
        <v>2</v>
      </c>
      <c r="M32" s="2399">
        <v>1</v>
      </c>
      <c r="N32" s="2399">
        <v>1</v>
      </c>
      <c r="O32" s="2399">
        <v>1</v>
      </c>
      <c r="P32" s="2399">
        <v>1</v>
      </c>
      <c r="Q32" s="2399">
        <v>1</v>
      </c>
      <c r="R32" s="2399">
        <v>1</v>
      </c>
      <c r="S32" s="2399">
        <v>1</v>
      </c>
      <c r="T32" s="2399">
        <v>1</v>
      </c>
      <c r="U32" s="2399">
        <v>1</v>
      </c>
      <c r="V32" s="2398">
        <v>32</v>
      </c>
      <c r="W32" s="2399">
        <v>1</v>
      </c>
      <c r="X32" s="2398">
        <v>32</v>
      </c>
      <c r="Y32" s="2399">
        <v>1</v>
      </c>
      <c r="Z32" s="2399">
        <v>1</v>
      </c>
      <c r="AA32" s="2489">
        <v>1</v>
      </c>
      <c r="AB32" s="2399">
        <v>1</v>
      </c>
      <c r="AC32" s="2399">
        <v>1</v>
      </c>
      <c r="AD32" s="2399">
        <v>1</v>
      </c>
      <c r="AE32" s="2399">
        <v>1</v>
      </c>
      <c r="AF32" s="2399">
        <v>1</v>
      </c>
      <c r="AG32" s="2399">
        <v>1</v>
      </c>
      <c r="AH32" s="2399">
        <v>1</v>
      </c>
      <c r="AI32" s="2399">
        <v>1</v>
      </c>
      <c r="AJ32" s="2399">
        <v>5</v>
      </c>
      <c r="AK32" s="2399">
        <v>1</v>
      </c>
      <c r="AL32" s="2399">
        <v>1</v>
      </c>
      <c r="AM32" s="2399">
        <v>7</v>
      </c>
      <c r="AN32" s="2409">
        <v>0</v>
      </c>
      <c r="AO32" s="2399" t="b">
        <v>0</v>
      </c>
      <c r="AP32" s="2399" t="b">
        <v>0</v>
      </c>
    </row>
    <row r="33" spans="1:42" x14ac:dyDescent="0.2">
      <c r="A33" s="574">
        <v>32</v>
      </c>
      <c r="B33" s="2398">
        <v>33</v>
      </c>
      <c r="C33" s="2398">
        <v>33</v>
      </c>
      <c r="D33" s="2398">
        <v>33</v>
      </c>
      <c r="E33" s="2398">
        <v>33</v>
      </c>
      <c r="F33" s="2398">
        <v>33</v>
      </c>
      <c r="G33" s="2398">
        <v>33</v>
      </c>
      <c r="H33" s="2398">
        <v>33</v>
      </c>
      <c r="I33" s="2398">
        <v>33</v>
      </c>
      <c r="J33" s="2398">
        <v>33</v>
      </c>
      <c r="K33" s="2398">
        <v>33</v>
      </c>
      <c r="L33" s="2489">
        <v>2</v>
      </c>
      <c r="M33" s="2399">
        <v>1</v>
      </c>
      <c r="N33" s="2399">
        <v>1</v>
      </c>
      <c r="O33" s="2399">
        <v>1</v>
      </c>
      <c r="P33" s="2399">
        <v>1</v>
      </c>
      <c r="Q33" s="2399">
        <v>1</v>
      </c>
      <c r="R33" s="2399">
        <v>1</v>
      </c>
      <c r="S33" s="2398">
        <v>33</v>
      </c>
      <c r="T33" s="2399">
        <v>1</v>
      </c>
      <c r="U33" s="2399">
        <v>1</v>
      </c>
      <c r="V33" s="2398">
        <v>33</v>
      </c>
      <c r="W33" s="2398">
        <v>33</v>
      </c>
      <c r="X33" s="2399">
        <v>1</v>
      </c>
      <c r="Y33" s="2399">
        <v>1</v>
      </c>
      <c r="Z33" s="2398">
        <v>33</v>
      </c>
      <c r="AA33" s="2489">
        <v>2</v>
      </c>
      <c r="AB33" s="2398">
        <v>33</v>
      </c>
      <c r="AC33" s="2399">
        <v>1</v>
      </c>
      <c r="AD33" s="2399">
        <v>5</v>
      </c>
      <c r="AE33" s="2398">
        <v>33</v>
      </c>
      <c r="AF33" s="2398">
        <v>33</v>
      </c>
      <c r="AG33" s="2399">
        <v>1</v>
      </c>
      <c r="AH33" s="2399">
        <v>1</v>
      </c>
      <c r="AI33" s="2399">
        <v>1</v>
      </c>
      <c r="AJ33" s="2399">
        <v>1</v>
      </c>
      <c r="AK33" s="2399">
        <v>1</v>
      </c>
      <c r="AL33" s="2399">
        <v>1</v>
      </c>
      <c r="AM33" s="2399">
        <v>5</v>
      </c>
      <c r="AN33" s="2409">
        <v>0</v>
      </c>
      <c r="AO33" s="2399" t="b">
        <v>0</v>
      </c>
      <c r="AP33" s="2399" t="b">
        <v>0</v>
      </c>
    </row>
    <row r="34" spans="1:42" x14ac:dyDescent="0.2">
      <c r="A34" s="574">
        <v>33</v>
      </c>
      <c r="B34" s="2398">
        <v>34</v>
      </c>
      <c r="C34" s="2398">
        <v>34</v>
      </c>
      <c r="D34" s="2398">
        <v>34</v>
      </c>
      <c r="E34" s="2398">
        <v>34</v>
      </c>
      <c r="F34" s="2398">
        <v>34</v>
      </c>
      <c r="G34" s="2398">
        <v>34</v>
      </c>
      <c r="H34" s="2398">
        <v>34</v>
      </c>
      <c r="I34" s="2398">
        <v>34</v>
      </c>
      <c r="J34" s="2398">
        <v>34</v>
      </c>
      <c r="K34" s="2398">
        <v>34</v>
      </c>
      <c r="L34" s="2489">
        <v>2</v>
      </c>
      <c r="M34" s="2399">
        <v>1</v>
      </c>
      <c r="N34" s="2399">
        <v>1</v>
      </c>
      <c r="O34" s="2399">
        <v>1</v>
      </c>
      <c r="P34" s="2398">
        <v>34</v>
      </c>
      <c r="Q34" s="2399">
        <v>1</v>
      </c>
      <c r="R34" s="2399">
        <v>1</v>
      </c>
      <c r="S34" s="2399">
        <v>1</v>
      </c>
      <c r="T34" s="2399">
        <v>1</v>
      </c>
      <c r="U34" s="2399">
        <v>1</v>
      </c>
      <c r="V34" s="2398">
        <v>34</v>
      </c>
      <c r="W34" s="2399">
        <v>1</v>
      </c>
      <c r="X34" s="2399">
        <v>1</v>
      </c>
      <c r="Y34" s="2399">
        <v>1</v>
      </c>
      <c r="Z34" s="2399">
        <v>1</v>
      </c>
      <c r="AA34" s="2489">
        <v>1</v>
      </c>
      <c r="AB34" s="2399">
        <v>1</v>
      </c>
      <c r="AC34" s="2399">
        <v>1</v>
      </c>
      <c r="AD34" s="2399">
        <v>1</v>
      </c>
      <c r="AE34" s="2399">
        <v>1</v>
      </c>
      <c r="AF34" s="2399">
        <v>1</v>
      </c>
      <c r="AG34" s="2399">
        <v>1</v>
      </c>
      <c r="AH34" s="2399">
        <v>1</v>
      </c>
      <c r="AI34" s="2399">
        <v>1</v>
      </c>
      <c r="AJ34" s="2399">
        <v>5</v>
      </c>
      <c r="AK34" s="2399">
        <v>1</v>
      </c>
      <c r="AL34" s="2399">
        <v>1</v>
      </c>
      <c r="AM34" s="2399">
        <v>5</v>
      </c>
      <c r="AN34" s="2409">
        <v>0</v>
      </c>
      <c r="AO34" s="2399" t="b">
        <v>0</v>
      </c>
      <c r="AP34" s="2399" t="b">
        <v>0</v>
      </c>
    </row>
    <row r="35" spans="1:42" x14ac:dyDescent="0.2">
      <c r="A35" s="574">
        <v>34</v>
      </c>
      <c r="B35" s="2398">
        <v>35</v>
      </c>
      <c r="C35" s="2398">
        <v>35</v>
      </c>
      <c r="D35" s="2398">
        <v>35</v>
      </c>
      <c r="E35" s="2398">
        <v>35</v>
      </c>
      <c r="F35" s="2398">
        <v>35</v>
      </c>
      <c r="G35" s="2398">
        <v>35</v>
      </c>
      <c r="H35" s="2398">
        <v>35</v>
      </c>
      <c r="I35" s="2398">
        <v>35</v>
      </c>
      <c r="J35" s="2398">
        <v>35</v>
      </c>
      <c r="K35" s="2398">
        <v>35</v>
      </c>
      <c r="L35" s="2489">
        <v>2</v>
      </c>
      <c r="M35" s="2399">
        <v>1</v>
      </c>
      <c r="N35" s="2398">
        <v>35</v>
      </c>
      <c r="O35" s="2399">
        <v>1</v>
      </c>
      <c r="P35" s="2399">
        <v>1</v>
      </c>
      <c r="Q35" s="2399">
        <v>1</v>
      </c>
      <c r="R35" s="2399">
        <v>1</v>
      </c>
      <c r="S35" s="2399">
        <v>1</v>
      </c>
      <c r="T35" s="2399">
        <v>1</v>
      </c>
      <c r="U35" s="2399">
        <v>1</v>
      </c>
      <c r="V35" s="2399">
        <v>1</v>
      </c>
      <c r="W35" s="2399">
        <v>1</v>
      </c>
      <c r="X35" s="2399">
        <v>1</v>
      </c>
      <c r="Y35" s="2399">
        <v>1</v>
      </c>
      <c r="Z35" s="2398">
        <v>35</v>
      </c>
      <c r="AA35" s="2489">
        <v>1</v>
      </c>
      <c r="AB35" s="2399">
        <v>1</v>
      </c>
      <c r="AC35" s="2399">
        <v>1</v>
      </c>
      <c r="AD35" s="2399">
        <v>5</v>
      </c>
      <c r="AE35" s="2399">
        <v>1</v>
      </c>
      <c r="AF35" s="2399">
        <v>1</v>
      </c>
      <c r="AG35" s="2399">
        <v>1</v>
      </c>
      <c r="AH35" s="2399">
        <v>1</v>
      </c>
      <c r="AI35" s="2399">
        <v>1</v>
      </c>
      <c r="AJ35" s="2399">
        <v>1</v>
      </c>
      <c r="AK35" s="2399">
        <v>1</v>
      </c>
      <c r="AL35" s="2399">
        <v>1</v>
      </c>
      <c r="AM35" s="2399">
        <v>5</v>
      </c>
      <c r="AN35" s="2409">
        <v>0</v>
      </c>
      <c r="AO35" s="2399" t="b">
        <v>0</v>
      </c>
      <c r="AP35" s="2399" t="b">
        <v>0</v>
      </c>
    </row>
    <row r="36" spans="1:42" x14ac:dyDescent="0.2">
      <c r="A36" s="574">
        <v>35</v>
      </c>
      <c r="B36" s="2398">
        <v>36</v>
      </c>
      <c r="C36" s="2398">
        <v>36</v>
      </c>
      <c r="D36" s="2398">
        <v>36</v>
      </c>
      <c r="E36" s="2398">
        <v>36</v>
      </c>
      <c r="F36" s="2398">
        <v>36</v>
      </c>
      <c r="G36" s="2398">
        <v>36</v>
      </c>
      <c r="H36" s="2398">
        <v>36</v>
      </c>
      <c r="I36" s="2398">
        <v>36</v>
      </c>
      <c r="J36" s="2398">
        <v>36</v>
      </c>
      <c r="K36" s="2398">
        <v>36</v>
      </c>
      <c r="L36" s="2489">
        <v>2</v>
      </c>
      <c r="M36" s="2399">
        <v>1</v>
      </c>
      <c r="N36" s="2398">
        <v>36</v>
      </c>
      <c r="O36" s="2399">
        <v>1</v>
      </c>
      <c r="P36" s="2399">
        <v>1</v>
      </c>
      <c r="Q36" s="2399">
        <v>1</v>
      </c>
      <c r="R36" s="2399">
        <v>1</v>
      </c>
      <c r="S36" s="2399">
        <v>1</v>
      </c>
      <c r="T36" s="2399">
        <v>1</v>
      </c>
      <c r="U36" s="2399">
        <v>1</v>
      </c>
      <c r="V36" s="2399">
        <v>1</v>
      </c>
      <c r="W36" s="2399">
        <v>1</v>
      </c>
      <c r="X36" s="2399">
        <v>1</v>
      </c>
      <c r="Y36" s="2399">
        <v>1</v>
      </c>
      <c r="Z36" s="2399">
        <v>1</v>
      </c>
      <c r="AA36" s="2489">
        <v>1</v>
      </c>
      <c r="AB36" s="2399">
        <v>1</v>
      </c>
      <c r="AC36" s="2398">
        <v>36</v>
      </c>
      <c r="AD36" s="2399">
        <v>1</v>
      </c>
      <c r="AE36" s="2399">
        <v>1</v>
      </c>
      <c r="AF36" s="2399">
        <v>1</v>
      </c>
      <c r="AG36" s="2399">
        <v>1</v>
      </c>
      <c r="AH36" s="2399">
        <v>1</v>
      </c>
      <c r="AI36" s="2399">
        <v>1</v>
      </c>
      <c r="AJ36" s="2399">
        <v>1</v>
      </c>
      <c r="AK36" s="2399">
        <v>1</v>
      </c>
      <c r="AL36" s="2399">
        <v>1</v>
      </c>
      <c r="AM36" s="2399">
        <v>4</v>
      </c>
      <c r="AN36" s="2409">
        <v>0</v>
      </c>
      <c r="AO36" s="2399" t="b">
        <v>0</v>
      </c>
      <c r="AP36" s="2399" t="b">
        <v>0</v>
      </c>
    </row>
    <row r="37" spans="1:42" x14ac:dyDescent="0.2">
      <c r="A37" s="574">
        <v>36</v>
      </c>
      <c r="B37" s="2398">
        <v>37</v>
      </c>
      <c r="C37" s="2398">
        <v>37</v>
      </c>
      <c r="D37" s="2398">
        <v>37</v>
      </c>
      <c r="E37" s="2398">
        <v>37</v>
      </c>
      <c r="F37" s="2398">
        <v>37</v>
      </c>
      <c r="G37" s="2398">
        <v>37</v>
      </c>
      <c r="H37" s="2398">
        <v>37</v>
      </c>
      <c r="I37" s="2398">
        <v>37</v>
      </c>
      <c r="J37" s="2398">
        <v>37</v>
      </c>
      <c r="K37" s="2398">
        <v>37</v>
      </c>
      <c r="L37" s="2489">
        <v>2</v>
      </c>
      <c r="M37" s="2399">
        <v>1</v>
      </c>
      <c r="N37" s="2398">
        <v>37</v>
      </c>
      <c r="O37" s="2399">
        <v>1</v>
      </c>
      <c r="P37" s="2399">
        <v>1</v>
      </c>
      <c r="Q37" s="2399">
        <v>1</v>
      </c>
      <c r="R37" s="2399">
        <v>1</v>
      </c>
      <c r="S37" s="2399">
        <v>1</v>
      </c>
      <c r="T37" s="2399">
        <v>1</v>
      </c>
      <c r="U37" s="2399">
        <v>1</v>
      </c>
      <c r="V37" s="2399">
        <v>1</v>
      </c>
      <c r="W37" s="2399">
        <v>1</v>
      </c>
      <c r="X37" s="2399">
        <v>1</v>
      </c>
      <c r="Y37" s="2399">
        <v>1</v>
      </c>
      <c r="Z37" s="2399">
        <v>1</v>
      </c>
      <c r="AA37" s="2489">
        <v>1</v>
      </c>
      <c r="AB37" s="2399">
        <v>1</v>
      </c>
      <c r="AC37" s="2399">
        <v>1</v>
      </c>
      <c r="AD37" s="2399">
        <v>1</v>
      </c>
      <c r="AE37" s="2399">
        <v>1</v>
      </c>
      <c r="AF37" s="2399">
        <v>1</v>
      </c>
      <c r="AG37" s="2399">
        <v>1</v>
      </c>
      <c r="AH37" s="2399">
        <v>1</v>
      </c>
      <c r="AI37" s="2399">
        <v>1</v>
      </c>
      <c r="AJ37" s="2399">
        <v>1</v>
      </c>
      <c r="AK37" s="2399">
        <v>1</v>
      </c>
      <c r="AL37" s="2399">
        <v>1</v>
      </c>
      <c r="AM37" s="2399">
        <v>4</v>
      </c>
      <c r="AN37" s="2409">
        <v>0</v>
      </c>
      <c r="AO37" s="2399" t="b">
        <v>0</v>
      </c>
      <c r="AP37" s="2399" t="b">
        <v>0</v>
      </c>
    </row>
    <row r="38" spans="1:42" x14ac:dyDescent="0.2">
      <c r="A38" s="574">
        <v>37</v>
      </c>
      <c r="B38" s="2398">
        <v>38</v>
      </c>
      <c r="C38" s="2398">
        <v>38</v>
      </c>
      <c r="D38" s="2398">
        <v>38</v>
      </c>
      <c r="E38" s="2398">
        <v>38</v>
      </c>
      <c r="F38" s="2398">
        <v>38</v>
      </c>
      <c r="G38" s="2398">
        <v>38</v>
      </c>
      <c r="H38" s="2398">
        <v>38</v>
      </c>
      <c r="I38" s="2398">
        <v>38</v>
      </c>
      <c r="J38" s="2398">
        <v>38</v>
      </c>
      <c r="K38" s="2398">
        <v>38</v>
      </c>
      <c r="L38" s="2489">
        <v>2</v>
      </c>
      <c r="M38" s="2399">
        <v>1</v>
      </c>
      <c r="N38" s="2399">
        <v>1</v>
      </c>
      <c r="O38" s="2398">
        <v>38</v>
      </c>
      <c r="P38" s="2399">
        <v>1</v>
      </c>
      <c r="Q38" s="2399">
        <v>1</v>
      </c>
      <c r="R38" s="2399">
        <v>1</v>
      </c>
      <c r="S38" s="2399">
        <v>1</v>
      </c>
      <c r="T38" s="2399">
        <v>1</v>
      </c>
      <c r="U38" s="2399">
        <v>1</v>
      </c>
      <c r="V38" s="2399">
        <v>1</v>
      </c>
      <c r="W38" s="2399">
        <v>1</v>
      </c>
      <c r="X38" s="2399">
        <v>1</v>
      </c>
      <c r="Y38" s="2398">
        <v>38</v>
      </c>
      <c r="Z38" s="2399">
        <v>1</v>
      </c>
      <c r="AA38" s="2489">
        <v>1</v>
      </c>
      <c r="AB38" s="2399">
        <v>1</v>
      </c>
      <c r="AC38" s="2399">
        <v>1</v>
      </c>
      <c r="AD38" s="2399">
        <v>1</v>
      </c>
      <c r="AE38" s="2399">
        <v>1</v>
      </c>
      <c r="AF38" s="2399">
        <v>1</v>
      </c>
      <c r="AG38" s="2399">
        <v>1</v>
      </c>
      <c r="AH38" s="2399">
        <v>1</v>
      </c>
      <c r="AI38" s="2399">
        <v>1</v>
      </c>
      <c r="AJ38" s="2399">
        <v>14</v>
      </c>
      <c r="AK38" s="2399">
        <v>1</v>
      </c>
      <c r="AL38" s="2399">
        <v>1</v>
      </c>
      <c r="AM38" s="2399">
        <v>5</v>
      </c>
      <c r="AN38" s="2409">
        <v>0</v>
      </c>
      <c r="AO38" s="2399" t="b">
        <v>0</v>
      </c>
      <c r="AP38" s="2399" t="b">
        <v>0</v>
      </c>
    </row>
    <row r="39" spans="1:42" x14ac:dyDescent="0.2">
      <c r="A39" s="574">
        <v>38</v>
      </c>
      <c r="B39" s="2398">
        <v>39</v>
      </c>
      <c r="C39" s="2399">
        <v>1</v>
      </c>
      <c r="D39" s="2398">
        <v>39</v>
      </c>
      <c r="E39" s="2398">
        <v>39</v>
      </c>
      <c r="F39" s="2398">
        <v>39</v>
      </c>
      <c r="G39" s="2398">
        <v>39</v>
      </c>
      <c r="H39" s="2398">
        <v>39</v>
      </c>
      <c r="I39" s="2398">
        <v>39</v>
      </c>
      <c r="J39" s="2398">
        <v>39</v>
      </c>
      <c r="K39" s="2398">
        <v>39</v>
      </c>
      <c r="L39" s="2489">
        <v>2</v>
      </c>
      <c r="M39" s="2399">
        <v>1</v>
      </c>
      <c r="N39" s="2399">
        <v>1</v>
      </c>
      <c r="O39" s="2399">
        <v>1</v>
      </c>
      <c r="P39" s="2399">
        <v>1</v>
      </c>
      <c r="Q39" s="2398">
        <v>39</v>
      </c>
      <c r="R39" s="2399">
        <v>1</v>
      </c>
      <c r="S39" s="2399">
        <v>1</v>
      </c>
      <c r="T39" s="2399">
        <v>1</v>
      </c>
      <c r="U39" s="2399">
        <v>1</v>
      </c>
      <c r="V39" s="2398">
        <v>39</v>
      </c>
      <c r="W39" s="2399">
        <v>1</v>
      </c>
      <c r="X39" s="2399">
        <v>1</v>
      </c>
      <c r="Y39" s="2399">
        <v>1</v>
      </c>
      <c r="Z39" s="2399">
        <v>1</v>
      </c>
      <c r="AA39" s="2489">
        <v>1</v>
      </c>
      <c r="AB39" s="2399">
        <v>1</v>
      </c>
      <c r="AC39" s="2399">
        <v>1</v>
      </c>
      <c r="AD39" s="2399">
        <v>1</v>
      </c>
      <c r="AE39" s="2399">
        <v>1</v>
      </c>
      <c r="AF39" s="2399">
        <v>1</v>
      </c>
      <c r="AG39" s="2398">
        <v>39</v>
      </c>
      <c r="AH39" s="2398">
        <v>39</v>
      </c>
      <c r="AI39" s="2399">
        <v>1</v>
      </c>
      <c r="AJ39" s="2399">
        <v>1</v>
      </c>
      <c r="AK39" s="2399">
        <v>1</v>
      </c>
      <c r="AL39" s="2399">
        <v>1</v>
      </c>
      <c r="AM39" s="2399">
        <v>5</v>
      </c>
      <c r="AN39" s="2409">
        <v>0</v>
      </c>
      <c r="AO39" s="2399" t="b">
        <v>0</v>
      </c>
      <c r="AP39" s="2399" t="b">
        <v>0</v>
      </c>
    </row>
    <row r="40" spans="1:42" x14ac:dyDescent="0.2">
      <c r="A40" s="574">
        <v>39</v>
      </c>
      <c r="B40" s="2398">
        <v>40</v>
      </c>
      <c r="C40" s="2398">
        <v>40</v>
      </c>
      <c r="D40" s="2398">
        <v>40</v>
      </c>
      <c r="E40" s="2398">
        <v>40</v>
      </c>
      <c r="F40" s="2398">
        <v>40</v>
      </c>
      <c r="G40" s="2398">
        <v>40</v>
      </c>
      <c r="H40" s="2398">
        <v>40</v>
      </c>
      <c r="I40" s="2398">
        <v>40</v>
      </c>
      <c r="J40" s="2398">
        <v>40</v>
      </c>
      <c r="K40" s="2398">
        <v>40</v>
      </c>
      <c r="L40" s="2489">
        <v>2</v>
      </c>
      <c r="M40" s="2399">
        <v>1</v>
      </c>
      <c r="N40" s="2399">
        <v>1</v>
      </c>
      <c r="O40" s="2399">
        <v>1</v>
      </c>
      <c r="P40" s="2399">
        <v>1</v>
      </c>
      <c r="Q40" s="2399">
        <v>1</v>
      </c>
      <c r="R40" s="2399">
        <v>1</v>
      </c>
      <c r="S40" s="2398">
        <v>40</v>
      </c>
      <c r="T40" s="2399">
        <v>1</v>
      </c>
      <c r="U40" s="2399">
        <v>1</v>
      </c>
      <c r="V40" s="2398">
        <v>40</v>
      </c>
      <c r="W40" s="2399">
        <v>1</v>
      </c>
      <c r="X40" s="2399">
        <v>1</v>
      </c>
      <c r="Y40" s="2399">
        <v>1</v>
      </c>
      <c r="Z40" s="2399">
        <v>1</v>
      </c>
      <c r="AA40" s="2489">
        <v>1</v>
      </c>
      <c r="AB40" s="2399">
        <v>1</v>
      </c>
      <c r="AC40" s="2399">
        <v>1</v>
      </c>
      <c r="AD40" s="2399">
        <v>1</v>
      </c>
      <c r="AE40" s="2399">
        <v>1</v>
      </c>
      <c r="AF40" s="2399">
        <v>1</v>
      </c>
      <c r="AG40" s="2398">
        <v>40</v>
      </c>
      <c r="AH40" s="2398">
        <v>40</v>
      </c>
      <c r="AI40" s="2399">
        <v>4</v>
      </c>
      <c r="AJ40" s="2399">
        <v>1</v>
      </c>
      <c r="AK40" s="2399">
        <v>1</v>
      </c>
      <c r="AL40" s="2399">
        <v>1</v>
      </c>
      <c r="AM40" s="2399">
        <v>4</v>
      </c>
      <c r="AN40" s="2409">
        <v>0</v>
      </c>
      <c r="AO40" s="2399" t="b">
        <v>0</v>
      </c>
      <c r="AP40" s="2399" t="b">
        <v>0</v>
      </c>
    </row>
    <row r="41" spans="1:42" x14ac:dyDescent="0.2">
      <c r="A41" s="574">
        <v>40</v>
      </c>
      <c r="B41" s="2398">
        <v>41</v>
      </c>
      <c r="C41" s="2398">
        <v>41</v>
      </c>
      <c r="D41" s="2398">
        <v>41</v>
      </c>
      <c r="E41" s="2398">
        <v>41</v>
      </c>
      <c r="F41" s="2398">
        <v>41</v>
      </c>
      <c r="G41" s="2398">
        <v>41</v>
      </c>
      <c r="H41" s="2398">
        <v>41</v>
      </c>
      <c r="I41" s="2398">
        <v>41</v>
      </c>
      <c r="J41" s="2398">
        <v>41</v>
      </c>
      <c r="K41" s="2398">
        <v>41</v>
      </c>
      <c r="L41" s="2489">
        <v>2</v>
      </c>
      <c r="M41" s="2399">
        <v>1</v>
      </c>
      <c r="N41" s="2398">
        <v>41</v>
      </c>
      <c r="O41" s="2399">
        <v>1</v>
      </c>
      <c r="P41" s="2399">
        <v>1</v>
      </c>
      <c r="Q41" s="2399">
        <v>1</v>
      </c>
      <c r="R41" s="2399">
        <v>1</v>
      </c>
      <c r="S41" s="2399">
        <v>1</v>
      </c>
      <c r="T41" s="2399">
        <v>1</v>
      </c>
      <c r="U41" s="2399">
        <v>1</v>
      </c>
      <c r="V41" s="2399">
        <v>1</v>
      </c>
      <c r="W41" s="2399">
        <v>1</v>
      </c>
      <c r="X41" s="2399">
        <v>1</v>
      </c>
      <c r="Y41" s="2399">
        <v>1</v>
      </c>
      <c r="Z41" s="2399">
        <v>1</v>
      </c>
      <c r="AA41" s="2489">
        <v>1</v>
      </c>
      <c r="AB41" s="2399">
        <v>1</v>
      </c>
      <c r="AC41" s="2399">
        <v>1</v>
      </c>
      <c r="AD41" s="2399">
        <v>1</v>
      </c>
      <c r="AE41" s="2399">
        <v>1</v>
      </c>
      <c r="AF41" s="2398">
        <v>41</v>
      </c>
      <c r="AG41" s="2399">
        <v>1</v>
      </c>
      <c r="AH41" s="2399">
        <v>1</v>
      </c>
      <c r="AI41" s="2399">
        <v>1</v>
      </c>
      <c r="AJ41" s="2399">
        <v>1</v>
      </c>
      <c r="AK41" s="2399">
        <v>1</v>
      </c>
      <c r="AL41" s="2399">
        <v>1</v>
      </c>
      <c r="AM41" s="2399">
        <v>7</v>
      </c>
      <c r="AN41" s="2409">
        <v>0</v>
      </c>
      <c r="AO41" s="2399" t="b">
        <v>0</v>
      </c>
      <c r="AP41" s="2399" t="b">
        <v>0</v>
      </c>
    </row>
    <row r="42" spans="1:42" x14ac:dyDescent="0.2">
      <c r="A42" s="574">
        <v>41</v>
      </c>
      <c r="B42" s="2398">
        <v>42</v>
      </c>
      <c r="C42" s="2398">
        <v>42</v>
      </c>
      <c r="D42" s="2398">
        <v>42</v>
      </c>
      <c r="E42" s="2398">
        <v>42</v>
      </c>
      <c r="F42" s="2398">
        <v>42</v>
      </c>
      <c r="G42" s="2398">
        <v>42</v>
      </c>
      <c r="H42" s="2398">
        <v>42</v>
      </c>
      <c r="I42" s="2398">
        <v>42</v>
      </c>
      <c r="J42" s="2398">
        <v>42</v>
      </c>
      <c r="K42" s="2398">
        <v>42</v>
      </c>
      <c r="L42" s="2489">
        <v>2</v>
      </c>
      <c r="M42" s="2399">
        <v>1</v>
      </c>
      <c r="N42" s="2398">
        <v>42</v>
      </c>
      <c r="O42" s="2399">
        <v>1</v>
      </c>
      <c r="P42" s="2399">
        <v>1</v>
      </c>
      <c r="Q42" s="2399">
        <v>1</v>
      </c>
      <c r="R42" s="2399">
        <v>1</v>
      </c>
      <c r="S42" s="2399">
        <v>1</v>
      </c>
      <c r="T42" s="2399">
        <v>1</v>
      </c>
      <c r="U42" s="2399">
        <v>1</v>
      </c>
      <c r="V42" s="2398">
        <v>42</v>
      </c>
      <c r="W42" s="2398">
        <v>42</v>
      </c>
      <c r="X42" s="2399">
        <v>1</v>
      </c>
      <c r="Y42" s="2399">
        <v>1</v>
      </c>
      <c r="Z42" s="2399">
        <v>1</v>
      </c>
      <c r="AA42" s="2489">
        <v>1</v>
      </c>
      <c r="AB42" s="2399">
        <v>1</v>
      </c>
      <c r="AC42" s="2399">
        <v>1</v>
      </c>
      <c r="AD42" s="2399">
        <v>1</v>
      </c>
      <c r="AE42" s="2399">
        <v>1</v>
      </c>
      <c r="AF42" s="2399">
        <v>1</v>
      </c>
      <c r="AG42" s="2399">
        <v>1</v>
      </c>
      <c r="AH42" s="2399">
        <v>1</v>
      </c>
      <c r="AI42" s="2399">
        <v>1</v>
      </c>
      <c r="AJ42" s="2399">
        <v>1</v>
      </c>
      <c r="AK42" s="2399">
        <v>1</v>
      </c>
      <c r="AL42" s="2399">
        <v>1</v>
      </c>
      <c r="AM42" s="2399">
        <v>7</v>
      </c>
      <c r="AN42" s="2409">
        <v>0</v>
      </c>
      <c r="AO42" s="2399" t="b">
        <v>0</v>
      </c>
      <c r="AP42" s="2399" t="b">
        <v>0</v>
      </c>
    </row>
    <row r="43" spans="1:42" x14ac:dyDescent="0.2">
      <c r="A43" s="574">
        <v>42</v>
      </c>
      <c r="B43" s="2398">
        <v>43</v>
      </c>
      <c r="C43" s="2398">
        <v>43</v>
      </c>
      <c r="D43" s="2398">
        <v>43</v>
      </c>
      <c r="E43" s="2398">
        <v>43</v>
      </c>
      <c r="F43" s="2398">
        <v>43</v>
      </c>
      <c r="G43" s="2398">
        <v>43</v>
      </c>
      <c r="H43" s="2398">
        <v>43</v>
      </c>
      <c r="I43" s="2398">
        <v>43</v>
      </c>
      <c r="J43" s="2398">
        <v>43</v>
      </c>
      <c r="K43" s="2398">
        <v>43</v>
      </c>
      <c r="L43" s="2489">
        <v>2</v>
      </c>
      <c r="M43" s="2399">
        <v>1</v>
      </c>
      <c r="N43" s="2399">
        <v>1</v>
      </c>
      <c r="O43" s="2399">
        <v>1</v>
      </c>
      <c r="P43" s="2399">
        <v>1</v>
      </c>
      <c r="Q43" s="2399">
        <v>1</v>
      </c>
      <c r="R43" s="2399">
        <v>1</v>
      </c>
      <c r="S43" s="2399">
        <v>1</v>
      </c>
      <c r="T43" s="2399">
        <v>1</v>
      </c>
      <c r="U43" s="2399">
        <v>1</v>
      </c>
      <c r="V43" s="2398">
        <v>43</v>
      </c>
      <c r="W43" s="2399">
        <v>1</v>
      </c>
      <c r="X43" s="2399">
        <v>1</v>
      </c>
      <c r="Y43" s="2398">
        <v>43</v>
      </c>
      <c r="Z43" s="2399">
        <v>1</v>
      </c>
      <c r="AA43" s="2489">
        <v>1</v>
      </c>
      <c r="AB43" s="2399">
        <v>1</v>
      </c>
      <c r="AC43" s="2399">
        <v>1</v>
      </c>
      <c r="AD43" s="2399">
        <v>7</v>
      </c>
      <c r="AE43" s="2398">
        <v>43</v>
      </c>
      <c r="AF43" s="2399">
        <v>1</v>
      </c>
      <c r="AG43" s="2399">
        <v>1</v>
      </c>
      <c r="AH43" s="2399">
        <v>1</v>
      </c>
      <c r="AI43" s="2399">
        <v>1</v>
      </c>
      <c r="AJ43" s="2399">
        <v>1</v>
      </c>
      <c r="AK43" s="2399">
        <v>1</v>
      </c>
      <c r="AL43" s="2399">
        <v>1</v>
      </c>
      <c r="AM43" s="2399">
        <v>7</v>
      </c>
      <c r="AN43" s="2409">
        <v>0</v>
      </c>
      <c r="AO43" s="2399" t="b">
        <v>0</v>
      </c>
      <c r="AP43" s="2399" t="b">
        <v>1</v>
      </c>
    </row>
    <row r="44" spans="1:42" x14ac:dyDescent="0.2">
      <c r="A44" s="574">
        <v>43</v>
      </c>
      <c r="B44" s="2398">
        <v>44</v>
      </c>
      <c r="C44" s="2398">
        <v>44</v>
      </c>
      <c r="D44" s="2398">
        <v>44</v>
      </c>
      <c r="E44" s="2398">
        <v>44</v>
      </c>
      <c r="F44" s="2398">
        <v>44</v>
      </c>
      <c r="G44" s="2398">
        <v>44</v>
      </c>
      <c r="H44" s="2398">
        <v>44</v>
      </c>
      <c r="I44" s="2398">
        <v>44</v>
      </c>
      <c r="J44" s="2398">
        <v>44</v>
      </c>
      <c r="K44" s="2398">
        <v>44</v>
      </c>
      <c r="L44" s="2489">
        <v>2</v>
      </c>
      <c r="M44" s="2399">
        <v>1</v>
      </c>
      <c r="N44" s="2399">
        <v>1</v>
      </c>
      <c r="O44" s="2399">
        <v>1</v>
      </c>
      <c r="P44" s="2399">
        <v>1</v>
      </c>
      <c r="Q44" s="2399">
        <v>1</v>
      </c>
      <c r="R44" s="2399">
        <v>1</v>
      </c>
      <c r="S44" s="2399">
        <v>1</v>
      </c>
      <c r="T44" s="2399">
        <v>1</v>
      </c>
      <c r="U44" s="2399">
        <v>1</v>
      </c>
      <c r="V44" s="2398">
        <v>44</v>
      </c>
      <c r="W44" s="2399">
        <v>1</v>
      </c>
      <c r="X44" s="2399">
        <v>1</v>
      </c>
      <c r="Y44" s="2399">
        <v>1</v>
      </c>
      <c r="Z44" s="2399">
        <v>1</v>
      </c>
      <c r="AA44" s="2489">
        <v>1</v>
      </c>
      <c r="AB44" s="2399">
        <v>1</v>
      </c>
      <c r="AC44" s="2399">
        <v>1</v>
      </c>
      <c r="AD44" s="2399">
        <v>1</v>
      </c>
      <c r="AE44" s="2399">
        <v>1</v>
      </c>
      <c r="AF44" s="2399">
        <v>1</v>
      </c>
      <c r="AG44" s="2399">
        <v>1</v>
      </c>
      <c r="AH44" s="2399">
        <v>1</v>
      </c>
      <c r="AI44" s="2399">
        <v>1</v>
      </c>
      <c r="AJ44" s="2399">
        <v>3</v>
      </c>
      <c r="AK44" s="2399">
        <v>1</v>
      </c>
      <c r="AL44" s="2399">
        <v>1</v>
      </c>
      <c r="AM44" s="2399">
        <v>4</v>
      </c>
      <c r="AN44" s="2409">
        <v>0</v>
      </c>
      <c r="AO44" s="2399" t="b">
        <v>0</v>
      </c>
      <c r="AP44" s="2399" t="b">
        <v>0</v>
      </c>
    </row>
    <row r="45" spans="1:42" x14ac:dyDescent="0.2">
      <c r="A45" s="574">
        <v>44</v>
      </c>
      <c r="B45" s="2398">
        <v>45</v>
      </c>
      <c r="C45" s="2399">
        <v>1</v>
      </c>
      <c r="D45" s="2398">
        <v>45</v>
      </c>
      <c r="E45" s="2398">
        <v>45</v>
      </c>
      <c r="F45" s="2398">
        <v>45</v>
      </c>
      <c r="G45" s="2398">
        <v>45</v>
      </c>
      <c r="H45" s="2398">
        <v>45</v>
      </c>
      <c r="I45" s="2398">
        <v>45</v>
      </c>
      <c r="J45" s="2398">
        <v>45</v>
      </c>
      <c r="K45" s="2398">
        <v>45</v>
      </c>
      <c r="L45" s="2489">
        <v>2</v>
      </c>
      <c r="M45" s="2399">
        <v>1</v>
      </c>
      <c r="N45" s="2399">
        <v>1</v>
      </c>
      <c r="O45" s="2399">
        <v>1</v>
      </c>
      <c r="P45" s="2399">
        <v>1</v>
      </c>
      <c r="Q45" s="2399">
        <v>1</v>
      </c>
      <c r="R45" s="2399">
        <v>1</v>
      </c>
      <c r="S45" s="2399">
        <v>1</v>
      </c>
      <c r="T45" s="2399">
        <v>1</v>
      </c>
      <c r="U45" s="2399">
        <v>1</v>
      </c>
      <c r="V45" s="2399">
        <v>1</v>
      </c>
      <c r="W45" s="2399">
        <v>1</v>
      </c>
      <c r="X45" s="2399">
        <v>1</v>
      </c>
      <c r="Y45" s="2398">
        <v>45</v>
      </c>
      <c r="Z45" s="2398">
        <v>45</v>
      </c>
      <c r="AA45" s="2489">
        <v>1</v>
      </c>
      <c r="AB45" s="2399">
        <v>1</v>
      </c>
      <c r="AC45" s="2399">
        <v>1</v>
      </c>
      <c r="AD45" s="2399">
        <v>5</v>
      </c>
      <c r="AE45" s="2399">
        <v>1</v>
      </c>
      <c r="AF45" s="2399">
        <v>1</v>
      </c>
      <c r="AG45" s="2399">
        <v>1</v>
      </c>
      <c r="AH45" s="2399">
        <v>1</v>
      </c>
      <c r="AI45" s="2399">
        <v>3</v>
      </c>
      <c r="AJ45" s="2399">
        <v>1</v>
      </c>
      <c r="AK45" s="2399">
        <v>1</v>
      </c>
      <c r="AL45" s="2399">
        <v>1</v>
      </c>
      <c r="AM45" s="2399">
        <v>7</v>
      </c>
      <c r="AN45" s="2409">
        <v>0</v>
      </c>
      <c r="AO45" s="2399" t="b">
        <v>0</v>
      </c>
      <c r="AP45" s="2399" t="b">
        <v>0</v>
      </c>
    </row>
    <row r="46" spans="1:42" x14ac:dyDescent="0.2">
      <c r="A46" s="574">
        <v>45</v>
      </c>
      <c r="B46" s="2398">
        <v>46</v>
      </c>
      <c r="C46" s="2399">
        <v>1</v>
      </c>
      <c r="D46" s="2398">
        <v>46</v>
      </c>
      <c r="E46" s="2398">
        <v>46</v>
      </c>
      <c r="F46" s="2398">
        <v>46</v>
      </c>
      <c r="G46" s="2398">
        <v>46</v>
      </c>
      <c r="H46" s="2398">
        <v>46</v>
      </c>
      <c r="I46" s="2398">
        <v>46</v>
      </c>
      <c r="J46" s="2398">
        <v>46</v>
      </c>
      <c r="K46" s="2398">
        <v>46</v>
      </c>
      <c r="L46" s="2489">
        <v>2</v>
      </c>
      <c r="M46" s="2399">
        <v>1</v>
      </c>
      <c r="N46" s="2398">
        <v>46</v>
      </c>
      <c r="O46" s="2399">
        <v>1</v>
      </c>
      <c r="P46" s="2399">
        <v>1</v>
      </c>
      <c r="Q46" s="2399">
        <v>1</v>
      </c>
      <c r="R46" s="2399">
        <v>1</v>
      </c>
      <c r="S46" s="2399">
        <v>1</v>
      </c>
      <c r="T46" s="2398">
        <v>46</v>
      </c>
      <c r="U46" s="2399">
        <v>1</v>
      </c>
      <c r="V46" s="2399">
        <v>1</v>
      </c>
      <c r="W46" s="2399">
        <v>1</v>
      </c>
      <c r="X46" s="2399">
        <v>1</v>
      </c>
      <c r="Y46" s="2399">
        <v>1</v>
      </c>
      <c r="Z46" s="2399">
        <v>1</v>
      </c>
      <c r="AA46" s="2489">
        <v>1</v>
      </c>
      <c r="AB46" s="2399">
        <v>1</v>
      </c>
      <c r="AC46" s="2399">
        <v>1</v>
      </c>
      <c r="AD46" s="2399">
        <v>1</v>
      </c>
      <c r="AE46" s="2399">
        <v>1</v>
      </c>
      <c r="AF46" s="2398">
        <v>46</v>
      </c>
      <c r="AG46" s="2398">
        <v>46</v>
      </c>
      <c r="AH46" s="2399">
        <v>1</v>
      </c>
      <c r="AI46" s="2399">
        <v>1</v>
      </c>
      <c r="AJ46" s="2399">
        <v>1</v>
      </c>
      <c r="AK46" s="2399">
        <v>1</v>
      </c>
      <c r="AL46" s="2399">
        <v>1</v>
      </c>
      <c r="AM46" s="2399">
        <v>1</v>
      </c>
      <c r="AN46" s="2409">
        <v>0</v>
      </c>
      <c r="AO46" s="2399" t="b">
        <v>1</v>
      </c>
      <c r="AP46" s="2399" t="b">
        <v>0</v>
      </c>
    </row>
    <row r="47" spans="1:42" x14ac:dyDescent="0.2">
      <c r="A47" s="574">
        <v>46</v>
      </c>
      <c r="B47" s="2398">
        <v>47</v>
      </c>
      <c r="C47" s="2398">
        <v>47</v>
      </c>
      <c r="D47" s="2398">
        <v>47</v>
      </c>
      <c r="E47" s="2398">
        <v>47</v>
      </c>
      <c r="F47" s="2398">
        <v>47</v>
      </c>
      <c r="G47" s="2398">
        <v>47</v>
      </c>
      <c r="H47" s="2398">
        <v>47</v>
      </c>
      <c r="I47" s="2398">
        <v>47</v>
      </c>
      <c r="J47" s="2398">
        <v>47</v>
      </c>
      <c r="K47" s="2398">
        <v>47</v>
      </c>
      <c r="L47" s="2489">
        <v>2</v>
      </c>
      <c r="M47" s="2399">
        <v>1</v>
      </c>
      <c r="N47" s="2399">
        <v>1</v>
      </c>
      <c r="O47" s="2399">
        <v>1</v>
      </c>
      <c r="P47" s="2399">
        <v>1</v>
      </c>
      <c r="Q47" s="2399">
        <v>1</v>
      </c>
      <c r="R47" s="2399">
        <v>1</v>
      </c>
      <c r="S47" s="2399">
        <v>1</v>
      </c>
      <c r="T47" s="2399">
        <v>1</v>
      </c>
      <c r="U47" s="2399">
        <v>1</v>
      </c>
      <c r="V47" s="2399">
        <v>1</v>
      </c>
      <c r="W47" s="2399">
        <v>1</v>
      </c>
      <c r="X47" s="2399">
        <v>1</v>
      </c>
      <c r="Y47" s="2399">
        <v>1</v>
      </c>
      <c r="Z47" s="2399">
        <v>1</v>
      </c>
      <c r="AA47" s="2489">
        <v>1</v>
      </c>
      <c r="AB47" s="2399">
        <v>1</v>
      </c>
      <c r="AC47" s="2399">
        <v>1</v>
      </c>
      <c r="AD47" s="2399">
        <v>1</v>
      </c>
      <c r="AE47" s="2399">
        <v>1</v>
      </c>
      <c r="AF47" s="2399">
        <v>1</v>
      </c>
      <c r="AG47" s="2399">
        <v>1</v>
      </c>
      <c r="AH47" s="2399">
        <v>1</v>
      </c>
      <c r="AI47" s="2399">
        <v>1</v>
      </c>
      <c r="AJ47" s="2399">
        <v>1</v>
      </c>
      <c r="AK47" s="2399">
        <v>2</v>
      </c>
      <c r="AL47" s="2399">
        <v>1</v>
      </c>
      <c r="AM47" s="2399">
        <v>3</v>
      </c>
      <c r="AN47" s="2409">
        <v>0</v>
      </c>
      <c r="AO47" s="2399" t="b">
        <v>1</v>
      </c>
      <c r="AP47" s="2399" t="b">
        <v>0</v>
      </c>
    </row>
    <row r="48" spans="1:42" x14ac:dyDescent="0.2">
      <c r="A48" s="574">
        <v>47</v>
      </c>
      <c r="B48" s="2398">
        <v>48</v>
      </c>
      <c r="C48" s="2398">
        <v>48</v>
      </c>
      <c r="D48" s="2398">
        <v>48</v>
      </c>
      <c r="E48" s="2398">
        <v>48</v>
      </c>
      <c r="F48" s="2398">
        <v>48</v>
      </c>
      <c r="G48" s="2398">
        <v>48</v>
      </c>
      <c r="H48" s="2398">
        <v>48</v>
      </c>
      <c r="I48" s="2398">
        <v>48</v>
      </c>
      <c r="J48" s="2398">
        <v>48</v>
      </c>
      <c r="K48" s="2398">
        <v>48</v>
      </c>
      <c r="L48" s="2489">
        <v>2</v>
      </c>
      <c r="M48" s="2399">
        <v>1</v>
      </c>
      <c r="N48" s="2399">
        <v>1</v>
      </c>
      <c r="O48" s="2399">
        <v>1</v>
      </c>
      <c r="P48" s="2399">
        <v>1</v>
      </c>
      <c r="Q48" s="2399">
        <v>1</v>
      </c>
      <c r="R48" s="2399">
        <v>1</v>
      </c>
      <c r="S48" s="2399">
        <v>1</v>
      </c>
      <c r="T48" s="2399">
        <v>1</v>
      </c>
      <c r="U48" s="2399">
        <v>1</v>
      </c>
      <c r="V48" s="2399">
        <v>1</v>
      </c>
      <c r="W48" s="2399">
        <v>1</v>
      </c>
      <c r="X48" s="2399">
        <v>1</v>
      </c>
      <c r="Y48" s="2399">
        <v>1</v>
      </c>
      <c r="Z48" s="2399">
        <v>1</v>
      </c>
      <c r="AA48" s="2489">
        <v>1</v>
      </c>
      <c r="AB48" s="2399">
        <v>1</v>
      </c>
      <c r="AC48" s="2399">
        <v>1</v>
      </c>
      <c r="AD48" s="2399">
        <v>1</v>
      </c>
      <c r="AE48" s="2399">
        <v>1</v>
      </c>
      <c r="AF48" s="2398">
        <v>48</v>
      </c>
      <c r="AG48" s="2399">
        <v>1</v>
      </c>
      <c r="AH48" s="2399">
        <v>1</v>
      </c>
      <c r="AI48" s="2399">
        <v>1</v>
      </c>
      <c r="AJ48" s="2399">
        <v>1</v>
      </c>
      <c r="AK48" s="2399">
        <v>2</v>
      </c>
      <c r="AL48" s="2399">
        <v>1</v>
      </c>
      <c r="AM48" s="2399">
        <v>5</v>
      </c>
      <c r="AN48" s="2409">
        <v>0</v>
      </c>
      <c r="AO48" s="2399" t="b">
        <v>1</v>
      </c>
      <c r="AP48" s="2399" t="b">
        <v>0</v>
      </c>
    </row>
    <row r="49" spans="1:42" x14ac:dyDescent="0.2">
      <c r="A49" s="574">
        <v>48</v>
      </c>
      <c r="B49" s="2398">
        <v>49</v>
      </c>
      <c r="C49" s="2398">
        <v>49</v>
      </c>
      <c r="D49" s="2398">
        <v>49</v>
      </c>
      <c r="E49" s="2398">
        <v>49</v>
      </c>
      <c r="F49" s="2398">
        <v>49</v>
      </c>
      <c r="G49" s="2398">
        <v>49</v>
      </c>
      <c r="H49" s="2398">
        <v>49</v>
      </c>
      <c r="I49" s="2398">
        <v>49</v>
      </c>
      <c r="J49" s="2398">
        <v>49</v>
      </c>
      <c r="K49" s="2398">
        <v>49</v>
      </c>
      <c r="L49" s="2489">
        <v>2</v>
      </c>
      <c r="M49" s="2399">
        <v>1</v>
      </c>
      <c r="N49" s="2399">
        <v>1</v>
      </c>
      <c r="O49" s="2399">
        <v>1</v>
      </c>
      <c r="P49" s="2399">
        <v>1</v>
      </c>
      <c r="Q49" s="2399">
        <v>1</v>
      </c>
      <c r="R49" s="2399">
        <v>1</v>
      </c>
      <c r="S49" s="2399">
        <v>1</v>
      </c>
      <c r="T49" s="2399">
        <v>1</v>
      </c>
      <c r="U49" s="2399">
        <v>1</v>
      </c>
      <c r="V49" s="2399">
        <v>1</v>
      </c>
      <c r="W49" s="2399">
        <v>1</v>
      </c>
      <c r="X49" s="2399">
        <v>1</v>
      </c>
      <c r="Y49" s="2399">
        <v>1</v>
      </c>
      <c r="Z49" s="2399">
        <v>1</v>
      </c>
      <c r="AA49" s="2489">
        <v>1</v>
      </c>
      <c r="AB49" s="2399">
        <v>1</v>
      </c>
      <c r="AC49" s="2399">
        <v>1</v>
      </c>
      <c r="AD49" s="2399">
        <v>1</v>
      </c>
      <c r="AE49" s="2399">
        <v>1</v>
      </c>
      <c r="AF49" s="2398">
        <v>49</v>
      </c>
      <c r="AG49" s="2399">
        <v>1</v>
      </c>
      <c r="AH49" s="2399">
        <v>1</v>
      </c>
      <c r="AI49" s="2399">
        <v>1</v>
      </c>
      <c r="AJ49" s="2399">
        <v>1</v>
      </c>
      <c r="AK49" s="2399">
        <v>2</v>
      </c>
      <c r="AL49" s="2399">
        <v>1</v>
      </c>
      <c r="AM49" s="2399">
        <v>5</v>
      </c>
      <c r="AN49" s="2409">
        <v>0</v>
      </c>
      <c r="AO49" s="2399" t="b">
        <v>1</v>
      </c>
      <c r="AP49" s="2399" t="b">
        <v>0</v>
      </c>
    </row>
    <row r="50" spans="1:42" x14ac:dyDescent="0.2">
      <c r="A50" s="574">
        <v>49</v>
      </c>
      <c r="B50" s="2398">
        <v>50</v>
      </c>
      <c r="C50" s="2399">
        <v>1</v>
      </c>
      <c r="D50" s="2398">
        <v>50</v>
      </c>
      <c r="E50" s="2398">
        <v>50</v>
      </c>
      <c r="F50" s="2398">
        <v>50</v>
      </c>
      <c r="G50" s="2398">
        <v>50</v>
      </c>
      <c r="H50" s="2398">
        <v>50</v>
      </c>
      <c r="I50" s="2398">
        <v>50</v>
      </c>
      <c r="J50" s="2398">
        <v>50</v>
      </c>
      <c r="K50" s="2398">
        <v>50</v>
      </c>
      <c r="L50" s="2489">
        <v>2</v>
      </c>
      <c r="M50" s="2399">
        <v>1</v>
      </c>
      <c r="N50" s="2399">
        <v>1</v>
      </c>
      <c r="O50" s="2399">
        <v>1</v>
      </c>
      <c r="P50" s="2398">
        <v>50</v>
      </c>
      <c r="Q50" s="2399">
        <v>1</v>
      </c>
      <c r="R50" s="2399">
        <v>1</v>
      </c>
      <c r="S50" s="2399">
        <v>3</v>
      </c>
      <c r="T50" s="2399">
        <v>1</v>
      </c>
      <c r="U50" s="2399">
        <v>1</v>
      </c>
      <c r="V50" s="2398">
        <v>50</v>
      </c>
      <c r="W50" s="2398">
        <v>50</v>
      </c>
      <c r="X50" s="2399">
        <v>1</v>
      </c>
      <c r="Y50" s="2399">
        <v>1</v>
      </c>
      <c r="Z50" s="2399">
        <v>1</v>
      </c>
      <c r="AA50" s="2489">
        <v>1</v>
      </c>
      <c r="AB50" s="2399">
        <v>1</v>
      </c>
      <c r="AC50" s="2399">
        <v>1</v>
      </c>
      <c r="AD50" s="2399">
        <v>1</v>
      </c>
      <c r="AE50" s="2399">
        <v>1</v>
      </c>
      <c r="AF50" s="2399">
        <v>1</v>
      </c>
      <c r="AG50" s="2399">
        <v>1</v>
      </c>
      <c r="AH50" s="2399">
        <v>1</v>
      </c>
      <c r="AI50" s="2399">
        <v>1</v>
      </c>
      <c r="AJ50" s="2399">
        <v>1</v>
      </c>
      <c r="AK50" s="2399">
        <v>1</v>
      </c>
      <c r="AL50" s="2399">
        <v>3</v>
      </c>
      <c r="AM50" s="2399">
        <v>7</v>
      </c>
      <c r="AN50" s="2409">
        <v>671</v>
      </c>
      <c r="AO50" s="2399" t="b">
        <v>0</v>
      </c>
      <c r="AP50" s="2399" t="b">
        <v>0</v>
      </c>
    </row>
    <row r="51" spans="1:42" x14ac:dyDescent="0.2">
      <c r="A51" s="574">
        <v>50</v>
      </c>
      <c r="B51" s="2398">
        <v>51</v>
      </c>
      <c r="C51" s="2399">
        <v>1</v>
      </c>
      <c r="D51" s="2398">
        <v>51</v>
      </c>
      <c r="E51" s="2398">
        <v>51</v>
      </c>
      <c r="F51" s="2398">
        <v>51</v>
      </c>
      <c r="G51" s="2398">
        <v>51</v>
      </c>
      <c r="H51" s="2398">
        <v>51</v>
      </c>
      <c r="I51" s="2398">
        <v>51</v>
      </c>
      <c r="J51" s="2398">
        <v>51</v>
      </c>
      <c r="K51" s="2398">
        <v>51</v>
      </c>
      <c r="L51" s="2489">
        <v>2</v>
      </c>
      <c r="M51" s="2399">
        <v>1</v>
      </c>
      <c r="N51" s="2399">
        <v>1</v>
      </c>
      <c r="O51" s="2399">
        <v>1</v>
      </c>
      <c r="P51" s="2399">
        <v>1</v>
      </c>
      <c r="Q51" s="2399">
        <v>1</v>
      </c>
      <c r="R51" s="2399">
        <v>1</v>
      </c>
      <c r="S51" s="2399">
        <v>1</v>
      </c>
      <c r="T51" s="2399">
        <v>1</v>
      </c>
      <c r="U51" s="2399">
        <v>1</v>
      </c>
      <c r="V51" s="2398">
        <v>51</v>
      </c>
      <c r="W51" s="2398">
        <v>51</v>
      </c>
      <c r="X51" s="2399">
        <v>1</v>
      </c>
      <c r="Y51" s="2399">
        <v>1</v>
      </c>
      <c r="Z51" s="2399">
        <v>1</v>
      </c>
      <c r="AA51" s="2489">
        <v>1</v>
      </c>
      <c r="AB51" s="2399">
        <v>1</v>
      </c>
      <c r="AC51" s="2398">
        <v>51</v>
      </c>
      <c r="AD51" s="2399">
        <v>5</v>
      </c>
      <c r="AE51" s="2398">
        <v>51</v>
      </c>
      <c r="AF51" s="2399">
        <v>1</v>
      </c>
      <c r="AG51" s="2398">
        <v>51</v>
      </c>
      <c r="AH51" s="2398">
        <v>51</v>
      </c>
      <c r="AI51" s="2399">
        <v>1</v>
      </c>
      <c r="AJ51" s="2399">
        <v>3</v>
      </c>
      <c r="AK51" s="2399">
        <v>1</v>
      </c>
      <c r="AL51" s="2399">
        <v>1</v>
      </c>
      <c r="AM51" s="2399">
        <v>7</v>
      </c>
      <c r="AN51" s="2409">
        <v>0</v>
      </c>
      <c r="AO51" s="2399" t="b">
        <v>0</v>
      </c>
      <c r="AP51" s="2399" t="b">
        <v>1</v>
      </c>
    </row>
    <row r="52" spans="1:42" x14ac:dyDescent="0.2">
      <c r="A52" s="574">
        <v>51</v>
      </c>
      <c r="B52" s="2398">
        <v>52</v>
      </c>
      <c r="C52" s="2399">
        <v>1</v>
      </c>
      <c r="D52" s="2398">
        <v>52</v>
      </c>
      <c r="E52" s="2398">
        <v>52</v>
      </c>
      <c r="F52" s="2398">
        <v>52</v>
      </c>
      <c r="G52" s="2398">
        <v>52</v>
      </c>
      <c r="H52" s="2398">
        <v>52</v>
      </c>
      <c r="I52" s="2398">
        <v>52</v>
      </c>
      <c r="J52" s="2398">
        <v>52</v>
      </c>
      <c r="K52" s="2398">
        <v>52</v>
      </c>
      <c r="L52" s="2489">
        <v>2</v>
      </c>
      <c r="M52" s="2399">
        <v>1</v>
      </c>
      <c r="N52" s="2399">
        <v>1</v>
      </c>
      <c r="O52" s="2399">
        <v>1</v>
      </c>
      <c r="P52" s="2399">
        <v>1</v>
      </c>
      <c r="Q52" s="2399">
        <v>1</v>
      </c>
      <c r="R52" s="2399">
        <v>1</v>
      </c>
      <c r="S52" s="2399">
        <v>6</v>
      </c>
      <c r="T52" s="2399">
        <v>1</v>
      </c>
      <c r="U52" s="2399">
        <v>1</v>
      </c>
      <c r="V52" s="2399">
        <v>1</v>
      </c>
      <c r="W52" s="2399">
        <v>1</v>
      </c>
      <c r="X52" s="2399">
        <v>1</v>
      </c>
      <c r="Y52" s="2399">
        <v>1</v>
      </c>
      <c r="Z52" s="2399">
        <v>1</v>
      </c>
      <c r="AA52" s="2489">
        <v>1</v>
      </c>
      <c r="AB52" s="2398">
        <v>52</v>
      </c>
      <c r="AC52" s="2398">
        <v>52</v>
      </c>
      <c r="AD52" s="2399">
        <v>9</v>
      </c>
      <c r="AE52" s="2399">
        <v>1</v>
      </c>
      <c r="AF52" s="2399">
        <v>1</v>
      </c>
      <c r="AG52" s="2398">
        <v>52</v>
      </c>
      <c r="AH52" s="2398">
        <v>52</v>
      </c>
      <c r="AI52" s="2399">
        <v>7</v>
      </c>
      <c r="AJ52" s="2399">
        <v>1</v>
      </c>
      <c r="AK52" s="2399">
        <v>1</v>
      </c>
      <c r="AL52" s="2399">
        <v>1</v>
      </c>
      <c r="AM52" s="2399">
        <v>7</v>
      </c>
      <c r="AN52" s="2409">
        <v>0</v>
      </c>
      <c r="AO52" s="2399" t="b">
        <v>0</v>
      </c>
      <c r="AP52" s="2399" t="b">
        <v>0</v>
      </c>
    </row>
    <row r="53" spans="1:42" x14ac:dyDescent="0.2">
      <c r="A53" s="574">
        <v>52</v>
      </c>
      <c r="B53" s="2398">
        <v>53</v>
      </c>
      <c r="C53" s="2398">
        <v>53</v>
      </c>
      <c r="D53" s="2398">
        <v>53</v>
      </c>
      <c r="E53" s="2398">
        <v>53</v>
      </c>
      <c r="F53" s="2398">
        <v>53</v>
      </c>
      <c r="G53" s="2398">
        <v>53</v>
      </c>
      <c r="H53" s="2398">
        <v>53</v>
      </c>
      <c r="I53" s="2398">
        <v>53</v>
      </c>
      <c r="J53" s="2398">
        <v>53</v>
      </c>
      <c r="K53" s="2398">
        <v>53</v>
      </c>
      <c r="L53" s="2489">
        <v>2</v>
      </c>
      <c r="M53" s="2398">
        <v>53</v>
      </c>
      <c r="N53" s="2398">
        <v>53</v>
      </c>
      <c r="O53" s="2398">
        <v>53</v>
      </c>
      <c r="P53" s="2398">
        <v>53</v>
      </c>
      <c r="Q53" s="2398">
        <v>53</v>
      </c>
      <c r="R53" s="2398">
        <v>53</v>
      </c>
      <c r="S53" s="2398">
        <v>53</v>
      </c>
      <c r="T53" s="2398">
        <v>53</v>
      </c>
      <c r="U53" s="2399">
        <v>1</v>
      </c>
      <c r="V53" s="2398">
        <v>53</v>
      </c>
      <c r="W53" s="2398">
        <v>53</v>
      </c>
      <c r="X53" s="2399">
        <v>1</v>
      </c>
      <c r="Y53" s="2398">
        <v>53</v>
      </c>
      <c r="Z53" s="2399">
        <v>1</v>
      </c>
      <c r="AA53" s="2489">
        <v>1</v>
      </c>
      <c r="AB53" s="2398">
        <v>53</v>
      </c>
      <c r="AC53" s="2399">
        <v>1</v>
      </c>
      <c r="AD53" s="2399">
        <v>9</v>
      </c>
      <c r="AE53" s="2398">
        <v>53</v>
      </c>
      <c r="AF53" s="2398">
        <v>53</v>
      </c>
      <c r="AG53" s="2398">
        <v>53</v>
      </c>
      <c r="AH53" s="2398">
        <v>53</v>
      </c>
      <c r="AI53" s="2399">
        <v>8</v>
      </c>
      <c r="AJ53" s="2399">
        <v>4</v>
      </c>
      <c r="AK53" s="2399">
        <v>1</v>
      </c>
      <c r="AL53" s="2399">
        <v>1</v>
      </c>
      <c r="AM53" s="2399">
        <v>4</v>
      </c>
      <c r="AN53" s="2409">
        <v>671</v>
      </c>
      <c r="AO53" s="2399" t="b">
        <v>0</v>
      </c>
      <c r="AP53" s="2399" t="b">
        <v>0</v>
      </c>
    </row>
    <row r="54" spans="1:42" x14ac:dyDescent="0.2">
      <c r="A54" s="574">
        <v>53</v>
      </c>
      <c r="B54" s="2398">
        <v>54</v>
      </c>
      <c r="C54" s="2398">
        <v>54</v>
      </c>
      <c r="D54" s="2399">
        <v>1</v>
      </c>
      <c r="E54" s="2399">
        <v>1</v>
      </c>
      <c r="F54" s="2399">
        <v>1</v>
      </c>
      <c r="G54" s="2399">
        <v>1</v>
      </c>
      <c r="H54" s="2399">
        <v>1</v>
      </c>
      <c r="I54" s="2398">
        <v>54</v>
      </c>
      <c r="J54" s="2399">
        <v>1</v>
      </c>
      <c r="K54" s="2399">
        <v>1</v>
      </c>
      <c r="L54" s="2489">
        <v>2</v>
      </c>
      <c r="M54" s="2399">
        <v>1</v>
      </c>
      <c r="N54" s="2399">
        <v>1</v>
      </c>
      <c r="O54" s="2399">
        <v>1</v>
      </c>
      <c r="P54" s="2399">
        <v>1</v>
      </c>
      <c r="Q54" s="2398">
        <v>54</v>
      </c>
      <c r="R54" s="2399">
        <v>1</v>
      </c>
      <c r="S54" s="2399">
        <v>1</v>
      </c>
      <c r="T54" s="2399">
        <v>1</v>
      </c>
      <c r="U54" s="2399">
        <v>1</v>
      </c>
      <c r="V54" s="2398">
        <v>54</v>
      </c>
      <c r="W54" s="2399">
        <v>1</v>
      </c>
      <c r="X54" s="2399">
        <v>1</v>
      </c>
      <c r="Y54" s="2398">
        <v>54</v>
      </c>
      <c r="Z54" s="2399">
        <v>1</v>
      </c>
      <c r="AA54" s="2489">
        <v>1</v>
      </c>
      <c r="AB54" s="2399">
        <v>1</v>
      </c>
      <c r="AC54" s="2399">
        <v>1</v>
      </c>
      <c r="AD54" s="2399">
        <v>5</v>
      </c>
      <c r="AE54" s="2399">
        <v>1</v>
      </c>
      <c r="AF54" s="2399">
        <v>1</v>
      </c>
      <c r="AG54" s="2399">
        <v>1</v>
      </c>
      <c r="AH54" s="2399">
        <v>1</v>
      </c>
      <c r="AI54" s="2399">
        <v>1</v>
      </c>
      <c r="AJ54" s="2399">
        <v>1</v>
      </c>
      <c r="AK54" s="2399">
        <v>1</v>
      </c>
      <c r="AL54" s="2399">
        <v>1</v>
      </c>
      <c r="AM54" s="2399">
        <v>5</v>
      </c>
      <c r="AN54" s="2409">
        <v>0</v>
      </c>
      <c r="AO54" s="2399" t="b">
        <v>0</v>
      </c>
      <c r="AP54" s="2399" t="b">
        <v>0</v>
      </c>
    </row>
    <row r="55" spans="1:42" x14ac:dyDescent="0.2">
      <c r="A55" s="574">
        <v>54</v>
      </c>
      <c r="B55" s="2398">
        <v>55</v>
      </c>
      <c r="C55" s="2398">
        <v>55</v>
      </c>
      <c r="D55" s="2399">
        <v>1</v>
      </c>
      <c r="E55" s="2399">
        <v>1</v>
      </c>
      <c r="F55" s="2398">
        <v>55</v>
      </c>
      <c r="G55" s="2399">
        <v>1</v>
      </c>
      <c r="H55" s="2399">
        <v>1</v>
      </c>
      <c r="I55" s="2398">
        <v>55</v>
      </c>
      <c r="J55" s="2399">
        <v>1</v>
      </c>
      <c r="K55" s="2399">
        <v>1</v>
      </c>
      <c r="L55" s="2489">
        <v>2</v>
      </c>
      <c r="M55" s="2399">
        <v>1</v>
      </c>
      <c r="N55" s="2399">
        <v>1</v>
      </c>
      <c r="O55" s="2399">
        <v>1</v>
      </c>
      <c r="P55" s="2399">
        <v>1</v>
      </c>
      <c r="Q55" s="2399">
        <v>1</v>
      </c>
      <c r="R55" s="2399">
        <v>1</v>
      </c>
      <c r="S55" s="2399">
        <v>1</v>
      </c>
      <c r="T55" s="2399">
        <v>1</v>
      </c>
      <c r="U55" s="2399">
        <v>1</v>
      </c>
      <c r="V55" s="2398">
        <v>55</v>
      </c>
      <c r="W55" s="2398">
        <v>55</v>
      </c>
      <c r="X55" s="2399">
        <v>1</v>
      </c>
      <c r="Y55" s="2399">
        <v>1</v>
      </c>
      <c r="Z55" s="2399">
        <v>1</v>
      </c>
      <c r="AA55" s="2489">
        <v>1</v>
      </c>
      <c r="AB55" s="2399">
        <v>1</v>
      </c>
      <c r="AC55" s="2399">
        <v>1</v>
      </c>
      <c r="AD55" s="2399">
        <v>1</v>
      </c>
      <c r="AE55" s="2399">
        <v>1</v>
      </c>
      <c r="AF55" s="2399">
        <v>1</v>
      </c>
      <c r="AG55" s="2399">
        <v>1</v>
      </c>
      <c r="AH55" s="2399">
        <v>1</v>
      </c>
      <c r="AI55" s="2399">
        <v>1</v>
      </c>
      <c r="AJ55" s="2399">
        <v>1</v>
      </c>
      <c r="AK55" s="2399">
        <v>1</v>
      </c>
      <c r="AL55" s="2399">
        <v>1</v>
      </c>
      <c r="AM55" s="2399">
        <v>5</v>
      </c>
      <c r="AN55" s="2409">
        <v>0</v>
      </c>
      <c r="AO55" s="2399" t="b">
        <v>0</v>
      </c>
      <c r="AP55" s="2399" t="b">
        <v>0</v>
      </c>
    </row>
    <row r="56" spans="1:42" x14ac:dyDescent="0.2">
      <c r="A56" s="574">
        <v>55</v>
      </c>
      <c r="B56" s="2398">
        <v>56</v>
      </c>
      <c r="C56" s="2398">
        <v>56</v>
      </c>
      <c r="D56" s="2398">
        <v>56</v>
      </c>
      <c r="E56" s="2399">
        <v>1</v>
      </c>
      <c r="F56" s="2399">
        <v>1</v>
      </c>
      <c r="G56" s="2399">
        <v>1</v>
      </c>
      <c r="H56" s="2399">
        <v>1</v>
      </c>
      <c r="I56" s="2399">
        <v>1</v>
      </c>
      <c r="J56" s="2399">
        <v>1</v>
      </c>
      <c r="K56" s="2399">
        <v>1</v>
      </c>
      <c r="L56" s="2489">
        <v>2</v>
      </c>
      <c r="M56" s="2399">
        <v>1</v>
      </c>
      <c r="N56" s="2398">
        <v>56</v>
      </c>
      <c r="O56" s="2399">
        <v>1</v>
      </c>
      <c r="P56" s="2399">
        <v>1</v>
      </c>
      <c r="Q56" s="2399">
        <v>1</v>
      </c>
      <c r="R56" s="2399">
        <v>1</v>
      </c>
      <c r="S56" s="2399">
        <v>1</v>
      </c>
      <c r="T56" s="2399">
        <v>1</v>
      </c>
      <c r="U56" s="2399">
        <v>1</v>
      </c>
      <c r="V56" s="2399">
        <v>1</v>
      </c>
      <c r="W56" s="2399">
        <v>1</v>
      </c>
      <c r="X56" s="2399">
        <v>1</v>
      </c>
      <c r="Y56" s="2399">
        <v>1</v>
      </c>
      <c r="Z56" s="2399">
        <v>1</v>
      </c>
      <c r="AA56" s="2489">
        <v>1</v>
      </c>
      <c r="AB56" s="2399">
        <v>1</v>
      </c>
      <c r="AC56" s="2399">
        <v>1</v>
      </c>
      <c r="AD56" s="2399">
        <v>1</v>
      </c>
      <c r="AE56" s="2399">
        <v>1</v>
      </c>
      <c r="AF56" s="2399">
        <v>1</v>
      </c>
      <c r="AG56" s="2399">
        <v>1</v>
      </c>
      <c r="AH56" s="2399">
        <v>1</v>
      </c>
      <c r="AI56" s="2399">
        <v>1</v>
      </c>
      <c r="AJ56" s="2398">
        <v>56</v>
      </c>
      <c r="AK56" s="2399">
        <v>1</v>
      </c>
      <c r="AL56" s="2399">
        <v>1</v>
      </c>
      <c r="AM56" s="2399">
        <v>5</v>
      </c>
      <c r="AN56" s="2409">
        <v>0</v>
      </c>
      <c r="AO56" s="2399" t="b">
        <v>0</v>
      </c>
      <c r="AP56" s="2399" t="b">
        <v>0</v>
      </c>
    </row>
    <row r="57" spans="1:42" x14ac:dyDescent="0.2">
      <c r="A57" s="574">
        <v>56</v>
      </c>
      <c r="B57" s="2398">
        <v>57</v>
      </c>
      <c r="C57" s="2398">
        <v>57</v>
      </c>
      <c r="D57" s="2399">
        <v>1</v>
      </c>
      <c r="E57" s="2399">
        <v>1</v>
      </c>
      <c r="F57" s="2399">
        <v>1</v>
      </c>
      <c r="G57" s="2399">
        <v>1</v>
      </c>
      <c r="H57" s="2399">
        <v>1</v>
      </c>
      <c r="I57" s="2399">
        <v>1</v>
      </c>
      <c r="J57" s="2399">
        <v>1</v>
      </c>
      <c r="K57" s="2399">
        <v>1</v>
      </c>
      <c r="L57" s="2489">
        <v>2</v>
      </c>
      <c r="M57" s="2399">
        <v>1</v>
      </c>
      <c r="N57" s="2398">
        <v>57</v>
      </c>
      <c r="O57" s="2399">
        <v>1</v>
      </c>
      <c r="P57" s="2399">
        <v>1</v>
      </c>
      <c r="Q57" s="2399">
        <v>1</v>
      </c>
      <c r="R57" s="2399">
        <v>1</v>
      </c>
      <c r="S57" s="2399">
        <v>1</v>
      </c>
      <c r="T57" s="2399">
        <v>1</v>
      </c>
      <c r="U57" s="2399">
        <v>1</v>
      </c>
      <c r="V57" s="2398">
        <v>57</v>
      </c>
      <c r="W57" s="2399">
        <v>1</v>
      </c>
      <c r="X57" s="2399">
        <v>1</v>
      </c>
      <c r="Y57" s="2399">
        <v>1</v>
      </c>
      <c r="Z57" s="2399">
        <v>1</v>
      </c>
      <c r="AA57" s="2489">
        <v>1</v>
      </c>
      <c r="AB57" s="2399">
        <v>1</v>
      </c>
      <c r="AC57" s="2399">
        <v>1</v>
      </c>
      <c r="AD57" s="2399">
        <v>1</v>
      </c>
      <c r="AE57" s="2399">
        <v>1</v>
      </c>
      <c r="AF57" s="2399">
        <v>1</v>
      </c>
      <c r="AG57" s="2399">
        <v>1</v>
      </c>
      <c r="AH57" s="2399">
        <v>1</v>
      </c>
      <c r="AI57" s="2399">
        <v>1</v>
      </c>
      <c r="AJ57" s="2399">
        <v>1</v>
      </c>
      <c r="AK57" s="2399">
        <v>1</v>
      </c>
      <c r="AL57" s="2399">
        <v>1</v>
      </c>
      <c r="AM57" s="2399">
        <v>2</v>
      </c>
      <c r="AN57" s="2409">
        <v>0</v>
      </c>
      <c r="AO57" s="2399" t="b">
        <v>1</v>
      </c>
      <c r="AP57" s="2399" t="b">
        <v>0</v>
      </c>
    </row>
    <row r="58" spans="1:42" x14ac:dyDescent="0.2">
      <c r="A58" s="574">
        <v>57</v>
      </c>
      <c r="B58" s="2398">
        <v>58</v>
      </c>
      <c r="C58" s="2398">
        <v>58</v>
      </c>
      <c r="D58" s="2399">
        <v>1</v>
      </c>
      <c r="E58" s="2399">
        <v>1</v>
      </c>
      <c r="F58" s="2399">
        <v>1</v>
      </c>
      <c r="G58" s="2399">
        <v>1</v>
      </c>
      <c r="H58" s="2399">
        <v>1</v>
      </c>
      <c r="I58" s="2399">
        <v>1</v>
      </c>
      <c r="J58" s="2399">
        <v>1</v>
      </c>
      <c r="K58" s="2399">
        <v>1</v>
      </c>
      <c r="L58" s="2489">
        <v>2</v>
      </c>
      <c r="M58" s="2399">
        <v>1</v>
      </c>
      <c r="N58" s="2399">
        <v>1</v>
      </c>
      <c r="O58" s="2399">
        <v>1</v>
      </c>
      <c r="P58" s="2399">
        <v>1</v>
      </c>
      <c r="Q58" s="2399">
        <v>1</v>
      </c>
      <c r="R58" s="2399">
        <v>1</v>
      </c>
      <c r="S58" s="2398">
        <v>58</v>
      </c>
      <c r="T58" s="2399">
        <v>1</v>
      </c>
      <c r="U58" s="2399">
        <v>1</v>
      </c>
      <c r="V58" s="2398">
        <v>58</v>
      </c>
      <c r="W58" s="2399">
        <v>1</v>
      </c>
      <c r="X58" s="2399">
        <v>1</v>
      </c>
      <c r="Y58" s="2399">
        <v>1</v>
      </c>
      <c r="Z58" s="2399">
        <v>1</v>
      </c>
      <c r="AA58" s="2489">
        <v>1</v>
      </c>
      <c r="AB58" s="2399">
        <v>1</v>
      </c>
      <c r="AC58" s="2399">
        <v>1</v>
      </c>
      <c r="AD58" s="2399">
        <v>5</v>
      </c>
      <c r="AE58" s="2399">
        <v>1</v>
      </c>
      <c r="AF58" s="2399">
        <v>1</v>
      </c>
      <c r="AG58" s="2399">
        <v>1</v>
      </c>
      <c r="AH58" s="2399">
        <v>1</v>
      </c>
      <c r="AI58" s="2399">
        <v>1</v>
      </c>
      <c r="AJ58" s="2399">
        <v>1</v>
      </c>
      <c r="AK58" s="2399">
        <v>1</v>
      </c>
      <c r="AL58" s="2399">
        <v>1</v>
      </c>
      <c r="AM58" s="2399">
        <v>2</v>
      </c>
      <c r="AN58" s="2409">
        <v>0</v>
      </c>
      <c r="AO58" s="2399" t="b">
        <v>0</v>
      </c>
      <c r="AP58" s="2399" t="b">
        <v>0</v>
      </c>
    </row>
    <row r="59" spans="1:42" x14ac:dyDescent="0.2">
      <c r="A59" s="574">
        <v>58</v>
      </c>
      <c r="B59" s="2398">
        <v>59</v>
      </c>
      <c r="C59" s="2399">
        <v>1</v>
      </c>
      <c r="D59" s="2398">
        <v>59</v>
      </c>
      <c r="E59" s="2398">
        <v>59</v>
      </c>
      <c r="F59" s="2398">
        <v>59</v>
      </c>
      <c r="G59" s="2398">
        <v>59</v>
      </c>
      <c r="H59" s="2398">
        <v>59</v>
      </c>
      <c r="I59" s="2398">
        <v>59</v>
      </c>
      <c r="J59" s="2398">
        <v>59</v>
      </c>
      <c r="K59" s="2398">
        <v>59</v>
      </c>
      <c r="L59" s="2489">
        <v>2</v>
      </c>
      <c r="M59" s="2399">
        <v>1</v>
      </c>
      <c r="N59" s="2399">
        <v>1</v>
      </c>
      <c r="O59" s="2399">
        <v>1</v>
      </c>
      <c r="P59" s="2399">
        <v>1</v>
      </c>
      <c r="Q59" s="2399">
        <v>1</v>
      </c>
      <c r="R59" s="2399">
        <v>1</v>
      </c>
      <c r="S59" s="2399">
        <v>1</v>
      </c>
      <c r="T59" s="2399">
        <v>1</v>
      </c>
      <c r="U59" s="2399">
        <v>1</v>
      </c>
      <c r="V59" s="2399">
        <v>1</v>
      </c>
      <c r="W59" s="2399">
        <v>1</v>
      </c>
      <c r="X59" s="2399">
        <v>1</v>
      </c>
      <c r="Y59" s="2399">
        <v>1</v>
      </c>
      <c r="Z59" s="2398">
        <v>59</v>
      </c>
      <c r="AA59" s="2489">
        <v>1</v>
      </c>
      <c r="AB59" s="2399">
        <v>1</v>
      </c>
      <c r="AC59" s="2399">
        <v>1</v>
      </c>
      <c r="AD59" s="2399">
        <v>5</v>
      </c>
      <c r="AE59" s="2399">
        <v>1</v>
      </c>
      <c r="AF59" s="2399">
        <v>1</v>
      </c>
      <c r="AG59" s="2400">
        <v>59</v>
      </c>
      <c r="AH59" s="2400">
        <v>59</v>
      </c>
      <c r="AI59" s="2399">
        <v>1</v>
      </c>
      <c r="AJ59" s="2399">
        <v>1</v>
      </c>
      <c r="AK59" s="2399">
        <v>1</v>
      </c>
      <c r="AL59" s="2399">
        <v>1</v>
      </c>
      <c r="AM59" s="2399">
        <v>5</v>
      </c>
      <c r="AN59" s="2409">
        <v>0</v>
      </c>
      <c r="AO59" s="2399" t="b">
        <v>0</v>
      </c>
      <c r="AP59" s="2399" t="b">
        <v>0</v>
      </c>
    </row>
    <row r="60" spans="1:42" x14ac:dyDescent="0.2">
      <c r="A60" s="574">
        <v>59</v>
      </c>
      <c r="B60" s="2398">
        <v>60</v>
      </c>
      <c r="C60" s="2398">
        <v>60</v>
      </c>
      <c r="D60" s="2399">
        <v>1</v>
      </c>
      <c r="E60" s="2399">
        <v>1</v>
      </c>
      <c r="F60" s="2399">
        <v>1</v>
      </c>
      <c r="G60" s="2399">
        <v>1</v>
      </c>
      <c r="H60" s="2399">
        <v>1</v>
      </c>
      <c r="I60" s="2399">
        <v>1</v>
      </c>
      <c r="J60" s="2399">
        <v>1</v>
      </c>
      <c r="K60" s="2399">
        <v>1</v>
      </c>
      <c r="L60" s="2489">
        <v>2</v>
      </c>
      <c r="M60" s="2399">
        <v>1</v>
      </c>
      <c r="N60" s="2399">
        <v>1</v>
      </c>
      <c r="O60" s="2399">
        <v>1</v>
      </c>
      <c r="P60" s="2399">
        <v>1</v>
      </c>
      <c r="Q60" s="2399">
        <v>1</v>
      </c>
      <c r="R60" s="2399">
        <v>1</v>
      </c>
      <c r="S60" s="2398">
        <v>60</v>
      </c>
      <c r="T60" s="2399">
        <v>1</v>
      </c>
      <c r="U60" s="2399">
        <v>1</v>
      </c>
      <c r="V60" s="2399">
        <v>1</v>
      </c>
      <c r="W60" s="2399">
        <v>1</v>
      </c>
      <c r="X60" s="2399">
        <v>1</v>
      </c>
      <c r="Y60" s="2399">
        <v>1</v>
      </c>
      <c r="Z60" s="2399">
        <v>1</v>
      </c>
      <c r="AA60" s="2489">
        <v>1</v>
      </c>
      <c r="AB60" s="2399">
        <v>1</v>
      </c>
      <c r="AC60" s="2399">
        <v>1</v>
      </c>
      <c r="AD60" s="2399">
        <v>1</v>
      </c>
      <c r="AE60" s="2399">
        <v>1</v>
      </c>
      <c r="AF60" s="2398">
        <v>60</v>
      </c>
      <c r="AG60" s="2399">
        <v>1</v>
      </c>
      <c r="AH60" s="2399">
        <v>1</v>
      </c>
      <c r="AI60" s="2399">
        <v>1</v>
      </c>
      <c r="AJ60" s="2399">
        <v>1</v>
      </c>
      <c r="AK60" s="2398">
        <v>60</v>
      </c>
      <c r="AL60" s="2399">
        <v>1</v>
      </c>
      <c r="AM60" s="2399">
        <v>3</v>
      </c>
      <c r="AN60" s="2409">
        <v>0</v>
      </c>
      <c r="AO60" s="2399" t="b">
        <v>1</v>
      </c>
      <c r="AP60" s="2399" t="b">
        <v>0</v>
      </c>
    </row>
    <row r="61" spans="1:42" x14ac:dyDescent="0.2">
      <c r="A61" s="574">
        <v>60</v>
      </c>
      <c r="B61" s="2398">
        <v>61</v>
      </c>
      <c r="C61" s="2398">
        <v>61</v>
      </c>
      <c r="D61" s="2398">
        <v>61</v>
      </c>
      <c r="E61" s="2398">
        <v>61</v>
      </c>
      <c r="F61" s="2398">
        <v>61</v>
      </c>
      <c r="G61" s="2398">
        <v>61</v>
      </c>
      <c r="H61" s="2398">
        <v>61</v>
      </c>
      <c r="I61" s="2398">
        <v>61</v>
      </c>
      <c r="J61" s="2398">
        <v>61</v>
      </c>
      <c r="K61" s="2398">
        <v>61</v>
      </c>
      <c r="L61" s="2489">
        <v>2</v>
      </c>
      <c r="M61" s="2399">
        <v>1</v>
      </c>
      <c r="N61" s="2398">
        <v>61</v>
      </c>
      <c r="O61" s="2399">
        <v>1</v>
      </c>
      <c r="P61" s="2399">
        <v>1</v>
      </c>
      <c r="Q61" s="2399">
        <v>1</v>
      </c>
      <c r="R61" s="2399">
        <v>1</v>
      </c>
      <c r="S61" s="2399">
        <v>1</v>
      </c>
      <c r="T61" s="2399">
        <v>1</v>
      </c>
      <c r="U61" s="2399">
        <v>1</v>
      </c>
      <c r="V61" s="2399">
        <v>1</v>
      </c>
      <c r="W61" s="2399">
        <v>1</v>
      </c>
      <c r="X61" s="2399">
        <v>1</v>
      </c>
      <c r="Y61" s="2399">
        <v>1</v>
      </c>
      <c r="Z61" s="2399">
        <v>1</v>
      </c>
      <c r="AA61" s="2489">
        <v>1</v>
      </c>
      <c r="AB61" s="2399">
        <v>1</v>
      </c>
      <c r="AC61" s="2399">
        <v>1</v>
      </c>
      <c r="AD61" s="2399">
        <v>1</v>
      </c>
      <c r="AE61" s="2399">
        <v>1</v>
      </c>
      <c r="AF61" s="2399">
        <v>1</v>
      </c>
      <c r="AG61" s="2399">
        <v>1</v>
      </c>
      <c r="AH61" s="2399">
        <v>1</v>
      </c>
      <c r="AI61" s="2399">
        <v>3</v>
      </c>
      <c r="AJ61" s="2399">
        <v>1</v>
      </c>
      <c r="AK61" s="2399">
        <v>1</v>
      </c>
      <c r="AL61" s="2399">
        <v>1</v>
      </c>
      <c r="AM61" s="2399">
        <v>5</v>
      </c>
      <c r="AN61" s="2409">
        <v>0</v>
      </c>
      <c r="AO61" s="2399" t="b">
        <v>0</v>
      </c>
      <c r="AP61" s="2399" t="b">
        <v>0</v>
      </c>
    </row>
    <row r="62" spans="1:42" x14ac:dyDescent="0.2">
      <c r="A62" s="574">
        <v>61</v>
      </c>
      <c r="B62" s="2398">
        <v>62</v>
      </c>
      <c r="C62" s="2398">
        <v>62</v>
      </c>
      <c r="D62" s="2398">
        <v>62</v>
      </c>
      <c r="E62" s="2398">
        <v>62</v>
      </c>
      <c r="F62" s="2398">
        <v>62</v>
      </c>
      <c r="G62" s="2398">
        <v>62</v>
      </c>
      <c r="H62" s="2398">
        <v>62</v>
      </c>
      <c r="I62" s="2398">
        <v>62</v>
      </c>
      <c r="J62" s="2398">
        <v>62</v>
      </c>
      <c r="K62" s="2398">
        <v>62</v>
      </c>
      <c r="L62" s="2489">
        <v>2</v>
      </c>
      <c r="M62" s="2399">
        <v>1</v>
      </c>
      <c r="N62" s="2398">
        <v>62</v>
      </c>
      <c r="O62" s="2399">
        <v>1</v>
      </c>
      <c r="P62" s="2399">
        <v>1</v>
      </c>
      <c r="Q62" s="2399">
        <v>1</v>
      </c>
      <c r="R62" s="2399">
        <v>1</v>
      </c>
      <c r="S62" s="2399">
        <v>1</v>
      </c>
      <c r="T62" s="2399">
        <v>1</v>
      </c>
      <c r="U62" s="2399">
        <v>1</v>
      </c>
      <c r="V62" s="2398">
        <v>62</v>
      </c>
      <c r="W62" s="2399">
        <v>1</v>
      </c>
      <c r="X62" s="2399">
        <v>1</v>
      </c>
      <c r="Y62" s="2399">
        <v>1</v>
      </c>
      <c r="Z62" s="2399">
        <v>1</v>
      </c>
      <c r="AA62" s="2489">
        <v>1</v>
      </c>
      <c r="AB62" s="2399">
        <v>1</v>
      </c>
      <c r="AC62" s="2399">
        <v>1</v>
      </c>
      <c r="AD62" s="2399">
        <v>1</v>
      </c>
      <c r="AE62" s="2399">
        <v>1</v>
      </c>
      <c r="AF62" s="2399">
        <v>1</v>
      </c>
      <c r="AG62" s="2399">
        <v>1</v>
      </c>
      <c r="AH62" s="2399">
        <v>1</v>
      </c>
      <c r="AI62" s="2399">
        <v>1</v>
      </c>
      <c r="AJ62" s="2399">
        <v>1</v>
      </c>
      <c r="AK62" s="2399">
        <v>1</v>
      </c>
      <c r="AL62" s="2399">
        <v>1</v>
      </c>
      <c r="AM62" s="2399">
        <v>2</v>
      </c>
      <c r="AN62" s="2409">
        <v>0</v>
      </c>
      <c r="AO62" s="2399" t="b">
        <v>1</v>
      </c>
      <c r="AP62" s="2399" t="b">
        <v>0</v>
      </c>
    </row>
    <row r="63" spans="1:42" x14ac:dyDescent="0.2">
      <c r="A63" s="574">
        <v>62</v>
      </c>
      <c r="B63" s="2398">
        <v>63</v>
      </c>
      <c r="C63" s="2398">
        <v>63</v>
      </c>
      <c r="D63" s="2398">
        <v>63</v>
      </c>
      <c r="E63" s="2398">
        <v>63</v>
      </c>
      <c r="F63" s="2398">
        <v>63</v>
      </c>
      <c r="G63" s="2398">
        <v>63</v>
      </c>
      <c r="H63" s="2398">
        <v>63</v>
      </c>
      <c r="I63" s="2398">
        <v>63</v>
      </c>
      <c r="J63" s="2398">
        <v>63</v>
      </c>
      <c r="K63" s="2398">
        <v>63</v>
      </c>
      <c r="L63" s="2489">
        <v>2</v>
      </c>
      <c r="M63" s="2399">
        <v>1</v>
      </c>
      <c r="N63" s="2399">
        <v>1</v>
      </c>
      <c r="O63" s="2399">
        <v>1</v>
      </c>
      <c r="P63" s="2399">
        <v>1</v>
      </c>
      <c r="Q63" s="2399">
        <v>1</v>
      </c>
      <c r="R63" s="2399">
        <v>1</v>
      </c>
      <c r="S63" s="2399">
        <v>1</v>
      </c>
      <c r="T63" s="2398">
        <v>63</v>
      </c>
      <c r="U63" s="2399">
        <v>1</v>
      </c>
      <c r="V63" s="2399">
        <v>1</v>
      </c>
      <c r="W63" s="2399">
        <v>1</v>
      </c>
      <c r="X63" s="2399">
        <v>1</v>
      </c>
      <c r="Y63" s="2399">
        <v>1</v>
      </c>
      <c r="Z63" s="2399">
        <v>1</v>
      </c>
      <c r="AA63" s="2489">
        <v>1</v>
      </c>
      <c r="AB63" s="2399">
        <v>1</v>
      </c>
      <c r="AC63" s="2399">
        <v>1</v>
      </c>
      <c r="AD63" s="2399">
        <v>1</v>
      </c>
      <c r="AE63" s="2399">
        <v>1</v>
      </c>
      <c r="AF63" s="2399">
        <v>1</v>
      </c>
      <c r="AG63" s="2399">
        <v>1</v>
      </c>
      <c r="AH63" s="2399">
        <v>1</v>
      </c>
      <c r="AI63" s="2399">
        <v>1</v>
      </c>
      <c r="AJ63" s="2399">
        <v>1</v>
      </c>
      <c r="AK63" s="2399">
        <v>1</v>
      </c>
      <c r="AL63" s="2399">
        <v>1</v>
      </c>
      <c r="AM63" s="2399">
        <v>3</v>
      </c>
      <c r="AN63" s="2409">
        <v>0</v>
      </c>
      <c r="AO63" s="2399" t="b">
        <v>1</v>
      </c>
      <c r="AP63" s="2399" t="b">
        <v>0</v>
      </c>
    </row>
    <row r="64" spans="1:42" x14ac:dyDescent="0.2">
      <c r="A64" s="574">
        <v>63</v>
      </c>
      <c r="B64" s="2398">
        <v>64</v>
      </c>
      <c r="C64" s="2398">
        <v>64</v>
      </c>
      <c r="D64" s="2398">
        <v>64</v>
      </c>
      <c r="E64" s="2398">
        <v>64</v>
      </c>
      <c r="F64" s="2398">
        <v>64</v>
      </c>
      <c r="G64" s="2398">
        <v>64</v>
      </c>
      <c r="H64" s="2398">
        <v>64</v>
      </c>
      <c r="I64" s="2398">
        <v>64</v>
      </c>
      <c r="J64" s="2398">
        <v>64</v>
      </c>
      <c r="K64" s="2398">
        <v>64</v>
      </c>
      <c r="L64" s="2489">
        <v>2</v>
      </c>
      <c r="M64" s="2399">
        <v>1</v>
      </c>
      <c r="N64" s="2398">
        <v>64</v>
      </c>
      <c r="O64" s="2399">
        <v>1</v>
      </c>
      <c r="P64" s="2399">
        <v>1</v>
      </c>
      <c r="Q64" s="2399">
        <v>1</v>
      </c>
      <c r="R64" s="2399">
        <v>1</v>
      </c>
      <c r="S64" s="2398">
        <v>64</v>
      </c>
      <c r="T64" s="2399">
        <v>1</v>
      </c>
      <c r="U64" s="2399">
        <v>1</v>
      </c>
      <c r="V64" s="2398">
        <v>64</v>
      </c>
      <c r="W64" s="2399">
        <v>1</v>
      </c>
      <c r="X64" s="2399">
        <v>1</v>
      </c>
      <c r="Y64" s="2399">
        <v>1</v>
      </c>
      <c r="Z64" s="2399">
        <v>1</v>
      </c>
      <c r="AA64" s="2489">
        <v>1</v>
      </c>
      <c r="AB64" s="2399">
        <v>1</v>
      </c>
      <c r="AC64" s="2399">
        <v>1</v>
      </c>
      <c r="AD64" s="2399">
        <v>1</v>
      </c>
      <c r="AE64" s="2399">
        <v>1</v>
      </c>
      <c r="AF64" s="2399">
        <v>1</v>
      </c>
      <c r="AG64" s="2399">
        <v>1</v>
      </c>
      <c r="AH64" s="2399">
        <v>1</v>
      </c>
      <c r="AI64" s="2399">
        <v>1</v>
      </c>
      <c r="AJ64" s="2399">
        <v>1</v>
      </c>
      <c r="AK64" s="2399">
        <v>1</v>
      </c>
      <c r="AL64" s="2399">
        <v>1</v>
      </c>
      <c r="AM64" s="2399">
        <v>3</v>
      </c>
      <c r="AN64" s="2409">
        <v>617</v>
      </c>
      <c r="AO64" s="2399" t="b">
        <v>0</v>
      </c>
      <c r="AP64" s="2399" t="b">
        <v>0</v>
      </c>
    </row>
    <row r="65" spans="1:42" x14ac:dyDescent="0.2">
      <c r="A65" s="574">
        <v>64</v>
      </c>
      <c r="B65" s="2398">
        <v>65</v>
      </c>
      <c r="C65" s="2399">
        <v>1</v>
      </c>
      <c r="D65" s="2398">
        <v>65</v>
      </c>
      <c r="E65" s="2398">
        <v>65</v>
      </c>
      <c r="F65" s="2398">
        <v>65</v>
      </c>
      <c r="G65" s="2398">
        <v>65</v>
      </c>
      <c r="H65" s="2398">
        <v>65</v>
      </c>
      <c r="I65" s="2398">
        <v>65</v>
      </c>
      <c r="J65" s="2398">
        <v>65</v>
      </c>
      <c r="K65" s="2398">
        <v>65</v>
      </c>
      <c r="L65" s="2489">
        <v>2</v>
      </c>
      <c r="M65" s="2399">
        <v>1</v>
      </c>
      <c r="N65" s="2399">
        <v>1</v>
      </c>
      <c r="O65" s="2399">
        <v>1</v>
      </c>
      <c r="P65" s="2399">
        <v>1</v>
      </c>
      <c r="Q65" s="2399">
        <v>1</v>
      </c>
      <c r="R65" s="2399">
        <v>1</v>
      </c>
      <c r="S65" s="2399">
        <v>1</v>
      </c>
      <c r="T65" s="2399">
        <v>1</v>
      </c>
      <c r="U65" s="2399">
        <v>1</v>
      </c>
      <c r="V65" s="2399">
        <v>1</v>
      </c>
      <c r="W65" s="2399">
        <v>1</v>
      </c>
      <c r="X65" s="2399">
        <v>1</v>
      </c>
      <c r="Y65" s="2399">
        <v>1</v>
      </c>
      <c r="Z65" s="2398">
        <v>65</v>
      </c>
      <c r="AA65" s="2489">
        <v>1</v>
      </c>
      <c r="AB65" s="2399">
        <v>1</v>
      </c>
      <c r="AC65" s="2399">
        <v>1</v>
      </c>
      <c r="AD65" s="2399">
        <v>11</v>
      </c>
      <c r="AE65" s="2399">
        <v>1</v>
      </c>
      <c r="AF65" s="2399">
        <v>1</v>
      </c>
      <c r="AG65" s="2399">
        <v>1</v>
      </c>
      <c r="AH65" s="2399">
        <v>1</v>
      </c>
      <c r="AI65" s="2399">
        <v>1</v>
      </c>
      <c r="AJ65" s="2399">
        <v>4</v>
      </c>
      <c r="AK65" s="2399">
        <v>1</v>
      </c>
      <c r="AL65" s="2399">
        <v>1</v>
      </c>
      <c r="AM65" s="2399">
        <v>3</v>
      </c>
      <c r="AN65" s="2409">
        <v>0</v>
      </c>
      <c r="AO65" s="2399" t="b">
        <v>1</v>
      </c>
      <c r="AP65" s="2399" t="b">
        <v>0</v>
      </c>
    </row>
    <row r="66" spans="1:42" x14ac:dyDescent="0.2">
      <c r="A66" s="574">
        <v>65</v>
      </c>
      <c r="B66" s="2398">
        <v>66</v>
      </c>
      <c r="C66" s="2398">
        <v>66</v>
      </c>
      <c r="D66" s="2398">
        <v>66</v>
      </c>
      <c r="E66" s="2398">
        <v>66</v>
      </c>
      <c r="F66" s="2398">
        <v>66</v>
      </c>
      <c r="G66" s="2398">
        <v>66</v>
      </c>
      <c r="H66" s="2398">
        <v>66</v>
      </c>
      <c r="I66" s="2398">
        <v>66</v>
      </c>
      <c r="J66" s="2398">
        <v>66</v>
      </c>
      <c r="K66" s="2398">
        <v>66</v>
      </c>
      <c r="L66" s="2489">
        <v>2</v>
      </c>
      <c r="M66" s="2399">
        <v>1</v>
      </c>
      <c r="N66" s="2399">
        <v>1</v>
      </c>
      <c r="O66" s="2399">
        <v>1</v>
      </c>
      <c r="P66" s="2399">
        <v>1</v>
      </c>
      <c r="Q66" s="2399">
        <v>1</v>
      </c>
      <c r="R66" s="2399">
        <v>1</v>
      </c>
      <c r="S66" s="2399">
        <v>1</v>
      </c>
      <c r="T66" s="2399">
        <v>1</v>
      </c>
      <c r="U66" s="2399">
        <v>1</v>
      </c>
      <c r="V66" s="2399">
        <v>1</v>
      </c>
      <c r="W66" s="2399">
        <v>1</v>
      </c>
      <c r="X66" s="2399">
        <v>1</v>
      </c>
      <c r="Y66" s="2399">
        <v>1</v>
      </c>
      <c r="Z66" s="2399">
        <v>1</v>
      </c>
      <c r="AA66" s="2489">
        <v>1</v>
      </c>
      <c r="AB66" s="2399">
        <v>1</v>
      </c>
      <c r="AC66" s="2399">
        <v>1</v>
      </c>
      <c r="AD66" s="2399">
        <v>1</v>
      </c>
      <c r="AE66" s="2399">
        <v>1</v>
      </c>
      <c r="AF66" s="2399">
        <v>1</v>
      </c>
      <c r="AG66" s="2399">
        <v>1</v>
      </c>
      <c r="AH66" s="2399">
        <v>1</v>
      </c>
      <c r="AI66" s="2399">
        <v>1</v>
      </c>
      <c r="AJ66" s="2399">
        <v>1</v>
      </c>
      <c r="AK66" s="2399">
        <v>1</v>
      </c>
      <c r="AL66" s="2399">
        <v>1</v>
      </c>
      <c r="AM66" s="2399">
        <v>1</v>
      </c>
      <c r="AN66" s="2409">
        <v>0</v>
      </c>
      <c r="AO66" s="2399" t="b">
        <v>1</v>
      </c>
      <c r="AP66" s="2399" t="b">
        <v>0</v>
      </c>
    </row>
    <row r="67" spans="1:42" x14ac:dyDescent="0.2">
      <c r="A67" s="574">
        <v>66</v>
      </c>
      <c r="B67" s="2398">
        <v>67</v>
      </c>
      <c r="C67" s="2398">
        <v>67</v>
      </c>
      <c r="D67" s="2398">
        <v>67</v>
      </c>
      <c r="E67" s="2398">
        <v>67</v>
      </c>
      <c r="F67" s="2398">
        <v>67</v>
      </c>
      <c r="G67" s="2398">
        <v>67</v>
      </c>
      <c r="H67" s="2398">
        <v>67</v>
      </c>
      <c r="I67" s="2398">
        <v>67</v>
      </c>
      <c r="J67" s="2398">
        <v>67</v>
      </c>
      <c r="K67" s="2398">
        <v>67</v>
      </c>
      <c r="L67" s="2489">
        <v>2</v>
      </c>
      <c r="M67" s="2399">
        <v>1</v>
      </c>
      <c r="N67" s="2399">
        <v>1</v>
      </c>
      <c r="O67" s="2399">
        <v>1</v>
      </c>
      <c r="P67" s="2399">
        <v>1</v>
      </c>
      <c r="Q67" s="2399">
        <v>1</v>
      </c>
      <c r="R67" s="2399">
        <v>1</v>
      </c>
      <c r="S67" s="2399">
        <v>1</v>
      </c>
      <c r="T67" s="2399">
        <v>1</v>
      </c>
      <c r="U67" s="2399">
        <v>1</v>
      </c>
      <c r="V67" s="2399">
        <v>1</v>
      </c>
      <c r="W67" s="2399">
        <v>1</v>
      </c>
      <c r="X67" s="2399">
        <v>1</v>
      </c>
      <c r="Y67" s="2399">
        <v>1</v>
      </c>
      <c r="Z67" s="2399">
        <v>1</v>
      </c>
      <c r="AA67" s="2489">
        <v>1</v>
      </c>
      <c r="AB67" s="2399">
        <v>1</v>
      </c>
      <c r="AC67" s="2399">
        <v>1</v>
      </c>
      <c r="AD67" s="2399">
        <v>1</v>
      </c>
      <c r="AE67" s="2399">
        <v>1</v>
      </c>
      <c r="AF67" s="2399">
        <v>1</v>
      </c>
      <c r="AG67" s="2399">
        <v>1</v>
      </c>
      <c r="AH67" s="2399">
        <v>1</v>
      </c>
      <c r="AI67" s="2399">
        <v>1</v>
      </c>
      <c r="AJ67" s="2399">
        <v>1</v>
      </c>
      <c r="AK67" s="2399">
        <v>1</v>
      </c>
      <c r="AL67" s="2399">
        <v>1</v>
      </c>
      <c r="AM67" s="2399">
        <v>4</v>
      </c>
      <c r="AN67" s="2409">
        <v>0</v>
      </c>
      <c r="AO67" s="2399" t="b">
        <v>1</v>
      </c>
      <c r="AP67" s="2399" t="b">
        <v>0</v>
      </c>
    </row>
    <row r="68" spans="1:42" x14ac:dyDescent="0.2">
      <c r="A68" s="574">
        <v>67</v>
      </c>
      <c r="B68" s="2398">
        <v>68</v>
      </c>
      <c r="C68" s="2398">
        <v>68</v>
      </c>
      <c r="D68" s="2398">
        <v>68</v>
      </c>
      <c r="E68" s="2398">
        <v>68</v>
      </c>
      <c r="F68" s="2398">
        <v>68</v>
      </c>
      <c r="G68" s="2398">
        <v>68</v>
      </c>
      <c r="H68" s="2398">
        <v>68</v>
      </c>
      <c r="I68" s="2398">
        <v>68</v>
      </c>
      <c r="J68" s="2398">
        <v>68</v>
      </c>
      <c r="K68" s="2398">
        <v>68</v>
      </c>
      <c r="L68" s="2489">
        <v>2</v>
      </c>
      <c r="M68" s="2399">
        <v>1</v>
      </c>
      <c r="N68" s="2399">
        <v>1</v>
      </c>
      <c r="O68" s="2398">
        <v>68</v>
      </c>
      <c r="P68" s="2399">
        <v>1</v>
      </c>
      <c r="Q68" s="2399">
        <v>1</v>
      </c>
      <c r="R68" s="2399">
        <v>1</v>
      </c>
      <c r="S68" s="2399">
        <v>1</v>
      </c>
      <c r="T68" s="2399">
        <v>1</v>
      </c>
      <c r="U68" s="2399">
        <v>1</v>
      </c>
      <c r="V68" s="2398">
        <v>68</v>
      </c>
      <c r="W68" s="2399">
        <v>1</v>
      </c>
      <c r="X68" s="2399">
        <v>1</v>
      </c>
      <c r="Y68" s="2399">
        <v>1</v>
      </c>
      <c r="Z68" s="2399">
        <v>1</v>
      </c>
      <c r="AA68" s="2489">
        <v>1</v>
      </c>
      <c r="AB68" s="2399">
        <v>1</v>
      </c>
      <c r="AC68" s="2399">
        <v>1</v>
      </c>
      <c r="AD68" s="2399">
        <v>1</v>
      </c>
      <c r="AE68" s="2399">
        <v>1</v>
      </c>
      <c r="AF68" s="2399">
        <v>1</v>
      </c>
      <c r="AG68" s="2399">
        <v>1</v>
      </c>
      <c r="AH68" s="2399">
        <v>1</v>
      </c>
      <c r="AI68" s="2399">
        <v>1</v>
      </c>
      <c r="AJ68" s="2399">
        <v>1</v>
      </c>
      <c r="AK68" s="2399">
        <v>1</v>
      </c>
      <c r="AL68" s="2399">
        <v>1</v>
      </c>
      <c r="AM68" s="2399">
        <v>1</v>
      </c>
      <c r="AN68" s="2409">
        <v>0</v>
      </c>
      <c r="AO68" s="2399" t="b">
        <v>1</v>
      </c>
      <c r="AP68" s="2399" t="b">
        <v>0</v>
      </c>
    </row>
    <row r="69" spans="1:42" x14ac:dyDescent="0.2">
      <c r="A69" s="574">
        <v>68</v>
      </c>
      <c r="B69" s="2398">
        <v>69</v>
      </c>
      <c r="C69" s="2398">
        <v>69</v>
      </c>
      <c r="D69" s="2398">
        <v>69</v>
      </c>
      <c r="E69" s="2398">
        <v>69</v>
      </c>
      <c r="F69" s="2398">
        <v>69</v>
      </c>
      <c r="G69" s="2398">
        <v>69</v>
      </c>
      <c r="H69" s="2398">
        <v>69</v>
      </c>
      <c r="I69" s="2398">
        <v>69</v>
      </c>
      <c r="J69" s="2398">
        <v>69</v>
      </c>
      <c r="K69" s="2398">
        <v>69</v>
      </c>
      <c r="L69" s="2489">
        <v>2</v>
      </c>
      <c r="M69" s="2399">
        <v>1</v>
      </c>
      <c r="N69" s="2399">
        <v>1</v>
      </c>
      <c r="O69" s="2399">
        <v>1</v>
      </c>
      <c r="P69" s="2399">
        <v>1</v>
      </c>
      <c r="Q69" s="2399">
        <v>1</v>
      </c>
      <c r="R69" s="2399">
        <v>1</v>
      </c>
      <c r="S69" s="2399">
        <v>1</v>
      </c>
      <c r="T69" s="2399">
        <v>1</v>
      </c>
      <c r="U69" s="2399">
        <v>1</v>
      </c>
      <c r="V69" s="2399">
        <v>1</v>
      </c>
      <c r="W69" s="2399">
        <v>1</v>
      </c>
      <c r="X69" s="2399">
        <v>1</v>
      </c>
      <c r="Y69" s="2399">
        <v>1</v>
      </c>
      <c r="Z69" s="2399">
        <v>1</v>
      </c>
      <c r="AA69" s="2489">
        <v>1</v>
      </c>
      <c r="AB69" s="2399">
        <v>1</v>
      </c>
      <c r="AC69" s="2399">
        <v>1</v>
      </c>
      <c r="AD69" s="2399">
        <v>1</v>
      </c>
      <c r="AE69" s="2399">
        <v>1</v>
      </c>
      <c r="AF69" s="2398">
        <v>69</v>
      </c>
      <c r="AG69" s="2399">
        <v>1</v>
      </c>
      <c r="AH69" s="2399">
        <v>1</v>
      </c>
      <c r="AI69" s="2399">
        <v>1</v>
      </c>
      <c r="AJ69" s="2399">
        <v>6</v>
      </c>
      <c r="AK69" s="2399">
        <v>1</v>
      </c>
      <c r="AL69" s="2399">
        <v>1</v>
      </c>
      <c r="AM69" s="2399">
        <v>2</v>
      </c>
      <c r="AN69" s="2409">
        <v>0</v>
      </c>
      <c r="AO69" s="2399" t="b">
        <v>1</v>
      </c>
      <c r="AP69" s="2399" t="b">
        <v>0</v>
      </c>
    </row>
    <row r="70" spans="1:42" x14ac:dyDescent="0.2">
      <c r="A70" s="574">
        <v>69</v>
      </c>
      <c r="B70" s="2398">
        <v>70</v>
      </c>
      <c r="C70" s="2398">
        <v>70</v>
      </c>
      <c r="D70" s="2398">
        <v>70</v>
      </c>
      <c r="E70" s="2398">
        <v>70</v>
      </c>
      <c r="F70" s="2398">
        <v>70</v>
      </c>
      <c r="G70" s="2398">
        <v>70</v>
      </c>
      <c r="H70" s="2398">
        <v>70</v>
      </c>
      <c r="I70" s="2398">
        <v>70</v>
      </c>
      <c r="J70" s="2398">
        <v>70</v>
      </c>
      <c r="K70" s="2398">
        <v>70</v>
      </c>
      <c r="L70" s="2489">
        <v>2</v>
      </c>
      <c r="M70" s="2398">
        <v>70</v>
      </c>
      <c r="N70" s="2399">
        <v>1</v>
      </c>
      <c r="O70" s="2399">
        <v>1</v>
      </c>
      <c r="P70" s="2399">
        <v>1</v>
      </c>
      <c r="Q70" s="2399">
        <v>1</v>
      </c>
      <c r="R70" s="2399">
        <v>1</v>
      </c>
      <c r="S70" s="2399">
        <v>1</v>
      </c>
      <c r="T70" s="2399">
        <v>1</v>
      </c>
      <c r="U70" s="2399">
        <v>1</v>
      </c>
      <c r="V70" s="2399">
        <v>1</v>
      </c>
      <c r="W70" s="2399">
        <v>1</v>
      </c>
      <c r="X70" s="2399">
        <v>1</v>
      </c>
      <c r="Y70" s="2399">
        <v>1</v>
      </c>
      <c r="Z70" s="2399">
        <v>1</v>
      </c>
      <c r="AA70" s="2489">
        <v>1</v>
      </c>
      <c r="AB70" s="2399">
        <v>1</v>
      </c>
      <c r="AC70" s="2399">
        <v>1</v>
      </c>
      <c r="AD70" s="2399">
        <v>1</v>
      </c>
      <c r="AE70" s="2399">
        <v>1</v>
      </c>
      <c r="AF70" s="2399">
        <v>1</v>
      </c>
      <c r="AG70" s="2399">
        <v>1</v>
      </c>
      <c r="AH70" s="2399">
        <v>1</v>
      </c>
      <c r="AI70" s="2399">
        <v>1</v>
      </c>
      <c r="AJ70" s="2399">
        <v>2</v>
      </c>
      <c r="AK70" s="2399">
        <v>1</v>
      </c>
      <c r="AL70" s="2399">
        <v>1</v>
      </c>
      <c r="AM70" s="2399">
        <v>3</v>
      </c>
      <c r="AN70" s="2409">
        <v>0</v>
      </c>
      <c r="AO70" s="2399" t="b">
        <v>1</v>
      </c>
      <c r="AP70" s="2399" t="b">
        <v>0</v>
      </c>
    </row>
    <row r="71" spans="1:42" x14ac:dyDescent="0.2">
      <c r="A71" s="574">
        <v>70</v>
      </c>
      <c r="B71" s="2398">
        <v>71</v>
      </c>
      <c r="C71" s="2398">
        <v>71</v>
      </c>
      <c r="D71" s="2398">
        <v>71</v>
      </c>
      <c r="E71" s="2398">
        <v>71</v>
      </c>
      <c r="F71" s="2398">
        <v>71</v>
      </c>
      <c r="G71" s="2398">
        <v>71</v>
      </c>
      <c r="H71" s="2398">
        <v>71</v>
      </c>
      <c r="I71" s="2398">
        <v>71</v>
      </c>
      <c r="J71" s="2398">
        <v>71</v>
      </c>
      <c r="K71" s="2398">
        <v>71</v>
      </c>
      <c r="L71" s="2489">
        <v>2</v>
      </c>
      <c r="M71" s="2399">
        <v>1</v>
      </c>
      <c r="N71" s="2399">
        <v>1</v>
      </c>
      <c r="O71" s="2399">
        <v>1</v>
      </c>
      <c r="P71" s="2399">
        <v>1</v>
      </c>
      <c r="Q71" s="2399">
        <v>1</v>
      </c>
      <c r="R71" s="2399">
        <v>1</v>
      </c>
      <c r="S71" s="2399">
        <v>1</v>
      </c>
      <c r="T71" s="2398">
        <v>71</v>
      </c>
      <c r="U71" s="2399">
        <v>1</v>
      </c>
      <c r="V71" s="2399">
        <v>1</v>
      </c>
      <c r="W71" s="2399">
        <v>1</v>
      </c>
      <c r="X71" s="2399">
        <v>1</v>
      </c>
      <c r="Y71" s="2398">
        <v>71</v>
      </c>
      <c r="Z71" s="2399">
        <v>1</v>
      </c>
      <c r="AA71" s="2489">
        <v>1</v>
      </c>
      <c r="AB71" s="2399">
        <v>1</v>
      </c>
      <c r="AC71" s="2399">
        <v>1</v>
      </c>
      <c r="AD71" s="2399">
        <v>6</v>
      </c>
      <c r="AE71" s="2399">
        <v>1</v>
      </c>
      <c r="AF71" s="2398">
        <v>71</v>
      </c>
      <c r="AG71" s="2399">
        <v>1</v>
      </c>
      <c r="AH71" s="2399">
        <v>1</v>
      </c>
      <c r="AI71" s="2399">
        <v>1</v>
      </c>
      <c r="AJ71" s="2399">
        <v>1</v>
      </c>
      <c r="AK71" s="2399">
        <v>1</v>
      </c>
      <c r="AL71" s="2399">
        <v>1</v>
      </c>
      <c r="AM71" s="2399">
        <v>1</v>
      </c>
      <c r="AN71" s="2409">
        <v>0</v>
      </c>
      <c r="AO71" s="2399" t="b">
        <v>1</v>
      </c>
      <c r="AP71" s="2399" t="b">
        <v>0</v>
      </c>
    </row>
    <row r="72" spans="1:42" x14ac:dyDescent="0.2">
      <c r="A72" s="574">
        <v>71</v>
      </c>
      <c r="B72" s="2398">
        <v>72</v>
      </c>
      <c r="C72" s="2398">
        <v>72</v>
      </c>
      <c r="D72" s="2398">
        <v>72</v>
      </c>
      <c r="E72" s="2398">
        <v>72</v>
      </c>
      <c r="F72" s="2398">
        <v>72</v>
      </c>
      <c r="G72" s="2398">
        <v>72</v>
      </c>
      <c r="H72" s="2398">
        <v>72</v>
      </c>
      <c r="I72" s="2398">
        <v>72</v>
      </c>
      <c r="J72" s="2398">
        <v>72</v>
      </c>
      <c r="K72" s="2398">
        <v>72</v>
      </c>
      <c r="L72" s="2489">
        <v>2</v>
      </c>
      <c r="M72" s="2399">
        <v>1</v>
      </c>
      <c r="N72" s="2399">
        <v>1</v>
      </c>
      <c r="O72" s="2399">
        <v>1</v>
      </c>
      <c r="P72" s="2399">
        <v>1</v>
      </c>
      <c r="Q72" s="2399">
        <v>1</v>
      </c>
      <c r="R72" s="2399">
        <v>1</v>
      </c>
      <c r="S72" s="2399">
        <v>1</v>
      </c>
      <c r="T72" s="2398">
        <v>72</v>
      </c>
      <c r="U72" s="2399">
        <v>1</v>
      </c>
      <c r="V72" s="2399">
        <v>1</v>
      </c>
      <c r="W72" s="2399">
        <v>1</v>
      </c>
      <c r="X72" s="2399">
        <v>1</v>
      </c>
      <c r="Y72" s="2399">
        <v>1</v>
      </c>
      <c r="Z72" s="2399">
        <v>1</v>
      </c>
      <c r="AA72" s="2489">
        <v>1</v>
      </c>
      <c r="AB72" s="2399">
        <v>1</v>
      </c>
      <c r="AC72" s="2399">
        <v>1</v>
      </c>
      <c r="AD72" s="2399">
        <v>1</v>
      </c>
      <c r="AE72" s="2399">
        <v>1</v>
      </c>
      <c r="AF72" s="2399">
        <v>1</v>
      </c>
      <c r="AG72" s="2399">
        <v>1</v>
      </c>
      <c r="AH72" s="2399">
        <v>1</v>
      </c>
      <c r="AI72" s="2399">
        <v>1</v>
      </c>
      <c r="AJ72" s="2399">
        <v>4</v>
      </c>
      <c r="AK72" s="2399">
        <v>1</v>
      </c>
      <c r="AL72" s="2399">
        <v>1</v>
      </c>
      <c r="AM72" s="2399">
        <v>1</v>
      </c>
      <c r="AN72" s="2409">
        <v>0</v>
      </c>
      <c r="AO72" s="2399" t="b">
        <v>1</v>
      </c>
      <c r="AP72" s="2399" t="b">
        <v>0</v>
      </c>
    </row>
    <row r="73" spans="1:42" x14ac:dyDescent="0.2">
      <c r="A73" s="574">
        <v>72</v>
      </c>
      <c r="B73" s="2398">
        <v>73</v>
      </c>
      <c r="C73" s="2398">
        <v>73</v>
      </c>
      <c r="D73" s="2398">
        <v>73</v>
      </c>
      <c r="E73" s="2398">
        <v>73</v>
      </c>
      <c r="F73" s="2398">
        <v>73</v>
      </c>
      <c r="G73" s="2398">
        <v>73</v>
      </c>
      <c r="H73" s="2398">
        <v>73</v>
      </c>
      <c r="I73" s="2398">
        <v>73</v>
      </c>
      <c r="J73" s="2398">
        <v>73</v>
      </c>
      <c r="K73" s="2398">
        <v>73</v>
      </c>
      <c r="L73" s="2489">
        <v>2</v>
      </c>
      <c r="M73" s="2399">
        <v>1</v>
      </c>
      <c r="N73" s="2399">
        <v>1</v>
      </c>
      <c r="O73" s="2399">
        <v>1</v>
      </c>
      <c r="P73" s="2399">
        <v>1</v>
      </c>
      <c r="Q73" s="2399">
        <v>1</v>
      </c>
      <c r="R73" s="2399">
        <v>1</v>
      </c>
      <c r="S73" s="2399">
        <v>1</v>
      </c>
      <c r="T73" s="2398">
        <v>73</v>
      </c>
      <c r="U73" s="2399">
        <v>1</v>
      </c>
      <c r="V73" s="2399">
        <v>1</v>
      </c>
      <c r="W73" s="2399">
        <v>1</v>
      </c>
      <c r="X73" s="2399">
        <v>1</v>
      </c>
      <c r="Y73" s="2399">
        <v>1</v>
      </c>
      <c r="Z73" s="2399">
        <v>1</v>
      </c>
      <c r="AA73" s="2489">
        <v>1</v>
      </c>
      <c r="AB73" s="2399">
        <v>1</v>
      </c>
      <c r="AC73" s="2399">
        <v>1</v>
      </c>
      <c r="AD73" s="2399">
        <v>1</v>
      </c>
      <c r="AE73" s="2399">
        <v>1</v>
      </c>
      <c r="AF73" s="2398">
        <v>73</v>
      </c>
      <c r="AG73" s="2399">
        <v>1</v>
      </c>
      <c r="AH73" s="2399">
        <v>1</v>
      </c>
      <c r="AI73" s="2399">
        <v>1</v>
      </c>
      <c r="AJ73" s="2399">
        <v>1</v>
      </c>
      <c r="AK73" s="2399">
        <v>1</v>
      </c>
      <c r="AL73" s="2399">
        <v>1</v>
      </c>
      <c r="AM73" s="2399">
        <v>1</v>
      </c>
      <c r="AN73" s="2409">
        <v>0</v>
      </c>
      <c r="AO73" s="2399" t="b">
        <v>1</v>
      </c>
      <c r="AP73" s="2399" t="b">
        <v>0</v>
      </c>
    </row>
    <row r="74" spans="1:42" x14ac:dyDescent="0.2">
      <c r="A74" s="574">
        <v>73</v>
      </c>
      <c r="B74" s="2398">
        <v>74</v>
      </c>
      <c r="C74" s="2398">
        <v>74</v>
      </c>
      <c r="D74" s="2398">
        <v>74</v>
      </c>
      <c r="E74" s="2398">
        <v>74</v>
      </c>
      <c r="F74" s="2398">
        <v>74</v>
      </c>
      <c r="G74" s="2398">
        <v>74</v>
      </c>
      <c r="H74" s="2398">
        <v>74</v>
      </c>
      <c r="I74" s="2398">
        <v>74</v>
      </c>
      <c r="J74" s="2398">
        <v>74</v>
      </c>
      <c r="K74" s="2398">
        <v>74</v>
      </c>
      <c r="L74" s="2489">
        <v>2</v>
      </c>
      <c r="M74" s="2399">
        <v>1</v>
      </c>
      <c r="N74" s="2399">
        <v>1</v>
      </c>
      <c r="O74" s="2399">
        <v>1</v>
      </c>
      <c r="P74" s="2399">
        <v>1</v>
      </c>
      <c r="Q74" s="2399">
        <v>1</v>
      </c>
      <c r="R74" s="2399">
        <v>1</v>
      </c>
      <c r="S74" s="2399">
        <v>1</v>
      </c>
      <c r="T74" s="2398">
        <v>74</v>
      </c>
      <c r="U74" s="2399">
        <v>1</v>
      </c>
      <c r="V74" s="2399">
        <v>1</v>
      </c>
      <c r="W74" s="2399">
        <v>1</v>
      </c>
      <c r="X74" s="2399">
        <v>1</v>
      </c>
      <c r="Y74" s="2399">
        <v>1</v>
      </c>
      <c r="Z74" s="2399">
        <v>1</v>
      </c>
      <c r="AA74" s="2489">
        <v>1</v>
      </c>
      <c r="AB74" s="2399">
        <v>1</v>
      </c>
      <c r="AC74" s="2399">
        <v>1</v>
      </c>
      <c r="AD74" s="2399">
        <v>1</v>
      </c>
      <c r="AE74" s="2399">
        <v>1</v>
      </c>
      <c r="AF74" s="2399">
        <v>1</v>
      </c>
      <c r="AG74" s="2399">
        <v>1</v>
      </c>
      <c r="AH74" s="2399">
        <v>1</v>
      </c>
      <c r="AI74" s="2399">
        <v>1</v>
      </c>
      <c r="AJ74" s="2399">
        <v>1</v>
      </c>
      <c r="AK74" s="2399">
        <v>1</v>
      </c>
      <c r="AL74" s="2399">
        <v>1</v>
      </c>
      <c r="AM74" s="2399">
        <v>1</v>
      </c>
      <c r="AN74" s="2409">
        <v>0</v>
      </c>
      <c r="AO74" s="2399" t="b">
        <v>1</v>
      </c>
      <c r="AP74" s="2399" t="b">
        <v>0</v>
      </c>
    </row>
    <row r="75" spans="1:42" x14ac:dyDescent="0.2">
      <c r="A75" s="574">
        <v>74</v>
      </c>
      <c r="B75" s="2398">
        <v>75</v>
      </c>
      <c r="C75" s="2399">
        <v>1</v>
      </c>
      <c r="D75" s="2398">
        <v>75</v>
      </c>
      <c r="E75" s="2398">
        <v>75</v>
      </c>
      <c r="F75" s="2398">
        <v>75</v>
      </c>
      <c r="G75" s="2398">
        <v>75</v>
      </c>
      <c r="H75" s="2398">
        <v>75</v>
      </c>
      <c r="I75" s="2398">
        <v>75</v>
      </c>
      <c r="J75" s="2398">
        <v>75</v>
      </c>
      <c r="K75" s="2398">
        <v>75</v>
      </c>
      <c r="L75" s="2489">
        <v>2</v>
      </c>
      <c r="M75" s="2399">
        <v>1</v>
      </c>
      <c r="N75" s="2399">
        <v>1</v>
      </c>
      <c r="O75" s="2399">
        <v>1</v>
      </c>
      <c r="P75" s="2399">
        <v>1</v>
      </c>
      <c r="Q75" s="2399">
        <v>1</v>
      </c>
      <c r="R75" s="2399">
        <v>1</v>
      </c>
      <c r="S75" s="2399">
        <v>1</v>
      </c>
      <c r="T75" s="2399">
        <v>1</v>
      </c>
      <c r="U75" s="2399">
        <v>1</v>
      </c>
      <c r="V75" s="2399">
        <v>1</v>
      </c>
      <c r="W75" s="2399">
        <v>1</v>
      </c>
      <c r="X75" s="2399">
        <v>1</v>
      </c>
      <c r="Y75" s="2399">
        <v>1</v>
      </c>
      <c r="Z75" s="2399">
        <v>1</v>
      </c>
      <c r="AA75" s="2489">
        <v>1</v>
      </c>
      <c r="AB75" s="2399">
        <v>1</v>
      </c>
      <c r="AC75" s="2399">
        <v>1</v>
      </c>
      <c r="AD75" s="2399">
        <v>1</v>
      </c>
      <c r="AE75" s="2399">
        <v>1</v>
      </c>
      <c r="AF75" s="2399">
        <v>1</v>
      </c>
      <c r="AG75" s="2399">
        <v>1</v>
      </c>
      <c r="AH75" s="2399">
        <v>1</v>
      </c>
      <c r="AI75" s="2399">
        <v>1</v>
      </c>
      <c r="AJ75" s="2399">
        <v>4</v>
      </c>
      <c r="AK75" s="2399">
        <v>1</v>
      </c>
      <c r="AL75" s="2399">
        <v>1</v>
      </c>
      <c r="AM75" s="2399">
        <v>3</v>
      </c>
      <c r="AN75" s="2409">
        <v>0</v>
      </c>
      <c r="AO75" s="2399" t="b">
        <v>1</v>
      </c>
      <c r="AP75" s="2399" t="b">
        <v>0</v>
      </c>
    </row>
    <row r="76" spans="1:42" x14ac:dyDescent="0.2">
      <c r="A76" s="574">
        <v>75</v>
      </c>
      <c r="B76" s="2398">
        <v>76</v>
      </c>
      <c r="C76" s="2398">
        <v>76</v>
      </c>
      <c r="D76" s="2398">
        <v>76</v>
      </c>
      <c r="E76" s="2398">
        <v>76</v>
      </c>
      <c r="F76" s="2398">
        <v>76</v>
      </c>
      <c r="G76" s="2398">
        <v>76</v>
      </c>
      <c r="H76" s="2398">
        <v>76</v>
      </c>
      <c r="I76" s="2398">
        <v>76</v>
      </c>
      <c r="J76" s="2398">
        <v>76</v>
      </c>
      <c r="K76" s="2398">
        <v>76</v>
      </c>
      <c r="L76" s="2489">
        <v>2</v>
      </c>
      <c r="M76" s="2399">
        <v>1</v>
      </c>
      <c r="N76" s="2399">
        <v>1</v>
      </c>
      <c r="O76" s="2399">
        <v>1</v>
      </c>
      <c r="P76" s="2399">
        <v>1</v>
      </c>
      <c r="Q76" s="2399">
        <v>1</v>
      </c>
      <c r="R76" s="2399">
        <v>1</v>
      </c>
      <c r="S76" s="2399">
        <v>1</v>
      </c>
      <c r="T76" s="2398">
        <v>76</v>
      </c>
      <c r="U76" s="2399">
        <v>1</v>
      </c>
      <c r="V76" s="2399">
        <v>1</v>
      </c>
      <c r="W76" s="2399">
        <v>1</v>
      </c>
      <c r="X76" s="2399">
        <v>1</v>
      </c>
      <c r="Y76" s="2399">
        <v>1</v>
      </c>
      <c r="Z76" s="2399">
        <v>1</v>
      </c>
      <c r="AA76" s="2489">
        <v>1</v>
      </c>
      <c r="AB76" s="2399">
        <v>1</v>
      </c>
      <c r="AC76" s="2399">
        <v>1</v>
      </c>
      <c r="AD76" s="2399">
        <v>1</v>
      </c>
      <c r="AE76" s="2399">
        <v>1</v>
      </c>
      <c r="AF76" s="2399">
        <v>1</v>
      </c>
      <c r="AG76" s="2399">
        <v>1</v>
      </c>
      <c r="AH76" s="2399">
        <v>1</v>
      </c>
      <c r="AI76" s="2399">
        <v>1</v>
      </c>
      <c r="AJ76" s="2399">
        <v>1</v>
      </c>
      <c r="AK76" s="2399">
        <v>1</v>
      </c>
      <c r="AL76" s="2399">
        <v>1</v>
      </c>
      <c r="AM76" s="2399">
        <v>3</v>
      </c>
      <c r="AN76" s="2409">
        <v>0</v>
      </c>
      <c r="AO76" s="2399" t="b">
        <v>1</v>
      </c>
      <c r="AP76" s="2399" t="b">
        <v>0</v>
      </c>
    </row>
    <row r="77" spans="1:42" x14ac:dyDescent="0.2">
      <c r="A77" s="574">
        <v>76</v>
      </c>
      <c r="B77" s="2398">
        <v>77</v>
      </c>
      <c r="C77" s="2398">
        <v>77</v>
      </c>
      <c r="D77" s="2399">
        <v>1</v>
      </c>
      <c r="E77" s="2399">
        <v>1</v>
      </c>
      <c r="F77" s="2399">
        <v>1</v>
      </c>
      <c r="G77" s="2398">
        <v>77</v>
      </c>
      <c r="H77" s="2399">
        <v>1</v>
      </c>
      <c r="I77" s="2399">
        <v>1</v>
      </c>
      <c r="J77" s="2399">
        <v>1</v>
      </c>
      <c r="K77" s="2399">
        <v>1</v>
      </c>
      <c r="L77" s="2489">
        <v>2</v>
      </c>
      <c r="M77" s="2399">
        <v>1</v>
      </c>
      <c r="N77" s="2399">
        <v>1</v>
      </c>
      <c r="O77" s="2399">
        <v>1</v>
      </c>
      <c r="P77" s="2399">
        <v>1</v>
      </c>
      <c r="Q77" s="2399">
        <v>1</v>
      </c>
      <c r="R77" s="2399">
        <v>1</v>
      </c>
      <c r="S77" s="2398">
        <v>77</v>
      </c>
      <c r="T77" s="2399">
        <v>1</v>
      </c>
      <c r="U77" s="2399">
        <v>1</v>
      </c>
      <c r="V77" s="2399">
        <v>1</v>
      </c>
      <c r="W77" s="2399">
        <v>1</v>
      </c>
      <c r="X77" s="2399">
        <v>1</v>
      </c>
      <c r="Y77" s="3640">
        <v>77</v>
      </c>
      <c r="Z77" s="2398">
        <v>77</v>
      </c>
      <c r="AA77" s="2489">
        <v>1</v>
      </c>
      <c r="AB77" s="2399">
        <v>1</v>
      </c>
      <c r="AC77" s="2399">
        <v>1</v>
      </c>
      <c r="AD77" s="2399">
        <v>5</v>
      </c>
      <c r="AE77" s="2399">
        <v>1</v>
      </c>
      <c r="AF77" s="3640">
        <v>77</v>
      </c>
      <c r="AG77" s="3640">
        <v>77</v>
      </c>
      <c r="AH77" s="2399">
        <v>1</v>
      </c>
      <c r="AI77" s="2399">
        <v>1</v>
      </c>
      <c r="AJ77" s="2399">
        <v>1</v>
      </c>
      <c r="AK77" s="2399">
        <v>1</v>
      </c>
      <c r="AL77" s="2399">
        <v>1</v>
      </c>
      <c r="AM77" s="2399">
        <v>5</v>
      </c>
      <c r="AN77" s="2409">
        <v>0</v>
      </c>
      <c r="AO77" s="2399" t="b">
        <v>0</v>
      </c>
      <c r="AP77" s="2399" t="b">
        <v>0</v>
      </c>
    </row>
    <row r="78" spans="1:42" x14ac:dyDescent="0.2">
      <c r="A78" s="574">
        <v>77</v>
      </c>
      <c r="B78" s="2398">
        <v>78</v>
      </c>
      <c r="C78" s="2399">
        <v>1</v>
      </c>
      <c r="D78" s="2398">
        <v>78</v>
      </c>
      <c r="E78" s="2398">
        <v>78</v>
      </c>
      <c r="F78" s="2398">
        <v>78</v>
      </c>
      <c r="G78" s="2398">
        <v>78</v>
      </c>
      <c r="H78" s="2398">
        <v>78</v>
      </c>
      <c r="I78" s="2398">
        <v>78</v>
      </c>
      <c r="J78" s="2398">
        <v>78</v>
      </c>
      <c r="K78" s="2398">
        <v>78</v>
      </c>
      <c r="L78" s="2489">
        <v>2</v>
      </c>
      <c r="M78" s="2399">
        <v>1</v>
      </c>
      <c r="N78" s="2398">
        <v>78</v>
      </c>
      <c r="O78" s="2399">
        <v>1</v>
      </c>
      <c r="P78" s="2399">
        <v>1</v>
      </c>
      <c r="Q78" s="2399">
        <v>1</v>
      </c>
      <c r="R78" s="2399">
        <v>1</v>
      </c>
      <c r="S78" s="2398">
        <v>78</v>
      </c>
      <c r="T78" s="2399">
        <v>1</v>
      </c>
      <c r="U78" s="2399">
        <v>1</v>
      </c>
      <c r="V78" s="2399">
        <v>1</v>
      </c>
      <c r="W78" s="2399">
        <v>1</v>
      </c>
      <c r="X78" s="2399">
        <v>1</v>
      </c>
      <c r="Y78" s="2399">
        <v>1</v>
      </c>
      <c r="Z78" s="2399">
        <v>1</v>
      </c>
      <c r="AA78" s="2489">
        <v>1</v>
      </c>
      <c r="AB78" s="2399">
        <v>1</v>
      </c>
      <c r="AC78" s="2399">
        <v>1</v>
      </c>
      <c r="AD78" s="2399">
        <v>1</v>
      </c>
      <c r="AE78" s="2399">
        <v>1</v>
      </c>
      <c r="AF78" s="2398">
        <v>78</v>
      </c>
      <c r="AG78" s="2399">
        <v>1</v>
      </c>
      <c r="AH78" s="2399">
        <v>1</v>
      </c>
      <c r="AI78" s="2399">
        <v>4</v>
      </c>
      <c r="AJ78" s="2399">
        <v>1</v>
      </c>
      <c r="AK78" s="2399">
        <v>1</v>
      </c>
      <c r="AL78" s="2399">
        <v>1</v>
      </c>
      <c r="AM78" s="2399">
        <v>5</v>
      </c>
      <c r="AN78" s="2409">
        <v>0</v>
      </c>
      <c r="AO78" s="2399" t="b">
        <v>0</v>
      </c>
      <c r="AP78" s="2399" t="b">
        <v>0</v>
      </c>
    </row>
    <row r="79" spans="1:42" x14ac:dyDescent="0.2">
      <c r="A79" s="574">
        <v>78</v>
      </c>
      <c r="B79" s="2398">
        <v>79</v>
      </c>
      <c r="C79" s="2399">
        <v>1</v>
      </c>
      <c r="D79" s="2398">
        <v>79</v>
      </c>
      <c r="E79" s="2398">
        <v>79</v>
      </c>
      <c r="F79" s="2398">
        <v>79</v>
      </c>
      <c r="G79" s="2398">
        <v>79</v>
      </c>
      <c r="H79" s="2398">
        <v>79</v>
      </c>
      <c r="I79" s="2398">
        <v>79</v>
      </c>
      <c r="J79" s="2398">
        <v>79</v>
      </c>
      <c r="K79" s="2398">
        <v>79</v>
      </c>
      <c r="L79" s="2489">
        <v>2</v>
      </c>
      <c r="M79" s="2399">
        <v>1</v>
      </c>
      <c r="N79" s="2399">
        <v>1</v>
      </c>
      <c r="O79" s="2399">
        <v>1</v>
      </c>
      <c r="P79" s="2399">
        <v>1</v>
      </c>
      <c r="Q79" s="2399">
        <v>1</v>
      </c>
      <c r="R79" s="2399">
        <v>1</v>
      </c>
      <c r="S79" s="2399">
        <v>1</v>
      </c>
      <c r="T79" s="2398">
        <v>79</v>
      </c>
      <c r="U79" s="2399">
        <v>1</v>
      </c>
      <c r="V79" s="2398">
        <v>79</v>
      </c>
      <c r="W79" s="2399">
        <v>1</v>
      </c>
      <c r="X79" s="2399">
        <v>1</v>
      </c>
      <c r="Y79" s="2399">
        <v>1</v>
      </c>
      <c r="Z79" s="2399">
        <v>1</v>
      </c>
      <c r="AA79" s="2489">
        <v>1</v>
      </c>
      <c r="AB79" s="2399">
        <v>1</v>
      </c>
      <c r="AC79" s="2399">
        <v>1</v>
      </c>
      <c r="AD79" s="2399">
        <v>1</v>
      </c>
      <c r="AE79" s="2399">
        <v>1</v>
      </c>
      <c r="AF79" s="2398">
        <v>79</v>
      </c>
      <c r="AG79" s="2399">
        <v>1</v>
      </c>
      <c r="AH79" s="2399">
        <v>1</v>
      </c>
      <c r="AI79" s="2399">
        <v>1</v>
      </c>
      <c r="AJ79" s="2399">
        <v>2</v>
      </c>
      <c r="AK79" s="2399">
        <v>1</v>
      </c>
      <c r="AL79" s="2399">
        <v>1</v>
      </c>
      <c r="AM79" s="2399">
        <v>1</v>
      </c>
      <c r="AN79" s="2409">
        <v>0</v>
      </c>
      <c r="AO79" s="2399" t="b">
        <v>1</v>
      </c>
      <c r="AP79" s="2399" t="b">
        <v>0</v>
      </c>
    </row>
    <row r="80" spans="1:42" x14ac:dyDescent="0.2">
      <c r="A80" s="574">
        <v>79</v>
      </c>
      <c r="B80" s="2398">
        <v>80</v>
      </c>
      <c r="C80" s="2399">
        <v>1</v>
      </c>
      <c r="D80" s="2398">
        <v>80</v>
      </c>
      <c r="E80" s="2398">
        <v>80</v>
      </c>
      <c r="F80" s="2398">
        <v>80</v>
      </c>
      <c r="G80" s="2398">
        <v>80</v>
      </c>
      <c r="H80" s="2398">
        <v>80</v>
      </c>
      <c r="I80" s="2398">
        <v>80</v>
      </c>
      <c r="J80" s="2398">
        <v>80</v>
      </c>
      <c r="K80" s="2398">
        <v>80</v>
      </c>
      <c r="L80" s="2489">
        <v>2</v>
      </c>
      <c r="M80" s="2399">
        <v>1</v>
      </c>
      <c r="N80" s="2399">
        <v>1</v>
      </c>
      <c r="O80" s="2399">
        <v>1</v>
      </c>
      <c r="P80" s="2399">
        <v>1</v>
      </c>
      <c r="Q80" s="2399">
        <v>1</v>
      </c>
      <c r="R80" s="2399">
        <v>1</v>
      </c>
      <c r="S80" s="2399">
        <v>1</v>
      </c>
      <c r="T80" s="2399">
        <v>1</v>
      </c>
      <c r="U80" s="2398">
        <v>80</v>
      </c>
      <c r="V80" s="2398">
        <v>80</v>
      </c>
      <c r="W80" s="2398">
        <v>80</v>
      </c>
      <c r="X80" s="2399">
        <v>1</v>
      </c>
      <c r="Y80" s="2399">
        <v>1</v>
      </c>
      <c r="Z80" s="2399">
        <v>1</v>
      </c>
      <c r="AA80" s="2489">
        <v>1</v>
      </c>
      <c r="AB80" s="2399">
        <v>1</v>
      </c>
      <c r="AC80" s="2399">
        <v>1</v>
      </c>
      <c r="AD80" s="2399">
        <v>1</v>
      </c>
      <c r="AE80" s="2399">
        <v>1</v>
      </c>
      <c r="AF80" s="2399">
        <v>1</v>
      </c>
      <c r="AG80" s="2399">
        <v>1</v>
      </c>
      <c r="AH80" s="2399">
        <v>1</v>
      </c>
      <c r="AI80" s="2399">
        <v>1</v>
      </c>
      <c r="AJ80" s="2399">
        <v>1</v>
      </c>
      <c r="AK80" s="2399">
        <v>1</v>
      </c>
      <c r="AL80" s="2399">
        <v>1</v>
      </c>
      <c r="AM80" s="2399">
        <v>4</v>
      </c>
      <c r="AN80" s="2409">
        <v>0</v>
      </c>
      <c r="AO80" s="2399" t="b">
        <v>0</v>
      </c>
      <c r="AP80" s="2399" t="b">
        <v>0</v>
      </c>
    </row>
    <row r="81" spans="1:42" x14ac:dyDescent="0.2">
      <c r="A81" s="574">
        <v>80</v>
      </c>
      <c r="B81" s="2398">
        <v>81</v>
      </c>
      <c r="C81" s="2398">
        <v>81</v>
      </c>
      <c r="D81" s="2398">
        <v>81</v>
      </c>
      <c r="E81" s="2398">
        <v>81</v>
      </c>
      <c r="F81" s="2398">
        <v>81</v>
      </c>
      <c r="G81" s="2398">
        <v>81</v>
      </c>
      <c r="H81" s="2398">
        <v>81</v>
      </c>
      <c r="I81" s="2398">
        <v>81</v>
      </c>
      <c r="J81" s="2398">
        <v>81</v>
      </c>
      <c r="K81" s="2398">
        <v>81</v>
      </c>
      <c r="L81" s="2489">
        <v>2</v>
      </c>
      <c r="M81" s="2399">
        <v>1</v>
      </c>
      <c r="N81" s="2399">
        <v>1</v>
      </c>
      <c r="O81" s="2399">
        <v>1</v>
      </c>
      <c r="P81" s="2399">
        <v>1</v>
      </c>
      <c r="Q81" s="2399">
        <v>1</v>
      </c>
      <c r="R81" s="2399">
        <v>1</v>
      </c>
      <c r="S81" s="2399">
        <v>1</v>
      </c>
      <c r="T81" s="2398">
        <v>81</v>
      </c>
      <c r="U81" s="2399">
        <v>1</v>
      </c>
      <c r="V81" s="2398">
        <v>81</v>
      </c>
      <c r="W81" s="2399">
        <v>1</v>
      </c>
      <c r="X81" s="2399">
        <v>1</v>
      </c>
      <c r="Y81" s="2399">
        <v>1</v>
      </c>
      <c r="Z81" s="2398">
        <v>81</v>
      </c>
      <c r="AA81" s="2489">
        <v>1</v>
      </c>
      <c r="AB81" s="2399">
        <v>1</v>
      </c>
      <c r="AC81" s="2399">
        <v>1</v>
      </c>
      <c r="AD81" s="2399">
        <v>5</v>
      </c>
      <c r="AE81" s="2398">
        <v>81</v>
      </c>
      <c r="AF81" s="2399">
        <v>1</v>
      </c>
      <c r="AG81" s="2399">
        <v>1</v>
      </c>
      <c r="AH81" s="2399">
        <v>1</v>
      </c>
      <c r="AI81" s="2399">
        <v>1</v>
      </c>
      <c r="AJ81" s="2399">
        <v>1</v>
      </c>
      <c r="AK81" s="2399">
        <v>1</v>
      </c>
      <c r="AL81" s="2399">
        <v>1</v>
      </c>
      <c r="AM81" s="2399">
        <v>1</v>
      </c>
      <c r="AN81" s="2409">
        <v>0</v>
      </c>
      <c r="AO81" s="2399" t="b">
        <v>1</v>
      </c>
      <c r="AP81" s="2399" t="b">
        <v>0</v>
      </c>
    </row>
    <row r="82" spans="1:42" x14ac:dyDescent="0.2">
      <c r="A82" s="574">
        <v>81</v>
      </c>
      <c r="B82" s="2398">
        <v>82</v>
      </c>
      <c r="C82" s="2398">
        <v>82</v>
      </c>
      <c r="D82" s="2398">
        <v>82</v>
      </c>
      <c r="E82" s="2398">
        <v>82</v>
      </c>
      <c r="F82" s="2398">
        <v>82</v>
      </c>
      <c r="G82" s="2398">
        <v>82</v>
      </c>
      <c r="H82" s="2398">
        <v>82</v>
      </c>
      <c r="I82" s="2398">
        <v>82</v>
      </c>
      <c r="J82" s="2398">
        <v>82</v>
      </c>
      <c r="K82" s="2398">
        <v>82</v>
      </c>
      <c r="L82" s="2489">
        <v>2</v>
      </c>
      <c r="M82" s="2399">
        <v>1</v>
      </c>
      <c r="N82" s="2399">
        <v>1</v>
      </c>
      <c r="O82" s="2399">
        <v>1</v>
      </c>
      <c r="P82" s="2399">
        <v>1</v>
      </c>
      <c r="Q82" s="2399">
        <v>1</v>
      </c>
      <c r="R82" s="2399">
        <v>1</v>
      </c>
      <c r="S82" s="2399">
        <v>1</v>
      </c>
      <c r="T82" s="2399">
        <v>1</v>
      </c>
      <c r="U82" s="2399">
        <v>1</v>
      </c>
      <c r="V82" s="2399">
        <v>1</v>
      </c>
      <c r="W82" s="2399">
        <v>1</v>
      </c>
      <c r="X82" s="2399">
        <v>1</v>
      </c>
      <c r="Y82" s="2399">
        <v>1</v>
      </c>
      <c r="Z82" s="2399">
        <v>1</v>
      </c>
      <c r="AA82" s="2489">
        <v>1</v>
      </c>
      <c r="AB82" s="2399">
        <v>1</v>
      </c>
      <c r="AC82" s="2399">
        <v>1</v>
      </c>
      <c r="AD82" s="2399">
        <v>1</v>
      </c>
      <c r="AE82" s="2399">
        <v>1</v>
      </c>
      <c r="AF82" s="2399">
        <v>1</v>
      </c>
      <c r="AG82" s="2399">
        <v>1</v>
      </c>
      <c r="AH82" s="2399">
        <v>1</v>
      </c>
      <c r="AI82" s="2399">
        <v>1</v>
      </c>
      <c r="AJ82" s="2399">
        <v>1</v>
      </c>
      <c r="AK82" s="2399">
        <v>1</v>
      </c>
      <c r="AL82" s="2399">
        <v>1</v>
      </c>
      <c r="AM82" s="2399">
        <v>5</v>
      </c>
      <c r="AN82" s="2409">
        <v>0</v>
      </c>
      <c r="AO82" s="2399" t="b">
        <v>0</v>
      </c>
      <c r="AP82" s="2399" t="b">
        <v>0</v>
      </c>
    </row>
    <row r="83" spans="1:42" x14ac:dyDescent="0.2">
      <c r="A83" s="574">
        <v>82</v>
      </c>
      <c r="B83" s="2398">
        <v>83</v>
      </c>
      <c r="C83" s="2398">
        <v>83</v>
      </c>
      <c r="D83" s="2398">
        <v>83</v>
      </c>
      <c r="E83" s="2398">
        <v>83</v>
      </c>
      <c r="F83" s="2398">
        <v>83</v>
      </c>
      <c r="G83" s="2398">
        <v>83</v>
      </c>
      <c r="H83" s="2398">
        <v>83</v>
      </c>
      <c r="I83" s="2398">
        <v>83</v>
      </c>
      <c r="J83" s="2398">
        <v>83</v>
      </c>
      <c r="K83" s="2398">
        <v>83</v>
      </c>
      <c r="L83" s="2489">
        <v>2</v>
      </c>
      <c r="M83" s="2399">
        <v>1</v>
      </c>
      <c r="N83" s="2399">
        <v>1</v>
      </c>
      <c r="O83" s="2399">
        <v>1</v>
      </c>
      <c r="P83" s="2399">
        <v>1</v>
      </c>
      <c r="Q83" s="2399">
        <v>1</v>
      </c>
      <c r="R83" s="2399">
        <v>1</v>
      </c>
      <c r="S83" s="2399">
        <v>1</v>
      </c>
      <c r="T83" s="2398">
        <v>83</v>
      </c>
      <c r="U83" s="2399">
        <v>1</v>
      </c>
      <c r="V83" s="2398">
        <v>83</v>
      </c>
      <c r="W83" s="2399">
        <v>1</v>
      </c>
      <c r="X83" s="2399">
        <v>1</v>
      </c>
      <c r="Y83" s="2399">
        <v>1</v>
      </c>
      <c r="Z83" s="2398">
        <v>83</v>
      </c>
      <c r="AA83" s="2489">
        <v>1</v>
      </c>
      <c r="AB83" s="2399">
        <v>1</v>
      </c>
      <c r="AC83" s="2399">
        <v>1</v>
      </c>
      <c r="AD83" s="2399">
        <v>11</v>
      </c>
      <c r="AE83" s="2398">
        <v>83</v>
      </c>
      <c r="AF83" s="2398">
        <v>83</v>
      </c>
      <c r="AG83" s="2399">
        <v>1</v>
      </c>
      <c r="AH83" s="2399">
        <v>1</v>
      </c>
      <c r="AI83" s="2399">
        <v>1</v>
      </c>
      <c r="AJ83" s="2399">
        <v>1</v>
      </c>
      <c r="AK83" s="2399">
        <v>1</v>
      </c>
      <c r="AL83" s="2399">
        <v>1</v>
      </c>
      <c r="AM83" s="2399">
        <v>1</v>
      </c>
      <c r="AN83" s="2409">
        <v>617</v>
      </c>
      <c r="AO83" s="2399" t="b">
        <v>1</v>
      </c>
      <c r="AP83" s="2399" t="b">
        <v>0</v>
      </c>
    </row>
    <row r="84" spans="1:42" x14ac:dyDescent="0.2">
      <c r="A84" s="574">
        <v>83</v>
      </c>
      <c r="B84" s="2398">
        <v>84</v>
      </c>
      <c r="C84" s="2398">
        <v>84</v>
      </c>
      <c r="D84" s="2398">
        <v>84</v>
      </c>
      <c r="E84" s="2398">
        <v>84</v>
      </c>
      <c r="F84" s="2398">
        <v>84</v>
      </c>
      <c r="G84" s="2398">
        <v>84</v>
      </c>
      <c r="H84" s="2398">
        <v>84</v>
      </c>
      <c r="I84" s="2398">
        <v>84</v>
      </c>
      <c r="J84" s="2398">
        <v>84</v>
      </c>
      <c r="K84" s="2398">
        <v>84</v>
      </c>
      <c r="L84" s="2489">
        <v>2</v>
      </c>
      <c r="M84" s="2398">
        <v>84</v>
      </c>
      <c r="N84" s="2399">
        <v>1</v>
      </c>
      <c r="O84" s="2399">
        <v>1</v>
      </c>
      <c r="P84" s="2399">
        <v>1</v>
      </c>
      <c r="Q84" s="2399">
        <v>1</v>
      </c>
      <c r="R84" s="2399">
        <v>1</v>
      </c>
      <c r="S84" s="2398">
        <v>84</v>
      </c>
      <c r="T84" s="2399">
        <v>1</v>
      </c>
      <c r="U84" s="2399">
        <v>1</v>
      </c>
      <c r="V84" s="2399">
        <v>1</v>
      </c>
      <c r="W84" s="2399">
        <v>1</v>
      </c>
      <c r="X84" s="2398">
        <v>84</v>
      </c>
      <c r="Y84" s="2398">
        <v>84</v>
      </c>
      <c r="Z84" s="2399">
        <v>1</v>
      </c>
      <c r="AA84" s="2489">
        <v>1</v>
      </c>
      <c r="AB84" s="2398">
        <v>84</v>
      </c>
      <c r="AC84" s="2399">
        <v>1</v>
      </c>
      <c r="AD84" s="2399">
        <v>1</v>
      </c>
      <c r="AE84" s="2399">
        <v>1</v>
      </c>
      <c r="AF84" s="2398">
        <v>84</v>
      </c>
      <c r="AG84" s="2399">
        <v>1</v>
      </c>
      <c r="AH84" s="2399">
        <v>1</v>
      </c>
      <c r="AI84" s="2399">
        <v>1</v>
      </c>
      <c r="AJ84" s="2399">
        <v>1</v>
      </c>
      <c r="AK84" s="2399">
        <v>1</v>
      </c>
      <c r="AL84" s="2399">
        <v>4</v>
      </c>
      <c r="AM84" s="2399">
        <v>3</v>
      </c>
      <c r="AN84" s="2409">
        <v>0</v>
      </c>
      <c r="AO84" s="2399" t="b">
        <v>1</v>
      </c>
      <c r="AP84" s="2399" t="b">
        <v>0</v>
      </c>
    </row>
    <row r="85" spans="1:42" x14ac:dyDescent="0.2">
      <c r="A85" s="574">
        <v>84</v>
      </c>
      <c r="B85" s="2398">
        <v>85</v>
      </c>
      <c r="C85" s="2398">
        <v>85</v>
      </c>
      <c r="D85" s="2398">
        <v>85</v>
      </c>
      <c r="E85" s="2398">
        <v>85</v>
      </c>
      <c r="F85" s="2398">
        <v>85</v>
      </c>
      <c r="G85" s="2398">
        <v>85</v>
      </c>
      <c r="H85" s="2398">
        <v>85</v>
      </c>
      <c r="I85" s="2398">
        <v>85</v>
      </c>
      <c r="J85" s="2398">
        <v>85</v>
      </c>
      <c r="K85" s="2398">
        <v>85</v>
      </c>
      <c r="L85" s="2489">
        <v>2</v>
      </c>
      <c r="M85" s="2399">
        <v>1</v>
      </c>
      <c r="N85" s="2398">
        <v>85</v>
      </c>
      <c r="O85" s="2399">
        <v>1</v>
      </c>
      <c r="P85" s="2399">
        <v>1</v>
      </c>
      <c r="Q85" s="2399">
        <v>1</v>
      </c>
      <c r="R85" s="2399">
        <v>1</v>
      </c>
      <c r="S85" s="2399">
        <v>1</v>
      </c>
      <c r="T85" s="2399">
        <v>1</v>
      </c>
      <c r="U85" s="2399">
        <v>1</v>
      </c>
      <c r="V85" s="2399">
        <v>1</v>
      </c>
      <c r="W85" s="2399">
        <v>1</v>
      </c>
      <c r="X85" s="2399">
        <v>1</v>
      </c>
      <c r="Y85" s="2399">
        <v>1</v>
      </c>
      <c r="Z85" s="2399">
        <v>1</v>
      </c>
      <c r="AA85" s="2489">
        <v>1</v>
      </c>
      <c r="AB85" s="2399">
        <v>1</v>
      </c>
      <c r="AC85" s="2399">
        <v>1</v>
      </c>
      <c r="AD85" s="2399">
        <v>1</v>
      </c>
      <c r="AE85" s="2399">
        <v>1</v>
      </c>
      <c r="AF85" s="2399">
        <v>1</v>
      </c>
      <c r="AG85" s="2398">
        <v>85</v>
      </c>
      <c r="AH85" s="2399">
        <v>1</v>
      </c>
      <c r="AI85" s="2399">
        <v>1</v>
      </c>
      <c r="AJ85" s="2399">
        <v>1</v>
      </c>
      <c r="AK85" s="2399">
        <v>4</v>
      </c>
      <c r="AL85" s="2399">
        <v>1</v>
      </c>
      <c r="AM85" s="2399">
        <v>7</v>
      </c>
      <c r="AN85" s="2409">
        <v>0</v>
      </c>
      <c r="AO85" s="2399" t="b">
        <v>0</v>
      </c>
      <c r="AP85" s="2399" t="b">
        <v>0</v>
      </c>
    </row>
    <row r="86" spans="1:42" x14ac:dyDescent="0.2">
      <c r="A86" s="574">
        <v>85</v>
      </c>
      <c r="B86" s="2398">
        <v>86</v>
      </c>
      <c r="C86" s="2398">
        <v>86</v>
      </c>
      <c r="D86" s="2398">
        <v>86</v>
      </c>
      <c r="E86" s="2398">
        <v>86</v>
      </c>
      <c r="F86" s="2398">
        <v>86</v>
      </c>
      <c r="G86" s="2398">
        <v>86</v>
      </c>
      <c r="H86" s="2398">
        <v>86</v>
      </c>
      <c r="I86" s="2398">
        <v>86</v>
      </c>
      <c r="J86" s="2398">
        <v>86</v>
      </c>
      <c r="K86" s="2398">
        <v>86</v>
      </c>
      <c r="L86" s="2489">
        <v>2</v>
      </c>
      <c r="M86" s="2399">
        <v>1</v>
      </c>
      <c r="N86" s="2399">
        <v>1</v>
      </c>
      <c r="O86" s="2399">
        <v>1</v>
      </c>
      <c r="P86" s="2399">
        <v>1</v>
      </c>
      <c r="Q86" s="2399">
        <v>1</v>
      </c>
      <c r="R86" s="2399">
        <v>1</v>
      </c>
      <c r="S86" s="2399">
        <v>1</v>
      </c>
      <c r="T86" s="2399">
        <v>1</v>
      </c>
      <c r="U86" s="2399">
        <v>1</v>
      </c>
      <c r="V86" s="2399">
        <v>1</v>
      </c>
      <c r="W86" s="2399">
        <v>1</v>
      </c>
      <c r="X86" s="2399">
        <v>1</v>
      </c>
      <c r="Y86" s="2399">
        <v>1</v>
      </c>
      <c r="Z86" s="2399">
        <v>1</v>
      </c>
      <c r="AA86" s="2489">
        <v>1</v>
      </c>
      <c r="AB86" s="2399">
        <v>1</v>
      </c>
      <c r="AC86" s="2399">
        <v>1</v>
      </c>
      <c r="AD86" s="2399">
        <v>1</v>
      </c>
      <c r="AE86" s="2399">
        <v>1</v>
      </c>
      <c r="AF86" s="2399">
        <v>1</v>
      </c>
      <c r="AG86" s="2399">
        <v>1</v>
      </c>
      <c r="AH86" s="2399">
        <v>1</v>
      </c>
      <c r="AI86" s="2399">
        <v>1</v>
      </c>
      <c r="AJ86" s="2399">
        <v>1</v>
      </c>
      <c r="AK86" s="2399">
        <v>1</v>
      </c>
      <c r="AL86" s="2399">
        <v>1</v>
      </c>
      <c r="AM86" s="2399">
        <v>3</v>
      </c>
      <c r="AN86" s="2409">
        <v>865</v>
      </c>
      <c r="AO86" s="2399" t="b">
        <v>1</v>
      </c>
      <c r="AP86" s="2399" t="b">
        <v>0</v>
      </c>
    </row>
    <row r="87" spans="1:42" x14ac:dyDescent="0.2">
      <c r="A87" s="574">
        <v>86</v>
      </c>
      <c r="B87" s="2398">
        <v>87</v>
      </c>
      <c r="C87" s="2398">
        <v>87</v>
      </c>
      <c r="D87" s="2398">
        <v>87</v>
      </c>
      <c r="E87" s="2398">
        <v>87</v>
      </c>
      <c r="F87" s="2398">
        <v>87</v>
      </c>
      <c r="G87" s="2398">
        <v>87</v>
      </c>
      <c r="H87" s="2398">
        <v>87</v>
      </c>
      <c r="I87" s="2398">
        <v>87</v>
      </c>
      <c r="J87" s="2398">
        <v>87</v>
      </c>
      <c r="K87" s="2398">
        <v>87</v>
      </c>
      <c r="L87" s="2489">
        <v>2</v>
      </c>
      <c r="M87" s="2399">
        <v>1</v>
      </c>
      <c r="N87" s="2399">
        <v>1</v>
      </c>
      <c r="O87" s="2399">
        <v>1</v>
      </c>
      <c r="P87" s="2399">
        <v>1</v>
      </c>
      <c r="Q87" s="2399">
        <v>1</v>
      </c>
      <c r="R87" s="2399">
        <v>1</v>
      </c>
      <c r="S87" s="2399">
        <v>1</v>
      </c>
      <c r="T87" s="2399">
        <v>1</v>
      </c>
      <c r="U87" s="2398">
        <v>87</v>
      </c>
      <c r="V87" s="2399">
        <v>1</v>
      </c>
      <c r="W87" s="2399">
        <v>1</v>
      </c>
      <c r="X87" s="2399">
        <v>1</v>
      </c>
      <c r="Y87" s="2399">
        <v>1</v>
      </c>
      <c r="Z87" s="2398">
        <v>87</v>
      </c>
      <c r="AA87" s="2489">
        <v>1</v>
      </c>
      <c r="AB87" s="2399">
        <v>1</v>
      </c>
      <c r="AC87" s="2399">
        <v>1</v>
      </c>
      <c r="AD87" s="2399">
        <v>5</v>
      </c>
      <c r="AE87" s="2399">
        <v>1</v>
      </c>
      <c r="AF87" s="2399">
        <v>1</v>
      </c>
      <c r="AG87" s="2399">
        <v>1</v>
      </c>
      <c r="AH87" s="2399">
        <v>1</v>
      </c>
      <c r="AI87" s="2399">
        <v>1</v>
      </c>
      <c r="AJ87" s="2399">
        <v>1</v>
      </c>
      <c r="AK87" s="2399">
        <v>1</v>
      </c>
      <c r="AL87" s="2399">
        <v>1</v>
      </c>
      <c r="AM87" s="2399">
        <v>7</v>
      </c>
      <c r="AN87" s="2409">
        <v>0</v>
      </c>
      <c r="AO87" s="2399" t="b">
        <v>0</v>
      </c>
      <c r="AP87" s="2399" t="b">
        <v>0</v>
      </c>
    </row>
    <row r="88" spans="1:42" x14ac:dyDescent="0.2">
      <c r="A88" s="574">
        <v>87</v>
      </c>
      <c r="B88" s="2398">
        <v>88</v>
      </c>
      <c r="C88" s="2399">
        <v>1</v>
      </c>
      <c r="D88" s="2398">
        <v>88</v>
      </c>
      <c r="E88" s="2398">
        <v>88</v>
      </c>
      <c r="F88" s="2398">
        <v>88</v>
      </c>
      <c r="G88" s="2398">
        <v>88</v>
      </c>
      <c r="H88" s="2398">
        <v>88</v>
      </c>
      <c r="I88" s="2398">
        <v>88</v>
      </c>
      <c r="J88" s="2398">
        <v>88</v>
      </c>
      <c r="K88" s="2398">
        <v>88</v>
      </c>
      <c r="L88" s="2489">
        <v>2</v>
      </c>
      <c r="M88" s="2399">
        <v>1</v>
      </c>
      <c r="N88" s="2399">
        <v>1</v>
      </c>
      <c r="O88" s="2399">
        <v>1</v>
      </c>
      <c r="P88" s="2399">
        <v>1</v>
      </c>
      <c r="Q88" s="2399">
        <v>1</v>
      </c>
      <c r="R88" s="2399">
        <v>1</v>
      </c>
      <c r="S88" s="2399">
        <v>1</v>
      </c>
      <c r="T88" s="2399">
        <v>1</v>
      </c>
      <c r="U88" s="2399">
        <v>1</v>
      </c>
      <c r="V88" s="2399">
        <v>1</v>
      </c>
      <c r="W88" s="2399">
        <v>1</v>
      </c>
      <c r="X88" s="2399">
        <v>1</v>
      </c>
      <c r="Y88" s="2399">
        <v>1</v>
      </c>
      <c r="Z88" s="2399">
        <v>1</v>
      </c>
      <c r="AA88" s="2489">
        <v>1</v>
      </c>
      <c r="AB88" s="2399">
        <v>1</v>
      </c>
      <c r="AC88" s="2399">
        <v>1</v>
      </c>
      <c r="AD88" s="2399">
        <v>1</v>
      </c>
      <c r="AE88" s="2399">
        <v>1</v>
      </c>
      <c r="AF88" s="2399">
        <v>1</v>
      </c>
      <c r="AG88" s="2399">
        <v>1</v>
      </c>
      <c r="AH88" s="2399">
        <v>1</v>
      </c>
      <c r="AI88" s="2399">
        <v>1</v>
      </c>
      <c r="AJ88" s="2399">
        <v>1</v>
      </c>
      <c r="AK88" s="2399">
        <v>1</v>
      </c>
      <c r="AL88" s="2399">
        <v>1</v>
      </c>
      <c r="AM88" s="2399">
        <v>7</v>
      </c>
      <c r="AN88" s="2409">
        <v>0</v>
      </c>
      <c r="AO88" s="2399" t="b">
        <v>0</v>
      </c>
      <c r="AP88" s="2399" t="b">
        <v>0</v>
      </c>
    </row>
    <row r="89" spans="1:42" x14ac:dyDescent="0.2">
      <c r="A89" s="574">
        <v>88</v>
      </c>
      <c r="B89" s="2398">
        <v>89</v>
      </c>
      <c r="C89" s="2399">
        <v>1</v>
      </c>
      <c r="D89" s="2398">
        <v>89</v>
      </c>
      <c r="E89" s="2398">
        <v>89</v>
      </c>
      <c r="F89" s="2398">
        <v>89</v>
      </c>
      <c r="G89" s="2398">
        <v>89</v>
      </c>
      <c r="H89" s="2398">
        <v>89</v>
      </c>
      <c r="I89" s="2398">
        <v>89</v>
      </c>
      <c r="J89" s="2398">
        <v>89</v>
      </c>
      <c r="K89" s="2398">
        <v>89</v>
      </c>
      <c r="L89" s="2489">
        <v>2</v>
      </c>
      <c r="M89" s="2399">
        <v>1</v>
      </c>
      <c r="N89" s="2399">
        <v>1</v>
      </c>
      <c r="O89" s="2398">
        <v>89</v>
      </c>
      <c r="P89" s="2399">
        <v>1</v>
      </c>
      <c r="Q89" s="2399">
        <v>1</v>
      </c>
      <c r="R89" s="2399">
        <v>1</v>
      </c>
      <c r="S89" s="2399">
        <v>1</v>
      </c>
      <c r="T89" s="2399">
        <v>1</v>
      </c>
      <c r="U89" s="2398">
        <v>89</v>
      </c>
      <c r="V89" s="2398">
        <v>89</v>
      </c>
      <c r="W89" s="2398">
        <v>89</v>
      </c>
      <c r="X89" s="2399">
        <v>1</v>
      </c>
      <c r="Y89" s="2399">
        <v>1</v>
      </c>
      <c r="Z89" s="2399">
        <v>1</v>
      </c>
      <c r="AA89" s="2489">
        <v>1</v>
      </c>
      <c r="AB89" s="2399">
        <v>1</v>
      </c>
      <c r="AC89" s="2399">
        <v>1</v>
      </c>
      <c r="AD89" s="2399">
        <v>1</v>
      </c>
      <c r="AE89" s="2399">
        <v>1</v>
      </c>
      <c r="AF89" s="2399">
        <v>1</v>
      </c>
      <c r="AG89" s="2399">
        <v>1</v>
      </c>
      <c r="AH89" s="2399">
        <v>1</v>
      </c>
      <c r="AI89" s="2399">
        <v>1</v>
      </c>
      <c r="AJ89" s="2399">
        <v>1</v>
      </c>
      <c r="AK89" s="2399">
        <v>1</v>
      </c>
      <c r="AL89" s="2399">
        <v>1</v>
      </c>
      <c r="AM89" s="2399">
        <v>7</v>
      </c>
      <c r="AN89" s="2409">
        <v>0</v>
      </c>
      <c r="AO89" s="2399" t="b">
        <v>0</v>
      </c>
      <c r="AP89" s="2399" t="b">
        <v>0</v>
      </c>
    </row>
    <row r="90" spans="1:42" x14ac:dyDescent="0.2">
      <c r="A90" s="574">
        <v>89</v>
      </c>
      <c r="B90" s="2398">
        <v>90</v>
      </c>
      <c r="C90" s="2399">
        <v>1</v>
      </c>
      <c r="D90" s="2398">
        <v>90</v>
      </c>
      <c r="E90" s="2398">
        <v>90</v>
      </c>
      <c r="F90" s="2398">
        <v>90</v>
      </c>
      <c r="G90" s="2398">
        <v>90</v>
      </c>
      <c r="H90" s="2398">
        <v>90</v>
      </c>
      <c r="I90" s="2398">
        <v>90</v>
      </c>
      <c r="J90" s="2398">
        <v>90</v>
      </c>
      <c r="K90" s="2398">
        <v>90</v>
      </c>
      <c r="L90" s="2489">
        <v>2</v>
      </c>
      <c r="M90" s="2399">
        <v>1</v>
      </c>
      <c r="N90" s="2399">
        <v>1</v>
      </c>
      <c r="O90" s="2399">
        <v>1</v>
      </c>
      <c r="P90" s="2399">
        <v>1</v>
      </c>
      <c r="Q90" s="2399">
        <v>1</v>
      </c>
      <c r="R90" s="2399">
        <v>1</v>
      </c>
      <c r="S90" s="2399">
        <v>1</v>
      </c>
      <c r="T90" s="2399">
        <v>1</v>
      </c>
      <c r="U90" s="2399">
        <v>1</v>
      </c>
      <c r="V90" s="2398">
        <v>90</v>
      </c>
      <c r="W90" s="2399">
        <v>1</v>
      </c>
      <c r="X90" s="2399">
        <v>1</v>
      </c>
      <c r="Y90" s="2398">
        <v>90</v>
      </c>
      <c r="Z90" s="2399">
        <v>1</v>
      </c>
      <c r="AA90" s="2489">
        <v>1</v>
      </c>
      <c r="AB90" s="2399">
        <v>1</v>
      </c>
      <c r="AC90" s="2399">
        <v>1</v>
      </c>
      <c r="AD90" s="2399">
        <v>7</v>
      </c>
      <c r="AE90" s="2398">
        <v>90</v>
      </c>
      <c r="AF90" s="2399">
        <v>1</v>
      </c>
      <c r="AG90" s="2399">
        <v>1</v>
      </c>
      <c r="AH90" s="2399">
        <v>1</v>
      </c>
      <c r="AI90" s="2399">
        <v>1</v>
      </c>
      <c r="AJ90" s="2399">
        <v>1</v>
      </c>
      <c r="AK90" s="2399">
        <v>1</v>
      </c>
      <c r="AL90" s="2399">
        <v>1</v>
      </c>
      <c r="AM90" s="2399">
        <v>5</v>
      </c>
      <c r="AN90" s="2409">
        <v>0</v>
      </c>
      <c r="AO90" s="2399" t="b">
        <v>0</v>
      </c>
      <c r="AP90" s="2399" t="b">
        <v>1</v>
      </c>
    </row>
    <row r="91" spans="1:42" x14ac:dyDescent="0.2">
      <c r="A91" s="574">
        <v>90</v>
      </c>
      <c r="B91" s="2398">
        <v>91</v>
      </c>
      <c r="C91" s="2398">
        <v>91</v>
      </c>
      <c r="D91" s="2398">
        <v>91</v>
      </c>
      <c r="E91" s="2398">
        <v>91</v>
      </c>
      <c r="F91" s="2398">
        <v>91</v>
      </c>
      <c r="G91" s="2398">
        <v>91</v>
      </c>
      <c r="H91" s="2398">
        <v>91</v>
      </c>
      <c r="I91" s="2398">
        <v>91</v>
      </c>
      <c r="J91" s="2398">
        <v>91</v>
      </c>
      <c r="K91" s="2398">
        <v>91</v>
      </c>
      <c r="L91" s="2489">
        <v>2</v>
      </c>
      <c r="M91" s="2399">
        <v>1</v>
      </c>
      <c r="N91" s="2399">
        <v>1</v>
      </c>
      <c r="O91" s="2399">
        <v>1</v>
      </c>
      <c r="P91" s="2399">
        <v>1</v>
      </c>
      <c r="Q91" s="2399">
        <v>1</v>
      </c>
      <c r="R91" s="2399">
        <v>1</v>
      </c>
      <c r="S91" s="2399">
        <v>1</v>
      </c>
      <c r="T91" s="2399">
        <v>1</v>
      </c>
      <c r="U91" s="2399">
        <v>1</v>
      </c>
      <c r="V91" s="2399">
        <v>1</v>
      </c>
      <c r="W91" s="2399">
        <v>1</v>
      </c>
      <c r="X91" s="2399">
        <v>1</v>
      </c>
      <c r="Y91" s="2398">
        <v>91</v>
      </c>
      <c r="Z91" s="2399">
        <v>1</v>
      </c>
      <c r="AA91" s="2489">
        <v>1</v>
      </c>
      <c r="AB91" s="2399">
        <v>1</v>
      </c>
      <c r="AC91" s="2398">
        <v>91</v>
      </c>
      <c r="AD91" s="2399">
        <v>6</v>
      </c>
      <c r="AE91" s="2399">
        <v>1</v>
      </c>
      <c r="AF91" s="2399">
        <v>1</v>
      </c>
      <c r="AG91" s="2399">
        <v>1</v>
      </c>
      <c r="AH91" s="2399">
        <v>1</v>
      </c>
      <c r="AI91" s="2399">
        <v>1</v>
      </c>
      <c r="AJ91" s="2399">
        <v>1</v>
      </c>
      <c r="AK91" s="2399">
        <v>1</v>
      </c>
      <c r="AL91" s="2399">
        <v>1</v>
      </c>
      <c r="AM91" s="2399">
        <v>3</v>
      </c>
      <c r="AN91" s="2409">
        <v>0</v>
      </c>
      <c r="AO91" s="2399" t="b">
        <v>1</v>
      </c>
      <c r="AP91" s="2399" t="b">
        <v>0</v>
      </c>
    </row>
    <row customHeight="1" ht="11.25" r="92" spans="1:42" x14ac:dyDescent="0.2">
      <c r="A92" s="574">
        <v>91</v>
      </c>
      <c r="B92" s="2398">
        <v>92</v>
      </c>
      <c r="C92" s="2398">
        <v>92</v>
      </c>
      <c r="D92" s="2398">
        <v>92</v>
      </c>
      <c r="E92" s="2398">
        <v>92</v>
      </c>
      <c r="F92" s="2398">
        <v>92</v>
      </c>
      <c r="G92" s="2398">
        <v>92</v>
      </c>
      <c r="H92" s="2398">
        <v>92</v>
      </c>
      <c r="I92" s="2398">
        <v>92</v>
      </c>
      <c r="J92" s="2398">
        <v>92</v>
      </c>
      <c r="K92" s="2398">
        <v>92</v>
      </c>
      <c r="L92" s="2489">
        <v>2</v>
      </c>
      <c r="M92" s="2399">
        <v>1</v>
      </c>
      <c r="N92" s="2399">
        <v>1</v>
      </c>
      <c r="O92" s="2399">
        <v>1</v>
      </c>
      <c r="P92" s="2399">
        <v>1</v>
      </c>
      <c r="Q92" s="2399">
        <v>1</v>
      </c>
      <c r="R92" s="2398">
        <v>92</v>
      </c>
      <c r="S92" s="2399">
        <v>1</v>
      </c>
      <c r="T92" s="2399">
        <v>1</v>
      </c>
      <c r="U92" s="2398">
        <v>92</v>
      </c>
      <c r="V92" s="2398">
        <v>92</v>
      </c>
      <c r="W92" s="2399">
        <v>1</v>
      </c>
      <c r="X92" s="2399">
        <v>1</v>
      </c>
      <c r="Y92" s="2399">
        <v>1</v>
      </c>
      <c r="Z92" s="2399">
        <v>1</v>
      </c>
      <c r="AA92" s="2489">
        <v>1</v>
      </c>
      <c r="AB92" s="2399">
        <v>1</v>
      </c>
      <c r="AC92" s="2399">
        <v>1</v>
      </c>
      <c r="AD92" s="2399">
        <v>1</v>
      </c>
      <c r="AE92" s="2399">
        <v>1</v>
      </c>
      <c r="AF92" s="2398">
        <v>92</v>
      </c>
      <c r="AG92" s="2399">
        <v>1</v>
      </c>
      <c r="AH92" s="2399">
        <v>1</v>
      </c>
      <c r="AI92" s="2399">
        <v>1</v>
      </c>
      <c r="AJ92" s="2399">
        <v>1</v>
      </c>
      <c r="AK92" s="2399">
        <v>1</v>
      </c>
      <c r="AL92" s="2399">
        <v>1</v>
      </c>
      <c r="AM92" s="2399">
        <v>5</v>
      </c>
      <c r="AN92" s="2409">
        <v>0</v>
      </c>
      <c r="AO92" s="2399" t="b">
        <v>0</v>
      </c>
      <c r="AP92" s="2399" t="b">
        <v>0</v>
      </c>
    </row>
    <row r="93" spans="1:42" x14ac:dyDescent="0.2">
      <c r="A93" s="574">
        <v>92</v>
      </c>
      <c r="B93" s="2398">
        <v>93</v>
      </c>
      <c r="C93" s="2398">
        <v>93</v>
      </c>
      <c r="D93" s="2398">
        <v>93</v>
      </c>
      <c r="E93" s="2398">
        <v>93</v>
      </c>
      <c r="F93" s="2398">
        <v>93</v>
      </c>
      <c r="G93" s="2398">
        <v>93</v>
      </c>
      <c r="H93" s="2398">
        <v>93</v>
      </c>
      <c r="I93" s="2398">
        <v>93</v>
      </c>
      <c r="J93" s="2398">
        <v>93</v>
      </c>
      <c r="K93" s="2398">
        <v>93</v>
      </c>
      <c r="L93" s="2489">
        <v>2</v>
      </c>
      <c r="M93" s="2399">
        <v>1</v>
      </c>
      <c r="N93" s="2398">
        <v>93</v>
      </c>
      <c r="O93" s="2399">
        <v>1</v>
      </c>
      <c r="P93" s="2399">
        <v>1</v>
      </c>
      <c r="Q93" s="2399">
        <v>1</v>
      </c>
      <c r="R93" s="2399">
        <v>1</v>
      </c>
      <c r="S93" s="2398">
        <v>93</v>
      </c>
      <c r="T93" s="2399">
        <v>1</v>
      </c>
      <c r="U93" s="2399">
        <v>1</v>
      </c>
      <c r="V93" s="2399">
        <v>1</v>
      </c>
      <c r="W93" s="2399">
        <v>1</v>
      </c>
      <c r="X93" s="2399">
        <v>1</v>
      </c>
      <c r="Y93" s="2399">
        <v>1</v>
      </c>
      <c r="Z93" s="2398">
        <v>93</v>
      </c>
      <c r="AA93" s="2489">
        <v>1</v>
      </c>
      <c r="AB93" s="2399">
        <v>1</v>
      </c>
      <c r="AC93" s="2399">
        <v>1</v>
      </c>
      <c r="AD93" s="2399">
        <v>5</v>
      </c>
      <c r="AE93" s="2399">
        <v>1</v>
      </c>
      <c r="AF93" s="2398">
        <v>93</v>
      </c>
      <c r="AG93" s="2399">
        <v>1</v>
      </c>
      <c r="AH93" s="2399">
        <v>1</v>
      </c>
      <c r="AI93" s="2399">
        <v>1</v>
      </c>
      <c r="AJ93" s="2399">
        <v>1</v>
      </c>
      <c r="AK93" s="2399">
        <v>1</v>
      </c>
      <c r="AL93" s="2399">
        <v>1</v>
      </c>
      <c r="AM93" s="2399">
        <v>5</v>
      </c>
      <c r="AN93" s="2409">
        <v>0</v>
      </c>
      <c r="AO93" s="2399" t="b">
        <v>0</v>
      </c>
      <c r="AP93" s="2399" t="b">
        <v>0</v>
      </c>
    </row>
    <row r="94" spans="1:42" x14ac:dyDescent="0.2">
      <c r="A94" s="574">
        <v>93</v>
      </c>
      <c r="B94" s="2398">
        <v>94</v>
      </c>
      <c r="C94" s="2398">
        <v>94</v>
      </c>
      <c r="D94" s="2398">
        <v>94</v>
      </c>
      <c r="E94" s="2398">
        <v>94</v>
      </c>
      <c r="F94" s="2398">
        <v>94</v>
      </c>
      <c r="G94" s="2398">
        <v>94</v>
      </c>
      <c r="H94" s="2398">
        <v>94</v>
      </c>
      <c r="I94" s="2398">
        <v>94</v>
      </c>
      <c r="J94" s="2398">
        <v>94</v>
      </c>
      <c r="K94" s="2398">
        <v>94</v>
      </c>
      <c r="L94" s="2489">
        <v>2</v>
      </c>
      <c r="M94" s="2399">
        <v>1</v>
      </c>
      <c r="N94" s="2398">
        <v>94</v>
      </c>
      <c r="O94" s="2399">
        <v>1</v>
      </c>
      <c r="P94" s="2399">
        <v>1</v>
      </c>
      <c r="Q94" s="2399">
        <v>1</v>
      </c>
      <c r="R94" s="2399">
        <v>1</v>
      </c>
      <c r="S94" s="2398">
        <v>94</v>
      </c>
      <c r="T94" s="2399">
        <v>1</v>
      </c>
      <c r="U94" s="2399">
        <v>1</v>
      </c>
      <c r="V94" s="2399">
        <v>1</v>
      </c>
      <c r="W94" s="2399">
        <v>1</v>
      </c>
      <c r="X94" s="2399">
        <v>1</v>
      </c>
      <c r="Y94" s="2399">
        <v>1</v>
      </c>
      <c r="Z94" s="2398">
        <v>94</v>
      </c>
      <c r="AA94" s="2489">
        <v>1</v>
      </c>
      <c r="AB94" s="2399">
        <v>1</v>
      </c>
      <c r="AC94" s="2399">
        <v>1</v>
      </c>
      <c r="AD94" s="2399">
        <v>5</v>
      </c>
      <c r="AE94" s="2399">
        <v>1</v>
      </c>
      <c r="AF94" s="2398">
        <v>94</v>
      </c>
      <c r="AG94" s="2399">
        <v>1</v>
      </c>
      <c r="AH94" s="2399">
        <v>1</v>
      </c>
      <c r="AI94" s="2399">
        <v>1</v>
      </c>
      <c r="AJ94" s="2399">
        <v>1</v>
      </c>
      <c r="AK94" s="2399">
        <v>1</v>
      </c>
      <c r="AL94" s="2399">
        <v>1</v>
      </c>
      <c r="AM94" s="2399">
        <v>5</v>
      </c>
      <c r="AN94" s="2409">
        <v>0</v>
      </c>
      <c r="AO94" s="2399" t="b">
        <v>0</v>
      </c>
      <c r="AP94" s="2399" t="b">
        <v>0</v>
      </c>
    </row>
    <row r="95" spans="1:42" x14ac:dyDescent="0.2">
      <c r="A95" s="574">
        <v>94</v>
      </c>
      <c r="B95" s="2398">
        <v>95</v>
      </c>
      <c r="C95" s="2398">
        <v>95</v>
      </c>
      <c r="D95" s="2398">
        <v>95</v>
      </c>
      <c r="E95" s="2398">
        <v>95</v>
      </c>
      <c r="F95" s="2398">
        <v>95</v>
      </c>
      <c r="G95" s="2398">
        <v>95</v>
      </c>
      <c r="H95" s="2398">
        <v>95</v>
      </c>
      <c r="I95" s="2398">
        <v>95</v>
      </c>
      <c r="J95" s="2398">
        <v>95</v>
      </c>
      <c r="K95" s="2398">
        <v>95</v>
      </c>
      <c r="L95" s="2489">
        <v>2</v>
      </c>
      <c r="M95" s="2399">
        <v>1</v>
      </c>
      <c r="N95" s="2398">
        <v>95</v>
      </c>
      <c r="O95" s="2398">
        <v>95</v>
      </c>
      <c r="P95" s="2399">
        <v>1</v>
      </c>
      <c r="Q95" s="2399">
        <v>1</v>
      </c>
      <c r="R95" s="2399">
        <v>1</v>
      </c>
      <c r="S95" s="2399">
        <v>1</v>
      </c>
      <c r="T95" s="2399">
        <v>1</v>
      </c>
      <c r="U95" s="2399">
        <v>1</v>
      </c>
      <c r="V95" s="2399">
        <v>1</v>
      </c>
      <c r="W95" s="2399">
        <v>1</v>
      </c>
      <c r="X95" s="2398">
        <v>95</v>
      </c>
      <c r="Y95" s="2399">
        <v>1</v>
      </c>
      <c r="Z95" s="2399">
        <v>1</v>
      </c>
      <c r="AA95" s="2489">
        <v>1</v>
      </c>
      <c r="AB95" s="2399">
        <v>1</v>
      </c>
      <c r="AC95" s="2399">
        <v>1</v>
      </c>
      <c r="AD95" s="2399">
        <v>1</v>
      </c>
      <c r="AE95" s="2399">
        <v>1</v>
      </c>
      <c r="AF95" s="2398">
        <v>95</v>
      </c>
      <c r="AG95" s="2398">
        <v>95</v>
      </c>
      <c r="AH95" s="2398">
        <v>95</v>
      </c>
      <c r="AI95" s="2399">
        <v>1</v>
      </c>
      <c r="AJ95" s="2399">
        <v>2</v>
      </c>
      <c r="AK95" s="2399">
        <v>1</v>
      </c>
      <c r="AL95" s="2399">
        <v>2</v>
      </c>
      <c r="AM95" s="2399">
        <v>5</v>
      </c>
      <c r="AN95" s="2409">
        <v>289</v>
      </c>
      <c r="AO95" s="2399" t="b">
        <v>0</v>
      </c>
      <c r="AP95" s="2399" t="b">
        <v>0</v>
      </c>
    </row>
    <row r="96" spans="1:42" x14ac:dyDescent="0.2">
      <c r="A96" s="574">
        <v>95</v>
      </c>
      <c r="B96" s="2398">
        <v>96</v>
      </c>
      <c r="C96" s="2399">
        <v>1</v>
      </c>
      <c r="D96" s="2398">
        <v>96</v>
      </c>
      <c r="E96" s="2398">
        <v>96</v>
      </c>
      <c r="F96" s="2398">
        <v>96</v>
      </c>
      <c r="G96" s="2398">
        <v>96</v>
      </c>
      <c r="H96" s="2398">
        <v>96</v>
      </c>
      <c r="I96" s="2398">
        <v>96</v>
      </c>
      <c r="J96" s="2398">
        <v>96</v>
      </c>
      <c r="K96" s="2398">
        <v>96</v>
      </c>
      <c r="L96" s="2489">
        <v>2</v>
      </c>
      <c r="M96" s="2398">
        <v>96</v>
      </c>
      <c r="N96" s="2399">
        <v>1</v>
      </c>
      <c r="O96" s="2398">
        <v>96</v>
      </c>
      <c r="P96" s="2399">
        <v>1</v>
      </c>
      <c r="Q96" s="2399">
        <v>1</v>
      </c>
      <c r="R96" s="2399">
        <v>1</v>
      </c>
      <c r="S96" s="2399">
        <v>1</v>
      </c>
      <c r="T96" s="2399">
        <v>1</v>
      </c>
      <c r="U96" s="2399">
        <v>1</v>
      </c>
      <c r="V96" s="2399">
        <v>1</v>
      </c>
      <c r="W96" s="2399">
        <v>1</v>
      </c>
      <c r="X96" s="2399">
        <v>1</v>
      </c>
      <c r="Y96" s="2399">
        <v>1</v>
      </c>
      <c r="Z96" s="2398">
        <v>96</v>
      </c>
      <c r="AA96" s="2489">
        <v>1</v>
      </c>
      <c r="AB96" s="2399">
        <v>1</v>
      </c>
      <c r="AC96" s="2399">
        <v>1</v>
      </c>
      <c r="AD96" s="2399">
        <v>5</v>
      </c>
      <c r="AE96" s="2399">
        <v>1</v>
      </c>
      <c r="AF96" s="2399">
        <v>1</v>
      </c>
      <c r="AG96" s="2399">
        <v>1</v>
      </c>
      <c r="AH96" s="2399">
        <v>1</v>
      </c>
      <c r="AI96" s="2399">
        <v>1</v>
      </c>
      <c r="AJ96" s="2399">
        <v>1</v>
      </c>
      <c r="AK96" s="2399">
        <v>1</v>
      </c>
      <c r="AL96" s="2399">
        <v>1</v>
      </c>
      <c r="AM96" s="2399">
        <v>5</v>
      </c>
      <c r="AN96" s="2409">
        <v>0</v>
      </c>
      <c r="AO96" s="2399" t="b">
        <v>0</v>
      </c>
      <c r="AP96" s="2399" t="b">
        <v>0</v>
      </c>
    </row>
    <row r="97" spans="1:42" x14ac:dyDescent="0.2">
      <c r="A97" s="574">
        <v>96</v>
      </c>
      <c r="B97" s="2398">
        <v>97</v>
      </c>
      <c r="C97" s="2399">
        <v>1</v>
      </c>
      <c r="D97" s="2398">
        <v>97</v>
      </c>
      <c r="E97" s="2398">
        <v>97</v>
      </c>
      <c r="F97" s="2398">
        <v>97</v>
      </c>
      <c r="G97" s="2398">
        <v>97</v>
      </c>
      <c r="H97" s="2398">
        <v>97</v>
      </c>
      <c r="I97" s="2398">
        <v>97</v>
      </c>
      <c r="J97" s="2398">
        <v>97</v>
      </c>
      <c r="K97" s="2398">
        <v>97</v>
      </c>
      <c r="L97" s="2489">
        <v>2</v>
      </c>
      <c r="M97" s="2398">
        <v>97</v>
      </c>
      <c r="N97" s="2399">
        <v>1</v>
      </c>
      <c r="O97" s="2398">
        <v>97</v>
      </c>
      <c r="P97" s="2399">
        <v>1</v>
      </c>
      <c r="Q97" s="2399">
        <v>1</v>
      </c>
      <c r="R97" s="2399">
        <v>3</v>
      </c>
      <c r="S97" s="2398">
        <v>97</v>
      </c>
      <c r="T97" s="2399">
        <v>1</v>
      </c>
      <c r="U97" s="2399">
        <v>1</v>
      </c>
      <c r="V97" s="2398">
        <v>97</v>
      </c>
      <c r="W97" s="2399">
        <v>1</v>
      </c>
      <c r="X97" s="2399">
        <v>1</v>
      </c>
      <c r="Y97" s="2399">
        <v>1</v>
      </c>
      <c r="Z97" s="2398">
        <v>97</v>
      </c>
      <c r="AA97" s="2489">
        <v>1</v>
      </c>
      <c r="AB97" s="2399">
        <v>1</v>
      </c>
      <c r="AC97" s="2399">
        <v>1</v>
      </c>
      <c r="AD97" s="2399">
        <v>5</v>
      </c>
      <c r="AE97" s="2398">
        <v>97</v>
      </c>
      <c r="AF97" s="2398">
        <v>97</v>
      </c>
      <c r="AG97" s="2399">
        <v>1</v>
      </c>
      <c r="AH97" s="2399">
        <v>1</v>
      </c>
      <c r="AI97" s="2399">
        <v>1</v>
      </c>
      <c r="AJ97" s="2399">
        <v>1</v>
      </c>
      <c r="AK97" s="2399">
        <v>1</v>
      </c>
      <c r="AL97" s="2399">
        <v>1</v>
      </c>
      <c r="AM97" s="2399">
        <v>4</v>
      </c>
      <c r="AN97" s="2409">
        <v>0</v>
      </c>
      <c r="AO97" s="2399" t="b">
        <v>0</v>
      </c>
      <c r="AP97" s="2399" t="b">
        <v>0</v>
      </c>
    </row>
    <row r="98" spans="1:42" x14ac:dyDescent="0.2">
      <c r="A98" s="574">
        <v>97</v>
      </c>
      <c r="B98" s="2398">
        <v>98</v>
      </c>
      <c r="C98" s="2399">
        <v>1</v>
      </c>
      <c r="D98" s="2398">
        <v>98</v>
      </c>
      <c r="E98" s="2398">
        <v>98</v>
      </c>
      <c r="F98" s="2398">
        <v>98</v>
      </c>
      <c r="G98" s="2398">
        <v>98</v>
      </c>
      <c r="H98" s="2398">
        <v>98</v>
      </c>
      <c r="I98" s="2398">
        <v>98</v>
      </c>
      <c r="J98" s="2398">
        <v>98</v>
      </c>
      <c r="K98" s="2398">
        <v>98</v>
      </c>
      <c r="L98" s="2489">
        <v>2</v>
      </c>
      <c r="M98" s="2398">
        <v>98</v>
      </c>
      <c r="N98" s="2399">
        <v>1</v>
      </c>
      <c r="O98" s="2399">
        <v>1</v>
      </c>
      <c r="P98" s="2399">
        <v>1</v>
      </c>
      <c r="Q98" s="2399">
        <v>1</v>
      </c>
      <c r="R98" s="2399">
        <v>1</v>
      </c>
      <c r="S98" s="2398">
        <v>98</v>
      </c>
      <c r="T98" s="2399">
        <v>1</v>
      </c>
      <c r="U98" s="2399">
        <v>1</v>
      </c>
      <c r="V98" s="2399">
        <v>1</v>
      </c>
      <c r="W98" s="2399">
        <v>1</v>
      </c>
      <c r="X98" s="2399">
        <v>1</v>
      </c>
      <c r="Y98" s="2399">
        <v>1</v>
      </c>
      <c r="Z98" s="2399">
        <v>1</v>
      </c>
      <c r="AA98" s="2489">
        <v>1</v>
      </c>
      <c r="AB98" s="2398">
        <v>98</v>
      </c>
      <c r="AC98" s="2399">
        <v>1</v>
      </c>
      <c r="AD98" s="2399">
        <v>5</v>
      </c>
      <c r="AE98" s="2399">
        <v>1</v>
      </c>
      <c r="AF98" s="2399">
        <v>1</v>
      </c>
      <c r="AG98" s="2399">
        <v>1</v>
      </c>
      <c r="AH98" s="2399">
        <v>1</v>
      </c>
      <c r="AI98" s="2399">
        <v>1</v>
      </c>
      <c r="AJ98" s="2399">
        <v>1</v>
      </c>
      <c r="AK98" s="2399">
        <v>1</v>
      </c>
      <c r="AL98" s="2399">
        <v>1</v>
      </c>
      <c r="AM98" s="2399">
        <v>5</v>
      </c>
      <c r="AN98" s="2409">
        <v>650.29</v>
      </c>
      <c r="AO98" s="2399" t="b">
        <v>0</v>
      </c>
      <c r="AP98" s="2399" t="b">
        <v>0</v>
      </c>
    </row>
    <row r="99" spans="1:42" x14ac:dyDescent="0.2">
      <c r="A99" s="574">
        <v>98</v>
      </c>
      <c r="B99" s="2398">
        <v>99</v>
      </c>
      <c r="C99" s="2399">
        <v>1</v>
      </c>
      <c r="D99" s="2398">
        <v>99</v>
      </c>
      <c r="E99" s="2398">
        <v>99</v>
      </c>
      <c r="F99" s="2398">
        <v>99</v>
      </c>
      <c r="G99" s="2398">
        <v>99</v>
      </c>
      <c r="H99" s="2398">
        <v>99</v>
      </c>
      <c r="I99" s="2398">
        <v>99</v>
      </c>
      <c r="J99" s="2398">
        <v>99</v>
      </c>
      <c r="K99" s="2398">
        <v>99</v>
      </c>
      <c r="L99" s="2489">
        <v>2</v>
      </c>
      <c r="M99" s="2398">
        <v>99</v>
      </c>
      <c r="N99" s="2398">
        <v>99</v>
      </c>
      <c r="O99" s="2399">
        <v>1</v>
      </c>
      <c r="P99" s="2399">
        <v>1</v>
      </c>
      <c r="Q99" s="2399">
        <v>1</v>
      </c>
      <c r="R99" s="2399">
        <v>1</v>
      </c>
      <c r="S99" s="2399">
        <v>1</v>
      </c>
      <c r="T99" s="2399">
        <v>1</v>
      </c>
      <c r="U99" s="2399">
        <v>1</v>
      </c>
      <c r="V99" s="2399">
        <v>1</v>
      </c>
      <c r="W99" s="2399">
        <v>1</v>
      </c>
      <c r="X99" s="2399">
        <v>1</v>
      </c>
      <c r="Y99" s="2399">
        <v>1</v>
      </c>
      <c r="Z99" s="2399">
        <v>1</v>
      </c>
      <c r="AA99" s="2489">
        <v>1</v>
      </c>
      <c r="AB99" s="2398">
        <v>99</v>
      </c>
      <c r="AC99" s="2399">
        <v>1</v>
      </c>
      <c r="AD99" s="2399">
        <v>5</v>
      </c>
      <c r="AE99" s="2399">
        <v>1</v>
      </c>
      <c r="AF99" s="2399">
        <v>1</v>
      </c>
      <c r="AG99" s="2399">
        <v>1</v>
      </c>
      <c r="AH99" s="2399">
        <v>1</v>
      </c>
      <c r="AI99" s="2399">
        <v>1</v>
      </c>
      <c r="AJ99" s="2399">
        <v>1</v>
      </c>
      <c r="AK99" s="2399">
        <v>1</v>
      </c>
      <c r="AL99" s="2399">
        <v>1</v>
      </c>
      <c r="AM99" s="2399">
        <v>4</v>
      </c>
      <c r="AN99" s="2409">
        <v>0</v>
      </c>
      <c r="AO99" s="2399" t="b">
        <v>0</v>
      </c>
      <c r="AP99" s="2399" t="b">
        <v>1</v>
      </c>
    </row>
    <row r="100" spans="1:42" x14ac:dyDescent="0.2">
      <c r="A100" s="574">
        <v>99</v>
      </c>
      <c r="B100" s="2398">
        <v>100</v>
      </c>
      <c r="C100" s="2398">
        <v>100</v>
      </c>
      <c r="D100" s="2398">
        <v>100</v>
      </c>
      <c r="E100" s="2398">
        <v>100</v>
      </c>
      <c r="F100" s="2398">
        <v>100</v>
      </c>
      <c r="G100" s="2398">
        <v>100</v>
      </c>
      <c r="H100" s="2398">
        <v>100</v>
      </c>
      <c r="I100" s="2398">
        <v>100</v>
      </c>
      <c r="J100" s="2398">
        <v>100</v>
      </c>
      <c r="K100" s="2398">
        <v>100</v>
      </c>
      <c r="L100" s="2489">
        <v>2</v>
      </c>
      <c r="M100" s="2399">
        <v>1</v>
      </c>
      <c r="N100" s="2398">
        <v>100</v>
      </c>
      <c r="O100" s="2399">
        <v>1</v>
      </c>
      <c r="P100" s="2399">
        <v>1</v>
      </c>
      <c r="Q100" s="2399">
        <v>1</v>
      </c>
      <c r="R100" s="2399">
        <v>1</v>
      </c>
      <c r="S100" s="2399">
        <v>1</v>
      </c>
      <c r="T100" s="2399">
        <v>1</v>
      </c>
      <c r="U100" s="2399">
        <v>1</v>
      </c>
      <c r="V100" s="2399">
        <v>1</v>
      </c>
      <c r="W100" s="2399">
        <v>1</v>
      </c>
      <c r="X100" s="2399">
        <v>1</v>
      </c>
      <c r="Y100" s="2399">
        <v>1</v>
      </c>
      <c r="Z100" s="2399">
        <v>1</v>
      </c>
      <c r="AA100" s="2489">
        <v>1</v>
      </c>
      <c r="AB100" s="2399">
        <v>1</v>
      </c>
      <c r="AC100" s="2398">
        <v>100</v>
      </c>
      <c r="AD100" s="2399">
        <v>10</v>
      </c>
      <c r="AE100" s="2399">
        <v>1</v>
      </c>
      <c r="AF100" s="2399">
        <v>1</v>
      </c>
      <c r="AG100" s="2399">
        <v>1</v>
      </c>
      <c r="AH100" s="2399">
        <v>1</v>
      </c>
      <c r="AI100" s="2399">
        <v>1</v>
      </c>
      <c r="AJ100" s="2399">
        <v>1</v>
      </c>
      <c r="AK100" s="2399">
        <v>1</v>
      </c>
      <c r="AL100" s="2399">
        <v>1</v>
      </c>
      <c r="AM100" s="2399">
        <v>5</v>
      </c>
      <c r="AN100" s="2409">
        <v>0</v>
      </c>
      <c r="AO100" s="2399" t="b">
        <v>0</v>
      </c>
      <c r="AP100" s="2399" t="b">
        <v>0</v>
      </c>
    </row>
    <row r="101" spans="1:42" x14ac:dyDescent="0.2">
      <c r="A101" s="574">
        <v>100</v>
      </c>
      <c r="B101" s="2398">
        <v>101</v>
      </c>
      <c r="C101" s="2398">
        <v>101</v>
      </c>
      <c r="D101" s="2398">
        <v>101</v>
      </c>
      <c r="E101" s="2398">
        <v>101</v>
      </c>
      <c r="F101" s="2398">
        <v>101</v>
      </c>
      <c r="G101" s="2398">
        <v>101</v>
      </c>
      <c r="H101" s="2398">
        <v>101</v>
      </c>
      <c r="I101" s="2398">
        <v>101</v>
      </c>
      <c r="J101" s="2398">
        <v>101</v>
      </c>
      <c r="K101" s="2398">
        <v>101</v>
      </c>
      <c r="L101" s="2489">
        <v>2</v>
      </c>
      <c r="M101" s="2399">
        <v>1</v>
      </c>
      <c r="N101" s="2399">
        <v>1</v>
      </c>
      <c r="O101" s="2399">
        <v>1</v>
      </c>
      <c r="P101" s="2399">
        <v>1</v>
      </c>
      <c r="Q101" s="2399">
        <v>1</v>
      </c>
      <c r="R101" s="2399">
        <v>1</v>
      </c>
      <c r="S101" s="2399">
        <v>1</v>
      </c>
      <c r="T101" s="2399">
        <v>1</v>
      </c>
      <c r="U101" s="2399">
        <v>1</v>
      </c>
      <c r="V101" s="2399">
        <v>1</v>
      </c>
      <c r="W101" s="2399">
        <v>1</v>
      </c>
      <c r="X101" s="2399">
        <v>1</v>
      </c>
      <c r="Y101" s="2399">
        <v>1</v>
      </c>
      <c r="Z101" s="2399">
        <v>1</v>
      </c>
      <c r="AA101" s="2489">
        <v>1</v>
      </c>
      <c r="AB101" s="2399">
        <v>1</v>
      </c>
      <c r="AC101" s="2398">
        <v>101</v>
      </c>
      <c r="AD101" s="2399">
        <v>7</v>
      </c>
      <c r="AE101" s="2399">
        <v>1</v>
      </c>
      <c r="AF101" s="2398">
        <v>101</v>
      </c>
      <c r="AG101" s="2399">
        <v>1</v>
      </c>
      <c r="AH101" s="2399">
        <v>1</v>
      </c>
      <c r="AI101" s="2399">
        <v>1</v>
      </c>
      <c r="AJ101" s="2399">
        <v>1</v>
      </c>
      <c r="AK101" s="2399">
        <v>1</v>
      </c>
      <c r="AL101" s="2399">
        <v>1</v>
      </c>
      <c r="AM101" s="2399">
        <v>5</v>
      </c>
      <c r="AN101" s="2409">
        <v>0</v>
      </c>
      <c r="AO101" s="2399" t="b">
        <v>0</v>
      </c>
      <c r="AP101" s="2399" t="b">
        <v>0</v>
      </c>
    </row>
    <row r="102" spans="1:42" x14ac:dyDescent="0.2">
      <c r="A102" s="574">
        <v>101</v>
      </c>
      <c r="B102" s="2398">
        <v>102</v>
      </c>
      <c r="C102" s="2398">
        <v>102</v>
      </c>
      <c r="D102" s="2398">
        <v>102</v>
      </c>
      <c r="E102" s="2398">
        <v>102</v>
      </c>
      <c r="F102" s="2398">
        <v>102</v>
      </c>
      <c r="G102" s="2398">
        <v>102</v>
      </c>
      <c r="H102" s="2398">
        <v>102</v>
      </c>
      <c r="I102" s="2398">
        <v>102</v>
      </c>
      <c r="J102" s="2398">
        <v>102</v>
      </c>
      <c r="K102" s="2398">
        <v>102</v>
      </c>
      <c r="L102" s="2489">
        <v>2</v>
      </c>
      <c r="M102" s="2399">
        <v>1</v>
      </c>
      <c r="N102" s="2398">
        <v>102</v>
      </c>
      <c r="O102" s="2398">
        <v>102</v>
      </c>
      <c r="P102" s="2399">
        <v>1</v>
      </c>
      <c r="Q102" s="2399">
        <v>1</v>
      </c>
      <c r="R102" s="2399">
        <v>1</v>
      </c>
      <c r="S102" s="2398">
        <v>102</v>
      </c>
      <c r="T102" s="2399">
        <v>1</v>
      </c>
      <c r="U102" s="2399">
        <v>1</v>
      </c>
      <c r="V102" s="2399">
        <v>1</v>
      </c>
      <c r="W102" s="2399">
        <v>1</v>
      </c>
      <c r="X102" s="2399">
        <v>1</v>
      </c>
      <c r="Y102" s="2399">
        <v>1</v>
      </c>
      <c r="Z102" s="2399">
        <v>1</v>
      </c>
      <c r="AA102" s="2489">
        <v>1</v>
      </c>
      <c r="AB102" s="2399">
        <v>1</v>
      </c>
      <c r="AC102" s="2398">
        <v>102</v>
      </c>
      <c r="AD102" s="2399">
        <v>7</v>
      </c>
      <c r="AE102" s="2399">
        <v>1</v>
      </c>
      <c r="AF102" s="2398">
        <v>102</v>
      </c>
      <c r="AG102" s="2399">
        <v>1</v>
      </c>
      <c r="AH102" s="2399">
        <v>1</v>
      </c>
      <c r="AI102" s="2399">
        <v>1</v>
      </c>
      <c r="AJ102" s="2399">
        <v>4</v>
      </c>
      <c r="AK102" s="2399">
        <v>1</v>
      </c>
      <c r="AL102" s="2399">
        <v>1</v>
      </c>
      <c r="AM102" s="2399">
        <v>5</v>
      </c>
      <c r="AN102" s="2409">
        <v>0</v>
      </c>
      <c r="AO102" s="2399" t="b">
        <v>0</v>
      </c>
      <c r="AP102" s="2399" t="b">
        <v>0</v>
      </c>
    </row>
    <row r="103" spans="1:42" x14ac:dyDescent="0.2">
      <c r="A103" s="574">
        <v>102</v>
      </c>
      <c r="B103" s="2398">
        <v>103</v>
      </c>
      <c r="C103" s="2398">
        <v>103</v>
      </c>
      <c r="D103" s="2398">
        <v>103</v>
      </c>
      <c r="E103" s="2398">
        <v>103</v>
      </c>
      <c r="F103" s="2398">
        <v>103</v>
      </c>
      <c r="G103" s="2398">
        <v>103</v>
      </c>
      <c r="H103" s="2398">
        <v>103</v>
      </c>
      <c r="I103" s="2398">
        <v>103</v>
      </c>
      <c r="J103" s="2398">
        <v>103</v>
      </c>
      <c r="K103" s="2398">
        <v>103</v>
      </c>
      <c r="L103" s="2489">
        <v>2</v>
      </c>
      <c r="M103" s="2399">
        <v>1</v>
      </c>
      <c r="N103" s="2399">
        <v>1</v>
      </c>
      <c r="O103" s="2399">
        <v>1</v>
      </c>
      <c r="P103" s="2399">
        <v>1</v>
      </c>
      <c r="Q103" s="2399">
        <v>1</v>
      </c>
      <c r="R103" s="2399">
        <v>1</v>
      </c>
      <c r="S103" s="2399">
        <v>1</v>
      </c>
      <c r="T103" s="2399">
        <v>1</v>
      </c>
      <c r="U103" s="2399">
        <v>1</v>
      </c>
      <c r="V103" s="2398">
        <v>103</v>
      </c>
      <c r="W103" s="2398">
        <v>103</v>
      </c>
      <c r="X103" s="2399">
        <v>1</v>
      </c>
      <c r="Y103" s="2399">
        <v>1</v>
      </c>
      <c r="Z103" s="2399">
        <v>1</v>
      </c>
      <c r="AA103" s="2489">
        <v>1</v>
      </c>
      <c r="AB103" s="2399">
        <v>1</v>
      </c>
      <c r="AC103" s="2399">
        <v>1</v>
      </c>
      <c r="AD103" s="2399">
        <v>1</v>
      </c>
      <c r="AE103" s="2399">
        <v>1</v>
      </c>
      <c r="AF103" s="2399">
        <v>1</v>
      </c>
      <c r="AG103" s="2399">
        <v>1</v>
      </c>
      <c r="AH103" s="2399">
        <v>1</v>
      </c>
      <c r="AI103" s="2399">
        <v>1</v>
      </c>
      <c r="AJ103" s="2399">
        <v>1</v>
      </c>
      <c r="AK103" s="2399">
        <v>1</v>
      </c>
      <c r="AL103" s="2399">
        <v>3</v>
      </c>
      <c r="AM103" s="2399">
        <v>5</v>
      </c>
      <c r="AN103" s="2409">
        <v>0</v>
      </c>
      <c r="AO103" s="2399" t="b">
        <v>0</v>
      </c>
      <c r="AP103" s="2399" t="b">
        <v>0</v>
      </c>
    </row>
    <row r="104" spans="1:42" x14ac:dyDescent="0.2">
      <c r="A104" s="574">
        <v>103</v>
      </c>
      <c r="B104" s="2398">
        <v>104</v>
      </c>
      <c r="C104" s="2399">
        <v>1</v>
      </c>
      <c r="D104" s="2398">
        <v>104</v>
      </c>
      <c r="E104" s="2398">
        <v>104</v>
      </c>
      <c r="F104" s="2398">
        <v>104</v>
      </c>
      <c r="G104" s="2398">
        <v>104</v>
      </c>
      <c r="H104" s="2398">
        <v>104</v>
      </c>
      <c r="I104" s="2398">
        <v>104</v>
      </c>
      <c r="J104" s="2398">
        <v>104</v>
      </c>
      <c r="K104" s="2398">
        <v>104</v>
      </c>
      <c r="L104" s="2489">
        <v>2</v>
      </c>
      <c r="M104" s="2399">
        <v>1</v>
      </c>
      <c r="N104" s="2398">
        <v>104</v>
      </c>
      <c r="O104" s="2399">
        <v>1</v>
      </c>
      <c r="P104" s="2399">
        <v>1</v>
      </c>
      <c r="Q104" s="2399">
        <v>1</v>
      </c>
      <c r="R104" s="2399">
        <v>1</v>
      </c>
      <c r="S104" s="2398">
        <v>104</v>
      </c>
      <c r="T104" s="2399">
        <v>1</v>
      </c>
      <c r="U104" s="2399">
        <v>1</v>
      </c>
      <c r="V104" s="2399">
        <v>1</v>
      </c>
      <c r="W104" s="2399">
        <v>1</v>
      </c>
      <c r="X104" s="2399">
        <v>1</v>
      </c>
      <c r="Y104" s="2399">
        <v>1</v>
      </c>
      <c r="Z104" s="2398">
        <v>104</v>
      </c>
      <c r="AA104" s="2489">
        <v>1</v>
      </c>
      <c r="AB104" s="2399">
        <v>1</v>
      </c>
      <c r="AC104" s="2399">
        <v>1</v>
      </c>
      <c r="AD104" s="2399">
        <v>5</v>
      </c>
      <c r="AE104" s="2399">
        <v>1</v>
      </c>
      <c r="AF104" s="2398">
        <v>104</v>
      </c>
      <c r="AG104" s="2399">
        <v>1</v>
      </c>
      <c r="AH104" s="2399">
        <v>1</v>
      </c>
      <c r="AI104" s="2399">
        <v>1</v>
      </c>
      <c r="AJ104" s="2399">
        <v>3</v>
      </c>
      <c r="AK104" s="2399">
        <v>1</v>
      </c>
      <c r="AL104" s="2399">
        <v>1</v>
      </c>
      <c r="AM104" s="2399">
        <v>7</v>
      </c>
      <c r="AN104" s="2409">
        <v>0</v>
      </c>
      <c r="AO104" s="2399" t="b">
        <v>0</v>
      </c>
      <c r="AP104" s="2399" t="b">
        <v>0</v>
      </c>
    </row>
    <row r="105" spans="1:42" x14ac:dyDescent="0.2">
      <c r="A105" s="574">
        <v>104</v>
      </c>
      <c r="B105" s="2398">
        <v>105</v>
      </c>
      <c r="C105" s="2399">
        <v>1</v>
      </c>
      <c r="D105" s="2398">
        <v>105</v>
      </c>
      <c r="E105" s="2398">
        <v>105</v>
      </c>
      <c r="F105" s="2398">
        <v>105</v>
      </c>
      <c r="G105" s="2398">
        <v>105</v>
      </c>
      <c r="H105" s="2398">
        <v>105</v>
      </c>
      <c r="I105" s="2398">
        <v>105</v>
      </c>
      <c r="J105" s="2398">
        <v>105</v>
      </c>
      <c r="K105" s="2398">
        <v>105</v>
      </c>
      <c r="L105" s="2489">
        <v>2</v>
      </c>
      <c r="M105" s="2399">
        <v>1</v>
      </c>
      <c r="N105" s="2398">
        <v>105</v>
      </c>
      <c r="O105" s="2399">
        <v>1</v>
      </c>
      <c r="P105" s="2399">
        <v>1</v>
      </c>
      <c r="Q105" s="2399">
        <v>1</v>
      </c>
      <c r="R105" s="2399">
        <v>1</v>
      </c>
      <c r="S105" s="2399">
        <v>1</v>
      </c>
      <c r="T105" s="2399">
        <v>1</v>
      </c>
      <c r="U105" s="2399">
        <v>1</v>
      </c>
      <c r="V105" s="2398">
        <v>105</v>
      </c>
      <c r="W105" s="2399">
        <v>1</v>
      </c>
      <c r="X105" s="2399">
        <v>1</v>
      </c>
      <c r="Y105" s="2398">
        <v>105</v>
      </c>
      <c r="Z105" s="2399">
        <v>1</v>
      </c>
      <c r="AA105" s="2489">
        <v>1</v>
      </c>
      <c r="AB105" s="2398">
        <v>105</v>
      </c>
      <c r="AC105" s="2399">
        <v>1</v>
      </c>
      <c r="AD105" s="2399">
        <v>5</v>
      </c>
      <c r="AE105" s="2399">
        <v>1</v>
      </c>
      <c r="AF105" s="2399">
        <v>1</v>
      </c>
      <c r="AG105" s="2399">
        <v>1</v>
      </c>
      <c r="AH105" s="2399">
        <v>1</v>
      </c>
      <c r="AI105" s="2399">
        <v>1</v>
      </c>
      <c r="AJ105" s="2399">
        <v>1</v>
      </c>
      <c r="AK105" s="2399">
        <v>1</v>
      </c>
      <c r="AL105" s="2399">
        <v>1</v>
      </c>
      <c r="AM105" s="2399">
        <v>4</v>
      </c>
      <c r="AN105" s="2409">
        <v>0</v>
      </c>
      <c r="AO105" s="2399" t="b">
        <v>0</v>
      </c>
      <c r="AP105" s="2399" t="b">
        <v>0</v>
      </c>
    </row>
    <row r="106" spans="1:42" x14ac:dyDescent="0.2">
      <c r="A106" s="574">
        <v>105</v>
      </c>
      <c r="B106" s="2398">
        <v>106</v>
      </c>
      <c r="C106" s="2398">
        <v>106</v>
      </c>
      <c r="D106" s="2398">
        <v>106</v>
      </c>
      <c r="E106" s="2398">
        <v>106</v>
      </c>
      <c r="F106" s="2398">
        <v>106</v>
      </c>
      <c r="G106" s="2398">
        <v>106</v>
      </c>
      <c r="H106" s="2398">
        <v>106</v>
      </c>
      <c r="I106" s="2398">
        <v>106</v>
      </c>
      <c r="J106" s="2398">
        <v>106</v>
      </c>
      <c r="K106" s="2398">
        <v>106</v>
      </c>
      <c r="L106" s="2489">
        <v>2</v>
      </c>
      <c r="M106" s="2399">
        <v>1</v>
      </c>
      <c r="N106" s="2398">
        <v>106</v>
      </c>
      <c r="O106" s="2399">
        <v>1</v>
      </c>
      <c r="P106" s="2399">
        <v>1</v>
      </c>
      <c r="Q106" s="2399">
        <v>1</v>
      </c>
      <c r="R106" s="2399">
        <v>1</v>
      </c>
      <c r="S106" s="2399">
        <v>1</v>
      </c>
      <c r="T106" s="2399">
        <v>1</v>
      </c>
      <c r="U106" s="2399">
        <v>1</v>
      </c>
      <c r="V106" s="2398">
        <v>106</v>
      </c>
      <c r="W106" s="2399">
        <v>1</v>
      </c>
      <c r="X106" s="2399">
        <v>1</v>
      </c>
      <c r="Y106" s="2399">
        <v>1</v>
      </c>
      <c r="Z106" s="2399">
        <v>1</v>
      </c>
      <c r="AA106" s="2489">
        <v>1</v>
      </c>
      <c r="AB106" s="2399">
        <v>1</v>
      </c>
      <c r="AC106" s="2399">
        <v>1</v>
      </c>
      <c r="AD106" s="2399">
        <v>1</v>
      </c>
      <c r="AE106" s="2399">
        <v>1</v>
      </c>
      <c r="AF106" s="2399">
        <v>1</v>
      </c>
      <c r="AG106" s="2399">
        <v>1</v>
      </c>
      <c r="AH106" s="2399">
        <v>1</v>
      </c>
      <c r="AI106" s="2399">
        <v>1</v>
      </c>
      <c r="AJ106" s="2399">
        <v>1</v>
      </c>
      <c r="AK106" s="2399">
        <v>1</v>
      </c>
      <c r="AL106" s="2399">
        <v>1</v>
      </c>
      <c r="AM106" s="2399">
        <v>4</v>
      </c>
      <c r="AN106" s="2409">
        <v>0</v>
      </c>
      <c r="AO106" s="2399" t="b">
        <v>0</v>
      </c>
      <c r="AP106" s="2399" t="b">
        <v>0</v>
      </c>
    </row>
    <row r="107" spans="1:42" x14ac:dyDescent="0.2">
      <c r="A107" s="574">
        <v>106</v>
      </c>
      <c r="B107" s="2398">
        <v>107</v>
      </c>
      <c r="C107" s="2398">
        <v>107</v>
      </c>
      <c r="D107" s="2398">
        <v>107</v>
      </c>
      <c r="E107" s="2398">
        <v>107</v>
      </c>
      <c r="F107" s="2398">
        <v>107</v>
      </c>
      <c r="G107" s="2398">
        <v>107</v>
      </c>
      <c r="H107" s="2398">
        <v>107</v>
      </c>
      <c r="I107" s="2398">
        <v>107</v>
      </c>
      <c r="J107" s="2398">
        <v>107</v>
      </c>
      <c r="K107" s="2398">
        <v>107</v>
      </c>
      <c r="L107" s="2489">
        <v>2</v>
      </c>
      <c r="M107" s="2399">
        <v>1</v>
      </c>
      <c r="N107" s="2398">
        <v>107</v>
      </c>
      <c r="O107" s="2399">
        <v>1</v>
      </c>
      <c r="P107" s="2399">
        <v>1</v>
      </c>
      <c r="Q107" s="2398">
        <v>107</v>
      </c>
      <c r="R107" s="2399">
        <v>1</v>
      </c>
      <c r="S107" s="2399">
        <v>1</v>
      </c>
      <c r="T107" s="2399">
        <v>1</v>
      </c>
      <c r="U107" s="2399">
        <v>1</v>
      </c>
      <c r="V107" s="2398">
        <v>107</v>
      </c>
      <c r="W107" s="2399">
        <v>1</v>
      </c>
      <c r="X107" s="2399">
        <v>1</v>
      </c>
      <c r="Y107" s="2399">
        <v>1</v>
      </c>
      <c r="Z107" s="2399">
        <v>1</v>
      </c>
      <c r="AA107" s="2489">
        <v>1</v>
      </c>
      <c r="AB107" s="2399">
        <v>1</v>
      </c>
      <c r="AC107" s="2399">
        <v>1</v>
      </c>
      <c r="AD107" s="2399">
        <v>1</v>
      </c>
      <c r="AE107" s="2399">
        <v>1</v>
      </c>
      <c r="AF107" s="2399">
        <v>1</v>
      </c>
      <c r="AG107" s="2399">
        <v>1</v>
      </c>
      <c r="AH107" s="2399">
        <v>1</v>
      </c>
      <c r="AI107" s="2399">
        <v>1</v>
      </c>
      <c r="AJ107" s="2399">
        <v>1</v>
      </c>
      <c r="AK107" s="2399">
        <v>1</v>
      </c>
      <c r="AL107" s="2399">
        <v>1</v>
      </c>
      <c r="AM107" s="2399">
        <v>5</v>
      </c>
      <c r="AN107" s="2409">
        <v>0</v>
      </c>
      <c r="AO107" s="2399" t="b">
        <v>0</v>
      </c>
      <c r="AP107" s="2399" t="b">
        <v>0</v>
      </c>
    </row>
    <row r="108" spans="1:42" x14ac:dyDescent="0.2">
      <c r="A108" s="574">
        <v>107</v>
      </c>
      <c r="B108" s="2398">
        <v>108</v>
      </c>
      <c r="C108" s="2398">
        <v>108</v>
      </c>
      <c r="D108" s="2398">
        <v>108</v>
      </c>
      <c r="E108" s="2398">
        <v>108</v>
      </c>
      <c r="F108" s="2398">
        <v>108</v>
      </c>
      <c r="G108" s="2398">
        <v>108</v>
      </c>
      <c r="H108" s="2398">
        <v>108</v>
      </c>
      <c r="I108" s="2398">
        <v>108</v>
      </c>
      <c r="J108" s="2398">
        <v>108</v>
      </c>
      <c r="K108" s="2398">
        <v>108</v>
      </c>
      <c r="L108" s="2489">
        <v>2</v>
      </c>
      <c r="M108" s="2399">
        <v>1</v>
      </c>
      <c r="N108" s="2398">
        <v>108</v>
      </c>
      <c r="O108" s="2399">
        <v>1</v>
      </c>
      <c r="P108" s="2399">
        <v>1</v>
      </c>
      <c r="Q108" s="2399">
        <v>1</v>
      </c>
      <c r="R108" s="2399">
        <v>1</v>
      </c>
      <c r="S108" s="2399">
        <v>1</v>
      </c>
      <c r="T108" s="2399">
        <v>1</v>
      </c>
      <c r="U108" s="2399">
        <v>1</v>
      </c>
      <c r="V108" s="2399">
        <v>1</v>
      </c>
      <c r="W108" s="2399">
        <v>1</v>
      </c>
      <c r="X108" s="2399">
        <v>1</v>
      </c>
      <c r="Y108" s="2399">
        <v>1</v>
      </c>
      <c r="Z108" s="2399">
        <v>1</v>
      </c>
      <c r="AA108" s="2489">
        <v>1</v>
      </c>
      <c r="AB108" s="2398">
        <v>108</v>
      </c>
      <c r="AC108" s="2399">
        <v>1</v>
      </c>
      <c r="AD108" s="2399">
        <v>5</v>
      </c>
      <c r="AE108" s="2399">
        <v>1</v>
      </c>
      <c r="AF108" s="2399">
        <v>1</v>
      </c>
      <c r="AG108" s="2399">
        <v>1</v>
      </c>
      <c r="AH108" s="2399">
        <v>1</v>
      </c>
      <c r="AI108" s="2399">
        <v>1</v>
      </c>
      <c r="AJ108" s="2399">
        <v>3</v>
      </c>
      <c r="AK108" s="2399">
        <v>1</v>
      </c>
      <c r="AL108" s="2399">
        <v>1</v>
      </c>
      <c r="AM108" s="2399">
        <v>5</v>
      </c>
      <c r="AN108" s="2409">
        <v>0</v>
      </c>
      <c r="AO108" s="2399" t="b">
        <v>0</v>
      </c>
      <c r="AP108" s="2399" t="b">
        <v>0</v>
      </c>
    </row>
    <row r="109" spans="1:42" x14ac:dyDescent="0.2">
      <c r="A109" s="574">
        <v>108</v>
      </c>
      <c r="B109" s="2398">
        <v>109</v>
      </c>
      <c r="C109" s="2399">
        <v>1</v>
      </c>
      <c r="D109" s="2398">
        <v>109</v>
      </c>
      <c r="E109" s="2398">
        <v>109</v>
      </c>
      <c r="F109" s="2398">
        <v>109</v>
      </c>
      <c r="G109" s="2398">
        <v>109</v>
      </c>
      <c r="H109" s="2398">
        <v>109</v>
      </c>
      <c r="I109" s="2398">
        <v>109</v>
      </c>
      <c r="J109" s="2398">
        <v>109</v>
      </c>
      <c r="K109" s="2398">
        <v>109</v>
      </c>
      <c r="L109" s="2489">
        <v>2</v>
      </c>
      <c r="M109" s="2398">
        <v>109</v>
      </c>
      <c r="N109" s="2399">
        <v>1</v>
      </c>
      <c r="O109" s="2398">
        <v>109</v>
      </c>
      <c r="P109" s="2399">
        <v>1</v>
      </c>
      <c r="Q109" s="2399">
        <v>1</v>
      </c>
      <c r="R109" s="2399">
        <v>1</v>
      </c>
      <c r="S109" s="2398">
        <v>109</v>
      </c>
      <c r="T109" s="2399">
        <v>1</v>
      </c>
      <c r="U109" s="2399">
        <v>1</v>
      </c>
      <c r="V109" s="2399">
        <v>1</v>
      </c>
      <c r="W109" s="2399">
        <v>1</v>
      </c>
      <c r="X109" s="2399">
        <v>1</v>
      </c>
      <c r="Y109" s="2399">
        <v>1</v>
      </c>
      <c r="Z109" s="2399">
        <v>1</v>
      </c>
      <c r="AA109" s="2489">
        <v>1</v>
      </c>
      <c r="AB109" s="2399">
        <v>1</v>
      </c>
      <c r="AC109" s="2398">
        <v>109</v>
      </c>
      <c r="AD109" s="2399">
        <v>1</v>
      </c>
      <c r="AE109" s="2399">
        <v>1</v>
      </c>
      <c r="AF109" s="2399">
        <v>1</v>
      </c>
      <c r="AG109" s="2399">
        <v>1</v>
      </c>
      <c r="AH109" s="2399">
        <v>1</v>
      </c>
      <c r="AI109" s="2399">
        <v>2</v>
      </c>
      <c r="AJ109" s="2399">
        <v>1</v>
      </c>
      <c r="AK109" s="2399">
        <v>1</v>
      </c>
      <c r="AL109" s="2399">
        <v>1</v>
      </c>
      <c r="AM109" s="2399">
        <v>3</v>
      </c>
      <c r="AN109" s="2409">
        <v>0</v>
      </c>
      <c r="AO109" s="2399" t="b">
        <v>1</v>
      </c>
      <c r="AP109" s="2399" t="b">
        <v>0</v>
      </c>
    </row>
    <row r="110" spans="1:42" x14ac:dyDescent="0.2">
      <c r="A110" s="574">
        <v>109</v>
      </c>
      <c r="B110" s="2398">
        <v>110</v>
      </c>
      <c r="C110" s="2399">
        <v>1</v>
      </c>
      <c r="D110" s="2398">
        <v>110</v>
      </c>
      <c r="E110" s="2398">
        <v>110</v>
      </c>
      <c r="F110" s="2398">
        <v>110</v>
      </c>
      <c r="G110" s="2398">
        <v>110</v>
      </c>
      <c r="H110" s="2398">
        <v>110</v>
      </c>
      <c r="I110" s="2398">
        <v>110</v>
      </c>
      <c r="J110" s="2398">
        <v>110</v>
      </c>
      <c r="K110" s="2398">
        <v>110</v>
      </c>
      <c r="L110" s="2489">
        <v>2</v>
      </c>
      <c r="M110" s="2399">
        <v>1</v>
      </c>
      <c r="N110" s="2399">
        <v>1</v>
      </c>
      <c r="O110" s="2398">
        <v>110</v>
      </c>
      <c r="P110" s="2399">
        <v>1</v>
      </c>
      <c r="Q110" s="2399">
        <v>1</v>
      </c>
      <c r="R110" s="2399">
        <v>1</v>
      </c>
      <c r="S110" s="2398">
        <v>110</v>
      </c>
      <c r="T110" s="2399">
        <v>1</v>
      </c>
      <c r="U110" s="2399">
        <v>1</v>
      </c>
      <c r="V110" s="2398">
        <v>110</v>
      </c>
      <c r="W110" s="2398">
        <v>110</v>
      </c>
      <c r="X110" s="2399">
        <v>1</v>
      </c>
      <c r="Y110" s="2399">
        <v>1</v>
      </c>
      <c r="Z110" s="2399">
        <v>1</v>
      </c>
      <c r="AA110" s="2489">
        <v>1</v>
      </c>
      <c r="AB110" s="2399">
        <v>1</v>
      </c>
      <c r="AC110" s="2399">
        <v>1</v>
      </c>
      <c r="AD110" s="2399">
        <v>1</v>
      </c>
      <c r="AE110" s="2399">
        <v>1</v>
      </c>
      <c r="AF110" s="2398">
        <v>110</v>
      </c>
      <c r="AG110" s="2398">
        <v>110</v>
      </c>
      <c r="AH110" s="2398">
        <v>110</v>
      </c>
      <c r="AI110" s="2399">
        <v>1</v>
      </c>
      <c r="AJ110" s="2399">
        <v>1</v>
      </c>
      <c r="AK110" s="2399">
        <v>1</v>
      </c>
      <c r="AL110" s="2399">
        <v>1</v>
      </c>
      <c r="AM110" s="2399">
        <v>3</v>
      </c>
      <c r="AN110" s="2409">
        <v>0</v>
      </c>
      <c r="AO110" s="2399" t="b">
        <v>1</v>
      </c>
      <c r="AP110" s="2399" t="b">
        <v>0</v>
      </c>
    </row>
    <row r="111" spans="1:42" x14ac:dyDescent="0.2">
      <c r="A111" s="574">
        <v>110</v>
      </c>
      <c r="B111" s="2398">
        <v>111</v>
      </c>
      <c r="C111" s="2399">
        <v>1</v>
      </c>
      <c r="D111" s="2398">
        <v>111</v>
      </c>
      <c r="E111" s="2398">
        <v>111</v>
      </c>
      <c r="F111" s="2398">
        <v>111</v>
      </c>
      <c r="G111" s="2398">
        <v>111</v>
      </c>
      <c r="H111" s="2398">
        <v>111</v>
      </c>
      <c r="I111" s="2398">
        <v>111</v>
      </c>
      <c r="J111" s="2398">
        <v>111</v>
      </c>
      <c r="K111" s="2398">
        <v>111</v>
      </c>
      <c r="L111" s="2489">
        <v>2</v>
      </c>
      <c r="M111" s="2399">
        <v>1</v>
      </c>
      <c r="N111" s="2399">
        <v>1</v>
      </c>
      <c r="O111" s="2399">
        <v>1</v>
      </c>
      <c r="P111" s="2399">
        <v>1</v>
      </c>
      <c r="Q111" s="2399">
        <v>1</v>
      </c>
      <c r="R111" s="2399">
        <v>1</v>
      </c>
      <c r="S111" s="2398">
        <v>111</v>
      </c>
      <c r="T111" s="2399">
        <v>1</v>
      </c>
      <c r="U111" s="2399">
        <v>1</v>
      </c>
      <c r="V111" s="2399">
        <v>1</v>
      </c>
      <c r="W111" s="2399">
        <v>1</v>
      </c>
      <c r="X111" s="2399">
        <v>1</v>
      </c>
      <c r="Y111" s="2399">
        <v>1</v>
      </c>
      <c r="Z111" s="2398">
        <v>111</v>
      </c>
      <c r="AA111" s="2489">
        <v>1</v>
      </c>
      <c r="AB111" s="2399">
        <v>1</v>
      </c>
      <c r="AC111" s="2398">
        <v>111</v>
      </c>
      <c r="AD111" s="2399">
        <v>10</v>
      </c>
      <c r="AE111" s="2399">
        <v>1</v>
      </c>
      <c r="AF111" s="2399">
        <v>1</v>
      </c>
      <c r="AG111" s="2399">
        <v>1</v>
      </c>
      <c r="AH111" s="2399">
        <v>1</v>
      </c>
      <c r="AI111" s="2399">
        <v>4</v>
      </c>
      <c r="AJ111" s="2399">
        <v>5</v>
      </c>
      <c r="AK111" s="2399">
        <v>1</v>
      </c>
      <c r="AL111" s="2399">
        <v>1</v>
      </c>
      <c r="AM111" s="2399">
        <v>5</v>
      </c>
      <c r="AN111" s="2409">
        <v>0</v>
      </c>
      <c r="AO111" s="2399" t="b">
        <v>0</v>
      </c>
      <c r="AP111" s="2399" t="b">
        <v>0</v>
      </c>
    </row>
    <row r="112" spans="1:42" x14ac:dyDescent="0.2">
      <c r="A112" s="574">
        <v>111</v>
      </c>
      <c r="B112" s="2398">
        <v>112</v>
      </c>
      <c r="C112" s="2399">
        <v>1</v>
      </c>
      <c r="D112" s="2398">
        <v>112</v>
      </c>
      <c r="E112" s="2398">
        <v>112</v>
      </c>
      <c r="F112" s="2398">
        <v>112</v>
      </c>
      <c r="G112" s="2398">
        <v>112</v>
      </c>
      <c r="H112" s="2398">
        <v>112</v>
      </c>
      <c r="I112" s="2398">
        <v>112</v>
      </c>
      <c r="J112" s="2398">
        <v>112</v>
      </c>
      <c r="K112" s="2398">
        <v>112</v>
      </c>
      <c r="L112" s="2489">
        <v>2</v>
      </c>
      <c r="M112" s="2399">
        <v>1</v>
      </c>
      <c r="N112" s="2399">
        <v>1</v>
      </c>
      <c r="O112" s="2399">
        <v>1</v>
      </c>
      <c r="P112" s="2399">
        <v>1</v>
      </c>
      <c r="Q112" s="2399">
        <v>1</v>
      </c>
      <c r="R112" s="2399">
        <v>1</v>
      </c>
      <c r="S112" s="2399">
        <v>1</v>
      </c>
      <c r="T112" s="2399">
        <v>1</v>
      </c>
      <c r="U112" s="2399">
        <v>1</v>
      </c>
      <c r="V112" s="2398">
        <v>112</v>
      </c>
      <c r="W112" s="2399">
        <v>1</v>
      </c>
      <c r="X112" s="2398">
        <v>112</v>
      </c>
      <c r="Y112" s="2399">
        <v>1</v>
      </c>
      <c r="Z112" s="2399">
        <v>1</v>
      </c>
      <c r="AA112" s="2489">
        <v>1</v>
      </c>
      <c r="AB112" s="2399">
        <v>1</v>
      </c>
      <c r="AC112" s="2399">
        <v>1</v>
      </c>
      <c r="AD112" s="2399">
        <v>1</v>
      </c>
      <c r="AE112" s="2399">
        <v>1</v>
      </c>
      <c r="AF112" s="2399">
        <v>1</v>
      </c>
      <c r="AG112" s="2399">
        <v>1</v>
      </c>
      <c r="AH112" s="2399">
        <v>1</v>
      </c>
      <c r="AI112" s="2399">
        <v>3</v>
      </c>
      <c r="AJ112" s="2399">
        <v>1</v>
      </c>
      <c r="AK112" s="2399">
        <v>1</v>
      </c>
      <c r="AL112" s="2399">
        <v>6</v>
      </c>
      <c r="AM112" s="2399">
        <v>4</v>
      </c>
      <c r="AN112" s="2409">
        <v>0</v>
      </c>
      <c r="AO112" s="2399" t="b">
        <v>0</v>
      </c>
      <c r="AP112" s="2399" t="b">
        <v>0</v>
      </c>
    </row>
    <row r="113" spans="1:42" x14ac:dyDescent="0.2">
      <c r="A113" s="574">
        <v>112</v>
      </c>
      <c r="B113" s="2398">
        <v>113</v>
      </c>
      <c r="C113" s="2398">
        <v>113</v>
      </c>
      <c r="D113" s="2398">
        <v>113</v>
      </c>
      <c r="E113" s="2398">
        <v>113</v>
      </c>
      <c r="F113" s="2398">
        <v>113</v>
      </c>
      <c r="G113" s="2398">
        <v>113</v>
      </c>
      <c r="H113" s="2398">
        <v>113</v>
      </c>
      <c r="I113" s="2398">
        <v>113</v>
      </c>
      <c r="J113" s="2398">
        <v>113</v>
      </c>
      <c r="K113" s="2398">
        <v>113</v>
      </c>
      <c r="L113" s="2489">
        <v>2</v>
      </c>
      <c r="M113" s="2399">
        <v>1</v>
      </c>
      <c r="N113" s="2399">
        <v>1</v>
      </c>
      <c r="O113" s="2399">
        <v>1</v>
      </c>
      <c r="P113" s="2399">
        <v>1</v>
      </c>
      <c r="Q113" s="2398">
        <v>113</v>
      </c>
      <c r="R113" s="2399">
        <v>1</v>
      </c>
      <c r="S113" s="2399">
        <v>1</v>
      </c>
      <c r="T113" s="2399">
        <v>1</v>
      </c>
      <c r="U113" s="2399">
        <v>1</v>
      </c>
      <c r="V113" s="2398">
        <v>113</v>
      </c>
      <c r="W113" s="2398">
        <v>113</v>
      </c>
      <c r="X113" s="2399">
        <v>1</v>
      </c>
      <c r="Y113" s="2399">
        <v>1</v>
      </c>
      <c r="Z113" s="2399">
        <v>1</v>
      </c>
      <c r="AA113" s="2489">
        <v>1</v>
      </c>
      <c r="AB113" s="2399">
        <v>1</v>
      </c>
      <c r="AC113" s="2399">
        <v>1</v>
      </c>
      <c r="AD113" s="2399">
        <v>1</v>
      </c>
      <c r="AE113" s="2399">
        <v>1</v>
      </c>
      <c r="AF113" s="2398">
        <v>113</v>
      </c>
      <c r="AG113" s="2399">
        <v>1</v>
      </c>
      <c r="AH113" s="2399">
        <v>1</v>
      </c>
      <c r="AI113" s="2399">
        <v>1</v>
      </c>
      <c r="AJ113" s="2399">
        <v>1</v>
      </c>
      <c r="AK113" s="2399">
        <v>1</v>
      </c>
      <c r="AL113" s="2399">
        <v>6</v>
      </c>
      <c r="AM113" s="2399">
        <v>7</v>
      </c>
      <c r="AN113" s="2409">
        <v>0</v>
      </c>
      <c r="AO113" s="2399" t="b">
        <v>0</v>
      </c>
      <c r="AP113" s="2399" t="b">
        <v>0</v>
      </c>
    </row>
    <row r="114" spans="1:42" x14ac:dyDescent="0.2">
      <c r="A114" s="574">
        <v>113</v>
      </c>
      <c r="B114" s="2398">
        <v>114</v>
      </c>
      <c r="C114" s="2398">
        <v>114</v>
      </c>
      <c r="D114" s="2398">
        <v>114</v>
      </c>
      <c r="E114" s="2398">
        <v>114</v>
      </c>
      <c r="F114" s="2398">
        <v>114</v>
      </c>
      <c r="G114" s="2398">
        <v>114</v>
      </c>
      <c r="H114" s="2398">
        <v>114</v>
      </c>
      <c r="I114" s="2398">
        <v>114</v>
      </c>
      <c r="J114" s="2398">
        <v>114</v>
      </c>
      <c r="K114" s="2398">
        <v>114</v>
      </c>
      <c r="L114" s="2489">
        <v>2</v>
      </c>
      <c r="M114" s="2399">
        <v>1</v>
      </c>
      <c r="N114" s="2399">
        <v>1</v>
      </c>
      <c r="O114" s="2399">
        <v>1</v>
      </c>
      <c r="P114" s="2399">
        <v>1</v>
      </c>
      <c r="Q114" s="2399">
        <v>1</v>
      </c>
      <c r="R114" s="2399">
        <v>1</v>
      </c>
      <c r="S114" s="2399">
        <v>1</v>
      </c>
      <c r="T114" s="2399">
        <v>1</v>
      </c>
      <c r="U114" s="2399">
        <v>1</v>
      </c>
      <c r="V114" s="2399">
        <v>1</v>
      </c>
      <c r="W114" s="2399">
        <v>1</v>
      </c>
      <c r="X114" s="2399">
        <v>1</v>
      </c>
      <c r="Y114" s="2399">
        <v>1</v>
      </c>
      <c r="Z114" s="2399">
        <v>1</v>
      </c>
      <c r="AA114" s="2489">
        <v>1</v>
      </c>
      <c r="AB114" s="2398">
        <v>114</v>
      </c>
      <c r="AC114" s="2398">
        <v>114</v>
      </c>
      <c r="AD114" s="2399">
        <v>10</v>
      </c>
      <c r="AE114" s="2399">
        <v>1</v>
      </c>
      <c r="AF114" s="2398">
        <v>114</v>
      </c>
      <c r="AG114" s="2398">
        <v>114</v>
      </c>
      <c r="AH114" s="2398">
        <v>114</v>
      </c>
      <c r="AI114" s="2399">
        <v>6</v>
      </c>
      <c r="AJ114" s="2399">
        <v>5</v>
      </c>
      <c r="AK114" s="2399">
        <v>1</v>
      </c>
      <c r="AL114" s="2399">
        <v>1</v>
      </c>
      <c r="AM114" s="2399">
        <v>5</v>
      </c>
      <c r="AN114" s="2409">
        <v>0</v>
      </c>
      <c r="AO114" s="2399" t="b">
        <v>0</v>
      </c>
      <c r="AP114" s="2399" t="b">
        <v>0</v>
      </c>
    </row>
    <row r="115" spans="1:42" x14ac:dyDescent="0.2">
      <c r="A115" s="574">
        <v>114</v>
      </c>
      <c r="B115" s="2398">
        <v>115</v>
      </c>
      <c r="C115" s="2399">
        <v>1</v>
      </c>
      <c r="D115" s="2398">
        <v>115</v>
      </c>
      <c r="E115" s="2398">
        <v>115</v>
      </c>
      <c r="F115" s="2398">
        <v>115</v>
      </c>
      <c r="G115" s="2398">
        <v>115</v>
      </c>
      <c r="H115" s="2398">
        <v>115</v>
      </c>
      <c r="I115" s="2398">
        <v>115</v>
      </c>
      <c r="J115" s="2398">
        <v>115</v>
      </c>
      <c r="K115" s="2398">
        <v>115</v>
      </c>
      <c r="L115" s="2489">
        <v>2</v>
      </c>
      <c r="M115" s="2399">
        <v>1</v>
      </c>
      <c r="N115" s="2399">
        <v>1</v>
      </c>
      <c r="O115" s="2399">
        <v>1</v>
      </c>
      <c r="P115" s="2398">
        <v>115</v>
      </c>
      <c r="Q115" s="2399">
        <v>1</v>
      </c>
      <c r="R115" s="2399">
        <v>1</v>
      </c>
      <c r="S115" s="2399">
        <v>1</v>
      </c>
      <c r="T115" s="2399">
        <v>1</v>
      </c>
      <c r="U115" s="2399">
        <v>1</v>
      </c>
      <c r="V115" s="2399">
        <v>1</v>
      </c>
      <c r="W115" s="2399">
        <v>1</v>
      </c>
      <c r="X115" s="2399">
        <v>1</v>
      </c>
      <c r="Y115" s="2398">
        <v>115</v>
      </c>
      <c r="Z115" s="2399">
        <v>1</v>
      </c>
      <c r="AA115" s="2489">
        <v>1</v>
      </c>
      <c r="AB115" s="2399">
        <v>1</v>
      </c>
      <c r="AC115" s="2399">
        <v>1</v>
      </c>
      <c r="AD115" s="2399">
        <v>5</v>
      </c>
      <c r="AE115" s="2399">
        <v>1</v>
      </c>
      <c r="AF115" s="2399">
        <v>1</v>
      </c>
      <c r="AG115" s="2399">
        <v>1</v>
      </c>
      <c r="AH115" s="2399">
        <v>1</v>
      </c>
      <c r="AI115" s="2399">
        <v>1</v>
      </c>
      <c r="AJ115" s="2399">
        <v>1</v>
      </c>
      <c r="AK115" s="2399">
        <v>1</v>
      </c>
      <c r="AL115" s="2399">
        <v>1</v>
      </c>
      <c r="AM115" s="2399">
        <v>5</v>
      </c>
      <c r="AN115" s="2409">
        <v>0</v>
      </c>
      <c r="AO115" s="2399" t="b">
        <v>0</v>
      </c>
      <c r="AP115" s="2399" t="b">
        <v>0</v>
      </c>
    </row>
    <row r="116" spans="1:42" x14ac:dyDescent="0.2">
      <c r="A116" s="574">
        <v>115</v>
      </c>
      <c r="B116" s="2398">
        <v>116</v>
      </c>
      <c r="C116" s="2399">
        <v>1</v>
      </c>
      <c r="D116" s="2398">
        <v>116</v>
      </c>
      <c r="E116" s="2398">
        <v>116</v>
      </c>
      <c r="F116" s="2398">
        <v>116</v>
      </c>
      <c r="G116" s="2398">
        <v>116</v>
      </c>
      <c r="H116" s="2398">
        <v>116</v>
      </c>
      <c r="I116" s="2398">
        <v>116</v>
      </c>
      <c r="J116" s="2398">
        <v>116</v>
      </c>
      <c r="K116" s="2398">
        <v>116</v>
      </c>
      <c r="L116" s="2489">
        <v>2</v>
      </c>
      <c r="M116" s="2399">
        <v>1</v>
      </c>
      <c r="N116" s="2399">
        <v>1</v>
      </c>
      <c r="O116" s="2399">
        <v>1</v>
      </c>
      <c r="P116" s="2399">
        <v>1</v>
      </c>
      <c r="Q116" s="2399">
        <v>1</v>
      </c>
      <c r="R116" s="2399">
        <v>1</v>
      </c>
      <c r="S116" s="2399">
        <v>1</v>
      </c>
      <c r="T116" s="2399">
        <v>1</v>
      </c>
      <c r="U116" s="2399">
        <v>1</v>
      </c>
      <c r="V116" s="2399">
        <v>1</v>
      </c>
      <c r="W116" s="2399">
        <v>1</v>
      </c>
      <c r="X116" s="2399">
        <v>1</v>
      </c>
      <c r="Y116" s="2398">
        <v>116</v>
      </c>
      <c r="Z116" s="2398">
        <v>116</v>
      </c>
      <c r="AA116" s="2489">
        <v>1</v>
      </c>
      <c r="AB116" s="2399">
        <v>1</v>
      </c>
      <c r="AC116" s="2399">
        <v>1</v>
      </c>
      <c r="AD116" s="2399">
        <v>5</v>
      </c>
      <c r="AE116" s="2399">
        <v>1</v>
      </c>
      <c r="AF116" s="2399">
        <v>1</v>
      </c>
      <c r="AG116" s="2399">
        <v>1</v>
      </c>
      <c r="AH116" s="2399">
        <v>1</v>
      </c>
      <c r="AI116" s="2399">
        <v>1</v>
      </c>
      <c r="AJ116" s="2399">
        <v>6</v>
      </c>
      <c r="AK116" s="2399">
        <v>1</v>
      </c>
      <c r="AL116" s="2399">
        <v>1</v>
      </c>
      <c r="AM116" s="2399">
        <v>5</v>
      </c>
      <c r="AN116" s="2409">
        <v>0</v>
      </c>
      <c r="AO116" s="2399" t="b">
        <v>0</v>
      </c>
      <c r="AP116" s="2399" t="b">
        <v>0</v>
      </c>
    </row>
    <row r="117" spans="1:42" x14ac:dyDescent="0.2">
      <c r="A117" s="574">
        <v>116</v>
      </c>
      <c r="B117" s="2398">
        <v>117</v>
      </c>
      <c r="C117" s="2398">
        <v>117</v>
      </c>
      <c r="D117" s="2398">
        <v>117</v>
      </c>
      <c r="E117" s="2398">
        <v>117</v>
      </c>
      <c r="F117" s="2398">
        <v>117</v>
      </c>
      <c r="G117" s="2398">
        <v>117</v>
      </c>
      <c r="H117" s="2398">
        <v>117</v>
      </c>
      <c r="I117" s="2398">
        <v>117</v>
      </c>
      <c r="J117" s="2398">
        <v>117</v>
      </c>
      <c r="K117" s="2398">
        <v>117</v>
      </c>
      <c r="L117" s="2489">
        <v>2</v>
      </c>
      <c r="M117" s="2399">
        <v>1</v>
      </c>
      <c r="N117" s="2399">
        <v>1</v>
      </c>
      <c r="O117" s="2399">
        <v>1</v>
      </c>
      <c r="P117" s="2399">
        <v>1</v>
      </c>
      <c r="Q117" s="2398">
        <v>117</v>
      </c>
      <c r="R117" s="2399">
        <v>1</v>
      </c>
      <c r="S117" s="2399">
        <v>1</v>
      </c>
      <c r="T117" s="2399">
        <v>1</v>
      </c>
      <c r="U117" s="2399">
        <v>1</v>
      </c>
      <c r="V117" s="2398">
        <v>117</v>
      </c>
      <c r="W117" s="2399">
        <v>1</v>
      </c>
      <c r="X117" s="2399">
        <v>1</v>
      </c>
      <c r="Y117" s="2399">
        <v>1</v>
      </c>
      <c r="Z117" s="2399">
        <v>1</v>
      </c>
      <c r="AA117" s="2489">
        <v>2</v>
      </c>
      <c r="AB117" s="2399">
        <v>1</v>
      </c>
      <c r="AC117" s="2399">
        <v>1</v>
      </c>
      <c r="AD117" s="2399">
        <v>5</v>
      </c>
      <c r="AE117" s="2399">
        <v>1</v>
      </c>
      <c r="AF117" s="2399">
        <v>1</v>
      </c>
      <c r="AG117" s="2399">
        <v>1</v>
      </c>
      <c r="AH117" s="2399">
        <v>1</v>
      </c>
      <c r="AI117" s="2399">
        <v>1</v>
      </c>
      <c r="AJ117" s="2399">
        <v>1</v>
      </c>
      <c r="AK117" s="2399">
        <v>1</v>
      </c>
      <c r="AL117" s="2399">
        <v>1</v>
      </c>
      <c r="AM117" s="2399">
        <v>7</v>
      </c>
      <c r="AN117" s="2409">
        <v>0</v>
      </c>
      <c r="AO117" s="2399" t="b">
        <v>0</v>
      </c>
      <c r="AP117" s="2399" t="b">
        <v>1</v>
      </c>
    </row>
    <row r="118" spans="1:42" x14ac:dyDescent="0.2">
      <c r="A118" s="574">
        <v>117</v>
      </c>
      <c r="B118" s="2398">
        <v>118</v>
      </c>
      <c r="C118" s="2398">
        <v>118</v>
      </c>
      <c r="D118" s="2398">
        <v>118</v>
      </c>
      <c r="E118" s="2398">
        <v>118</v>
      </c>
      <c r="F118" s="2398">
        <v>118</v>
      </c>
      <c r="G118" s="2398">
        <v>118</v>
      </c>
      <c r="H118" s="2398">
        <v>118</v>
      </c>
      <c r="I118" s="2398">
        <v>118</v>
      </c>
      <c r="J118" s="2398">
        <v>118</v>
      </c>
      <c r="K118" s="2398">
        <v>118</v>
      </c>
      <c r="L118" s="2489">
        <v>2</v>
      </c>
      <c r="M118" s="2399">
        <v>1</v>
      </c>
      <c r="N118" s="2399">
        <v>1</v>
      </c>
      <c r="O118" s="2399">
        <v>1</v>
      </c>
      <c r="P118" s="2399">
        <v>1</v>
      </c>
      <c r="Q118" s="2399">
        <v>1</v>
      </c>
      <c r="R118" s="2399">
        <v>1</v>
      </c>
      <c r="S118" s="2399">
        <v>1</v>
      </c>
      <c r="T118" s="2399">
        <v>1</v>
      </c>
      <c r="U118" s="2399">
        <v>1</v>
      </c>
      <c r="V118" s="2399">
        <v>1</v>
      </c>
      <c r="W118" s="2399">
        <v>1</v>
      </c>
      <c r="X118" s="2399">
        <v>1</v>
      </c>
      <c r="Y118" s="2399">
        <v>1</v>
      </c>
      <c r="Z118" s="2399">
        <v>1</v>
      </c>
      <c r="AA118" s="2489">
        <v>7</v>
      </c>
      <c r="AB118" s="2399">
        <v>1</v>
      </c>
      <c r="AC118" s="2399">
        <v>1</v>
      </c>
      <c r="AD118" s="2399">
        <v>5</v>
      </c>
      <c r="AE118" s="2399">
        <v>1</v>
      </c>
      <c r="AF118" s="2399">
        <v>1</v>
      </c>
      <c r="AG118" s="2399">
        <v>1</v>
      </c>
      <c r="AH118" s="2399">
        <v>1</v>
      </c>
      <c r="AI118" s="2399">
        <v>5</v>
      </c>
      <c r="AJ118" s="2399">
        <v>1</v>
      </c>
      <c r="AK118" s="2399">
        <v>1</v>
      </c>
      <c r="AL118" s="2399">
        <v>1</v>
      </c>
      <c r="AM118" s="2399">
        <v>4</v>
      </c>
      <c r="AN118" s="2409">
        <v>0</v>
      </c>
      <c r="AO118" s="2399" t="b">
        <v>0</v>
      </c>
      <c r="AP118" s="2399" t="b">
        <v>0</v>
      </c>
    </row>
    <row r="119" spans="1:42" x14ac:dyDescent="0.2">
      <c r="A119" s="574">
        <v>118</v>
      </c>
      <c r="B119" s="2398">
        <v>119</v>
      </c>
      <c r="C119" s="2398">
        <v>119</v>
      </c>
      <c r="D119" s="2398">
        <v>119</v>
      </c>
      <c r="E119" s="2398">
        <v>119</v>
      </c>
      <c r="F119" s="2398">
        <v>119</v>
      </c>
      <c r="G119" s="2398">
        <v>119</v>
      </c>
      <c r="H119" s="2398">
        <v>119</v>
      </c>
      <c r="I119" s="2398">
        <v>119</v>
      </c>
      <c r="J119" s="2398">
        <v>119</v>
      </c>
      <c r="K119" s="2398">
        <v>119</v>
      </c>
      <c r="L119" s="2489">
        <v>2</v>
      </c>
      <c r="M119" s="2399">
        <v>1</v>
      </c>
      <c r="N119" s="2399">
        <v>1</v>
      </c>
      <c r="O119" s="2399">
        <v>1</v>
      </c>
      <c r="P119" s="2399">
        <v>1</v>
      </c>
      <c r="Q119" s="2399">
        <v>1</v>
      </c>
      <c r="R119" s="2399">
        <v>1</v>
      </c>
      <c r="S119" s="2399">
        <v>1</v>
      </c>
      <c r="T119" s="2399">
        <v>1</v>
      </c>
      <c r="U119" s="2399">
        <v>1</v>
      </c>
      <c r="V119" s="2399">
        <v>1</v>
      </c>
      <c r="W119" s="2399">
        <v>1</v>
      </c>
      <c r="X119" s="2399">
        <v>1</v>
      </c>
      <c r="Y119" s="2399">
        <v>1</v>
      </c>
      <c r="Z119" s="2399">
        <v>1</v>
      </c>
      <c r="AA119" s="2489">
        <v>1</v>
      </c>
      <c r="AB119" s="2399">
        <v>1</v>
      </c>
      <c r="AC119" s="2399">
        <v>1</v>
      </c>
      <c r="AD119" s="2399">
        <v>1</v>
      </c>
      <c r="AE119" s="2399">
        <v>1</v>
      </c>
      <c r="AF119" s="2398">
        <v>119</v>
      </c>
      <c r="AG119" s="2399">
        <v>1</v>
      </c>
      <c r="AH119" s="2399">
        <v>1</v>
      </c>
      <c r="AI119" s="2399">
        <v>5</v>
      </c>
      <c r="AJ119" s="2399">
        <v>1</v>
      </c>
      <c r="AK119" s="2399">
        <v>1</v>
      </c>
      <c r="AL119" s="2399">
        <v>1</v>
      </c>
      <c r="AM119" s="2399">
        <v>5</v>
      </c>
      <c r="AN119" s="2409">
        <v>0</v>
      </c>
      <c r="AO119" s="2399" t="b">
        <v>0</v>
      </c>
      <c r="AP119" s="2399" t="b">
        <v>0</v>
      </c>
    </row>
    <row r="120" spans="1:42" x14ac:dyDescent="0.2">
      <c r="A120" s="574">
        <v>119</v>
      </c>
      <c r="B120" s="2398">
        <v>120</v>
      </c>
      <c r="C120" s="2398">
        <v>120</v>
      </c>
      <c r="D120" s="2398">
        <v>120</v>
      </c>
      <c r="E120" s="2398">
        <v>120</v>
      </c>
      <c r="F120" s="2398">
        <v>120</v>
      </c>
      <c r="G120" s="2398">
        <v>120</v>
      </c>
      <c r="H120" s="2398">
        <v>120</v>
      </c>
      <c r="I120" s="2398">
        <v>120</v>
      </c>
      <c r="J120" s="2398">
        <v>120</v>
      </c>
      <c r="K120" s="2398">
        <v>120</v>
      </c>
      <c r="L120" s="2489">
        <v>2</v>
      </c>
      <c r="M120" s="2399">
        <v>1</v>
      </c>
      <c r="N120" s="2399">
        <v>1</v>
      </c>
      <c r="O120" s="2399">
        <v>1</v>
      </c>
      <c r="P120" s="2399">
        <v>1</v>
      </c>
      <c r="Q120" s="2399">
        <v>1</v>
      </c>
      <c r="R120" s="2399">
        <v>1</v>
      </c>
      <c r="S120" s="2399">
        <v>1</v>
      </c>
      <c r="T120" s="2398">
        <v>120</v>
      </c>
      <c r="U120" s="2399">
        <v>1</v>
      </c>
      <c r="V120" s="2399">
        <v>1</v>
      </c>
      <c r="W120" s="2399">
        <v>1</v>
      </c>
      <c r="X120" s="2399">
        <v>1</v>
      </c>
      <c r="Y120" s="2399">
        <v>1</v>
      </c>
      <c r="Z120" s="2399">
        <v>1</v>
      </c>
      <c r="AA120" s="2489">
        <v>1</v>
      </c>
      <c r="AB120" s="2399">
        <v>1</v>
      </c>
      <c r="AC120" s="2399">
        <v>1</v>
      </c>
      <c r="AD120" s="2399">
        <v>1</v>
      </c>
      <c r="AE120" s="2399">
        <v>1</v>
      </c>
      <c r="AF120" s="2399">
        <v>1</v>
      </c>
      <c r="AG120" s="2399">
        <v>1</v>
      </c>
      <c r="AH120" s="2399">
        <v>1</v>
      </c>
      <c r="AI120" s="2399">
        <v>1</v>
      </c>
      <c r="AJ120" s="2399">
        <v>1</v>
      </c>
      <c r="AK120" s="2399">
        <v>4</v>
      </c>
      <c r="AL120" s="2399">
        <v>1</v>
      </c>
      <c r="AM120" s="2399">
        <v>1</v>
      </c>
      <c r="AN120" s="2409">
        <v>0</v>
      </c>
      <c r="AO120" s="2399" t="b">
        <v>1</v>
      </c>
      <c r="AP120" s="2399" t="b">
        <v>0</v>
      </c>
    </row>
    <row r="121" spans="1:42" x14ac:dyDescent="0.2">
      <c r="A121" s="574">
        <v>120</v>
      </c>
      <c r="B121" s="2398">
        <v>121</v>
      </c>
      <c r="C121" s="2398">
        <v>121</v>
      </c>
      <c r="D121" s="2398">
        <v>121</v>
      </c>
      <c r="E121" s="2398">
        <v>121</v>
      </c>
      <c r="F121" s="2398">
        <v>121</v>
      </c>
      <c r="G121" s="2398">
        <v>121</v>
      </c>
      <c r="H121" s="2398">
        <v>121</v>
      </c>
      <c r="I121" s="2398">
        <v>121</v>
      </c>
      <c r="J121" s="2398">
        <v>121</v>
      </c>
      <c r="K121" s="2398">
        <v>121</v>
      </c>
      <c r="L121" s="2489">
        <v>2</v>
      </c>
      <c r="M121" s="2399">
        <v>1</v>
      </c>
      <c r="N121" s="2399">
        <v>1</v>
      </c>
      <c r="O121" s="2399">
        <v>1</v>
      </c>
      <c r="P121" s="2399">
        <v>1</v>
      </c>
      <c r="Q121" s="2399">
        <v>1</v>
      </c>
      <c r="R121" s="2399">
        <v>1</v>
      </c>
      <c r="S121" s="2399">
        <v>1</v>
      </c>
      <c r="T121" s="2399">
        <v>1</v>
      </c>
      <c r="U121" s="2399">
        <v>1</v>
      </c>
      <c r="V121" s="2398">
        <v>121</v>
      </c>
      <c r="W121" s="2399">
        <v>1</v>
      </c>
      <c r="X121" s="2399">
        <v>1</v>
      </c>
      <c r="Y121" s="2399">
        <v>1</v>
      </c>
      <c r="Z121" s="2399">
        <v>1</v>
      </c>
      <c r="AA121" s="2489">
        <v>1</v>
      </c>
      <c r="AB121" s="2399">
        <v>1</v>
      </c>
      <c r="AC121" s="2399">
        <v>1</v>
      </c>
      <c r="AD121" s="2399">
        <v>1</v>
      </c>
      <c r="AE121" s="2399">
        <v>1</v>
      </c>
      <c r="AF121" s="2399">
        <v>1</v>
      </c>
      <c r="AG121" s="2398">
        <v>121</v>
      </c>
      <c r="AH121" s="2398">
        <v>121</v>
      </c>
      <c r="AI121" s="2399">
        <v>1</v>
      </c>
      <c r="AJ121" s="2399">
        <v>1</v>
      </c>
      <c r="AK121" s="2399">
        <v>6</v>
      </c>
      <c r="AL121" s="2399">
        <v>1</v>
      </c>
      <c r="AM121" s="2399">
        <v>7</v>
      </c>
      <c r="AN121" s="2409">
        <v>0</v>
      </c>
      <c r="AO121" s="2399" t="b">
        <v>0</v>
      </c>
      <c r="AP121" s="2399" t="b">
        <v>0</v>
      </c>
    </row>
    <row r="122" spans="1:42" x14ac:dyDescent="0.2">
      <c r="A122" s="574">
        <v>121</v>
      </c>
      <c r="B122" s="2398">
        <v>122</v>
      </c>
      <c r="C122" s="2398">
        <v>122</v>
      </c>
      <c r="D122" s="2398">
        <v>122</v>
      </c>
      <c r="E122" s="2398">
        <v>122</v>
      </c>
      <c r="F122" s="2398">
        <v>122</v>
      </c>
      <c r="G122" s="2398">
        <v>122</v>
      </c>
      <c r="H122" s="2398">
        <v>122</v>
      </c>
      <c r="I122" s="2398">
        <v>122</v>
      </c>
      <c r="J122" s="2398">
        <v>122</v>
      </c>
      <c r="K122" s="2398">
        <v>122</v>
      </c>
      <c r="L122" s="2489">
        <v>2</v>
      </c>
      <c r="M122" s="2399">
        <v>1</v>
      </c>
      <c r="N122" s="2399">
        <v>1</v>
      </c>
      <c r="O122" s="2399">
        <v>1</v>
      </c>
      <c r="P122" s="2399">
        <v>1</v>
      </c>
      <c r="Q122" s="2399">
        <v>1</v>
      </c>
      <c r="R122" s="2399">
        <v>1</v>
      </c>
      <c r="S122" s="2399">
        <v>1</v>
      </c>
      <c r="T122" s="2399">
        <v>1</v>
      </c>
      <c r="U122" s="2399">
        <v>1</v>
      </c>
      <c r="V122" s="2398">
        <v>122</v>
      </c>
      <c r="W122" s="2399">
        <v>1</v>
      </c>
      <c r="X122" s="2399">
        <v>1</v>
      </c>
      <c r="Y122" s="2399">
        <v>1</v>
      </c>
      <c r="Z122" s="2399">
        <v>1</v>
      </c>
      <c r="AA122" s="2489">
        <v>1</v>
      </c>
      <c r="AB122" s="2398">
        <v>122</v>
      </c>
      <c r="AC122" s="2399">
        <v>1</v>
      </c>
      <c r="AD122" s="2399">
        <v>7</v>
      </c>
      <c r="AE122" s="2399">
        <v>1</v>
      </c>
      <c r="AF122" s="2399">
        <v>1</v>
      </c>
      <c r="AG122" s="2399">
        <v>1</v>
      </c>
      <c r="AH122" s="2399">
        <v>1</v>
      </c>
      <c r="AI122" s="2399">
        <v>1</v>
      </c>
      <c r="AJ122" s="2399">
        <v>1</v>
      </c>
      <c r="AK122" s="2399">
        <v>1</v>
      </c>
      <c r="AL122" s="2399">
        <v>1</v>
      </c>
      <c r="AM122" s="2399">
        <v>5</v>
      </c>
      <c r="AN122" s="2409">
        <v>0</v>
      </c>
      <c r="AO122" s="2399" t="b">
        <v>0</v>
      </c>
      <c r="AP122" s="2399" t="b">
        <v>0</v>
      </c>
    </row>
    <row r="123" spans="1:42" x14ac:dyDescent="0.2">
      <c r="A123" s="574">
        <v>122</v>
      </c>
      <c r="B123" s="2398">
        <v>123</v>
      </c>
      <c r="C123" s="2399">
        <v>1</v>
      </c>
      <c r="D123" s="2398">
        <v>123</v>
      </c>
      <c r="E123" s="2398">
        <v>123</v>
      </c>
      <c r="F123" s="2398">
        <v>123</v>
      </c>
      <c r="G123" s="2398">
        <v>123</v>
      </c>
      <c r="H123" s="2398">
        <v>123</v>
      </c>
      <c r="I123" s="2398">
        <v>123</v>
      </c>
      <c r="J123" s="2398">
        <v>123</v>
      </c>
      <c r="K123" s="2398">
        <v>123</v>
      </c>
      <c r="L123" s="2489">
        <v>2</v>
      </c>
      <c r="M123" s="2399">
        <v>1</v>
      </c>
      <c r="N123" s="2399">
        <v>1</v>
      </c>
      <c r="O123" s="2399">
        <v>1</v>
      </c>
      <c r="P123" s="2398">
        <v>123</v>
      </c>
      <c r="Q123" s="2399">
        <v>1</v>
      </c>
      <c r="R123" s="2399">
        <v>1</v>
      </c>
      <c r="S123" s="2399">
        <v>1</v>
      </c>
      <c r="T123" s="2399">
        <v>1</v>
      </c>
      <c r="U123" s="2399">
        <v>1</v>
      </c>
      <c r="V123" s="2398">
        <v>123</v>
      </c>
      <c r="W123" s="2399">
        <v>1</v>
      </c>
      <c r="X123" s="2399">
        <v>1</v>
      </c>
      <c r="Y123" s="2399">
        <v>1</v>
      </c>
      <c r="Z123" s="2399">
        <v>1</v>
      </c>
      <c r="AA123" s="2489">
        <v>1</v>
      </c>
      <c r="AB123" s="2399">
        <v>1</v>
      </c>
      <c r="AC123" s="2399">
        <v>1</v>
      </c>
      <c r="AD123" s="2399">
        <v>1</v>
      </c>
      <c r="AE123" s="2399">
        <v>1</v>
      </c>
      <c r="AF123" s="2399">
        <v>1</v>
      </c>
      <c r="AG123" s="2399">
        <v>1</v>
      </c>
      <c r="AH123" s="2399">
        <v>1</v>
      </c>
      <c r="AI123" s="2399">
        <v>1</v>
      </c>
      <c r="AJ123" s="2399">
        <v>1</v>
      </c>
      <c r="AK123" s="2399">
        <v>1</v>
      </c>
      <c r="AL123" s="2399">
        <v>1</v>
      </c>
      <c r="AM123" s="2399">
        <v>7</v>
      </c>
      <c r="AN123" s="2409">
        <v>0</v>
      </c>
      <c r="AO123" s="2399" t="b">
        <v>0</v>
      </c>
      <c r="AP123" s="2399" t="b">
        <v>0</v>
      </c>
    </row>
    <row r="124" spans="1:42" x14ac:dyDescent="0.2">
      <c r="A124" s="574">
        <v>123</v>
      </c>
      <c r="B124" s="2398">
        <v>124</v>
      </c>
      <c r="C124" s="2398">
        <v>124</v>
      </c>
      <c r="D124" s="2398">
        <v>124</v>
      </c>
      <c r="E124" s="2398">
        <v>124</v>
      </c>
      <c r="F124" s="2398">
        <v>124</v>
      </c>
      <c r="G124" s="2398">
        <v>124</v>
      </c>
      <c r="H124" s="2398">
        <v>124</v>
      </c>
      <c r="I124" s="2398">
        <v>124</v>
      </c>
      <c r="J124" s="2398">
        <v>124</v>
      </c>
      <c r="K124" s="2398">
        <v>124</v>
      </c>
      <c r="L124" s="2489">
        <v>2</v>
      </c>
      <c r="M124" s="2399">
        <v>1</v>
      </c>
      <c r="N124" s="2399">
        <v>1</v>
      </c>
      <c r="O124" s="2399">
        <v>1</v>
      </c>
      <c r="P124" s="2399">
        <v>1</v>
      </c>
      <c r="Q124" s="2399">
        <v>1</v>
      </c>
      <c r="R124" s="2399">
        <v>1</v>
      </c>
      <c r="S124" s="2399">
        <v>1</v>
      </c>
      <c r="T124" s="2398">
        <v>124</v>
      </c>
      <c r="U124" s="2398">
        <v>124</v>
      </c>
      <c r="V124" s="2399">
        <v>1</v>
      </c>
      <c r="W124" s="2399">
        <v>1</v>
      </c>
      <c r="X124" s="2399">
        <v>1</v>
      </c>
      <c r="Y124" s="2399">
        <v>1</v>
      </c>
      <c r="Z124" s="2399">
        <v>1</v>
      </c>
      <c r="AA124" s="2489">
        <v>1</v>
      </c>
      <c r="AB124" s="2399">
        <v>1</v>
      </c>
      <c r="AC124" s="2399">
        <v>1</v>
      </c>
      <c r="AD124" s="2399">
        <v>1</v>
      </c>
      <c r="AE124" s="2399">
        <v>1</v>
      </c>
      <c r="AF124" s="2398">
        <v>124</v>
      </c>
      <c r="AG124" s="2399">
        <v>1</v>
      </c>
      <c r="AH124" s="2399">
        <v>1</v>
      </c>
      <c r="AI124" s="2399">
        <v>1</v>
      </c>
      <c r="AJ124" s="2399">
        <v>1</v>
      </c>
      <c r="AK124" s="2399">
        <v>1</v>
      </c>
      <c r="AL124" s="2399">
        <v>1</v>
      </c>
      <c r="AM124" s="2399">
        <v>4</v>
      </c>
      <c r="AN124" s="2409">
        <v>0</v>
      </c>
      <c r="AO124" s="2399" t="b">
        <v>0</v>
      </c>
      <c r="AP124" s="2399" t="b">
        <v>0</v>
      </c>
    </row>
    <row r="125" spans="1:42" x14ac:dyDescent="0.2">
      <c r="A125" s="574">
        <v>124</v>
      </c>
      <c r="B125" s="2398">
        <v>125</v>
      </c>
      <c r="C125" s="2398">
        <v>125</v>
      </c>
      <c r="D125" s="2398">
        <v>125</v>
      </c>
      <c r="E125" s="2398">
        <v>125</v>
      </c>
      <c r="F125" s="2398">
        <v>125</v>
      </c>
      <c r="G125" s="2398">
        <v>125</v>
      </c>
      <c r="H125" s="2398">
        <v>125</v>
      </c>
      <c r="I125" s="2398">
        <v>125</v>
      </c>
      <c r="J125" s="2398">
        <v>125</v>
      </c>
      <c r="K125" s="2398">
        <v>125</v>
      </c>
      <c r="L125" s="2489">
        <v>2</v>
      </c>
      <c r="M125" s="2399">
        <v>1</v>
      </c>
      <c r="N125" s="2399">
        <v>1</v>
      </c>
      <c r="O125" s="2399">
        <v>1</v>
      </c>
      <c r="P125" s="2399">
        <v>1</v>
      </c>
      <c r="Q125" s="2399">
        <v>1</v>
      </c>
      <c r="R125" s="2399">
        <v>1</v>
      </c>
      <c r="S125" s="2399">
        <v>1</v>
      </c>
      <c r="T125" s="2398">
        <v>125</v>
      </c>
      <c r="U125" s="2399">
        <v>1</v>
      </c>
      <c r="V125" s="2399">
        <v>1</v>
      </c>
      <c r="W125" s="2399">
        <v>1</v>
      </c>
      <c r="X125" s="2399">
        <v>1</v>
      </c>
      <c r="Y125" s="2398">
        <v>125</v>
      </c>
      <c r="Z125" s="2399">
        <v>1</v>
      </c>
      <c r="AA125" s="2489">
        <v>1</v>
      </c>
      <c r="AB125" s="2399">
        <v>1</v>
      </c>
      <c r="AC125" s="2399">
        <v>1</v>
      </c>
      <c r="AD125" s="2399">
        <v>6</v>
      </c>
      <c r="AE125" s="2399">
        <v>1</v>
      </c>
      <c r="AF125" s="2399">
        <v>1</v>
      </c>
      <c r="AG125" s="2399">
        <v>1</v>
      </c>
      <c r="AH125" s="2399">
        <v>1</v>
      </c>
      <c r="AI125" s="2399">
        <v>1</v>
      </c>
      <c r="AJ125" s="2399">
        <v>1</v>
      </c>
      <c r="AK125" s="2399">
        <v>1</v>
      </c>
      <c r="AL125" s="2399">
        <v>1</v>
      </c>
      <c r="AM125" s="2399">
        <v>1</v>
      </c>
      <c r="AN125" s="2409">
        <v>0</v>
      </c>
      <c r="AO125" s="2399" t="b">
        <v>1</v>
      </c>
      <c r="AP125" s="2399" t="b">
        <v>0</v>
      </c>
    </row>
    <row r="126" spans="1:42" x14ac:dyDescent="0.2">
      <c r="A126" s="574">
        <v>125</v>
      </c>
      <c r="B126" s="2398">
        <v>126</v>
      </c>
      <c r="C126" s="2398">
        <v>126</v>
      </c>
      <c r="D126" s="2398">
        <v>126</v>
      </c>
      <c r="E126" s="2398">
        <v>126</v>
      </c>
      <c r="F126" s="2398">
        <v>126</v>
      </c>
      <c r="G126" s="2398">
        <v>126</v>
      </c>
      <c r="H126" s="2398">
        <v>126</v>
      </c>
      <c r="I126" s="2398">
        <v>126</v>
      </c>
      <c r="J126" s="2398">
        <v>126</v>
      </c>
      <c r="K126" s="2398">
        <v>126</v>
      </c>
      <c r="L126" s="2489">
        <v>2</v>
      </c>
      <c r="M126" s="2399">
        <v>1</v>
      </c>
      <c r="N126" s="2399">
        <v>1</v>
      </c>
      <c r="O126" s="2398">
        <v>126</v>
      </c>
      <c r="P126" s="2399">
        <v>1</v>
      </c>
      <c r="Q126" s="2399">
        <v>1</v>
      </c>
      <c r="R126" s="2399">
        <v>1</v>
      </c>
      <c r="S126" s="2399">
        <v>1</v>
      </c>
      <c r="T126" s="2398">
        <v>126</v>
      </c>
      <c r="U126" s="2399">
        <v>1</v>
      </c>
      <c r="V126" s="2399">
        <v>1</v>
      </c>
      <c r="W126" s="2399">
        <v>1</v>
      </c>
      <c r="X126" s="2399">
        <v>1</v>
      </c>
      <c r="Y126" s="2399">
        <v>1</v>
      </c>
      <c r="Z126" s="2399">
        <v>1</v>
      </c>
      <c r="AA126" s="2489">
        <v>1</v>
      </c>
      <c r="AB126" s="2399">
        <v>1</v>
      </c>
      <c r="AC126" s="2399">
        <v>1</v>
      </c>
      <c r="AD126" s="2399">
        <v>1</v>
      </c>
      <c r="AE126" s="2399">
        <v>1</v>
      </c>
      <c r="AF126" s="2399">
        <v>1</v>
      </c>
      <c r="AG126" s="2399">
        <v>1</v>
      </c>
      <c r="AH126" s="2399">
        <v>1</v>
      </c>
      <c r="AI126" s="2399">
        <v>1</v>
      </c>
      <c r="AJ126" s="2399">
        <v>1</v>
      </c>
      <c r="AK126" s="2399">
        <v>1</v>
      </c>
      <c r="AL126" s="2399">
        <v>1</v>
      </c>
      <c r="AM126" s="2399">
        <v>3</v>
      </c>
      <c r="AN126" s="2409">
        <v>0</v>
      </c>
      <c r="AO126" s="2399" t="b">
        <v>1</v>
      </c>
      <c r="AP126" s="2399" t="b">
        <v>0</v>
      </c>
    </row>
    <row r="127" spans="1:42" x14ac:dyDescent="0.2">
      <c r="A127" s="574">
        <v>126</v>
      </c>
      <c r="B127" s="2398">
        <v>127</v>
      </c>
      <c r="C127" s="2399">
        <v>1</v>
      </c>
      <c r="D127" s="2398">
        <v>127</v>
      </c>
      <c r="E127" s="2398">
        <v>127</v>
      </c>
      <c r="F127" s="2398">
        <v>127</v>
      </c>
      <c r="G127" s="2398">
        <v>127</v>
      </c>
      <c r="H127" s="2398">
        <v>127</v>
      </c>
      <c r="I127" s="2398">
        <v>127</v>
      </c>
      <c r="J127" s="2398">
        <v>127</v>
      </c>
      <c r="K127" s="2398">
        <v>127</v>
      </c>
      <c r="L127" s="2489">
        <v>2</v>
      </c>
      <c r="M127" s="2399">
        <v>1</v>
      </c>
      <c r="N127" s="2399">
        <v>1</v>
      </c>
      <c r="O127" s="2399">
        <v>1</v>
      </c>
      <c r="P127" s="2398">
        <v>127</v>
      </c>
      <c r="Q127" s="2399">
        <v>1</v>
      </c>
      <c r="R127" s="2399">
        <v>1</v>
      </c>
      <c r="S127" s="2399">
        <v>1</v>
      </c>
      <c r="T127" s="2398">
        <v>127</v>
      </c>
      <c r="U127" s="2399">
        <v>1</v>
      </c>
      <c r="V127" s="2399">
        <v>1</v>
      </c>
      <c r="W127" s="2399">
        <v>1</v>
      </c>
      <c r="X127" s="2399">
        <v>1</v>
      </c>
      <c r="Y127" s="2399">
        <v>1</v>
      </c>
      <c r="Z127" s="2399">
        <v>1</v>
      </c>
      <c r="AA127" s="2489">
        <v>1</v>
      </c>
      <c r="AB127" s="2399">
        <v>1</v>
      </c>
      <c r="AC127" s="2399">
        <v>1</v>
      </c>
      <c r="AD127" s="2399">
        <v>1</v>
      </c>
      <c r="AE127" s="2399">
        <v>1</v>
      </c>
      <c r="AF127" s="2399">
        <v>1</v>
      </c>
      <c r="AG127" s="2399">
        <v>1</v>
      </c>
      <c r="AH127" s="2399">
        <v>1</v>
      </c>
      <c r="AI127" s="2399">
        <v>1</v>
      </c>
      <c r="AJ127" s="2399">
        <v>1</v>
      </c>
      <c r="AK127" s="2399">
        <v>1</v>
      </c>
      <c r="AL127" s="2399">
        <v>1</v>
      </c>
      <c r="AM127" s="2399">
        <v>1</v>
      </c>
      <c r="AN127" s="2409">
        <v>0</v>
      </c>
      <c r="AO127" s="2399" t="b">
        <v>0</v>
      </c>
      <c r="AP127" s="2399" t="b">
        <v>0</v>
      </c>
    </row>
    <row r="128" spans="1:42" x14ac:dyDescent="0.2">
      <c r="A128" s="574">
        <v>127</v>
      </c>
      <c r="B128" s="2398">
        <v>128</v>
      </c>
      <c r="C128" s="2399">
        <v>1</v>
      </c>
      <c r="D128" s="2398">
        <v>128</v>
      </c>
      <c r="E128" s="2398">
        <v>128</v>
      </c>
      <c r="F128" s="2398">
        <v>128</v>
      </c>
      <c r="G128" s="2398">
        <v>128</v>
      </c>
      <c r="H128" s="2398">
        <v>128</v>
      </c>
      <c r="I128" s="2398">
        <v>128</v>
      </c>
      <c r="J128" s="2398">
        <v>128</v>
      </c>
      <c r="K128" s="2398">
        <v>128</v>
      </c>
      <c r="L128" s="2489">
        <v>2</v>
      </c>
      <c r="M128" s="2399">
        <v>1</v>
      </c>
      <c r="N128" s="2399">
        <v>1</v>
      </c>
      <c r="O128" s="2399">
        <v>1</v>
      </c>
      <c r="P128" s="2399">
        <v>1</v>
      </c>
      <c r="Q128" s="2399">
        <v>1</v>
      </c>
      <c r="R128" s="2399">
        <v>1</v>
      </c>
      <c r="S128" s="2399">
        <v>1</v>
      </c>
      <c r="T128" s="2399">
        <v>1</v>
      </c>
      <c r="U128" s="2399">
        <v>1</v>
      </c>
      <c r="V128" s="2398">
        <v>128</v>
      </c>
      <c r="W128" s="2399">
        <v>1</v>
      </c>
      <c r="X128" s="2398">
        <v>128</v>
      </c>
      <c r="Y128" s="2399">
        <v>1</v>
      </c>
      <c r="Z128" s="2399">
        <v>1</v>
      </c>
      <c r="AA128" s="2489">
        <v>1</v>
      </c>
      <c r="AB128" s="2399">
        <v>1</v>
      </c>
      <c r="AC128" s="2399">
        <v>1</v>
      </c>
      <c r="AD128" s="2399">
        <v>1</v>
      </c>
      <c r="AE128" s="2399">
        <v>1</v>
      </c>
      <c r="AF128" s="2399">
        <v>1</v>
      </c>
      <c r="AG128" s="2399">
        <v>1</v>
      </c>
      <c r="AH128" s="2399">
        <v>1</v>
      </c>
      <c r="AI128" s="2399">
        <v>1</v>
      </c>
      <c r="AJ128" s="2399">
        <v>1</v>
      </c>
      <c r="AK128" s="2399">
        <v>1</v>
      </c>
      <c r="AL128" s="2399">
        <v>1</v>
      </c>
      <c r="AM128" s="2399">
        <v>7</v>
      </c>
      <c r="AN128" s="2409">
        <v>0</v>
      </c>
      <c r="AO128" s="2399" t="b">
        <v>0</v>
      </c>
      <c r="AP128" s="2399" t="b">
        <v>0</v>
      </c>
    </row>
    <row r="129" spans="1:42" x14ac:dyDescent="0.2">
      <c r="A129" s="574">
        <v>128</v>
      </c>
      <c r="B129" s="2398">
        <v>129</v>
      </c>
      <c r="C129" s="2398">
        <v>129</v>
      </c>
      <c r="D129" s="2398">
        <v>129</v>
      </c>
      <c r="E129" s="2398">
        <v>129</v>
      </c>
      <c r="F129" s="2398">
        <v>129</v>
      </c>
      <c r="G129" s="2398">
        <v>129</v>
      </c>
      <c r="H129" s="2398">
        <v>129</v>
      </c>
      <c r="I129" s="2398">
        <v>129</v>
      </c>
      <c r="J129" s="2398">
        <v>129</v>
      </c>
      <c r="K129" s="2398">
        <v>129</v>
      </c>
      <c r="L129" s="2489">
        <v>2</v>
      </c>
      <c r="M129" s="2399">
        <v>1</v>
      </c>
      <c r="N129" s="2399">
        <v>1</v>
      </c>
      <c r="O129" s="2399">
        <v>1</v>
      </c>
      <c r="P129" s="2399">
        <v>1</v>
      </c>
      <c r="Q129" s="2399">
        <v>1</v>
      </c>
      <c r="R129" s="2399">
        <v>1</v>
      </c>
      <c r="S129" s="2399">
        <v>1</v>
      </c>
      <c r="T129" s="2399">
        <v>1</v>
      </c>
      <c r="U129" s="2399">
        <v>1</v>
      </c>
      <c r="V129" s="2399">
        <v>1</v>
      </c>
      <c r="W129" s="2399">
        <v>1</v>
      </c>
      <c r="X129" s="2398">
        <v>129</v>
      </c>
      <c r="Y129" s="2399">
        <v>1</v>
      </c>
      <c r="Z129" s="2399">
        <v>1</v>
      </c>
      <c r="AA129" s="2489">
        <v>1</v>
      </c>
      <c r="AB129" s="2399">
        <v>1</v>
      </c>
      <c r="AC129" s="2399">
        <v>1</v>
      </c>
      <c r="AD129" s="2399">
        <v>1</v>
      </c>
      <c r="AE129" s="2399">
        <v>1</v>
      </c>
      <c r="AF129" s="2399">
        <v>1</v>
      </c>
      <c r="AG129" s="2399">
        <v>1</v>
      </c>
      <c r="AH129" s="2399">
        <v>1</v>
      </c>
      <c r="AI129" s="2399">
        <v>1</v>
      </c>
      <c r="AJ129" s="2399">
        <v>1</v>
      </c>
      <c r="AK129" s="2399">
        <v>1</v>
      </c>
      <c r="AL129" s="2399">
        <v>1</v>
      </c>
      <c r="AM129" s="2399">
        <v>4</v>
      </c>
      <c r="AN129" s="2409">
        <v>0</v>
      </c>
      <c r="AO129" s="2399" t="b">
        <v>0</v>
      </c>
      <c r="AP129" s="2399" t="b">
        <v>0</v>
      </c>
    </row>
    <row r="130" spans="1:42" x14ac:dyDescent="0.2">
      <c r="A130" s="574">
        <v>129</v>
      </c>
      <c r="B130" s="2398">
        <v>130</v>
      </c>
      <c r="C130" s="2398">
        <v>130</v>
      </c>
      <c r="D130" s="2398">
        <v>130</v>
      </c>
      <c r="E130" s="2398">
        <v>130</v>
      </c>
      <c r="F130" s="2398">
        <v>130</v>
      </c>
      <c r="G130" s="2398">
        <v>130</v>
      </c>
      <c r="H130" s="2398">
        <v>130</v>
      </c>
      <c r="I130" s="2398">
        <v>130</v>
      </c>
      <c r="J130" s="2398">
        <v>130</v>
      </c>
      <c r="K130" s="2398">
        <v>130</v>
      </c>
      <c r="L130" s="2489">
        <v>2</v>
      </c>
      <c r="M130" s="2399">
        <v>1</v>
      </c>
      <c r="N130" s="2399">
        <v>1</v>
      </c>
      <c r="O130" s="2399">
        <v>1</v>
      </c>
      <c r="P130" s="2399">
        <v>1</v>
      </c>
      <c r="Q130" s="2399">
        <v>1</v>
      </c>
      <c r="R130" s="2399">
        <v>1</v>
      </c>
      <c r="S130" s="2399">
        <v>1</v>
      </c>
      <c r="T130" s="2399">
        <v>1</v>
      </c>
      <c r="U130" s="2399">
        <v>1</v>
      </c>
      <c r="V130" s="2399">
        <v>1</v>
      </c>
      <c r="W130" s="2399">
        <v>1</v>
      </c>
      <c r="X130" s="2398">
        <v>130</v>
      </c>
      <c r="Y130" s="2399">
        <v>1</v>
      </c>
      <c r="Z130" s="2399">
        <v>1</v>
      </c>
      <c r="AA130" s="2489">
        <v>1</v>
      </c>
      <c r="AB130" s="2399">
        <v>1</v>
      </c>
      <c r="AC130" s="2399">
        <v>1</v>
      </c>
      <c r="AD130" s="2399">
        <v>1</v>
      </c>
      <c r="AE130" s="2399">
        <v>1</v>
      </c>
      <c r="AF130" s="2399">
        <v>1</v>
      </c>
      <c r="AG130" s="2399">
        <v>1</v>
      </c>
      <c r="AH130" s="2399">
        <v>1</v>
      </c>
      <c r="AI130" s="2399">
        <v>1</v>
      </c>
      <c r="AJ130" s="2399">
        <v>1</v>
      </c>
      <c r="AK130" s="2399">
        <v>1</v>
      </c>
      <c r="AL130" s="2399">
        <v>1</v>
      </c>
      <c r="AM130" s="2399">
        <v>7</v>
      </c>
      <c r="AN130" s="2409">
        <v>0</v>
      </c>
      <c r="AO130" s="2399" t="b">
        <v>0</v>
      </c>
      <c r="AP130" s="2399" t="b">
        <v>0</v>
      </c>
    </row>
    <row r="131" spans="1:42" x14ac:dyDescent="0.2">
      <c r="A131" s="574">
        <v>130</v>
      </c>
      <c r="B131" s="2398">
        <v>131</v>
      </c>
      <c r="C131" s="2399">
        <v>1</v>
      </c>
      <c r="D131" s="2398">
        <v>131</v>
      </c>
      <c r="E131" s="2398">
        <v>131</v>
      </c>
      <c r="F131" s="2398">
        <v>131</v>
      </c>
      <c r="G131" s="2398">
        <v>131</v>
      </c>
      <c r="H131" s="2398">
        <v>131</v>
      </c>
      <c r="I131" s="2398">
        <v>131</v>
      </c>
      <c r="J131" s="2398">
        <v>131</v>
      </c>
      <c r="K131" s="2398">
        <v>131</v>
      </c>
      <c r="L131" s="2489">
        <v>2</v>
      </c>
      <c r="M131" s="2399">
        <v>1</v>
      </c>
      <c r="N131" s="2399">
        <v>1</v>
      </c>
      <c r="O131" s="2399">
        <v>1</v>
      </c>
      <c r="P131" s="2399">
        <v>1</v>
      </c>
      <c r="Q131" s="2399">
        <v>1</v>
      </c>
      <c r="R131" s="2399">
        <v>1</v>
      </c>
      <c r="S131" s="2399">
        <v>1</v>
      </c>
      <c r="T131" s="2399">
        <v>1</v>
      </c>
      <c r="U131" s="2399">
        <v>1</v>
      </c>
      <c r="V131" s="2398">
        <v>131</v>
      </c>
      <c r="W131" s="2399">
        <v>1</v>
      </c>
      <c r="X131" s="2399">
        <v>1</v>
      </c>
      <c r="Y131" s="2398">
        <v>131</v>
      </c>
      <c r="Z131" s="2399">
        <v>1</v>
      </c>
      <c r="AA131" s="2489">
        <v>1</v>
      </c>
      <c r="AB131" s="2399">
        <v>1</v>
      </c>
      <c r="AC131" s="2399">
        <v>1</v>
      </c>
      <c r="AD131" s="2399">
        <v>1</v>
      </c>
      <c r="AE131" s="2398">
        <v>131</v>
      </c>
      <c r="AF131" s="2399">
        <v>1</v>
      </c>
      <c r="AG131" s="2399">
        <v>1</v>
      </c>
      <c r="AH131" s="2399">
        <v>1</v>
      </c>
      <c r="AI131" s="2399">
        <v>1</v>
      </c>
      <c r="AJ131" s="2399">
        <v>6</v>
      </c>
      <c r="AK131" s="2399">
        <v>1</v>
      </c>
      <c r="AL131" s="2399">
        <v>1</v>
      </c>
      <c r="AM131" s="2399">
        <v>5</v>
      </c>
      <c r="AN131" s="2409">
        <v>0</v>
      </c>
      <c r="AO131" s="2399" t="b">
        <v>1</v>
      </c>
      <c r="AP131" s="2399" t="b">
        <v>0</v>
      </c>
    </row>
    <row r="132" spans="1:42" x14ac:dyDescent="0.2">
      <c r="A132" s="574">
        <v>131</v>
      </c>
      <c r="B132" s="2398">
        <v>132</v>
      </c>
      <c r="C132" s="2399">
        <v>1</v>
      </c>
      <c r="D132" s="2398">
        <v>132</v>
      </c>
      <c r="E132" s="2398">
        <v>132</v>
      </c>
      <c r="F132" s="2398">
        <v>132</v>
      </c>
      <c r="G132" s="2398">
        <v>132</v>
      </c>
      <c r="H132" s="2398">
        <v>132</v>
      </c>
      <c r="I132" s="2398">
        <v>132</v>
      </c>
      <c r="J132" s="2398">
        <v>132</v>
      </c>
      <c r="K132" s="2398">
        <v>132</v>
      </c>
      <c r="L132" s="2489">
        <v>2</v>
      </c>
      <c r="M132" s="2399">
        <v>1</v>
      </c>
      <c r="N132" s="2399">
        <v>1</v>
      </c>
      <c r="O132" s="2399">
        <v>1</v>
      </c>
      <c r="P132" s="2399">
        <v>1</v>
      </c>
      <c r="Q132" s="2399">
        <v>1</v>
      </c>
      <c r="R132" s="2399">
        <v>1</v>
      </c>
      <c r="S132" s="2399">
        <v>1</v>
      </c>
      <c r="T132" s="2399">
        <v>1</v>
      </c>
      <c r="U132" s="2399">
        <v>1</v>
      </c>
      <c r="V132" s="2398">
        <v>132</v>
      </c>
      <c r="W132" s="2398">
        <v>132</v>
      </c>
      <c r="X132" s="2399">
        <v>1</v>
      </c>
      <c r="Y132" s="2398">
        <v>132</v>
      </c>
      <c r="Z132" s="2399">
        <v>1</v>
      </c>
      <c r="AA132" s="2489">
        <v>1</v>
      </c>
      <c r="AB132" s="2399">
        <v>1</v>
      </c>
      <c r="AC132" s="2399">
        <v>1</v>
      </c>
      <c r="AD132" s="2399">
        <v>5</v>
      </c>
      <c r="AE132" s="2398">
        <v>132</v>
      </c>
      <c r="AF132" s="2399">
        <v>1</v>
      </c>
      <c r="AG132" s="2399">
        <v>1</v>
      </c>
      <c r="AH132" s="2399">
        <v>1</v>
      </c>
      <c r="AI132" s="2399">
        <v>1</v>
      </c>
      <c r="AJ132" s="2399">
        <v>11</v>
      </c>
      <c r="AK132" s="2399">
        <v>1</v>
      </c>
      <c r="AL132" s="2399">
        <v>1</v>
      </c>
      <c r="AM132" s="2399">
        <v>7</v>
      </c>
      <c r="AN132" s="2409">
        <v>0</v>
      </c>
      <c r="AO132" s="2399" t="b">
        <v>0</v>
      </c>
      <c r="AP132" s="2399" t="b">
        <v>1</v>
      </c>
    </row>
    <row r="133" spans="1:42" x14ac:dyDescent="0.2">
      <c r="A133" s="574">
        <v>132</v>
      </c>
      <c r="B133" s="2398">
        <v>133</v>
      </c>
      <c r="C133" s="2398">
        <v>133</v>
      </c>
      <c r="D133" s="2398">
        <v>133</v>
      </c>
      <c r="E133" s="2398">
        <v>133</v>
      </c>
      <c r="F133" s="2398">
        <v>133</v>
      </c>
      <c r="G133" s="2398">
        <v>133</v>
      </c>
      <c r="H133" s="2398">
        <v>133</v>
      </c>
      <c r="I133" s="2398">
        <v>133</v>
      </c>
      <c r="J133" s="2398">
        <v>133</v>
      </c>
      <c r="K133" s="2398">
        <v>133</v>
      </c>
      <c r="L133" s="2489">
        <v>2</v>
      </c>
      <c r="M133" s="2399">
        <v>1</v>
      </c>
      <c r="N133" s="2399">
        <v>1</v>
      </c>
      <c r="O133" s="2399">
        <v>1</v>
      </c>
      <c r="P133" s="2399">
        <v>1</v>
      </c>
      <c r="Q133" s="2399">
        <v>1</v>
      </c>
      <c r="R133" s="2399">
        <v>1</v>
      </c>
      <c r="S133" s="2399">
        <v>1</v>
      </c>
      <c r="T133" s="2399">
        <v>1</v>
      </c>
      <c r="U133" s="2399">
        <v>1</v>
      </c>
      <c r="V133" s="2399">
        <v>1</v>
      </c>
      <c r="W133" s="2399">
        <v>1</v>
      </c>
      <c r="X133" s="2399">
        <v>1</v>
      </c>
      <c r="Y133" s="2399">
        <v>1</v>
      </c>
      <c r="Z133" s="2398">
        <v>133</v>
      </c>
      <c r="AA133" s="2489">
        <v>1</v>
      </c>
      <c r="AB133" s="2399">
        <v>1</v>
      </c>
      <c r="AC133" s="2399">
        <v>1</v>
      </c>
      <c r="AD133" s="2399">
        <v>5</v>
      </c>
      <c r="AE133" s="2399">
        <v>1</v>
      </c>
      <c r="AF133" s="2399">
        <v>1</v>
      </c>
      <c r="AG133" s="2399">
        <v>1</v>
      </c>
      <c r="AH133" s="2399">
        <v>1</v>
      </c>
      <c r="AI133" s="2399">
        <v>1</v>
      </c>
      <c r="AJ133" s="2399">
        <v>1</v>
      </c>
      <c r="AK133" s="2399">
        <v>1</v>
      </c>
      <c r="AL133" s="2399">
        <v>1</v>
      </c>
      <c r="AM133" s="2399">
        <v>7</v>
      </c>
      <c r="AN133" s="2409">
        <v>0</v>
      </c>
      <c r="AO133" s="2399" t="b">
        <v>0</v>
      </c>
      <c r="AP133" s="2399" t="b">
        <v>0</v>
      </c>
    </row>
    <row r="134" spans="1:42" x14ac:dyDescent="0.2">
      <c r="A134" s="574">
        <v>133</v>
      </c>
      <c r="B134" s="2398">
        <v>134</v>
      </c>
      <c r="C134" s="2399">
        <v>1</v>
      </c>
      <c r="D134" s="2398">
        <v>134</v>
      </c>
      <c r="E134" s="2398">
        <v>134</v>
      </c>
      <c r="F134" s="2398">
        <v>134</v>
      </c>
      <c r="G134" s="2398">
        <v>134</v>
      </c>
      <c r="H134" s="2398">
        <v>134</v>
      </c>
      <c r="I134" s="2398">
        <v>134</v>
      </c>
      <c r="J134" s="2398">
        <v>134</v>
      </c>
      <c r="K134" s="2398">
        <v>134</v>
      </c>
      <c r="L134" s="2489">
        <v>2</v>
      </c>
      <c r="M134" s="2399">
        <v>1</v>
      </c>
      <c r="N134" s="2399">
        <v>1</v>
      </c>
      <c r="O134" s="2399">
        <v>1</v>
      </c>
      <c r="P134" s="2399">
        <v>1</v>
      </c>
      <c r="Q134" s="2399">
        <v>1</v>
      </c>
      <c r="R134" s="2399">
        <v>1</v>
      </c>
      <c r="S134" s="2399">
        <v>1</v>
      </c>
      <c r="T134" s="2399">
        <v>1</v>
      </c>
      <c r="U134" s="2399">
        <v>1</v>
      </c>
      <c r="V134" s="2398">
        <v>134</v>
      </c>
      <c r="W134" s="2399">
        <v>1</v>
      </c>
      <c r="X134" s="2399">
        <v>1</v>
      </c>
      <c r="Y134" s="2399">
        <v>1</v>
      </c>
      <c r="Z134" s="2398">
        <v>134</v>
      </c>
      <c r="AA134" s="2489">
        <v>1</v>
      </c>
      <c r="AB134" s="2399">
        <v>1</v>
      </c>
      <c r="AC134" s="2399">
        <v>1</v>
      </c>
      <c r="AD134" s="2399">
        <v>5</v>
      </c>
      <c r="AE134" s="2398">
        <v>134</v>
      </c>
      <c r="AF134" s="2399">
        <v>1</v>
      </c>
      <c r="AG134" s="2399">
        <v>1</v>
      </c>
      <c r="AH134" s="2399">
        <v>1</v>
      </c>
      <c r="AI134" s="2399">
        <v>1</v>
      </c>
      <c r="AJ134" s="2399">
        <v>6</v>
      </c>
      <c r="AK134" s="2399">
        <v>1</v>
      </c>
      <c r="AL134" s="2399">
        <v>1</v>
      </c>
      <c r="AM134" s="2399">
        <v>5</v>
      </c>
      <c r="AN134" s="2409">
        <v>0</v>
      </c>
      <c r="AO134" s="2399" t="b">
        <v>0</v>
      </c>
      <c r="AP134" s="2399" t="b">
        <v>1</v>
      </c>
    </row>
    <row r="135" spans="1:42" x14ac:dyDescent="0.2">
      <c r="A135" s="574">
        <v>134</v>
      </c>
      <c r="B135" s="2398">
        <v>135</v>
      </c>
      <c r="C135" s="2398">
        <v>135</v>
      </c>
      <c r="D135" s="2398">
        <v>135</v>
      </c>
      <c r="E135" s="2398">
        <v>135</v>
      </c>
      <c r="F135" s="2398">
        <v>135</v>
      </c>
      <c r="G135" s="2398">
        <v>135</v>
      </c>
      <c r="H135" s="2398">
        <v>135</v>
      </c>
      <c r="I135" s="2398">
        <v>135</v>
      </c>
      <c r="J135" s="2398">
        <v>135</v>
      </c>
      <c r="K135" s="2398">
        <v>135</v>
      </c>
      <c r="L135" s="2489">
        <v>2</v>
      </c>
      <c r="M135" s="2399">
        <v>1</v>
      </c>
      <c r="N135" s="2399">
        <v>1</v>
      </c>
      <c r="O135" s="2399">
        <v>1</v>
      </c>
      <c r="P135" s="2399">
        <v>1</v>
      </c>
      <c r="Q135" s="2399">
        <v>1</v>
      </c>
      <c r="R135" s="2399">
        <v>1</v>
      </c>
      <c r="S135" s="2399">
        <v>1</v>
      </c>
      <c r="T135" s="2399">
        <v>1</v>
      </c>
      <c r="U135" s="2399">
        <v>1</v>
      </c>
      <c r="V135" s="2398">
        <v>135</v>
      </c>
      <c r="W135" s="2399">
        <v>1</v>
      </c>
      <c r="X135" s="2399">
        <v>1</v>
      </c>
      <c r="Y135" s="2399">
        <v>1</v>
      </c>
      <c r="Z135" s="2399">
        <v>1</v>
      </c>
      <c r="AA135" s="2489">
        <v>1</v>
      </c>
      <c r="AB135" s="2399">
        <v>1</v>
      </c>
      <c r="AC135" s="2398">
        <v>135</v>
      </c>
      <c r="AD135" s="2399">
        <v>5</v>
      </c>
      <c r="AE135" s="2398">
        <v>135</v>
      </c>
      <c r="AF135" s="2399">
        <v>1</v>
      </c>
      <c r="AG135" s="2399">
        <v>1</v>
      </c>
      <c r="AH135" s="2399">
        <v>1</v>
      </c>
      <c r="AI135" s="2399">
        <v>1</v>
      </c>
      <c r="AJ135" s="2399">
        <v>8</v>
      </c>
      <c r="AK135" s="2399">
        <v>1</v>
      </c>
      <c r="AL135" s="2399">
        <v>1</v>
      </c>
      <c r="AM135" s="2399">
        <v>7</v>
      </c>
      <c r="AN135" s="2409">
        <v>0</v>
      </c>
      <c r="AO135" s="2399" t="b">
        <v>0</v>
      </c>
      <c r="AP135" s="2399" t="b">
        <v>0</v>
      </c>
    </row>
    <row r="136" spans="1:42" x14ac:dyDescent="0.2">
      <c r="A136" s="574">
        <v>135</v>
      </c>
      <c r="B136" s="2398">
        <v>136</v>
      </c>
      <c r="C136" s="2399">
        <v>1</v>
      </c>
      <c r="D136" s="2398">
        <v>136</v>
      </c>
      <c r="E136" s="2398">
        <v>136</v>
      </c>
      <c r="F136" s="2398">
        <v>136</v>
      </c>
      <c r="G136" s="2398">
        <v>136</v>
      </c>
      <c r="H136" s="2398">
        <v>136</v>
      </c>
      <c r="I136" s="2398">
        <v>136</v>
      </c>
      <c r="J136" s="2398">
        <v>136</v>
      </c>
      <c r="K136" s="2398">
        <v>136</v>
      </c>
      <c r="L136" s="2489">
        <v>2</v>
      </c>
      <c r="M136" s="2399">
        <v>1</v>
      </c>
      <c r="N136" s="2399">
        <v>1</v>
      </c>
      <c r="O136" s="2399">
        <v>1</v>
      </c>
      <c r="P136" s="2399">
        <v>1</v>
      </c>
      <c r="Q136" s="2399">
        <v>1</v>
      </c>
      <c r="R136" s="2399">
        <v>1</v>
      </c>
      <c r="S136" s="2399">
        <v>1</v>
      </c>
      <c r="T136" s="2399">
        <v>1</v>
      </c>
      <c r="U136" s="2399">
        <v>1</v>
      </c>
      <c r="V136" s="2398">
        <v>136</v>
      </c>
      <c r="W136" s="2399">
        <v>1</v>
      </c>
      <c r="X136" s="2399">
        <v>1</v>
      </c>
      <c r="Y136" s="2399">
        <v>1</v>
      </c>
      <c r="Z136" s="2398">
        <v>136</v>
      </c>
      <c r="AA136" s="2489">
        <v>1</v>
      </c>
      <c r="AB136" s="2399">
        <v>1</v>
      </c>
      <c r="AC136" s="2398">
        <v>136</v>
      </c>
      <c r="AD136" s="2399">
        <v>8</v>
      </c>
      <c r="AE136" s="2398">
        <v>136</v>
      </c>
      <c r="AF136" s="2399">
        <v>1</v>
      </c>
      <c r="AG136" s="2399">
        <v>1</v>
      </c>
      <c r="AH136" s="2399">
        <v>1</v>
      </c>
      <c r="AI136" s="2399">
        <v>1</v>
      </c>
      <c r="AJ136" s="2399">
        <v>1</v>
      </c>
      <c r="AK136" s="2399">
        <v>1</v>
      </c>
      <c r="AL136" s="2399">
        <v>1</v>
      </c>
      <c r="AM136" s="2399">
        <v>3</v>
      </c>
      <c r="AN136" s="2409">
        <v>0</v>
      </c>
      <c r="AO136" s="2399" t="b">
        <v>1</v>
      </c>
      <c r="AP136" s="2399" t="b">
        <v>0</v>
      </c>
    </row>
    <row r="137" spans="1:42" x14ac:dyDescent="0.2">
      <c r="A137" s="574">
        <v>136</v>
      </c>
      <c r="B137" s="2398">
        <v>137</v>
      </c>
      <c r="C137" s="2399">
        <v>1</v>
      </c>
      <c r="D137" s="2398">
        <v>137</v>
      </c>
      <c r="E137" s="2398">
        <v>137</v>
      </c>
      <c r="F137" s="2398">
        <v>137</v>
      </c>
      <c r="G137" s="2398">
        <v>137</v>
      </c>
      <c r="H137" s="2398">
        <v>137</v>
      </c>
      <c r="I137" s="2398">
        <v>137</v>
      </c>
      <c r="J137" s="2398">
        <v>137</v>
      </c>
      <c r="K137" s="2398">
        <v>137</v>
      </c>
      <c r="L137" s="2489">
        <v>2</v>
      </c>
      <c r="M137" s="2399">
        <v>1</v>
      </c>
      <c r="N137" s="2398">
        <v>137</v>
      </c>
      <c r="O137" s="2399">
        <v>1</v>
      </c>
      <c r="P137" s="2399">
        <v>1</v>
      </c>
      <c r="Q137" s="2399">
        <v>1</v>
      </c>
      <c r="R137" s="2399">
        <v>1</v>
      </c>
      <c r="S137" s="2399">
        <v>1</v>
      </c>
      <c r="T137" s="2399">
        <v>1</v>
      </c>
      <c r="U137" s="2399">
        <v>1</v>
      </c>
      <c r="V137" s="2398">
        <v>137</v>
      </c>
      <c r="W137" s="2399">
        <v>1</v>
      </c>
      <c r="X137" s="2399">
        <v>1</v>
      </c>
      <c r="Y137" s="2399">
        <v>1</v>
      </c>
      <c r="Z137" s="2399">
        <v>1</v>
      </c>
      <c r="AA137" s="2489">
        <v>1</v>
      </c>
      <c r="AB137" s="2399">
        <v>1</v>
      </c>
      <c r="AC137" s="2399">
        <v>1</v>
      </c>
      <c r="AD137" s="2399">
        <v>1</v>
      </c>
      <c r="AE137" s="2399">
        <v>1</v>
      </c>
      <c r="AF137" s="2398">
        <v>137</v>
      </c>
      <c r="AG137" s="2399">
        <v>1</v>
      </c>
      <c r="AH137" s="2399">
        <v>1</v>
      </c>
      <c r="AI137" s="2399">
        <v>1</v>
      </c>
      <c r="AJ137" s="2399">
        <v>1</v>
      </c>
      <c r="AK137" s="2399">
        <v>1</v>
      </c>
      <c r="AL137" s="2399">
        <v>1</v>
      </c>
      <c r="AM137" s="2399">
        <v>4</v>
      </c>
      <c r="AN137" s="2409">
        <v>0</v>
      </c>
      <c r="AO137" s="2399" t="b">
        <v>0</v>
      </c>
      <c r="AP137" s="2399" t="b">
        <v>0</v>
      </c>
    </row>
    <row r="138" spans="1:42" x14ac:dyDescent="0.2">
      <c r="A138" s="574">
        <v>137</v>
      </c>
      <c r="B138" s="2398">
        <v>138</v>
      </c>
      <c r="C138" s="2398">
        <v>138</v>
      </c>
      <c r="D138" s="2398">
        <v>138</v>
      </c>
      <c r="E138" s="2398">
        <v>138</v>
      </c>
      <c r="F138" s="2398">
        <v>138</v>
      </c>
      <c r="G138" s="2398">
        <v>138</v>
      </c>
      <c r="H138" s="2398">
        <v>138</v>
      </c>
      <c r="I138" s="2398">
        <v>138</v>
      </c>
      <c r="J138" s="2398">
        <v>138</v>
      </c>
      <c r="K138" s="2398">
        <v>138</v>
      </c>
      <c r="L138" s="2489">
        <v>2</v>
      </c>
      <c r="M138" s="2399">
        <v>1</v>
      </c>
      <c r="N138" s="2399">
        <v>1</v>
      </c>
      <c r="O138" s="2399">
        <v>1</v>
      </c>
      <c r="P138" s="2399">
        <v>1</v>
      </c>
      <c r="Q138" s="2399">
        <v>1</v>
      </c>
      <c r="R138" s="2399">
        <v>1</v>
      </c>
      <c r="S138" s="2399">
        <v>1</v>
      </c>
      <c r="T138" s="2399">
        <v>1</v>
      </c>
      <c r="U138" s="2399">
        <v>1</v>
      </c>
      <c r="V138" s="2398">
        <v>138</v>
      </c>
      <c r="W138" s="2399">
        <v>1</v>
      </c>
      <c r="X138" s="2399">
        <v>1</v>
      </c>
      <c r="Y138" s="2399">
        <v>1</v>
      </c>
      <c r="Z138" s="2399">
        <v>1</v>
      </c>
      <c r="AA138" s="2489">
        <v>1</v>
      </c>
      <c r="AB138" s="2399">
        <v>1</v>
      </c>
      <c r="AC138" s="2399">
        <v>1</v>
      </c>
      <c r="AD138" s="2399">
        <v>1</v>
      </c>
      <c r="AE138" s="2399">
        <v>1</v>
      </c>
      <c r="AF138" s="2399">
        <v>1</v>
      </c>
      <c r="AG138" s="2399">
        <v>1</v>
      </c>
      <c r="AH138" s="2399">
        <v>1</v>
      </c>
      <c r="AI138" s="2399">
        <v>1</v>
      </c>
      <c r="AJ138" s="2399">
        <v>1</v>
      </c>
      <c r="AK138" s="2399">
        <v>1</v>
      </c>
      <c r="AL138" s="2399">
        <v>1</v>
      </c>
      <c r="AM138" s="2399">
        <v>5</v>
      </c>
      <c r="AN138" s="2409">
        <v>0</v>
      </c>
      <c r="AO138" s="2399" t="b">
        <v>0</v>
      </c>
      <c r="AP138" s="2399" t="b">
        <v>0</v>
      </c>
    </row>
    <row r="139" spans="1:42" x14ac:dyDescent="0.2">
      <c r="A139" s="574">
        <v>138</v>
      </c>
      <c r="B139" s="2398">
        <v>139</v>
      </c>
      <c r="C139" s="2398">
        <v>139</v>
      </c>
      <c r="D139" s="2399">
        <v>1</v>
      </c>
      <c r="E139" s="2398">
        <v>139</v>
      </c>
      <c r="F139" s="2399">
        <v>1</v>
      </c>
      <c r="G139" s="2399">
        <v>1</v>
      </c>
      <c r="H139" s="2399">
        <v>1</v>
      </c>
      <c r="I139" s="2398">
        <v>139</v>
      </c>
      <c r="J139" s="2399">
        <v>1</v>
      </c>
      <c r="K139" s="2399">
        <v>1</v>
      </c>
      <c r="L139" s="2489">
        <v>2</v>
      </c>
      <c r="M139" s="2399">
        <v>1</v>
      </c>
      <c r="N139" s="2399">
        <v>1</v>
      </c>
      <c r="O139" s="2399">
        <v>1</v>
      </c>
      <c r="P139" s="2399">
        <v>1</v>
      </c>
      <c r="Q139" s="2399">
        <v>1</v>
      </c>
      <c r="R139" s="2399">
        <v>1</v>
      </c>
      <c r="S139" s="2399">
        <v>1</v>
      </c>
      <c r="T139" s="2399">
        <v>1</v>
      </c>
      <c r="U139" s="2398">
        <v>139</v>
      </c>
      <c r="V139" s="2398">
        <v>139</v>
      </c>
      <c r="W139" s="2399">
        <v>1</v>
      </c>
      <c r="X139" s="2399">
        <v>1</v>
      </c>
      <c r="Y139" s="2399">
        <v>1</v>
      </c>
      <c r="Z139" s="2399">
        <v>1</v>
      </c>
      <c r="AA139" s="2489">
        <v>1</v>
      </c>
      <c r="AB139" s="2399">
        <v>1</v>
      </c>
      <c r="AC139" s="2399">
        <v>1</v>
      </c>
      <c r="AD139" s="2399">
        <v>1</v>
      </c>
      <c r="AE139" s="2399">
        <v>1</v>
      </c>
      <c r="AF139" s="2399">
        <v>1</v>
      </c>
      <c r="AG139" s="2399">
        <v>1</v>
      </c>
      <c r="AH139" s="2399">
        <v>1</v>
      </c>
      <c r="AI139" s="2399">
        <v>1</v>
      </c>
      <c r="AJ139" s="2399">
        <v>1</v>
      </c>
      <c r="AK139" s="2399">
        <v>1</v>
      </c>
      <c r="AL139" s="2399">
        <v>1</v>
      </c>
      <c r="AM139" s="2399">
        <v>7</v>
      </c>
      <c r="AN139" s="2409">
        <v>0</v>
      </c>
      <c r="AO139" s="2399" t="b">
        <v>0</v>
      </c>
      <c r="AP139" s="2399" t="b">
        <v>0</v>
      </c>
    </row>
    <row r="140" spans="1:42" x14ac:dyDescent="0.2">
      <c r="A140" s="574">
        <v>139</v>
      </c>
      <c r="B140" s="2398">
        <v>140</v>
      </c>
      <c r="C140" s="2399">
        <v>1</v>
      </c>
      <c r="D140" s="2398">
        <v>140</v>
      </c>
      <c r="E140" s="2398">
        <v>140</v>
      </c>
      <c r="F140" s="2398">
        <v>140</v>
      </c>
      <c r="G140" s="2398">
        <v>140</v>
      </c>
      <c r="H140" s="2398">
        <v>140</v>
      </c>
      <c r="I140" s="2398">
        <v>140</v>
      </c>
      <c r="J140" s="2398">
        <v>140</v>
      </c>
      <c r="K140" s="2398">
        <v>140</v>
      </c>
      <c r="L140" s="2489">
        <v>2</v>
      </c>
      <c r="M140" s="2399">
        <v>1</v>
      </c>
      <c r="N140" s="2399">
        <v>1</v>
      </c>
      <c r="O140" s="2399">
        <v>1</v>
      </c>
      <c r="P140" s="2399">
        <v>1</v>
      </c>
      <c r="Q140" s="2399">
        <v>1</v>
      </c>
      <c r="R140" s="2399">
        <v>1</v>
      </c>
      <c r="S140" s="2399">
        <v>1</v>
      </c>
      <c r="T140" s="2399">
        <v>1</v>
      </c>
      <c r="U140" s="2398">
        <v>140</v>
      </c>
      <c r="V140" s="2399">
        <v>1</v>
      </c>
      <c r="W140" s="2399">
        <v>1</v>
      </c>
      <c r="X140" s="2399">
        <v>1</v>
      </c>
      <c r="Y140" s="2399">
        <v>1</v>
      </c>
      <c r="Z140" s="2398">
        <v>140</v>
      </c>
      <c r="AA140" s="2489">
        <v>1</v>
      </c>
      <c r="AB140" s="2399">
        <v>1</v>
      </c>
      <c r="AC140" s="2399">
        <v>1</v>
      </c>
      <c r="AD140" s="2399">
        <v>5</v>
      </c>
      <c r="AE140" s="2399">
        <v>1</v>
      </c>
      <c r="AF140" s="2399">
        <v>1</v>
      </c>
      <c r="AG140" s="2399">
        <v>1</v>
      </c>
      <c r="AH140" s="2399">
        <v>1</v>
      </c>
      <c r="AI140" s="2399">
        <v>1</v>
      </c>
      <c r="AJ140" s="2399">
        <v>1</v>
      </c>
      <c r="AK140" s="2399">
        <v>1</v>
      </c>
      <c r="AL140" s="2399">
        <v>1</v>
      </c>
      <c r="AM140" s="2399">
        <v>7</v>
      </c>
      <c r="AN140" s="2409">
        <v>0</v>
      </c>
      <c r="AO140" s="2399" t="b">
        <v>0</v>
      </c>
      <c r="AP140" s="2399" t="b">
        <v>0</v>
      </c>
    </row>
    <row r="141" spans="1:42" x14ac:dyDescent="0.2">
      <c r="A141" s="574">
        <v>140</v>
      </c>
      <c r="B141" s="2398">
        <v>141</v>
      </c>
      <c r="C141" s="2399">
        <v>1</v>
      </c>
      <c r="D141" s="2398">
        <v>141</v>
      </c>
      <c r="E141" s="2398">
        <v>141</v>
      </c>
      <c r="F141" s="2398">
        <v>141</v>
      </c>
      <c r="G141" s="2398">
        <v>141</v>
      </c>
      <c r="H141" s="2398">
        <v>141</v>
      </c>
      <c r="I141" s="2398">
        <v>141</v>
      </c>
      <c r="J141" s="2398">
        <v>141</v>
      </c>
      <c r="K141" s="2398">
        <v>141</v>
      </c>
      <c r="L141" s="2489">
        <v>2</v>
      </c>
      <c r="M141" s="2399">
        <v>1</v>
      </c>
      <c r="N141" s="2399">
        <v>1</v>
      </c>
      <c r="O141" s="2399">
        <v>1</v>
      </c>
      <c r="P141" s="2399">
        <v>1</v>
      </c>
      <c r="Q141" s="2399">
        <v>1</v>
      </c>
      <c r="R141" s="2399">
        <v>1</v>
      </c>
      <c r="S141" s="2399">
        <v>1</v>
      </c>
      <c r="T141" s="2399">
        <v>1</v>
      </c>
      <c r="U141" s="2398">
        <v>141</v>
      </c>
      <c r="V141" s="2399">
        <v>1</v>
      </c>
      <c r="W141" s="2399">
        <v>1</v>
      </c>
      <c r="X141" s="2399">
        <v>1</v>
      </c>
      <c r="Y141" s="2398">
        <v>141</v>
      </c>
      <c r="Z141" s="2399">
        <v>1</v>
      </c>
      <c r="AA141" s="2489">
        <v>1</v>
      </c>
      <c r="AB141" s="2399">
        <v>1</v>
      </c>
      <c r="AC141" s="2399">
        <v>1</v>
      </c>
      <c r="AD141" s="2399">
        <v>5</v>
      </c>
      <c r="AE141" s="2399">
        <v>1</v>
      </c>
      <c r="AF141" s="2398">
        <v>141</v>
      </c>
      <c r="AG141" s="2399">
        <v>1</v>
      </c>
      <c r="AH141" s="2399">
        <v>1</v>
      </c>
      <c r="AI141" s="2399">
        <v>1</v>
      </c>
      <c r="AJ141" s="2399">
        <v>1</v>
      </c>
      <c r="AK141" s="2399">
        <v>1</v>
      </c>
      <c r="AL141" s="2399">
        <v>1</v>
      </c>
      <c r="AM141" s="2399">
        <v>7</v>
      </c>
      <c r="AN141" s="2409">
        <v>0</v>
      </c>
      <c r="AO141" s="2399" t="b">
        <v>0</v>
      </c>
      <c r="AP141" s="2399" t="b">
        <v>1</v>
      </c>
    </row>
    <row r="142" spans="1:42" x14ac:dyDescent="0.2">
      <c r="A142" s="574">
        <v>141</v>
      </c>
      <c r="B142" s="2398">
        <v>142</v>
      </c>
      <c r="C142" s="2399">
        <v>1</v>
      </c>
      <c r="D142" s="2398">
        <v>142</v>
      </c>
      <c r="E142" s="2398">
        <v>142</v>
      </c>
      <c r="F142" s="2398">
        <v>142</v>
      </c>
      <c r="G142" s="2398">
        <v>142</v>
      </c>
      <c r="H142" s="2398">
        <v>142</v>
      </c>
      <c r="I142" s="2398">
        <v>142</v>
      </c>
      <c r="J142" s="2398">
        <v>142</v>
      </c>
      <c r="K142" s="2398">
        <v>142</v>
      </c>
      <c r="L142" s="2489">
        <v>2</v>
      </c>
      <c r="M142" s="2399">
        <v>1</v>
      </c>
      <c r="N142" s="2399">
        <v>1</v>
      </c>
      <c r="O142" s="2399">
        <v>1</v>
      </c>
      <c r="P142" s="2399">
        <v>1</v>
      </c>
      <c r="Q142" s="2399">
        <v>1</v>
      </c>
      <c r="R142" s="2399">
        <v>1</v>
      </c>
      <c r="S142" s="2399">
        <v>1</v>
      </c>
      <c r="T142" s="2399">
        <v>1</v>
      </c>
      <c r="U142" s="2398">
        <v>142</v>
      </c>
      <c r="V142" s="2398">
        <v>142</v>
      </c>
      <c r="W142" s="2399">
        <v>1</v>
      </c>
      <c r="X142" s="2399">
        <v>1</v>
      </c>
      <c r="Y142" s="2399">
        <v>1</v>
      </c>
      <c r="Z142" s="2399">
        <v>1</v>
      </c>
      <c r="AA142" s="2489">
        <v>1</v>
      </c>
      <c r="AB142" s="2399">
        <v>1</v>
      </c>
      <c r="AC142" s="2399">
        <v>1</v>
      </c>
      <c r="AD142" s="2399">
        <v>1</v>
      </c>
      <c r="AE142" s="2399">
        <v>1</v>
      </c>
      <c r="AF142" s="2399">
        <v>1</v>
      </c>
      <c r="AG142" s="2399">
        <v>5</v>
      </c>
      <c r="AH142" s="2399">
        <v>1</v>
      </c>
      <c r="AI142" s="2399">
        <v>1</v>
      </c>
      <c r="AJ142" s="2399">
        <v>1</v>
      </c>
      <c r="AK142" s="2399">
        <v>1</v>
      </c>
      <c r="AL142" s="2399">
        <v>1</v>
      </c>
      <c r="AM142" s="2399">
        <v>7</v>
      </c>
      <c r="AN142" s="2409">
        <v>0</v>
      </c>
      <c r="AO142" s="2399" t="b">
        <v>0</v>
      </c>
      <c r="AP142" s="2399" t="b">
        <v>0</v>
      </c>
    </row>
    <row r="143" spans="1:42" x14ac:dyDescent="0.2">
      <c r="A143" s="574">
        <v>142</v>
      </c>
      <c r="B143" s="2398">
        <v>143</v>
      </c>
      <c r="C143" s="2399">
        <v>1</v>
      </c>
      <c r="D143" s="2398">
        <v>143</v>
      </c>
      <c r="E143" s="2398">
        <v>143</v>
      </c>
      <c r="F143" s="2398">
        <v>143</v>
      </c>
      <c r="G143" s="2398">
        <v>143</v>
      </c>
      <c r="H143" s="2398">
        <v>143</v>
      </c>
      <c r="I143" s="2398">
        <v>143</v>
      </c>
      <c r="J143" s="2398">
        <v>143</v>
      </c>
      <c r="K143" s="2398">
        <v>143</v>
      </c>
      <c r="L143" s="2489">
        <v>2</v>
      </c>
      <c r="M143" s="2399">
        <v>1</v>
      </c>
      <c r="N143" s="2399">
        <v>1</v>
      </c>
      <c r="O143" s="2399">
        <v>1</v>
      </c>
      <c r="P143" s="2399">
        <v>1</v>
      </c>
      <c r="Q143" s="2399">
        <v>1</v>
      </c>
      <c r="R143" s="2399">
        <v>1</v>
      </c>
      <c r="S143" s="2399">
        <v>1</v>
      </c>
      <c r="T143" s="2399">
        <v>1</v>
      </c>
      <c r="U143" s="2398">
        <v>143</v>
      </c>
      <c r="V143" s="2398">
        <v>143</v>
      </c>
      <c r="W143" s="2399">
        <v>1</v>
      </c>
      <c r="X143" s="2399">
        <v>1</v>
      </c>
      <c r="Y143" s="2399">
        <v>1</v>
      </c>
      <c r="Z143" s="2399">
        <v>1</v>
      </c>
      <c r="AA143" s="2489">
        <v>1</v>
      </c>
      <c r="AB143" s="2399">
        <v>1</v>
      </c>
      <c r="AC143" s="2399">
        <v>1</v>
      </c>
      <c r="AD143" s="2399">
        <v>1</v>
      </c>
      <c r="AE143" s="2399">
        <v>1</v>
      </c>
      <c r="AF143" s="2399">
        <v>1</v>
      </c>
      <c r="AG143" s="2399">
        <v>1</v>
      </c>
      <c r="AH143" s="2399">
        <v>1</v>
      </c>
      <c r="AI143" s="2399">
        <v>1</v>
      </c>
      <c r="AJ143" s="2399">
        <v>1</v>
      </c>
      <c r="AK143" s="2399">
        <v>1</v>
      </c>
      <c r="AL143" s="2399">
        <v>1</v>
      </c>
      <c r="AM143" s="2399">
        <v>7</v>
      </c>
      <c r="AN143" s="2409">
        <v>0</v>
      </c>
      <c r="AO143" s="2399" t="b">
        <v>0</v>
      </c>
      <c r="AP143" s="2399" t="b">
        <v>0</v>
      </c>
    </row>
    <row r="144" spans="1:42" x14ac:dyDescent="0.2">
      <c r="A144" s="574">
        <v>143</v>
      </c>
      <c r="B144" s="2398">
        <v>144</v>
      </c>
      <c r="C144" s="2398">
        <v>144</v>
      </c>
      <c r="D144" s="2398">
        <v>144</v>
      </c>
      <c r="E144" s="2398">
        <v>144</v>
      </c>
      <c r="F144" s="2398">
        <v>144</v>
      </c>
      <c r="G144" s="2398">
        <v>144</v>
      </c>
      <c r="H144" s="2398">
        <v>144</v>
      </c>
      <c r="I144" s="2398">
        <v>144</v>
      </c>
      <c r="J144" s="2398">
        <v>144</v>
      </c>
      <c r="K144" s="2398">
        <v>144</v>
      </c>
      <c r="L144" s="2489">
        <v>2</v>
      </c>
      <c r="M144" s="2399">
        <v>1</v>
      </c>
      <c r="N144" s="2399">
        <v>1</v>
      </c>
      <c r="O144" s="2399">
        <v>1</v>
      </c>
      <c r="P144" s="2399">
        <v>1</v>
      </c>
      <c r="Q144" s="2399">
        <v>1</v>
      </c>
      <c r="R144" s="2399">
        <v>1</v>
      </c>
      <c r="S144" s="2399">
        <v>1</v>
      </c>
      <c r="T144" s="2399">
        <v>1</v>
      </c>
      <c r="U144" s="2399">
        <v>1</v>
      </c>
      <c r="V144" s="2399">
        <v>1</v>
      </c>
      <c r="W144" s="2399">
        <v>1</v>
      </c>
      <c r="X144" s="2399">
        <v>1</v>
      </c>
      <c r="Y144" s="2399">
        <v>1</v>
      </c>
      <c r="Z144" s="2399">
        <v>1</v>
      </c>
      <c r="AA144" s="2489">
        <v>4</v>
      </c>
      <c r="AB144" s="2399">
        <v>1</v>
      </c>
      <c r="AC144" s="2399">
        <v>1</v>
      </c>
      <c r="AD144" s="2399">
        <v>6</v>
      </c>
      <c r="AE144" s="2399">
        <v>1</v>
      </c>
      <c r="AF144" s="2399">
        <v>1</v>
      </c>
      <c r="AG144" s="2399">
        <v>1</v>
      </c>
      <c r="AH144" s="2399">
        <v>1</v>
      </c>
      <c r="AI144" s="2399">
        <v>1</v>
      </c>
      <c r="AJ144" s="2399">
        <v>1</v>
      </c>
      <c r="AK144" s="2399">
        <v>1</v>
      </c>
      <c r="AL144" s="2399">
        <v>1</v>
      </c>
      <c r="AM144" s="2399">
        <v>7</v>
      </c>
      <c r="AN144" s="2409">
        <v>0</v>
      </c>
      <c r="AO144" s="2399" t="b">
        <v>0</v>
      </c>
      <c r="AP144" s="2399" t="b">
        <v>0</v>
      </c>
    </row>
    <row r="145" spans="1:42" x14ac:dyDescent="0.2">
      <c r="A145" s="574">
        <v>144</v>
      </c>
      <c r="B145" s="2398">
        <v>145</v>
      </c>
      <c r="C145" s="2399">
        <v>1</v>
      </c>
      <c r="D145" s="2398">
        <v>145</v>
      </c>
      <c r="E145" s="2398">
        <v>145</v>
      </c>
      <c r="F145" s="2398">
        <v>145</v>
      </c>
      <c r="G145" s="2398">
        <v>145</v>
      </c>
      <c r="H145" s="2398">
        <v>145</v>
      </c>
      <c r="I145" s="2398">
        <v>145</v>
      </c>
      <c r="J145" s="2398">
        <v>145</v>
      </c>
      <c r="K145" s="2398">
        <v>145</v>
      </c>
      <c r="L145" s="2489">
        <v>2</v>
      </c>
      <c r="M145" s="2399">
        <v>1</v>
      </c>
      <c r="N145" s="2399">
        <v>1</v>
      </c>
      <c r="O145" s="2399">
        <v>1</v>
      </c>
      <c r="P145" s="2399">
        <v>1</v>
      </c>
      <c r="Q145" s="2399">
        <v>1</v>
      </c>
      <c r="R145" s="2399">
        <v>1</v>
      </c>
      <c r="S145" s="2399">
        <v>1</v>
      </c>
      <c r="T145" s="2399">
        <v>1</v>
      </c>
      <c r="U145" s="2399">
        <v>1</v>
      </c>
      <c r="V145" s="2399">
        <v>1</v>
      </c>
      <c r="W145" s="2399">
        <v>1</v>
      </c>
      <c r="X145" s="2399">
        <v>1</v>
      </c>
      <c r="Y145" s="2399">
        <v>1</v>
      </c>
      <c r="Z145" s="2399">
        <v>1</v>
      </c>
      <c r="AA145" s="2489">
        <v>7</v>
      </c>
      <c r="AB145" s="2399">
        <v>1</v>
      </c>
      <c r="AC145" s="2399">
        <v>1</v>
      </c>
      <c r="AD145" s="2399">
        <v>5</v>
      </c>
      <c r="AE145" s="2399">
        <v>1</v>
      </c>
      <c r="AF145" s="2399">
        <v>1</v>
      </c>
      <c r="AG145" s="2399">
        <v>1</v>
      </c>
      <c r="AH145" s="2399">
        <v>1</v>
      </c>
      <c r="AI145" s="2399">
        <v>1</v>
      </c>
      <c r="AJ145" s="2399">
        <v>6</v>
      </c>
      <c r="AK145" s="2399">
        <v>1</v>
      </c>
      <c r="AL145" s="2399">
        <v>1</v>
      </c>
      <c r="AM145" s="2399">
        <v>7</v>
      </c>
      <c r="AN145" s="2409">
        <v>0</v>
      </c>
      <c r="AO145" s="2399" t="b">
        <v>0</v>
      </c>
      <c r="AP145" s="2399" t="b">
        <v>0</v>
      </c>
    </row>
    <row r="146" spans="1:42" x14ac:dyDescent="0.2">
      <c r="A146" s="574">
        <v>145</v>
      </c>
      <c r="B146" s="2398">
        <v>146</v>
      </c>
      <c r="C146" s="2399">
        <v>1</v>
      </c>
      <c r="D146" s="2398">
        <v>146</v>
      </c>
      <c r="E146" s="2398">
        <v>146</v>
      </c>
      <c r="F146" s="2398">
        <v>146</v>
      </c>
      <c r="G146" s="2398">
        <v>146</v>
      </c>
      <c r="H146" s="2398">
        <v>146</v>
      </c>
      <c r="I146" s="2398">
        <v>146</v>
      </c>
      <c r="J146" s="2398">
        <v>146</v>
      </c>
      <c r="K146" s="2398">
        <v>146</v>
      </c>
      <c r="L146" s="2489">
        <v>2</v>
      </c>
      <c r="M146" s="2399">
        <v>1</v>
      </c>
      <c r="N146" s="2399">
        <v>1</v>
      </c>
      <c r="O146" s="2399">
        <v>1</v>
      </c>
      <c r="P146" s="2399">
        <v>1</v>
      </c>
      <c r="Q146" s="2399">
        <v>1</v>
      </c>
      <c r="R146" s="2399">
        <v>1</v>
      </c>
      <c r="S146" s="2399">
        <v>1</v>
      </c>
      <c r="T146" s="2399">
        <v>1</v>
      </c>
      <c r="U146" s="2399">
        <v>1</v>
      </c>
      <c r="V146" s="2399">
        <v>1</v>
      </c>
      <c r="W146" s="2399">
        <v>1</v>
      </c>
      <c r="X146" s="2399">
        <v>1</v>
      </c>
      <c r="Y146" s="2399">
        <v>1</v>
      </c>
      <c r="Z146" s="2399">
        <v>1</v>
      </c>
      <c r="AA146" s="2489">
        <v>7</v>
      </c>
      <c r="AB146" s="2399">
        <v>1</v>
      </c>
      <c r="AC146" s="2399">
        <v>1</v>
      </c>
      <c r="AD146" s="2399">
        <v>1</v>
      </c>
      <c r="AE146" s="2399">
        <v>1</v>
      </c>
      <c r="AF146" s="2399">
        <v>1</v>
      </c>
      <c r="AG146" s="2399">
        <v>1</v>
      </c>
      <c r="AH146" s="2399">
        <v>1</v>
      </c>
      <c r="AI146" s="2399">
        <v>1</v>
      </c>
      <c r="AJ146" s="2399">
        <v>1</v>
      </c>
      <c r="AK146" s="2399">
        <v>1</v>
      </c>
      <c r="AL146" s="2399">
        <v>1</v>
      </c>
      <c r="AM146" s="2399">
        <v>3</v>
      </c>
      <c r="AN146" s="2409">
        <v>0</v>
      </c>
      <c r="AO146" s="2399" t="b">
        <v>1</v>
      </c>
      <c r="AP146" s="2399" t="b">
        <v>0</v>
      </c>
    </row>
    <row r="147" spans="1:42" x14ac:dyDescent="0.2">
      <c r="A147" s="574">
        <v>146</v>
      </c>
      <c r="B147" s="2398">
        <v>147</v>
      </c>
      <c r="C147" s="2399">
        <v>1</v>
      </c>
      <c r="D147" s="2398">
        <v>147</v>
      </c>
      <c r="E147" s="2398">
        <v>147</v>
      </c>
      <c r="F147" s="2398">
        <v>147</v>
      </c>
      <c r="G147" s="2398">
        <v>147</v>
      </c>
      <c r="H147" s="2398">
        <v>147</v>
      </c>
      <c r="I147" s="2398">
        <v>147</v>
      </c>
      <c r="J147" s="2398">
        <v>147</v>
      </c>
      <c r="K147" s="2398">
        <v>147</v>
      </c>
      <c r="L147" s="2489">
        <v>2</v>
      </c>
      <c r="M147" s="2399">
        <v>1</v>
      </c>
      <c r="N147" s="2399">
        <v>3</v>
      </c>
      <c r="O147" s="2399">
        <v>1</v>
      </c>
      <c r="P147" s="2399">
        <v>1</v>
      </c>
      <c r="Q147" s="2399">
        <v>1</v>
      </c>
      <c r="R147" s="2399">
        <v>1</v>
      </c>
      <c r="S147" s="2399">
        <v>1</v>
      </c>
      <c r="T147" s="2399">
        <v>1</v>
      </c>
      <c r="U147" s="2399">
        <v>1</v>
      </c>
      <c r="V147" s="2399">
        <v>1</v>
      </c>
      <c r="W147" s="2399">
        <v>1</v>
      </c>
      <c r="X147" s="2399">
        <v>1</v>
      </c>
      <c r="Y147" s="2399">
        <v>1</v>
      </c>
      <c r="Z147" s="2399">
        <v>1</v>
      </c>
      <c r="AA147" s="2489">
        <v>7</v>
      </c>
      <c r="AB147" s="2399">
        <v>1</v>
      </c>
      <c r="AC147" s="2399">
        <v>1</v>
      </c>
      <c r="AD147" s="2399">
        <v>1</v>
      </c>
      <c r="AE147" s="2399">
        <v>1</v>
      </c>
      <c r="AF147" s="2399">
        <v>1</v>
      </c>
      <c r="AG147" s="2399">
        <v>1</v>
      </c>
      <c r="AH147" s="2399">
        <v>1</v>
      </c>
      <c r="AI147" s="2399">
        <v>1</v>
      </c>
      <c r="AJ147" s="2399">
        <v>1</v>
      </c>
      <c r="AK147" s="2399">
        <v>1</v>
      </c>
      <c r="AL147" s="2399">
        <v>1</v>
      </c>
      <c r="AM147" s="2399">
        <v>3</v>
      </c>
      <c r="AN147" s="2409">
        <v>0</v>
      </c>
      <c r="AO147" s="2399" t="b">
        <v>1</v>
      </c>
      <c r="AP147" s="2399" t="b">
        <v>0</v>
      </c>
    </row>
    <row r="148" spans="1:42" x14ac:dyDescent="0.2">
      <c r="A148" s="574">
        <v>147</v>
      </c>
      <c r="B148" s="2398">
        <v>148</v>
      </c>
      <c r="C148" s="2399">
        <v>1</v>
      </c>
      <c r="D148" s="2398">
        <v>148</v>
      </c>
      <c r="E148" s="2398">
        <v>148</v>
      </c>
      <c r="F148" s="2398">
        <v>148</v>
      </c>
      <c r="G148" s="2398">
        <v>148</v>
      </c>
      <c r="H148" s="2398">
        <v>148</v>
      </c>
      <c r="I148" s="2398">
        <v>148</v>
      </c>
      <c r="J148" s="2398">
        <v>148</v>
      </c>
      <c r="K148" s="2398">
        <v>148</v>
      </c>
      <c r="L148" s="2489">
        <v>2</v>
      </c>
      <c r="M148" s="2399">
        <v>1</v>
      </c>
      <c r="N148" s="2399">
        <v>1</v>
      </c>
      <c r="O148" s="2399">
        <v>1</v>
      </c>
      <c r="P148" s="2399">
        <v>1</v>
      </c>
      <c r="Q148" s="2399">
        <v>1</v>
      </c>
      <c r="R148" s="2399">
        <v>1</v>
      </c>
      <c r="S148" s="2399">
        <v>1</v>
      </c>
      <c r="T148" s="2399">
        <v>1</v>
      </c>
      <c r="U148" s="2399">
        <v>1</v>
      </c>
      <c r="V148" s="2399">
        <v>1</v>
      </c>
      <c r="W148" s="2399">
        <v>1</v>
      </c>
      <c r="X148" s="2399">
        <v>1</v>
      </c>
      <c r="Y148" s="2399">
        <v>1</v>
      </c>
      <c r="Z148" s="2399">
        <v>1</v>
      </c>
      <c r="AA148" s="2489">
        <v>2</v>
      </c>
      <c r="AB148" s="2399">
        <v>1</v>
      </c>
      <c r="AC148" s="2399">
        <v>1</v>
      </c>
      <c r="AD148" s="2399">
        <v>5</v>
      </c>
      <c r="AE148" s="2399">
        <v>1</v>
      </c>
      <c r="AF148" s="2398">
        <v>148</v>
      </c>
      <c r="AG148" s="2399">
        <v>1</v>
      </c>
      <c r="AH148" s="2399">
        <v>1</v>
      </c>
      <c r="AI148" s="2399">
        <v>1</v>
      </c>
      <c r="AJ148" s="2399">
        <v>1</v>
      </c>
      <c r="AK148" s="2399">
        <v>1</v>
      </c>
      <c r="AL148" s="2399">
        <v>1</v>
      </c>
      <c r="AM148" s="2399">
        <v>5</v>
      </c>
      <c r="AN148" s="2409">
        <v>0</v>
      </c>
      <c r="AO148" s="2399" t="b">
        <v>0</v>
      </c>
      <c r="AP148" s="2399" t="b">
        <v>1</v>
      </c>
    </row>
    <row r="149" spans="1:42" x14ac:dyDescent="0.2">
      <c r="A149" s="574">
        <v>148</v>
      </c>
      <c r="B149" s="2398">
        <v>149</v>
      </c>
      <c r="C149" s="2399">
        <v>1</v>
      </c>
      <c r="D149" s="2398">
        <v>149</v>
      </c>
      <c r="E149" s="2398">
        <v>149</v>
      </c>
      <c r="F149" s="2398">
        <v>149</v>
      </c>
      <c r="G149" s="2398">
        <v>149</v>
      </c>
      <c r="H149" s="2398">
        <v>149</v>
      </c>
      <c r="I149" s="2398">
        <v>149</v>
      </c>
      <c r="J149" s="2398">
        <v>149</v>
      </c>
      <c r="K149" s="2398">
        <v>149</v>
      </c>
      <c r="L149" s="2489">
        <v>2</v>
      </c>
      <c r="M149" s="2399">
        <v>1</v>
      </c>
      <c r="N149" s="2399">
        <v>1</v>
      </c>
      <c r="O149" s="2399">
        <v>1</v>
      </c>
      <c r="P149" s="2399">
        <v>1</v>
      </c>
      <c r="Q149" s="2399">
        <v>1</v>
      </c>
      <c r="R149" s="2399">
        <v>1</v>
      </c>
      <c r="S149" s="2399">
        <v>1</v>
      </c>
      <c r="T149" s="2399">
        <v>1</v>
      </c>
      <c r="U149" s="2398">
        <v>149</v>
      </c>
      <c r="V149" s="2399">
        <v>1</v>
      </c>
      <c r="W149" s="2399">
        <v>1</v>
      </c>
      <c r="X149" s="2399">
        <v>1</v>
      </c>
      <c r="Y149" s="2399">
        <v>1</v>
      </c>
      <c r="Z149" s="2399">
        <v>1</v>
      </c>
      <c r="AA149" s="2489">
        <v>5</v>
      </c>
      <c r="AB149" s="2399">
        <v>1</v>
      </c>
      <c r="AC149" s="2399">
        <v>1</v>
      </c>
      <c r="AD149" s="2399">
        <v>1</v>
      </c>
      <c r="AE149" s="2399">
        <v>1</v>
      </c>
      <c r="AF149" s="2399">
        <v>1</v>
      </c>
      <c r="AG149" s="2399">
        <v>1</v>
      </c>
      <c r="AH149" s="2399">
        <v>1</v>
      </c>
      <c r="AI149" s="2399">
        <v>1</v>
      </c>
      <c r="AJ149" s="2399">
        <v>2</v>
      </c>
      <c r="AK149" s="2399">
        <v>1</v>
      </c>
      <c r="AL149" s="2399">
        <v>1</v>
      </c>
      <c r="AM149" s="2399">
        <v>3</v>
      </c>
      <c r="AN149" s="2409">
        <v>0</v>
      </c>
      <c r="AO149" s="2399" t="b">
        <v>1</v>
      </c>
      <c r="AP149" s="2399" t="b">
        <v>0</v>
      </c>
    </row>
    <row r="150" spans="1:42" x14ac:dyDescent="0.2">
      <c r="A150" s="574">
        <v>149</v>
      </c>
      <c r="B150" s="2398">
        <v>150</v>
      </c>
      <c r="C150" s="2399">
        <v>1</v>
      </c>
      <c r="D150" s="2398">
        <v>150</v>
      </c>
      <c r="E150" s="2398">
        <v>150</v>
      </c>
      <c r="F150" s="2398">
        <v>150</v>
      </c>
      <c r="G150" s="2398">
        <v>150</v>
      </c>
      <c r="H150" s="2398">
        <v>150</v>
      </c>
      <c r="I150" s="2398">
        <v>150</v>
      </c>
      <c r="J150" s="2398">
        <v>150</v>
      </c>
      <c r="K150" s="2398">
        <v>150</v>
      </c>
      <c r="L150" s="2489">
        <v>2</v>
      </c>
      <c r="M150" s="2399">
        <v>1</v>
      </c>
      <c r="N150" s="2399">
        <v>1</v>
      </c>
      <c r="O150" s="2399">
        <v>1</v>
      </c>
      <c r="P150" s="2399">
        <v>1</v>
      </c>
      <c r="Q150" s="2399">
        <v>1</v>
      </c>
      <c r="R150" s="2399">
        <v>1</v>
      </c>
      <c r="S150" s="2399">
        <v>1</v>
      </c>
      <c r="T150" s="2399">
        <v>1</v>
      </c>
      <c r="U150" s="2399">
        <v>1</v>
      </c>
      <c r="V150" s="2399">
        <v>1</v>
      </c>
      <c r="W150" s="2399">
        <v>1</v>
      </c>
      <c r="X150" s="2399">
        <v>1</v>
      </c>
      <c r="Y150" s="2399">
        <v>1</v>
      </c>
      <c r="Z150" s="2399">
        <v>1</v>
      </c>
      <c r="AA150" s="2489">
        <v>4</v>
      </c>
      <c r="AB150" s="2399">
        <v>1</v>
      </c>
      <c r="AC150" s="2399">
        <v>1</v>
      </c>
      <c r="AD150" s="2399">
        <v>6</v>
      </c>
      <c r="AE150" s="2399">
        <v>1</v>
      </c>
      <c r="AF150" s="2399">
        <v>1</v>
      </c>
      <c r="AG150" s="2399">
        <v>1</v>
      </c>
      <c r="AH150" s="2399">
        <v>1</v>
      </c>
      <c r="AI150" s="2399">
        <v>3</v>
      </c>
      <c r="AJ150" s="2399">
        <v>1</v>
      </c>
      <c r="AK150" s="2399">
        <v>1</v>
      </c>
      <c r="AL150" s="2399">
        <v>1</v>
      </c>
      <c r="AM150" s="2399">
        <v>7</v>
      </c>
      <c r="AN150" s="2409">
        <v>0</v>
      </c>
      <c r="AO150" s="2399" t="b">
        <v>0</v>
      </c>
      <c r="AP150" s="2399" t="b">
        <v>0</v>
      </c>
    </row>
    <row r="151" spans="1:42" x14ac:dyDescent="0.2">
      <c r="A151" s="574">
        <v>150</v>
      </c>
      <c r="B151" s="2398">
        <v>151</v>
      </c>
      <c r="C151" s="2399">
        <v>1</v>
      </c>
      <c r="D151" s="2398">
        <v>151</v>
      </c>
      <c r="E151" s="2398">
        <v>151</v>
      </c>
      <c r="F151" s="2398">
        <v>151</v>
      </c>
      <c r="G151" s="2398">
        <v>151</v>
      </c>
      <c r="H151" s="2398">
        <v>151</v>
      </c>
      <c r="I151" s="2398">
        <v>151</v>
      </c>
      <c r="J151" s="2398">
        <v>151</v>
      </c>
      <c r="K151" s="2398">
        <v>151</v>
      </c>
      <c r="L151" s="2489">
        <v>2</v>
      </c>
      <c r="M151" s="2399">
        <v>1</v>
      </c>
      <c r="N151" s="2399">
        <v>1</v>
      </c>
      <c r="O151" s="2399">
        <v>1</v>
      </c>
      <c r="P151" s="2399">
        <v>1</v>
      </c>
      <c r="Q151" s="2399">
        <v>1</v>
      </c>
      <c r="R151" s="2399">
        <v>1</v>
      </c>
      <c r="S151" s="2399">
        <v>1</v>
      </c>
      <c r="T151" s="2399">
        <v>1</v>
      </c>
      <c r="U151" s="2399">
        <v>1</v>
      </c>
      <c r="V151" s="2399">
        <v>1</v>
      </c>
      <c r="W151" s="2399">
        <v>1</v>
      </c>
      <c r="X151" s="2399">
        <v>1</v>
      </c>
      <c r="Y151" s="2399">
        <v>1</v>
      </c>
      <c r="Z151" s="2399">
        <v>1</v>
      </c>
      <c r="AA151" s="2489">
        <v>7</v>
      </c>
      <c r="AB151" s="2399">
        <v>1</v>
      </c>
      <c r="AC151" s="2399">
        <v>1</v>
      </c>
      <c r="AD151" s="2399">
        <v>5</v>
      </c>
      <c r="AE151" s="2399">
        <v>1</v>
      </c>
      <c r="AF151" s="2399">
        <v>1</v>
      </c>
      <c r="AG151" s="2400">
        <v>151</v>
      </c>
      <c r="AH151" s="2400">
        <v>151</v>
      </c>
      <c r="AI151" s="2399">
        <v>1</v>
      </c>
      <c r="AJ151" s="2399">
        <v>1</v>
      </c>
      <c r="AK151" s="2399">
        <v>1</v>
      </c>
      <c r="AL151" s="2399">
        <v>1</v>
      </c>
      <c r="AM151" s="2399">
        <v>7</v>
      </c>
      <c r="AN151" s="2409">
        <v>0</v>
      </c>
      <c r="AO151" s="2399" t="b">
        <v>0</v>
      </c>
      <c r="AP151" s="2399" t="b">
        <v>0</v>
      </c>
    </row>
    <row r="152" spans="1:42" x14ac:dyDescent="0.2">
      <c r="A152" s="574">
        <v>151</v>
      </c>
      <c r="B152" s="2398">
        <v>152</v>
      </c>
      <c r="C152" s="2399">
        <v>1</v>
      </c>
      <c r="D152" s="2398">
        <v>152</v>
      </c>
      <c r="E152" s="2398">
        <v>152</v>
      </c>
      <c r="F152" s="2398">
        <v>152</v>
      </c>
      <c r="G152" s="2398">
        <v>152</v>
      </c>
      <c r="H152" s="2398">
        <v>152</v>
      </c>
      <c r="I152" s="2398">
        <v>152</v>
      </c>
      <c r="J152" s="2398">
        <v>152</v>
      </c>
      <c r="K152" s="2398">
        <v>152</v>
      </c>
      <c r="L152" s="2489">
        <v>2</v>
      </c>
      <c r="M152" s="2399">
        <v>1</v>
      </c>
      <c r="N152" s="2399">
        <v>1</v>
      </c>
      <c r="O152" s="2399">
        <v>1</v>
      </c>
      <c r="P152" s="2399">
        <v>1</v>
      </c>
      <c r="Q152" s="2399">
        <v>1</v>
      </c>
      <c r="R152" s="2399">
        <v>1</v>
      </c>
      <c r="S152" s="2399">
        <v>1</v>
      </c>
      <c r="T152" s="2399">
        <v>1</v>
      </c>
      <c r="U152" s="2399">
        <v>1</v>
      </c>
      <c r="V152" s="2399">
        <v>1</v>
      </c>
      <c r="W152" s="2399">
        <v>1</v>
      </c>
      <c r="X152" s="2399">
        <v>1</v>
      </c>
      <c r="Y152" s="2399">
        <v>1</v>
      </c>
      <c r="Z152" s="2398">
        <v>152</v>
      </c>
      <c r="AA152" s="2489">
        <v>5</v>
      </c>
      <c r="AB152" s="2399">
        <v>1</v>
      </c>
      <c r="AC152" s="2399">
        <v>1</v>
      </c>
      <c r="AD152" s="2399">
        <v>5</v>
      </c>
      <c r="AE152" s="2399">
        <v>1</v>
      </c>
      <c r="AF152" s="2399">
        <v>1</v>
      </c>
      <c r="AG152" s="2399">
        <v>1</v>
      </c>
      <c r="AH152" s="2399">
        <v>1</v>
      </c>
      <c r="AI152" s="2399">
        <v>1</v>
      </c>
      <c r="AJ152" s="2399">
        <v>5</v>
      </c>
      <c r="AK152" s="2399">
        <v>1</v>
      </c>
      <c r="AL152" s="2399">
        <v>1</v>
      </c>
      <c r="AM152" s="2399">
        <v>7</v>
      </c>
      <c r="AN152" s="2409">
        <v>0</v>
      </c>
      <c r="AO152" s="2399" t="b">
        <v>0</v>
      </c>
      <c r="AP152" s="2399" t="b">
        <v>0</v>
      </c>
    </row>
    <row r="153" spans="1:42" x14ac:dyDescent="0.2">
      <c r="A153" s="574">
        <v>152</v>
      </c>
      <c r="B153" s="2398">
        <v>153</v>
      </c>
      <c r="C153" s="2399">
        <v>1</v>
      </c>
      <c r="D153" s="2398">
        <v>153</v>
      </c>
      <c r="E153" s="2398">
        <v>153</v>
      </c>
      <c r="F153" s="2398">
        <v>153</v>
      </c>
      <c r="G153" s="2398">
        <v>153</v>
      </c>
      <c r="H153" s="2398">
        <v>153</v>
      </c>
      <c r="I153" s="2398">
        <v>153</v>
      </c>
      <c r="J153" s="2398">
        <v>153</v>
      </c>
      <c r="K153" s="2398">
        <v>153</v>
      </c>
      <c r="L153" s="2489">
        <v>2</v>
      </c>
      <c r="M153" s="2399">
        <v>1</v>
      </c>
      <c r="N153" s="2399">
        <v>1</v>
      </c>
      <c r="O153" s="2399">
        <v>1</v>
      </c>
      <c r="P153" s="2399">
        <v>1</v>
      </c>
      <c r="Q153" s="2399">
        <v>1</v>
      </c>
      <c r="R153" s="2399">
        <v>1</v>
      </c>
      <c r="S153" s="2399">
        <v>1</v>
      </c>
      <c r="T153" s="2399">
        <v>1</v>
      </c>
      <c r="U153" s="2399">
        <v>1</v>
      </c>
      <c r="V153" s="2398">
        <v>153</v>
      </c>
      <c r="W153" s="2399">
        <v>1</v>
      </c>
      <c r="X153" s="2399">
        <v>1</v>
      </c>
      <c r="Y153" s="2399">
        <v>1</v>
      </c>
      <c r="Z153" s="2399">
        <v>1</v>
      </c>
      <c r="AA153" s="2489">
        <v>5</v>
      </c>
      <c r="AB153" s="2399">
        <v>1</v>
      </c>
      <c r="AC153" s="2399">
        <v>1</v>
      </c>
      <c r="AD153" s="2399">
        <v>5</v>
      </c>
      <c r="AE153" s="2399">
        <v>1</v>
      </c>
      <c r="AF153" s="2399">
        <v>1</v>
      </c>
      <c r="AG153" s="2399">
        <v>1</v>
      </c>
      <c r="AH153" s="2399">
        <v>1</v>
      </c>
      <c r="AI153" s="2399">
        <v>1</v>
      </c>
      <c r="AJ153" s="2399">
        <v>1</v>
      </c>
      <c r="AK153" s="2399">
        <v>1</v>
      </c>
      <c r="AL153" s="2399">
        <v>1</v>
      </c>
      <c r="AM153" s="2399">
        <v>4</v>
      </c>
      <c r="AN153" s="2409">
        <v>0</v>
      </c>
      <c r="AO153" s="2399" t="b">
        <v>0</v>
      </c>
      <c r="AP153" s="2399" t="b">
        <v>0</v>
      </c>
    </row>
    <row r="154" spans="1:42" x14ac:dyDescent="0.2">
      <c r="A154" s="574">
        <v>153</v>
      </c>
      <c r="B154" s="2398">
        <v>154</v>
      </c>
      <c r="C154" s="2398">
        <v>154</v>
      </c>
      <c r="D154" s="2398">
        <v>154</v>
      </c>
      <c r="E154" s="2398">
        <v>154</v>
      </c>
      <c r="F154" s="2398">
        <v>154</v>
      </c>
      <c r="G154" s="2398">
        <v>154</v>
      </c>
      <c r="H154" s="2398">
        <v>154</v>
      </c>
      <c r="I154" s="2398">
        <v>154</v>
      </c>
      <c r="J154" s="2398">
        <v>154</v>
      </c>
      <c r="K154" s="2398">
        <v>154</v>
      </c>
      <c r="L154" s="2489">
        <v>2</v>
      </c>
      <c r="M154" s="2399">
        <v>1</v>
      </c>
      <c r="N154" s="2399">
        <v>1</v>
      </c>
      <c r="O154" s="2399">
        <v>1</v>
      </c>
      <c r="P154" s="2399">
        <v>1</v>
      </c>
      <c r="Q154" s="2398">
        <v>154</v>
      </c>
      <c r="R154" s="2399">
        <v>1</v>
      </c>
      <c r="S154" s="2399">
        <v>1</v>
      </c>
      <c r="T154" s="2399">
        <v>1</v>
      </c>
      <c r="U154" s="2399">
        <v>1</v>
      </c>
      <c r="V154" s="2399">
        <v>1</v>
      </c>
      <c r="W154" s="2399">
        <v>1</v>
      </c>
      <c r="X154" s="2399">
        <v>1</v>
      </c>
      <c r="Y154" s="2399">
        <v>1</v>
      </c>
      <c r="Z154" s="2399">
        <v>1</v>
      </c>
      <c r="AA154" s="2489">
        <v>7</v>
      </c>
      <c r="AB154" s="2399">
        <v>1</v>
      </c>
      <c r="AC154" s="2398">
        <v>154</v>
      </c>
      <c r="AD154" s="2399">
        <v>10</v>
      </c>
      <c r="AE154" s="2399">
        <v>1</v>
      </c>
      <c r="AF154" s="2399">
        <v>1</v>
      </c>
      <c r="AG154" s="2399">
        <v>1</v>
      </c>
      <c r="AH154" s="2399">
        <v>1</v>
      </c>
      <c r="AI154" s="2399">
        <v>1</v>
      </c>
      <c r="AJ154" s="2399">
        <v>1</v>
      </c>
      <c r="AK154" s="2399">
        <v>1</v>
      </c>
      <c r="AL154" s="2399">
        <v>1</v>
      </c>
      <c r="AM154" s="2399">
        <v>5</v>
      </c>
      <c r="AN154" s="2409">
        <v>0</v>
      </c>
      <c r="AO154" s="2399" t="b">
        <v>0</v>
      </c>
      <c r="AP154" s="2399" t="b">
        <v>0</v>
      </c>
    </row>
    <row r="155" spans="1:42" x14ac:dyDescent="0.2">
      <c r="A155" s="574">
        <v>154</v>
      </c>
      <c r="B155" s="2398">
        <v>155</v>
      </c>
      <c r="C155" s="2399">
        <v>1</v>
      </c>
      <c r="D155" s="2398">
        <v>155</v>
      </c>
      <c r="E155" s="2398">
        <v>155</v>
      </c>
      <c r="F155" s="2398">
        <v>155</v>
      </c>
      <c r="G155" s="2398">
        <v>155</v>
      </c>
      <c r="H155" s="2398">
        <v>155</v>
      </c>
      <c r="I155" s="2398">
        <v>155</v>
      </c>
      <c r="J155" s="2398">
        <v>155</v>
      </c>
      <c r="K155" s="2398">
        <v>155</v>
      </c>
      <c r="L155" s="2489">
        <v>2</v>
      </c>
      <c r="M155" s="2399">
        <v>1</v>
      </c>
      <c r="N155" s="2399">
        <v>1</v>
      </c>
      <c r="O155" s="2399">
        <v>1</v>
      </c>
      <c r="P155" s="2399">
        <v>1</v>
      </c>
      <c r="Q155" s="2399">
        <v>1</v>
      </c>
      <c r="R155" s="2399">
        <v>1</v>
      </c>
      <c r="S155" s="2399">
        <v>1</v>
      </c>
      <c r="T155" s="2398">
        <v>155</v>
      </c>
      <c r="U155" s="2399">
        <v>1</v>
      </c>
      <c r="V155" s="2399">
        <v>1</v>
      </c>
      <c r="W155" s="2399">
        <v>1</v>
      </c>
      <c r="X155" s="2398">
        <v>155</v>
      </c>
      <c r="Y155" s="2399">
        <v>1</v>
      </c>
      <c r="Z155" s="2399">
        <v>1</v>
      </c>
      <c r="AA155" s="2489">
        <v>1</v>
      </c>
      <c r="AB155" s="2399">
        <v>1</v>
      </c>
      <c r="AC155" s="2399">
        <v>1</v>
      </c>
      <c r="AD155" s="2399">
        <v>1</v>
      </c>
      <c r="AE155" s="2399">
        <v>1</v>
      </c>
      <c r="AF155" s="2399">
        <v>1</v>
      </c>
      <c r="AG155" s="2399">
        <v>1</v>
      </c>
      <c r="AH155" s="2399">
        <v>1</v>
      </c>
      <c r="AI155" s="2399">
        <v>1</v>
      </c>
      <c r="AJ155" s="2399">
        <v>1</v>
      </c>
      <c r="AK155" s="2399">
        <v>1</v>
      </c>
      <c r="AL155" s="2399">
        <v>1</v>
      </c>
      <c r="AM155" s="2399">
        <v>4</v>
      </c>
      <c r="AN155" s="2409">
        <v>0</v>
      </c>
      <c r="AO155" s="2399" t="b">
        <v>0</v>
      </c>
      <c r="AP155" s="2399" t="b">
        <v>0</v>
      </c>
    </row>
    <row r="156" spans="1:42" x14ac:dyDescent="0.2">
      <c r="A156" s="574">
        <v>155</v>
      </c>
      <c r="B156" s="2398">
        <v>156</v>
      </c>
      <c r="C156" s="2398">
        <v>156</v>
      </c>
      <c r="D156" s="2398">
        <v>156</v>
      </c>
      <c r="E156" s="2398">
        <v>156</v>
      </c>
      <c r="F156" s="2398">
        <v>156</v>
      </c>
      <c r="G156" s="2398">
        <v>156</v>
      </c>
      <c r="H156" s="2398">
        <v>156</v>
      </c>
      <c r="I156" s="2398">
        <v>156</v>
      </c>
      <c r="J156" s="2398">
        <v>156</v>
      </c>
      <c r="K156" s="2398">
        <v>156</v>
      </c>
      <c r="L156" s="2489">
        <v>2</v>
      </c>
      <c r="M156" s="2399">
        <v>1</v>
      </c>
      <c r="N156" s="2399">
        <v>1</v>
      </c>
      <c r="O156" s="2399">
        <v>1</v>
      </c>
      <c r="P156" s="2399">
        <v>1</v>
      </c>
      <c r="Q156" s="2399">
        <v>1</v>
      </c>
      <c r="R156" s="2399">
        <v>1</v>
      </c>
      <c r="S156" s="2399">
        <v>1</v>
      </c>
      <c r="T156" s="2399">
        <v>1</v>
      </c>
      <c r="U156" s="2399">
        <v>1</v>
      </c>
      <c r="V156" s="2398">
        <v>156</v>
      </c>
      <c r="W156" s="2399">
        <v>1</v>
      </c>
      <c r="X156" s="2399">
        <v>1</v>
      </c>
      <c r="Y156" s="2399">
        <v>1</v>
      </c>
      <c r="Z156" s="2399">
        <v>1</v>
      </c>
      <c r="AA156" s="2489">
        <v>1</v>
      </c>
      <c r="AB156" s="2399">
        <v>1</v>
      </c>
      <c r="AC156" s="2399">
        <v>1</v>
      </c>
      <c r="AD156" s="2399">
        <v>1</v>
      </c>
      <c r="AE156" s="2399">
        <v>1</v>
      </c>
      <c r="AF156" s="2399">
        <v>1</v>
      </c>
      <c r="AG156" s="2399">
        <v>1</v>
      </c>
      <c r="AH156" s="2399">
        <v>1</v>
      </c>
      <c r="AI156" s="2399">
        <v>1</v>
      </c>
      <c r="AJ156" s="2399">
        <v>1</v>
      </c>
      <c r="AK156" s="2399">
        <v>1</v>
      </c>
      <c r="AL156" s="2399">
        <v>1</v>
      </c>
      <c r="AM156" s="2399">
        <v>7</v>
      </c>
      <c r="AN156" s="3507">
        <v>0</v>
      </c>
      <c r="AO156" s="2399" t="b">
        <v>0</v>
      </c>
      <c r="AP156" s="2399" t="b">
        <v>0</v>
      </c>
    </row>
    <row r="157" spans="1:42" x14ac:dyDescent="0.2">
      <c r="A157" s="574">
        <v>156</v>
      </c>
      <c r="B157" s="2398">
        <v>157</v>
      </c>
      <c r="C157" s="2398">
        <v>157</v>
      </c>
      <c r="D157" s="2398">
        <v>157</v>
      </c>
      <c r="E157" s="2398">
        <v>157</v>
      </c>
      <c r="F157" s="2398">
        <v>157</v>
      </c>
      <c r="G157" s="2398">
        <v>157</v>
      </c>
      <c r="H157" s="2398">
        <v>157</v>
      </c>
      <c r="I157" s="2398">
        <v>157</v>
      </c>
      <c r="J157" s="2398">
        <v>157</v>
      </c>
      <c r="K157" s="2398">
        <v>157</v>
      </c>
      <c r="L157" s="2489">
        <v>2</v>
      </c>
      <c r="M157" s="2399">
        <v>1</v>
      </c>
      <c r="N157" s="2399">
        <v>1</v>
      </c>
      <c r="O157" s="2399">
        <v>1</v>
      </c>
      <c r="P157" s="2399">
        <v>1</v>
      </c>
      <c r="Q157" s="2399">
        <v>1</v>
      </c>
      <c r="R157" s="2399">
        <v>1</v>
      </c>
      <c r="S157" s="2399">
        <v>1</v>
      </c>
      <c r="T157" s="2399">
        <v>1</v>
      </c>
      <c r="U157" s="2399">
        <v>1</v>
      </c>
      <c r="V157" s="2398">
        <v>157</v>
      </c>
      <c r="W157" s="2399">
        <v>1</v>
      </c>
      <c r="X157" s="2399">
        <v>1</v>
      </c>
      <c r="Y157" s="2399">
        <v>1</v>
      </c>
      <c r="Z157" s="2399">
        <v>1</v>
      </c>
      <c r="AA157" s="2489">
        <v>1</v>
      </c>
      <c r="AB157" s="2398">
        <v>157</v>
      </c>
      <c r="AC157" s="2399">
        <v>1</v>
      </c>
      <c r="AD157" s="2399">
        <v>9</v>
      </c>
      <c r="AE157" s="2398">
        <v>157</v>
      </c>
      <c r="AF157" s="2399">
        <v>1</v>
      </c>
      <c r="AG157" s="2399">
        <v>1</v>
      </c>
      <c r="AH157" s="2399">
        <v>1</v>
      </c>
      <c r="AI157" s="2399">
        <v>1</v>
      </c>
      <c r="AJ157" s="2399">
        <v>1</v>
      </c>
      <c r="AK157" s="2399">
        <v>1</v>
      </c>
      <c r="AL157" s="2399">
        <v>1</v>
      </c>
      <c r="AM157" s="2399">
        <v>7</v>
      </c>
      <c r="AN157" s="3507">
        <v>0</v>
      </c>
      <c r="AO157" s="2399" t="b">
        <v>0</v>
      </c>
      <c r="AP157" s="2399" t="b">
        <v>1</v>
      </c>
    </row>
    <row r="158" spans="1:42" x14ac:dyDescent="0.2">
      <c r="A158" s="574">
        <v>157</v>
      </c>
      <c r="B158" s="2398">
        <v>158</v>
      </c>
      <c r="C158" s="2398">
        <v>158</v>
      </c>
      <c r="D158" s="2398">
        <v>158</v>
      </c>
      <c r="E158" s="2398">
        <v>158</v>
      </c>
      <c r="F158" s="2398">
        <v>158</v>
      </c>
      <c r="G158" s="2398">
        <v>158</v>
      </c>
      <c r="H158" s="2398">
        <v>158</v>
      </c>
      <c r="I158" s="2398">
        <v>158</v>
      </c>
      <c r="J158" s="2398">
        <v>158</v>
      </c>
      <c r="K158" s="2398">
        <v>158</v>
      </c>
      <c r="L158" s="2489">
        <v>2</v>
      </c>
      <c r="M158" s="2399">
        <v>1</v>
      </c>
      <c r="N158" s="2399">
        <v>1</v>
      </c>
      <c r="O158" s="2399">
        <v>1</v>
      </c>
      <c r="P158" s="2399">
        <v>1</v>
      </c>
      <c r="Q158" s="2399">
        <v>1</v>
      </c>
      <c r="R158" s="2399">
        <v>1</v>
      </c>
      <c r="S158" s="2399">
        <v>1</v>
      </c>
      <c r="T158" s="2399">
        <v>1</v>
      </c>
      <c r="U158" s="2399">
        <v>1</v>
      </c>
      <c r="V158" s="2399">
        <v>1</v>
      </c>
      <c r="W158" s="2399">
        <v>1</v>
      </c>
      <c r="X158" s="2399">
        <v>1</v>
      </c>
      <c r="Y158" s="2398">
        <v>158</v>
      </c>
      <c r="Z158" s="2399">
        <v>1</v>
      </c>
      <c r="AA158" s="2489">
        <v>1</v>
      </c>
      <c r="AB158" s="2399">
        <v>1</v>
      </c>
      <c r="AC158" s="2399">
        <v>1</v>
      </c>
      <c r="AD158" s="2399">
        <v>6</v>
      </c>
      <c r="AE158" s="2399">
        <v>1</v>
      </c>
      <c r="AF158" s="2399">
        <v>1</v>
      </c>
      <c r="AG158" s="2399">
        <v>1</v>
      </c>
      <c r="AH158" s="2399">
        <v>1</v>
      </c>
      <c r="AI158" s="2399">
        <v>1</v>
      </c>
      <c r="AJ158" s="2399">
        <v>6</v>
      </c>
      <c r="AK158" s="2399">
        <v>1</v>
      </c>
      <c r="AL158" s="2399">
        <v>1</v>
      </c>
      <c r="AM158" s="2399">
        <v>7</v>
      </c>
      <c r="AN158" s="3507">
        <v>0</v>
      </c>
      <c r="AO158" s="2399" t="b">
        <v>0</v>
      </c>
      <c r="AP158" s="2399" t="b">
        <v>1</v>
      </c>
    </row>
    <row r="159" spans="1:42" x14ac:dyDescent="0.2">
      <c r="A159" s="574">
        <v>158</v>
      </c>
      <c r="B159" s="2398">
        <v>159</v>
      </c>
      <c r="C159" s="2398">
        <v>159</v>
      </c>
      <c r="D159" s="2398">
        <v>159</v>
      </c>
      <c r="E159" s="2398">
        <v>159</v>
      </c>
      <c r="F159" s="2398">
        <v>159</v>
      </c>
      <c r="G159" s="2398">
        <v>159</v>
      </c>
      <c r="H159" s="2398">
        <v>159</v>
      </c>
      <c r="I159" s="2398">
        <v>159</v>
      </c>
      <c r="J159" s="2398">
        <v>159</v>
      </c>
      <c r="K159" s="2398">
        <v>159</v>
      </c>
      <c r="L159" s="2489">
        <v>2</v>
      </c>
      <c r="M159" s="2399">
        <v>1</v>
      </c>
      <c r="N159" s="2399">
        <v>1</v>
      </c>
      <c r="O159" s="2399">
        <v>1</v>
      </c>
      <c r="P159" s="2399">
        <v>1</v>
      </c>
      <c r="Q159" s="2399">
        <v>1</v>
      </c>
      <c r="R159" s="2399">
        <v>1</v>
      </c>
      <c r="S159" s="2399">
        <v>1</v>
      </c>
      <c r="T159" s="2399">
        <v>1</v>
      </c>
      <c r="U159" s="2399">
        <v>1</v>
      </c>
      <c r="V159" s="2399">
        <v>1</v>
      </c>
      <c r="W159" s="2399">
        <v>1</v>
      </c>
      <c r="X159" s="2399">
        <v>1</v>
      </c>
      <c r="Y159" s="2399">
        <v>1</v>
      </c>
      <c r="Z159" s="2398">
        <v>159</v>
      </c>
      <c r="AA159" s="2489">
        <v>1</v>
      </c>
      <c r="AB159" s="2398">
        <v>159</v>
      </c>
      <c r="AC159" s="2399">
        <v>1</v>
      </c>
      <c r="AD159" s="2399">
        <v>9</v>
      </c>
      <c r="AE159" s="2399">
        <v>1</v>
      </c>
      <c r="AF159" s="2398">
        <v>159</v>
      </c>
      <c r="AG159" s="2399">
        <v>1</v>
      </c>
      <c r="AH159" s="2399">
        <v>1</v>
      </c>
      <c r="AI159" s="2399">
        <v>1</v>
      </c>
      <c r="AJ159" s="2399">
        <v>6</v>
      </c>
      <c r="AK159" s="2399">
        <v>1</v>
      </c>
      <c r="AL159" s="2399">
        <v>1</v>
      </c>
      <c r="AM159" s="2399">
        <v>7</v>
      </c>
      <c r="AN159" s="3507">
        <v>0</v>
      </c>
      <c r="AO159" s="2399" t="b">
        <v>0</v>
      </c>
      <c r="AP159" s="2399" t="b">
        <v>0</v>
      </c>
    </row>
    <row r="160" spans="1:42" x14ac:dyDescent="0.2">
      <c r="A160" s="574">
        <v>159</v>
      </c>
      <c r="B160" s="2398">
        <v>160</v>
      </c>
      <c r="C160" s="2398">
        <v>160</v>
      </c>
      <c r="D160" s="2398">
        <v>160</v>
      </c>
      <c r="E160" s="2398">
        <v>160</v>
      </c>
      <c r="F160" s="2398">
        <v>160</v>
      </c>
      <c r="G160" s="2398">
        <v>160</v>
      </c>
      <c r="H160" s="2398">
        <v>160</v>
      </c>
      <c r="I160" s="2398">
        <v>160</v>
      </c>
      <c r="J160" s="2398">
        <v>160</v>
      </c>
      <c r="K160" s="2398">
        <v>160</v>
      </c>
      <c r="L160" s="2489">
        <v>2</v>
      </c>
      <c r="M160" s="2399">
        <v>1</v>
      </c>
      <c r="N160" s="2399">
        <v>1</v>
      </c>
      <c r="O160" s="2399">
        <v>1</v>
      </c>
      <c r="P160" s="2399">
        <v>1</v>
      </c>
      <c r="Q160" s="2399">
        <v>1</v>
      </c>
      <c r="R160" s="2399">
        <v>1</v>
      </c>
      <c r="S160" s="2399">
        <v>1</v>
      </c>
      <c r="T160" s="2399">
        <v>1</v>
      </c>
      <c r="U160" s="2399">
        <v>1</v>
      </c>
      <c r="V160" s="2399">
        <v>1</v>
      </c>
      <c r="W160" s="2399">
        <v>1</v>
      </c>
      <c r="X160" s="2399">
        <v>1</v>
      </c>
      <c r="Y160" s="2398">
        <v>160</v>
      </c>
      <c r="Z160" s="2399">
        <v>1</v>
      </c>
      <c r="AA160" s="2489">
        <v>1</v>
      </c>
      <c r="AB160" s="2399">
        <v>1</v>
      </c>
      <c r="AC160" s="2399">
        <v>1</v>
      </c>
      <c r="AD160" s="2399">
        <v>6</v>
      </c>
      <c r="AE160" s="2399">
        <v>1</v>
      </c>
      <c r="AF160" s="2399">
        <v>1</v>
      </c>
      <c r="AG160" s="2399">
        <v>1</v>
      </c>
      <c r="AH160" s="2399">
        <v>1</v>
      </c>
      <c r="AI160" s="2399">
        <v>1</v>
      </c>
      <c r="AJ160" s="2399">
        <v>4</v>
      </c>
      <c r="AK160" s="2399">
        <v>1</v>
      </c>
      <c r="AL160" s="2399">
        <v>1</v>
      </c>
      <c r="AM160" s="2399">
        <v>7</v>
      </c>
      <c r="AN160" s="3507">
        <v>0</v>
      </c>
      <c r="AO160" s="2399" t="b">
        <v>0</v>
      </c>
      <c r="AP160" s="2399" t="b">
        <v>1</v>
      </c>
    </row>
    <row r="161" spans="1:42" x14ac:dyDescent="0.2">
      <c r="A161" s="574">
        <v>160</v>
      </c>
      <c r="B161" s="2398">
        <v>161</v>
      </c>
      <c r="C161" s="2398">
        <v>161</v>
      </c>
      <c r="D161" s="2398">
        <v>161</v>
      </c>
      <c r="E161" s="2398">
        <v>161</v>
      </c>
      <c r="F161" s="2398">
        <v>161</v>
      </c>
      <c r="G161" s="2398">
        <v>161</v>
      </c>
      <c r="H161" s="2398">
        <v>161</v>
      </c>
      <c r="I161" s="2398">
        <v>161</v>
      </c>
      <c r="J161" s="2398">
        <v>161</v>
      </c>
      <c r="K161" s="2398">
        <v>161</v>
      </c>
      <c r="L161" s="2489">
        <v>2</v>
      </c>
      <c r="M161" s="2399">
        <v>1</v>
      </c>
      <c r="N161" s="2399">
        <v>1</v>
      </c>
      <c r="O161" s="2399">
        <v>1</v>
      </c>
      <c r="P161" s="2399">
        <v>1</v>
      </c>
      <c r="Q161" s="2399">
        <v>1</v>
      </c>
      <c r="R161" s="2399">
        <v>1</v>
      </c>
      <c r="S161" s="2399">
        <v>1</v>
      </c>
      <c r="T161" s="2399">
        <v>1</v>
      </c>
      <c r="U161" s="2399">
        <v>1</v>
      </c>
      <c r="V161" s="2399">
        <v>1</v>
      </c>
      <c r="W161" s="2399">
        <v>1</v>
      </c>
      <c r="X161" s="2399">
        <v>1</v>
      </c>
      <c r="Y161" s="2398">
        <v>161</v>
      </c>
      <c r="Z161" s="2398">
        <v>161</v>
      </c>
      <c r="AA161" s="2489">
        <v>1</v>
      </c>
      <c r="AB161" s="2399">
        <v>1</v>
      </c>
      <c r="AC161" s="2399">
        <v>1</v>
      </c>
      <c r="AD161" s="2399">
        <v>6</v>
      </c>
      <c r="AE161" s="2399">
        <v>1</v>
      </c>
      <c r="AF161" s="2399">
        <v>1</v>
      </c>
      <c r="AG161" s="2399">
        <v>1</v>
      </c>
      <c r="AH161" s="2399">
        <v>1</v>
      </c>
      <c r="AI161" s="2399">
        <v>1</v>
      </c>
      <c r="AJ161" s="2399">
        <v>4</v>
      </c>
      <c r="AK161" s="2399">
        <v>1</v>
      </c>
      <c r="AL161" s="2399">
        <v>1</v>
      </c>
      <c r="AM161" s="2399">
        <v>7</v>
      </c>
      <c r="AN161" s="3507">
        <v>0</v>
      </c>
      <c r="AO161" s="2399" t="b">
        <v>0</v>
      </c>
      <c r="AP161" s="2399" t="b">
        <v>0</v>
      </c>
    </row>
    <row r="162" spans="1:42" x14ac:dyDescent="0.2">
      <c r="A162" s="574">
        <v>161</v>
      </c>
      <c r="B162" s="2398">
        <v>162</v>
      </c>
      <c r="C162" s="2399">
        <v>1</v>
      </c>
      <c r="D162" s="2398">
        <v>162</v>
      </c>
      <c r="E162" s="2398">
        <v>162</v>
      </c>
      <c r="F162" s="2398">
        <v>162</v>
      </c>
      <c r="G162" s="2398">
        <v>162</v>
      </c>
      <c r="H162" s="2398">
        <v>162</v>
      </c>
      <c r="I162" s="2398">
        <v>162</v>
      </c>
      <c r="J162" s="2398">
        <v>162</v>
      </c>
      <c r="K162" s="2398">
        <v>162</v>
      </c>
      <c r="L162" s="2489">
        <v>2</v>
      </c>
      <c r="M162" s="2399">
        <v>1</v>
      </c>
      <c r="N162" s="2399">
        <v>1</v>
      </c>
      <c r="O162" s="2399">
        <v>1</v>
      </c>
      <c r="P162" s="2399">
        <v>1</v>
      </c>
      <c r="Q162" s="2399">
        <v>1</v>
      </c>
      <c r="R162" s="2399">
        <v>1</v>
      </c>
      <c r="S162" s="2399">
        <v>1</v>
      </c>
      <c r="T162" s="2399">
        <v>1</v>
      </c>
      <c r="U162" s="2399">
        <v>1</v>
      </c>
      <c r="V162" s="2399">
        <v>1</v>
      </c>
      <c r="W162" s="2399">
        <v>1</v>
      </c>
      <c r="X162" s="2399">
        <v>1</v>
      </c>
      <c r="Y162" s="2399">
        <v>1</v>
      </c>
      <c r="Z162" s="2399">
        <v>1</v>
      </c>
      <c r="AA162" s="2489">
        <v>1</v>
      </c>
      <c r="AB162" s="2398">
        <v>162</v>
      </c>
      <c r="AC162" s="2399">
        <v>1</v>
      </c>
      <c r="AD162" s="2399">
        <v>9</v>
      </c>
      <c r="AE162" s="2399">
        <v>1</v>
      </c>
      <c r="AF162" s="2399">
        <v>1</v>
      </c>
      <c r="AG162" s="2399">
        <v>1</v>
      </c>
      <c r="AH162" s="2399">
        <v>1</v>
      </c>
      <c r="AI162" s="2399">
        <v>1</v>
      </c>
      <c r="AJ162" s="2399">
        <v>3</v>
      </c>
      <c r="AK162" s="2399">
        <v>1</v>
      </c>
      <c r="AL162" s="2399">
        <v>1</v>
      </c>
      <c r="AM162" s="2399">
        <v>7</v>
      </c>
      <c r="AN162" s="3507">
        <v>0</v>
      </c>
      <c r="AO162" s="2399" t="b">
        <v>0</v>
      </c>
      <c r="AP162" s="2399" t="b">
        <v>1</v>
      </c>
    </row>
    <row r="163" spans="1:42" x14ac:dyDescent="0.2">
      <c r="A163" s="574">
        <v>162</v>
      </c>
      <c r="B163" s="2398">
        <v>163</v>
      </c>
      <c r="C163" s="2399">
        <v>1</v>
      </c>
      <c r="D163" s="2398">
        <v>163</v>
      </c>
      <c r="E163" s="2398">
        <v>163</v>
      </c>
      <c r="F163" s="2398">
        <v>163</v>
      </c>
      <c r="G163" s="2398">
        <v>163</v>
      </c>
      <c r="H163" s="2398">
        <v>163</v>
      </c>
      <c r="I163" s="2398">
        <v>163</v>
      </c>
      <c r="J163" s="2398">
        <v>163</v>
      </c>
      <c r="K163" s="2398">
        <v>163</v>
      </c>
      <c r="L163" s="2489">
        <v>2</v>
      </c>
      <c r="M163" s="2399">
        <v>1</v>
      </c>
      <c r="N163" s="2399">
        <v>1</v>
      </c>
      <c r="O163" s="2399">
        <v>1</v>
      </c>
      <c r="P163" s="2399">
        <v>1</v>
      </c>
      <c r="Q163" s="2399">
        <v>1</v>
      </c>
      <c r="R163" s="2399">
        <v>1</v>
      </c>
      <c r="S163" s="2399">
        <v>1</v>
      </c>
      <c r="T163" s="2399">
        <v>1</v>
      </c>
      <c r="U163" s="2399">
        <v>1</v>
      </c>
      <c r="V163" s="2399">
        <v>1</v>
      </c>
      <c r="W163" s="2399">
        <v>1</v>
      </c>
      <c r="X163" s="2399">
        <v>1</v>
      </c>
      <c r="Y163" s="2399">
        <v>1</v>
      </c>
      <c r="Z163" s="2399">
        <v>1</v>
      </c>
      <c r="AA163" s="2489">
        <v>1</v>
      </c>
      <c r="AB163" s="2398">
        <v>163</v>
      </c>
      <c r="AC163" s="2399">
        <v>1</v>
      </c>
      <c r="AD163" s="2399">
        <v>9</v>
      </c>
      <c r="AE163" s="2399">
        <v>1</v>
      </c>
      <c r="AF163" s="2399">
        <v>1</v>
      </c>
      <c r="AG163" s="2399">
        <v>1</v>
      </c>
      <c r="AH163" s="2399">
        <v>1</v>
      </c>
      <c r="AI163" s="2399">
        <v>1</v>
      </c>
      <c r="AJ163" s="2399">
        <v>3</v>
      </c>
      <c r="AK163" s="2399">
        <v>1</v>
      </c>
      <c r="AL163" s="2399">
        <v>1</v>
      </c>
      <c r="AM163" s="2399">
        <v>2</v>
      </c>
      <c r="AN163" s="3507">
        <v>0</v>
      </c>
      <c r="AO163" s="2399" t="b">
        <v>1</v>
      </c>
      <c r="AP163" s="2399" t="b">
        <v>0</v>
      </c>
    </row>
    <row r="164" spans="1:42" x14ac:dyDescent="0.2">
      <c r="A164" s="574">
        <v>163</v>
      </c>
      <c r="B164" s="2398">
        <v>164</v>
      </c>
      <c r="C164" s="2399">
        <v>1</v>
      </c>
      <c r="D164" s="2398">
        <v>164</v>
      </c>
      <c r="E164" s="2398">
        <v>164</v>
      </c>
      <c r="F164" s="2398">
        <v>164</v>
      </c>
      <c r="G164" s="2398">
        <v>164</v>
      </c>
      <c r="H164" s="2398">
        <v>164</v>
      </c>
      <c r="I164" s="2398">
        <v>164</v>
      </c>
      <c r="J164" s="2398">
        <v>164</v>
      </c>
      <c r="K164" s="2398">
        <v>164</v>
      </c>
      <c r="L164" s="2489">
        <v>2</v>
      </c>
      <c r="M164" s="2399">
        <v>1</v>
      </c>
      <c r="N164" s="2399">
        <v>1</v>
      </c>
      <c r="O164" s="2399">
        <v>1</v>
      </c>
      <c r="P164" s="2399">
        <v>1</v>
      </c>
      <c r="Q164" s="2399">
        <v>1</v>
      </c>
      <c r="R164" s="2399">
        <v>1</v>
      </c>
      <c r="S164" s="2399">
        <v>1</v>
      </c>
      <c r="T164" s="2399">
        <v>1</v>
      </c>
      <c r="U164" s="2399">
        <v>1</v>
      </c>
      <c r="V164" s="2399">
        <v>1</v>
      </c>
      <c r="W164" s="2399">
        <v>1</v>
      </c>
      <c r="X164" s="2399">
        <v>1</v>
      </c>
      <c r="Y164" s="2399">
        <v>1</v>
      </c>
      <c r="Z164" s="2399">
        <v>1</v>
      </c>
      <c r="AA164" s="2489">
        <v>1</v>
      </c>
      <c r="AB164" s="2399">
        <v>1</v>
      </c>
      <c r="AC164" s="2398">
        <v>164</v>
      </c>
      <c r="AD164" s="2399">
        <v>7</v>
      </c>
      <c r="AE164" s="2399">
        <v>1</v>
      </c>
      <c r="AF164" s="2399">
        <v>1</v>
      </c>
      <c r="AG164" s="2399">
        <v>1</v>
      </c>
      <c r="AH164" s="2399">
        <v>1</v>
      </c>
      <c r="AI164" s="2399">
        <v>1</v>
      </c>
      <c r="AJ164" s="2399">
        <v>3</v>
      </c>
      <c r="AK164" s="2399">
        <v>1</v>
      </c>
      <c r="AL164" s="2399">
        <v>1</v>
      </c>
      <c r="AM164" s="2399">
        <v>7</v>
      </c>
      <c r="AN164" s="3507">
        <v>0</v>
      </c>
      <c r="AO164" s="2399" t="b">
        <v>0</v>
      </c>
      <c r="AP164" s="2399" t="b">
        <v>0</v>
      </c>
    </row>
    <row r="165" spans="1:42" x14ac:dyDescent="0.2">
      <c r="A165" s="574">
        <v>164</v>
      </c>
      <c r="B165" s="2398">
        <v>165</v>
      </c>
      <c r="C165" s="2399">
        <v>1</v>
      </c>
      <c r="D165" s="2398">
        <v>165</v>
      </c>
      <c r="E165" s="2398">
        <v>165</v>
      </c>
      <c r="F165" s="2398">
        <v>165</v>
      </c>
      <c r="G165" s="2398">
        <v>165</v>
      </c>
      <c r="H165" s="2398">
        <v>165</v>
      </c>
      <c r="I165" s="2398">
        <v>165</v>
      </c>
      <c r="J165" s="2398">
        <v>165</v>
      </c>
      <c r="K165" s="2398">
        <v>165</v>
      </c>
      <c r="L165" s="2489">
        <v>2</v>
      </c>
      <c r="M165" s="2399">
        <v>1</v>
      </c>
      <c r="N165" s="2398">
        <v>165</v>
      </c>
      <c r="O165" s="2399">
        <v>1</v>
      </c>
      <c r="P165" s="2399">
        <v>1</v>
      </c>
      <c r="Q165" s="2399">
        <v>1</v>
      </c>
      <c r="R165" s="2399">
        <v>1</v>
      </c>
      <c r="S165" s="2399">
        <v>1</v>
      </c>
      <c r="T165" s="2399">
        <v>1</v>
      </c>
      <c r="U165" s="2399">
        <v>1</v>
      </c>
      <c r="V165" s="2399">
        <v>1</v>
      </c>
      <c r="W165" s="2399">
        <v>1</v>
      </c>
      <c r="X165" s="2399">
        <v>1</v>
      </c>
      <c r="Y165" s="2399">
        <v>1</v>
      </c>
      <c r="Z165" s="2399">
        <v>1</v>
      </c>
      <c r="AA165" s="2489">
        <v>1</v>
      </c>
      <c r="AB165" s="2399">
        <v>1</v>
      </c>
      <c r="AC165" s="2399">
        <v>1</v>
      </c>
      <c r="AD165" s="2399">
        <v>1</v>
      </c>
      <c r="AE165" s="2399">
        <v>1</v>
      </c>
      <c r="AF165" s="2399">
        <v>1</v>
      </c>
      <c r="AG165" s="2399">
        <v>1</v>
      </c>
      <c r="AH165" s="2399">
        <v>1</v>
      </c>
      <c r="AI165" s="2399">
        <v>1</v>
      </c>
      <c r="AJ165" s="2399">
        <v>5</v>
      </c>
      <c r="AK165" s="2399">
        <v>1</v>
      </c>
      <c r="AL165" s="2399">
        <v>1</v>
      </c>
      <c r="AM165" s="2399">
        <v>7</v>
      </c>
      <c r="AN165" s="3507">
        <v>0</v>
      </c>
      <c r="AO165" s="2399" t="b">
        <v>0</v>
      </c>
      <c r="AP165" s="2399" t="b">
        <v>0</v>
      </c>
    </row>
    <row r="166" spans="1:42" x14ac:dyDescent="0.2">
      <c r="A166" s="574">
        <v>165</v>
      </c>
      <c r="B166" s="2398">
        <v>166</v>
      </c>
      <c r="C166" s="2399">
        <v>1</v>
      </c>
      <c r="D166" s="2398">
        <v>166</v>
      </c>
      <c r="E166" s="2398">
        <v>166</v>
      </c>
      <c r="F166" s="2398">
        <v>166</v>
      </c>
      <c r="G166" s="2398">
        <v>166</v>
      </c>
      <c r="H166" s="2398">
        <v>166</v>
      </c>
      <c r="I166" s="2398">
        <v>166</v>
      </c>
      <c r="J166" s="2398">
        <v>166</v>
      </c>
      <c r="K166" s="2398">
        <v>166</v>
      </c>
      <c r="L166" s="2489">
        <v>2</v>
      </c>
      <c r="M166" s="2399">
        <v>1</v>
      </c>
      <c r="N166" s="2398">
        <v>166</v>
      </c>
      <c r="O166" s="2399">
        <v>1</v>
      </c>
      <c r="P166" s="2399">
        <v>1</v>
      </c>
      <c r="Q166" s="2399">
        <v>1</v>
      </c>
      <c r="R166" s="2399">
        <v>1</v>
      </c>
      <c r="S166" s="2399">
        <v>1</v>
      </c>
      <c r="T166" s="2399">
        <v>1</v>
      </c>
      <c r="U166" s="2399">
        <v>1</v>
      </c>
      <c r="V166" s="2398">
        <v>166</v>
      </c>
      <c r="W166" s="2399">
        <v>1</v>
      </c>
      <c r="X166" s="2399">
        <v>1</v>
      </c>
      <c r="Y166" s="2399">
        <v>1</v>
      </c>
      <c r="Z166" s="2399">
        <v>1</v>
      </c>
      <c r="AA166" s="2489">
        <v>1</v>
      </c>
      <c r="AB166" s="2399">
        <v>1</v>
      </c>
      <c r="AC166" s="2399">
        <v>1</v>
      </c>
      <c r="AD166" s="2399">
        <v>1</v>
      </c>
      <c r="AE166" s="2399">
        <v>1</v>
      </c>
      <c r="AF166" s="2399">
        <v>1</v>
      </c>
      <c r="AG166" s="2399">
        <v>1</v>
      </c>
      <c r="AH166" s="2399">
        <v>1</v>
      </c>
      <c r="AI166" s="2399">
        <v>1</v>
      </c>
      <c r="AJ166" s="2399">
        <v>5</v>
      </c>
      <c r="AK166" s="2399">
        <v>1</v>
      </c>
      <c r="AL166" s="2399">
        <v>1</v>
      </c>
      <c r="AM166" s="2399">
        <v>7</v>
      </c>
      <c r="AN166" s="3507">
        <v>0</v>
      </c>
      <c r="AO166" s="2399" t="b">
        <v>0</v>
      </c>
      <c r="AP166" s="2399" t="b">
        <v>0</v>
      </c>
    </row>
    <row r="167" spans="1:42" x14ac:dyDescent="0.2">
      <c r="A167" s="574">
        <v>166</v>
      </c>
      <c r="B167" s="2398">
        <v>167</v>
      </c>
      <c r="C167" s="2399">
        <v>1</v>
      </c>
      <c r="D167" s="2398">
        <v>167</v>
      </c>
      <c r="E167" s="2398">
        <v>167</v>
      </c>
      <c r="F167" s="2398">
        <v>167</v>
      </c>
      <c r="G167" s="2398">
        <v>167</v>
      </c>
      <c r="H167" s="2398">
        <v>167</v>
      </c>
      <c r="I167" s="2398">
        <v>167</v>
      </c>
      <c r="J167" s="2398">
        <v>167</v>
      </c>
      <c r="K167" s="2398">
        <v>167</v>
      </c>
      <c r="L167" s="2489">
        <v>2</v>
      </c>
      <c r="M167" s="2399">
        <v>1</v>
      </c>
      <c r="N167" s="2398">
        <v>167</v>
      </c>
      <c r="O167" s="2399">
        <v>1</v>
      </c>
      <c r="P167" s="2399">
        <v>1</v>
      </c>
      <c r="Q167" s="2399">
        <v>1</v>
      </c>
      <c r="R167" s="2399">
        <v>1</v>
      </c>
      <c r="S167" s="2399">
        <v>1</v>
      </c>
      <c r="T167" s="2399">
        <v>1</v>
      </c>
      <c r="U167" s="2399">
        <v>1</v>
      </c>
      <c r="V167" s="2398">
        <v>167</v>
      </c>
      <c r="W167" s="2399">
        <v>1</v>
      </c>
      <c r="X167" s="2399">
        <v>1</v>
      </c>
      <c r="Y167" s="2399">
        <v>1</v>
      </c>
      <c r="Z167" s="2399">
        <v>1</v>
      </c>
      <c r="AA167" s="2489">
        <v>1</v>
      </c>
      <c r="AB167" s="2399">
        <v>1</v>
      </c>
      <c r="AC167" s="2399">
        <v>1</v>
      </c>
      <c r="AD167" s="2399">
        <v>1</v>
      </c>
      <c r="AE167" s="2399">
        <v>1</v>
      </c>
      <c r="AF167" s="2399">
        <v>1</v>
      </c>
      <c r="AG167" s="2399">
        <v>1</v>
      </c>
      <c r="AH167" s="2399">
        <v>1</v>
      </c>
      <c r="AI167" s="2399">
        <v>1</v>
      </c>
      <c r="AJ167" s="2399">
        <v>6</v>
      </c>
      <c r="AK167" s="2399">
        <v>1</v>
      </c>
      <c r="AL167" s="2399">
        <v>1</v>
      </c>
      <c r="AM167" s="2399">
        <v>7</v>
      </c>
      <c r="AN167" s="3507">
        <v>0</v>
      </c>
      <c r="AO167" s="2399" t="b">
        <v>0</v>
      </c>
      <c r="AP167" s="2399" t="b">
        <v>0</v>
      </c>
    </row>
    <row r="168" spans="1:42" x14ac:dyDescent="0.2">
      <c r="A168" s="574">
        <v>167</v>
      </c>
      <c r="B168" s="2398">
        <v>168</v>
      </c>
      <c r="C168" s="2399">
        <v>1</v>
      </c>
      <c r="D168" s="2398">
        <v>168</v>
      </c>
      <c r="E168" s="2398">
        <v>168</v>
      </c>
      <c r="F168" s="2398">
        <v>168</v>
      </c>
      <c r="G168" s="2398">
        <v>168</v>
      </c>
      <c r="H168" s="2398">
        <v>168</v>
      </c>
      <c r="I168" s="2398">
        <v>168</v>
      </c>
      <c r="J168" s="2398">
        <v>168</v>
      </c>
      <c r="K168" s="2398">
        <v>168</v>
      </c>
      <c r="L168" s="2489">
        <v>2</v>
      </c>
      <c r="M168" s="2399">
        <v>1</v>
      </c>
      <c r="N168" s="2398">
        <v>168</v>
      </c>
      <c r="O168" s="2399">
        <v>1</v>
      </c>
      <c r="P168" s="2399">
        <v>1</v>
      </c>
      <c r="Q168" s="2399">
        <v>1</v>
      </c>
      <c r="R168" s="2399">
        <v>1</v>
      </c>
      <c r="S168" s="2399">
        <v>1</v>
      </c>
      <c r="T168" s="2399">
        <v>1</v>
      </c>
      <c r="U168" s="2399">
        <v>1</v>
      </c>
      <c r="V168" s="2398">
        <v>168</v>
      </c>
      <c r="W168" s="2399">
        <v>1</v>
      </c>
      <c r="X168" s="2399">
        <v>1</v>
      </c>
      <c r="Y168" s="2399">
        <v>1</v>
      </c>
      <c r="Z168" s="2399">
        <v>1</v>
      </c>
      <c r="AA168" s="2489">
        <v>1</v>
      </c>
      <c r="AB168" s="2399">
        <v>1</v>
      </c>
      <c r="AC168" s="2399">
        <v>1</v>
      </c>
      <c r="AD168" s="2399">
        <v>1</v>
      </c>
      <c r="AE168" s="2399">
        <v>1</v>
      </c>
      <c r="AF168" s="2399">
        <v>1</v>
      </c>
      <c r="AG168" s="2399">
        <v>1</v>
      </c>
      <c r="AH168" s="2399">
        <v>1</v>
      </c>
      <c r="AI168" s="2399">
        <v>1</v>
      </c>
      <c r="AJ168" s="2399">
        <v>6</v>
      </c>
      <c r="AK168" s="2399">
        <v>1</v>
      </c>
      <c r="AL168" s="2399">
        <v>1</v>
      </c>
      <c r="AM168" s="2399">
        <v>7</v>
      </c>
      <c r="AN168" s="3507">
        <v>0</v>
      </c>
      <c r="AO168" s="2399" t="b">
        <v>0</v>
      </c>
      <c r="AP168" s="2399" t="b">
        <v>0</v>
      </c>
    </row>
    <row r="169" spans="1:42" x14ac:dyDescent="0.2">
      <c r="A169" s="574">
        <v>168</v>
      </c>
      <c r="B169" s="2398">
        <v>169</v>
      </c>
      <c r="C169" s="2398">
        <v>169</v>
      </c>
      <c r="D169" s="2398">
        <v>169</v>
      </c>
      <c r="E169" s="2398">
        <v>169</v>
      </c>
      <c r="F169" s="2398">
        <v>169</v>
      </c>
      <c r="G169" s="2398">
        <v>169</v>
      </c>
      <c r="H169" s="2398">
        <v>169</v>
      </c>
      <c r="I169" s="2398">
        <v>169</v>
      </c>
      <c r="J169" s="2398">
        <v>169</v>
      </c>
      <c r="K169" s="2398">
        <v>169</v>
      </c>
      <c r="L169" s="2489">
        <v>2</v>
      </c>
      <c r="M169" s="2399">
        <v>1</v>
      </c>
      <c r="N169" s="2399">
        <v>1</v>
      </c>
      <c r="O169" s="2399">
        <v>1</v>
      </c>
      <c r="P169" s="2399">
        <v>1</v>
      </c>
      <c r="Q169" s="2399">
        <v>1</v>
      </c>
      <c r="R169" s="2399">
        <v>1</v>
      </c>
      <c r="S169" s="2398">
        <v>169</v>
      </c>
      <c r="T169" s="2399">
        <v>1</v>
      </c>
      <c r="U169" s="2399">
        <v>1</v>
      </c>
      <c r="V169" s="2398">
        <v>169</v>
      </c>
      <c r="W169" s="2399">
        <v>1</v>
      </c>
      <c r="X169" s="2399">
        <v>1</v>
      </c>
      <c r="Y169" s="2398">
        <v>169</v>
      </c>
      <c r="Z169" s="2399">
        <v>1</v>
      </c>
      <c r="AA169" s="2489">
        <v>1</v>
      </c>
      <c r="AB169" s="2399">
        <v>1</v>
      </c>
      <c r="AC169" s="2399">
        <v>1</v>
      </c>
      <c r="AD169" s="2399">
        <v>1</v>
      </c>
      <c r="AE169" s="2399">
        <v>1</v>
      </c>
      <c r="AF169" s="2399">
        <v>1</v>
      </c>
      <c r="AG169" s="2399">
        <v>1</v>
      </c>
      <c r="AH169" s="2399">
        <v>1</v>
      </c>
      <c r="AI169" s="2399">
        <v>1</v>
      </c>
      <c r="AJ169" s="2399">
        <v>6</v>
      </c>
      <c r="AK169" s="2399">
        <v>1</v>
      </c>
      <c r="AL169" s="2399">
        <v>1</v>
      </c>
      <c r="AM169" s="2399">
        <v>7</v>
      </c>
      <c r="AN169" s="3507">
        <v>0</v>
      </c>
      <c r="AO169" s="2399" t="b">
        <v>0</v>
      </c>
      <c r="AP169" s="2399" t="b">
        <v>0</v>
      </c>
    </row>
    <row r="170" spans="1:42" x14ac:dyDescent="0.2">
      <c r="A170" s="574">
        <v>169</v>
      </c>
      <c r="B170" s="2398">
        <v>170</v>
      </c>
      <c r="C170" s="2398">
        <v>170</v>
      </c>
      <c r="D170" s="2398">
        <v>170</v>
      </c>
      <c r="E170" s="2398">
        <v>170</v>
      </c>
      <c r="F170" s="2398">
        <v>170</v>
      </c>
      <c r="G170" s="2398">
        <v>170</v>
      </c>
      <c r="H170" s="2398">
        <v>170</v>
      </c>
      <c r="I170" s="2398">
        <v>170</v>
      </c>
      <c r="J170" s="2398">
        <v>170</v>
      </c>
      <c r="K170" s="2398">
        <v>170</v>
      </c>
      <c r="L170" s="2489">
        <v>2</v>
      </c>
      <c r="M170" s="2399">
        <v>1</v>
      </c>
      <c r="N170" s="2399">
        <v>1</v>
      </c>
      <c r="O170" s="2399">
        <v>1</v>
      </c>
      <c r="P170" s="2399">
        <v>1</v>
      </c>
      <c r="Q170" s="2399">
        <v>1</v>
      </c>
      <c r="R170" s="2399">
        <v>1</v>
      </c>
      <c r="S170" s="2399">
        <v>1</v>
      </c>
      <c r="T170" s="2399">
        <v>1</v>
      </c>
      <c r="U170" s="2398">
        <v>170</v>
      </c>
      <c r="V170" s="2398">
        <v>170</v>
      </c>
      <c r="W170" s="2399">
        <v>1</v>
      </c>
      <c r="X170" s="2399">
        <v>1</v>
      </c>
      <c r="Y170" s="2399">
        <v>1</v>
      </c>
      <c r="Z170" s="2399">
        <v>1</v>
      </c>
      <c r="AA170" s="2489">
        <v>1</v>
      </c>
      <c r="AB170" s="2399">
        <v>1</v>
      </c>
      <c r="AC170" s="2399">
        <v>1</v>
      </c>
      <c r="AD170" s="2399">
        <v>1</v>
      </c>
      <c r="AE170" s="2399">
        <v>1</v>
      </c>
      <c r="AF170" s="2399">
        <v>1</v>
      </c>
      <c r="AG170" s="2399">
        <v>1</v>
      </c>
      <c r="AH170" s="2399">
        <v>1</v>
      </c>
      <c r="AI170" s="2399">
        <v>1</v>
      </c>
      <c r="AJ170" s="2399">
        <v>1</v>
      </c>
      <c r="AK170" s="2399">
        <v>1</v>
      </c>
      <c r="AL170" s="2399">
        <v>1</v>
      </c>
      <c r="AM170" s="2399">
        <v>7</v>
      </c>
      <c r="AN170" s="3507">
        <v>0</v>
      </c>
      <c r="AO170" s="2399" t="b">
        <v>0</v>
      </c>
      <c r="AP170" s="2399" t="b">
        <v>0</v>
      </c>
    </row>
    <row r="171" spans="1:42" x14ac:dyDescent="0.2">
      <c r="A171" s="574">
        <v>170</v>
      </c>
      <c r="B171" s="2398">
        <v>171</v>
      </c>
      <c r="C171" s="2399">
        <v>1</v>
      </c>
      <c r="D171" s="2398">
        <v>171</v>
      </c>
      <c r="E171" s="2398">
        <v>171</v>
      </c>
      <c r="F171" s="2398">
        <v>171</v>
      </c>
      <c r="G171" s="2398">
        <v>171</v>
      </c>
      <c r="H171" s="2398">
        <v>171</v>
      </c>
      <c r="I171" s="2398">
        <v>171</v>
      </c>
      <c r="J171" s="2398">
        <v>171</v>
      </c>
      <c r="K171" s="2398">
        <v>171</v>
      </c>
      <c r="L171" s="2489">
        <v>2</v>
      </c>
      <c r="M171" s="2399">
        <v>1</v>
      </c>
      <c r="N171" s="2398">
        <v>171</v>
      </c>
      <c r="O171" s="2399">
        <v>1</v>
      </c>
      <c r="P171" s="2399">
        <v>1</v>
      </c>
      <c r="Q171" s="2398">
        <v>171</v>
      </c>
      <c r="R171" s="2399">
        <v>1</v>
      </c>
      <c r="S171" s="2399">
        <v>1</v>
      </c>
      <c r="T171" s="2399">
        <v>1</v>
      </c>
      <c r="U171" s="2399">
        <v>1</v>
      </c>
      <c r="V171" s="2399">
        <v>1</v>
      </c>
      <c r="W171" s="2399">
        <v>1</v>
      </c>
      <c r="X171" s="2399">
        <v>1</v>
      </c>
      <c r="Y171" s="2399">
        <v>1</v>
      </c>
      <c r="Z171" s="2399">
        <v>1</v>
      </c>
      <c r="AA171" s="2489">
        <v>1</v>
      </c>
      <c r="AB171" s="2399">
        <v>1</v>
      </c>
      <c r="AC171" s="2399">
        <v>1</v>
      </c>
      <c r="AD171" s="2399">
        <v>1</v>
      </c>
      <c r="AE171" s="2399">
        <v>1</v>
      </c>
      <c r="AF171" s="2399">
        <v>1</v>
      </c>
      <c r="AG171" s="2399">
        <v>1</v>
      </c>
      <c r="AH171" s="2399">
        <v>1</v>
      </c>
      <c r="AI171" s="2399">
        <v>1</v>
      </c>
      <c r="AJ171" s="2399">
        <v>1</v>
      </c>
      <c r="AK171" s="2399">
        <v>1</v>
      </c>
      <c r="AL171" s="2399">
        <v>1</v>
      </c>
      <c r="AM171" s="2399">
        <v>7</v>
      </c>
      <c r="AN171" s="3507">
        <v>0</v>
      </c>
      <c r="AO171" s="2399" t="b">
        <v>0</v>
      </c>
      <c r="AP171" s="2399" t="b">
        <v>0</v>
      </c>
    </row>
    <row r="172" spans="1:42" x14ac:dyDescent="0.2">
      <c r="A172" s="574">
        <v>171</v>
      </c>
      <c r="B172" s="2398">
        <v>172</v>
      </c>
      <c r="C172" s="2399">
        <v>1</v>
      </c>
      <c r="D172" s="2398">
        <v>172</v>
      </c>
      <c r="E172" s="2398">
        <v>172</v>
      </c>
      <c r="F172" s="2398">
        <v>172</v>
      </c>
      <c r="G172" s="2398">
        <v>172</v>
      </c>
      <c r="H172" s="2398">
        <v>172</v>
      </c>
      <c r="I172" s="2398">
        <v>172</v>
      </c>
      <c r="J172" s="2398">
        <v>172</v>
      </c>
      <c r="K172" s="2398">
        <v>172</v>
      </c>
      <c r="L172" s="2489">
        <v>2</v>
      </c>
      <c r="M172" s="2399">
        <v>1</v>
      </c>
      <c r="N172" s="2398">
        <v>172</v>
      </c>
      <c r="O172" s="2399">
        <v>1</v>
      </c>
      <c r="P172" s="2399">
        <v>1</v>
      </c>
      <c r="Q172" s="2399">
        <v>1</v>
      </c>
      <c r="R172" s="2399">
        <v>1</v>
      </c>
      <c r="S172" s="2399">
        <v>1</v>
      </c>
      <c r="T172" s="2399">
        <v>1</v>
      </c>
      <c r="U172" s="2399">
        <v>1</v>
      </c>
      <c r="V172" s="2399">
        <v>1</v>
      </c>
      <c r="W172" s="2399">
        <v>1</v>
      </c>
      <c r="X172" s="2399">
        <v>1</v>
      </c>
      <c r="Y172" s="2399">
        <v>1</v>
      </c>
      <c r="Z172" s="2399">
        <v>1</v>
      </c>
      <c r="AA172" s="2489">
        <v>1</v>
      </c>
      <c r="AB172" s="2399">
        <v>1</v>
      </c>
      <c r="AC172" s="2399">
        <v>1</v>
      </c>
      <c r="AD172" s="2399">
        <v>1</v>
      </c>
      <c r="AE172" s="2399">
        <v>1</v>
      </c>
      <c r="AF172" s="2399">
        <v>1</v>
      </c>
      <c r="AG172" s="2399">
        <v>1</v>
      </c>
      <c r="AH172" s="2399">
        <v>1</v>
      </c>
      <c r="AI172" s="2399">
        <v>1</v>
      </c>
      <c r="AJ172" s="2399">
        <v>1</v>
      </c>
      <c r="AK172" s="2399">
        <v>1</v>
      </c>
      <c r="AL172" s="2399">
        <v>1</v>
      </c>
      <c r="AM172" s="2399">
        <v>7</v>
      </c>
      <c r="AN172" s="3507">
        <v>0</v>
      </c>
      <c r="AO172" s="2399" t="b">
        <v>0</v>
      </c>
      <c r="AP172" s="2399" t="b">
        <v>0</v>
      </c>
    </row>
    <row r="173" spans="1:42" x14ac:dyDescent="0.2">
      <c r="A173" s="574">
        <v>172</v>
      </c>
      <c r="B173" s="2398">
        <v>173</v>
      </c>
      <c r="C173" s="2398">
        <v>173</v>
      </c>
      <c r="D173" s="2398">
        <v>173</v>
      </c>
      <c r="E173" s="2398">
        <v>173</v>
      </c>
      <c r="F173" s="2398">
        <v>173</v>
      </c>
      <c r="G173" s="2398">
        <v>173</v>
      </c>
      <c r="H173" s="2398">
        <v>173</v>
      </c>
      <c r="I173" s="2398">
        <v>173</v>
      </c>
      <c r="J173" s="2398">
        <v>173</v>
      </c>
      <c r="K173" s="2398">
        <v>173</v>
      </c>
      <c r="L173" s="2489">
        <v>2</v>
      </c>
      <c r="M173" s="2399">
        <v>1</v>
      </c>
      <c r="N173" s="2399">
        <v>1</v>
      </c>
      <c r="O173" s="2398">
        <v>173</v>
      </c>
      <c r="P173" s="2399">
        <v>1</v>
      </c>
      <c r="Q173" s="2399">
        <v>1</v>
      </c>
      <c r="R173" s="2399">
        <v>1</v>
      </c>
      <c r="S173" s="2399">
        <v>1</v>
      </c>
      <c r="T173" s="2399">
        <v>1</v>
      </c>
      <c r="U173" s="2399">
        <v>1</v>
      </c>
      <c r="V173" s="2399">
        <v>1</v>
      </c>
      <c r="W173" s="2399">
        <v>1</v>
      </c>
      <c r="X173" s="2399">
        <v>1</v>
      </c>
      <c r="Y173" s="2399">
        <v>1</v>
      </c>
      <c r="Z173" s="2399">
        <v>1</v>
      </c>
      <c r="AA173" s="2489">
        <v>1</v>
      </c>
      <c r="AB173" s="2399">
        <v>1</v>
      </c>
      <c r="AC173" s="2399">
        <v>1</v>
      </c>
      <c r="AD173" s="2399">
        <v>1</v>
      </c>
      <c r="AE173" s="2399">
        <v>1</v>
      </c>
      <c r="AF173" s="2398">
        <v>173</v>
      </c>
      <c r="AG173" s="2399">
        <v>1</v>
      </c>
      <c r="AH173" s="2399">
        <v>1</v>
      </c>
      <c r="AI173" s="2399">
        <v>1</v>
      </c>
      <c r="AJ173" s="2399">
        <v>1</v>
      </c>
      <c r="AK173" s="2399">
        <v>2</v>
      </c>
      <c r="AL173" s="2399">
        <v>1</v>
      </c>
      <c r="AM173" s="2399">
        <v>7</v>
      </c>
      <c r="AN173" s="3507">
        <v>0</v>
      </c>
      <c r="AO173" s="2399" t="b">
        <v>1</v>
      </c>
      <c r="AP173" s="2399" t="b">
        <v>0</v>
      </c>
    </row>
    <row r="174" spans="1:42" x14ac:dyDescent="0.2">
      <c r="A174" s="574">
        <v>173</v>
      </c>
      <c r="B174" s="2398">
        <v>174</v>
      </c>
      <c r="C174" s="2398">
        <v>174</v>
      </c>
      <c r="D174" s="2398">
        <v>174</v>
      </c>
      <c r="E174" s="2398">
        <v>174</v>
      </c>
      <c r="F174" s="2398">
        <v>174</v>
      </c>
      <c r="G174" s="2398">
        <v>174</v>
      </c>
      <c r="H174" s="2398">
        <v>174</v>
      </c>
      <c r="I174" s="2398">
        <v>174</v>
      </c>
      <c r="J174" s="2398">
        <v>174</v>
      </c>
      <c r="K174" s="2398">
        <v>174</v>
      </c>
      <c r="L174" s="2489">
        <v>2</v>
      </c>
      <c r="M174" s="2399">
        <v>1</v>
      </c>
      <c r="N174" s="2399">
        <v>1</v>
      </c>
      <c r="O174" s="2398">
        <v>174</v>
      </c>
      <c r="P174" s="2399">
        <v>1</v>
      </c>
      <c r="Q174" s="2399">
        <v>1</v>
      </c>
      <c r="R174" s="2399">
        <v>1</v>
      </c>
      <c r="S174" s="2399">
        <v>1</v>
      </c>
      <c r="T174" s="2399">
        <v>1</v>
      </c>
      <c r="U174" s="2399">
        <v>1</v>
      </c>
      <c r="V174" s="2399">
        <v>1</v>
      </c>
      <c r="W174" s="2399">
        <v>1</v>
      </c>
      <c r="X174" s="2399">
        <v>1</v>
      </c>
      <c r="Y174" s="2399">
        <v>1</v>
      </c>
      <c r="Z174" s="2399">
        <v>1</v>
      </c>
      <c r="AA174" s="2489">
        <v>1</v>
      </c>
      <c r="AB174" s="2399">
        <v>1</v>
      </c>
      <c r="AC174" s="2399">
        <v>1</v>
      </c>
      <c r="AD174" s="2399">
        <v>1</v>
      </c>
      <c r="AE174" s="2399">
        <v>1</v>
      </c>
      <c r="AF174" s="2398">
        <v>174</v>
      </c>
      <c r="AG174" s="2399">
        <v>1</v>
      </c>
      <c r="AH174" s="2399">
        <v>1</v>
      </c>
      <c r="AI174" s="2399">
        <v>1</v>
      </c>
      <c r="AJ174" s="2399">
        <v>1</v>
      </c>
      <c r="AK174" s="2399">
        <v>2</v>
      </c>
      <c r="AL174" s="2399">
        <v>1</v>
      </c>
      <c r="AM174" s="2399">
        <v>7</v>
      </c>
      <c r="AN174" s="3507">
        <v>0</v>
      </c>
      <c r="AO174" s="2399" t="b">
        <v>1</v>
      </c>
      <c r="AP174" s="2399" t="b">
        <v>0</v>
      </c>
    </row>
    <row r="175" spans="1:42" x14ac:dyDescent="0.2">
      <c r="A175" s="574">
        <v>174</v>
      </c>
      <c r="B175" s="2398">
        <v>175</v>
      </c>
      <c r="C175" s="2398">
        <v>175</v>
      </c>
      <c r="D175" s="2398">
        <v>175</v>
      </c>
      <c r="E175" s="2398">
        <v>175</v>
      </c>
      <c r="F175" s="2398">
        <v>175</v>
      </c>
      <c r="G175" s="2398">
        <v>175</v>
      </c>
      <c r="H175" s="2398">
        <v>175</v>
      </c>
      <c r="I175" s="2398">
        <v>175</v>
      </c>
      <c r="J175" s="2398">
        <v>175</v>
      </c>
      <c r="K175" s="2398">
        <v>175</v>
      </c>
      <c r="L175" s="2489">
        <v>2</v>
      </c>
      <c r="M175" s="2399">
        <v>1</v>
      </c>
      <c r="N175" s="2399">
        <v>1</v>
      </c>
      <c r="O175" s="2399">
        <v>1</v>
      </c>
      <c r="P175" s="2399">
        <v>1</v>
      </c>
      <c r="Q175" s="2399">
        <v>1</v>
      </c>
      <c r="R175" s="2399">
        <v>1</v>
      </c>
      <c r="S175" s="2399">
        <v>1</v>
      </c>
      <c r="T175" s="2399">
        <v>1</v>
      </c>
      <c r="U175" s="2399">
        <v>1</v>
      </c>
      <c r="V175" s="2399">
        <v>1</v>
      </c>
      <c r="W175" s="2399">
        <v>1</v>
      </c>
      <c r="X175" s="2399">
        <v>1</v>
      </c>
      <c r="Y175" s="2399">
        <v>1</v>
      </c>
      <c r="Z175" s="2399">
        <v>1</v>
      </c>
      <c r="AA175" s="2489">
        <v>1</v>
      </c>
      <c r="AB175" s="2399">
        <v>1</v>
      </c>
      <c r="AC175" s="2398">
        <v>175</v>
      </c>
      <c r="AD175" s="2399">
        <v>5</v>
      </c>
      <c r="AE175" s="2399">
        <v>1</v>
      </c>
      <c r="AF175" s="2398">
        <v>175</v>
      </c>
      <c r="AG175" s="2399">
        <v>1</v>
      </c>
      <c r="AH175" s="2399">
        <v>1</v>
      </c>
      <c r="AI175" s="2399">
        <v>1</v>
      </c>
      <c r="AJ175" s="2399">
        <v>1</v>
      </c>
      <c r="AK175" s="2399">
        <v>2</v>
      </c>
      <c r="AL175" s="2399">
        <v>1</v>
      </c>
      <c r="AM175" s="2399">
        <v>3</v>
      </c>
      <c r="AN175" s="3507">
        <v>0</v>
      </c>
      <c r="AO175" s="2399" t="b">
        <v>1</v>
      </c>
      <c r="AP175" s="2399" t="b">
        <v>0</v>
      </c>
    </row>
    <row r="176" spans="1:42" x14ac:dyDescent="0.2">
      <c r="A176" s="574">
        <v>175</v>
      </c>
      <c r="B176" s="2398">
        <v>176</v>
      </c>
      <c r="C176" s="2398">
        <v>176</v>
      </c>
      <c r="D176" s="2398">
        <v>176</v>
      </c>
      <c r="E176" s="2398">
        <v>176</v>
      </c>
      <c r="F176" s="2398">
        <v>176</v>
      </c>
      <c r="G176" s="2398">
        <v>176</v>
      </c>
      <c r="H176" s="2398">
        <v>176</v>
      </c>
      <c r="I176" s="2398">
        <v>176</v>
      </c>
      <c r="J176" s="2398">
        <v>176</v>
      </c>
      <c r="K176" s="2398">
        <v>176</v>
      </c>
      <c r="L176" s="2489">
        <v>2</v>
      </c>
      <c r="M176" s="2399">
        <v>1</v>
      </c>
      <c r="N176" s="2399">
        <v>1</v>
      </c>
      <c r="O176" s="2399">
        <v>1</v>
      </c>
      <c r="P176" s="2399">
        <v>1</v>
      </c>
      <c r="Q176" s="2399">
        <v>1</v>
      </c>
      <c r="R176" s="2399">
        <v>1</v>
      </c>
      <c r="S176" s="2399">
        <v>1</v>
      </c>
      <c r="T176" s="2399">
        <v>1</v>
      </c>
      <c r="U176" s="2399">
        <v>1</v>
      </c>
      <c r="V176" s="2398">
        <v>176</v>
      </c>
      <c r="W176" s="2399">
        <v>1</v>
      </c>
      <c r="X176" s="2399">
        <v>1</v>
      </c>
      <c r="Y176" s="2399">
        <v>1</v>
      </c>
      <c r="Z176" s="2399">
        <v>1</v>
      </c>
      <c r="AA176" s="2489">
        <v>1</v>
      </c>
      <c r="AB176" s="2399">
        <v>1</v>
      </c>
      <c r="AC176" s="2399">
        <v>1</v>
      </c>
      <c r="AD176" s="2399">
        <v>1</v>
      </c>
      <c r="AE176" s="2399">
        <v>1</v>
      </c>
      <c r="AF176" s="2399">
        <v>1</v>
      </c>
      <c r="AG176" s="2399">
        <v>1</v>
      </c>
      <c r="AH176" s="2399">
        <v>1</v>
      </c>
      <c r="AI176" s="2399">
        <v>2</v>
      </c>
      <c r="AJ176" s="2399">
        <v>1</v>
      </c>
      <c r="AK176" s="2399">
        <v>1</v>
      </c>
      <c r="AL176" s="2399">
        <v>1</v>
      </c>
      <c r="AM176" s="2399">
        <v>7</v>
      </c>
      <c r="AN176" s="3507">
        <v>0</v>
      </c>
      <c r="AO176" s="2399" t="b">
        <v>0</v>
      </c>
      <c r="AP176" s="2399" t="b">
        <v>0</v>
      </c>
    </row>
    <row r="177" spans="1:42" x14ac:dyDescent="0.2">
      <c r="A177" s="574">
        <v>176</v>
      </c>
      <c r="B177" s="2398">
        <v>177</v>
      </c>
      <c r="C177" s="2398">
        <v>177</v>
      </c>
      <c r="D177" s="2398">
        <v>177</v>
      </c>
      <c r="E177" s="2398">
        <v>177</v>
      </c>
      <c r="F177" s="2398">
        <v>177</v>
      </c>
      <c r="G177" s="2398">
        <v>177</v>
      </c>
      <c r="H177" s="2398">
        <v>177</v>
      </c>
      <c r="I177" s="2398">
        <v>177</v>
      </c>
      <c r="J177" s="2398">
        <v>177</v>
      </c>
      <c r="K177" s="2398">
        <v>177</v>
      </c>
      <c r="L177" s="2489">
        <v>2</v>
      </c>
      <c r="M177" s="2399">
        <v>1</v>
      </c>
      <c r="N177" s="2399">
        <v>1</v>
      </c>
      <c r="O177" s="2399">
        <v>1</v>
      </c>
      <c r="P177" s="2399">
        <v>1</v>
      </c>
      <c r="Q177" s="2399">
        <v>1</v>
      </c>
      <c r="R177" s="2399">
        <v>1</v>
      </c>
      <c r="S177" s="2399">
        <v>1</v>
      </c>
      <c r="T177" s="2399">
        <v>1</v>
      </c>
      <c r="U177" s="2398">
        <v>177</v>
      </c>
      <c r="V177" s="2399">
        <v>1</v>
      </c>
      <c r="W177" s="2399">
        <v>1</v>
      </c>
      <c r="X177" s="2399">
        <v>1</v>
      </c>
      <c r="Y177" s="2399">
        <v>1</v>
      </c>
      <c r="Z177" s="2399">
        <v>1</v>
      </c>
      <c r="AA177" s="2489">
        <v>1</v>
      </c>
      <c r="AB177" s="2399">
        <v>1</v>
      </c>
      <c r="AC177" s="2399">
        <v>1</v>
      </c>
      <c r="AD177" s="2399">
        <v>1</v>
      </c>
      <c r="AE177" s="2399">
        <v>1</v>
      </c>
      <c r="AF177" s="2398">
        <v>177</v>
      </c>
      <c r="AG177" s="2399">
        <v>1</v>
      </c>
      <c r="AH177" s="2399">
        <v>1</v>
      </c>
      <c r="AI177" s="2399">
        <v>1</v>
      </c>
      <c r="AJ177" s="2399">
        <v>1</v>
      </c>
      <c r="AK177" s="2399">
        <v>1</v>
      </c>
      <c r="AL177" s="2399">
        <v>1</v>
      </c>
      <c r="AM177" s="2399">
        <v>5</v>
      </c>
      <c r="AN177" s="3507">
        <v>0</v>
      </c>
      <c r="AO177" s="2399" t="b">
        <v>0</v>
      </c>
      <c r="AP177" s="2399" t="b">
        <v>0</v>
      </c>
    </row>
    <row r="178" spans="1:42" x14ac:dyDescent="0.2">
      <c r="A178" s="574">
        <v>177</v>
      </c>
      <c r="B178" s="2398">
        <v>178</v>
      </c>
      <c r="C178" s="2398">
        <v>178</v>
      </c>
      <c r="D178" s="2398">
        <v>178</v>
      </c>
      <c r="E178" s="2398">
        <v>178</v>
      </c>
      <c r="F178" s="2398">
        <v>178</v>
      </c>
      <c r="G178" s="2398">
        <v>178</v>
      </c>
      <c r="H178" s="2398">
        <v>178</v>
      </c>
      <c r="I178" s="2398">
        <v>178</v>
      </c>
      <c r="J178" s="2398">
        <v>178</v>
      </c>
      <c r="K178" s="2398">
        <v>178</v>
      </c>
      <c r="L178" s="2489">
        <v>2</v>
      </c>
      <c r="M178" s="2399">
        <v>1</v>
      </c>
      <c r="N178" s="2399">
        <v>1</v>
      </c>
      <c r="O178" s="2399">
        <v>1</v>
      </c>
      <c r="P178" s="2399">
        <v>1</v>
      </c>
      <c r="Q178" s="2399">
        <v>1</v>
      </c>
      <c r="R178" s="2399">
        <v>1</v>
      </c>
      <c r="S178" s="2399">
        <v>1</v>
      </c>
      <c r="T178" s="2398">
        <v>178</v>
      </c>
      <c r="U178" s="2399">
        <v>1</v>
      </c>
      <c r="V178" s="2399">
        <v>1</v>
      </c>
      <c r="W178" s="2399">
        <v>1</v>
      </c>
      <c r="X178" s="2399">
        <v>1</v>
      </c>
      <c r="Y178" s="2399">
        <v>1</v>
      </c>
      <c r="Z178" s="2399">
        <v>1</v>
      </c>
      <c r="AA178" s="2489">
        <v>1</v>
      </c>
      <c r="AB178" s="2399">
        <v>1</v>
      </c>
      <c r="AC178" s="2399">
        <v>1</v>
      </c>
      <c r="AD178" s="2399">
        <v>1</v>
      </c>
      <c r="AE178" s="2399">
        <v>1</v>
      </c>
      <c r="AF178" s="2399">
        <v>1</v>
      </c>
      <c r="AG178" s="2399">
        <v>1</v>
      </c>
      <c r="AH178" s="2399">
        <v>1</v>
      </c>
      <c r="AI178" s="2399">
        <v>1</v>
      </c>
      <c r="AJ178" s="2399">
        <v>1</v>
      </c>
      <c r="AK178" s="2399">
        <v>1</v>
      </c>
      <c r="AL178" s="2399">
        <v>1</v>
      </c>
      <c r="AM178" s="2399">
        <v>1</v>
      </c>
      <c r="AN178" s="3507">
        <v>0</v>
      </c>
      <c r="AO178" s="2399" t="b">
        <v>0</v>
      </c>
      <c r="AP178" s="2399" t="b">
        <v>0</v>
      </c>
    </row>
    <row r="179" spans="1:42" x14ac:dyDescent="0.2">
      <c r="A179" s="574">
        <v>178</v>
      </c>
      <c r="B179" s="2398">
        <v>179</v>
      </c>
      <c r="C179" s="2398">
        <v>179</v>
      </c>
      <c r="D179" s="2398">
        <v>179</v>
      </c>
      <c r="E179" s="2398">
        <v>179</v>
      </c>
      <c r="F179" s="2398">
        <v>179</v>
      </c>
      <c r="G179" s="2398">
        <v>179</v>
      </c>
      <c r="H179" s="2398">
        <v>179</v>
      </c>
      <c r="I179" s="2398">
        <v>179</v>
      </c>
      <c r="J179" s="2398">
        <v>179</v>
      </c>
      <c r="K179" s="2398">
        <v>179</v>
      </c>
      <c r="L179" s="2489">
        <v>2</v>
      </c>
      <c r="M179" s="2399">
        <v>1</v>
      </c>
      <c r="N179" s="2399">
        <v>1</v>
      </c>
      <c r="O179" s="2399">
        <v>1</v>
      </c>
      <c r="P179" s="2399">
        <v>1</v>
      </c>
      <c r="Q179" s="2399">
        <v>1</v>
      </c>
      <c r="R179" s="2399">
        <v>1</v>
      </c>
      <c r="S179" s="2399">
        <v>1</v>
      </c>
      <c r="T179" s="2398">
        <v>179</v>
      </c>
      <c r="U179" s="2399">
        <v>1</v>
      </c>
      <c r="V179" s="2399">
        <v>1</v>
      </c>
      <c r="W179" s="2399">
        <v>1</v>
      </c>
      <c r="X179" s="2399">
        <v>1</v>
      </c>
      <c r="Y179" s="2399">
        <v>1</v>
      </c>
      <c r="Z179" s="2399">
        <v>1</v>
      </c>
      <c r="AA179" s="2489">
        <v>1</v>
      </c>
      <c r="AB179" s="2399">
        <v>1</v>
      </c>
      <c r="AC179" s="2399">
        <v>1</v>
      </c>
      <c r="AD179" s="2399">
        <v>1</v>
      </c>
      <c r="AE179" s="2399">
        <v>1</v>
      </c>
      <c r="AF179" s="2399">
        <v>1</v>
      </c>
      <c r="AG179" s="2399">
        <v>1</v>
      </c>
      <c r="AH179" s="2399">
        <v>1</v>
      </c>
      <c r="AI179" s="2399">
        <v>1</v>
      </c>
      <c r="AJ179" s="2399">
        <v>1</v>
      </c>
      <c r="AK179" s="2399">
        <v>1</v>
      </c>
      <c r="AL179" s="2399">
        <v>1</v>
      </c>
      <c r="AM179" s="2399">
        <v>1</v>
      </c>
      <c r="AN179" s="3507">
        <v>0</v>
      </c>
      <c r="AO179" s="2399" t="b">
        <v>0</v>
      </c>
      <c r="AP179" s="2399" t="b">
        <v>0</v>
      </c>
    </row>
    <row r="180" spans="1:42" x14ac:dyDescent="0.2">
      <c r="A180" s="574">
        <v>179</v>
      </c>
      <c r="B180" s="2398">
        <v>180</v>
      </c>
      <c r="C180" s="2398">
        <v>180</v>
      </c>
      <c r="D180" s="2398">
        <v>180</v>
      </c>
      <c r="E180" s="2398">
        <v>180</v>
      </c>
      <c r="F180" s="2398">
        <v>180</v>
      </c>
      <c r="G180" s="2398">
        <v>180</v>
      </c>
      <c r="H180" s="2398">
        <v>180</v>
      </c>
      <c r="I180" s="2398">
        <v>180</v>
      </c>
      <c r="J180" s="2398">
        <v>180</v>
      </c>
      <c r="K180" s="2398">
        <v>180</v>
      </c>
      <c r="L180" s="2489">
        <v>2</v>
      </c>
      <c r="M180" s="2399">
        <v>1</v>
      </c>
      <c r="N180" s="2399">
        <v>1</v>
      </c>
      <c r="O180" s="2399">
        <v>1</v>
      </c>
      <c r="P180" s="2399">
        <v>1</v>
      </c>
      <c r="Q180" s="2399">
        <v>1</v>
      </c>
      <c r="R180" s="2399">
        <v>1</v>
      </c>
      <c r="S180" s="2399">
        <v>1</v>
      </c>
      <c r="T180" s="2398">
        <v>180</v>
      </c>
      <c r="U180" s="2399">
        <v>1</v>
      </c>
      <c r="V180" s="2399">
        <v>1</v>
      </c>
      <c r="W180" s="2399">
        <v>1</v>
      </c>
      <c r="X180" s="2399">
        <v>1</v>
      </c>
      <c r="Y180" s="2399">
        <v>1</v>
      </c>
      <c r="Z180" s="2399">
        <v>1</v>
      </c>
      <c r="AA180" s="2489">
        <v>1</v>
      </c>
      <c r="AB180" s="2399">
        <v>1</v>
      </c>
      <c r="AC180" s="2399">
        <v>1</v>
      </c>
      <c r="AD180" s="2399">
        <v>1</v>
      </c>
      <c r="AE180" s="2399">
        <v>1</v>
      </c>
      <c r="AF180" s="2399">
        <v>1</v>
      </c>
      <c r="AG180" s="2399">
        <v>1</v>
      </c>
      <c r="AH180" s="2399">
        <v>1</v>
      </c>
      <c r="AI180" s="2399">
        <v>1</v>
      </c>
      <c r="AJ180" s="2399">
        <v>1</v>
      </c>
      <c r="AK180" s="2399">
        <v>1</v>
      </c>
      <c r="AL180" s="2399">
        <v>1</v>
      </c>
      <c r="AM180" s="2399">
        <v>1</v>
      </c>
      <c r="AN180" s="3507">
        <v>0</v>
      </c>
      <c r="AO180" s="2399" t="b">
        <v>0</v>
      </c>
      <c r="AP180" s="2399" t="b">
        <v>0</v>
      </c>
    </row>
    <row r="181" spans="1:42" x14ac:dyDescent="0.2">
      <c r="A181" s="574">
        <v>180</v>
      </c>
      <c r="B181" s="2398">
        <v>181</v>
      </c>
      <c r="C181" s="2398">
        <v>181</v>
      </c>
      <c r="D181" s="2398">
        <v>181</v>
      </c>
      <c r="E181" s="2398">
        <v>181</v>
      </c>
      <c r="F181" s="2398">
        <v>181</v>
      </c>
      <c r="G181" s="2398">
        <v>181</v>
      </c>
      <c r="H181" s="2398">
        <v>181</v>
      </c>
      <c r="I181" s="2398">
        <v>181</v>
      </c>
      <c r="J181" s="2398">
        <v>181</v>
      </c>
      <c r="K181" s="2398">
        <v>181</v>
      </c>
      <c r="L181" s="2489">
        <v>2</v>
      </c>
      <c r="M181" s="2399">
        <v>1</v>
      </c>
      <c r="N181" s="2399">
        <v>1</v>
      </c>
      <c r="O181" s="2399">
        <v>1</v>
      </c>
      <c r="P181" s="2399">
        <v>1</v>
      </c>
      <c r="Q181" s="2399">
        <v>1</v>
      </c>
      <c r="R181" s="2399">
        <v>1</v>
      </c>
      <c r="S181" s="2399">
        <v>1</v>
      </c>
      <c r="T181" s="2398">
        <v>181</v>
      </c>
      <c r="U181" s="2399">
        <v>1</v>
      </c>
      <c r="V181" s="2399">
        <v>1</v>
      </c>
      <c r="W181" s="2399">
        <v>1</v>
      </c>
      <c r="X181" s="2399">
        <v>1</v>
      </c>
      <c r="Y181" s="2399">
        <v>1</v>
      </c>
      <c r="Z181" s="2399">
        <v>1</v>
      </c>
      <c r="AA181" s="2489">
        <v>1</v>
      </c>
      <c r="AB181" s="2399">
        <v>1</v>
      </c>
      <c r="AC181" s="2399">
        <v>1</v>
      </c>
      <c r="AD181" s="2399">
        <v>1</v>
      </c>
      <c r="AE181" s="2399">
        <v>1</v>
      </c>
      <c r="AF181" s="2399">
        <v>1</v>
      </c>
      <c r="AG181" s="2399">
        <v>1</v>
      </c>
      <c r="AH181" s="2399">
        <v>1</v>
      </c>
      <c r="AI181" s="2399">
        <v>1</v>
      </c>
      <c r="AJ181" s="2399">
        <v>1</v>
      </c>
      <c r="AK181" s="2399">
        <v>1</v>
      </c>
      <c r="AL181" s="2399">
        <v>1</v>
      </c>
      <c r="AM181" s="2399">
        <v>1</v>
      </c>
      <c r="AN181" s="3507">
        <v>0</v>
      </c>
      <c r="AO181" s="2399" t="b">
        <v>0</v>
      </c>
      <c r="AP181" s="2399" t="b">
        <v>0</v>
      </c>
    </row>
    <row r="182" spans="1:42" x14ac:dyDescent="0.2">
      <c r="A182" s="574">
        <v>181</v>
      </c>
      <c r="B182" s="2398">
        <v>182</v>
      </c>
      <c r="C182" s="2398">
        <v>182</v>
      </c>
      <c r="D182" s="2398">
        <v>182</v>
      </c>
      <c r="E182" s="2398">
        <v>182</v>
      </c>
      <c r="F182" s="2398">
        <v>182</v>
      </c>
      <c r="G182" s="2398">
        <v>182</v>
      </c>
      <c r="H182" s="2398">
        <v>182</v>
      </c>
      <c r="I182" s="2398">
        <v>182</v>
      </c>
      <c r="J182" s="2398">
        <v>182</v>
      </c>
      <c r="K182" s="2398">
        <v>182</v>
      </c>
      <c r="L182" s="2489">
        <v>2</v>
      </c>
      <c r="M182" s="2399">
        <v>1</v>
      </c>
      <c r="N182" s="2399">
        <v>1</v>
      </c>
      <c r="O182" s="2399">
        <v>1</v>
      </c>
      <c r="P182" s="2399">
        <v>1</v>
      </c>
      <c r="Q182" s="2399">
        <v>1</v>
      </c>
      <c r="R182" s="2399">
        <v>1</v>
      </c>
      <c r="S182" s="2399">
        <v>1</v>
      </c>
      <c r="T182" s="2399">
        <v>1</v>
      </c>
      <c r="U182" s="2399">
        <v>1</v>
      </c>
      <c r="V182" s="2398">
        <v>182</v>
      </c>
      <c r="W182" s="2398">
        <v>182</v>
      </c>
      <c r="X182" s="2399">
        <v>1</v>
      </c>
      <c r="Y182" s="2399">
        <v>1</v>
      </c>
      <c r="Z182" s="2399">
        <v>1</v>
      </c>
      <c r="AA182" s="2489">
        <v>1</v>
      </c>
      <c r="AB182" s="2399">
        <v>1</v>
      </c>
      <c r="AC182" s="2399">
        <v>1</v>
      </c>
      <c r="AD182" s="2399">
        <v>1</v>
      </c>
      <c r="AE182" s="2399">
        <v>1</v>
      </c>
      <c r="AF182" s="2399">
        <v>1</v>
      </c>
      <c r="AG182" s="2399">
        <v>1</v>
      </c>
      <c r="AH182" s="2399">
        <v>1</v>
      </c>
      <c r="AI182" s="2399">
        <v>1</v>
      </c>
      <c r="AJ182" s="2399">
        <v>1</v>
      </c>
      <c r="AK182" s="2399">
        <v>1</v>
      </c>
      <c r="AL182" s="2399">
        <v>6</v>
      </c>
      <c r="AM182" s="2399">
        <v>5</v>
      </c>
      <c r="AN182" s="2409">
        <v>0</v>
      </c>
      <c r="AO182" s="2399" t="b">
        <v>0</v>
      </c>
      <c r="AP182" s="2399" t="b">
        <v>0</v>
      </c>
    </row>
    <row r="183" spans="1:42" x14ac:dyDescent="0.2">
      <c r="A183" s="574">
        <v>182</v>
      </c>
      <c r="B183" s="2398">
        <v>183</v>
      </c>
      <c r="C183" s="2399">
        <v>1</v>
      </c>
      <c r="D183" s="2398">
        <v>183</v>
      </c>
      <c r="E183" s="2398">
        <v>183</v>
      </c>
      <c r="F183" s="2398">
        <v>183</v>
      </c>
      <c r="G183" s="2398">
        <v>183</v>
      </c>
      <c r="H183" s="2398">
        <v>183</v>
      </c>
      <c r="I183" s="2398">
        <v>183</v>
      </c>
      <c r="J183" s="2398">
        <v>183</v>
      </c>
      <c r="K183" s="2398">
        <v>183</v>
      </c>
      <c r="L183" s="2489">
        <v>2</v>
      </c>
      <c r="M183" s="2399">
        <v>1</v>
      </c>
      <c r="N183" s="2399">
        <v>1</v>
      </c>
      <c r="O183" s="2399">
        <v>1</v>
      </c>
      <c r="P183" s="2399">
        <v>1</v>
      </c>
      <c r="Q183" s="2399">
        <v>1</v>
      </c>
      <c r="R183" s="2399">
        <v>1</v>
      </c>
      <c r="S183" s="2399">
        <v>1</v>
      </c>
      <c r="T183" s="2399">
        <v>1</v>
      </c>
      <c r="U183" s="2399">
        <v>1</v>
      </c>
      <c r="V183" s="2398">
        <v>183</v>
      </c>
      <c r="W183" s="2398">
        <v>183</v>
      </c>
      <c r="X183" s="2399">
        <v>1</v>
      </c>
      <c r="Y183" s="2399">
        <v>1</v>
      </c>
      <c r="Z183" s="2399">
        <v>1</v>
      </c>
      <c r="AA183" s="2489">
        <v>1</v>
      </c>
      <c r="AB183" s="2399">
        <v>1</v>
      </c>
      <c r="AC183" s="2399">
        <v>1</v>
      </c>
      <c r="AD183" s="2399">
        <v>1</v>
      </c>
      <c r="AE183" s="2399">
        <v>1</v>
      </c>
      <c r="AF183" s="2399">
        <v>1</v>
      </c>
      <c r="AG183" s="2399">
        <v>1</v>
      </c>
      <c r="AH183" s="2399">
        <v>1</v>
      </c>
      <c r="AI183" s="2399">
        <v>1</v>
      </c>
      <c r="AJ183" s="2399">
        <v>1</v>
      </c>
      <c r="AK183" s="2399">
        <v>1</v>
      </c>
      <c r="AL183" s="2399">
        <v>1</v>
      </c>
      <c r="AM183" s="2399">
        <v>5</v>
      </c>
      <c r="AN183" s="2409">
        <v>0</v>
      </c>
      <c r="AO183" s="2399" t="b">
        <v>0</v>
      </c>
      <c r="AP183" s="2399" t="b">
        <v>0</v>
      </c>
    </row>
    <row r="184" spans="1:42" x14ac:dyDescent="0.2">
      <c r="A184" s="574">
        <v>183</v>
      </c>
      <c r="B184" s="2398">
        <v>184</v>
      </c>
      <c r="C184" s="2398">
        <v>184</v>
      </c>
      <c r="D184" s="2398">
        <v>184</v>
      </c>
      <c r="E184" s="2398">
        <v>184</v>
      </c>
      <c r="F184" s="2398">
        <v>184</v>
      </c>
      <c r="G184" s="2398">
        <v>184</v>
      </c>
      <c r="H184" s="2398">
        <v>184</v>
      </c>
      <c r="I184" s="2398">
        <v>184</v>
      </c>
      <c r="J184" s="2398">
        <v>184</v>
      </c>
      <c r="K184" s="2398">
        <v>184</v>
      </c>
      <c r="L184" s="2489">
        <v>2</v>
      </c>
      <c r="M184" s="2399">
        <v>1</v>
      </c>
      <c r="N184" s="2398">
        <v>184</v>
      </c>
      <c r="O184" s="2399">
        <v>1</v>
      </c>
      <c r="P184" s="2399">
        <v>1</v>
      </c>
      <c r="Q184" s="2399">
        <v>1</v>
      </c>
      <c r="R184" s="2399">
        <v>1</v>
      </c>
      <c r="S184" s="2399">
        <v>1</v>
      </c>
      <c r="T184" s="2399">
        <v>1</v>
      </c>
      <c r="U184" s="2399">
        <v>1</v>
      </c>
      <c r="V184" s="2399">
        <v>1</v>
      </c>
      <c r="W184" s="2399">
        <v>1</v>
      </c>
      <c r="X184" s="2399">
        <v>1</v>
      </c>
      <c r="Y184" s="2399">
        <v>1</v>
      </c>
      <c r="Z184" s="2399">
        <v>1</v>
      </c>
      <c r="AA184" s="2489">
        <v>1</v>
      </c>
      <c r="AB184" s="2399">
        <v>1</v>
      </c>
      <c r="AC184" s="2399">
        <v>1</v>
      </c>
      <c r="AD184" s="2399">
        <v>1</v>
      </c>
      <c r="AE184" s="2399">
        <v>1</v>
      </c>
      <c r="AF184" s="2398">
        <v>184</v>
      </c>
      <c r="AG184" s="2399">
        <v>1</v>
      </c>
      <c r="AH184" s="2399">
        <v>1</v>
      </c>
      <c r="AI184" s="2399">
        <v>1</v>
      </c>
      <c r="AJ184" s="2399">
        <v>1</v>
      </c>
      <c r="AK184" s="2399">
        <v>1</v>
      </c>
      <c r="AL184" s="2399">
        <v>1</v>
      </c>
      <c r="AM184" s="2399">
        <v>3</v>
      </c>
      <c r="AN184" s="3507">
        <v>0</v>
      </c>
      <c r="AO184" s="2399" t="b">
        <v>0</v>
      </c>
      <c r="AP184" s="2399" t="b">
        <v>0</v>
      </c>
    </row>
    <row r="185" spans="1:42" x14ac:dyDescent="0.2">
      <c r="A185" s="574">
        <v>184</v>
      </c>
      <c r="B185" s="2398">
        <v>185</v>
      </c>
      <c r="C185" s="2399">
        <v>1</v>
      </c>
      <c r="D185" s="2398">
        <v>185</v>
      </c>
      <c r="E185" s="2398">
        <v>185</v>
      </c>
      <c r="F185" s="2398">
        <v>185</v>
      </c>
      <c r="G185" s="2398">
        <v>185</v>
      </c>
      <c r="H185" s="2398">
        <v>185</v>
      </c>
      <c r="I185" s="2398">
        <v>185</v>
      </c>
      <c r="J185" s="2398">
        <v>185</v>
      </c>
      <c r="K185" s="2398">
        <v>185</v>
      </c>
      <c r="L185" s="2489">
        <v>2</v>
      </c>
      <c r="M185" s="2399">
        <v>1</v>
      </c>
      <c r="N185" s="2399">
        <v>1</v>
      </c>
      <c r="O185" s="2399">
        <v>1</v>
      </c>
      <c r="P185" s="2399">
        <v>1</v>
      </c>
      <c r="Q185" s="2399">
        <v>1</v>
      </c>
      <c r="R185" s="2399">
        <v>1</v>
      </c>
      <c r="S185" s="2399">
        <v>1</v>
      </c>
      <c r="T185" s="2399">
        <v>1</v>
      </c>
      <c r="U185" s="2399">
        <v>1</v>
      </c>
      <c r="V185" s="2398">
        <v>185</v>
      </c>
      <c r="W185" s="2399">
        <v>1</v>
      </c>
      <c r="X185" s="2399">
        <v>1</v>
      </c>
      <c r="Y185" s="2399">
        <v>1</v>
      </c>
      <c r="Z185" s="2399">
        <v>1</v>
      </c>
      <c r="AA185" s="2489">
        <v>1</v>
      </c>
      <c r="AB185" s="2399">
        <v>1</v>
      </c>
      <c r="AC185" s="2399">
        <v>1</v>
      </c>
      <c r="AD185" s="2399">
        <v>1</v>
      </c>
      <c r="AE185" s="2399">
        <v>1</v>
      </c>
      <c r="AF185" s="2398">
        <v>185</v>
      </c>
      <c r="AG185" s="2398">
        <v>185</v>
      </c>
      <c r="AH185" s="2398">
        <v>185</v>
      </c>
      <c r="AI185" s="2399">
        <v>1</v>
      </c>
      <c r="AJ185" s="2399">
        <v>1</v>
      </c>
      <c r="AK185" s="2399">
        <v>1</v>
      </c>
      <c r="AL185" s="2399">
        <v>1</v>
      </c>
      <c r="AM185" s="2399">
        <v>7</v>
      </c>
      <c r="AN185" s="3507">
        <v>0</v>
      </c>
      <c r="AO185" s="2399" t="b">
        <v>0</v>
      </c>
      <c r="AP185" s="2399" t="b">
        <v>0</v>
      </c>
    </row>
    <row r="186" spans="1:42" x14ac:dyDescent="0.2">
      <c r="A186" s="574">
        <v>185</v>
      </c>
      <c r="B186" s="2398">
        <v>186</v>
      </c>
      <c r="C186" s="2398">
        <v>186</v>
      </c>
      <c r="D186" s="2398">
        <v>186</v>
      </c>
      <c r="E186" s="2398">
        <v>186</v>
      </c>
      <c r="F186" s="2398">
        <v>186</v>
      </c>
      <c r="G186" s="2398">
        <v>186</v>
      </c>
      <c r="H186" s="2398">
        <v>186</v>
      </c>
      <c r="I186" s="2398">
        <v>186</v>
      </c>
      <c r="J186" s="2398">
        <v>186</v>
      </c>
      <c r="K186" s="2398">
        <v>186</v>
      </c>
      <c r="L186" s="2489">
        <v>2</v>
      </c>
      <c r="M186" s="2399">
        <v>1</v>
      </c>
      <c r="N186" s="2398">
        <v>186</v>
      </c>
      <c r="O186" s="2399">
        <v>1</v>
      </c>
      <c r="P186" s="2399">
        <v>1</v>
      </c>
      <c r="Q186" s="2399">
        <v>1</v>
      </c>
      <c r="R186" s="2399">
        <v>1</v>
      </c>
      <c r="S186" s="2399">
        <v>1</v>
      </c>
      <c r="T186" s="2399">
        <v>1</v>
      </c>
      <c r="U186" s="2399">
        <v>1</v>
      </c>
      <c r="V186" s="2399">
        <v>1</v>
      </c>
      <c r="W186" s="2399">
        <v>1</v>
      </c>
      <c r="X186" s="2399">
        <v>1</v>
      </c>
      <c r="Y186" s="2399">
        <v>1</v>
      </c>
      <c r="Z186" s="2399">
        <v>1</v>
      </c>
      <c r="AA186" s="2489">
        <v>1</v>
      </c>
      <c r="AB186" s="2399">
        <v>1</v>
      </c>
      <c r="AC186" s="2399">
        <v>1</v>
      </c>
      <c r="AD186" s="2399">
        <v>1</v>
      </c>
      <c r="AE186" s="2399">
        <v>1</v>
      </c>
      <c r="AF186" s="2398">
        <v>186</v>
      </c>
      <c r="AG186" s="2399">
        <v>1</v>
      </c>
      <c r="AH186" s="2399">
        <v>1</v>
      </c>
      <c r="AI186" s="2399">
        <v>3</v>
      </c>
      <c r="AJ186" s="2399">
        <v>1</v>
      </c>
      <c r="AK186" s="2399">
        <v>1</v>
      </c>
      <c r="AL186" s="2399">
        <v>1</v>
      </c>
      <c r="AM186" s="2399">
        <v>5</v>
      </c>
      <c r="AN186" s="2409">
        <v>0</v>
      </c>
      <c r="AO186" s="2399" t="b">
        <v>0</v>
      </c>
      <c r="AP186" s="2399" t="b">
        <v>0</v>
      </c>
    </row>
    <row r="187" spans="1:42" x14ac:dyDescent="0.2">
      <c r="A187" s="574">
        <v>186</v>
      </c>
      <c r="B187" s="2398">
        <v>187</v>
      </c>
      <c r="C187" s="2398">
        <v>187</v>
      </c>
      <c r="D187" s="2398">
        <v>187</v>
      </c>
      <c r="E187" s="2398">
        <v>187</v>
      </c>
      <c r="F187" s="2398">
        <v>187</v>
      </c>
      <c r="G187" s="2398">
        <v>187</v>
      </c>
      <c r="H187" s="2398">
        <v>187</v>
      </c>
      <c r="I187" s="2398">
        <v>187</v>
      </c>
      <c r="J187" s="2398">
        <v>187</v>
      </c>
      <c r="K187" s="2398">
        <v>187</v>
      </c>
      <c r="L187" s="2489">
        <v>2</v>
      </c>
      <c r="M187" s="2399">
        <v>1</v>
      </c>
      <c r="N187" s="2399">
        <v>1</v>
      </c>
      <c r="O187" s="2398">
        <v>187</v>
      </c>
      <c r="P187" s="2399">
        <v>1</v>
      </c>
      <c r="Q187" s="2399">
        <v>1</v>
      </c>
      <c r="R187" s="2399">
        <v>1</v>
      </c>
      <c r="S187" s="2399">
        <v>1</v>
      </c>
      <c r="T187" s="2399">
        <v>1</v>
      </c>
      <c r="U187" s="2398">
        <v>187</v>
      </c>
      <c r="V187" s="2399">
        <v>1</v>
      </c>
      <c r="W187" s="2399">
        <v>1</v>
      </c>
      <c r="X187" s="2399">
        <v>1</v>
      </c>
      <c r="Y187" s="2399">
        <v>1</v>
      </c>
      <c r="Z187" s="2399">
        <v>1</v>
      </c>
      <c r="AA187" s="2489">
        <v>1</v>
      </c>
      <c r="AB187" s="2399">
        <v>1</v>
      </c>
      <c r="AC187" s="2399">
        <v>1</v>
      </c>
      <c r="AD187" s="2399">
        <v>1</v>
      </c>
      <c r="AE187" s="2399">
        <v>1</v>
      </c>
      <c r="AF187" s="2399">
        <v>1</v>
      </c>
      <c r="AG187" s="2399">
        <v>1</v>
      </c>
      <c r="AH187" s="2399">
        <v>1</v>
      </c>
      <c r="AI187" s="2399">
        <v>1</v>
      </c>
      <c r="AJ187" s="2399">
        <v>1</v>
      </c>
      <c r="AK187" s="2399">
        <v>1</v>
      </c>
      <c r="AL187" s="2399">
        <v>1</v>
      </c>
      <c r="AM187" s="2399">
        <v>4</v>
      </c>
      <c r="AN187" s="2409">
        <v>0</v>
      </c>
      <c r="AO187" s="2399" t="b">
        <v>0</v>
      </c>
      <c r="AP187" s="2399" t="b">
        <v>0</v>
      </c>
    </row>
    <row r="188" spans="1:42" x14ac:dyDescent="0.2">
      <c r="A188" s="574">
        <v>187</v>
      </c>
      <c r="B188" s="2398">
        <v>188</v>
      </c>
      <c r="C188" s="2399">
        <v>1</v>
      </c>
      <c r="D188" s="2398">
        <v>188</v>
      </c>
      <c r="E188" s="2398">
        <v>188</v>
      </c>
      <c r="F188" s="2398">
        <v>188</v>
      </c>
      <c r="G188" s="2398">
        <v>188</v>
      </c>
      <c r="H188" s="2398">
        <v>188</v>
      </c>
      <c r="I188" s="2398">
        <v>188</v>
      </c>
      <c r="J188" s="2398">
        <v>188</v>
      </c>
      <c r="K188" s="2398">
        <v>188</v>
      </c>
      <c r="L188" s="2489">
        <v>2</v>
      </c>
      <c r="M188" s="2399">
        <v>1</v>
      </c>
      <c r="N188" s="2399">
        <v>1</v>
      </c>
      <c r="O188" s="2399">
        <v>1</v>
      </c>
      <c r="P188" s="2399">
        <v>1</v>
      </c>
      <c r="Q188" s="2399">
        <v>1</v>
      </c>
      <c r="R188" s="2399">
        <v>1</v>
      </c>
      <c r="S188" s="2399">
        <v>1</v>
      </c>
      <c r="T188" s="2399">
        <v>1</v>
      </c>
      <c r="U188" s="2398">
        <v>188</v>
      </c>
      <c r="V188" s="2399">
        <v>1</v>
      </c>
      <c r="W188" s="2399">
        <v>1</v>
      </c>
      <c r="X188" s="2399">
        <v>1</v>
      </c>
      <c r="Y188" s="2398">
        <v>188</v>
      </c>
      <c r="Z188" s="2399">
        <v>1</v>
      </c>
      <c r="AA188" s="2489">
        <v>1</v>
      </c>
      <c r="AB188" s="2399">
        <v>1</v>
      </c>
      <c r="AC188" s="2399">
        <v>1</v>
      </c>
      <c r="AD188" s="2399">
        <v>6</v>
      </c>
      <c r="AE188" s="2399">
        <v>1</v>
      </c>
      <c r="AF188" s="2399">
        <v>1</v>
      </c>
      <c r="AG188" s="2399">
        <v>1</v>
      </c>
      <c r="AH188" s="2399">
        <v>1</v>
      </c>
      <c r="AI188" s="2399">
        <v>1</v>
      </c>
      <c r="AJ188" s="2399">
        <v>1</v>
      </c>
      <c r="AK188" s="2399">
        <v>1</v>
      </c>
      <c r="AL188" s="2399">
        <v>1</v>
      </c>
      <c r="AM188" s="2399">
        <v>3</v>
      </c>
      <c r="AN188" s="2409">
        <v>0</v>
      </c>
      <c r="AO188" s="2399" t="b">
        <v>1</v>
      </c>
      <c r="AP188" s="2399" t="b">
        <v>0</v>
      </c>
    </row>
    <row r="189" spans="1:42" x14ac:dyDescent="0.2">
      <c r="A189" s="574">
        <v>188</v>
      </c>
      <c r="B189" s="2398">
        <v>189</v>
      </c>
      <c r="C189" s="2398">
        <v>189</v>
      </c>
      <c r="D189" s="2398">
        <v>189</v>
      </c>
      <c r="E189" s="2398">
        <v>189</v>
      </c>
      <c r="F189" s="2398">
        <v>189</v>
      </c>
      <c r="G189" s="2398">
        <v>189</v>
      </c>
      <c r="H189" s="2398">
        <v>189</v>
      </c>
      <c r="I189" s="2398">
        <v>189</v>
      </c>
      <c r="J189" s="2398">
        <v>189</v>
      </c>
      <c r="K189" s="2398">
        <v>189</v>
      </c>
      <c r="L189" s="2489">
        <v>2</v>
      </c>
      <c r="M189" s="2399">
        <v>1</v>
      </c>
      <c r="N189" s="2398">
        <v>189</v>
      </c>
      <c r="O189" s="2398">
        <v>189</v>
      </c>
      <c r="P189" s="2399">
        <v>1</v>
      </c>
      <c r="Q189" s="2399">
        <v>1</v>
      </c>
      <c r="R189" s="2399">
        <v>1</v>
      </c>
      <c r="S189" s="2399">
        <v>1</v>
      </c>
      <c r="T189" s="2399">
        <v>1</v>
      </c>
      <c r="U189" s="2398">
        <v>189</v>
      </c>
      <c r="V189" s="2399">
        <v>1</v>
      </c>
      <c r="W189" s="2399">
        <v>1</v>
      </c>
      <c r="X189" s="2399">
        <v>1</v>
      </c>
      <c r="Y189" s="2399">
        <v>1</v>
      </c>
      <c r="Z189" s="2398">
        <v>189</v>
      </c>
      <c r="AA189" s="2489">
        <v>1</v>
      </c>
      <c r="AB189" s="2399">
        <v>1</v>
      </c>
      <c r="AC189" s="2399">
        <v>1</v>
      </c>
      <c r="AD189" s="2399">
        <v>8</v>
      </c>
      <c r="AE189" s="2399">
        <v>1</v>
      </c>
      <c r="AF189" s="2398">
        <v>189</v>
      </c>
      <c r="AG189" s="2399">
        <v>1</v>
      </c>
      <c r="AH189" s="2399">
        <v>1</v>
      </c>
      <c r="AI189" s="2399">
        <v>1</v>
      </c>
      <c r="AJ189" s="2399">
        <v>1</v>
      </c>
      <c r="AK189" s="2399">
        <v>1</v>
      </c>
      <c r="AL189" s="2399">
        <v>1</v>
      </c>
      <c r="AM189" s="2399">
        <v>3</v>
      </c>
      <c r="AN189" s="2409">
        <v>0</v>
      </c>
      <c r="AO189" s="2399" t="b">
        <v>1</v>
      </c>
      <c r="AP189" s="2399" t="b">
        <v>0</v>
      </c>
    </row>
    <row r="190" spans="1:42" x14ac:dyDescent="0.2">
      <c r="A190" s="574">
        <v>189</v>
      </c>
      <c r="B190" s="2398">
        <v>190</v>
      </c>
      <c r="C190" s="2399">
        <v>1</v>
      </c>
      <c r="D190" s="2398">
        <v>190</v>
      </c>
      <c r="E190" s="2398">
        <v>190</v>
      </c>
      <c r="F190" s="2398">
        <v>190</v>
      </c>
      <c r="G190" s="2398">
        <v>190</v>
      </c>
      <c r="H190" s="2398">
        <v>190</v>
      </c>
      <c r="I190" s="2398">
        <v>190</v>
      </c>
      <c r="J190" s="2398">
        <v>190</v>
      </c>
      <c r="K190" s="2398">
        <v>190</v>
      </c>
      <c r="L190" s="2489">
        <v>2</v>
      </c>
      <c r="M190" s="2399">
        <v>1</v>
      </c>
      <c r="N190" s="2399">
        <v>1</v>
      </c>
      <c r="O190" s="2399">
        <v>1</v>
      </c>
      <c r="P190" s="2399">
        <v>1</v>
      </c>
      <c r="Q190" s="2399">
        <v>1</v>
      </c>
      <c r="R190" s="2399">
        <v>1</v>
      </c>
      <c r="S190" s="2399">
        <v>1</v>
      </c>
      <c r="T190" s="2399">
        <v>1</v>
      </c>
      <c r="U190" s="2399">
        <v>1</v>
      </c>
      <c r="V190" s="2398">
        <v>190</v>
      </c>
      <c r="W190" s="2399">
        <v>1</v>
      </c>
      <c r="X190" s="2399">
        <v>1</v>
      </c>
      <c r="Y190" s="2399">
        <v>1</v>
      </c>
      <c r="Z190" s="2399">
        <v>1</v>
      </c>
      <c r="AA190" s="2489">
        <v>1</v>
      </c>
      <c r="AB190" s="2399">
        <v>1</v>
      </c>
      <c r="AC190" s="2399">
        <v>1</v>
      </c>
      <c r="AD190" s="2399">
        <v>1</v>
      </c>
      <c r="AE190" s="2399">
        <v>1</v>
      </c>
      <c r="AF190" s="2399">
        <v>1</v>
      </c>
      <c r="AG190" s="2399">
        <v>1</v>
      </c>
      <c r="AH190" s="2399">
        <v>1</v>
      </c>
      <c r="AI190" s="2399">
        <v>1</v>
      </c>
      <c r="AJ190" s="2399">
        <v>12</v>
      </c>
      <c r="AK190" s="2399">
        <v>1</v>
      </c>
      <c r="AL190" s="2399">
        <v>5</v>
      </c>
      <c r="AM190" s="2399">
        <v>5</v>
      </c>
      <c r="AN190" s="3507">
        <v>0</v>
      </c>
      <c r="AO190" s="2399" t="b">
        <v>0</v>
      </c>
      <c r="AP190" s="2399" t="b">
        <v>0</v>
      </c>
    </row>
    <row r="191" spans="1:42" x14ac:dyDescent="0.2">
      <c r="A191" s="574">
        <v>190</v>
      </c>
      <c r="B191" s="2398">
        <v>191</v>
      </c>
      <c r="C191" s="2399">
        <v>1</v>
      </c>
      <c r="D191" s="2398">
        <v>191</v>
      </c>
      <c r="E191" s="2398">
        <v>191</v>
      </c>
      <c r="F191" s="2398">
        <v>191</v>
      </c>
      <c r="G191" s="2398">
        <v>191</v>
      </c>
      <c r="H191" s="2398">
        <v>191</v>
      </c>
      <c r="I191" s="2398">
        <v>191</v>
      </c>
      <c r="J191" s="2398">
        <v>191</v>
      </c>
      <c r="K191" s="2398">
        <v>191</v>
      </c>
      <c r="L191" s="2489">
        <v>2</v>
      </c>
      <c r="M191" s="2398">
        <v>191</v>
      </c>
      <c r="N191" s="2399">
        <v>1</v>
      </c>
      <c r="O191" s="2399">
        <v>1</v>
      </c>
      <c r="P191" s="2399">
        <v>1</v>
      </c>
      <c r="Q191" s="2399">
        <v>1</v>
      </c>
      <c r="R191" s="2399">
        <v>1</v>
      </c>
      <c r="S191" s="2398">
        <v>191</v>
      </c>
      <c r="T191" s="2399">
        <v>1</v>
      </c>
      <c r="U191" s="2399">
        <v>1</v>
      </c>
      <c r="V191" s="2399">
        <v>1</v>
      </c>
      <c r="W191" s="2399">
        <v>1</v>
      </c>
      <c r="X191" s="2399">
        <v>1</v>
      </c>
      <c r="Y191" s="2399">
        <v>1</v>
      </c>
      <c r="Z191" s="2399">
        <v>1</v>
      </c>
      <c r="AA191" s="2489">
        <v>1</v>
      </c>
      <c r="AB191" s="2398">
        <v>191</v>
      </c>
      <c r="AC191" s="2399">
        <v>1</v>
      </c>
      <c r="AD191" s="2399">
        <v>5</v>
      </c>
      <c r="AE191" s="2399">
        <v>1</v>
      </c>
      <c r="AF191" s="2399">
        <v>1</v>
      </c>
      <c r="AG191" s="2399">
        <v>1</v>
      </c>
      <c r="AH191" s="2399">
        <v>1</v>
      </c>
      <c r="AI191" s="2399">
        <v>1</v>
      </c>
      <c r="AJ191" s="2399">
        <v>1</v>
      </c>
      <c r="AK191" s="2399">
        <v>1</v>
      </c>
      <c r="AL191" s="2399">
        <v>1</v>
      </c>
      <c r="AM191" s="2399">
        <v>5</v>
      </c>
      <c r="AN191" s="2409">
        <v>0</v>
      </c>
      <c r="AO191" s="2399" t="b">
        <v>0</v>
      </c>
      <c r="AP191" s="2399" t="b">
        <v>0</v>
      </c>
    </row>
    <row r="192" spans="1:42" x14ac:dyDescent="0.2">
      <c r="A192" s="574">
        <v>191</v>
      </c>
      <c r="B192" s="2398">
        <v>192</v>
      </c>
      <c r="C192" s="2399">
        <v>1</v>
      </c>
      <c r="D192" s="2398">
        <v>192</v>
      </c>
      <c r="E192" s="2398">
        <v>192</v>
      </c>
      <c r="F192" s="2398">
        <v>192</v>
      </c>
      <c r="G192" s="2398">
        <v>192</v>
      </c>
      <c r="H192" s="2398">
        <v>192</v>
      </c>
      <c r="I192" s="2398">
        <v>192</v>
      </c>
      <c r="J192" s="2398">
        <v>192</v>
      </c>
      <c r="K192" s="2398">
        <v>192</v>
      </c>
      <c r="L192" s="2489">
        <v>2</v>
      </c>
      <c r="M192" s="2398">
        <v>192</v>
      </c>
      <c r="N192" s="2399">
        <v>1</v>
      </c>
      <c r="O192" s="2399">
        <v>1</v>
      </c>
      <c r="P192" s="2399">
        <v>1</v>
      </c>
      <c r="Q192" s="2399">
        <v>1</v>
      </c>
      <c r="R192" s="2399">
        <v>1</v>
      </c>
      <c r="S192" s="2398">
        <v>192</v>
      </c>
      <c r="T192" s="2399">
        <v>1</v>
      </c>
      <c r="U192" s="2399">
        <v>1</v>
      </c>
      <c r="V192" s="2399">
        <v>1</v>
      </c>
      <c r="W192" s="2399">
        <v>1</v>
      </c>
      <c r="X192" s="2399">
        <v>1</v>
      </c>
      <c r="Y192" s="2399">
        <v>1</v>
      </c>
      <c r="Z192" s="2399">
        <v>1</v>
      </c>
      <c r="AA192" s="2489">
        <v>1</v>
      </c>
      <c r="AB192" s="2398">
        <v>192</v>
      </c>
      <c r="AC192" s="2399">
        <v>1</v>
      </c>
      <c r="AD192" s="2399">
        <v>5</v>
      </c>
      <c r="AE192" s="2399">
        <v>1</v>
      </c>
      <c r="AF192" s="2399">
        <v>1</v>
      </c>
      <c r="AG192" s="2399">
        <v>1</v>
      </c>
      <c r="AH192" s="2399">
        <v>1</v>
      </c>
      <c r="AI192" s="2399">
        <v>1</v>
      </c>
      <c r="AJ192" s="2399">
        <v>1</v>
      </c>
      <c r="AK192" s="2399">
        <v>1</v>
      </c>
      <c r="AL192" s="2399">
        <v>1</v>
      </c>
      <c r="AM192" s="2399">
        <v>5</v>
      </c>
      <c r="AN192" s="3507">
        <v>0</v>
      </c>
      <c r="AO192" s="2399" t="b">
        <v>0</v>
      </c>
      <c r="AP192" s="2399" t="b">
        <v>0</v>
      </c>
    </row>
    <row r="193" spans="1:42" x14ac:dyDescent="0.2">
      <c r="A193" s="574">
        <v>192</v>
      </c>
      <c r="B193" s="2398">
        <v>193</v>
      </c>
      <c r="C193" s="2398">
        <v>193</v>
      </c>
      <c r="D193" s="2398">
        <v>193</v>
      </c>
      <c r="E193" s="2398">
        <v>193</v>
      </c>
      <c r="F193" s="2398">
        <v>193</v>
      </c>
      <c r="G193" s="2398">
        <v>193</v>
      </c>
      <c r="H193" s="2398">
        <v>193</v>
      </c>
      <c r="I193" s="2398">
        <v>193</v>
      </c>
      <c r="J193" s="2398">
        <v>193</v>
      </c>
      <c r="K193" s="2398">
        <v>193</v>
      </c>
      <c r="L193" s="2489">
        <v>2</v>
      </c>
      <c r="M193" s="2399">
        <v>1</v>
      </c>
      <c r="N193" s="2399">
        <v>1</v>
      </c>
      <c r="O193" s="2399">
        <v>1</v>
      </c>
      <c r="P193" s="2399">
        <v>1</v>
      </c>
      <c r="Q193" s="2399">
        <v>1</v>
      </c>
      <c r="R193" s="2399">
        <v>1</v>
      </c>
      <c r="S193" s="2399">
        <v>1</v>
      </c>
      <c r="T193" s="2399">
        <v>1</v>
      </c>
      <c r="U193" s="2399">
        <v>1</v>
      </c>
      <c r="V193" s="2399">
        <v>1</v>
      </c>
      <c r="W193" s="2399">
        <v>1</v>
      </c>
      <c r="X193" s="2399">
        <v>1</v>
      </c>
      <c r="Y193" s="2398">
        <v>193</v>
      </c>
      <c r="Z193" s="2399">
        <v>1</v>
      </c>
      <c r="AA193" s="2489">
        <v>1</v>
      </c>
      <c r="AB193" s="2399">
        <v>1</v>
      </c>
      <c r="AC193" s="2399">
        <v>1</v>
      </c>
      <c r="AD193" s="2399">
        <v>5</v>
      </c>
      <c r="AE193" s="2399">
        <v>1</v>
      </c>
      <c r="AF193" s="2399">
        <v>1</v>
      </c>
      <c r="AG193" s="2399">
        <v>1</v>
      </c>
      <c r="AH193" s="2399">
        <v>1</v>
      </c>
      <c r="AI193" s="2399">
        <v>1</v>
      </c>
      <c r="AJ193" s="2399">
        <v>1</v>
      </c>
      <c r="AK193" s="2399">
        <v>1</v>
      </c>
      <c r="AL193" s="2399">
        <v>1</v>
      </c>
      <c r="AM193" s="2399">
        <v>5</v>
      </c>
      <c r="AN193" s="3507">
        <v>0</v>
      </c>
      <c r="AO193" s="2399" t="b">
        <v>0</v>
      </c>
      <c r="AP193" s="2399" t="b">
        <v>0</v>
      </c>
    </row>
    <row r="194" spans="1:42" x14ac:dyDescent="0.2">
      <c r="A194" s="574">
        <v>193</v>
      </c>
      <c r="B194" s="2398">
        <v>194</v>
      </c>
      <c r="C194" s="2398">
        <v>194</v>
      </c>
      <c r="D194" s="2398">
        <v>194</v>
      </c>
      <c r="E194" s="2398">
        <v>194</v>
      </c>
      <c r="F194" s="2398">
        <v>194</v>
      </c>
      <c r="G194" s="2398">
        <v>194</v>
      </c>
      <c r="H194" s="2398">
        <v>194</v>
      </c>
      <c r="I194" s="2398">
        <v>194</v>
      </c>
      <c r="J194" s="2398">
        <v>194</v>
      </c>
      <c r="K194" s="2398">
        <v>194</v>
      </c>
      <c r="L194" s="2489">
        <v>2</v>
      </c>
      <c r="M194" s="2399">
        <v>1</v>
      </c>
      <c r="N194" s="2399">
        <v>1</v>
      </c>
      <c r="O194" s="2399">
        <v>1</v>
      </c>
      <c r="P194" s="2399">
        <v>1</v>
      </c>
      <c r="Q194" s="2399">
        <v>1</v>
      </c>
      <c r="R194" s="2399">
        <v>1</v>
      </c>
      <c r="S194" s="2399">
        <v>1</v>
      </c>
      <c r="T194" s="2399">
        <v>1</v>
      </c>
      <c r="U194" s="2399">
        <v>1</v>
      </c>
      <c r="V194" s="2398">
        <v>194</v>
      </c>
      <c r="W194" s="2399">
        <v>1</v>
      </c>
      <c r="X194" s="2399">
        <v>1</v>
      </c>
      <c r="Y194" s="2398">
        <v>194</v>
      </c>
      <c r="Z194" s="2399">
        <v>1</v>
      </c>
      <c r="AA194" s="2489">
        <v>1</v>
      </c>
      <c r="AB194" s="2399">
        <v>1</v>
      </c>
      <c r="AC194" s="2399">
        <v>1</v>
      </c>
      <c r="AD194" s="2399">
        <v>5</v>
      </c>
      <c r="AE194" s="2398">
        <v>194</v>
      </c>
      <c r="AF194" s="2399">
        <v>1</v>
      </c>
      <c r="AG194" s="2399">
        <v>1</v>
      </c>
      <c r="AH194" s="2399">
        <v>1</v>
      </c>
      <c r="AI194" s="2399">
        <v>1</v>
      </c>
      <c r="AJ194" s="2399">
        <v>1</v>
      </c>
      <c r="AK194" s="2399">
        <v>1</v>
      </c>
      <c r="AL194" s="2399">
        <v>1</v>
      </c>
      <c r="AM194" s="2399">
        <v>5</v>
      </c>
      <c r="AN194" s="3507">
        <v>0</v>
      </c>
      <c r="AO194" s="2399" t="b">
        <v>0</v>
      </c>
      <c r="AP194" s="2399" t="b">
        <v>0</v>
      </c>
    </row>
    <row r="195" spans="1:42" x14ac:dyDescent="0.2">
      <c r="A195" s="574">
        <v>194</v>
      </c>
      <c r="B195" s="2398">
        <v>195</v>
      </c>
      <c r="C195" s="2398">
        <v>195</v>
      </c>
      <c r="D195" s="2398">
        <v>195</v>
      </c>
      <c r="E195" s="2398">
        <v>195</v>
      </c>
      <c r="F195" s="2398">
        <v>195</v>
      </c>
      <c r="G195" s="2398">
        <v>195</v>
      </c>
      <c r="H195" s="2398">
        <v>195</v>
      </c>
      <c r="I195" s="2398">
        <v>195</v>
      </c>
      <c r="J195" s="2398">
        <v>195</v>
      </c>
      <c r="K195" s="2398">
        <v>195</v>
      </c>
      <c r="L195" s="2489">
        <v>2</v>
      </c>
      <c r="M195" s="2399">
        <v>1</v>
      </c>
      <c r="N195" s="2399">
        <v>1</v>
      </c>
      <c r="O195" s="2399">
        <v>1</v>
      </c>
      <c r="P195" s="2399">
        <v>1</v>
      </c>
      <c r="Q195" s="2399">
        <v>1</v>
      </c>
      <c r="R195" s="2399">
        <v>1</v>
      </c>
      <c r="S195" s="2399">
        <v>1</v>
      </c>
      <c r="T195" s="2399">
        <v>1</v>
      </c>
      <c r="U195" s="2399">
        <v>1</v>
      </c>
      <c r="V195" s="2398">
        <v>195</v>
      </c>
      <c r="W195" s="2399">
        <v>1</v>
      </c>
      <c r="X195" s="2399">
        <v>1</v>
      </c>
      <c r="Y195" s="2399">
        <v>1</v>
      </c>
      <c r="Z195" s="2399">
        <v>1</v>
      </c>
      <c r="AA195" s="2489">
        <v>1</v>
      </c>
      <c r="AB195" s="2399">
        <v>1</v>
      </c>
      <c r="AC195" s="2399">
        <v>1</v>
      </c>
      <c r="AD195" s="2399">
        <v>1</v>
      </c>
      <c r="AE195" s="2399">
        <v>1</v>
      </c>
      <c r="AF195" s="2399">
        <v>1</v>
      </c>
      <c r="AG195" s="2399">
        <v>1</v>
      </c>
      <c r="AH195" s="2399">
        <v>1</v>
      </c>
      <c r="AI195" s="2399">
        <v>1</v>
      </c>
      <c r="AJ195" s="2399">
        <v>1</v>
      </c>
      <c r="AK195" s="2399">
        <v>1</v>
      </c>
      <c r="AL195" s="2399">
        <v>1</v>
      </c>
      <c r="AM195" s="2399">
        <v>5</v>
      </c>
      <c r="AN195" s="3507">
        <v>0</v>
      </c>
      <c r="AO195" s="2399" t="b">
        <v>0</v>
      </c>
      <c r="AP195" s="2399" t="b">
        <v>0</v>
      </c>
    </row>
    <row r="196" spans="1:42" x14ac:dyDescent="0.2">
      <c r="A196" s="574">
        <v>195</v>
      </c>
      <c r="B196" s="2398">
        <v>196</v>
      </c>
      <c r="C196" s="2399">
        <v>1</v>
      </c>
      <c r="D196" s="2398">
        <v>196</v>
      </c>
      <c r="E196" s="2398">
        <v>196</v>
      </c>
      <c r="F196" s="2398">
        <v>196</v>
      </c>
      <c r="G196" s="2398">
        <v>196</v>
      </c>
      <c r="H196" s="2398">
        <v>196</v>
      </c>
      <c r="I196" s="2398">
        <v>196</v>
      </c>
      <c r="J196" s="2398">
        <v>196</v>
      </c>
      <c r="K196" s="2398">
        <v>196</v>
      </c>
      <c r="L196" s="2489">
        <v>2</v>
      </c>
      <c r="M196" s="2399">
        <v>1</v>
      </c>
      <c r="N196" s="2399">
        <v>1</v>
      </c>
      <c r="O196" s="2399">
        <v>1</v>
      </c>
      <c r="P196" s="2399">
        <v>1</v>
      </c>
      <c r="Q196" s="2399">
        <v>1</v>
      </c>
      <c r="R196" s="2399">
        <v>1</v>
      </c>
      <c r="S196" s="2399">
        <v>1</v>
      </c>
      <c r="T196" s="2399">
        <v>1</v>
      </c>
      <c r="U196" s="2399">
        <v>1</v>
      </c>
      <c r="V196" s="2398">
        <v>196</v>
      </c>
      <c r="W196" s="2399">
        <v>1</v>
      </c>
      <c r="X196" s="2399">
        <v>1</v>
      </c>
      <c r="Y196" s="2398">
        <v>196</v>
      </c>
      <c r="Z196" s="2399">
        <v>1</v>
      </c>
      <c r="AA196" s="2489">
        <v>1</v>
      </c>
      <c r="AB196" s="2399">
        <v>1</v>
      </c>
      <c r="AC196" s="2399">
        <v>1</v>
      </c>
      <c r="AD196" s="2399">
        <v>5</v>
      </c>
      <c r="AE196" s="2398">
        <v>196</v>
      </c>
      <c r="AF196" s="2399">
        <v>1</v>
      </c>
      <c r="AG196" s="2399">
        <v>1</v>
      </c>
      <c r="AH196" s="2399">
        <v>1</v>
      </c>
      <c r="AI196" s="2399">
        <v>1</v>
      </c>
      <c r="AJ196" s="2399">
        <v>1</v>
      </c>
      <c r="AK196" s="2399">
        <v>1</v>
      </c>
      <c r="AL196" s="2399">
        <v>1</v>
      </c>
      <c r="AM196" s="2399">
        <v>5</v>
      </c>
      <c r="AN196" s="3507">
        <v>0</v>
      </c>
      <c r="AO196" s="2399" t="b">
        <v>0</v>
      </c>
      <c r="AP196" s="2399" t="b">
        <v>0</v>
      </c>
    </row>
    <row r="197" spans="1:42" x14ac:dyDescent="0.2">
      <c r="A197" s="574">
        <v>196</v>
      </c>
      <c r="B197" s="2398">
        <v>197</v>
      </c>
      <c r="C197" s="2398">
        <v>197</v>
      </c>
      <c r="D197" s="2398">
        <v>197</v>
      </c>
      <c r="E197" s="2398">
        <v>197</v>
      </c>
      <c r="F197" s="2398">
        <v>197</v>
      </c>
      <c r="G197" s="2398">
        <v>197</v>
      </c>
      <c r="H197" s="2398">
        <v>197</v>
      </c>
      <c r="I197" s="2398">
        <v>197</v>
      </c>
      <c r="J197" s="2398">
        <v>197</v>
      </c>
      <c r="K197" s="2398">
        <v>197</v>
      </c>
      <c r="L197" s="2489">
        <v>2</v>
      </c>
      <c r="M197" s="2399">
        <v>1</v>
      </c>
      <c r="N197" s="2399">
        <v>1</v>
      </c>
      <c r="O197" s="2399">
        <v>1</v>
      </c>
      <c r="P197" s="2399">
        <v>1</v>
      </c>
      <c r="Q197" s="2399">
        <v>1</v>
      </c>
      <c r="R197" s="2399">
        <v>1</v>
      </c>
      <c r="S197" s="2399">
        <v>1</v>
      </c>
      <c r="T197" s="2399">
        <v>1</v>
      </c>
      <c r="U197" s="2399">
        <v>1</v>
      </c>
      <c r="V197" s="2398">
        <v>197</v>
      </c>
      <c r="W197" s="2399">
        <v>1</v>
      </c>
      <c r="X197" s="2399">
        <v>1</v>
      </c>
      <c r="Y197" s="2399">
        <v>1</v>
      </c>
      <c r="Z197" s="2399">
        <v>1</v>
      </c>
      <c r="AA197" s="2489">
        <v>1</v>
      </c>
      <c r="AB197" s="2399">
        <v>1</v>
      </c>
      <c r="AC197" s="2399">
        <v>1</v>
      </c>
      <c r="AD197" s="2399">
        <v>1</v>
      </c>
      <c r="AE197" s="2399">
        <v>1</v>
      </c>
      <c r="AF197" s="2399">
        <v>1</v>
      </c>
      <c r="AG197" s="2399">
        <v>1</v>
      </c>
      <c r="AH197" s="2399">
        <v>1</v>
      </c>
      <c r="AI197" s="2399">
        <v>1</v>
      </c>
      <c r="AJ197" s="2399">
        <v>1</v>
      </c>
      <c r="AK197" s="2399">
        <v>1</v>
      </c>
      <c r="AL197" s="2399">
        <v>1</v>
      </c>
      <c r="AM197" s="2399">
        <v>5</v>
      </c>
      <c r="AN197" s="3507">
        <v>0</v>
      </c>
      <c r="AO197" s="2399" t="b">
        <v>0</v>
      </c>
      <c r="AP197" s="2399" t="b">
        <v>0</v>
      </c>
    </row>
    <row r="198" spans="1:42" x14ac:dyDescent="0.2">
      <c r="A198" s="574">
        <v>197</v>
      </c>
      <c r="B198" s="2398">
        <v>198</v>
      </c>
      <c r="C198" s="2398">
        <v>198</v>
      </c>
      <c r="D198" s="2398">
        <v>198</v>
      </c>
      <c r="E198" s="2398">
        <v>198</v>
      </c>
      <c r="F198" s="2398">
        <v>198</v>
      </c>
      <c r="G198" s="2398">
        <v>198</v>
      </c>
      <c r="H198" s="2398">
        <v>198</v>
      </c>
      <c r="I198" s="2398">
        <v>198</v>
      </c>
      <c r="J198" s="2398">
        <v>198</v>
      </c>
      <c r="K198" s="2398">
        <v>198</v>
      </c>
      <c r="L198" s="2489">
        <v>2</v>
      </c>
      <c r="M198" s="2399">
        <v>1</v>
      </c>
      <c r="N198" s="2399">
        <v>1</v>
      </c>
      <c r="O198" s="2399">
        <v>1</v>
      </c>
      <c r="P198" s="2399">
        <v>1</v>
      </c>
      <c r="Q198" s="2399">
        <v>1</v>
      </c>
      <c r="R198" s="2399">
        <v>1</v>
      </c>
      <c r="S198" s="2398">
        <v>198</v>
      </c>
      <c r="T198" s="2399">
        <v>1</v>
      </c>
      <c r="U198" s="2398">
        <v>198</v>
      </c>
      <c r="V198" s="2398">
        <v>198</v>
      </c>
      <c r="W198" s="2399">
        <v>1</v>
      </c>
      <c r="X198" s="2399">
        <v>1</v>
      </c>
      <c r="Y198" s="2399">
        <v>1</v>
      </c>
      <c r="Z198" s="2399">
        <v>1</v>
      </c>
      <c r="AA198" s="2489">
        <v>1</v>
      </c>
      <c r="AB198" s="2399">
        <v>1</v>
      </c>
      <c r="AC198" s="2399">
        <v>1</v>
      </c>
      <c r="AD198" s="2399">
        <v>1</v>
      </c>
      <c r="AE198" s="2399">
        <v>1</v>
      </c>
      <c r="AF198" s="2399">
        <v>1</v>
      </c>
      <c r="AG198" s="2399">
        <v>1</v>
      </c>
      <c r="AH198" s="2399">
        <v>1</v>
      </c>
      <c r="AI198" s="2399">
        <v>1</v>
      </c>
      <c r="AJ198" s="2399">
        <v>1</v>
      </c>
      <c r="AK198" s="2399">
        <v>1</v>
      </c>
      <c r="AL198" s="2399">
        <v>1</v>
      </c>
      <c r="AM198" s="2399">
        <v>4</v>
      </c>
      <c r="AN198" s="2409">
        <v>0</v>
      </c>
      <c r="AO198" s="2399" t="b">
        <v>0</v>
      </c>
      <c r="AP198" s="2399" t="b">
        <v>0</v>
      </c>
    </row>
    <row r="199" spans="1:42" x14ac:dyDescent="0.2">
      <c r="A199" s="574">
        <v>198</v>
      </c>
      <c r="B199" s="2398">
        <v>199</v>
      </c>
      <c r="C199" s="2398">
        <v>199</v>
      </c>
      <c r="D199" s="2398">
        <v>199</v>
      </c>
      <c r="E199" s="2398">
        <v>199</v>
      </c>
      <c r="F199" s="2398">
        <v>199</v>
      </c>
      <c r="G199" s="2398">
        <v>199</v>
      </c>
      <c r="H199" s="2398">
        <v>199</v>
      </c>
      <c r="I199" s="2398">
        <v>199</v>
      </c>
      <c r="J199" s="2398">
        <v>199</v>
      </c>
      <c r="K199" s="2398">
        <v>199</v>
      </c>
      <c r="L199" s="2489">
        <v>2</v>
      </c>
      <c r="M199" s="2398">
        <v>199</v>
      </c>
      <c r="N199" s="2399">
        <v>1</v>
      </c>
      <c r="O199" s="2399">
        <v>1</v>
      </c>
      <c r="P199" s="2399">
        <v>1</v>
      </c>
      <c r="Q199" s="2399">
        <v>1</v>
      </c>
      <c r="R199" s="2399">
        <v>1</v>
      </c>
      <c r="S199" s="2399">
        <v>1</v>
      </c>
      <c r="T199" s="2399">
        <v>1</v>
      </c>
      <c r="U199" s="2398">
        <v>199</v>
      </c>
      <c r="V199" s="2399">
        <v>1</v>
      </c>
      <c r="W199" s="2399">
        <v>1</v>
      </c>
      <c r="X199" s="2399">
        <v>1</v>
      </c>
      <c r="Y199" s="2399">
        <v>1</v>
      </c>
      <c r="Z199" s="2399">
        <v>1</v>
      </c>
      <c r="AA199" s="2489">
        <v>1</v>
      </c>
      <c r="AB199" s="2399">
        <v>1</v>
      </c>
      <c r="AC199" s="2399">
        <v>1</v>
      </c>
      <c r="AD199" s="2399">
        <v>1</v>
      </c>
      <c r="AE199" s="2399">
        <v>1</v>
      </c>
      <c r="AF199" s="2399">
        <v>1</v>
      </c>
      <c r="AG199" s="2399">
        <v>1</v>
      </c>
      <c r="AH199" s="2399">
        <v>1</v>
      </c>
      <c r="AI199" s="2399">
        <v>1</v>
      </c>
      <c r="AJ199" s="2399">
        <v>1</v>
      </c>
      <c r="AK199" s="2399">
        <v>1</v>
      </c>
      <c r="AL199" s="2399">
        <v>1</v>
      </c>
      <c r="AM199" s="2399">
        <v>4</v>
      </c>
      <c r="AN199" s="2409">
        <v>0</v>
      </c>
      <c r="AO199" s="2399" t="b">
        <v>0</v>
      </c>
      <c r="AP199" s="2399" t="b">
        <v>0</v>
      </c>
    </row>
    <row r="200" spans="1:42" x14ac:dyDescent="0.2">
      <c r="A200" s="574">
        <v>199</v>
      </c>
      <c r="B200" s="2398">
        <v>200</v>
      </c>
      <c r="C200" s="2398">
        <v>200</v>
      </c>
      <c r="D200" s="2398">
        <v>200</v>
      </c>
      <c r="E200" s="2398">
        <v>200</v>
      </c>
      <c r="F200" s="2398">
        <v>200</v>
      </c>
      <c r="G200" s="2398">
        <v>200</v>
      </c>
      <c r="H200" s="2398">
        <v>200</v>
      </c>
      <c r="I200" s="2398">
        <v>200</v>
      </c>
      <c r="J200" s="2398">
        <v>200</v>
      </c>
      <c r="K200" s="2398">
        <v>200</v>
      </c>
      <c r="L200" s="2489">
        <v>2</v>
      </c>
      <c r="M200" s="2399">
        <v>1</v>
      </c>
      <c r="N200" s="2398">
        <v>200</v>
      </c>
      <c r="O200" s="2398">
        <v>200</v>
      </c>
      <c r="P200" s="2399">
        <v>1</v>
      </c>
      <c r="Q200" s="2399">
        <v>1</v>
      </c>
      <c r="R200" s="2399">
        <v>1</v>
      </c>
      <c r="S200" s="2399">
        <v>1</v>
      </c>
      <c r="T200" s="2399">
        <v>1</v>
      </c>
      <c r="U200" s="2398">
        <v>200</v>
      </c>
      <c r="V200" s="2399">
        <v>1</v>
      </c>
      <c r="W200" s="2399">
        <v>1</v>
      </c>
      <c r="X200" s="2399">
        <v>1</v>
      </c>
      <c r="Y200" s="2399">
        <v>1</v>
      </c>
      <c r="Z200" s="2399">
        <v>1</v>
      </c>
      <c r="AA200" s="2489">
        <v>1</v>
      </c>
      <c r="AB200" s="2399">
        <v>1</v>
      </c>
      <c r="AC200" s="2399">
        <v>1</v>
      </c>
      <c r="AD200" s="2399">
        <v>1</v>
      </c>
      <c r="AE200" s="2399">
        <v>1</v>
      </c>
      <c r="AF200" s="2399">
        <v>1</v>
      </c>
      <c r="AG200" s="2399">
        <v>1</v>
      </c>
      <c r="AH200" s="2399">
        <v>1</v>
      </c>
      <c r="AI200" s="2399">
        <v>1</v>
      </c>
      <c r="AJ200" s="2398">
        <v>200</v>
      </c>
      <c r="AK200" s="2399">
        <v>1</v>
      </c>
      <c r="AL200" s="2399">
        <v>1</v>
      </c>
      <c r="AM200" s="2399">
        <v>4</v>
      </c>
      <c r="AN200" s="2409">
        <v>0</v>
      </c>
      <c r="AO200" s="2399" t="b">
        <v>0</v>
      </c>
      <c r="AP200" s="2399" t="b">
        <v>0</v>
      </c>
    </row>
    <row r="201" spans="1:42" x14ac:dyDescent="0.2">
      <c r="A201" s="574">
        <v>200</v>
      </c>
      <c r="B201" s="2398">
        <v>201</v>
      </c>
      <c r="C201" s="2399">
        <v>1</v>
      </c>
      <c r="D201" s="2398">
        <v>201</v>
      </c>
      <c r="E201" s="2398">
        <v>201</v>
      </c>
      <c r="F201" s="2398">
        <v>201</v>
      </c>
      <c r="G201" s="2398">
        <v>201</v>
      </c>
      <c r="H201" s="2398">
        <v>201</v>
      </c>
      <c r="I201" s="2398">
        <v>201</v>
      </c>
      <c r="J201" s="2398">
        <v>201</v>
      </c>
      <c r="K201" s="2398">
        <v>201</v>
      </c>
      <c r="L201" s="2489">
        <v>2</v>
      </c>
      <c r="M201" s="2399">
        <v>1</v>
      </c>
      <c r="N201" s="2399">
        <v>1</v>
      </c>
      <c r="O201" s="2399">
        <v>1</v>
      </c>
      <c r="P201" s="2399">
        <v>1</v>
      </c>
      <c r="Q201" s="2399">
        <v>1</v>
      </c>
      <c r="R201" s="2399">
        <v>1</v>
      </c>
      <c r="S201" s="2399">
        <v>1</v>
      </c>
      <c r="T201" s="2399">
        <v>1</v>
      </c>
      <c r="U201" s="2399">
        <v>1</v>
      </c>
      <c r="V201" s="2398">
        <v>201</v>
      </c>
      <c r="W201" s="2399">
        <v>1</v>
      </c>
      <c r="X201" s="2399">
        <v>1</v>
      </c>
      <c r="Y201" s="2399">
        <v>1</v>
      </c>
      <c r="Z201" s="2399">
        <v>1</v>
      </c>
      <c r="AA201" s="2489">
        <v>1</v>
      </c>
      <c r="AB201" s="2399">
        <v>1</v>
      </c>
      <c r="AC201" s="2399">
        <v>1</v>
      </c>
      <c r="AD201" s="2399">
        <v>1</v>
      </c>
      <c r="AE201" s="2399">
        <v>1</v>
      </c>
      <c r="AF201" s="2399">
        <v>1</v>
      </c>
      <c r="AG201" s="2399">
        <v>1</v>
      </c>
      <c r="AH201" s="2399">
        <v>1</v>
      </c>
      <c r="AI201" s="2399">
        <v>1</v>
      </c>
      <c r="AJ201" s="2399">
        <v>1</v>
      </c>
      <c r="AK201" s="2399">
        <v>1</v>
      </c>
      <c r="AL201" s="2399">
        <v>1</v>
      </c>
      <c r="AM201" s="2399">
        <v>3</v>
      </c>
      <c r="AN201" s="2409">
        <v>0</v>
      </c>
      <c r="AO201" s="2399" t="b">
        <v>1</v>
      </c>
      <c r="AP201" s="2399" t="b">
        <v>0</v>
      </c>
    </row>
    <row r="202" spans="1:42" x14ac:dyDescent="0.2">
      <c r="A202" s="574">
        <v>201</v>
      </c>
      <c r="B202" s="2398">
        <v>202</v>
      </c>
      <c r="C202" s="2398">
        <v>202</v>
      </c>
      <c r="D202" s="2398">
        <v>202</v>
      </c>
      <c r="E202" s="2398">
        <v>202</v>
      </c>
      <c r="F202" s="2398">
        <v>202</v>
      </c>
      <c r="G202" s="2398">
        <v>202</v>
      </c>
      <c r="H202" s="2398">
        <v>202</v>
      </c>
      <c r="I202" s="2398">
        <v>202</v>
      </c>
      <c r="J202" s="2398">
        <v>202</v>
      </c>
      <c r="K202" s="2398">
        <v>202</v>
      </c>
      <c r="L202" s="2489">
        <v>2</v>
      </c>
      <c r="M202" s="2399">
        <v>1</v>
      </c>
      <c r="N202" s="2398">
        <v>202</v>
      </c>
      <c r="O202" s="2398">
        <v>202</v>
      </c>
      <c r="P202" s="2399">
        <v>1</v>
      </c>
      <c r="Q202" s="2399">
        <v>1</v>
      </c>
      <c r="R202" s="2399">
        <v>1</v>
      </c>
      <c r="S202" s="2399">
        <v>1</v>
      </c>
      <c r="T202" s="2399">
        <v>1</v>
      </c>
      <c r="U202" s="2399">
        <v>1</v>
      </c>
      <c r="V202" s="2398">
        <v>202</v>
      </c>
      <c r="W202" s="2398">
        <v>202</v>
      </c>
      <c r="X202" s="2399">
        <v>1</v>
      </c>
      <c r="Y202" s="2398">
        <v>202</v>
      </c>
      <c r="Z202" s="2399">
        <v>1</v>
      </c>
      <c r="AA202" s="2489">
        <v>1</v>
      </c>
      <c r="AB202" s="2399">
        <v>1</v>
      </c>
      <c r="AC202" s="2398">
        <v>202</v>
      </c>
      <c r="AD202" s="2399">
        <v>5</v>
      </c>
      <c r="AE202" s="2398">
        <v>202</v>
      </c>
      <c r="AF202" s="2398">
        <v>202</v>
      </c>
      <c r="AG202" s="2399">
        <v>1</v>
      </c>
      <c r="AH202" s="2399">
        <v>1</v>
      </c>
      <c r="AI202" s="2399">
        <v>3</v>
      </c>
      <c r="AJ202" s="2399">
        <v>1</v>
      </c>
      <c r="AK202" s="2399">
        <v>1</v>
      </c>
      <c r="AL202" s="2399">
        <v>1</v>
      </c>
      <c r="AM202" s="2399">
        <v>7</v>
      </c>
      <c r="AN202" s="3507">
        <v>0</v>
      </c>
      <c r="AO202" s="2399" t="b">
        <v>0</v>
      </c>
      <c r="AP202" s="2399" t="b">
        <v>0</v>
      </c>
    </row>
    <row r="203" spans="1:42" x14ac:dyDescent="0.2">
      <c r="A203" s="574">
        <v>202</v>
      </c>
      <c r="B203" s="2398">
        <v>203</v>
      </c>
      <c r="C203" s="2399">
        <v>1</v>
      </c>
      <c r="D203" s="2398">
        <v>203</v>
      </c>
      <c r="E203" s="2398">
        <v>203</v>
      </c>
      <c r="F203" s="2398">
        <v>203</v>
      </c>
      <c r="G203" s="2398">
        <v>203</v>
      </c>
      <c r="H203" s="2398">
        <v>203</v>
      </c>
      <c r="I203" s="2398">
        <v>203</v>
      </c>
      <c r="J203" s="2398">
        <v>203</v>
      </c>
      <c r="K203" s="2398">
        <v>203</v>
      </c>
      <c r="L203" s="2489">
        <v>2</v>
      </c>
      <c r="M203" s="2399">
        <v>1</v>
      </c>
      <c r="N203" s="2399">
        <v>1</v>
      </c>
      <c r="O203" s="2399">
        <v>1</v>
      </c>
      <c r="P203" s="2399">
        <v>1</v>
      </c>
      <c r="Q203" s="2399">
        <v>1</v>
      </c>
      <c r="R203" s="2399">
        <v>1</v>
      </c>
      <c r="S203" s="2398">
        <v>203</v>
      </c>
      <c r="T203" s="2399">
        <v>1</v>
      </c>
      <c r="U203" s="2398">
        <v>203</v>
      </c>
      <c r="V203" s="2398">
        <v>203</v>
      </c>
      <c r="W203" s="2398">
        <v>203</v>
      </c>
      <c r="X203" s="2399">
        <v>1</v>
      </c>
      <c r="Y203" s="2399">
        <v>1</v>
      </c>
      <c r="Z203" s="2398">
        <v>203</v>
      </c>
      <c r="AA203" s="2489">
        <v>1</v>
      </c>
      <c r="AB203" s="2399">
        <v>1</v>
      </c>
      <c r="AC203" s="2399">
        <v>1</v>
      </c>
      <c r="AD203" s="2399">
        <v>7</v>
      </c>
      <c r="AE203" s="2398">
        <v>203</v>
      </c>
      <c r="AF203" s="2398">
        <v>203</v>
      </c>
      <c r="AG203" s="2399">
        <v>1</v>
      </c>
      <c r="AH203" s="2399">
        <v>1</v>
      </c>
      <c r="AI203" s="2399">
        <v>1</v>
      </c>
      <c r="AJ203" s="2399">
        <v>1</v>
      </c>
      <c r="AK203" s="2399">
        <v>1</v>
      </c>
      <c r="AL203" s="2399">
        <v>1</v>
      </c>
      <c r="AM203" s="2399">
        <v>7</v>
      </c>
      <c r="AN203" s="3507">
        <v>0</v>
      </c>
      <c r="AO203" s="2399" t="b">
        <v>0</v>
      </c>
      <c r="AP203" s="2399" t="b">
        <v>1</v>
      </c>
    </row>
    <row r="204" spans="1:42" x14ac:dyDescent="0.2">
      <c r="A204" s="574">
        <v>203</v>
      </c>
      <c r="B204" s="2398">
        <v>204</v>
      </c>
      <c r="C204" s="2398">
        <v>204</v>
      </c>
      <c r="D204" s="2398">
        <v>204</v>
      </c>
      <c r="E204" s="2398">
        <v>204</v>
      </c>
      <c r="F204" s="2398">
        <v>204</v>
      </c>
      <c r="G204" s="2398">
        <v>204</v>
      </c>
      <c r="H204" s="2398">
        <v>204</v>
      </c>
      <c r="I204" s="2398">
        <v>204</v>
      </c>
      <c r="J204" s="2398">
        <v>204</v>
      </c>
      <c r="K204" s="2398">
        <v>204</v>
      </c>
      <c r="L204" s="2489">
        <v>2</v>
      </c>
      <c r="M204" s="2399">
        <v>1</v>
      </c>
      <c r="N204" s="2399">
        <v>1</v>
      </c>
      <c r="O204" s="2399">
        <v>1</v>
      </c>
      <c r="P204" s="2399">
        <v>1</v>
      </c>
      <c r="Q204" s="2399">
        <v>1</v>
      </c>
      <c r="R204" s="2399">
        <v>1</v>
      </c>
      <c r="S204" s="2399">
        <v>1</v>
      </c>
      <c r="T204" s="2399">
        <v>1</v>
      </c>
      <c r="U204" s="2399">
        <v>1</v>
      </c>
      <c r="V204" s="2399">
        <v>1</v>
      </c>
      <c r="W204" s="2399">
        <v>1</v>
      </c>
      <c r="X204" s="2399">
        <v>1</v>
      </c>
      <c r="Y204" s="2399">
        <v>1</v>
      </c>
      <c r="Z204" s="2399">
        <v>1</v>
      </c>
      <c r="AA204" s="2489">
        <v>1</v>
      </c>
      <c r="AB204" s="2399">
        <v>1</v>
      </c>
      <c r="AC204" s="2398">
        <v>204</v>
      </c>
      <c r="AD204" s="2399">
        <v>5</v>
      </c>
      <c r="AE204" s="2399">
        <v>1</v>
      </c>
      <c r="AF204" s="2399">
        <v>1</v>
      </c>
      <c r="AG204" s="2399">
        <v>1</v>
      </c>
      <c r="AH204" s="2399">
        <v>1</v>
      </c>
      <c r="AI204" s="2399">
        <v>1</v>
      </c>
      <c r="AJ204" s="2399">
        <v>1</v>
      </c>
      <c r="AK204" s="2399">
        <v>1</v>
      </c>
      <c r="AL204" s="2399">
        <v>1</v>
      </c>
      <c r="AM204" s="2399">
        <v>7</v>
      </c>
      <c r="AN204" s="3507">
        <v>0</v>
      </c>
      <c r="AO204" s="2399" t="b">
        <v>0</v>
      </c>
      <c r="AP204" s="2399" t="b">
        <v>1</v>
      </c>
    </row>
    <row r="205" spans="1:42" x14ac:dyDescent="0.2">
      <c r="A205" s="574">
        <v>204</v>
      </c>
      <c r="B205" s="2398">
        <v>205</v>
      </c>
      <c r="C205" s="2398">
        <v>205</v>
      </c>
      <c r="D205" s="2398">
        <v>205</v>
      </c>
      <c r="E205" s="2398">
        <v>205</v>
      </c>
      <c r="F205" s="2398">
        <v>205</v>
      </c>
      <c r="G205" s="2398">
        <v>205</v>
      </c>
      <c r="H205" s="2398">
        <v>205</v>
      </c>
      <c r="I205" s="2398">
        <v>205</v>
      </c>
      <c r="J205" s="2398">
        <v>205</v>
      </c>
      <c r="K205" s="2398">
        <v>205</v>
      </c>
      <c r="L205" s="2489">
        <v>2</v>
      </c>
      <c r="M205" s="2399">
        <v>1</v>
      </c>
      <c r="N205" s="2399">
        <v>1</v>
      </c>
      <c r="O205" s="2399">
        <v>1</v>
      </c>
      <c r="P205" s="2399">
        <v>1</v>
      </c>
      <c r="Q205" s="2399">
        <v>1</v>
      </c>
      <c r="R205" s="2398">
        <v>205</v>
      </c>
      <c r="S205" s="2399">
        <v>1</v>
      </c>
      <c r="T205" s="2399">
        <v>1</v>
      </c>
      <c r="U205" s="2398">
        <v>205</v>
      </c>
      <c r="V205" s="2398">
        <v>205</v>
      </c>
      <c r="W205" s="2399">
        <v>1</v>
      </c>
      <c r="X205" s="2399">
        <v>1</v>
      </c>
      <c r="Y205" s="2399">
        <v>1</v>
      </c>
      <c r="Z205" s="2399">
        <v>1</v>
      </c>
      <c r="AA205" s="2489">
        <v>1</v>
      </c>
      <c r="AB205" s="2398">
        <v>205</v>
      </c>
      <c r="AC205" s="2399">
        <v>1</v>
      </c>
      <c r="AD205" s="2399">
        <v>5</v>
      </c>
      <c r="AE205" s="2398">
        <v>205</v>
      </c>
      <c r="AF205" s="2399">
        <v>1</v>
      </c>
      <c r="AG205" s="2399">
        <v>1</v>
      </c>
      <c r="AH205" s="2399">
        <v>1</v>
      </c>
      <c r="AI205" s="2399">
        <v>1</v>
      </c>
      <c r="AJ205" s="2399">
        <v>1</v>
      </c>
      <c r="AK205" s="2399">
        <v>1</v>
      </c>
      <c r="AL205" s="2399">
        <v>1</v>
      </c>
      <c r="AM205" s="2399">
        <v>7</v>
      </c>
      <c r="AN205" s="3507">
        <v>0</v>
      </c>
      <c r="AO205" s="2399" t="b">
        <v>0</v>
      </c>
      <c r="AP205" s="2399" t="b">
        <v>1</v>
      </c>
    </row>
    <row r="206" spans="1:42" x14ac:dyDescent="0.2">
      <c r="A206" s="574">
        <v>205</v>
      </c>
      <c r="B206" s="2398">
        <v>206</v>
      </c>
      <c r="C206" s="2399">
        <v>1</v>
      </c>
      <c r="D206" s="2398">
        <v>206</v>
      </c>
      <c r="E206" s="2398">
        <v>206</v>
      </c>
      <c r="F206" s="2398">
        <v>206</v>
      </c>
      <c r="G206" s="2398">
        <v>206</v>
      </c>
      <c r="H206" s="2398">
        <v>206</v>
      </c>
      <c r="I206" s="2398">
        <v>206</v>
      </c>
      <c r="J206" s="2398">
        <v>206</v>
      </c>
      <c r="K206" s="2398">
        <v>206</v>
      </c>
      <c r="L206" s="2489">
        <v>2</v>
      </c>
      <c r="M206" s="2399">
        <v>1</v>
      </c>
      <c r="N206" s="2399">
        <v>1</v>
      </c>
      <c r="O206" s="2399">
        <v>1</v>
      </c>
      <c r="P206" s="2399">
        <v>1</v>
      </c>
      <c r="Q206" s="2399">
        <v>1</v>
      </c>
      <c r="R206" s="2399">
        <v>1</v>
      </c>
      <c r="S206" s="2399">
        <v>1</v>
      </c>
      <c r="T206" s="2399">
        <v>1</v>
      </c>
      <c r="U206" s="2398">
        <v>206</v>
      </c>
      <c r="V206" s="2398">
        <v>206</v>
      </c>
      <c r="W206" s="2399">
        <v>1</v>
      </c>
      <c r="X206" s="2399">
        <v>1</v>
      </c>
      <c r="Y206" s="2399">
        <v>1</v>
      </c>
      <c r="Z206" s="2399">
        <v>1</v>
      </c>
      <c r="AA206" s="2489">
        <v>1</v>
      </c>
      <c r="AB206" s="2398">
        <v>206</v>
      </c>
      <c r="AC206" s="2399">
        <v>1</v>
      </c>
      <c r="AD206" s="2399">
        <v>5</v>
      </c>
      <c r="AE206" s="2398">
        <v>206</v>
      </c>
      <c r="AF206" s="2399">
        <v>1</v>
      </c>
      <c r="AG206" s="2399">
        <v>1</v>
      </c>
      <c r="AH206" s="2399">
        <v>1</v>
      </c>
      <c r="AI206" s="2399">
        <v>1</v>
      </c>
      <c r="AJ206" s="2399">
        <v>1</v>
      </c>
      <c r="AK206" s="2399">
        <v>4</v>
      </c>
      <c r="AL206" s="2399">
        <v>1</v>
      </c>
      <c r="AM206" s="2399">
        <v>7</v>
      </c>
      <c r="AN206" s="3507">
        <v>0</v>
      </c>
      <c r="AO206" s="2399" t="b">
        <v>0</v>
      </c>
      <c r="AP206" s="2399" t="b">
        <v>1</v>
      </c>
    </row>
    <row r="207" spans="1:42" x14ac:dyDescent="0.2">
      <c r="A207" s="574">
        <v>206</v>
      </c>
      <c r="B207" s="2398">
        <v>207</v>
      </c>
      <c r="C207" s="2399">
        <v>1</v>
      </c>
      <c r="D207" s="2398">
        <v>207</v>
      </c>
      <c r="E207" s="2398">
        <v>207</v>
      </c>
      <c r="F207" s="2398">
        <v>207</v>
      </c>
      <c r="G207" s="2398">
        <v>207</v>
      </c>
      <c r="H207" s="2398">
        <v>207</v>
      </c>
      <c r="I207" s="2398">
        <v>207</v>
      </c>
      <c r="J207" s="2398">
        <v>207</v>
      </c>
      <c r="K207" s="2398">
        <v>207</v>
      </c>
      <c r="L207" s="2489">
        <v>2</v>
      </c>
      <c r="M207" s="2399">
        <v>1</v>
      </c>
      <c r="N207" s="2399">
        <v>1</v>
      </c>
      <c r="O207" s="2399">
        <v>1</v>
      </c>
      <c r="P207" s="2399">
        <v>1</v>
      </c>
      <c r="Q207" s="2399">
        <v>1</v>
      </c>
      <c r="R207" s="2399">
        <v>1</v>
      </c>
      <c r="S207" s="2399">
        <v>1</v>
      </c>
      <c r="T207" s="2399">
        <v>1</v>
      </c>
      <c r="U207" s="2399">
        <v>1</v>
      </c>
      <c r="V207" s="2398">
        <v>207</v>
      </c>
      <c r="W207" s="2398">
        <v>207</v>
      </c>
      <c r="X207" s="2399">
        <v>1</v>
      </c>
      <c r="Y207" s="2398">
        <v>207</v>
      </c>
      <c r="Z207" s="2398">
        <v>207</v>
      </c>
      <c r="AA207" s="2489">
        <v>1</v>
      </c>
      <c r="AB207" s="2398">
        <v>207</v>
      </c>
      <c r="AC207" s="2399">
        <v>1</v>
      </c>
      <c r="AD207" s="3125">
        <v>12</v>
      </c>
      <c r="AE207" s="2398">
        <v>207</v>
      </c>
      <c r="AF207" s="2398">
        <v>207</v>
      </c>
      <c r="AG207" s="2399">
        <v>1</v>
      </c>
      <c r="AH207" s="2399">
        <v>1</v>
      </c>
      <c r="AI207" s="2399">
        <v>1</v>
      </c>
      <c r="AJ207" s="2399">
        <v>7</v>
      </c>
      <c r="AK207" s="2399">
        <v>1</v>
      </c>
      <c r="AL207" s="2399">
        <v>1</v>
      </c>
      <c r="AM207" s="2399">
        <v>7</v>
      </c>
      <c r="AN207" s="3507">
        <v>0</v>
      </c>
      <c r="AO207" s="2399" t="b">
        <v>0</v>
      </c>
      <c r="AP207" s="2399" t="b">
        <v>0</v>
      </c>
    </row>
    <row r="208" spans="1:42" x14ac:dyDescent="0.2">
      <c r="A208" s="574">
        <v>207</v>
      </c>
      <c r="B208" s="2398">
        <v>208</v>
      </c>
      <c r="C208" s="2399">
        <v>1</v>
      </c>
      <c r="D208" s="2398">
        <v>208</v>
      </c>
      <c r="E208" s="2398">
        <v>208</v>
      </c>
      <c r="F208" s="2398">
        <v>208</v>
      </c>
      <c r="G208" s="2398">
        <v>208</v>
      </c>
      <c r="H208" s="2398">
        <v>208</v>
      </c>
      <c r="I208" s="2398">
        <v>208</v>
      </c>
      <c r="J208" s="2398">
        <v>208</v>
      </c>
      <c r="K208" s="2398">
        <v>208</v>
      </c>
      <c r="L208" s="2489">
        <v>2</v>
      </c>
      <c r="M208" s="2399">
        <v>1</v>
      </c>
      <c r="N208" s="2399">
        <v>1</v>
      </c>
      <c r="O208" s="2399">
        <v>1</v>
      </c>
      <c r="P208" s="2399">
        <v>1</v>
      </c>
      <c r="Q208" s="2399">
        <v>1</v>
      </c>
      <c r="R208" s="2399">
        <v>1</v>
      </c>
      <c r="S208" s="2398">
        <v>208</v>
      </c>
      <c r="T208" s="2399">
        <v>1</v>
      </c>
      <c r="U208" s="2399">
        <v>1</v>
      </c>
      <c r="V208" s="2399">
        <v>1</v>
      </c>
      <c r="W208" s="2399">
        <v>1</v>
      </c>
      <c r="X208" s="2399">
        <v>1</v>
      </c>
      <c r="Y208" s="2399">
        <v>1</v>
      </c>
      <c r="Z208" s="2398">
        <v>208</v>
      </c>
      <c r="AA208" s="2489">
        <v>1</v>
      </c>
      <c r="AB208" s="2399">
        <v>1</v>
      </c>
      <c r="AC208" s="2399">
        <v>1</v>
      </c>
      <c r="AD208" s="2399">
        <v>5</v>
      </c>
      <c r="AE208" s="2399">
        <v>1</v>
      </c>
      <c r="AF208" s="2399">
        <v>1</v>
      </c>
      <c r="AG208" s="2399">
        <v>1</v>
      </c>
      <c r="AH208" s="2399">
        <v>1</v>
      </c>
      <c r="AI208" s="2399">
        <v>1</v>
      </c>
      <c r="AJ208" s="2399">
        <v>1</v>
      </c>
      <c r="AK208" s="2399">
        <v>1</v>
      </c>
      <c r="AL208" s="2399">
        <v>8</v>
      </c>
      <c r="AM208" s="2399">
        <v>7</v>
      </c>
      <c r="AN208" s="3507">
        <v>0</v>
      </c>
      <c r="AO208" s="2399" t="b">
        <v>0</v>
      </c>
      <c r="AP208" s="2399" t="b">
        <v>0</v>
      </c>
    </row>
    <row r="209" spans="1:42" x14ac:dyDescent="0.2">
      <c r="A209" s="574">
        <v>208</v>
      </c>
      <c r="B209" s="2398">
        <v>209</v>
      </c>
      <c r="C209" s="2398">
        <v>209</v>
      </c>
      <c r="D209" s="2398">
        <v>209</v>
      </c>
      <c r="E209" s="2398">
        <v>209</v>
      </c>
      <c r="F209" s="2398">
        <v>209</v>
      </c>
      <c r="G209" s="2398">
        <v>209</v>
      </c>
      <c r="H209" s="2398">
        <v>209</v>
      </c>
      <c r="I209" s="2398">
        <v>209</v>
      </c>
      <c r="J209" s="2398">
        <v>209</v>
      </c>
      <c r="K209" s="2398">
        <v>209</v>
      </c>
      <c r="L209" s="2489">
        <v>2</v>
      </c>
      <c r="M209" s="2399">
        <v>1</v>
      </c>
      <c r="N209" s="2399">
        <v>1</v>
      </c>
      <c r="O209" s="2399">
        <v>1</v>
      </c>
      <c r="P209" s="2399">
        <v>1</v>
      </c>
      <c r="Q209" s="2399">
        <v>1</v>
      </c>
      <c r="R209" s="2399">
        <v>1</v>
      </c>
      <c r="S209" s="2399">
        <v>1</v>
      </c>
      <c r="T209" s="2399">
        <v>1</v>
      </c>
      <c r="U209" s="2399">
        <v>1</v>
      </c>
      <c r="V209" s="2399">
        <v>1</v>
      </c>
      <c r="W209" s="2399">
        <v>1</v>
      </c>
      <c r="X209" s="2399">
        <v>1</v>
      </c>
      <c r="Y209" s="2399">
        <v>1</v>
      </c>
      <c r="Z209" s="2399">
        <v>1</v>
      </c>
      <c r="AA209" s="2489">
        <v>1</v>
      </c>
      <c r="AB209" s="2399">
        <v>1</v>
      </c>
      <c r="AC209" s="2399">
        <v>1</v>
      </c>
      <c r="AD209" s="2399">
        <v>1</v>
      </c>
      <c r="AE209" s="2399">
        <v>1</v>
      </c>
      <c r="AF209" s="2398">
        <v>209</v>
      </c>
      <c r="AG209" s="2399">
        <v>1</v>
      </c>
      <c r="AH209" s="2399">
        <v>1</v>
      </c>
      <c r="AI209" s="2399">
        <v>1</v>
      </c>
      <c r="AJ209" s="2399">
        <v>1</v>
      </c>
      <c r="AK209" s="2399">
        <v>7</v>
      </c>
      <c r="AL209" s="2399">
        <v>1</v>
      </c>
      <c r="AM209" s="2399">
        <v>7</v>
      </c>
      <c r="AN209" s="3507">
        <v>0</v>
      </c>
      <c r="AO209" s="2399" t="b">
        <v>1</v>
      </c>
      <c r="AP209" s="2399" t="b">
        <v>0</v>
      </c>
    </row>
    <row r="210" spans="1:42" x14ac:dyDescent="0.2">
      <c r="A210" s="574">
        <v>209</v>
      </c>
      <c r="B210" s="2398">
        <v>210</v>
      </c>
      <c r="C210" s="2399">
        <v>1</v>
      </c>
      <c r="D210" s="2398">
        <v>210</v>
      </c>
      <c r="E210" s="2398">
        <v>210</v>
      </c>
      <c r="F210" s="2398">
        <v>210</v>
      </c>
      <c r="G210" s="2398">
        <v>210</v>
      </c>
      <c r="H210" s="2398">
        <v>210</v>
      </c>
      <c r="I210" s="2398">
        <v>210</v>
      </c>
      <c r="J210" s="2398">
        <v>210</v>
      </c>
      <c r="K210" s="2398">
        <v>210</v>
      </c>
      <c r="L210" s="2489">
        <v>2</v>
      </c>
      <c r="M210" s="2399">
        <v>1</v>
      </c>
      <c r="N210" s="2399">
        <v>1</v>
      </c>
      <c r="O210" s="2399">
        <v>1</v>
      </c>
      <c r="P210" s="2399">
        <v>1</v>
      </c>
      <c r="Q210" s="2399">
        <v>1</v>
      </c>
      <c r="R210" s="2399">
        <v>1</v>
      </c>
      <c r="S210" s="2399">
        <v>1</v>
      </c>
      <c r="T210" s="2399">
        <v>1</v>
      </c>
      <c r="U210" s="2399">
        <v>1</v>
      </c>
      <c r="V210" s="2399">
        <v>1</v>
      </c>
      <c r="W210" s="2399">
        <v>1</v>
      </c>
      <c r="X210" s="2399">
        <v>1</v>
      </c>
      <c r="Y210" s="2399">
        <v>1</v>
      </c>
      <c r="Z210" s="2399">
        <v>1</v>
      </c>
      <c r="AA210" s="2489">
        <v>1</v>
      </c>
      <c r="AB210" s="2399">
        <v>1</v>
      </c>
      <c r="AC210" s="2398">
        <v>210</v>
      </c>
      <c r="AD210" s="2399">
        <v>5</v>
      </c>
      <c r="AE210" s="2399">
        <v>1</v>
      </c>
      <c r="AF210" s="2399">
        <v>1</v>
      </c>
      <c r="AG210" s="2399">
        <v>1</v>
      </c>
      <c r="AH210" s="2399">
        <v>1</v>
      </c>
      <c r="AI210" s="2399">
        <v>1</v>
      </c>
      <c r="AJ210" s="2399">
        <v>1</v>
      </c>
      <c r="AK210" s="2399">
        <v>1</v>
      </c>
      <c r="AL210" s="2399">
        <v>1</v>
      </c>
      <c r="AM210" s="2399">
        <v>7</v>
      </c>
      <c r="AN210" s="3507">
        <v>0</v>
      </c>
      <c r="AO210" s="2399" t="b">
        <v>0</v>
      </c>
      <c r="AP210" s="2399" t="b">
        <v>0</v>
      </c>
    </row>
    <row r="211" spans="1:42" x14ac:dyDescent="0.2">
      <c r="A211" s="574">
        <v>210</v>
      </c>
      <c r="B211" s="2398">
        <v>211</v>
      </c>
      <c r="C211" s="2398">
        <v>211</v>
      </c>
      <c r="D211" s="2398">
        <v>211</v>
      </c>
      <c r="E211" s="2398">
        <v>211</v>
      </c>
      <c r="F211" s="2398">
        <v>211</v>
      </c>
      <c r="G211" s="2398">
        <v>211</v>
      </c>
      <c r="H211" s="2398">
        <v>211</v>
      </c>
      <c r="I211" s="2398">
        <v>211</v>
      </c>
      <c r="J211" s="2398">
        <v>211</v>
      </c>
      <c r="K211" s="2398">
        <v>211</v>
      </c>
      <c r="L211" s="2489">
        <v>2</v>
      </c>
      <c r="M211" s="2399">
        <v>1</v>
      </c>
      <c r="N211" s="2399">
        <v>1</v>
      </c>
      <c r="O211" s="2399">
        <v>1</v>
      </c>
      <c r="P211" s="2399">
        <v>1</v>
      </c>
      <c r="Q211" s="2399">
        <v>1</v>
      </c>
      <c r="R211" s="2398">
        <v>211</v>
      </c>
      <c r="S211" s="2399">
        <v>1</v>
      </c>
      <c r="T211" s="2399">
        <v>1</v>
      </c>
      <c r="U211" s="2398">
        <v>211</v>
      </c>
      <c r="V211" s="2398">
        <v>211</v>
      </c>
      <c r="W211" s="2399">
        <v>1</v>
      </c>
      <c r="X211" s="2399">
        <v>1</v>
      </c>
      <c r="Y211" s="2399">
        <v>1</v>
      </c>
      <c r="Z211" s="2399">
        <v>1</v>
      </c>
      <c r="AA211" s="2489">
        <v>1</v>
      </c>
      <c r="AB211" s="2399">
        <v>1</v>
      </c>
      <c r="AC211" s="2399">
        <v>1</v>
      </c>
      <c r="AD211" s="2399">
        <v>1</v>
      </c>
      <c r="AE211" s="2399">
        <v>1</v>
      </c>
      <c r="AF211" s="2398">
        <v>211</v>
      </c>
      <c r="AG211" s="2399">
        <v>1</v>
      </c>
      <c r="AH211" s="2399">
        <v>1</v>
      </c>
      <c r="AI211" s="2399">
        <v>1</v>
      </c>
      <c r="AJ211" s="2399">
        <v>1</v>
      </c>
      <c r="AK211" s="2399">
        <v>7</v>
      </c>
      <c r="AL211" s="2399">
        <v>1</v>
      </c>
      <c r="AM211" s="2399">
        <v>7</v>
      </c>
      <c r="AN211" s="3507">
        <v>0</v>
      </c>
      <c r="AO211" s="2399" t="b">
        <v>1</v>
      </c>
      <c r="AP211" s="2399" t="b">
        <v>0</v>
      </c>
    </row>
    <row r="212" spans="1:42" x14ac:dyDescent="0.2">
      <c r="A212" s="574">
        <v>211</v>
      </c>
      <c r="B212" s="2398">
        <v>212</v>
      </c>
      <c r="C212" s="2398">
        <v>212</v>
      </c>
      <c r="D212" s="2398">
        <v>212</v>
      </c>
      <c r="E212" s="2398">
        <v>212</v>
      </c>
      <c r="F212" s="2398">
        <v>212</v>
      </c>
      <c r="G212" s="2398">
        <v>212</v>
      </c>
      <c r="H212" s="2398">
        <v>212</v>
      </c>
      <c r="I212" s="2398">
        <v>212</v>
      </c>
      <c r="J212" s="2398">
        <v>212</v>
      </c>
      <c r="K212" s="2398">
        <v>212</v>
      </c>
      <c r="L212" s="2489">
        <v>2</v>
      </c>
      <c r="M212" s="2399">
        <v>1</v>
      </c>
      <c r="N212" s="2399">
        <v>1</v>
      </c>
      <c r="O212" s="2399">
        <v>1</v>
      </c>
      <c r="P212" s="2399">
        <v>1</v>
      </c>
      <c r="Q212" s="2399">
        <v>1</v>
      </c>
      <c r="R212" s="2398">
        <v>212</v>
      </c>
      <c r="S212" s="2399">
        <v>1</v>
      </c>
      <c r="T212" s="2399">
        <v>1</v>
      </c>
      <c r="U212" s="2398">
        <v>212</v>
      </c>
      <c r="V212" s="2398">
        <v>212</v>
      </c>
      <c r="W212" s="2399">
        <v>1</v>
      </c>
      <c r="X212" s="2399">
        <v>1</v>
      </c>
      <c r="Y212" s="2399">
        <v>1</v>
      </c>
      <c r="Z212" s="2399">
        <v>1</v>
      </c>
      <c r="AA212" s="2489">
        <v>1</v>
      </c>
      <c r="AB212" s="2399">
        <v>1</v>
      </c>
      <c r="AC212" s="2399">
        <v>1</v>
      </c>
      <c r="AD212" s="2399">
        <v>1</v>
      </c>
      <c r="AE212" s="2399">
        <v>1</v>
      </c>
      <c r="AF212" s="2398">
        <v>212</v>
      </c>
      <c r="AG212" s="2399">
        <v>1</v>
      </c>
      <c r="AH212" s="2399">
        <v>1</v>
      </c>
      <c r="AI212" s="2399">
        <v>1</v>
      </c>
      <c r="AJ212" s="2399">
        <v>6</v>
      </c>
      <c r="AK212" s="2399">
        <v>7</v>
      </c>
      <c r="AL212" s="2399">
        <v>1</v>
      </c>
      <c r="AM212" s="2399">
        <v>7</v>
      </c>
      <c r="AN212" s="3507">
        <v>0</v>
      </c>
      <c r="AO212" s="2399" t="b">
        <v>1</v>
      </c>
      <c r="AP212" s="2399" t="b">
        <v>0</v>
      </c>
    </row>
    <row r="213" spans="1:42" x14ac:dyDescent="0.2">
      <c r="A213" s="574">
        <v>212</v>
      </c>
      <c r="B213" s="2398">
        <v>213</v>
      </c>
      <c r="C213" s="2398">
        <v>213</v>
      </c>
      <c r="D213" s="2398">
        <v>213</v>
      </c>
      <c r="E213" s="2398">
        <v>213</v>
      </c>
      <c r="F213" s="2398">
        <v>213</v>
      </c>
      <c r="G213" s="2398">
        <v>213</v>
      </c>
      <c r="H213" s="2398">
        <v>213</v>
      </c>
      <c r="I213" s="2398">
        <v>213</v>
      </c>
      <c r="J213" s="2398">
        <v>213</v>
      </c>
      <c r="K213" s="2398">
        <v>213</v>
      </c>
      <c r="L213" s="2489">
        <v>2</v>
      </c>
      <c r="M213" s="2399">
        <v>1</v>
      </c>
      <c r="N213" s="2399">
        <v>1</v>
      </c>
      <c r="O213" s="2399">
        <v>1</v>
      </c>
      <c r="P213" s="2399">
        <v>1</v>
      </c>
      <c r="Q213" s="2399">
        <v>1</v>
      </c>
      <c r="R213" s="2399">
        <v>1</v>
      </c>
      <c r="S213" s="2399">
        <v>1</v>
      </c>
      <c r="T213" s="2399">
        <v>1</v>
      </c>
      <c r="U213" s="2399">
        <v>1</v>
      </c>
      <c r="V213" s="2399">
        <v>1</v>
      </c>
      <c r="W213" s="2399">
        <v>1</v>
      </c>
      <c r="X213" s="2399">
        <v>1</v>
      </c>
      <c r="Y213" s="2399">
        <v>1</v>
      </c>
      <c r="Z213" s="2399">
        <v>1</v>
      </c>
      <c r="AA213" s="2489">
        <v>1</v>
      </c>
      <c r="AB213" s="2399">
        <v>1</v>
      </c>
      <c r="AC213" s="2399">
        <v>1</v>
      </c>
      <c r="AD213" s="2399">
        <v>1</v>
      </c>
      <c r="AE213" s="2399">
        <v>1</v>
      </c>
      <c r="AF213" s="2399">
        <v>1</v>
      </c>
      <c r="AG213" s="2400">
        <v>213</v>
      </c>
      <c r="AH213" s="2400">
        <v>213</v>
      </c>
      <c r="AI213" s="2399">
        <v>1</v>
      </c>
      <c r="AJ213" s="2399">
        <v>1</v>
      </c>
      <c r="AK213" s="2399">
        <v>1</v>
      </c>
      <c r="AL213" s="2399">
        <v>1</v>
      </c>
      <c r="AM213" s="2399">
        <v>7</v>
      </c>
      <c r="AN213" s="3507">
        <v>0</v>
      </c>
      <c r="AO213" s="2399" t="b">
        <v>0</v>
      </c>
      <c r="AP213" s="2399" t="b">
        <v>0</v>
      </c>
    </row>
    <row r="214" spans="1:42" x14ac:dyDescent="0.2">
      <c r="A214" s="574">
        <v>213</v>
      </c>
      <c r="B214" s="2398">
        <v>214</v>
      </c>
      <c r="C214" s="2399">
        <v>1</v>
      </c>
      <c r="D214" s="2398">
        <v>214</v>
      </c>
      <c r="E214" s="2398">
        <v>214</v>
      </c>
      <c r="F214" s="2398">
        <v>214</v>
      </c>
      <c r="G214" s="2398">
        <v>214</v>
      </c>
      <c r="H214" s="2398">
        <v>214</v>
      </c>
      <c r="I214" s="2398">
        <v>214</v>
      </c>
      <c r="J214" s="2398">
        <v>214</v>
      </c>
      <c r="K214" s="2398">
        <v>214</v>
      </c>
      <c r="L214" s="2489">
        <v>2</v>
      </c>
      <c r="M214" s="2399">
        <v>1</v>
      </c>
      <c r="N214" s="2399">
        <v>1</v>
      </c>
      <c r="O214" s="2399">
        <v>1</v>
      </c>
      <c r="P214" s="2399">
        <v>1</v>
      </c>
      <c r="Q214" s="2399">
        <v>1</v>
      </c>
      <c r="R214" s="2399">
        <v>1</v>
      </c>
      <c r="S214" s="2399">
        <v>1</v>
      </c>
      <c r="T214" s="2399">
        <v>1</v>
      </c>
      <c r="U214" s="2399">
        <v>1</v>
      </c>
      <c r="V214" s="2398">
        <v>214</v>
      </c>
      <c r="W214" s="2399">
        <v>1</v>
      </c>
      <c r="X214" s="2399">
        <v>1</v>
      </c>
      <c r="Y214" s="2399">
        <v>1</v>
      </c>
      <c r="Z214" s="2399">
        <v>1</v>
      </c>
      <c r="AA214" s="2489">
        <v>1</v>
      </c>
      <c r="AB214" s="2399">
        <v>1</v>
      </c>
      <c r="AC214" s="2399">
        <v>1</v>
      </c>
      <c r="AD214" s="2399">
        <v>1</v>
      </c>
      <c r="AE214" s="2399">
        <v>1</v>
      </c>
      <c r="AF214" s="2399">
        <v>1</v>
      </c>
      <c r="AG214" s="2399">
        <v>1</v>
      </c>
      <c r="AH214" s="2399">
        <v>1</v>
      </c>
      <c r="AI214" s="2399">
        <v>1</v>
      </c>
      <c r="AJ214" s="2399">
        <v>9</v>
      </c>
      <c r="AK214" s="2399">
        <v>4</v>
      </c>
      <c r="AL214" s="2399">
        <v>1</v>
      </c>
      <c r="AM214" s="2399">
        <v>7</v>
      </c>
      <c r="AN214" s="3507">
        <v>0</v>
      </c>
      <c r="AO214" s="2399" t="b">
        <v>0</v>
      </c>
      <c r="AP214" s="2399" t="b">
        <v>0</v>
      </c>
    </row>
    <row r="215" spans="1:42" x14ac:dyDescent="0.2">
      <c r="A215" s="574">
        <v>214</v>
      </c>
      <c r="B215" s="2398">
        <v>215</v>
      </c>
      <c r="C215" s="2398">
        <v>215</v>
      </c>
      <c r="D215" s="2398">
        <v>215</v>
      </c>
      <c r="E215" s="2398">
        <v>215</v>
      </c>
      <c r="F215" s="2398">
        <v>215</v>
      </c>
      <c r="G215" s="2398">
        <v>215</v>
      </c>
      <c r="H215" s="2398">
        <v>215</v>
      </c>
      <c r="I215" s="2398">
        <v>215</v>
      </c>
      <c r="J215" s="2398">
        <v>215</v>
      </c>
      <c r="K215" s="2398">
        <v>215</v>
      </c>
      <c r="L215" s="2489">
        <v>2</v>
      </c>
      <c r="M215" s="2399">
        <v>1</v>
      </c>
      <c r="N215" s="2399">
        <v>1</v>
      </c>
      <c r="O215" s="2399">
        <v>1</v>
      </c>
      <c r="P215" s="2399">
        <v>1</v>
      </c>
      <c r="Q215" s="2399">
        <v>1</v>
      </c>
      <c r="R215" s="2399">
        <v>1</v>
      </c>
      <c r="S215" s="2399">
        <v>1</v>
      </c>
      <c r="T215" s="2399">
        <v>1</v>
      </c>
      <c r="U215" s="2399">
        <v>1</v>
      </c>
      <c r="V215" s="2399">
        <v>1</v>
      </c>
      <c r="W215" s="2399">
        <v>1</v>
      </c>
      <c r="X215" s="2399">
        <v>1</v>
      </c>
      <c r="Y215" s="2399">
        <v>1</v>
      </c>
      <c r="Z215" s="2399">
        <v>1</v>
      </c>
      <c r="AA215" s="2489">
        <v>1</v>
      </c>
      <c r="AB215" s="2399">
        <v>1</v>
      </c>
      <c r="AC215" s="2399">
        <v>1</v>
      </c>
      <c r="AD215" s="2399">
        <v>1</v>
      </c>
      <c r="AE215" s="2399">
        <v>1</v>
      </c>
      <c r="AF215" s="2399">
        <v>1</v>
      </c>
      <c r="AG215" s="2398">
        <v>215</v>
      </c>
      <c r="AH215" s="2398">
        <v>215</v>
      </c>
      <c r="AI215" s="2399">
        <v>1</v>
      </c>
      <c r="AJ215" s="2399">
        <v>10</v>
      </c>
      <c r="AK215" s="2399">
        <v>5</v>
      </c>
      <c r="AL215" s="2399">
        <v>1</v>
      </c>
      <c r="AM215" s="2399">
        <v>4</v>
      </c>
      <c r="AN215" s="3507">
        <v>0</v>
      </c>
      <c r="AO215" s="2399" t="b">
        <v>0</v>
      </c>
      <c r="AP215" s="2399" t="b">
        <v>0</v>
      </c>
    </row>
    <row r="216" spans="1:42" x14ac:dyDescent="0.2">
      <c r="A216" s="574">
        <v>215</v>
      </c>
      <c r="B216" s="2398">
        <v>216</v>
      </c>
      <c r="C216" s="2399">
        <v>1</v>
      </c>
      <c r="D216" s="2398">
        <v>216</v>
      </c>
      <c r="E216" s="2398">
        <v>216</v>
      </c>
      <c r="F216" s="2398">
        <v>216</v>
      </c>
      <c r="G216" s="2398">
        <v>216</v>
      </c>
      <c r="H216" s="2398">
        <v>216</v>
      </c>
      <c r="I216" s="2398">
        <v>216</v>
      </c>
      <c r="J216" s="2398">
        <v>216</v>
      </c>
      <c r="K216" s="2398">
        <v>216</v>
      </c>
      <c r="L216" s="2489">
        <v>2</v>
      </c>
      <c r="M216" s="2399">
        <v>1</v>
      </c>
      <c r="N216" s="2399">
        <v>1</v>
      </c>
      <c r="O216" s="2399">
        <v>1</v>
      </c>
      <c r="P216" s="2399">
        <v>1</v>
      </c>
      <c r="Q216" s="2399">
        <v>1</v>
      </c>
      <c r="R216" s="2399">
        <v>1</v>
      </c>
      <c r="S216" s="2399">
        <v>1</v>
      </c>
      <c r="T216" s="2399">
        <v>1</v>
      </c>
      <c r="U216" s="2399">
        <v>1</v>
      </c>
      <c r="V216" s="2399">
        <v>1</v>
      </c>
      <c r="W216" s="2399">
        <v>1</v>
      </c>
      <c r="X216" s="2399">
        <v>1</v>
      </c>
      <c r="Y216" s="2399">
        <v>1</v>
      </c>
      <c r="Z216" s="2399">
        <v>1</v>
      </c>
      <c r="AA216" s="2489">
        <v>1</v>
      </c>
      <c r="AB216" s="2399">
        <v>1</v>
      </c>
      <c r="AC216" s="2399">
        <v>1</v>
      </c>
      <c r="AD216" s="2399">
        <v>1</v>
      </c>
      <c r="AE216" s="2399">
        <v>1</v>
      </c>
      <c r="AF216" s="2399">
        <v>1</v>
      </c>
      <c r="AG216" s="2398">
        <v>216</v>
      </c>
      <c r="AH216" s="2398">
        <v>216</v>
      </c>
      <c r="AI216" s="2399">
        <v>1</v>
      </c>
      <c r="AJ216" s="2399">
        <v>10</v>
      </c>
      <c r="AK216" s="2399">
        <v>9</v>
      </c>
      <c r="AL216" s="2399">
        <v>1</v>
      </c>
      <c r="AM216" s="2399">
        <v>4</v>
      </c>
      <c r="AN216" s="3507">
        <v>0</v>
      </c>
      <c r="AO216" s="2399" t="b">
        <v>0</v>
      </c>
      <c r="AP216" s="2399" t="b">
        <v>0</v>
      </c>
    </row>
    <row r="217" spans="1:42" x14ac:dyDescent="0.2">
      <c r="A217" s="574">
        <v>216</v>
      </c>
      <c r="B217" s="2398">
        <v>217</v>
      </c>
      <c r="C217" s="2399">
        <v>1</v>
      </c>
      <c r="D217" s="2398">
        <v>217</v>
      </c>
      <c r="E217" s="2398">
        <v>217</v>
      </c>
      <c r="F217" s="2398">
        <v>217</v>
      </c>
      <c r="G217" s="2398">
        <v>217</v>
      </c>
      <c r="H217" s="2398">
        <v>217</v>
      </c>
      <c r="I217" s="2398">
        <v>217</v>
      </c>
      <c r="J217" s="2398">
        <v>217</v>
      </c>
      <c r="K217" s="2398">
        <v>217</v>
      </c>
      <c r="L217" s="2489">
        <v>2</v>
      </c>
      <c r="M217" s="2399">
        <v>1</v>
      </c>
      <c r="N217" s="2399">
        <v>1</v>
      </c>
      <c r="O217" s="2399">
        <v>1</v>
      </c>
      <c r="P217" s="2399">
        <v>1</v>
      </c>
      <c r="Q217" s="2399">
        <v>1</v>
      </c>
      <c r="R217" s="2399">
        <v>1</v>
      </c>
      <c r="S217" s="2399">
        <v>1</v>
      </c>
      <c r="T217" s="2399">
        <v>1</v>
      </c>
      <c r="U217" s="2399">
        <v>1</v>
      </c>
      <c r="V217" s="2399">
        <v>1</v>
      </c>
      <c r="W217" s="2399">
        <v>1</v>
      </c>
      <c r="X217" s="2399">
        <v>1</v>
      </c>
      <c r="Y217" s="2399">
        <v>1</v>
      </c>
      <c r="Z217" s="2399">
        <v>1</v>
      </c>
      <c r="AA217" s="2489">
        <v>1</v>
      </c>
      <c r="AB217" s="2399">
        <v>1</v>
      </c>
      <c r="AC217" s="2399">
        <v>1</v>
      </c>
      <c r="AD217" s="2399">
        <v>1</v>
      </c>
      <c r="AE217" s="2399">
        <v>1</v>
      </c>
      <c r="AF217" s="2399">
        <v>1</v>
      </c>
      <c r="AG217" s="2398">
        <v>217</v>
      </c>
      <c r="AH217" s="2398">
        <v>217</v>
      </c>
      <c r="AI217" s="2399">
        <v>1</v>
      </c>
      <c r="AJ217" s="2399">
        <v>10</v>
      </c>
      <c r="AK217" s="2399">
        <v>10</v>
      </c>
      <c r="AL217" s="2399">
        <v>1</v>
      </c>
      <c r="AM217" s="2399">
        <v>4</v>
      </c>
      <c r="AN217" s="3507">
        <v>0</v>
      </c>
      <c r="AO217" s="2399" t="b">
        <v>0</v>
      </c>
      <c r="AP217" s="2399" t="b">
        <v>0</v>
      </c>
    </row>
    <row r="218" spans="1:42" x14ac:dyDescent="0.2">
      <c r="A218" s="574">
        <v>217</v>
      </c>
      <c r="B218" s="2398">
        <v>218</v>
      </c>
      <c r="C218" s="2399">
        <v>1</v>
      </c>
      <c r="D218" s="2398">
        <v>218</v>
      </c>
      <c r="E218" s="2398">
        <v>218</v>
      </c>
      <c r="F218" s="2398">
        <v>218</v>
      </c>
      <c r="G218" s="2398">
        <v>218</v>
      </c>
      <c r="H218" s="2398">
        <v>218</v>
      </c>
      <c r="I218" s="2398">
        <v>218</v>
      </c>
      <c r="J218" s="2398">
        <v>218</v>
      </c>
      <c r="K218" s="2398">
        <v>218</v>
      </c>
      <c r="L218" s="2489">
        <v>2</v>
      </c>
      <c r="M218" s="2399">
        <v>1</v>
      </c>
      <c r="N218" s="2399">
        <v>1</v>
      </c>
      <c r="O218" s="2399">
        <v>1</v>
      </c>
      <c r="P218" s="2399">
        <v>1</v>
      </c>
      <c r="Q218" s="2399">
        <v>1</v>
      </c>
      <c r="R218" s="2399">
        <v>1</v>
      </c>
      <c r="S218" s="2399">
        <v>1</v>
      </c>
      <c r="T218" s="2399">
        <v>1</v>
      </c>
      <c r="U218" s="2399">
        <v>1</v>
      </c>
      <c r="V218" s="2399">
        <v>1</v>
      </c>
      <c r="W218" s="2399">
        <v>1</v>
      </c>
      <c r="X218" s="2399">
        <v>1</v>
      </c>
      <c r="Y218" s="2399">
        <v>1</v>
      </c>
      <c r="Z218" s="2399">
        <v>1</v>
      </c>
      <c r="AA218" s="2489">
        <v>1</v>
      </c>
      <c r="AB218" s="2399">
        <v>1</v>
      </c>
      <c r="AC218" s="2399">
        <v>1</v>
      </c>
      <c r="AD218" s="2399">
        <v>1</v>
      </c>
      <c r="AE218" s="2399">
        <v>1</v>
      </c>
      <c r="AF218" s="2399">
        <v>1</v>
      </c>
      <c r="AG218" s="2398">
        <v>218</v>
      </c>
      <c r="AH218" s="2398">
        <v>218</v>
      </c>
      <c r="AI218" s="2399">
        <v>1</v>
      </c>
      <c r="AJ218" s="2399">
        <v>10</v>
      </c>
      <c r="AK218" s="2399">
        <v>11</v>
      </c>
      <c r="AL218" s="2399">
        <v>1</v>
      </c>
      <c r="AM218" s="2399">
        <v>4</v>
      </c>
      <c r="AN218" s="3507">
        <v>0</v>
      </c>
      <c r="AO218" s="2399" t="b">
        <v>0</v>
      </c>
      <c r="AP218" s="2399" t="b">
        <v>0</v>
      </c>
    </row>
    <row r="219" spans="1:42" x14ac:dyDescent="0.2">
      <c r="A219" s="574">
        <v>218</v>
      </c>
      <c r="B219" s="2398">
        <v>219</v>
      </c>
      <c r="C219" s="2398">
        <v>219</v>
      </c>
      <c r="D219" s="2398">
        <v>219</v>
      </c>
      <c r="E219" s="2398">
        <v>219</v>
      </c>
      <c r="F219" s="2398">
        <v>219</v>
      </c>
      <c r="G219" s="2398">
        <v>219</v>
      </c>
      <c r="H219" s="2398">
        <v>219</v>
      </c>
      <c r="I219" s="2398">
        <v>219</v>
      </c>
      <c r="J219" s="2398">
        <v>219</v>
      </c>
      <c r="K219" s="2398">
        <v>219</v>
      </c>
      <c r="L219" s="2489">
        <v>2</v>
      </c>
      <c r="M219" s="2398">
        <v>219</v>
      </c>
      <c r="N219" s="2399">
        <v>1</v>
      </c>
      <c r="O219" s="2399">
        <v>1</v>
      </c>
      <c r="P219" s="2399">
        <v>1</v>
      </c>
      <c r="Q219" s="2399">
        <v>1</v>
      </c>
      <c r="R219" s="2399">
        <v>1</v>
      </c>
      <c r="S219" s="2398">
        <v>219</v>
      </c>
      <c r="T219" s="2399">
        <v>1</v>
      </c>
      <c r="U219" s="2399">
        <v>1</v>
      </c>
      <c r="V219" s="2399">
        <v>1</v>
      </c>
      <c r="W219" s="2399">
        <v>1</v>
      </c>
      <c r="X219" s="2399">
        <v>1</v>
      </c>
      <c r="Y219" s="2399">
        <v>1</v>
      </c>
      <c r="Z219" s="2399">
        <v>1</v>
      </c>
      <c r="AA219" s="2489">
        <v>1</v>
      </c>
      <c r="AB219" s="2399">
        <v>1</v>
      </c>
      <c r="AC219" s="2399">
        <v>1</v>
      </c>
      <c r="AD219" s="2399">
        <v>1</v>
      </c>
      <c r="AE219" s="2399">
        <v>1</v>
      </c>
      <c r="AF219" s="2399">
        <v>1</v>
      </c>
      <c r="AG219" s="2399">
        <v>1</v>
      </c>
      <c r="AH219" s="2399">
        <v>1</v>
      </c>
      <c r="AI219" s="2399">
        <v>1</v>
      </c>
      <c r="AJ219" s="2399">
        <v>1</v>
      </c>
      <c r="AK219" s="2399">
        <v>8</v>
      </c>
      <c r="AL219" s="2399">
        <v>1</v>
      </c>
      <c r="AM219" s="2399">
        <v>6</v>
      </c>
      <c r="AN219" s="2409">
        <v>0</v>
      </c>
      <c r="AO219" s="2399" t="b">
        <v>0</v>
      </c>
      <c r="AP219" s="2399" t="b">
        <v>0</v>
      </c>
    </row>
    <row r="220" spans="1:42" x14ac:dyDescent="0.2">
      <c r="A220" s="574">
        <v>219</v>
      </c>
      <c r="B220" s="2398">
        <v>220</v>
      </c>
      <c r="C220" s="2398">
        <v>220</v>
      </c>
      <c r="D220" s="2398">
        <v>220</v>
      </c>
      <c r="E220" s="2398">
        <v>220</v>
      </c>
      <c r="F220" s="2398">
        <v>220</v>
      </c>
      <c r="G220" s="2398">
        <v>220</v>
      </c>
      <c r="H220" s="2398">
        <v>220</v>
      </c>
      <c r="I220" s="2398">
        <v>220</v>
      </c>
      <c r="J220" s="2398">
        <v>220</v>
      </c>
      <c r="K220" s="2398">
        <v>220</v>
      </c>
      <c r="L220" s="2489">
        <v>2</v>
      </c>
      <c r="M220" s="2399">
        <v>1</v>
      </c>
      <c r="N220" s="2399">
        <v>1</v>
      </c>
      <c r="O220" s="2399">
        <v>1</v>
      </c>
      <c r="P220" s="2399">
        <v>1</v>
      </c>
      <c r="Q220" s="2399">
        <v>1</v>
      </c>
      <c r="R220" s="2399">
        <v>1</v>
      </c>
      <c r="S220" s="2399">
        <v>1</v>
      </c>
      <c r="T220" s="2399">
        <v>1</v>
      </c>
      <c r="U220" s="2399">
        <v>1</v>
      </c>
      <c r="V220" s="2398">
        <v>220</v>
      </c>
      <c r="W220" s="2399">
        <v>1</v>
      </c>
      <c r="X220" s="2399">
        <v>1</v>
      </c>
      <c r="Y220" s="2399">
        <v>1</v>
      </c>
      <c r="Z220" s="2398">
        <v>220</v>
      </c>
      <c r="AA220" s="2489">
        <v>1</v>
      </c>
      <c r="AB220" s="2399">
        <v>1</v>
      </c>
      <c r="AC220" s="2399">
        <v>1</v>
      </c>
      <c r="AD220" s="2399">
        <v>11</v>
      </c>
      <c r="AE220" s="2398">
        <v>220</v>
      </c>
      <c r="AF220" s="2399">
        <v>1</v>
      </c>
      <c r="AG220" s="2399">
        <v>1</v>
      </c>
      <c r="AH220" s="2399">
        <v>1</v>
      </c>
      <c r="AI220" s="2399">
        <v>1</v>
      </c>
      <c r="AJ220" s="2399">
        <v>1</v>
      </c>
      <c r="AK220" s="2399">
        <v>1</v>
      </c>
      <c r="AL220" s="2399">
        <v>1</v>
      </c>
      <c r="AM220" s="2399">
        <v>7</v>
      </c>
      <c r="AN220" s="3507">
        <v>0</v>
      </c>
      <c r="AO220" s="2399" t="b">
        <v>0</v>
      </c>
      <c r="AP220" s="2399" t="b">
        <v>0</v>
      </c>
    </row>
    <row r="221" spans="1:42" x14ac:dyDescent="0.2">
      <c r="A221" s="574">
        <v>220</v>
      </c>
      <c r="B221" s="2398">
        <v>221</v>
      </c>
      <c r="C221" s="2398">
        <v>221</v>
      </c>
      <c r="D221" s="2398">
        <v>221</v>
      </c>
      <c r="E221" s="2398">
        <v>221</v>
      </c>
      <c r="F221" s="2398">
        <v>221</v>
      </c>
      <c r="G221" s="2398">
        <v>221</v>
      </c>
      <c r="H221" s="2398">
        <v>221</v>
      </c>
      <c r="I221" s="2398">
        <v>221</v>
      </c>
      <c r="J221" s="2398">
        <v>221</v>
      </c>
      <c r="K221" s="2398">
        <v>221</v>
      </c>
      <c r="L221" s="2489">
        <v>2</v>
      </c>
      <c r="M221" s="2399">
        <v>1</v>
      </c>
      <c r="N221" s="2399">
        <v>1</v>
      </c>
      <c r="O221" s="2399">
        <v>1</v>
      </c>
      <c r="P221" s="2399">
        <v>1</v>
      </c>
      <c r="Q221" s="2399">
        <v>1</v>
      </c>
      <c r="R221" s="2399">
        <v>1</v>
      </c>
      <c r="S221" s="2399">
        <v>1</v>
      </c>
      <c r="T221" s="2399">
        <v>1</v>
      </c>
      <c r="U221" s="2399">
        <v>1</v>
      </c>
      <c r="V221" s="2399">
        <v>1</v>
      </c>
      <c r="W221" s="2399">
        <v>1</v>
      </c>
      <c r="X221" s="2399">
        <v>1</v>
      </c>
      <c r="Y221" s="2399">
        <v>1</v>
      </c>
      <c r="Z221" s="2399">
        <v>1</v>
      </c>
      <c r="AA221" s="2489">
        <v>1</v>
      </c>
      <c r="AB221" s="2399">
        <v>1</v>
      </c>
      <c r="AC221" s="2399">
        <v>1</v>
      </c>
      <c r="AD221" s="2399">
        <v>1</v>
      </c>
      <c r="AE221" s="2399">
        <v>1</v>
      </c>
      <c r="AF221" s="2399">
        <v>1</v>
      </c>
      <c r="AG221" s="2398">
        <v>221</v>
      </c>
      <c r="AH221" s="2398">
        <v>221</v>
      </c>
      <c r="AI221" s="2399">
        <v>1</v>
      </c>
      <c r="AJ221" s="2399">
        <v>9</v>
      </c>
      <c r="AK221" s="2399">
        <v>3</v>
      </c>
      <c r="AL221" s="2399">
        <v>1</v>
      </c>
      <c r="AM221" s="2399">
        <v>1</v>
      </c>
      <c r="AN221" s="3507">
        <v>0</v>
      </c>
      <c r="AO221" s="2399" t="b">
        <v>1</v>
      </c>
      <c r="AP221" s="2399" t="b">
        <v>0</v>
      </c>
    </row>
    <row r="222" spans="1:42" x14ac:dyDescent="0.2">
      <c r="A222" s="574">
        <v>221</v>
      </c>
      <c r="B222" s="2398">
        <v>222</v>
      </c>
      <c r="C222" s="2398">
        <v>222</v>
      </c>
      <c r="D222" s="2398">
        <v>222</v>
      </c>
      <c r="E222" s="2398">
        <v>222</v>
      </c>
      <c r="F222" s="2398">
        <v>222</v>
      </c>
      <c r="G222" s="2398">
        <v>222</v>
      </c>
      <c r="H222" s="2398">
        <v>222</v>
      </c>
      <c r="I222" s="2398">
        <v>222</v>
      </c>
      <c r="J222" s="2398">
        <v>222</v>
      </c>
      <c r="K222" s="2398">
        <v>222</v>
      </c>
      <c r="L222" s="2489">
        <v>2</v>
      </c>
      <c r="M222" s="2399">
        <v>1</v>
      </c>
      <c r="N222" s="2399">
        <v>1</v>
      </c>
      <c r="O222" s="2399">
        <v>1</v>
      </c>
      <c r="P222" s="2399">
        <v>1</v>
      </c>
      <c r="Q222" s="2399">
        <v>1</v>
      </c>
      <c r="R222" s="2399">
        <v>1</v>
      </c>
      <c r="S222" s="2399">
        <v>1</v>
      </c>
      <c r="T222" s="2399">
        <v>1</v>
      </c>
      <c r="U222" s="2399">
        <v>1</v>
      </c>
      <c r="V222" s="2399">
        <v>1</v>
      </c>
      <c r="W222" s="2399">
        <v>1</v>
      </c>
      <c r="X222" s="2399">
        <v>1</v>
      </c>
      <c r="Y222" s="2399">
        <v>1</v>
      </c>
      <c r="Z222" s="2399">
        <v>1</v>
      </c>
      <c r="AA222" s="2489">
        <v>1</v>
      </c>
      <c r="AB222" s="2399">
        <v>1</v>
      </c>
      <c r="AC222" s="2399">
        <v>1</v>
      </c>
      <c r="AD222" s="2399">
        <v>1</v>
      </c>
      <c r="AE222" s="2399">
        <v>1</v>
      </c>
      <c r="AF222" s="2399">
        <v>1</v>
      </c>
      <c r="AG222" s="2399">
        <v>1</v>
      </c>
      <c r="AH222" s="2399">
        <v>1</v>
      </c>
      <c r="AI222" s="2399">
        <v>1</v>
      </c>
      <c r="AJ222" s="2399">
        <v>1</v>
      </c>
      <c r="AK222" s="2399">
        <v>1</v>
      </c>
      <c r="AL222" s="2399">
        <v>1</v>
      </c>
      <c r="AM222" s="2399">
        <v>7</v>
      </c>
      <c r="AN222" s="3507">
        <v>0</v>
      </c>
      <c r="AO222" s="2399" t="b">
        <v>0</v>
      </c>
      <c r="AP222" s="2399" t="b">
        <v>0</v>
      </c>
    </row>
    <row r="223" spans="1:42" x14ac:dyDescent="0.2">
      <c r="A223" s="574">
        <v>222</v>
      </c>
      <c r="B223" s="2398">
        <v>223</v>
      </c>
      <c r="C223" s="2399">
        <v>1</v>
      </c>
      <c r="D223" s="2398">
        <v>223</v>
      </c>
      <c r="E223" s="2398">
        <v>223</v>
      </c>
      <c r="F223" s="2398">
        <v>223</v>
      </c>
      <c r="G223" s="2398">
        <v>223</v>
      </c>
      <c r="H223" s="2398">
        <v>223</v>
      </c>
      <c r="I223" s="2398">
        <v>223</v>
      </c>
      <c r="J223" s="2398">
        <v>223</v>
      </c>
      <c r="K223" s="2398">
        <v>223</v>
      </c>
      <c r="L223" s="2489">
        <v>2</v>
      </c>
      <c r="M223" s="2399">
        <v>1</v>
      </c>
      <c r="N223" s="2399">
        <v>1</v>
      </c>
      <c r="O223" s="2399">
        <v>1</v>
      </c>
      <c r="P223" s="2399">
        <v>1</v>
      </c>
      <c r="Q223" s="2399">
        <v>1</v>
      </c>
      <c r="R223" s="2399">
        <v>1</v>
      </c>
      <c r="S223" s="2399">
        <v>1</v>
      </c>
      <c r="T223" s="2399">
        <v>1</v>
      </c>
      <c r="U223" s="2399">
        <v>1</v>
      </c>
      <c r="V223" s="2399">
        <v>1</v>
      </c>
      <c r="W223" s="2399">
        <v>1</v>
      </c>
      <c r="X223" s="2399">
        <v>1</v>
      </c>
      <c r="Y223" s="2399">
        <v>1</v>
      </c>
      <c r="Z223" s="2399">
        <v>1</v>
      </c>
      <c r="AA223" s="2489">
        <v>7</v>
      </c>
      <c r="AB223" s="2399">
        <v>1</v>
      </c>
      <c r="AC223" s="2399">
        <v>1</v>
      </c>
      <c r="AD223" s="2399">
        <v>5</v>
      </c>
      <c r="AE223" s="2399">
        <v>1</v>
      </c>
      <c r="AF223" s="2399">
        <v>1</v>
      </c>
      <c r="AG223" s="2398">
        <v>223</v>
      </c>
      <c r="AH223" s="2398">
        <v>223</v>
      </c>
      <c r="AI223" s="2399">
        <v>1</v>
      </c>
      <c r="AJ223" s="2399">
        <v>1</v>
      </c>
      <c r="AK223" s="2399">
        <v>1</v>
      </c>
      <c r="AL223" s="2399">
        <v>1</v>
      </c>
      <c r="AM223" s="2399">
        <v>7</v>
      </c>
      <c r="AN223" s="2409">
        <v>0</v>
      </c>
      <c r="AO223" s="2399" t="b">
        <v>0</v>
      </c>
      <c r="AP223" s="2399" t="b">
        <v>0</v>
      </c>
    </row>
    <row r="224" spans="1:42" x14ac:dyDescent="0.2">
      <c r="A224" s="574">
        <v>223</v>
      </c>
      <c r="B224" s="2398">
        <v>224</v>
      </c>
      <c r="C224" s="2398">
        <v>224</v>
      </c>
      <c r="D224" s="2398">
        <v>224</v>
      </c>
      <c r="E224" s="2398">
        <v>224</v>
      </c>
      <c r="F224" s="2398">
        <v>224</v>
      </c>
      <c r="G224" s="2398">
        <v>224</v>
      </c>
      <c r="H224" s="2398">
        <v>224</v>
      </c>
      <c r="I224" s="2398">
        <v>224</v>
      </c>
      <c r="J224" s="2398">
        <v>224</v>
      </c>
      <c r="K224" s="2398">
        <v>224</v>
      </c>
      <c r="L224" s="2489">
        <v>1</v>
      </c>
      <c r="M224" s="2399">
        <v>1</v>
      </c>
      <c r="N224" s="2399">
        <v>1</v>
      </c>
      <c r="O224" s="2399">
        <v>1</v>
      </c>
      <c r="P224" s="2399">
        <v>1</v>
      </c>
      <c r="Q224" s="2399">
        <v>1</v>
      </c>
      <c r="R224" s="2399">
        <v>1</v>
      </c>
      <c r="S224" s="2399">
        <v>1</v>
      </c>
      <c r="T224" s="2399">
        <v>1</v>
      </c>
      <c r="U224" s="2399">
        <v>1</v>
      </c>
      <c r="V224" s="2399">
        <v>1</v>
      </c>
      <c r="W224" s="2399">
        <v>1</v>
      </c>
      <c r="X224" s="2399">
        <v>1</v>
      </c>
      <c r="Y224" s="2399">
        <v>1</v>
      </c>
      <c r="Z224" s="2399">
        <v>1</v>
      </c>
      <c r="AA224" s="2489">
        <v>1</v>
      </c>
      <c r="AB224" s="2399">
        <v>1</v>
      </c>
      <c r="AC224" s="2399">
        <v>1</v>
      </c>
      <c r="AD224" s="2399">
        <v>1</v>
      </c>
      <c r="AE224" s="2399">
        <v>1</v>
      </c>
      <c r="AF224" s="2398">
        <v>224</v>
      </c>
      <c r="AG224" s="2399">
        <v>1</v>
      </c>
      <c r="AH224" s="2378">
        <v>1</v>
      </c>
      <c r="AI224" s="2399">
        <v>1</v>
      </c>
      <c r="AJ224" s="2399">
        <v>13</v>
      </c>
      <c r="AK224" s="2399">
        <v>1</v>
      </c>
      <c r="AL224" s="2399">
        <v>1</v>
      </c>
      <c r="AM224" s="2399">
        <v>7</v>
      </c>
      <c r="AN224" s="3507">
        <v>0</v>
      </c>
      <c r="AO224" s="2399" t="b">
        <v>0</v>
      </c>
      <c r="AP224" s="2399" t="b">
        <v>0</v>
      </c>
    </row>
    <row r="225" spans="1:42" x14ac:dyDescent="0.2">
      <c r="A225" s="574">
        <v>224</v>
      </c>
      <c r="B225" s="2398">
        <v>225</v>
      </c>
      <c r="C225" s="2398">
        <v>225</v>
      </c>
      <c r="D225" s="2398">
        <v>225</v>
      </c>
      <c r="E225" s="2398">
        <v>225</v>
      </c>
      <c r="F225" s="2398">
        <v>225</v>
      </c>
      <c r="G225" s="2398">
        <v>225</v>
      </c>
      <c r="H225" s="2398">
        <v>225</v>
      </c>
      <c r="I225" s="2398">
        <v>225</v>
      </c>
      <c r="J225" s="2398">
        <v>225</v>
      </c>
      <c r="K225" s="2398">
        <v>225</v>
      </c>
      <c r="L225" s="2489">
        <v>1</v>
      </c>
      <c r="M225" s="2399">
        <v>1</v>
      </c>
      <c r="N225" s="2399">
        <v>1</v>
      </c>
      <c r="O225" s="2399">
        <v>1</v>
      </c>
      <c r="P225" s="2399">
        <v>1</v>
      </c>
      <c r="Q225" s="2399">
        <v>1</v>
      </c>
      <c r="R225" s="2399">
        <v>1</v>
      </c>
      <c r="S225" s="2399">
        <v>1</v>
      </c>
      <c r="T225" s="2399">
        <v>1</v>
      </c>
      <c r="U225" s="2399">
        <v>1</v>
      </c>
      <c r="V225" s="2399">
        <v>1</v>
      </c>
      <c r="W225" s="2399">
        <v>1</v>
      </c>
      <c r="X225" s="2399">
        <v>1</v>
      </c>
      <c r="Y225" s="2398">
        <v>225</v>
      </c>
      <c r="Z225" s="2399">
        <v>1</v>
      </c>
      <c r="AA225" s="2489">
        <v>1</v>
      </c>
      <c r="AB225" s="2399">
        <v>1</v>
      </c>
      <c r="AC225" s="2399">
        <v>1</v>
      </c>
      <c r="AD225" s="2399">
        <v>1</v>
      </c>
      <c r="AE225" s="2399">
        <v>1</v>
      </c>
      <c r="AF225" s="2399">
        <v>1</v>
      </c>
      <c r="AG225" s="2399">
        <v>1</v>
      </c>
      <c r="AH225" s="2378">
        <v>1</v>
      </c>
      <c r="AI225" s="2399">
        <v>1</v>
      </c>
      <c r="AJ225" s="2399">
        <v>1</v>
      </c>
      <c r="AK225" s="2399">
        <v>1</v>
      </c>
      <c r="AL225" s="2399">
        <v>1</v>
      </c>
      <c r="AM225" s="2399">
        <v>7</v>
      </c>
      <c r="AN225" s="3507">
        <v>0</v>
      </c>
      <c r="AO225" s="2399" t="b">
        <v>0</v>
      </c>
      <c r="AP225" s="2399" t="b">
        <v>0</v>
      </c>
    </row>
    <row r="226" spans="1:42" x14ac:dyDescent="0.2">
      <c r="A226" s="574">
        <v>225</v>
      </c>
      <c r="B226" s="2398">
        <v>226</v>
      </c>
      <c r="C226" s="2398">
        <v>226</v>
      </c>
      <c r="D226" s="2398">
        <v>226</v>
      </c>
      <c r="E226" s="2398">
        <v>226</v>
      </c>
      <c r="F226" s="2398">
        <v>226</v>
      </c>
      <c r="G226" s="2398">
        <v>226</v>
      </c>
      <c r="H226" s="2398">
        <v>226</v>
      </c>
      <c r="I226" s="2398">
        <v>226</v>
      </c>
      <c r="J226" s="2398">
        <v>226</v>
      </c>
      <c r="K226" s="2398">
        <v>226</v>
      </c>
      <c r="L226" s="2489">
        <v>1</v>
      </c>
      <c r="M226" s="2399">
        <v>1</v>
      </c>
      <c r="N226" s="2399">
        <v>1</v>
      </c>
      <c r="O226" s="2399">
        <v>1</v>
      </c>
      <c r="P226" s="2399">
        <v>1</v>
      </c>
      <c r="Q226" s="2399">
        <v>1</v>
      </c>
      <c r="R226" s="2399">
        <v>1</v>
      </c>
      <c r="S226" s="2399">
        <v>1</v>
      </c>
      <c r="T226" s="2399">
        <v>1</v>
      </c>
      <c r="U226" s="2399">
        <v>1</v>
      </c>
      <c r="V226" s="2399">
        <v>1</v>
      </c>
      <c r="W226" s="2399">
        <v>1</v>
      </c>
      <c r="X226" s="2399">
        <v>1</v>
      </c>
      <c r="Y226" s="2398">
        <v>226</v>
      </c>
      <c r="Z226" s="2399">
        <v>1</v>
      </c>
      <c r="AA226" s="2489">
        <v>1</v>
      </c>
      <c r="AB226" s="2399">
        <v>1</v>
      </c>
      <c r="AC226" s="2399">
        <v>1</v>
      </c>
      <c r="AD226" s="2399">
        <v>1</v>
      </c>
      <c r="AE226" s="2399">
        <v>1</v>
      </c>
      <c r="AF226" s="2399">
        <v>1</v>
      </c>
      <c r="AG226" s="2399">
        <v>1</v>
      </c>
      <c r="AH226" s="2378">
        <v>1</v>
      </c>
      <c r="AI226" s="2399">
        <v>1</v>
      </c>
      <c r="AJ226" s="2399">
        <v>1</v>
      </c>
      <c r="AK226" s="2399">
        <v>7</v>
      </c>
      <c r="AL226" s="2399">
        <v>1</v>
      </c>
      <c r="AM226" s="2399">
        <v>7</v>
      </c>
      <c r="AN226" s="3507">
        <v>0</v>
      </c>
      <c r="AO226" s="2399" t="b">
        <v>0</v>
      </c>
      <c r="AP226" s="2399" t="b">
        <v>0</v>
      </c>
    </row>
    <row r="227" spans="1:42" x14ac:dyDescent="0.2">
      <c r="A227" s="574">
        <v>226</v>
      </c>
      <c r="B227" s="2398">
        <v>227</v>
      </c>
      <c r="C227" s="2398">
        <v>227</v>
      </c>
      <c r="D227" s="2398">
        <v>227</v>
      </c>
      <c r="E227" s="2398">
        <v>227</v>
      </c>
      <c r="F227" s="2398">
        <v>227</v>
      </c>
      <c r="G227" s="2398">
        <v>227</v>
      </c>
      <c r="H227" s="2398">
        <v>227</v>
      </c>
      <c r="I227" s="2398">
        <v>227</v>
      </c>
      <c r="J227" s="2398">
        <v>227</v>
      </c>
      <c r="K227" s="2398">
        <v>227</v>
      </c>
      <c r="L227" s="2489">
        <v>1</v>
      </c>
      <c r="M227" s="2399">
        <v>1</v>
      </c>
      <c r="N227" s="2399">
        <v>1</v>
      </c>
      <c r="O227" s="2399">
        <v>1</v>
      </c>
      <c r="P227" s="2399">
        <v>1</v>
      </c>
      <c r="Q227" s="2399">
        <v>1</v>
      </c>
      <c r="R227" s="2399">
        <v>1</v>
      </c>
      <c r="S227" s="2399">
        <v>1</v>
      </c>
      <c r="T227" s="2399">
        <v>1</v>
      </c>
      <c r="U227" s="2399">
        <v>1</v>
      </c>
      <c r="V227" s="2399">
        <v>1</v>
      </c>
      <c r="W227" s="2399">
        <v>1</v>
      </c>
      <c r="X227" s="2399">
        <v>1</v>
      </c>
      <c r="Y227" s="2398">
        <v>227</v>
      </c>
      <c r="Z227" s="2399">
        <v>1</v>
      </c>
      <c r="AA227" s="2489">
        <v>1</v>
      </c>
      <c r="AB227" s="2398">
        <v>227</v>
      </c>
      <c r="AC227" s="2399">
        <v>1</v>
      </c>
      <c r="AD227" s="2399">
        <v>1</v>
      </c>
      <c r="AE227" s="2399">
        <v>1</v>
      </c>
      <c r="AF227" s="2399">
        <v>1</v>
      </c>
      <c r="AG227" s="2399">
        <v>1</v>
      </c>
      <c r="AH227" s="2378">
        <v>1</v>
      </c>
      <c r="AI227" s="2399">
        <v>1</v>
      </c>
      <c r="AJ227" s="2399">
        <v>1</v>
      </c>
      <c r="AK227" s="2399">
        <v>1</v>
      </c>
      <c r="AL227" s="2399">
        <v>1</v>
      </c>
      <c r="AM227" s="2399">
        <v>7</v>
      </c>
      <c r="AN227" s="3507">
        <v>0</v>
      </c>
      <c r="AO227" s="2399" t="b">
        <v>0</v>
      </c>
      <c r="AP227" s="2399" t="b">
        <v>0</v>
      </c>
    </row>
    <row r="228" spans="1:42" x14ac:dyDescent="0.2">
      <c r="A228" s="574">
        <v>227</v>
      </c>
      <c r="B228" s="2398">
        <v>228</v>
      </c>
      <c r="C228" s="2398">
        <v>228</v>
      </c>
      <c r="D228" s="2398">
        <v>228</v>
      </c>
      <c r="E228" s="2398">
        <v>228</v>
      </c>
      <c r="F228" s="2398">
        <v>228</v>
      </c>
      <c r="G228" s="2398">
        <v>228</v>
      </c>
      <c r="H228" s="2398">
        <v>228</v>
      </c>
      <c r="I228" s="2398">
        <v>228</v>
      </c>
      <c r="J228" s="2398">
        <v>228</v>
      </c>
      <c r="K228" s="2398">
        <v>228</v>
      </c>
      <c r="L228" s="2489">
        <v>1</v>
      </c>
      <c r="M228" s="2399">
        <v>1</v>
      </c>
      <c r="N228" s="2399">
        <v>1</v>
      </c>
      <c r="O228" s="2399">
        <v>1</v>
      </c>
      <c r="P228" s="2399">
        <v>1</v>
      </c>
      <c r="Q228" s="2399">
        <v>1</v>
      </c>
      <c r="R228" s="2399">
        <v>1</v>
      </c>
      <c r="S228" s="2399">
        <v>1</v>
      </c>
      <c r="T228" s="2399">
        <v>1</v>
      </c>
      <c r="U228" s="2399">
        <v>1</v>
      </c>
      <c r="V228" s="2399">
        <v>1</v>
      </c>
      <c r="W228" s="2399">
        <v>1</v>
      </c>
      <c r="X228" s="2399">
        <v>1</v>
      </c>
      <c r="Y228" s="2399">
        <v>1</v>
      </c>
      <c r="Z228" s="2399">
        <v>1</v>
      </c>
      <c r="AA228" s="2489">
        <v>1</v>
      </c>
      <c r="AB228" s="2399">
        <v>1</v>
      </c>
      <c r="AC228" s="2399">
        <v>1</v>
      </c>
      <c r="AD228" s="2399">
        <v>1</v>
      </c>
      <c r="AE228" s="2399">
        <v>1</v>
      </c>
      <c r="AF228" s="2399">
        <v>1</v>
      </c>
      <c r="AG228" s="2399">
        <v>1</v>
      </c>
      <c r="AH228" s="2378">
        <v>1</v>
      </c>
      <c r="AI228" s="2399">
        <v>1</v>
      </c>
      <c r="AJ228" s="2399">
        <v>1</v>
      </c>
      <c r="AK228" s="2399">
        <v>1</v>
      </c>
      <c r="AL228" s="2399">
        <v>1</v>
      </c>
      <c r="AM228" s="2399">
        <v>7</v>
      </c>
      <c r="AN228" s="3507">
        <v>0</v>
      </c>
      <c r="AO228" s="2399" t="b">
        <v>0</v>
      </c>
      <c r="AP228" s="2399" t="b">
        <v>0</v>
      </c>
    </row>
    <row r="229" spans="1:42" x14ac:dyDescent="0.2">
      <c r="A229" s="574">
        <v>228</v>
      </c>
      <c r="B229" s="2398">
        <v>229</v>
      </c>
      <c r="C229" s="2398">
        <v>229</v>
      </c>
      <c r="D229" s="2398">
        <v>229</v>
      </c>
      <c r="E229" s="2398">
        <v>229</v>
      </c>
      <c r="F229" s="2398">
        <v>229</v>
      </c>
      <c r="G229" s="2398">
        <v>229</v>
      </c>
      <c r="H229" s="2398">
        <v>229</v>
      </c>
      <c r="I229" s="2398">
        <v>229</v>
      </c>
      <c r="J229" s="2398">
        <v>229</v>
      </c>
      <c r="K229" s="2398">
        <v>229</v>
      </c>
      <c r="L229" s="2489">
        <v>1</v>
      </c>
      <c r="M229" s="2399">
        <v>1</v>
      </c>
      <c r="N229" s="2399">
        <v>1</v>
      </c>
      <c r="O229" s="2399">
        <v>1</v>
      </c>
      <c r="P229" s="2399">
        <v>1</v>
      </c>
      <c r="Q229" s="2399">
        <v>1</v>
      </c>
      <c r="R229" s="2399">
        <v>1</v>
      </c>
      <c r="S229" s="2399">
        <v>1</v>
      </c>
      <c r="T229" s="2399">
        <v>1</v>
      </c>
      <c r="U229" s="2399">
        <v>1</v>
      </c>
      <c r="V229" s="2399">
        <v>1</v>
      </c>
      <c r="W229" s="2399">
        <v>1</v>
      </c>
      <c r="X229" s="2399">
        <v>1</v>
      </c>
      <c r="Y229" s="2399">
        <v>1</v>
      </c>
      <c r="Z229" s="2399">
        <v>1</v>
      </c>
      <c r="AA229" s="2489">
        <v>1</v>
      </c>
      <c r="AB229" s="2399">
        <v>1</v>
      </c>
      <c r="AC229" s="2399">
        <v>1</v>
      </c>
      <c r="AD229" s="2399">
        <v>1</v>
      </c>
      <c r="AE229" s="2399">
        <v>1</v>
      </c>
      <c r="AF229" s="2399">
        <v>1</v>
      </c>
      <c r="AG229" s="2399">
        <v>1</v>
      </c>
      <c r="AH229" s="2378">
        <v>1</v>
      </c>
      <c r="AI229" s="2399">
        <v>1</v>
      </c>
      <c r="AJ229" s="2399">
        <v>1</v>
      </c>
      <c r="AK229" s="2399">
        <v>1</v>
      </c>
      <c r="AL229" s="2399">
        <v>1</v>
      </c>
      <c r="AM229" s="2399">
        <v>7</v>
      </c>
      <c r="AN229" s="3507">
        <v>0</v>
      </c>
      <c r="AO229" s="2399" t="b">
        <v>0</v>
      </c>
      <c r="AP229" s="2399" t="b">
        <v>0</v>
      </c>
    </row>
    <row r="230" spans="1:42" x14ac:dyDescent="0.2">
      <c r="A230" s="574">
        <v>229</v>
      </c>
      <c r="B230" s="2398">
        <v>230</v>
      </c>
      <c r="C230" s="2398">
        <v>230</v>
      </c>
      <c r="D230" s="2398">
        <v>230</v>
      </c>
      <c r="E230" s="2398">
        <v>230</v>
      </c>
      <c r="F230" s="2398">
        <v>230</v>
      </c>
      <c r="G230" s="2398">
        <v>230</v>
      </c>
      <c r="H230" s="2398">
        <v>230</v>
      </c>
      <c r="I230" s="2398">
        <v>230</v>
      </c>
      <c r="J230" s="2398">
        <v>230</v>
      </c>
      <c r="K230" s="2398">
        <v>230</v>
      </c>
      <c r="L230" s="2489">
        <v>1</v>
      </c>
      <c r="M230" s="2399">
        <v>1</v>
      </c>
      <c r="N230" s="2399">
        <v>1</v>
      </c>
      <c r="O230" s="2399">
        <v>1</v>
      </c>
      <c r="P230" s="2399">
        <v>1</v>
      </c>
      <c r="Q230" s="2399">
        <v>1</v>
      </c>
      <c r="R230" s="2399">
        <v>1</v>
      </c>
      <c r="S230" s="2399">
        <v>1</v>
      </c>
      <c r="T230" s="2399">
        <v>1</v>
      </c>
      <c r="U230" s="2399">
        <v>1</v>
      </c>
      <c r="V230" s="2398">
        <v>230</v>
      </c>
      <c r="W230" s="2399">
        <v>1</v>
      </c>
      <c r="X230" s="2399">
        <v>1</v>
      </c>
      <c r="Y230" s="2399">
        <v>1</v>
      </c>
      <c r="Z230" s="2399">
        <v>1</v>
      </c>
      <c r="AA230" s="2489">
        <v>1</v>
      </c>
      <c r="AB230" s="2399">
        <v>1</v>
      </c>
      <c r="AC230" s="2399">
        <v>1</v>
      </c>
      <c r="AD230" s="2399">
        <v>1</v>
      </c>
      <c r="AE230" s="2399">
        <v>1</v>
      </c>
      <c r="AF230" s="2399">
        <v>1</v>
      </c>
      <c r="AG230" s="2399">
        <v>1</v>
      </c>
      <c r="AH230" s="2378">
        <v>1</v>
      </c>
      <c r="AI230" s="2399">
        <v>1</v>
      </c>
      <c r="AJ230" s="2399">
        <v>1</v>
      </c>
      <c r="AK230" s="2399">
        <v>1</v>
      </c>
      <c r="AL230" s="2399">
        <v>1</v>
      </c>
      <c r="AM230" s="2399">
        <v>7</v>
      </c>
      <c r="AN230" s="3507">
        <v>0</v>
      </c>
      <c r="AO230" s="2399" t="b">
        <v>0</v>
      </c>
      <c r="AP230" s="2399" t="b">
        <v>0</v>
      </c>
    </row>
    <row r="231" spans="1:42" x14ac:dyDescent="0.2">
      <c r="A231" s="574">
        <v>230</v>
      </c>
      <c r="B231" s="2398">
        <v>231</v>
      </c>
      <c r="C231" s="2398">
        <v>231</v>
      </c>
      <c r="D231" s="2398">
        <v>231</v>
      </c>
      <c r="E231" s="2398">
        <v>231</v>
      </c>
      <c r="F231" s="2398">
        <v>231</v>
      </c>
      <c r="G231" s="2398">
        <v>231</v>
      </c>
      <c r="H231" s="2398">
        <v>231</v>
      </c>
      <c r="I231" s="2398">
        <v>231</v>
      </c>
      <c r="J231" s="2398">
        <v>231</v>
      </c>
      <c r="K231" s="2398">
        <v>231</v>
      </c>
      <c r="L231" s="2489">
        <v>1</v>
      </c>
      <c r="M231" s="2399">
        <v>1</v>
      </c>
      <c r="N231" s="2399">
        <v>1</v>
      </c>
      <c r="O231" s="2399">
        <v>1</v>
      </c>
      <c r="P231" s="2399">
        <v>1</v>
      </c>
      <c r="Q231" s="2399">
        <v>1</v>
      </c>
      <c r="R231" s="2399">
        <v>1</v>
      </c>
      <c r="S231" s="2399">
        <v>1</v>
      </c>
      <c r="T231" s="2399">
        <v>1</v>
      </c>
      <c r="U231" s="2399">
        <v>1</v>
      </c>
      <c r="V231" s="2399">
        <v>1</v>
      </c>
      <c r="W231" s="2399">
        <v>1</v>
      </c>
      <c r="X231" s="2399">
        <v>1</v>
      </c>
      <c r="Y231" s="2399">
        <v>1</v>
      </c>
      <c r="Z231" s="2399">
        <v>1</v>
      </c>
      <c r="AA231" s="2489">
        <v>1</v>
      </c>
      <c r="AB231" s="2399">
        <v>1</v>
      </c>
      <c r="AC231" s="2399">
        <v>1</v>
      </c>
      <c r="AD231" s="2399">
        <v>1</v>
      </c>
      <c r="AE231" s="2399">
        <v>1</v>
      </c>
      <c r="AF231" s="2399">
        <v>1</v>
      </c>
      <c r="AG231" s="2399">
        <v>1</v>
      </c>
      <c r="AH231" s="2378">
        <v>1</v>
      </c>
      <c r="AI231" s="2399">
        <v>1</v>
      </c>
      <c r="AJ231" s="2399">
        <v>1</v>
      </c>
      <c r="AK231" s="2399">
        <v>1</v>
      </c>
      <c r="AL231" s="2399">
        <v>1</v>
      </c>
      <c r="AM231" s="2399">
        <v>7</v>
      </c>
      <c r="AN231" s="3507">
        <v>0</v>
      </c>
      <c r="AO231" s="2399" t="b">
        <v>0</v>
      </c>
      <c r="AP231" s="2399" t="b">
        <v>0</v>
      </c>
    </row>
    <row r="232" spans="1:42" x14ac:dyDescent="0.2">
      <c r="A232" s="574">
        <v>231</v>
      </c>
      <c r="B232" s="2398">
        <v>232</v>
      </c>
      <c r="C232" s="2398">
        <v>232</v>
      </c>
      <c r="D232" s="2398">
        <v>232</v>
      </c>
      <c r="E232" s="2398">
        <v>232</v>
      </c>
      <c r="F232" s="2398">
        <v>232</v>
      </c>
      <c r="G232" s="2398">
        <v>232</v>
      </c>
      <c r="H232" s="2398">
        <v>232</v>
      </c>
      <c r="I232" s="2398">
        <v>232</v>
      </c>
      <c r="J232" s="2398">
        <v>232</v>
      </c>
      <c r="K232" s="2398">
        <v>232</v>
      </c>
      <c r="L232" s="2489">
        <v>1</v>
      </c>
      <c r="M232" s="2399">
        <v>1</v>
      </c>
      <c r="N232" s="2398">
        <v>232</v>
      </c>
      <c r="O232" s="2399">
        <v>1</v>
      </c>
      <c r="P232" s="2399">
        <v>1</v>
      </c>
      <c r="Q232" s="2399">
        <v>1</v>
      </c>
      <c r="R232" s="2399">
        <v>1</v>
      </c>
      <c r="S232" s="2399">
        <v>1</v>
      </c>
      <c r="T232" s="2399">
        <v>1</v>
      </c>
      <c r="U232" s="2399">
        <v>1</v>
      </c>
      <c r="V232" s="2399">
        <v>1</v>
      </c>
      <c r="W232" s="2399">
        <v>1</v>
      </c>
      <c r="X232" s="2399">
        <v>1</v>
      </c>
      <c r="Y232" s="2399">
        <v>1</v>
      </c>
      <c r="Z232" s="2399">
        <v>1</v>
      </c>
      <c r="AA232" s="2489">
        <v>1</v>
      </c>
      <c r="AB232" s="2399">
        <v>1</v>
      </c>
      <c r="AC232" s="2399">
        <v>1</v>
      </c>
      <c r="AD232" s="2399">
        <v>1</v>
      </c>
      <c r="AE232" s="2399">
        <v>1</v>
      </c>
      <c r="AF232" s="2399">
        <v>1</v>
      </c>
      <c r="AG232" s="2399">
        <v>1</v>
      </c>
      <c r="AH232" s="2378">
        <v>1</v>
      </c>
      <c r="AI232" s="2399">
        <v>1</v>
      </c>
      <c r="AJ232" s="2399">
        <v>1</v>
      </c>
      <c r="AK232" s="2399">
        <v>1</v>
      </c>
      <c r="AL232" s="2399">
        <v>1</v>
      </c>
      <c r="AM232" s="2399">
        <v>7</v>
      </c>
      <c r="AN232" s="3507">
        <v>0</v>
      </c>
      <c r="AO232" s="2399" t="b">
        <v>0</v>
      </c>
      <c r="AP232" s="2399" t="b">
        <v>0</v>
      </c>
    </row>
    <row r="233" spans="1:42" x14ac:dyDescent="0.2">
      <c r="A233" s="574">
        <v>232</v>
      </c>
      <c r="B233" s="2398">
        <v>233</v>
      </c>
      <c r="C233" s="2398">
        <v>233</v>
      </c>
      <c r="D233" s="2398">
        <v>233</v>
      </c>
      <c r="E233" s="2398">
        <v>233</v>
      </c>
      <c r="F233" s="2398">
        <v>233</v>
      </c>
      <c r="G233" s="2398">
        <v>233</v>
      </c>
      <c r="H233" s="2398">
        <v>233</v>
      </c>
      <c r="I233" s="2398">
        <v>233</v>
      </c>
      <c r="J233" s="2398">
        <v>233</v>
      </c>
      <c r="K233" s="2398">
        <v>233</v>
      </c>
      <c r="L233" s="2489">
        <v>1</v>
      </c>
      <c r="M233" s="2399">
        <v>1</v>
      </c>
      <c r="N233" s="2399">
        <v>1</v>
      </c>
      <c r="O233" s="2399">
        <v>1</v>
      </c>
      <c r="P233" s="2399">
        <v>1</v>
      </c>
      <c r="Q233" s="2398">
        <v>233</v>
      </c>
      <c r="R233" s="2399">
        <v>1</v>
      </c>
      <c r="S233" s="2399">
        <v>1</v>
      </c>
      <c r="T233" s="2399">
        <v>1</v>
      </c>
      <c r="U233" s="2399">
        <v>1</v>
      </c>
      <c r="V233" s="2399">
        <v>1</v>
      </c>
      <c r="W233" s="2399">
        <v>1</v>
      </c>
      <c r="X233" s="2399">
        <v>1</v>
      </c>
      <c r="Y233" s="2399">
        <v>1</v>
      </c>
      <c r="Z233" s="2399">
        <v>1</v>
      </c>
      <c r="AA233" s="2489">
        <v>1</v>
      </c>
      <c r="AB233" s="2399">
        <v>1</v>
      </c>
      <c r="AC233" s="2399">
        <v>1</v>
      </c>
      <c r="AD233" s="2399">
        <v>1</v>
      </c>
      <c r="AE233" s="2399">
        <v>1</v>
      </c>
      <c r="AF233" s="2399">
        <v>1</v>
      </c>
      <c r="AG233" s="2399">
        <v>1</v>
      </c>
      <c r="AH233" s="2378">
        <v>1</v>
      </c>
      <c r="AI233" s="2399">
        <v>1</v>
      </c>
      <c r="AJ233" s="2399">
        <v>1</v>
      </c>
      <c r="AK233" s="2399">
        <v>1</v>
      </c>
      <c r="AL233" s="2399">
        <v>1</v>
      </c>
      <c r="AM233" s="2399">
        <v>7</v>
      </c>
      <c r="AN233" s="3507">
        <v>0</v>
      </c>
      <c r="AO233" s="2399" t="b">
        <v>0</v>
      </c>
      <c r="AP233" s="2399" t="b">
        <v>0</v>
      </c>
    </row>
    <row r="234" spans="1:42" x14ac:dyDescent="0.2">
      <c r="A234" s="574">
        <v>233</v>
      </c>
      <c r="B234" s="2398">
        <v>234</v>
      </c>
      <c r="C234" s="2398">
        <v>234</v>
      </c>
      <c r="D234" s="2398">
        <v>234</v>
      </c>
      <c r="E234" s="2398">
        <v>234</v>
      </c>
      <c r="F234" s="2398">
        <v>234</v>
      </c>
      <c r="G234" s="2398">
        <v>234</v>
      </c>
      <c r="H234" s="2398">
        <v>234</v>
      </c>
      <c r="I234" s="2398">
        <v>234</v>
      </c>
      <c r="J234" s="2398">
        <v>234</v>
      </c>
      <c r="K234" s="2398">
        <v>234</v>
      </c>
      <c r="L234" s="2489">
        <v>1</v>
      </c>
      <c r="M234" s="2399">
        <v>1</v>
      </c>
      <c r="N234" s="2399">
        <v>1</v>
      </c>
      <c r="O234" s="2399">
        <v>1</v>
      </c>
      <c r="P234" s="2399">
        <v>1</v>
      </c>
      <c r="Q234" s="2399">
        <v>1</v>
      </c>
      <c r="R234" s="2399">
        <v>1</v>
      </c>
      <c r="S234" s="2399">
        <v>1</v>
      </c>
      <c r="T234" s="2399">
        <v>1</v>
      </c>
      <c r="U234" s="2399">
        <v>1</v>
      </c>
      <c r="V234" s="2399">
        <v>1</v>
      </c>
      <c r="W234" s="2399">
        <v>1</v>
      </c>
      <c r="X234" s="2399">
        <v>1</v>
      </c>
      <c r="Y234" s="2399">
        <v>1</v>
      </c>
      <c r="Z234" s="2399">
        <v>1</v>
      </c>
      <c r="AA234" s="2489">
        <v>1</v>
      </c>
      <c r="AB234" s="2399">
        <v>1</v>
      </c>
      <c r="AC234" s="2399">
        <v>1</v>
      </c>
      <c r="AD234" s="2399">
        <v>1</v>
      </c>
      <c r="AE234" s="2399">
        <v>1</v>
      </c>
      <c r="AF234" s="2399">
        <v>1</v>
      </c>
      <c r="AG234" s="2398">
        <v>234</v>
      </c>
      <c r="AH234" s="2399">
        <v>1</v>
      </c>
      <c r="AI234" s="2399">
        <v>1</v>
      </c>
      <c r="AJ234" s="2399">
        <v>1</v>
      </c>
      <c r="AK234" s="2399">
        <v>1</v>
      </c>
      <c r="AL234" s="2399">
        <v>1</v>
      </c>
      <c r="AM234" s="2399">
        <v>7</v>
      </c>
      <c r="AN234" s="3507">
        <v>0</v>
      </c>
      <c r="AO234" s="2399" t="b">
        <v>0</v>
      </c>
      <c r="AP234" s="2399" t="b">
        <v>0</v>
      </c>
    </row>
    <row r="235" spans="1:42" x14ac:dyDescent="0.2">
      <c r="A235" s="574">
        <v>234</v>
      </c>
      <c r="B235" s="2398">
        <v>235</v>
      </c>
      <c r="C235" s="2398">
        <v>235</v>
      </c>
      <c r="D235" s="2398">
        <v>235</v>
      </c>
      <c r="E235" s="2398">
        <v>235</v>
      </c>
      <c r="F235" s="2398">
        <v>235</v>
      </c>
      <c r="G235" s="2398">
        <v>235</v>
      </c>
      <c r="H235" s="2398">
        <v>235</v>
      </c>
      <c r="I235" s="2398">
        <v>235</v>
      </c>
      <c r="J235" s="2398">
        <v>235</v>
      </c>
      <c r="K235" s="2398">
        <v>235</v>
      </c>
      <c r="L235" s="2489">
        <v>1</v>
      </c>
      <c r="M235" s="2399">
        <v>1</v>
      </c>
      <c r="N235" s="2399">
        <v>1</v>
      </c>
      <c r="O235" s="2399">
        <v>1</v>
      </c>
      <c r="P235" s="2399">
        <v>1</v>
      </c>
      <c r="Q235" s="2399">
        <v>1</v>
      </c>
      <c r="R235" s="2399">
        <v>1</v>
      </c>
      <c r="S235" s="2399">
        <v>1</v>
      </c>
      <c r="T235" s="2399">
        <v>1</v>
      </c>
      <c r="U235" s="2399">
        <v>1</v>
      </c>
      <c r="V235" s="2399">
        <v>1</v>
      </c>
      <c r="W235" s="2399">
        <v>1</v>
      </c>
      <c r="X235" s="2399">
        <v>1</v>
      </c>
      <c r="Y235" s="2399">
        <v>1</v>
      </c>
      <c r="Z235" s="2399">
        <v>1</v>
      </c>
      <c r="AA235" s="2489">
        <v>1</v>
      </c>
      <c r="AB235" s="2399">
        <v>1</v>
      </c>
      <c r="AC235" s="2399">
        <v>1</v>
      </c>
      <c r="AD235" s="2399">
        <v>1</v>
      </c>
      <c r="AE235" s="2399">
        <v>1</v>
      </c>
      <c r="AF235" s="2399">
        <v>1</v>
      </c>
      <c r="AG235" s="2399">
        <v>1</v>
      </c>
      <c r="AH235" s="2378">
        <v>1</v>
      </c>
      <c r="AI235" s="2399">
        <v>1</v>
      </c>
      <c r="AJ235" s="2399">
        <v>1</v>
      </c>
      <c r="AK235" s="2399">
        <v>1</v>
      </c>
      <c r="AL235" s="2399">
        <v>1</v>
      </c>
      <c r="AM235" s="2399">
        <v>7</v>
      </c>
      <c r="AN235" s="3507">
        <v>0</v>
      </c>
      <c r="AO235" s="2399" t="b">
        <v>0</v>
      </c>
      <c r="AP235" s="2399" t="b">
        <v>0</v>
      </c>
    </row>
    <row r="236" spans="1:42" x14ac:dyDescent="0.2">
      <c r="A236" s="574">
        <v>235</v>
      </c>
      <c r="B236" s="2398">
        <v>236</v>
      </c>
      <c r="C236" s="2398">
        <v>236</v>
      </c>
      <c r="D236" s="2398">
        <v>236</v>
      </c>
      <c r="E236" s="2398">
        <v>236</v>
      </c>
      <c r="F236" s="2398">
        <v>236</v>
      </c>
      <c r="G236" s="2398">
        <v>236</v>
      </c>
      <c r="H236" s="2398">
        <v>236</v>
      </c>
      <c r="I236" s="2398">
        <v>236</v>
      </c>
      <c r="J236" s="2398">
        <v>236</v>
      </c>
      <c r="K236" s="2398">
        <v>236</v>
      </c>
      <c r="L236" s="2489">
        <v>1</v>
      </c>
      <c r="M236" s="2399">
        <v>1</v>
      </c>
      <c r="N236" s="2399">
        <v>1</v>
      </c>
      <c r="O236" s="2399">
        <v>1</v>
      </c>
      <c r="P236" s="2399">
        <v>1</v>
      </c>
      <c r="Q236" s="2399">
        <v>1</v>
      </c>
      <c r="R236" s="2399">
        <v>1</v>
      </c>
      <c r="S236" s="2399">
        <v>1</v>
      </c>
      <c r="T236" s="2399">
        <v>1</v>
      </c>
      <c r="U236" s="2399">
        <v>1</v>
      </c>
      <c r="V236" s="2398">
        <v>236</v>
      </c>
      <c r="W236" s="2399">
        <v>1</v>
      </c>
      <c r="X236" s="2399">
        <v>1</v>
      </c>
      <c r="Y236" s="2399">
        <v>1</v>
      </c>
      <c r="Z236" s="2399">
        <v>1</v>
      </c>
      <c r="AA236" s="2489">
        <v>1</v>
      </c>
      <c r="AB236" s="2399">
        <v>1</v>
      </c>
      <c r="AC236" s="2399">
        <v>1</v>
      </c>
      <c r="AD236" s="2399">
        <v>1</v>
      </c>
      <c r="AE236" s="2399">
        <v>1</v>
      </c>
      <c r="AF236" s="2399">
        <v>1</v>
      </c>
      <c r="AG236" s="2399">
        <v>1</v>
      </c>
      <c r="AH236" s="2378">
        <v>1</v>
      </c>
      <c r="AI236" s="2399">
        <v>1</v>
      </c>
      <c r="AJ236" s="2399">
        <v>1</v>
      </c>
      <c r="AK236" s="2399">
        <v>1</v>
      </c>
      <c r="AL236" s="2399">
        <v>1</v>
      </c>
      <c r="AM236" s="2399">
        <v>7</v>
      </c>
      <c r="AN236" s="3507">
        <v>0</v>
      </c>
      <c r="AO236" s="2399" t="b">
        <v>0</v>
      </c>
      <c r="AP236" s="2399" t="b">
        <v>0</v>
      </c>
    </row>
    <row r="237" spans="1:42" x14ac:dyDescent="0.2">
      <c r="A237" s="574">
        <v>236</v>
      </c>
      <c r="B237" s="2398">
        <v>237</v>
      </c>
      <c r="C237" s="2398">
        <v>237</v>
      </c>
      <c r="D237" s="2398">
        <v>237</v>
      </c>
      <c r="E237" s="2398">
        <v>237</v>
      </c>
      <c r="F237" s="2398">
        <v>237</v>
      </c>
      <c r="G237" s="2398">
        <v>237</v>
      </c>
      <c r="H237" s="2398">
        <v>237</v>
      </c>
      <c r="I237" s="2398">
        <v>237</v>
      </c>
      <c r="J237" s="2398">
        <v>237</v>
      </c>
      <c r="K237" s="2398">
        <v>237</v>
      </c>
      <c r="L237" s="2489">
        <v>1</v>
      </c>
      <c r="M237" s="2398">
        <v>237</v>
      </c>
      <c r="N237" s="2399">
        <v>1</v>
      </c>
      <c r="O237" s="2399">
        <v>1</v>
      </c>
      <c r="P237" s="2399">
        <v>1</v>
      </c>
      <c r="Q237" s="2399">
        <v>1</v>
      </c>
      <c r="R237" s="2399">
        <v>1</v>
      </c>
      <c r="S237" s="2399">
        <v>1</v>
      </c>
      <c r="T237" s="2399">
        <v>1</v>
      </c>
      <c r="U237" s="2399">
        <v>1</v>
      </c>
      <c r="V237" s="2398">
        <v>237</v>
      </c>
      <c r="W237" s="2399">
        <v>1</v>
      </c>
      <c r="X237" s="2399">
        <v>1</v>
      </c>
      <c r="Y237" s="2399">
        <v>1</v>
      </c>
      <c r="Z237" s="2399">
        <v>1</v>
      </c>
      <c r="AA237" s="2489">
        <v>1</v>
      </c>
      <c r="AB237" s="2399">
        <v>1</v>
      </c>
      <c r="AC237" s="2399">
        <v>1</v>
      </c>
      <c r="AD237" s="2399">
        <v>1</v>
      </c>
      <c r="AE237" s="2399">
        <v>1</v>
      </c>
      <c r="AF237" s="2399">
        <v>1</v>
      </c>
      <c r="AG237" s="2398">
        <v>237</v>
      </c>
      <c r="AH237" s="2398">
        <v>237</v>
      </c>
      <c r="AI237" s="2399">
        <v>1</v>
      </c>
      <c r="AJ237" s="2399">
        <v>15</v>
      </c>
      <c r="AK237" s="2399">
        <v>1</v>
      </c>
      <c r="AL237" s="2399">
        <v>1</v>
      </c>
      <c r="AM237" s="2399">
        <v>7</v>
      </c>
      <c r="AN237" s="3507">
        <v>0</v>
      </c>
      <c r="AO237" s="2399" t="b">
        <v>0</v>
      </c>
      <c r="AP237" s="2399" t="b">
        <v>0</v>
      </c>
    </row>
    <row r="238" spans="1:42" x14ac:dyDescent="0.2">
      <c r="A238" s="574">
        <v>237</v>
      </c>
      <c r="B238" s="2398">
        <v>238</v>
      </c>
      <c r="C238" s="2398">
        <v>238</v>
      </c>
      <c r="D238" s="2398">
        <v>238</v>
      </c>
      <c r="E238" s="2398">
        <v>238</v>
      </c>
      <c r="F238" s="2398">
        <v>238</v>
      </c>
      <c r="G238" s="2398">
        <v>238</v>
      </c>
      <c r="H238" s="2398">
        <v>238</v>
      </c>
      <c r="I238" s="2398">
        <v>238</v>
      </c>
      <c r="J238" s="2398">
        <v>238</v>
      </c>
      <c r="K238" s="2398">
        <v>238</v>
      </c>
      <c r="L238" s="2489">
        <v>1</v>
      </c>
      <c r="M238" s="2399">
        <v>1</v>
      </c>
      <c r="N238" s="2399">
        <v>1</v>
      </c>
      <c r="O238" s="2399">
        <v>1</v>
      </c>
      <c r="P238" s="2399">
        <v>1</v>
      </c>
      <c r="Q238" s="2399">
        <v>1</v>
      </c>
      <c r="R238" s="2399">
        <v>1</v>
      </c>
      <c r="S238" s="2399">
        <v>1</v>
      </c>
      <c r="T238" s="2399">
        <v>1</v>
      </c>
      <c r="U238" s="2399">
        <v>1</v>
      </c>
      <c r="V238" s="2398">
        <v>238</v>
      </c>
      <c r="W238" s="2399">
        <v>1</v>
      </c>
      <c r="X238" s="2399">
        <v>1</v>
      </c>
      <c r="Y238" s="2399">
        <v>1</v>
      </c>
      <c r="Z238" s="2399">
        <v>1</v>
      </c>
      <c r="AA238" s="2489">
        <v>1</v>
      </c>
      <c r="AB238" s="2399">
        <v>1</v>
      </c>
      <c r="AC238" s="2399">
        <v>1</v>
      </c>
      <c r="AD238" s="2399">
        <v>1</v>
      </c>
      <c r="AE238" s="2399">
        <v>1</v>
      </c>
      <c r="AF238" s="2399">
        <v>1</v>
      </c>
      <c r="AG238" s="2399">
        <v>1</v>
      </c>
      <c r="AH238" s="2378">
        <v>1</v>
      </c>
      <c r="AI238" s="2399">
        <v>1</v>
      </c>
      <c r="AJ238" s="2399">
        <v>1</v>
      </c>
      <c r="AK238" s="2399">
        <v>1</v>
      </c>
      <c r="AL238" s="2399">
        <v>1</v>
      </c>
      <c r="AM238" s="2399">
        <v>7</v>
      </c>
      <c r="AN238" s="3507">
        <v>0</v>
      </c>
      <c r="AO238" s="2399" t="b">
        <v>0</v>
      </c>
      <c r="AP238" s="2399" t="b">
        <v>0</v>
      </c>
    </row>
    <row r="239" spans="1:42" x14ac:dyDescent="0.2">
      <c r="A239" s="574">
        <v>238</v>
      </c>
      <c r="B239" s="2398">
        <v>239</v>
      </c>
      <c r="C239" s="2398">
        <v>239</v>
      </c>
      <c r="D239" s="2398">
        <v>239</v>
      </c>
      <c r="E239" s="2398">
        <v>239</v>
      </c>
      <c r="F239" s="2398">
        <v>239</v>
      </c>
      <c r="G239" s="2398">
        <v>239</v>
      </c>
      <c r="H239" s="2398">
        <v>239</v>
      </c>
      <c r="I239" s="2398">
        <v>239</v>
      </c>
      <c r="J239" s="2398">
        <v>239</v>
      </c>
      <c r="K239" s="2398">
        <v>239</v>
      </c>
      <c r="L239" s="2489">
        <v>1</v>
      </c>
      <c r="M239" s="2399">
        <v>7</v>
      </c>
      <c r="N239" s="2399">
        <v>1</v>
      </c>
      <c r="O239" s="2399">
        <v>1</v>
      </c>
      <c r="P239" s="2399">
        <v>1</v>
      </c>
      <c r="Q239" s="2399">
        <v>1</v>
      </c>
      <c r="R239" s="2399">
        <v>1</v>
      </c>
      <c r="S239" s="2399">
        <v>1</v>
      </c>
      <c r="T239" s="2399">
        <v>1</v>
      </c>
      <c r="U239" s="2399">
        <v>1</v>
      </c>
      <c r="V239" s="2398">
        <v>239</v>
      </c>
      <c r="W239" s="2399">
        <v>1</v>
      </c>
      <c r="X239" s="2399">
        <v>1</v>
      </c>
      <c r="Y239" s="2399">
        <v>1</v>
      </c>
      <c r="Z239" s="2399">
        <v>1</v>
      </c>
      <c r="AA239" s="2489">
        <v>1</v>
      </c>
      <c r="AB239" s="2399">
        <v>1</v>
      </c>
      <c r="AC239" s="2399">
        <v>1</v>
      </c>
      <c r="AD239" s="2399">
        <v>1</v>
      </c>
      <c r="AE239" s="2399">
        <v>1</v>
      </c>
      <c r="AF239" s="2399">
        <v>1</v>
      </c>
      <c r="AG239" s="2398">
        <v>239</v>
      </c>
      <c r="AH239" s="2399">
        <v>1</v>
      </c>
      <c r="AI239" s="2399">
        <v>1</v>
      </c>
      <c r="AJ239" s="2399">
        <v>16</v>
      </c>
      <c r="AK239" s="2399">
        <v>1</v>
      </c>
      <c r="AL239" s="2399">
        <v>1</v>
      </c>
      <c r="AM239" s="2399">
        <v>7</v>
      </c>
      <c r="AN239" s="3507">
        <v>0</v>
      </c>
      <c r="AO239" s="2399" t="b">
        <v>0</v>
      </c>
      <c r="AP239" s="2399" t="b">
        <v>0</v>
      </c>
    </row>
    <row r="240" spans="1:42" x14ac:dyDescent="0.2">
      <c r="A240" s="574">
        <v>239</v>
      </c>
      <c r="B240" s="2398">
        <v>240</v>
      </c>
      <c r="C240" s="2398">
        <v>240</v>
      </c>
      <c r="D240" s="2398">
        <v>240</v>
      </c>
      <c r="E240" s="2398">
        <v>240</v>
      </c>
      <c r="F240" s="2398">
        <v>240</v>
      </c>
      <c r="G240" s="2398">
        <v>240</v>
      </c>
      <c r="H240" s="2398">
        <v>240</v>
      </c>
      <c r="I240" s="2398">
        <v>240</v>
      </c>
      <c r="J240" s="2398">
        <v>240</v>
      </c>
      <c r="K240" s="2398">
        <v>240</v>
      </c>
      <c r="L240" s="2489">
        <v>1</v>
      </c>
      <c r="M240" s="2399">
        <v>1</v>
      </c>
      <c r="N240" s="2399">
        <v>1</v>
      </c>
      <c r="O240" s="2399">
        <v>1</v>
      </c>
      <c r="P240" s="2399">
        <v>1</v>
      </c>
      <c r="Q240" s="2398">
        <v>240</v>
      </c>
      <c r="R240" s="2399">
        <v>1</v>
      </c>
      <c r="S240" s="2399">
        <v>1</v>
      </c>
      <c r="T240" s="2399">
        <v>1</v>
      </c>
      <c r="U240" s="2399">
        <v>1</v>
      </c>
      <c r="V240" s="2398">
        <v>240</v>
      </c>
      <c r="W240" s="2399">
        <v>1</v>
      </c>
      <c r="X240" s="2399">
        <v>1</v>
      </c>
      <c r="Y240" s="2399">
        <v>1</v>
      </c>
      <c r="Z240" s="2399">
        <v>1</v>
      </c>
      <c r="AA240" s="2489">
        <v>1</v>
      </c>
      <c r="AB240" s="2399">
        <v>1</v>
      </c>
      <c r="AC240" s="2399">
        <v>1</v>
      </c>
      <c r="AD240" s="2399">
        <v>1</v>
      </c>
      <c r="AE240" s="2399">
        <v>1</v>
      </c>
      <c r="AF240" s="2399">
        <v>1</v>
      </c>
      <c r="AG240" s="2399">
        <v>1</v>
      </c>
      <c r="AH240" s="2378">
        <v>1</v>
      </c>
      <c r="AI240" s="2399">
        <v>1</v>
      </c>
      <c r="AJ240" s="2399">
        <v>1</v>
      </c>
      <c r="AK240" s="2399">
        <v>1</v>
      </c>
      <c r="AL240" s="2399">
        <v>1</v>
      </c>
      <c r="AM240" s="2399">
        <v>7</v>
      </c>
      <c r="AN240" s="3507">
        <v>0</v>
      </c>
      <c r="AO240" s="2399" t="b">
        <v>0</v>
      </c>
      <c r="AP240" s="2399" t="b">
        <v>0</v>
      </c>
    </row>
    <row r="241" spans="1:42" x14ac:dyDescent="0.2">
      <c r="A241" s="574">
        <v>240</v>
      </c>
      <c r="B241" s="2398">
        <v>241</v>
      </c>
      <c r="C241" s="2398">
        <v>241</v>
      </c>
      <c r="D241" s="2398">
        <v>241</v>
      </c>
      <c r="E241" s="2398">
        <v>241</v>
      </c>
      <c r="F241" s="2398">
        <v>241</v>
      </c>
      <c r="G241" s="2398">
        <v>241</v>
      </c>
      <c r="H241" s="2398">
        <v>241</v>
      </c>
      <c r="I241" s="2398">
        <v>241</v>
      </c>
      <c r="J241" s="2398">
        <v>241</v>
      </c>
      <c r="K241" s="2398">
        <v>241</v>
      </c>
      <c r="L241" s="2489">
        <v>1</v>
      </c>
      <c r="M241" s="2399">
        <v>1</v>
      </c>
      <c r="N241" s="2398">
        <v>241</v>
      </c>
      <c r="O241" s="2399">
        <v>1</v>
      </c>
      <c r="P241" s="2399">
        <v>1</v>
      </c>
      <c r="Q241" s="2398">
        <v>241</v>
      </c>
      <c r="R241" s="2399">
        <v>1</v>
      </c>
      <c r="S241" s="2399">
        <v>1</v>
      </c>
      <c r="T241" s="2399">
        <v>1</v>
      </c>
      <c r="U241" s="2399">
        <v>1</v>
      </c>
      <c r="V241" s="2399">
        <v>1</v>
      </c>
      <c r="W241" s="2399">
        <v>1</v>
      </c>
      <c r="X241" s="2399">
        <v>1</v>
      </c>
      <c r="Y241" s="2399">
        <v>1</v>
      </c>
      <c r="Z241" s="2399">
        <v>1</v>
      </c>
      <c r="AA241" s="2489">
        <v>1</v>
      </c>
      <c r="AB241" s="2399">
        <v>1</v>
      </c>
      <c r="AC241" s="2399">
        <v>1</v>
      </c>
      <c r="AD241" s="2399">
        <v>1</v>
      </c>
      <c r="AE241" s="2399">
        <v>1</v>
      </c>
      <c r="AF241" s="2399">
        <v>1</v>
      </c>
      <c r="AG241" s="2399">
        <v>1</v>
      </c>
      <c r="AH241" s="2378">
        <v>1</v>
      </c>
      <c r="AI241" s="2399">
        <v>1</v>
      </c>
      <c r="AJ241" s="2399">
        <v>1</v>
      </c>
      <c r="AK241" s="2399">
        <v>1</v>
      </c>
      <c r="AL241" s="2399">
        <v>1</v>
      </c>
      <c r="AM241" s="2399">
        <v>7</v>
      </c>
      <c r="AN241" s="3507">
        <v>0</v>
      </c>
      <c r="AO241" s="2399" t="b">
        <v>0</v>
      </c>
      <c r="AP241" s="2399" t="b">
        <v>0</v>
      </c>
    </row>
    <row r="242" spans="1:42" x14ac:dyDescent="0.2">
      <c r="A242" s="574">
        <v>241</v>
      </c>
      <c r="B242" s="2398">
        <v>242</v>
      </c>
      <c r="C242" s="2398">
        <v>242</v>
      </c>
      <c r="D242" s="2398">
        <v>242</v>
      </c>
      <c r="E242" s="2398">
        <v>242</v>
      </c>
      <c r="F242" s="2398">
        <v>242</v>
      </c>
      <c r="G242" s="2398">
        <v>242</v>
      </c>
      <c r="H242" s="2398">
        <v>242</v>
      </c>
      <c r="I242" s="2398">
        <v>242</v>
      </c>
      <c r="J242" s="2398">
        <v>242</v>
      </c>
      <c r="K242" s="2398">
        <v>242</v>
      </c>
      <c r="L242" s="2489">
        <v>1</v>
      </c>
      <c r="M242" s="2399">
        <v>1</v>
      </c>
      <c r="N242" s="2399">
        <v>1</v>
      </c>
      <c r="O242" s="2399">
        <v>1</v>
      </c>
      <c r="P242" s="2399">
        <v>1</v>
      </c>
      <c r="Q242" s="2398">
        <v>242</v>
      </c>
      <c r="R242" s="2399">
        <v>1</v>
      </c>
      <c r="S242" s="2399">
        <v>1</v>
      </c>
      <c r="T242" s="2399">
        <v>1</v>
      </c>
      <c r="U242" s="2399">
        <v>1</v>
      </c>
      <c r="V242" s="2398">
        <v>242</v>
      </c>
      <c r="W242" s="2399">
        <v>1</v>
      </c>
      <c r="X242" s="2399">
        <v>1</v>
      </c>
      <c r="Y242" s="2399">
        <v>1</v>
      </c>
      <c r="Z242" s="2399">
        <v>1</v>
      </c>
      <c r="AA242" s="2489">
        <v>1</v>
      </c>
      <c r="AB242" s="2399">
        <v>1</v>
      </c>
      <c r="AC242" s="2399">
        <v>1</v>
      </c>
      <c r="AD242" s="2399">
        <v>1</v>
      </c>
      <c r="AE242" s="2399">
        <v>1</v>
      </c>
      <c r="AF242" s="2399">
        <v>1</v>
      </c>
      <c r="AG242" s="2399">
        <v>1</v>
      </c>
      <c r="AH242" s="2378">
        <v>1</v>
      </c>
      <c r="AI242" s="2399">
        <v>1</v>
      </c>
      <c r="AJ242" s="2399">
        <v>1</v>
      </c>
      <c r="AK242" s="2399">
        <v>1</v>
      </c>
      <c r="AL242" s="2399">
        <v>1</v>
      </c>
      <c r="AM242" s="2399">
        <v>7</v>
      </c>
      <c r="AN242" s="3507">
        <v>0</v>
      </c>
      <c r="AO242" s="2399" t="b">
        <v>0</v>
      </c>
      <c r="AP242" s="2399" t="b">
        <v>0</v>
      </c>
    </row>
    <row r="243" spans="1:42" x14ac:dyDescent="0.2">
      <c r="A243" s="574">
        <v>242</v>
      </c>
      <c r="B243" s="2398">
        <v>243</v>
      </c>
      <c r="C243" s="2398">
        <v>243</v>
      </c>
      <c r="D243" s="2398">
        <v>243</v>
      </c>
      <c r="E243" s="2398">
        <v>243</v>
      </c>
      <c r="F243" s="2398">
        <v>243</v>
      </c>
      <c r="G243" s="2398">
        <v>243</v>
      </c>
      <c r="H243" s="2398">
        <v>243</v>
      </c>
      <c r="I243" s="2398">
        <v>243</v>
      </c>
      <c r="J243" s="2398">
        <v>243</v>
      </c>
      <c r="K243" s="2398">
        <v>243</v>
      </c>
      <c r="L243" s="2489">
        <v>1</v>
      </c>
      <c r="M243" s="2399">
        <v>1</v>
      </c>
      <c r="N243" s="2399">
        <v>1</v>
      </c>
      <c r="O243" s="2399">
        <v>1</v>
      </c>
      <c r="P243" s="2399">
        <v>1</v>
      </c>
      <c r="Q243" s="2398">
        <v>243</v>
      </c>
      <c r="R243" s="2399">
        <v>1</v>
      </c>
      <c r="S243" s="2399">
        <v>1</v>
      </c>
      <c r="T243" s="2399">
        <v>1</v>
      </c>
      <c r="U243" s="2399">
        <v>1</v>
      </c>
      <c r="V243" s="2399">
        <v>1</v>
      </c>
      <c r="W243" s="2399">
        <v>1</v>
      </c>
      <c r="X243" s="2399">
        <v>1</v>
      </c>
      <c r="Y243" s="2399">
        <v>1</v>
      </c>
      <c r="Z243" s="2399">
        <v>1</v>
      </c>
      <c r="AA243" s="2489">
        <v>1</v>
      </c>
      <c r="AB243" s="2399">
        <v>1</v>
      </c>
      <c r="AC243" s="2399">
        <v>1</v>
      </c>
      <c r="AD243" s="2399">
        <v>1</v>
      </c>
      <c r="AE243" s="2399">
        <v>1</v>
      </c>
      <c r="AF243" s="2399">
        <v>1</v>
      </c>
      <c r="AG243" s="2399">
        <v>1</v>
      </c>
      <c r="AH243" s="2378">
        <v>1</v>
      </c>
      <c r="AI243" s="2399">
        <v>1</v>
      </c>
      <c r="AJ243" s="2399">
        <v>1</v>
      </c>
      <c r="AK243" s="2399">
        <v>1</v>
      </c>
      <c r="AL243" s="2399">
        <v>1</v>
      </c>
      <c r="AM243" s="2399">
        <v>7</v>
      </c>
      <c r="AN243" s="3507">
        <v>0</v>
      </c>
      <c r="AO243" s="2399" t="b">
        <v>0</v>
      </c>
      <c r="AP243" s="2399" t="b">
        <v>0</v>
      </c>
    </row>
    <row r="244" spans="1:42" x14ac:dyDescent="0.2">
      <c r="A244" s="574">
        <v>243</v>
      </c>
      <c r="B244" s="2398">
        <v>244</v>
      </c>
      <c r="C244" s="2398">
        <v>244</v>
      </c>
      <c r="D244" s="2398">
        <v>244</v>
      </c>
      <c r="E244" s="2398">
        <v>244</v>
      </c>
      <c r="F244" s="2398">
        <v>244</v>
      </c>
      <c r="G244" s="2398">
        <v>244</v>
      </c>
      <c r="H244" s="2398">
        <v>244</v>
      </c>
      <c r="I244" s="2398">
        <v>244</v>
      </c>
      <c r="J244" s="2398">
        <v>244</v>
      </c>
      <c r="K244" s="2398">
        <v>244</v>
      </c>
      <c r="L244" s="2489">
        <v>1</v>
      </c>
      <c r="M244" s="2399">
        <v>1</v>
      </c>
      <c r="N244" s="2399">
        <v>1</v>
      </c>
      <c r="O244" s="2399">
        <v>1</v>
      </c>
      <c r="P244" s="2399">
        <v>1</v>
      </c>
      <c r="Q244" s="2399">
        <v>1</v>
      </c>
      <c r="R244" s="2399">
        <v>1</v>
      </c>
      <c r="S244" s="2399">
        <v>1</v>
      </c>
      <c r="T244" s="2399">
        <v>1</v>
      </c>
      <c r="U244" s="2399">
        <v>1</v>
      </c>
      <c r="V244" s="2399">
        <v>1</v>
      </c>
      <c r="W244" s="2399">
        <v>1</v>
      </c>
      <c r="X244" s="2399">
        <v>1</v>
      </c>
      <c r="Y244" s="2399">
        <v>1</v>
      </c>
      <c r="Z244" s="2399">
        <v>1</v>
      </c>
      <c r="AA244" s="2489">
        <v>1</v>
      </c>
      <c r="AB244" s="2399">
        <v>1</v>
      </c>
      <c r="AC244" s="2399">
        <v>1</v>
      </c>
      <c r="AD244" s="2399">
        <v>1</v>
      </c>
      <c r="AE244" s="2399">
        <v>1</v>
      </c>
      <c r="AF244" s="2399">
        <v>1</v>
      </c>
      <c r="AG244" s="2399">
        <v>1</v>
      </c>
      <c r="AH244" s="2378">
        <v>1</v>
      </c>
      <c r="AI244" s="2399">
        <v>1</v>
      </c>
      <c r="AJ244" s="2399">
        <v>1</v>
      </c>
      <c r="AK244" s="2399">
        <v>1</v>
      </c>
      <c r="AL244" s="2399">
        <v>1</v>
      </c>
      <c r="AM244" s="2399">
        <v>7</v>
      </c>
      <c r="AN244" s="3507">
        <v>0</v>
      </c>
      <c r="AO244" s="2399" t="b">
        <v>0</v>
      </c>
      <c r="AP244" s="2399" t="b">
        <v>0</v>
      </c>
    </row>
    <row r="245" spans="1:42" x14ac:dyDescent="0.2">
      <c r="A245" s="574">
        <v>244</v>
      </c>
      <c r="B245" s="2398">
        <v>245</v>
      </c>
      <c r="C245" s="2398">
        <v>245</v>
      </c>
      <c r="D245" s="2398">
        <v>245</v>
      </c>
      <c r="E245" s="2398">
        <v>245</v>
      </c>
      <c r="F245" s="2398">
        <v>245</v>
      </c>
      <c r="G245" s="2398">
        <v>245</v>
      </c>
      <c r="H245" s="2398">
        <v>245</v>
      </c>
      <c r="I245" s="2398">
        <v>245</v>
      </c>
      <c r="J245" s="2398">
        <v>245</v>
      </c>
      <c r="K245" s="2398">
        <v>245</v>
      </c>
      <c r="L245" s="2489">
        <v>1</v>
      </c>
      <c r="M245" s="2399">
        <v>1</v>
      </c>
      <c r="N245" s="2399">
        <v>1</v>
      </c>
      <c r="O245" s="2399">
        <v>1</v>
      </c>
      <c r="P245" s="2399">
        <v>1</v>
      </c>
      <c r="Q245" s="2399">
        <v>1</v>
      </c>
      <c r="R245" s="2399">
        <v>1</v>
      </c>
      <c r="S245" s="2399">
        <v>1</v>
      </c>
      <c r="T245" s="2399">
        <v>1</v>
      </c>
      <c r="U245" s="2399">
        <v>1</v>
      </c>
      <c r="V245" s="2399">
        <v>1</v>
      </c>
      <c r="W245" s="2399">
        <v>1</v>
      </c>
      <c r="X245" s="2399">
        <v>1</v>
      </c>
      <c r="Y245" s="2399">
        <v>1</v>
      </c>
      <c r="Z245" s="2399">
        <v>1</v>
      </c>
      <c r="AA245" s="2489">
        <v>1</v>
      </c>
      <c r="AB245" s="2399">
        <v>1</v>
      </c>
      <c r="AC245" s="2399">
        <v>1</v>
      </c>
      <c r="AD245" s="2399">
        <v>1</v>
      </c>
      <c r="AE245" s="2399">
        <v>1</v>
      </c>
      <c r="AF245" s="2399">
        <v>1</v>
      </c>
      <c r="AG245" s="2399">
        <v>1</v>
      </c>
      <c r="AH245" s="2378">
        <v>1</v>
      </c>
      <c r="AI245" s="2399">
        <v>1</v>
      </c>
      <c r="AJ245" s="2399">
        <v>1</v>
      </c>
      <c r="AK245" s="2399">
        <v>1</v>
      </c>
      <c r="AL245" s="2399">
        <v>1</v>
      </c>
      <c r="AM245" s="2399">
        <v>7</v>
      </c>
      <c r="AN245" s="3507">
        <v>0</v>
      </c>
      <c r="AO245" s="2399" t="b">
        <v>0</v>
      </c>
      <c r="AP245" s="2399" t="b">
        <v>0</v>
      </c>
    </row>
    <row r="246" spans="1:42" x14ac:dyDescent="0.2">
      <c r="A246" s="574">
        <v>245</v>
      </c>
      <c r="B246" s="2398">
        <v>246</v>
      </c>
      <c r="C246" s="2398">
        <v>246</v>
      </c>
      <c r="D246" s="2398">
        <v>246</v>
      </c>
      <c r="E246" s="2398">
        <v>246</v>
      </c>
      <c r="F246" s="2398">
        <v>246</v>
      </c>
      <c r="G246" s="2398">
        <v>246</v>
      </c>
      <c r="H246" s="2398">
        <v>246</v>
      </c>
      <c r="I246" s="2398">
        <v>246</v>
      </c>
      <c r="J246" s="2398">
        <v>246</v>
      </c>
      <c r="K246" s="2398">
        <v>246</v>
      </c>
      <c r="L246" s="2489">
        <v>1</v>
      </c>
      <c r="M246" s="2399">
        <v>1</v>
      </c>
      <c r="N246" s="2399">
        <v>1</v>
      </c>
      <c r="O246" s="2399">
        <v>1</v>
      </c>
      <c r="P246" s="2399">
        <v>1</v>
      </c>
      <c r="Q246" s="2398">
        <v>246</v>
      </c>
      <c r="R246" s="2399">
        <v>1</v>
      </c>
      <c r="S246" s="2399">
        <v>1</v>
      </c>
      <c r="T246" s="2399">
        <v>1</v>
      </c>
      <c r="U246" s="2399">
        <v>1</v>
      </c>
      <c r="V246" s="2398">
        <v>246</v>
      </c>
      <c r="W246" s="2399">
        <v>1</v>
      </c>
      <c r="X246" s="2399">
        <v>1</v>
      </c>
      <c r="Y246" s="2399">
        <v>1</v>
      </c>
      <c r="Z246" s="2399">
        <v>1</v>
      </c>
      <c r="AA246" s="2489">
        <v>1</v>
      </c>
      <c r="AB246" s="2399">
        <v>1</v>
      </c>
      <c r="AC246" s="2398">
        <v>246</v>
      </c>
      <c r="AD246" s="2399">
        <v>5</v>
      </c>
      <c r="AE246" s="2399">
        <v>1</v>
      </c>
      <c r="AF246" s="2398">
        <v>246</v>
      </c>
      <c r="AG246" s="2399">
        <v>1</v>
      </c>
      <c r="AH246" s="2378">
        <v>1</v>
      </c>
      <c r="AI246" s="2399">
        <v>1</v>
      </c>
      <c r="AJ246" s="2399">
        <v>1</v>
      </c>
      <c r="AK246" s="2399">
        <v>1</v>
      </c>
      <c r="AL246" s="2399">
        <v>1</v>
      </c>
      <c r="AM246" s="2399">
        <v>7</v>
      </c>
      <c r="AN246" s="3507">
        <v>0</v>
      </c>
      <c r="AO246" s="2399" t="b">
        <v>0</v>
      </c>
      <c r="AP246" s="2399" t="b">
        <v>1</v>
      </c>
    </row>
    <row r="247" spans="1:42" x14ac:dyDescent="0.2">
      <c r="A247" s="3735">
        <v>246</v>
      </c>
      <c r="B247" s="2398">
        <v>247</v>
      </c>
      <c r="C247" s="2398">
        <v>247</v>
      </c>
      <c r="D247" s="2399">
        <v>1</v>
      </c>
      <c r="E247" s="2399">
        <v>1</v>
      </c>
      <c r="F247" s="2399">
        <v>1</v>
      </c>
      <c r="G247" s="2399">
        <v>1</v>
      </c>
      <c r="H247" s="2399">
        <v>1</v>
      </c>
      <c r="I247" s="2399">
        <v>1</v>
      </c>
      <c r="J247" s="2399">
        <v>1</v>
      </c>
      <c r="K247" s="2399">
        <v>1</v>
      </c>
      <c r="L247" s="2489">
        <v>1</v>
      </c>
      <c r="M247" s="2399">
        <v>1</v>
      </c>
      <c r="N247" s="2399">
        <v>1</v>
      </c>
      <c r="O247" s="2399">
        <v>1</v>
      </c>
      <c r="P247" s="2399">
        <v>1</v>
      </c>
      <c r="Q247" s="2399">
        <v>1</v>
      </c>
      <c r="R247" s="2399">
        <v>1</v>
      </c>
      <c r="S247" s="2399">
        <v>1</v>
      </c>
      <c r="T247" s="2399">
        <v>1</v>
      </c>
      <c r="U247" s="2399">
        <v>1</v>
      </c>
      <c r="V247" s="2399">
        <v>1</v>
      </c>
      <c r="W247" s="2399">
        <v>1</v>
      </c>
      <c r="X247" s="2399">
        <v>1</v>
      </c>
      <c r="Y247" s="2399">
        <v>1</v>
      </c>
      <c r="Z247" s="2399">
        <v>1</v>
      </c>
      <c r="AA247" s="2489">
        <v>1</v>
      </c>
      <c r="AB247" s="2399">
        <v>1</v>
      </c>
      <c r="AC247" s="2399">
        <v>1</v>
      </c>
      <c r="AD247" s="2399">
        <v>1</v>
      </c>
      <c r="AE247" s="2399">
        <v>1</v>
      </c>
      <c r="AF247" s="2398">
        <v>247</v>
      </c>
      <c r="AG247" s="2399">
        <v>1</v>
      </c>
      <c r="AH247" s="2378">
        <v>1</v>
      </c>
      <c r="AI247" s="2398">
        <v>9</v>
      </c>
      <c r="AJ247" s="2399">
        <v>1</v>
      </c>
      <c r="AK247" s="2398">
        <v>247</v>
      </c>
      <c r="AL247" s="2399">
        <v>1</v>
      </c>
      <c r="AM247" s="3649">
        <v>7</v>
      </c>
      <c r="AN247" s="3507">
        <v>0</v>
      </c>
      <c r="AO247" s="2399" t="b">
        <v>0</v>
      </c>
      <c r="AP247" s="2399" t="b">
        <v>0</v>
      </c>
    </row>
    <row r="248" spans="1:42" x14ac:dyDescent="0.2">
      <c r="A248" s="3735">
        <v>247</v>
      </c>
      <c r="B248" s="2398">
        <v>248</v>
      </c>
      <c r="C248" s="2398">
        <v>248</v>
      </c>
      <c r="D248" s="2399">
        <v>1</v>
      </c>
      <c r="E248" s="2399">
        <v>1</v>
      </c>
      <c r="F248" s="2399">
        <v>1</v>
      </c>
      <c r="G248" s="2399">
        <v>1</v>
      </c>
      <c r="H248" s="2399">
        <v>1</v>
      </c>
      <c r="I248" s="2399">
        <v>1</v>
      </c>
      <c r="J248" s="2399">
        <v>1</v>
      </c>
      <c r="K248" s="2399">
        <v>1</v>
      </c>
      <c r="L248" s="2489">
        <v>1</v>
      </c>
      <c r="M248" s="2399">
        <v>1</v>
      </c>
      <c r="N248" s="2399">
        <v>1</v>
      </c>
      <c r="O248" s="2399">
        <v>1</v>
      </c>
      <c r="P248" s="2399">
        <v>1</v>
      </c>
      <c r="Q248" s="2399">
        <v>1</v>
      </c>
      <c r="R248" s="2399">
        <v>1</v>
      </c>
      <c r="S248" s="2398">
        <v>248</v>
      </c>
      <c r="T248" s="2399">
        <v>1</v>
      </c>
      <c r="U248" s="2399">
        <v>1</v>
      </c>
      <c r="V248" s="2399">
        <v>1</v>
      </c>
      <c r="W248" s="2399">
        <v>1</v>
      </c>
      <c r="X248" s="2399">
        <v>1</v>
      </c>
      <c r="Y248" s="2399">
        <v>1</v>
      </c>
      <c r="Z248" s="2399">
        <v>1</v>
      </c>
      <c r="AA248" s="2489">
        <v>1</v>
      </c>
      <c r="AB248" s="2399">
        <v>1</v>
      </c>
      <c r="AC248" s="2398">
        <v>248</v>
      </c>
      <c r="AD248" s="2399">
        <v>1</v>
      </c>
      <c r="AE248" s="2399">
        <v>1</v>
      </c>
      <c r="AF248" s="2399">
        <v>1</v>
      </c>
      <c r="AG248" s="2399">
        <v>1</v>
      </c>
      <c r="AH248" s="2378">
        <v>1</v>
      </c>
      <c r="AI248" s="2399">
        <v>1</v>
      </c>
      <c r="AJ248" s="2399">
        <v>1</v>
      </c>
      <c r="AK248" s="2398">
        <v>248</v>
      </c>
      <c r="AL248" s="2399">
        <v>1</v>
      </c>
      <c r="AM248" s="3649">
        <v>3</v>
      </c>
      <c r="AN248" s="3507">
        <v>0</v>
      </c>
      <c r="AO248" s="2399" t="b">
        <v>1</v>
      </c>
      <c r="AP248" s="2399" t="b">
        <v>0</v>
      </c>
    </row>
    <row r="249" spans="1:42" x14ac:dyDescent="0.2">
      <c r="A249" s="3735">
        <v>248</v>
      </c>
      <c r="B249" s="2398">
        <v>249</v>
      </c>
      <c r="C249" s="2398">
        <v>249</v>
      </c>
      <c r="D249" s="2398">
        <v>249</v>
      </c>
      <c r="E249" s="2399">
        <v>1</v>
      </c>
      <c r="F249" s="2399">
        <v>1</v>
      </c>
      <c r="G249" s="2399">
        <v>1</v>
      </c>
      <c r="H249" s="2399">
        <v>1</v>
      </c>
      <c r="I249" s="2399">
        <v>1</v>
      </c>
      <c r="J249" s="2399">
        <v>1</v>
      </c>
      <c r="K249" s="2399">
        <v>1</v>
      </c>
      <c r="L249" s="2489">
        <v>1</v>
      </c>
      <c r="M249" s="2399">
        <v>1</v>
      </c>
      <c r="N249" s="2398">
        <v>249</v>
      </c>
      <c r="O249" s="2399">
        <v>1</v>
      </c>
      <c r="P249" s="2399">
        <v>1</v>
      </c>
      <c r="Q249" s="2399">
        <v>1</v>
      </c>
      <c r="R249" s="2399">
        <v>1</v>
      </c>
      <c r="S249" s="2399">
        <v>1</v>
      </c>
      <c r="T249" s="2399">
        <v>1</v>
      </c>
      <c r="U249" s="2399">
        <v>1</v>
      </c>
      <c r="V249" s="2399">
        <v>1</v>
      </c>
      <c r="W249" s="2399">
        <v>1</v>
      </c>
      <c r="X249" s="2399">
        <v>1</v>
      </c>
      <c r="Y249" s="2399">
        <v>1</v>
      </c>
      <c r="Z249" s="2399">
        <v>1</v>
      </c>
      <c r="AA249" s="2489">
        <v>1</v>
      </c>
      <c r="AB249" s="2399">
        <v>1</v>
      </c>
      <c r="AC249" s="2399">
        <v>1</v>
      </c>
      <c r="AD249" s="2399">
        <v>1</v>
      </c>
      <c r="AE249" s="2399">
        <v>1</v>
      </c>
      <c r="AF249" s="2399">
        <v>1</v>
      </c>
      <c r="AG249" s="2399">
        <v>1</v>
      </c>
      <c r="AH249" s="2378">
        <v>1</v>
      </c>
      <c r="AI249" s="2399">
        <v>1</v>
      </c>
      <c r="AJ249" s="2399">
        <v>1</v>
      </c>
      <c r="AK249" s="2398">
        <v>249</v>
      </c>
      <c r="AL249" s="2399">
        <v>1</v>
      </c>
      <c r="AM249" s="3649">
        <v>3</v>
      </c>
      <c r="AN249" s="3507">
        <v>0</v>
      </c>
      <c r="AO249" s="2399" t="b">
        <v>0</v>
      </c>
      <c r="AP249" s="2399" t="b">
        <v>0</v>
      </c>
    </row>
    <row r="250" spans="1:42" x14ac:dyDescent="0.2">
      <c r="A250" s="3736">
        <v>249</v>
      </c>
      <c r="B250" s="3349">
        <v>250</v>
      </c>
      <c r="C250" s="3349">
        <v>250</v>
      </c>
      <c r="D250" s="3349">
        <v>250</v>
      </c>
      <c r="E250" s="2399">
        <v>1</v>
      </c>
      <c r="F250" s="2399">
        <v>1</v>
      </c>
      <c r="G250" s="2399">
        <v>1</v>
      </c>
      <c r="H250" s="2399">
        <v>1</v>
      </c>
      <c r="I250" s="2399">
        <v>1</v>
      </c>
      <c r="J250" s="3349">
        <v>250</v>
      </c>
      <c r="K250" s="2399">
        <v>1</v>
      </c>
      <c r="L250" s="2399">
        <v>1</v>
      </c>
      <c r="M250" s="2399">
        <v>1</v>
      </c>
      <c r="N250" s="2399">
        <v>1</v>
      </c>
      <c r="O250" s="2399">
        <v>1</v>
      </c>
      <c r="P250" s="2399">
        <v>1</v>
      </c>
      <c r="Q250" s="2399">
        <v>1</v>
      </c>
      <c r="R250" s="2399">
        <v>1</v>
      </c>
      <c r="S250" s="2399">
        <v>1</v>
      </c>
      <c r="T250" s="2399">
        <v>1</v>
      </c>
      <c r="U250" s="2399">
        <v>1</v>
      </c>
      <c r="V250" s="3349">
        <v>250</v>
      </c>
      <c r="W250" s="2399">
        <v>1</v>
      </c>
      <c r="X250" s="2399">
        <v>1</v>
      </c>
      <c r="Y250" s="2399">
        <v>1</v>
      </c>
      <c r="Z250" s="2399">
        <v>1</v>
      </c>
      <c r="AA250" s="2399">
        <v>1</v>
      </c>
      <c r="AB250" s="2399">
        <v>1</v>
      </c>
      <c r="AC250" s="2399">
        <v>1</v>
      </c>
      <c r="AD250" s="3125">
        <v>1</v>
      </c>
      <c r="AE250" s="2399">
        <v>1</v>
      </c>
      <c r="AF250" s="3349">
        <v>250</v>
      </c>
      <c r="AG250" s="2399">
        <v>1</v>
      </c>
      <c r="AH250" s="2378">
        <v>1</v>
      </c>
      <c r="AI250" s="2399">
        <v>1</v>
      </c>
      <c r="AJ250" s="3845">
        <v>250</v>
      </c>
      <c r="AK250" s="2399">
        <v>1</v>
      </c>
      <c r="AL250" s="2399">
        <v>1</v>
      </c>
      <c r="AM250" s="3845">
        <v>7</v>
      </c>
      <c r="AN250" s="3846">
        <v>0</v>
      </c>
      <c r="AO250" s="3845" t="b">
        <v>0</v>
      </c>
      <c r="AP250" s="3845" t="b">
        <v>0</v>
      </c>
    </row>
    <row r="251" spans="1:42" x14ac:dyDescent="0.2">
      <c r="A251" s="3736">
        <v>250</v>
      </c>
      <c r="B251" s="3349">
        <v>251</v>
      </c>
      <c r="C251" s="3349">
        <v>251</v>
      </c>
      <c r="D251" s="2399">
        <v>1</v>
      </c>
      <c r="E251" s="2399">
        <v>1</v>
      </c>
      <c r="F251" s="2399">
        <v>1</v>
      </c>
      <c r="G251" s="2399">
        <v>1</v>
      </c>
      <c r="H251" s="2399">
        <v>1</v>
      </c>
      <c r="I251" s="2399">
        <v>1</v>
      </c>
      <c r="J251" s="2399">
        <v>1</v>
      </c>
      <c r="K251" s="2399">
        <v>1</v>
      </c>
      <c r="L251" s="2399">
        <v>1</v>
      </c>
      <c r="M251" s="2399">
        <v>1</v>
      </c>
      <c r="N251" s="2399">
        <v>1</v>
      </c>
      <c r="O251" s="2399">
        <v>1</v>
      </c>
      <c r="P251" s="2399">
        <v>1</v>
      </c>
      <c r="Q251" s="2399">
        <v>1</v>
      </c>
      <c r="R251" s="2399">
        <v>1</v>
      </c>
      <c r="S251" s="2399">
        <v>1</v>
      </c>
      <c r="T251" s="2399">
        <v>1</v>
      </c>
      <c r="U251" s="2399">
        <v>1</v>
      </c>
      <c r="V251" s="3125">
        <v>1</v>
      </c>
      <c r="W251" s="2399">
        <v>1</v>
      </c>
      <c r="X251" s="2399">
        <v>1</v>
      </c>
      <c r="Y251" s="2399">
        <v>1</v>
      </c>
      <c r="Z251" s="2399">
        <v>1</v>
      </c>
      <c r="AA251" s="2399">
        <v>1</v>
      </c>
      <c r="AB251" s="2399">
        <v>1</v>
      </c>
      <c r="AC251" s="3349">
        <v>251</v>
      </c>
      <c r="AD251" s="3845">
        <v>251</v>
      </c>
      <c r="AE251" s="2399">
        <v>1</v>
      </c>
      <c r="AF251" s="3349">
        <v>251</v>
      </c>
      <c r="AG251" s="2399">
        <v>1</v>
      </c>
      <c r="AH251" s="2378">
        <v>1</v>
      </c>
      <c r="AI251" s="2399">
        <v>1</v>
      </c>
      <c r="AJ251" s="3845">
        <v>251</v>
      </c>
      <c r="AK251" s="3845">
        <v>251</v>
      </c>
      <c r="AL251" s="2399">
        <v>1</v>
      </c>
      <c r="AM251" s="3845">
        <v>7</v>
      </c>
      <c r="AN251" s="3846">
        <v>0</v>
      </c>
      <c r="AO251" s="3845" t="b">
        <v>0</v>
      </c>
      <c r="AP251" s="3845" t="b">
        <v>0</v>
      </c>
    </row>
    <row r="252" spans="1:42" x14ac:dyDescent="0.2">
      <c r="A252" s="3736">
        <v>251</v>
      </c>
      <c r="B252" s="3349">
        <v>252</v>
      </c>
      <c r="C252" s="2399">
        <v>1</v>
      </c>
      <c r="D252" s="3349">
        <v>252</v>
      </c>
      <c r="E252" s="2399">
        <v>1</v>
      </c>
      <c r="F252" s="2399">
        <v>1</v>
      </c>
      <c r="G252" s="2399">
        <v>1</v>
      </c>
      <c r="H252" s="2399">
        <v>1</v>
      </c>
      <c r="I252" s="2399">
        <v>1</v>
      </c>
      <c r="J252" s="2399">
        <v>1</v>
      </c>
      <c r="K252" s="2399">
        <v>1</v>
      </c>
      <c r="L252" s="2399">
        <v>1</v>
      </c>
      <c r="M252" s="2399">
        <v>1</v>
      </c>
      <c r="N252" s="2399">
        <v>1</v>
      </c>
      <c r="O252" s="2399">
        <v>1</v>
      </c>
      <c r="P252" s="2399">
        <v>1</v>
      </c>
      <c r="Q252" s="2399">
        <v>1</v>
      </c>
      <c r="R252" s="2399">
        <v>1</v>
      </c>
      <c r="S252" s="2399">
        <v>1</v>
      </c>
      <c r="T252" s="2399">
        <v>1</v>
      </c>
      <c r="U252" s="2399">
        <v>1</v>
      </c>
      <c r="V252" s="3125">
        <v>1</v>
      </c>
      <c r="W252" s="2399">
        <v>1</v>
      </c>
      <c r="X252" s="2399">
        <v>1</v>
      </c>
      <c r="Y252" s="2399">
        <v>1</v>
      </c>
      <c r="Z252" s="2399">
        <v>1</v>
      </c>
      <c r="AA252" s="2399">
        <v>1</v>
      </c>
      <c r="AB252" s="2399">
        <v>1</v>
      </c>
      <c r="AC252" s="3125">
        <v>1</v>
      </c>
      <c r="AD252" s="2399">
        <v>1</v>
      </c>
      <c r="AE252" s="2399">
        <v>1</v>
      </c>
      <c r="AF252" s="3349">
        <v>252</v>
      </c>
      <c r="AG252" s="2399">
        <v>1</v>
      </c>
      <c r="AH252" s="2378">
        <v>1</v>
      </c>
      <c r="AI252" s="2399">
        <v>1</v>
      </c>
      <c r="AJ252" s="3845">
        <v>252</v>
      </c>
      <c r="AK252" s="2399">
        <v>1</v>
      </c>
      <c r="AL252" s="2399">
        <v>1</v>
      </c>
      <c r="AM252" s="3845">
        <v>7</v>
      </c>
      <c r="AN252" s="3846">
        <v>0</v>
      </c>
      <c r="AO252" s="3845" t="b">
        <v>0</v>
      </c>
      <c r="AP252" s="3845" t="b">
        <v>0</v>
      </c>
    </row>
    <row r="253" spans="1:42" x14ac:dyDescent="0.2">
      <c r="A253" s="3736">
        <v>252</v>
      </c>
      <c r="B253" s="3349">
        <v>253</v>
      </c>
      <c r="C253" s="3349">
        <v>253</v>
      </c>
      <c r="D253" s="3349">
        <v>253</v>
      </c>
      <c r="E253" s="2399">
        <v>1</v>
      </c>
      <c r="F253" s="2399">
        <v>1</v>
      </c>
      <c r="G253" s="2399">
        <v>1</v>
      </c>
      <c r="H253" s="2399">
        <v>1</v>
      </c>
      <c r="I253" s="2399">
        <v>1</v>
      </c>
      <c r="J253" s="2399">
        <v>1</v>
      </c>
      <c r="K253" s="2399">
        <v>1</v>
      </c>
      <c r="L253" s="2399">
        <v>1</v>
      </c>
      <c r="M253" s="2399">
        <v>1</v>
      </c>
      <c r="N253" s="2399">
        <v>1</v>
      </c>
      <c r="O253" s="2399">
        <v>1</v>
      </c>
      <c r="P253" s="2399">
        <v>1</v>
      </c>
      <c r="Q253" s="2399">
        <v>1</v>
      </c>
      <c r="R253" s="2399">
        <v>1</v>
      </c>
      <c r="S253" s="2399">
        <v>1</v>
      </c>
      <c r="T253" s="2399">
        <v>1</v>
      </c>
      <c r="U253" s="2399">
        <v>1</v>
      </c>
      <c r="V253" s="3125">
        <v>1</v>
      </c>
      <c r="W253" s="2399">
        <v>1</v>
      </c>
      <c r="X253" s="2399">
        <v>1</v>
      </c>
      <c r="Y253" s="2399">
        <v>1</v>
      </c>
      <c r="Z253" s="2399">
        <v>1</v>
      </c>
      <c r="AA253" s="2399">
        <v>1</v>
      </c>
      <c r="AB253" s="2399">
        <v>1</v>
      </c>
      <c r="AC253" s="3125">
        <v>1</v>
      </c>
      <c r="AD253" s="2399">
        <v>1</v>
      </c>
      <c r="AE253" s="2399">
        <v>1</v>
      </c>
      <c r="AF253" s="3349">
        <v>253</v>
      </c>
      <c r="AG253" s="2399">
        <v>1</v>
      </c>
      <c r="AH253" s="2378">
        <v>1</v>
      </c>
      <c r="AI253" s="2399">
        <v>1</v>
      </c>
      <c r="AJ253" s="3845">
        <v>253</v>
      </c>
      <c r="AK253" s="2399">
        <v>1</v>
      </c>
      <c r="AL253" s="2399">
        <v>1</v>
      </c>
      <c r="AM253" s="3845">
        <v>7</v>
      </c>
      <c r="AN253" s="3846">
        <v>0</v>
      </c>
      <c r="AO253" s="3845" t="b">
        <v>0</v>
      </c>
      <c r="AP253" s="3845" t="b">
        <v>0</v>
      </c>
    </row>
    <row r="254" spans="1:42" x14ac:dyDescent="0.2">
      <c r="A254" s="3736">
        <v>253</v>
      </c>
      <c r="B254" s="3349">
        <v>254</v>
      </c>
      <c r="C254" s="3349">
        <v>254</v>
      </c>
      <c r="D254" s="2399">
        <v>1</v>
      </c>
      <c r="E254" s="2399">
        <v>1</v>
      </c>
      <c r="F254" s="2399">
        <v>1</v>
      </c>
      <c r="G254" s="2399">
        <v>1</v>
      </c>
      <c r="H254" s="2399">
        <v>1</v>
      </c>
      <c r="I254" s="2399">
        <v>1</v>
      </c>
      <c r="J254" s="2399">
        <v>1</v>
      </c>
      <c r="K254" s="2399">
        <v>1</v>
      </c>
      <c r="L254" s="2399">
        <v>1</v>
      </c>
      <c r="M254" s="2399">
        <v>1</v>
      </c>
      <c r="N254" s="2399">
        <v>1</v>
      </c>
      <c r="O254" s="2399">
        <v>1</v>
      </c>
      <c r="P254" s="2399">
        <v>1</v>
      </c>
      <c r="Q254" s="2399">
        <v>1</v>
      </c>
      <c r="R254" s="2399">
        <v>1</v>
      </c>
      <c r="S254" s="2399">
        <v>1</v>
      </c>
      <c r="T254" s="2399">
        <v>1</v>
      </c>
      <c r="U254" s="2399">
        <v>1</v>
      </c>
      <c r="V254" s="3125">
        <v>1</v>
      </c>
      <c r="W254" s="2399">
        <v>1</v>
      </c>
      <c r="X254" s="2399">
        <v>1</v>
      </c>
      <c r="Y254" s="2399">
        <v>1</v>
      </c>
      <c r="Z254" s="2399">
        <v>1</v>
      </c>
      <c r="AA254" s="2399">
        <v>1</v>
      </c>
      <c r="AB254" s="2399">
        <v>1</v>
      </c>
      <c r="AC254" s="3125">
        <v>1</v>
      </c>
      <c r="AD254" s="2399">
        <v>1</v>
      </c>
      <c r="AE254" s="2399">
        <v>1</v>
      </c>
      <c r="AF254" s="3845">
        <v>254</v>
      </c>
      <c r="AG254" s="2399">
        <v>1</v>
      </c>
      <c r="AH254" s="2378">
        <v>1</v>
      </c>
      <c r="AI254" s="2399">
        <v>1</v>
      </c>
      <c r="AJ254" s="3845">
        <v>254</v>
      </c>
      <c r="AK254" s="3845">
        <v>254</v>
      </c>
      <c r="AL254" s="2399">
        <v>1</v>
      </c>
      <c r="AM254" s="3845">
        <v>7</v>
      </c>
      <c r="AN254" s="3846">
        <v>0</v>
      </c>
      <c r="AO254" s="3845" t="b">
        <v>0</v>
      </c>
      <c r="AP254" s="3845" t="b">
        <v>0</v>
      </c>
    </row>
    <row r="255" spans="1:42" x14ac:dyDescent="0.2">
      <c r="A255" s="3736">
        <v>254</v>
      </c>
      <c r="B255" s="3349">
        <v>255</v>
      </c>
      <c r="C255" s="3349">
        <v>255</v>
      </c>
      <c r="D255" s="3349">
        <v>255</v>
      </c>
      <c r="E255" s="3349">
        <v>255</v>
      </c>
      <c r="F255" s="2399">
        <v>1</v>
      </c>
      <c r="G255" s="2399">
        <v>1</v>
      </c>
      <c r="H255" s="2399">
        <v>1</v>
      </c>
      <c r="I255" s="2399">
        <v>1</v>
      </c>
      <c r="J255" s="2399">
        <v>1</v>
      </c>
      <c r="K255" s="2399">
        <v>1</v>
      </c>
      <c r="L255" s="2399">
        <v>1</v>
      </c>
      <c r="M255" s="2399">
        <v>1</v>
      </c>
      <c r="N255" s="2399">
        <v>1</v>
      </c>
      <c r="O255" s="2399">
        <v>1</v>
      </c>
      <c r="P255" s="2399">
        <v>1</v>
      </c>
      <c r="Q255" s="2399">
        <v>1</v>
      </c>
      <c r="R255" s="2399">
        <v>1</v>
      </c>
      <c r="S255" s="2399">
        <v>1</v>
      </c>
      <c r="T255" s="2399">
        <v>1</v>
      </c>
      <c r="U255" s="2399">
        <v>1</v>
      </c>
      <c r="V255" s="3125">
        <v>1</v>
      </c>
      <c r="W255" s="2399">
        <v>1</v>
      </c>
      <c r="X255" s="2399">
        <v>1</v>
      </c>
      <c r="Y255" s="2399">
        <v>1</v>
      </c>
      <c r="Z255" s="2399">
        <v>1</v>
      </c>
      <c r="AA255" s="2399">
        <v>1</v>
      </c>
      <c r="AB255" s="2399">
        <v>1</v>
      </c>
      <c r="AC255" s="3125">
        <v>1</v>
      </c>
      <c r="AD255" s="2399">
        <v>1</v>
      </c>
      <c r="AE255" s="2399">
        <v>1</v>
      </c>
      <c r="AF255" s="3349">
        <v>255</v>
      </c>
      <c r="AG255" s="3349">
        <v>255</v>
      </c>
      <c r="AH255" s="2378">
        <v>1</v>
      </c>
      <c r="AI255" s="2399">
        <v>1</v>
      </c>
      <c r="AJ255" s="3845">
        <v>255</v>
      </c>
      <c r="AK255" s="2399">
        <v>1</v>
      </c>
      <c r="AL255" s="2399">
        <v>1</v>
      </c>
      <c r="AM255" s="3845">
        <v>7</v>
      </c>
      <c r="AN255" s="3846">
        <v>0</v>
      </c>
      <c r="AO255" s="3845" t="b">
        <v>0</v>
      </c>
      <c r="AP255" s="3845" t="b">
        <v>0</v>
      </c>
    </row>
    <row r="256" spans="1:42" x14ac:dyDescent="0.2">
      <c r="A256" s="3736">
        <v>255</v>
      </c>
      <c r="B256" s="3349">
        <v>256</v>
      </c>
      <c r="C256" s="3349">
        <v>256</v>
      </c>
      <c r="D256" s="3349">
        <v>256</v>
      </c>
      <c r="E256" s="3349">
        <v>256</v>
      </c>
      <c r="F256" s="3349">
        <v>256</v>
      </c>
      <c r="G256" s="3349">
        <v>256</v>
      </c>
      <c r="H256" s="3349">
        <v>256</v>
      </c>
      <c r="I256" s="3349">
        <v>256</v>
      </c>
      <c r="J256" s="3349">
        <v>256</v>
      </c>
      <c r="K256" s="3349">
        <v>256</v>
      </c>
      <c r="L256" s="2399">
        <v>1</v>
      </c>
      <c r="M256" s="2399">
        <v>1</v>
      </c>
      <c r="N256" s="2399">
        <v>1</v>
      </c>
      <c r="O256" s="2399">
        <v>1</v>
      </c>
      <c r="P256" s="2399">
        <v>1</v>
      </c>
      <c r="Q256" s="2399">
        <v>1</v>
      </c>
      <c r="R256" s="2399">
        <v>1</v>
      </c>
      <c r="S256" s="2399">
        <v>1</v>
      </c>
      <c r="T256" s="2399">
        <v>1</v>
      </c>
      <c r="U256" s="2399">
        <v>1</v>
      </c>
      <c r="V256" s="3125">
        <v>1</v>
      </c>
      <c r="W256" s="2399">
        <v>1</v>
      </c>
      <c r="X256" s="2399">
        <v>1</v>
      </c>
      <c r="Y256" s="2399">
        <v>1</v>
      </c>
      <c r="Z256" s="2399">
        <v>1</v>
      </c>
      <c r="AA256" s="2399">
        <v>1</v>
      </c>
      <c r="AB256" s="2399">
        <v>1</v>
      </c>
      <c r="AC256" s="3125">
        <v>1</v>
      </c>
      <c r="AD256" s="2399">
        <v>1</v>
      </c>
      <c r="AE256" s="2399">
        <v>1</v>
      </c>
      <c r="AF256" s="3125">
        <v>1</v>
      </c>
      <c r="AG256" s="2399">
        <v>1</v>
      </c>
      <c r="AH256" s="2378">
        <v>1</v>
      </c>
      <c r="AI256" s="2399">
        <v>1</v>
      </c>
      <c r="AJ256" s="3845">
        <v>256</v>
      </c>
      <c r="AK256" s="3845">
        <v>256</v>
      </c>
      <c r="AL256" s="2399">
        <v>1</v>
      </c>
      <c r="AM256" s="3845">
        <v>7</v>
      </c>
      <c r="AN256" s="3846">
        <v>0</v>
      </c>
      <c r="AO256" s="3845" t="b">
        <v>0</v>
      </c>
      <c r="AP256" s="3845" t="b">
        <v>0</v>
      </c>
    </row>
    <row r="257" spans="1:42" x14ac:dyDescent="0.2">
      <c r="A257" s="3736">
        <v>256</v>
      </c>
      <c r="B257" s="3349">
        <v>257</v>
      </c>
      <c r="C257" s="3349">
        <v>257</v>
      </c>
      <c r="D257" s="3349">
        <v>257</v>
      </c>
      <c r="E257" s="3349">
        <v>257</v>
      </c>
      <c r="F257" s="3349">
        <v>257</v>
      </c>
      <c r="G257" s="3349">
        <v>257</v>
      </c>
      <c r="H257" s="3349">
        <v>257</v>
      </c>
      <c r="I257" s="3349">
        <v>257</v>
      </c>
      <c r="J257" s="3349">
        <v>257</v>
      </c>
      <c r="K257" s="3349">
        <v>257</v>
      </c>
      <c r="L257" s="2399">
        <v>1</v>
      </c>
      <c r="M257" s="2399">
        <v>1</v>
      </c>
      <c r="N257" s="2399">
        <v>1</v>
      </c>
      <c r="O257" s="2399">
        <v>1</v>
      </c>
      <c r="P257" s="2399">
        <v>1</v>
      </c>
      <c r="Q257" s="2399">
        <v>1</v>
      </c>
      <c r="R257" s="2399">
        <v>1</v>
      </c>
      <c r="S257" s="2399">
        <v>1</v>
      </c>
      <c r="T257" s="2399">
        <v>1</v>
      </c>
      <c r="U257" s="2399">
        <v>1</v>
      </c>
      <c r="V257" s="3125">
        <v>1</v>
      </c>
      <c r="W257" s="2399">
        <v>1</v>
      </c>
      <c r="X257" s="2399">
        <v>1</v>
      </c>
      <c r="Y257" s="2399">
        <v>1</v>
      </c>
      <c r="Z257" s="2399">
        <v>1</v>
      </c>
      <c r="AA257" s="2399">
        <v>1</v>
      </c>
      <c r="AB257" s="2399">
        <v>1</v>
      </c>
      <c r="AC257" s="3125">
        <v>1</v>
      </c>
      <c r="AD257" s="2399">
        <v>1</v>
      </c>
      <c r="AE257" s="2399">
        <v>1</v>
      </c>
      <c r="AF257" s="3125">
        <v>1</v>
      </c>
      <c r="AG257" s="2399">
        <v>1</v>
      </c>
      <c r="AH257" s="2378">
        <v>1</v>
      </c>
      <c r="AI257" s="2399">
        <v>1</v>
      </c>
      <c r="AJ257" s="3845">
        <v>257</v>
      </c>
      <c r="AK257" s="3845">
        <v>257</v>
      </c>
      <c r="AL257" s="2399">
        <v>1</v>
      </c>
      <c r="AM257" s="3845">
        <v>7</v>
      </c>
      <c r="AN257" s="3846">
        <v>0</v>
      </c>
      <c r="AO257" s="3845" t="b">
        <v>0</v>
      </c>
      <c r="AP257" s="3845" t="b">
        <v>0</v>
      </c>
    </row>
    <row r="258" spans="1:42" x14ac:dyDescent="0.2">
      <c r="A258" s="3736">
        <v>257</v>
      </c>
      <c r="B258" s="4305">
        <v>258</v>
      </c>
      <c r="C258" s="4305">
        <v>258</v>
      </c>
      <c r="D258" s="4305">
        <v>258</v>
      </c>
      <c r="E258" s="2399">
        <v>1</v>
      </c>
      <c r="F258" s="2399">
        <v>1</v>
      </c>
      <c r="G258" s="2399">
        <v>1</v>
      </c>
      <c r="H258" s="2399">
        <v>1</v>
      </c>
      <c r="I258" s="2399">
        <v>1</v>
      </c>
      <c r="J258" s="2399">
        <v>1</v>
      </c>
      <c r="K258" s="2399">
        <v>1</v>
      </c>
      <c r="L258" s="2399">
        <v>1</v>
      </c>
      <c r="M258" s="2399">
        <v>1</v>
      </c>
      <c r="N258" s="2399">
        <v>1</v>
      </c>
      <c r="O258" s="2399">
        <v>1</v>
      </c>
      <c r="P258" s="2399">
        <v>1</v>
      </c>
      <c r="Q258" s="2399">
        <v>1</v>
      </c>
      <c r="R258" s="2399">
        <v>1</v>
      </c>
      <c r="S258" s="2399">
        <v>1</v>
      </c>
      <c r="T258" s="2399">
        <v>1</v>
      </c>
      <c r="U258" s="2399">
        <v>1</v>
      </c>
      <c r="V258" s="4306">
        <v>1</v>
      </c>
      <c r="W258" s="2399">
        <v>1</v>
      </c>
      <c r="X258" s="2399">
        <v>1</v>
      </c>
      <c r="Y258" s="2399">
        <v>1</v>
      </c>
      <c r="Z258" s="2399">
        <v>1</v>
      </c>
      <c r="AA258" s="2399">
        <v>1</v>
      </c>
      <c r="AB258" s="2399">
        <v>1</v>
      </c>
      <c r="AC258" s="4306">
        <v>1</v>
      </c>
      <c r="AD258" s="2399">
        <v>1</v>
      </c>
      <c r="AE258" s="2399">
        <v>1</v>
      </c>
      <c r="AF258" s="3845">
        <v>258</v>
      </c>
      <c r="AG258" s="2399">
        <v>1</v>
      </c>
      <c r="AH258" s="2378">
        <v>1</v>
      </c>
      <c r="AI258" s="2399">
        <v>1</v>
      </c>
      <c r="AJ258" s="3845">
        <v>258</v>
      </c>
      <c r="AK258" s="3845">
        <v>258</v>
      </c>
      <c r="AL258" s="2399">
        <v>1</v>
      </c>
      <c r="AM258" s="3845">
        <v>7</v>
      </c>
      <c r="AN258" s="3846">
        <v>0</v>
      </c>
      <c r="AO258" s="3845" t="b">
        <v>0</v>
      </c>
      <c r="AP258" s="3845" t="b">
        <v>0</v>
      </c>
    </row>
    <row r="259" spans="1:42" x14ac:dyDescent="0.2">
      <c r="A259" s="3736">
        <v>258</v>
      </c>
      <c r="B259" s="4305">
        <v>259</v>
      </c>
      <c r="C259" s="4305">
        <v>259</v>
      </c>
      <c r="D259" s="4305">
        <v>259</v>
      </c>
      <c r="E259" s="2399">
        <v>1</v>
      </c>
      <c r="F259" s="2399">
        <v>1</v>
      </c>
      <c r="G259" s="2399">
        <v>1</v>
      </c>
      <c r="H259" s="2399">
        <v>1</v>
      </c>
      <c r="I259" s="2399">
        <v>1</v>
      </c>
      <c r="J259" s="2399">
        <v>1</v>
      </c>
      <c r="K259" s="2399">
        <v>1</v>
      </c>
      <c r="L259" s="2399">
        <v>1</v>
      </c>
      <c r="M259" s="2399">
        <v>1</v>
      </c>
      <c r="N259" s="2399">
        <v>1</v>
      </c>
      <c r="O259" s="2399">
        <v>1</v>
      </c>
      <c r="P259" s="2399">
        <v>1</v>
      </c>
      <c r="Q259" s="2399">
        <v>1</v>
      </c>
      <c r="R259" s="2399">
        <v>1</v>
      </c>
      <c r="S259" s="2399">
        <v>1</v>
      </c>
      <c r="T259" s="2399">
        <v>1</v>
      </c>
      <c r="U259" s="2399">
        <v>1</v>
      </c>
      <c r="V259" s="4306">
        <v>1</v>
      </c>
      <c r="W259" s="2399">
        <v>1</v>
      </c>
      <c r="X259" s="2399">
        <v>1</v>
      </c>
      <c r="Y259" s="2399">
        <v>1</v>
      </c>
      <c r="Z259" s="2399">
        <v>1</v>
      </c>
      <c r="AA259" s="2399">
        <v>1</v>
      </c>
      <c r="AB259" s="3845">
        <v>259</v>
      </c>
      <c r="AC259" s="3845">
        <v>259</v>
      </c>
      <c r="AD259" s="2399">
        <v>1</v>
      </c>
      <c r="AE259" s="2399">
        <v>1</v>
      </c>
      <c r="AF259" s="3845">
        <v>259</v>
      </c>
      <c r="AG259" s="2399">
        <v>1</v>
      </c>
      <c r="AH259" s="2378">
        <v>1</v>
      </c>
      <c r="AI259" s="2399">
        <v>1</v>
      </c>
      <c r="AJ259" s="3845">
        <v>259</v>
      </c>
      <c r="AK259" s="3845">
        <v>259</v>
      </c>
      <c r="AL259" s="2399">
        <v>1</v>
      </c>
      <c r="AM259" s="3845">
        <v>7</v>
      </c>
      <c r="AN259" s="3846">
        <v>0</v>
      </c>
      <c r="AO259" s="3845" t="b">
        <v>0</v>
      </c>
      <c r="AP259" s="3845" t="b">
        <v>0</v>
      </c>
    </row>
    <row r="260" spans="1:42" x14ac:dyDescent="0.2">
      <c r="A260" s="3735">
        <v>259</v>
      </c>
      <c r="B260" s="2398">
        <v>260</v>
      </c>
      <c r="C260" s="2398">
        <v>260</v>
      </c>
      <c r="D260" s="2399">
        <v>1</v>
      </c>
      <c r="E260" s="2399">
        <v>1</v>
      </c>
      <c r="F260" s="2399">
        <v>1</v>
      </c>
      <c r="G260" s="2399">
        <v>1</v>
      </c>
      <c r="H260" s="2399">
        <v>1</v>
      </c>
      <c r="I260" s="2399">
        <v>1</v>
      </c>
      <c r="J260" s="2399">
        <v>1</v>
      </c>
      <c r="K260" s="2399">
        <v>1</v>
      </c>
      <c r="L260" s="2489">
        <v>1</v>
      </c>
      <c r="M260" s="2399">
        <v>1</v>
      </c>
      <c r="N260" s="2399">
        <v>1</v>
      </c>
      <c r="O260" s="2399">
        <v>1</v>
      </c>
      <c r="P260" s="2399">
        <v>1</v>
      </c>
      <c r="Q260" s="2399">
        <v>1</v>
      </c>
      <c r="R260" s="2399">
        <v>1</v>
      </c>
      <c r="S260" s="2398">
        <v>260</v>
      </c>
      <c r="T260" s="2399">
        <v>1</v>
      </c>
      <c r="U260" s="2399">
        <v>1</v>
      </c>
      <c r="V260" s="2399">
        <v>1</v>
      </c>
      <c r="W260" s="2399">
        <v>1</v>
      </c>
      <c r="X260" s="2399">
        <v>1</v>
      </c>
      <c r="Y260" s="2399">
        <v>1</v>
      </c>
      <c r="Z260" s="2399">
        <v>1</v>
      </c>
      <c r="AA260" s="2489">
        <v>1</v>
      </c>
      <c r="AB260" s="2399">
        <v>1</v>
      </c>
      <c r="AC260" s="2398">
        <v>260</v>
      </c>
      <c r="AD260" s="2399">
        <v>1</v>
      </c>
      <c r="AE260" s="2399">
        <v>1</v>
      </c>
      <c r="AF260" s="2399">
        <v>1</v>
      </c>
      <c r="AG260" s="2399">
        <v>1</v>
      </c>
      <c r="AH260" s="2378">
        <v>1</v>
      </c>
      <c r="AI260" s="2399">
        <v>1</v>
      </c>
      <c r="AJ260" s="2399">
        <v>1</v>
      </c>
      <c r="AK260" s="2398">
        <v>260</v>
      </c>
      <c r="AL260" s="2399">
        <v>1</v>
      </c>
      <c r="AM260" s="3649">
        <v>3</v>
      </c>
      <c r="AN260" s="3507">
        <v>0</v>
      </c>
      <c r="AO260" s="2399" t="b">
        <v>1</v>
      </c>
      <c r="AP260" s="2399" t="b">
        <v>0</v>
      </c>
    </row>
    <row r="261" spans="1:42" x14ac:dyDescent="0.2">
      <c r="A261" s="3735">
        <v>260</v>
      </c>
      <c r="B261" s="2398">
        <v>261</v>
      </c>
      <c r="C261" s="2398">
        <v>261</v>
      </c>
      <c r="D261" s="2399">
        <v>1</v>
      </c>
      <c r="E261" s="2399">
        <v>1</v>
      </c>
      <c r="F261" s="2399">
        <v>1</v>
      </c>
      <c r="G261" s="2398">
        <v>261</v>
      </c>
      <c r="H261" s="2399">
        <v>1</v>
      </c>
      <c r="I261" s="2399">
        <v>1</v>
      </c>
      <c r="J261" s="2399">
        <v>1</v>
      </c>
      <c r="K261" s="2399">
        <v>1</v>
      </c>
      <c r="L261" s="2489">
        <v>1</v>
      </c>
      <c r="M261" s="2399">
        <v>1</v>
      </c>
      <c r="N261" s="2399">
        <v>1</v>
      </c>
      <c r="O261" s="2399">
        <v>1</v>
      </c>
      <c r="P261" s="2399">
        <v>1</v>
      </c>
      <c r="Q261" s="2399">
        <v>1</v>
      </c>
      <c r="R261" s="2399">
        <v>1</v>
      </c>
      <c r="S261" s="2399">
        <v>1</v>
      </c>
      <c r="T261" s="2399">
        <v>1</v>
      </c>
      <c r="U261" s="2399">
        <v>1</v>
      </c>
      <c r="V261" s="2398">
        <v>261</v>
      </c>
      <c r="W261" s="2399">
        <v>1</v>
      </c>
      <c r="X261" s="2399">
        <v>1</v>
      </c>
      <c r="Y261" s="2399">
        <v>1</v>
      </c>
      <c r="Z261" s="2399">
        <v>1</v>
      </c>
      <c r="AA261" s="2489">
        <v>1</v>
      </c>
      <c r="AB261" s="2399">
        <v>1</v>
      </c>
      <c r="AC261" s="2399">
        <v>1</v>
      </c>
      <c r="AD261" s="2399">
        <v>1</v>
      </c>
      <c r="AE261" s="2399">
        <v>1</v>
      </c>
      <c r="AF261" s="2399">
        <v>1</v>
      </c>
      <c r="AG261" s="2399">
        <v>1</v>
      </c>
      <c r="AH261" s="2378">
        <v>1</v>
      </c>
      <c r="AI261" s="2399">
        <v>1</v>
      </c>
      <c r="AJ261" s="2399">
        <v>1</v>
      </c>
      <c r="AK261" s="2398">
        <v>261</v>
      </c>
      <c r="AL261" s="2399">
        <v>1</v>
      </c>
      <c r="AM261" s="3649">
        <v>3</v>
      </c>
      <c r="AN261" s="3507">
        <v>0</v>
      </c>
      <c r="AO261" s="2399" t="b">
        <v>1</v>
      </c>
      <c r="AP261" s="2399" t="b">
        <v>0</v>
      </c>
    </row>
    <row r="262" spans="1:42" x14ac:dyDescent="0.2">
      <c r="A262" s="3735">
        <v>261</v>
      </c>
      <c r="B262" s="2398">
        <v>262</v>
      </c>
      <c r="C262" s="2398">
        <v>262</v>
      </c>
      <c r="D262" s="2399">
        <v>1</v>
      </c>
      <c r="E262" s="2399">
        <v>1</v>
      </c>
      <c r="F262" s="2399">
        <v>1</v>
      </c>
      <c r="G262" s="2398">
        <v>262</v>
      </c>
      <c r="H262" s="2399">
        <v>1</v>
      </c>
      <c r="I262" s="2399">
        <v>1</v>
      </c>
      <c r="J262" s="2398">
        <v>262</v>
      </c>
      <c r="K262" s="2399">
        <v>1</v>
      </c>
      <c r="L262" s="2489">
        <v>1</v>
      </c>
      <c r="M262" s="2399">
        <v>1</v>
      </c>
      <c r="N262" s="2399">
        <v>1</v>
      </c>
      <c r="O262" s="2399">
        <v>1</v>
      </c>
      <c r="P262" s="2399">
        <v>1</v>
      </c>
      <c r="Q262" s="2399">
        <v>1</v>
      </c>
      <c r="R262" s="2399">
        <v>1</v>
      </c>
      <c r="S262" s="2399">
        <v>1</v>
      </c>
      <c r="T262" s="2399">
        <v>1</v>
      </c>
      <c r="U262" s="2399">
        <v>1</v>
      </c>
      <c r="V262" s="2398">
        <v>262</v>
      </c>
      <c r="W262" s="2399">
        <v>1</v>
      </c>
      <c r="X262" s="2399">
        <v>1</v>
      </c>
      <c r="Y262" s="2398">
        <v>262</v>
      </c>
      <c r="Z262" s="2399">
        <v>1</v>
      </c>
      <c r="AA262" s="2489">
        <v>1</v>
      </c>
      <c r="AB262" s="2399">
        <v>1</v>
      </c>
      <c r="AC262" s="2399">
        <v>1</v>
      </c>
      <c r="AD262" s="2399">
        <v>1</v>
      </c>
      <c r="AE262" s="2399">
        <v>1</v>
      </c>
      <c r="AF262" s="2399">
        <v>1</v>
      </c>
      <c r="AG262" s="2399">
        <v>1</v>
      </c>
      <c r="AH262" s="2378">
        <v>1</v>
      </c>
      <c r="AI262" s="2399">
        <v>1</v>
      </c>
      <c r="AJ262" s="2399">
        <v>1</v>
      </c>
      <c r="AK262" s="2399">
        <v>1</v>
      </c>
      <c r="AL262" s="2399">
        <v>1</v>
      </c>
      <c r="AM262" s="3649">
        <v>3</v>
      </c>
      <c r="AN262" s="3507">
        <v>0</v>
      </c>
      <c r="AO262" s="2399" t="b">
        <v>0</v>
      </c>
      <c r="AP262" s="2399" t="b">
        <v>0</v>
      </c>
    </row>
    <row r="263" spans="1:42" x14ac:dyDescent="0.2">
      <c r="A263" s="3735">
        <v>262</v>
      </c>
      <c r="B263" s="2398">
        <v>263</v>
      </c>
      <c r="C263" s="2398">
        <v>263</v>
      </c>
      <c r="D263" s="2399">
        <v>1</v>
      </c>
      <c r="E263" s="2399">
        <v>1</v>
      </c>
      <c r="F263" s="2399">
        <v>1</v>
      </c>
      <c r="G263" s="2398">
        <v>263</v>
      </c>
      <c r="H263" s="2399">
        <v>1</v>
      </c>
      <c r="I263" s="2399">
        <v>1</v>
      </c>
      <c r="J263" s="2399">
        <v>1</v>
      </c>
      <c r="K263" s="2399">
        <v>1</v>
      </c>
      <c r="L263" s="2489">
        <v>1</v>
      </c>
      <c r="M263" s="2399">
        <v>1</v>
      </c>
      <c r="N263" s="2399">
        <v>1</v>
      </c>
      <c r="O263" s="2399">
        <v>1</v>
      </c>
      <c r="P263" s="2399">
        <v>1</v>
      </c>
      <c r="Q263" s="2399">
        <v>1</v>
      </c>
      <c r="R263" s="2399">
        <v>1</v>
      </c>
      <c r="S263" s="2399">
        <v>1</v>
      </c>
      <c r="T263" s="2399">
        <v>1</v>
      </c>
      <c r="U263" s="2399">
        <v>1</v>
      </c>
      <c r="V263" s="2398">
        <v>263</v>
      </c>
      <c r="W263" s="2399">
        <v>1</v>
      </c>
      <c r="X263" s="2399">
        <v>1</v>
      </c>
      <c r="Y263" s="2399">
        <v>1</v>
      </c>
      <c r="Z263" s="2399">
        <v>1</v>
      </c>
      <c r="AA263" s="2489">
        <v>1</v>
      </c>
      <c r="AB263" s="2399">
        <v>1</v>
      </c>
      <c r="AC263" s="2399">
        <v>1</v>
      </c>
      <c r="AD263" s="2399">
        <v>1</v>
      </c>
      <c r="AE263" s="2399">
        <v>1</v>
      </c>
      <c r="AF263" s="2399">
        <v>1</v>
      </c>
      <c r="AG263" s="2398">
        <v>263</v>
      </c>
      <c r="AH263" s="2378">
        <v>1</v>
      </c>
      <c r="AI263" s="2399">
        <v>1</v>
      </c>
      <c r="AJ263" s="2399">
        <v>1</v>
      </c>
      <c r="AK263" s="2399">
        <v>1</v>
      </c>
      <c r="AL263" s="2399">
        <v>1</v>
      </c>
      <c r="AM263" s="3649">
        <v>3</v>
      </c>
      <c r="AN263" s="3507">
        <v>0</v>
      </c>
      <c r="AO263" s="2399" t="b">
        <v>0</v>
      </c>
      <c r="AP263" s="2399" t="b">
        <v>0</v>
      </c>
    </row>
  </sheetData>
  <phoneticPr fontId="67" type="noConversion"/>
  <conditionalFormatting sqref="B1 B264:B1048576 I3:J3">
    <cfRule dxfId="1575" operator="greaterThan" priority="3097" type="cellIs">
      <formula>2</formula>
    </cfRule>
  </conditionalFormatting>
  <conditionalFormatting sqref="L12:S12 L22:S26 L14:S16 L2:S10 AG2:AG10 AG14:AG16 AG12 C1:AG1 C264:AG1048576 I2:J2 AG22:AG26 AI23:AL26 AI264:AL1048576 AI12:AL12 AI22:AK22 AI14:AL16 AI1:AL10">
    <cfRule dxfId="1574" operator="greaterThan" priority="3096" type="cellIs">
      <formula>1</formula>
    </cfRule>
  </conditionalFormatting>
  <conditionalFormatting sqref="L11:S11 AG11 AI11:AL11">
    <cfRule dxfId="1573" operator="greaterThan" priority="3094" type="cellIs">
      <formula>1</formula>
    </cfRule>
  </conditionalFormatting>
  <conditionalFormatting sqref="L17:S19 L21:S21 AG21 AG17:AG19 AI17:AL19 AI21:AK21">
    <cfRule dxfId="1572" operator="greaterThan" priority="3092" type="cellIs">
      <formula>1</formula>
    </cfRule>
  </conditionalFormatting>
  <conditionalFormatting sqref="AL21">
    <cfRule dxfId="1571" operator="greaterThan" priority="3091" type="cellIs">
      <formula>1</formula>
    </cfRule>
  </conditionalFormatting>
  <conditionalFormatting sqref="AL22">
    <cfRule dxfId="1570" operator="greaterThan" priority="3090" type="cellIs">
      <formula>1</formula>
    </cfRule>
  </conditionalFormatting>
  <conditionalFormatting sqref="L13:S13 AG13 AI13:AL13">
    <cfRule dxfId="1569" operator="greaterThan" priority="3088" type="cellIs">
      <formula>1</formula>
    </cfRule>
  </conditionalFormatting>
  <conditionalFormatting sqref="L20:S20 AG20 AI20:AK20">
    <cfRule dxfId="1568" operator="greaterThan" priority="3086" type="cellIs">
      <formula>1</formula>
    </cfRule>
  </conditionalFormatting>
  <conditionalFormatting sqref="AL20">
    <cfRule dxfId="1567" operator="greaterThan" priority="3085" type="cellIs">
      <formula>1</formula>
    </cfRule>
  </conditionalFormatting>
  <conditionalFormatting sqref="AM7">
    <cfRule dxfId="1566" operator="greaterThan" priority="3084" type="cellIs">
      <formula>1</formula>
    </cfRule>
  </conditionalFormatting>
  <conditionalFormatting sqref="B3:B26">
    <cfRule dxfId="1565" operator="greaterThan" priority="3078" type="cellIs">
      <formula>2</formula>
    </cfRule>
  </conditionalFormatting>
  <conditionalFormatting sqref="B2">
    <cfRule dxfId="1564" operator="greaterThan" priority="3069" type="cellIs">
      <formula>1</formula>
    </cfRule>
  </conditionalFormatting>
  <conditionalFormatting sqref="X2:X10 X12 X14:X16 X22:X26 AA14:AA16 AA12 AA2:AA10 AD12 AD14:AD16 AD2:AD10 AA22:AA26 AD22:AD26">
    <cfRule dxfId="1563" operator="greaterThan" priority="2897" type="cellIs">
      <formula>1</formula>
    </cfRule>
  </conditionalFormatting>
  <conditionalFormatting sqref="X11 AA11 AD11">
    <cfRule dxfId="1562" operator="greaterThan" priority="2896" type="cellIs">
      <formula>1</formula>
    </cfRule>
  </conditionalFormatting>
  <conditionalFormatting sqref="X17:X19 X21 AA21 AA17:AA19 AD17:AD19 AD21">
    <cfRule dxfId="1561" operator="greaterThan" priority="2895" type="cellIs">
      <formula>1</formula>
    </cfRule>
  </conditionalFormatting>
  <conditionalFormatting sqref="X13 AA13 AD13">
    <cfRule dxfId="1560" operator="greaterThan" priority="2894" type="cellIs">
      <formula>1</formula>
    </cfRule>
  </conditionalFormatting>
  <conditionalFormatting sqref="X20 AA20 AD20">
    <cfRule dxfId="1559" operator="greaterThan" priority="2893" type="cellIs">
      <formula>1</formula>
    </cfRule>
  </conditionalFormatting>
  <conditionalFormatting sqref="C3:F26">
    <cfRule dxfId="1558" operator="greaterThan" priority="2834" type="cellIs">
      <formula>2</formula>
    </cfRule>
  </conditionalFormatting>
  <conditionalFormatting sqref="G3:G26">
    <cfRule dxfId="1557" operator="greaterThan" priority="2832" type="cellIs">
      <formula>2</formula>
    </cfRule>
  </conditionalFormatting>
  <conditionalFormatting sqref="I4:J26">
    <cfRule dxfId="1556" operator="greaterThan" priority="2828" type="cellIs">
      <formula>2</formula>
    </cfRule>
  </conditionalFormatting>
  <conditionalFormatting sqref="C2:F2">
    <cfRule dxfId="1555" operator="greaterThan" priority="2833" type="cellIs">
      <formula>1</formula>
    </cfRule>
  </conditionalFormatting>
  <conditionalFormatting sqref="G2">
    <cfRule dxfId="1554" operator="greaterThan" priority="2831" type="cellIs">
      <formula>1</formula>
    </cfRule>
  </conditionalFormatting>
  <conditionalFormatting sqref="H3:H26">
    <cfRule dxfId="1553" operator="greaterThan" priority="2830" type="cellIs">
      <formula>2</formula>
    </cfRule>
  </conditionalFormatting>
  <conditionalFormatting sqref="H2">
    <cfRule dxfId="1552" operator="greaterThan" priority="2829" type="cellIs">
      <formula>1</formula>
    </cfRule>
  </conditionalFormatting>
  <conditionalFormatting sqref="K3:K26">
    <cfRule dxfId="1551" operator="greaterThan" priority="2826" type="cellIs">
      <formula>2</formula>
    </cfRule>
  </conditionalFormatting>
  <conditionalFormatting sqref="K2">
    <cfRule dxfId="1550" operator="greaterThan" priority="2825" type="cellIs">
      <formula>1</formula>
    </cfRule>
  </conditionalFormatting>
  <conditionalFormatting sqref="W179">
    <cfRule dxfId="1549" operator="greaterThan" priority="1596" type="cellIs">
      <formula>1</formula>
    </cfRule>
  </conditionalFormatting>
  <conditionalFormatting sqref="Z17">
    <cfRule dxfId="1548" operator="greaterThan" priority="2559" type="cellIs">
      <formula>1</formula>
    </cfRule>
  </conditionalFormatting>
  <conditionalFormatting sqref="AE99:AE100">
    <cfRule dxfId="1547" operator="greaterThan" priority="1677" type="cellIs">
      <formula>1</formula>
    </cfRule>
  </conditionalFormatting>
  <conditionalFormatting sqref="Y137:Y140 Y142:Y157">
    <cfRule dxfId="1546" operator="greaterThan" priority="1561" type="cellIs">
      <formula>1</formula>
    </cfRule>
  </conditionalFormatting>
  <conditionalFormatting sqref="T9 T14">
    <cfRule dxfId="1545" operator="greaterThan" priority="2723" type="cellIs">
      <formula>2</formula>
    </cfRule>
  </conditionalFormatting>
  <conditionalFormatting sqref="T2:T8">
    <cfRule dxfId="1544" operator="greaterThan" priority="2722" type="cellIs">
      <formula>1</formula>
    </cfRule>
  </conditionalFormatting>
  <conditionalFormatting sqref="AE4 AE14 AE26">
    <cfRule dxfId="1543" operator="greaterThan" priority="2800" type="cellIs">
      <formula>2</formula>
    </cfRule>
  </conditionalFormatting>
  <conditionalFormatting sqref="U2:U26">
    <cfRule dxfId="1542" operator="greaterThan" priority="2790" type="cellIs">
      <formula>1</formula>
    </cfRule>
  </conditionalFormatting>
  <conditionalFormatting sqref="T32:T45">
    <cfRule dxfId="1541" operator="greaterThan" priority="1655" type="cellIs">
      <formula>1</formula>
    </cfRule>
  </conditionalFormatting>
  <conditionalFormatting sqref="T42:T45 T47:T52">
    <cfRule dxfId="1540" operator="greaterThan" priority="1654" type="cellIs">
      <formula>1</formula>
    </cfRule>
  </conditionalFormatting>
  <conditionalFormatting sqref="T56">
    <cfRule dxfId="1539" operator="greaterThan" priority="1652" type="cellIs">
      <formula>1</formula>
    </cfRule>
  </conditionalFormatting>
  <conditionalFormatting sqref="T57">
    <cfRule dxfId="1538" operator="greaterThan" priority="1651" type="cellIs">
      <formula>1</formula>
    </cfRule>
  </conditionalFormatting>
  <conditionalFormatting sqref="T59:T62 T64:T70">
    <cfRule dxfId="1537" operator="greaterThan" priority="1650" type="cellIs">
      <formula>1</formula>
    </cfRule>
  </conditionalFormatting>
  <conditionalFormatting sqref="T70">
    <cfRule dxfId="1536" operator="greaterThan" priority="1649" type="cellIs">
      <formula>1</formula>
    </cfRule>
  </conditionalFormatting>
  <conditionalFormatting sqref="T116:T118">
    <cfRule dxfId="1535" operator="greaterThan" priority="1646" type="cellIs">
      <formula>1</formula>
    </cfRule>
  </conditionalFormatting>
  <conditionalFormatting sqref="T151:T154 T156:T177">
    <cfRule dxfId="1534" operator="greaterThan" priority="1644" type="cellIs">
      <formula>1</formula>
    </cfRule>
  </conditionalFormatting>
  <conditionalFormatting sqref="AE6:AE7">
    <cfRule dxfId="1533" operator="greaterThan" priority="2773" type="cellIs">
      <formula>1</formula>
    </cfRule>
  </conditionalFormatting>
  <conditionalFormatting sqref="AE9:AE11">
    <cfRule dxfId="1532" operator="greaterThan" priority="2772" type="cellIs">
      <formula>1</formula>
    </cfRule>
  </conditionalFormatting>
  <conditionalFormatting sqref="AE13">
    <cfRule dxfId="1531" operator="greaterThan" priority="2771" type="cellIs">
      <formula>1</formula>
    </cfRule>
  </conditionalFormatting>
  <conditionalFormatting sqref="AE16:AE17">
    <cfRule dxfId="1530" operator="greaterThan" priority="2770" type="cellIs">
      <formula>1</formula>
    </cfRule>
  </conditionalFormatting>
  <conditionalFormatting sqref="AE23">
    <cfRule dxfId="1529" operator="greaterThan" priority="2769" type="cellIs">
      <formula>1</formula>
    </cfRule>
  </conditionalFormatting>
  <conditionalFormatting sqref="AE24:AE25">
    <cfRule dxfId="1528" operator="greaterThan" priority="2768" type="cellIs">
      <formula>1</formula>
    </cfRule>
  </conditionalFormatting>
  <conditionalFormatting sqref="W204:W205">
    <cfRule dxfId="1527" operator="greaterThan" priority="1592" type="cellIs">
      <formula>1</formula>
    </cfRule>
  </conditionalFormatting>
  <conditionalFormatting sqref="V60:V61">
    <cfRule dxfId="1526" operator="greaterThan" priority="1634" type="cellIs">
      <formula>1</formula>
    </cfRule>
  </conditionalFormatting>
  <conditionalFormatting sqref="W106">
    <cfRule dxfId="1525" operator="greaterThan" priority="1600" type="cellIs">
      <formula>1</formula>
    </cfRule>
  </conditionalFormatting>
  <conditionalFormatting sqref="V77">
    <cfRule dxfId="1524" operator="greaterThan" priority="1632" type="cellIs">
      <formula>1</formula>
    </cfRule>
  </conditionalFormatting>
  <conditionalFormatting sqref="V82">
    <cfRule dxfId="1523" operator="greaterThan" priority="1631" type="cellIs">
      <formula>1</formula>
    </cfRule>
  </conditionalFormatting>
  <conditionalFormatting sqref="V93:V96">
    <cfRule dxfId="1522" operator="greaterThan" priority="1628" type="cellIs">
      <formula>1</formula>
    </cfRule>
  </conditionalFormatting>
  <conditionalFormatting sqref="V104">
    <cfRule dxfId="1521" operator="greaterThan" priority="1626" type="cellIs">
      <formula>1</formula>
    </cfRule>
  </conditionalFormatting>
  <conditionalFormatting sqref="V149:V150">
    <cfRule dxfId="1520" operator="greaterThan" priority="1620" type="cellIs">
      <formula>1</formula>
    </cfRule>
  </conditionalFormatting>
  <conditionalFormatting sqref="V154:V155 V158:V165">
    <cfRule dxfId="1519" operator="greaterThan" priority="1619" type="cellIs">
      <formula>1</formula>
    </cfRule>
  </conditionalFormatting>
  <conditionalFormatting sqref="V172:V175">
    <cfRule dxfId="1518" operator="greaterThan" priority="1618" type="cellIs">
      <formula>1</formula>
    </cfRule>
  </conditionalFormatting>
  <conditionalFormatting sqref="V181 V184">
    <cfRule dxfId="1517" operator="greaterThan" priority="1616" type="cellIs">
      <formula>1</formula>
    </cfRule>
  </conditionalFormatting>
  <conditionalFormatting sqref="V186:V188">
    <cfRule dxfId="1516" operator="greaterThan" priority="1615" type="cellIs">
      <formula>1</formula>
    </cfRule>
  </conditionalFormatting>
  <conditionalFormatting sqref="V199">
    <cfRule dxfId="1515" operator="greaterThan" priority="1614" type="cellIs">
      <formula>1</formula>
    </cfRule>
  </conditionalFormatting>
  <conditionalFormatting sqref="V204">
    <cfRule dxfId="1514" operator="greaterThan" priority="1613" type="cellIs">
      <formula>1</formula>
    </cfRule>
  </conditionalFormatting>
  <conditionalFormatting sqref="V216:V219">
    <cfRule dxfId="1513" operator="greaterThan" priority="1610" type="cellIs">
      <formula>1</formula>
    </cfRule>
  </conditionalFormatting>
  <conditionalFormatting sqref="V226:V229">
    <cfRule dxfId="1512" operator="greaterThan" priority="1608" type="cellIs">
      <formula>1</formula>
    </cfRule>
  </conditionalFormatting>
  <conditionalFormatting sqref="W99">
    <cfRule dxfId="1511" operator="greaterThan" priority="1601" type="cellIs">
      <formula>1</formula>
    </cfRule>
  </conditionalFormatting>
  <conditionalFormatting sqref="W181 W184">
    <cfRule dxfId="1510" operator="greaterThan" priority="1595" type="cellIs">
      <formula>1</formula>
    </cfRule>
  </conditionalFormatting>
  <conditionalFormatting sqref="W128">
    <cfRule dxfId="1509" operator="greaterThan" priority="1597" type="cellIs">
      <formula>1</formula>
    </cfRule>
  </conditionalFormatting>
  <conditionalFormatting sqref="T10:T13">
    <cfRule dxfId="1508" operator="greaterThan" priority="2721" type="cellIs">
      <formula>1</formula>
    </cfRule>
  </conditionalFormatting>
  <conditionalFormatting sqref="T15:T26">
    <cfRule dxfId="1507" operator="greaterThan" priority="2720" type="cellIs">
      <formula>1</formula>
    </cfRule>
  </conditionalFormatting>
  <conditionalFormatting sqref="W107">
    <cfRule dxfId="1506" operator="greaterThan" priority="1584" type="cellIs">
      <formula>1</formula>
    </cfRule>
  </conditionalFormatting>
  <conditionalFormatting sqref="W112">
    <cfRule dxfId="1505" operator="greaterThan" priority="1583" type="cellIs">
      <formula>1</formula>
    </cfRule>
  </conditionalFormatting>
  <conditionalFormatting sqref="W116:W131">
    <cfRule dxfId="1504" operator="greaterThan" priority="1582" type="cellIs">
      <formula>1</formula>
    </cfRule>
  </conditionalFormatting>
  <conditionalFormatting sqref="W180">
    <cfRule dxfId="1503" operator="greaterThan" priority="1580" type="cellIs">
      <formula>1</formula>
    </cfRule>
  </conditionalFormatting>
  <conditionalFormatting sqref="W185">
    <cfRule dxfId="1502" operator="greaterThan" priority="1579" type="cellIs">
      <formula>1</formula>
    </cfRule>
  </conditionalFormatting>
  <conditionalFormatting sqref="W189:W201">
    <cfRule dxfId="1501" operator="greaterThan" priority="1578" type="cellIs">
      <formula>1</formula>
    </cfRule>
  </conditionalFormatting>
  <conditionalFormatting sqref="W200">
    <cfRule dxfId="1500" operator="greaterThan" priority="1577" type="cellIs">
      <formula>1</formula>
    </cfRule>
  </conditionalFormatting>
  <conditionalFormatting sqref="V2">
    <cfRule dxfId="1499" operator="greaterThan" priority="2704" type="cellIs">
      <formula>1</formula>
    </cfRule>
  </conditionalFormatting>
  <conditionalFormatting sqref="V3:V5 V8 V12 V14:V15 V18:V22 V24 V26">
    <cfRule dxfId="1498" operator="greaterThan" priority="2705" type="cellIs">
      <formula>2</formula>
    </cfRule>
  </conditionalFormatting>
  <conditionalFormatting sqref="V6:V7">
    <cfRule dxfId="1497" operator="greaterThan" priority="2703" type="cellIs">
      <formula>1</formula>
    </cfRule>
  </conditionalFormatting>
  <conditionalFormatting sqref="V9:V11">
    <cfRule dxfId="1496" operator="greaterThan" priority="2702" type="cellIs">
      <formula>1</formula>
    </cfRule>
  </conditionalFormatting>
  <conditionalFormatting sqref="V13">
    <cfRule dxfId="1495" operator="greaterThan" priority="2701" type="cellIs">
      <formula>1</formula>
    </cfRule>
  </conditionalFormatting>
  <conditionalFormatting sqref="V16:V17">
    <cfRule dxfId="1494" operator="greaterThan" priority="2700" type="cellIs">
      <formula>1</formula>
    </cfRule>
  </conditionalFormatting>
  <conditionalFormatting sqref="V23">
    <cfRule dxfId="1493" operator="greaterThan" priority="2699" type="cellIs">
      <formula>1</formula>
    </cfRule>
  </conditionalFormatting>
  <conditionalFormatting sqref="V25">
    <cfRule dxfId="1492" operator="greaterThan" priority="2698" type="cellIs">
      <formula>1</formula>
    </cfRule>
  </conditionalFormatting>
  <conditionalFormatting sqref="Y101:Y104 Y106:Y114">
    <cfRule dxfId="1491" operator="greaterThan" priority="1565" type="cellIs">
      <formula>1</formula>
    </cfRule>
  </conditionalFormatting>
  <conditionalFormatting sqref="Y112:Y114 Y117:Y124">
    <cfRule dxfId="1490" operator="greaterThan" priority="1564" type="cellIs">
      <formula>1</formula>
    </cfRule>
  </conditionalFormatting>
  <conditionalFormatting sqref="Y128:Y130 Y133:Y140">
    <cfRule dxfId="1489" operator="greaterThan" priority="1562" type="cellIs">
      <formula>1</formula>
    </cfRule>
  </conditionalFormatting>
  <conditionalFormatting sqref="Y154">
    <cfRule dxfId="1488" operator="greaterThan" priority="1560" type="cellIs">
      <formula>1</formula>
    </cfRule>
  </conditionalFormatting>
  <conditionalFormatting sqref="Y157 Y159 Y162:Y168 Y170:Y187">
    <cfRule dxfId="1487" operator="greaterThan" priority="1559" type="cellIs">
      <formula>1</formula>
    </cfRule>
  </conditionalFormatting>
  <conditionalFormatting sqref="Y192 Y195">
    <cfRule dxfId="1486" operator="greaterThan" priority="1556" type="cellIs">
      <formula>1</formula>
    </cfRule>
  </conditionalFormatting>
  <conditionalFormatting sqref="Y203:Y206 Y208:Y224">
    <cfRule dxfId="1485" operator="greaterThan" priority="1554" type="cellIs">
      <formula>1</formula>
    </cfRule>
  </conditionalFormatting>
  <conditionalFormatting sqref="Z62:Z64 Z66:Z76">
    <cfRule dxfId="1484" operator="greaterThan" priority="1548" type="cellIs">
      <formula>1</formula>
    </cfRule>
  </conditionalFormatting>
  <conditionalFormatting sqref="Z74:Z75">
    <cfRule dxfId="1483" operator="greaterThan" priority="1547" type="cellIs">
      <formula>1</formula>
    </cfRule>
  </conditionalFormatting>
  <conditionalFormatting sqref="Z84:Z86">
    <cfRule dxfId="1482" operator="greaterThan" priority="1546" type="cellIs">
      <formula>1</formula>
    </cfRule>
  </conditionalFormatting>
  <conditionalFormatting sqref="Z101:Z103 Z105">
    <cfRule dxfId="1481" operator="greaterThan" priority="1544" type="cellIs">
      <formula>1</formula>
    </cfRule>
  </conditionalFormatting>
  <conditionalFormatting sqref="Z108:Z110">
    <cfRule dxfId="1480" operator="greaterThan" priority="1543" type="cellIs">
      <formula>1</formula>
    </cfRule>
  </conditionalFormatting>
  <conditionalFormatting sqref="Z113:Z115 Z117:Z132">
    <cfRule dxfId="1479" operator="greaterThan" priority="1542" type="cellIs">
      <formula>1</formula>
    </cfRule>
  </conditionalFormatting>
  <conditionalFormatting sqref="Z137:Z139 Z141:Z151">
    <cfRule dxfId="1478" operator="greaterThan" priority="1541" type="cellIs">
      <formula>1</formula>
    </cfRule>
  </conditionalFormatting>
  <conditionalFormatting sqref="AH1:AH10 AH14:AH16 AH12 AH22:AH26 AH264:AH1048576">
    <cfRule dxfId="1477" operator="greaterThan" priority="1754" type="cellIs">
      <formula>1</formula>
    </cfRule>
  </conditionalFormatting>
  <conditionalFormatting sqref="AH11">
    <cfRule dxfId="1476" operator="greaterThan" priority="1753" type="cellIs">
      <formula>1</formula>
    </cfRule>
  </conditionalFormatting>
  <conditionalFormatting sqref="AH21 AH17:AH19">
    <cfRule dxfId="1475" operator="greaterThan" priority="1752" type="cellIs">
      <formula>1</formula>
    </cfRule>
  </conditionalFormatting>
  <conditionalFormatting sqref="AH13">
    <cfRule dxfId="1474" operator="greaterThan" priority="1751" type="cellIs">
      <formula>1</formula>
    </cfRule>
  </conditionalFormatting>
  <conditionalFormatting sqref="AH20">
    <cfRule dxfId="1473" operator="greaterThan" priority="1750" type="cellIs">
      <formula>1</formula>
    </cfRule>
  </conditionalFormatting>
  <conditionalFormatting sqref="W6:W7">
    <cfRule dxfId="1472" operator="greaterThan" priority="2655" type="cellIs">
      <formula>1</formula>
    </cfRule>
  </conditionalFormatting>
  <conditionalFormatting sqref="W9:W11">
    <cfRule dxfId="1471" operator="greaterThan" priority="2654" type="cellIs">
      <formula>1</formula>
    </cfRule>
  </conditionalFormatting>
  <conditionalFormatting sqref="Z132">
    <cfRule dxfId="1470" operator="greaterThan" priority="1514" type="cellIs">
      <formula>1</formula>
    </cfRule>
  </conditionalFormatting>
  <conditionalFormatting sqref="Z148:Z151 Z153:Z158">
    <cfRule dxfId="1469" operator="greaterThan" priority="1512" type="cellIs">
      <formula>1</formula>
    </cfRule>
  </conditionalFormatting>
  <conditionalFormatting sqref="Z155">
    <cfRule dxfId="1468" operator="greaterThan" priority="1511" type="cellIs">
      <formula>1</formula>
    </cfRule>
  </conditionalFormatting>
  <conditionalFormatting sqref="L239:S239 AG240:AG241 L32:S32 L244:AG245 AG32:AG38 AK27:AL31 L27:L31 L43:S45 L33:R33 L101:S101 L103:S103 L102:M102 W242:AG242 L246:P246 W246:AB246 AD246:AE246 AG246 AI32:AL55 AI239:AL246 AG41:AG45 AG60:AG84 AG47:AG50 AG96:AG109 AG111:AG113 AG115:AG120 AG122:AG150 AG152:AG184 AG186:AG212 AG214 AG219:AG220 AG222 AG224:AG227 L34:O34 Q34:S34 L35:M37 O35:S37 L38:N38 P38:S38 L39:P39 R39:S39 L40:R40 L41:M42 O41:S42 L47:S49 L46:M46 O46:S46 L51:S52 L50:O50 Q50:S50 L59:S59 L53 L65:S67 L64:M64 O64:R64 L63:S63 L61:M62 O61:S62 L69:S69 L68:N68 P68:S68 L71:S77 L70 N70:S70 L79:S83 L78:M78 O78:R78 L86:S88 L85:M85 O85:S85 L90:S91 L89:N89 P89:S89 L84 N84:R84 L92:Q92 S92 L93:M95 O93:R94 N98:R98 L100:M100 O99:S100 L96:L99 P102:R102 L112:S112 O104:R104 O105:S106 R107:S107 O107:P107 L104:M108 O108:S108 L109 N109 L110:N110 P109:R110 L111:R111 L114:S114 L113:P113 R113:S113 L116:S116 L115:O115 Q115:S115 L118:S122 L117:P117 R117:S117 L128:S136 L126:N126 P126:S126 L124:S125 L123:O123 Q123:S123 L127:O127 Q127:S127 L138:S153 L137:M137 O137:S137 L155:S164 L154:P154 R154:S154 L170:S170 L165:M168 O165:S168 L175:S183 O171:P171 R171:S171 L171:M172 O172:S172 L173:N174 P173:S174 L185:S185 L184:M184 O184:S184 L188:S188 L186:M186 O186:S186 L190:S190 L189:M189 P189:S189 L187:N187 P187:S187 L193:S197 L191:L192 L201:S201 L198:R198 L199 N199:S199 L200:M200 P200:S200 L204:S204 L202:M202 P202:S202 L203:R203 L206:S207 L205:Q205 S205 L209:S210 L208:R208 L213:S218 L211:Q212 S211:S212 L220:S227 L219 N219:R219 R242:U242 R243:AG243 L240:P240 R240:S241 L242:P243 L241:M241 O241:P241 R246:U246 N191:R192 N96:N97 P97:R97 P95:S96 AG86:AG94 L169:R169 P56:S56 AI57:AL59 AI56 AK56:AL56 AI201:AL227 AI200 AK200:AL200 L56:M57 O57:S57 L58:R58 L60:R60 AI61:AL199 AI60:AJ60 AL60">
    <cfRule dxfId="1467" operator="greaterThan" priority="1726" type="cellIs">
      <formula>1</formula>
    </cfRule>
  </conditionalFormatting>
  <conditionalFormatting sqref="L223:S231 AG224:AG233 AI223:AL243 AG238 AG240:AG243 L234:S236 L232:M232 O232:S232 L238:S239 L237 N237:S237 L233:P233 R233:S233 L240:P240 R240:S243 L242:P243 L241:M241 O241:P241 AG235:AG236">
    <cfRule dxfId="1466" operator="greaterThan" priority="1725" type="cellIs">
      <formula>1</formula>
    </cfRule>
  </conditionalFormatting>
  <conditionalFormatting sqref="X239:X241 AA239:AA241 AD239:AD241 X244:X246 AA244:AA246 AD244:AD246 X33:X53 AD32:AD54 AA32:AA54 X85:X94 X96:X111 X113:X127 X131:X154 X156:X227 X56:X57 AA56:AA227 AD56 AD58:AD227 X59:X83">
    <cfRule dxfId="1465" operator="greaterThan" priority="1723" type="cellIs">
      <formula>1</formula>
    </cfRule>
  </conditionalFormatting>
  <conditionalFormatting sqref="W2:W5">
    <cfRule dxfId="1464" operator="greaterThan" priority="2638" type="cellIs">
      <formula>1</formula>
    </cfRule>
  </conditionalFormatting>
  <conditionalFormatting sqref="W8">
    <cfRule dxfId="1463" operator="greaterThan" priority="2637" type="cellIs">
      <formula>1</formula>
    </cfRule>
  </conditionalFormatting>
  <conditionalFormatting sqref="W12:W26">
    <cfRule dxfId="1462" operator="greaterThan" priority="2636" type="cellIs">
      <formula>1</formula>
    </cfRule>
  </conditionalFormatting>
  <conditionalFormatting sqref="X36:X37">
    <cfRule dxfId="1461" operator="greaterThan" priority="1715" type="cellIs">
      <formula>1</formula>
    </cfRule>
  </conditionalFormatting>
  <conditionalFormatting sqref="AA36:AA37">
    <cfRule dxfId="1460" operator="greaterThan" priority="1714" type="cellIs">
      <formula>1</formula>
    </cfRule>
  </conditionalFormatting>
  <conditionalFormatting sqref="U32:U53 U57 U59:U79">
    <cfRule dxfId="1459" operator="greaterThan" priority="1706" type="cellIs">
      <formula>1</formula>
    </cfRule>
  </conditionalFormatting>
  <conditionalFormatting sqref="U76:U79 U81:U86">
    <cfRule dxfId="1458" operator="greaterThan" priority="1705" type="cellIs">
      <formula>1</formula>
    </cfRule>
  </conditionalFormatting>
  <conditionalFormatting sqref="U83">
    <cfRule dxfId="1457" operator="greaterThan" priority="1703" type="cellIs">
      <formula>1</formula>
    </cfRule>
  </conditionalFormatting>
  <conditionalFormatting sqref="Y10 Y23 Y26">
    <cfRule dxfId="1456" operator="greaterThan" priority="2618" type="cellIs">
      <formula>2</formula>
    </cfRule>
  </conditionalFormatting>
  <conditionalFormatting sqref="Y2:Y9">
    <cfRule dxfId="1455" operator="greaterThan" priority="2617" type="cellIs">
      <formula>1</formula>
    </cfRule>
  </conditionalFormatting>
  <conditionalFormatting sqref="Y11:Y20">
    <cfRule dxfId="1454" operator="greaterThan" priority="2616" type="cellIs">
      <formula>1</formula>
    </cfRule>
  </conditionalFormatting>
  <conditionalFormatting sqref="Y21:Y22">
    <cfRule dxfId="1453" operator="greaterThan" priority="2615" type="cellIs">
      <formula>1</formula>
    </cfRule>
  </conditionalFormatting>
  <conditionalFormatting sqref="Y24:Y25">
    <cfRule dxfId="1452" operator="greaterThan" priority="2614" type="cellIs">
      <formula>1</formula>
    </cfRule>
  </conditionalFormatting>
  <conditionalFormatting sqref="U166:U169 U171:U176">
    <cfRule dxfId="1451" operator="greaterThan" priority="1697" type="cellIs">
      <formula>1</formula>
    </cfRule>
  </conditionalFormatting>
  <conditionalFormatting sqref="U173:U176 U178:U186">
    <cfRule dxfId="1450" operator="greaterThan" priority="1696" type="cellIs">
      <formula>1</formula>
    </cfRule>
  </conditionalFormatting>
  <conditionalFormatting sqref="U185:U186 U190:U197">
    <cfRule dxfId="1449" operator="greaterThan" priority="1695" type="cellIs">
      <formula>1</formula>
    </cfRule>
  </conditionalFormatting>
  <conditionalFormatting sqref="U196">
    <cfRule dxfId="1448" operator="greaterThan" priority="1694" type="cellIs">
      <formula>1</formula>
    </cfRule>
  </conditionalFormatting>
  <conditionalFormatting sqref="U197">
    <cfRule dxfId="1447" operator="greaterThan" priority="1693" type="cellIs">
      <formula>1</formula>
    </cfRule>
  </conditionalFormatting>
  <conditionalFormatting sqref="U208:U210 U213:U246">
    <cfRule dxfId="1446" operator="greaterThan" priority="1691" type="cellIs">
      <formula>1</formula>
    </cfRule>
  </conditionalFormatting>
  <conditionalFormatting sqref="AE32">
    <cfRule dxfId="1445" operator="greaterThan" priority="1690" type="cellIs">
      <formula>1</formula>
    </cfRule>
  </conditionalFormatting>
  <conditionalFormatting sqref="AE40:AE42 AE44">
    <cfRule dxfId="1444" operator="greaterThan" priority="1689" type="cellIs">
      <formula>1</formula>
    </cfRule>
  </conditionalFormatting>
  <conditionalFormatting sqref="AE47">
    <cfRule dxfId="1443" operator="greaterThan" priority="1688" type="cellIs">
      <formula>1</formula>
    </cfRule>
  </conditionalFormatting>
  <conditionalFormatting sqref="AE49">
    <cfRule dxfId="1442" operator="greaterThan" priority="1687" type="cellIs">
      <formula>1</formula>
    </cfRule>
  </conditionalFormatting>
  <conditionalFormatting sqref="AE54 AE56">
    <cfRule dxfId="1441" operator="greaterThan" priority="1686" type="cellIs">
      <formula>1</formula>
    </cfRule>
  </conditionalFormatting>
  <conditionalFormatting sqref="AE58">
    <cfRule dxfId="1440" operator="greaterThan" priority="1685" type="cellIs">
      <formula>1</formula>
    </cfRule>
  </conditionalFormatting>
  <conditionalFormatting sqref="AE60:AE79">
    <cfRule dxfId="1439" operator="greaterThan" priority="1684" type="cellIs">
      <formula>1</formula>
    </cfRule>
  </conditionalFormatting>
  <conditionalFormatting sqref="AE77">
    <cfRule dxfId="1438" operator="greaterThan" priority="1683" type="cellIs">
      <formula>1</formula>
    </cfRule>
  </conditionalFormatting>
  <conditionalFormatting sqref="AE79:AE80 AE82">
    <cfRule dxfId="1437" operator="greaterThan" priority="1682" type="cellIs">
      <formula>1</formula>
    </cfRule>
  </conditionalFormatting>
  <conditionalFormatting sqref="AE86">
    <cfRule dxfId="1436" operator="greaterThan" priority="1681" type="cellIs">
      <formula>1</formula>
    </cfRule>
  </conditionalFormatting>
  <conditionalFormatting sqref="AE88:AE89">
    <cfRule dxfId="1435" operator="greaterThan" priority="1680" type="cellIs">
      <formula>1</formula>
    </cfRule>
  </conditionalFormatting>
  <conditionalFormatting sqref="AE91">
    <cfRule dxfId="1434" operator="greaterThan" priority="1679" type="cellIs">
      <formula>1</formula>
    </cfRule>
  </conditionalFormatting>
  <conditionalFormatting sqref="AE93:AE96">
    <cfRule dxfId="1433" operator="greaterThan" priority="1678" type="cellIs">
      <formula>1</formula>
    </cfRule>
  </conditionalFormatting>
  <conditionalFormatting sqref="AE103:AE104">
    <cfRule dxfId="1432" operator="greaterThan" priority="1676" type="cellIs">
      <formula>1</formula>
    </cfRule>
  </conditionalFormatting>
  <conditionalFormatting sqref="AE181:AE184">
    <cfRule dxfId="1431" operator="greaterThan" priority="1664" type="cellIs">
      <formula>1</formula>
    </cfRule>
  </conditionalFormatting>
  <conditionalFormatting sqref="AE186:AE188">
    <cfRule dxfId="1430" operator="greaterThan" priority="1663" type="cellIs">
      <formula>1</formula>
    </cfRule>
  </conditionalFormatting>
  <conditionalFormatting sqref="AE199">
    <cfRule dxfId="1429" operator="greaterThan" priority="1662" type="cellIs">
      <formula>1</formula>
    </cfRule>
  </conditionalFormatting>
  <conditionalFormatting sqref="AE204">
    <cfRule dxfId="1428" operator="greaterThan" priority="1661" type="cellIs">
      <formula>1</formula>
    </cfRule>
  </conditionalFormatting>
  <conditionalFormatting sqref="AE210:AE214">
    <cfRule dxfId="1427" operator="greaterThan" priority="1660" type="cellIs">
      <formula>1</formula>
    </cfRule>
  </conditionalFormatting>
  <conditionalFormatting sqref="AE216:AE219 AE221:AE229">
    <cfRule dxfId="1426" operator="greaterThan" priority="1659" type="cellIs">
      <formula>1</formula>
    </cfRule>
  </conditionalFormatting>
  <conditionalFormatting sqref="AE226:AE230">
    <cfRule dxfId="1425" operator="greaterThan" priority="1658" type="cellIs">
      <formula>1</formula>
    </cfRule>
  </conditionalFormatting>
  <conditionalFormatting sqref="AE238:AE241">
    <cfRule dxfId="1424" operator="greaterThan" priority="1657" type="cellIs">
      <formula>1</formula>
    </cfRule>
  </conditionalFormatting>
  <conditionalFormatting sqref="Z2:Z3">
    <cfRule dxfId="1423" operator="greaterThan" priority="2590" type="cellIs">
      <formula>1</formula>
    </cfRule>
  </conditionalFormatting>
  <conditionalFormatting sqref="Z8">
    <cfRule dxfId="1422" operator="greaterThan" priority="2589" type="cellIs">
      <formula>1</formula>
    </cfRule>
  </conditionalFormatting>
  <conditionalFormatting sqref="Z11">
    <cfRule dxfId="1421" operator="greaterThan" priority="2588" type="cellIs">
      <formula>1</formula>
    </cfRule>
  </conditionalFormatting>
  <conditionalFormatting sqref="Z12">
    <cfRule dxfId="1420" operator="greaterThan" priority="2587" type="cellIs">
      <formula>1</formula>
    </cfRule>
  </conditionalFormatting>
  <conditionalFormatting sqref="Z13">
    <cfRule dxfId="1419" operator="greaterThan" priority="2586" type="cellIs">
      <formula>1</formula>
    </cfRule>
  </conditionalFormatting>
  <conditionalFormatting sqref="Z18:Z25">
    <cfRule dxfId="1418" operator="greaterThan" priority="2585" type="cellIs">
      <formula>1</formula>
    </cfRule>
  </conditionalFormatting>
  <conditionalFormatting sqref="AE139:AE152">
    <cfRule dxfId="1417" operator="greaterThan" priority="1668" type="cellIs">
      <formula>1</formula>
    </cfRule>
  </conditionalFormatting>
  <conditionalFormatting sqref="AE149">
    <cfRule dxfId="1416" operator="greaterThan" priority="1667" type="cellIs">
      <formula>1</formula>
    </cfRule>
  </conditionalFormatting>
  <conditionalFormatting sqref="AE153:AE156 AE158:AE166">
    <cfRule dxfId="1415" operator="greaterThan" priority="1666" type="cellIs">
      <formula>1</formula>
    </cfRule>
  </conditionalFormatting>
  <conditionalFormatting sqref="AE179">
    <cfRule dxfId="1414" operator="greaterThan" priority="1665" type="cellIs">
      <formula>1</formula>
    </cfRule>
  </conditionalFormatting>
  <conditionalFormatting sqref="T49:T52">
    <cfRule dxfId="1413" operator="greaterThan" priority="1653" type="cellIs">
      <formula>1</formula>
    </cfRule>
  </conditionalFormatting>
  <conditionalFormatting sqref="Z4">
    <cfRule dxfId="1412" operator="greaterThan" priority="2568" type="cellIs">
      <formula>2</formula>
    </cfRule>
  </conditionalFormatting>
  <conditionalFormatting sqref="Z6">
    <cfRule dxfId="1411" operator="greaterThan" priority="2567" type="cellIs">
      <formula>2</formula>
    </cfRule>
  </conditionalFormatting>
  <conditionalFormatting sqref="Z9">
    <cfRule dxfId="1410" operator="greaterThan" priority="2566" type="cellIs">
      <formula>2</formula>
    </cfRule>
  </conditionalFormatting>
  <conditionalFormatting sqref="Z14">
    <cfRule dxfId="1409" operator="greaterThan" priority="2565" type="cellIs">
      <formula>2</formula>
    </cfRule>
  </conditionalFormatting>
  <conditionalFormatting sqref="Z16">
    <cfRule dxfId="1408" operator="greaterThan" priority="2564" type="cellIs">
      <formula>2</formula>
    </cfRule>
  </conditionalFormatting>
  <conditionalFormatting sqref="Z5">
    <cfRule dxfId="1407" operator="greaterThan" priority="2563" type="cellIs">
      <formula>1</formula>
    </cfRule>
  </conditionalFormatting>
  <conditionalFormatting sqref="Z7">
    <cfRule dxfId="1406" operator="greaterThan" priority="2562" type="cellIs">
      <formula>1</formula>
    </cfRule>
  </conditionalFormatting>
  <conditionalFormatting sqref="Z10">
    <cfRule dxfId="1405" operator="greaterThan" priority="2561" type="cellIs">
      <formula>1</formula>
    </cfRule>
  </conditionalFormatting>
  <conditionalFormatting sqref="Z15">
    <cfRule dxfId="1404" operator="greaterThan" priority="2560" type="cellIs">
      <formula>1</formula>
    </cfRule>
  </conditionalFormatting>
  <conditionalFormatting sqref="Z26">
    <cfRule dxfId="1403" operator="greaterThan" priority="2558" type="cellIs">
      <formula>2</formula>
    </cfRule>
  </conditionalFormatting>
  <conditionalFormatting sqref="V36">
    <cfRule dxfId="1402" operator="greaterThan" priority="1640" type="cellIs">
      <formula>1</formula>
    </cfRule>
  </conditionalFormatting>
  <conditionalFormatting sqref="V41">
    <cfRule dxfId="1401" operator="greaterThan" priority="1639" type="cellIs">
      <formula>1</formula>
    </cfRule>
  </conditionalFormatting>
  <conditionalFormatting sqref="V49">
    <cfRule dxfId="1400" operator="greaterThan" priority="1637" type="cellIs">
      <formula>1</formula>
    </cfRule>
  </conditionalFormatting>
  <conditionalFormatting sqref="V88 V91">
    <cfRule dxfId="1399" operator="greaterThan" priority="1629" type="cellIs">
      <formula>1</formula>
    </cfRule>
  </conditionalFormatting>
  <conditionalFormatting sqref="V65:V67 V69:V78">
    <cfRule dxfId="1398" operator="greaterThan" priority="1633" type="cellIs">
      <formula>1</formula>
    </cfRule>
  </conditionalFormatting>
  <conditionalFormatting sqref="V99">
    <cfRule dxfId="1397" operator="greaterThan" priority="1627" type="cellIs">
      <formula>1</formula>
    </cfRule>
  </conditionalFormatting>
  <conditionalFormatting sqref="V119:V120 V124:V127 V129:V130">
    <cfRule dxfId="1396" operator="greaterThan" priority="1623" type="cellIs">
      <formula>1</formula>
    </cfRule>
  </conditionalFormatting>
  <conditionalFormatting sqref="V140:V141 V144:V152">
    <cfRule dxfId="1395" operator="greaterThan" priority="1621" type="cellIs">
      <formula>1</formula>
    </cfRule>
  </conditionalFormatting>
  <conditionalFormatting sqref="V208">
    <cfRule dxfId="1394" operator="greaterThan" priority="1612" type="cellIs">
      <formula>1</formula>
    </cfRule>
  </conditionalFormatting>
  <conditionalFormatting sqref="V210 V213">
    <cfRule dxfId="1393" operator="greaterThan" priority="1611" type="cellIs">
      <formula>1</formula>
    </cfRule>
  </conditionalFormatting>
  <conditionalFormatting sqref="W47">
    <cfRule dxfId="1392" operator="greaterThan" priority="1606" type="cellIs">
      <formula>1</formula>
    </cfRule>
  </conditionalFormatting>
  <conditionalFormatting sqref="W49">
    <cfRule dxfId="1391" operator="greaterThan" priority="1605" type="cellIs">
      <formula>1</formula>
    </cfRule>
  </conditionalFormatting>
  <conditionalFormatting sqref="W97">
    <cfRule dxfId="1390" operator="greaterThan" priority="1602" type="cellIs">
      <formula>1</formula>
    </cfRule>
  </conditionalFormatting>
  <conditionalFormatting sqref="AC98:AC99 AC103:AC108">
    <cfRule dxfId="1389" operator="greaterThan" priority="1483" type="cellIs">
      <formula>1</formula>
    </cfRule>
  </conditionalFormatting>
  <conditionalFormatting sqref="AB2:AB26">
    <cfRule dxfId="1388" operator="greaterThan" priority="2513" type="cellIs">
      <formula>1</formula>
    </cfRule>
  </conditionalFormatting>
  <conditionalFormatting sqref="W186:W188">
    <cfRule dxfId="1387" operator="greaterThan" priority="1594" type="cellIs">
      <formula>1</formula>
    </cfRule>
  </conditionalFormatting>
  <conditionalFormatting sqref="W199">
    <cfRule dxfId="1386" operator="greaterThan" priority="1593" type="cellIs">
      <formula>1</formula>
    </cfRule>
  </conditionalFormatting>
  <conditionalFormatting sqref="W32 W34:W41">
    <cfRule dxfId="1385" operator="greaterThan" priority="1591" type="cellIs">
      <formula>1</formula>
    </cfRule>
  </conditionalFormatting>
  <conditionalFormatting sqref="W38:W41 W43:W49">
    <cfRule dxfId="1384" operator="greaterThan" priority="1590" type="cellIs">
      <formula>1</formula>
    </cfRule>
  </conditionalFormatting>
  <conditionalFormatting sqref="W52 W56:W57 W59:W79">
    <cfRule dxfId="1383" operator="greaterThan" priority="1589" type="cellIs">
      <formula>1</formula>
    </cfRule>
  </conditionalFormatting>
  <conditionalFormatting sqref="W76">
    <cfRule dxfId="1382" operator="greaterThan" priority="1588" type="cellIs">
      <formula>1</formula>
    </cfRule>
  </conditionalFormatting>
  <conditionalFormatting sqref="W78">
    <cfRule dxfId="1381" operator="greaterThan" priority="1587" type="cellIs">
      <formula>1</formula>
    </cfRule>
  </conditionalFormatting>
  <conditionalFormatting sqref="W85:W88 W90:W101">
    <cfRule dxfId="1380" operator="greaterThan" priority="1586" type="cellIs">
      <formula>1</formula>
    </cfRule>
  </conditionalFormatting>
  <conditionalFormatting sqref="W100:W102 W104">
    <cfRule dxfId="1379" operator="greaterThan" priority="1585" type="cellIs">
      <formula>1</formula>
    </cfRule>
  </conditionalFormatting>
  <conditionalFormatting sqref="AC2:AC26">
    <cfRule dxfId="1378" operator="greaterThan" priority="2497" type="cellIs">
      <formula>1</formula>
    </cfRule>
  </conditionalFormatting>
  <conditionalFormatting sqref="W201">
    <cfRule dxfId="1377" operator="greaterThan" priority="1576" type="cellIs">
      <formula>1</formula>
    </cfRule>
  </conditionalFormatting>
  <conditionalFormatting sqref="W206 W208:W246">
    <cfRule dxfId="1376" operator="greaterThan" priority="1575" type="cellIs">
      <formula>1</formula>
    </cfRule>
  </conditionalFormatting>
  <conditionalFormatting sqref="Y32:Y37">
    <cfRule dxfId="1375" operator="greaterThan" priority="1573" type="cellIs">
      <formula>1</formula>
    </cfRule>
  </conditionalFormatting>
  <conditionalFormatting sqref="Y34:Y37">
    <cfRule dxfId="1374" operator="greaterThan" priority="1572" type="cellIs">
      <formula>1</formula>
    </cfRule>
  </conditionalFormatting>
  <conditionalFormatting sqref="Y39">
    <cfRule dxfId="1373" operator="greaterThan" priority="1571" type="cellIs">
      <formula>1</formula>
    </cfRule>
  </conditionalFormatting>
  <conditionalFormatting sqref="Y41:Y42 Y44 Y46:Y52">
    <cfRule dxfId="1372" operator="greaterThan" priority="1570" type="cellIs">
      <formula>1</formula>
    </cfRule>
  </conditionalFormatting>
  <conditionalFormatting sqref="Y50:Y52 Y56:Y57 Y72:Y83 Y59:Y70">
    <cfRule dxfId="1371" operator="greaterThan" priority="1569" type="cellIs">
      <formula>1</formula>
    </cfRule>
  </conditionalFormatting>
  <conditionalFormatting sqref="Y80:Y83">
    <cfRule dxfId="1370" operator="greaterThan" priority="1567" type="cellIs">
      <formula>1</formula>
    </cfRule>
  </conditionalFormatting>
  <conditionalFormatting sqref="Y87:Y89 Y92:Y104">
    <cfRule dxfId="1369" operator="greaterThan" priority="1566" type="cellIs">
      <formula>1</formula>
    </cfRule>
  </conditionalFormatting>
  <conditionalFormatting sqref="AF3 AF10 AF12 AF14 AF17:AF18 AF24 AF26">
    <cfRule dxfId="1368" operator="greaterThan" priority="2481" type="cellIs">
      <formula>2</formula>
    </cfRule>
  </conditionalFormatting>
  <conditionalFormatting sqref="AF2">
    <cfRule dxfId="1367" operator="greaterThan" priority="2480" type="cellIs">
      <formula>1</formula>
    </cfRule>
  </conditionalFormatting>
  <conditionalFormatting sqref="AF4:AF9">
    <cfRule dxfId="1366" operator="greaterThan" priority="2479" type="cellIs">
      <formula>1</formula>
    </cfRule>
  </conditionalFormatting>
  <conditionalFormatting sqref="AF11">
    <cfRule dxfId="1365" operator="greaterThan" priority="2478" type="cellIs">
      <formula>1</formula>
    </cfRule>
  </conditionalFormatting>
  <conditionalFormatting sqref="AF13">
    <cfRule dxfId="1364" operator="greaterThan" priority="2477" type="cellIs">
      <formula>1</formula>
    </cfRule>
  </conditionalFormatting>
  <conditionalFormatting sqref="AF15:AF16">
    <cfRule dxfId="1363" operator="greaterThan" priority="2476" type="cellIs">
      <formula>1</formula>
    </cfRule>
  </conditionalFormatting>
  <conditionalFormatting sqref="AF19:AF23">
    <cfRule dxfId="1362" operator="greaterThan" priority="2475" type="cellIs">
      <formula>1</formula>
    </cfRule>
  </conditionalFormatting>
  <conditionalFormatting sqref="AF25">
    <cfRule dxfId="1361" operator="greaterThan" priority="2474" type="cellIs">
      <formula>1</formula>
    </cfRule>
  </conditionalFormatting>
  <conditionalFormatting sqref="Y190">
    <cfRule dxfId="1360" operator="greaterThan" priority="1557" type="cellIs">
      <formula>1</formula>
    </cfRule>
  </conditionalFormatting>
  <conditionalFormatting sqref="Y198:Y201">
    <cfRule dxfId="1359" operator="greaterThan" priority="1555" type="cellIs">
      <formula>1</formula>
    </cfRule>
  </conditionalFormatting>
  <conditionalFormatting sqref="Y223:Y224 Y228:Y246">
    <cfRule dxfId="1358" operator="greaterThan" priority="1553" type="cellIs">
      <formula>1</formula>
    </cfRule>
  </conditionalFormatting>
  <conditionalFormatting sqref="Z32 Z34 Z36:Z44">
    <cfRule dxfId="1357" operator="greaterThan" priority="1551" type="cellIs">
      <formula>1</formula>
    </cfRule>
  </conditionalFormatting>
  <conditionalFormatting sqref="Z42:Z44 Z46:Z54">
    <cfRule dxfId="1356" operator="greaterThan" priority="1550" type="cellIs">
      <formula>1</formula>
    </cfRule>
  </conditionalFormatting>
  <conditionalFormatting sqref="Z56">
    <cfRule dxfId="1355" operator="greaterThan" priority="1549" type="cellIs">
      <formula>1</formula>
    </cfRule>
  </conditionalFormatting>
  <conditionalFormatting sqref="Z95 Z98">
    <cfRule dxfId="1354" operator="greaterThan" priority="1545" type="cellIs">
      <formula>1</formula>
    </cfRule>
  </conditionalFormatting>
  <conditionalFormatting sqref="Z158 Z160 Z162:Z188">
    <cfRule dxfId="1353" operator="greaterThan" priority="1540" type="cellIs">
      <formula>1</formula>
    </cfRule>
  </conditionalFormatting>
  <conditionalFormatting sqref="Z186:Z188 Z190:Z202">
    <cfRule dxfId="1352" operator="greaterThan" priority="1539" type="cellIs">
      <formula>1</formula>
    </cfRule>
  </conditionalFormatting>
  <conditionalFormatting sqref="Z205:Z206 Z209:Z219">
    <cfRule dxfId="1351" operator="greaterThan" priority="1538" type="cellIs">
      <formula>1</formula>
    </cfRule>
  </conditionalFormatting>
  <conditionalFormatting sqref="Z217:Z219 Z221:Z246">
    <cfRule dxfId="1350" operator="greaterThan" priority="1537" type="cellIs">
      <formula>1</formula>
    </cfRule>
  </conditionalFormatting>
  <conditionalFormatting sqref="Z41">
    <cfRule dxfId="1349" operator="greaterThan" priority="1535" type="cellIs">
      <formula>1</formula>
    </cfRule>
  </conditionalFormatting>
  <conditionalFormatting sqref="Z51">
    <cfRule dxfId="1348" operator="greaterThan" priority="1533" type="cellIs">
      <formula>1</formula>
    </cfRule>
  </conditionalFormatting>
  <conditionalFormatting sqref="Z61">
    <cfRule dxfId="1347" operator="greaterThan" priority="1532" type="cellIs">
      <formula>1</formula>
    </cfRule>
  </conditionalFormatting>
  <conditionalFormatting sqref="Z73">
    <cfRule dxfId="1346" operator="greaterThan" priority="1528" type="cellIs">
      <formula>1</formula>
    </cfRule>
  </conditionalFormatting>
  <conditionalFormatting sqref="Z79:Z80">
    <cfRule dxfId="1345" operator="greaterThan" priority="1527" type="cellIs">
      <formula>1</formula>
    </cfRule>
  </conditionalFormatting>
  <conditionalFormatting sqref="Z90">
    <cfRule dxfId="1344" operator="greaterThan" priority="1524" type="cellIs">
      <formula>1</formula>
    </cfRule>
  </conditionalFormatting>
  <conditionalFormatting sqref="AE2:AE3">
    <cfRule dxfId="1343" operator="greaterThan" priority="2438" type="cellIs">
      <formula>1</formula>
    </cfRule>
  </conditionalFormatting>
  <conditionalFormatting sqref="AE5">
    <cfRule dxfId="1342" operator="greaterThan" priority="2437" type="cellIs">
      <formula>1</formula>
    </cfRule>
  </conditionalFormatting>
  <conditionalFormatting sqref="AE8">
    <cfRule dxfId="1341" operator="greaterThan" priority="2436" type="cellIs">
      <formula>1</formula>
    </cfRule>
  </conditionalFormatting>
  <conditionalFormatting sqref="AE12">
    <cfRule dxfId="1340" operator="greaterThan" priority="2435" type="cellIs">
      <formula>1</formula>
    </cfRule>
  </conditionalFormatting>
  <conditionalFormatting sqref="AE15">
    <cfRule dxfId="1339" operator="greaterThan" priority="2434" type="cellIs">
      <formula>1</formula>
    </cfRule>
  </conditionalFormatting>
  <conditionalFormatting sqref="AE18:AE22">
    <cfRule dxfId="1338" operator="greaterThan" priority="2433" type="cellIs">
      <formula>1</formula>
    </cfRule>
  </conditionalFormatting>
  <conditionalFormatting sqref="Z130">
    <cfRule dxfId="1337" operator="greaterThan" priority="1515" type="cellIs">
      <formula>1</formula>
    </cfRule>
  </conditionalFormatting>
  <conditionalFormatting sqref="Z157">
    <cfRule dxfId="1336" operator="greaterThan" priority="1510" type="cellIs">
      <formula>1</formula>
    </cfRule>
  </conditionalFormatting>
  <conditionalFormatting sqref="Z185">
    <cfRule dxfId="1335" operator="greaterThan" priority="1509" type="cellIs">
      <formula>1</formula>
    </cfRule>
  </conditionalFormatting>
  <conditionalFormatting sqref="Z199:Z201">
    <cfRule dxfId="1334" operator="greaterThan" priority="1506" type="cellIs">
      <formula>1</formula>
    </cfRule>
  </conditionalFormatting>
  <conditionalFormatting sqref="Z204">
    <cfRule dxfId="1333" operator="greaterThan" priority="1505" type="cellIs">
      <formula>1</formula>
    </cfRule>
  </conditionalFormatting>
  <conditionalFormatting sqref="Z216">
    <cfRule dxfId="1332" operator="greaterThan" priority="1504" type="cellIs">
      <formula>1</formula>
    </cfRule>
  </conditionalFormatting>
  <conditionalFormatting sqref="AB32 AB34:AB51">
    <cfRule dxfId="1331" operator="greaterThan" priority="1501" type="cellIs">
      <formula>1</formula>
    </cfRule>
  </conditionalFormatting>
  <conditionalFormatting sqref="AB49:AB51 AB54 AB56:AB83">
    <cfRule dxfId="1330" operator="greaterThan" priority="1500" type="cellIs">
      <formula>1</formula>
    </cfRule>
  </conditionalFormatting>
  <conditionalFormatting sqref="AB80:AB83 AB85:AB97">
    <cfRule dxfId="1329" operator="greaterThan" priority="1499" type="cellIs">
      <formula>1</formula>
    </cfRule>
  </conditionalFormatting>
  <conditionalFormatting sqref="AB95:AB97">
    <cfRule dxfId="1328" operator="greaterThan" priority="1498" type="cellIs">
      <formula>1</formula>
    </cfRule>
  </conditionalFormatting>
  <conditionalFormatting sqref="AB101:AB102">
    <cfRule dxfId="1327" operator="greaterThan" priority="1497" type="cellIs">
      <formula>1</formula>
    </cfRule>
  </conditionalFormatting>
  <conditionalFormatting sqref="AB104 AB106:AB107">
    <cfRule dxfId="1326" operator="greaterThan" priority="1496" type="cellIs">
      <formula>1</formula>
    </cfRule>
  </conditionalFormatting>
  <conditionalFormatting sqref="AB110:AB113 AB115:AB121">
    <cfRule dxfId="1325" operator="greaterThan" priority="1495" type="cellIs">
      <formula>1</formula>
    </cfRule>
  </conditionalFormatting>
  <conditionalFormatting sqref="AB118:AB121 AB123:AB156">
    <cfRule dxfId="1324" operator="greaterThan" priority="1494" type="cellIs">
      <formula>1</formula>
    </cfRule>
  </conditionalFormatting>
  <conditionalFormatting sqref="AB153">
    <cfRule dxfId="1323" operator="greaterThan" priority="1493" type="cellIs">
      <formula>1</formula>
    </cfRule>
  </conditionalFormatting>
  <conditionalFormatting sqref="AB155:AB156">
    <cfRule dxfId="1322" operator="greaterThan" priority="1492" type="cellIs">
      <formula>1</formula>
    </cfRule>
  </conditionalFormatting>
  <conditionalFormatting sqref="AB160:AB161 AB164:AB190">
    <cfRule dxfId="1321" operator="greaterThan" priority="1491" type="cellIs">
      <formula>1</formula>
    </cfRule>
  </conditionalFormatting>
  <conditionalFormatting sqref="AB188:AB190 AB193:AB204">
    <cfRule dxfId="1320" operator="greaterThan" priority="1490" type="cellIs">
      <formula>1</formula>
    </cfRule>
  </conditionalFormatting>
  <conditionalFormatting sqref="AB203:AB204 AB208:AB226">
    <cfRule dxfId="1319" operator="greaterThan" priority="1489" type="cellIs">
      <formula>1</formula>
    </cfRule>
  </conditionalFormatting>
  <conditionalFormatting sqref="AB223:AB226 AB228:AB246">
    <cfRule dxfId="1318" operator="greaterThan" priority="1488" type="cellIs">
      <formula>1</formula>
    </cfRule>
  </conditionalFormatting>
  <conditionalFormatting sqref="AC32:AC35 AC37:AC50">
    <cfRule dxfId="1317" operator="greaterThan" priority="1486" type="cellIs">
      <formula>1</formula>
    </cfRule>
  </conditionalFormatting>
  <conditionalFormatting sqref="AC48:AC50 AC53:AC54 AC56:AC90">
    <cfRule dxfId="1316" operator="greaterThan" priority="1485" type="cellIs">
      <formula>1</formula>
    </cfRule>
  </conditionalFormatting>
  <conditionalFormatting sqref="AC87:AC90 AC92:AC99">
    <cfRule dxfId="1315" operator="greaterThan" priority="1484" type="cellIs">
      <formula>1</formula>
    </cfRule>
  </conditionalFormatting>
  <conditionalFormatting sqref="AC108">
    <cfRule dxfId="1314" operator="greaterThan" priority="1481" type="cellIs">
      <formula>1</formula>
    </cfRule>
  </conditionalFormatting>
  <conditionalFormatting sqref="AE118">
    <cfRule dxfId="1313" operator="greaterThan" priority="1424" type="cellIs">
      <formula>1</formula>
    </cfRule>
  </conditionalFormatting>
  <conditionalFormatting sqref="AE137">
    <cfRule dxfId="1312" operator="greaterThan" priority="1423" type="cellIs">
      <formula>1</formula>
    </cfRule>
  </conditionalFormatting>
  <conditionalFormatting sqref="AE138">
    <cfRule dxfId="1311" operator="greaterThan" priority="1422" type="cellIs">
      <formula>1</formula>
    </cfRule>
  </conditionalFormatting>
  <conditionalFormatting sqref="AE150">
    <cfRule dxfId="1310" operator="greaterThan" priority="1420" type="cellIs">
      <formula>1</formula>
    </cfRule>
  </conditionalFormatting>
  <conditionalFormatting sqref="AE151">
    <cfRule dxfId="1309" operator="greaterThan" priority="1419" type="cellIs">
      <formula>1</formula>
    </cfRule>
  </conditionalFormatting>
  <conditionalFormatting sqref="AE162:AE183">
    <cfRule dxfId="1308" operator="greaterThan" priority="1418" type="cellIs">
      <formula>1</formula>
    </cfRule>
  </conditionalFormatting>
  <conditionalFormatting sqref="AE180">
    <cfRule dxfId="1307" operator="greaterThan" priority="1417" type="cellIs">
      <formula>1</formula>
    </cfRule>
  </conditionalFormatting>
  <conditionalFormatting sqref="AF80:AF82 AF85:AF91">
    <cfRule dxfId="1306" operator="greaterThan" priority="1460" type="cellIs">
      <formula>1</formula>
    </cfRule>
  </conditionalFormatting>
  <conditionalFormatting sqref="AF115:AF118">
    <cfRule dxfId="1305" operator="greaterThan" priority="1454" type="cellIs">
      <formula>1</formula>
    </cfRule>
  </conditionalFormatting>
  <conditionalFormatting sqref="AF120:AF123 AF125:AF136">
    <cfRule dxfId="1304" operator="greaterThan" priority="1453" type="cellIs">
      <formula>1</formula>
    </cfRule>
  </conditionalFormatting>
  <conditionalFormatting sqref="AF133:AF135">
    <cfRule dxfId="1303" operator="greaterThan" priority="1452" type="cellIs">
      <formula>1</formula>
    </cfRule>
  </conditionalFormatting>
  <conditionalFormatting sqref="AF144:AF147 AF149:AF158">
    <cfRule dxfId="1302" operator="greaterThan" priority="1450" type="cellIs">
      <formula>1</formula>
    </cfRule>
  </conditionalFormatting>
  <conditionalFormatting sqref="AF155:AF158 AF160:AF172">
    <cfRule dxfId="1301" operator="greaterThan" priority="1449" type="cellIs">
      <formula>1</formula>
    </cfRule>
  </conditionalFormatting>
  <conditionalFormatting sqref="AF171">
    <cfRule dxfId="1300" operator="greaterThan" priority="1448" type="cellIs">
      <formula>1</formula>
    </cfRule>
  </conditionalFormatting>
  <conditionalFormatting sqref="AF176 AF178:AF183">
    <cfRule dxfId="1299" operator="greaterThan" priority="1447" type="cellIs">
      <formula>1</formula>
    </cfRule>
  </conditionalFormatting>
  <conditionalFormatting sqref="AF241">
    <cfRule dxfId="1298" operator="greaterThan" priority="1440" type="cellIs">
      <formula>2</formula>
    </cfRule>
  </conditionalFormatting>
  <conditionalFormatting sqref="AE116">
    <cfRule dxfId="1297" operator="greaterThan" priority="1425" type="cellIs">
      <formula>1</formula>
    </cfRule>
  </conditionalFormatting>
  <conditionalFormatting sqref="U88">
    <cfRule dxfId="1296" operator="greaterThan" priority="1406" type="cellIs">
      <formula>1</formula>
    </cfRule>
  </conditionalFormatting>
  <conditionalFormatting sqref="U90:U91">
    <cfRule dxfId="1295" operator="greaterThan" priority="1405" type="cellIs">
      <formula>1</formula>
    </cfRule>
  </conditionalFormatting>
  <conditionalFormatting sqref="U144:U148">
    <cfRule dxfId="1294" operator="greaterThan" priority="1404" type="cellIs">
      <formula>1</formula>
    </cfRule>
  </conditionalFormatting>
  <conditionalFormatting sqref="U202">
    <cfRule dxfId="1293" operator="greaterThan" priority="1402" type="cellIs">
      <formula>1</formula>
    </cfRule>
  </conditionalFormatting>
  <conditionalFormatting sqref="U204">
    <cfRule dxfId="1292" operator="greaterThan" priority="1401" type="cellIs">
      <formula>1</formula>
    </cfRule>
  </conditionalFormatting>
  <conditionalFormatting sqref="U207:U210">
    <cfRule dxfId="1291" operator="greaterThan" priority="1400" type="cellIs">
      <formula>1</formula>
    </cfRule>
  </conditionalFormatting>
  <conditionalFormatting sqref="AE32">
    <cfRule dxfId="1290" operator="greaterThan" priority="1399" type="cellIs">
      <formula>1</formula>
    </cfRule>
  </conditionalFormatting>
  <conditionalFormatting sqref="AD202">
    <cfRule dxfId="1289" operator="greaterThan" priority="1410" type="cellIs">
      <formula>2</formula>
    </cfRule>
  </conditionalFormatting>
  <conditionalFormatting sqref="AA41:AA42">
    <cfRule dxfId="1288" operator="greaterThan" priority="1407" type="cellIs">
      <formula>1</formula>
    </cfRule>
  </conditionalFormatting>
  <conditionalFormatting sqref="AE58:AE61">
    <cfRule dxfId="1287" operator="greaterThan" priority="1394" type="cellIs">
      <formula>1</formula>
    </cfRule>
  </conditionalFormatting>
  <conditionalFormatting sqref="AE96">
    <cfRule dxfId="1286" operator="greaterThan" priority="1388" type="cellIs">
      <formula>1</formula>
    </cfRule>
  </conditionalFormatting>
  <conditionalFormatting sqref="AE98:AE102">
    <cfRule dxfId="1285" operator="greaterThan" priority="1387" type="cellIs">
      <formula>1</formula>
    </cfRule>
  </conditionalFormatting>
  <conditionalFormatting sqref="AE104:AE105">
    <cfRule dxfId="1284" operator="greaterThan" priority="1386" type="cellIs">
      <formula>1</formula>
    </cfRule>
  </conditionalFormatting>
  <conditionalFormatting sqref="AE111">
    <cfRule dxfId="1283" operator="greaterThan" priority="1384" type="cellIs">
      <formula>1</formula>
    </cfRule>
  </conditionalFormatting>
  <conditionalFormatting sqref="AE114:AE116">
    <cfRule dxfId="1282" operator="greaterThan" priority="1383" type="cellIs">
      <formula>1</formula>
    </cfRule>
  </conditionalFormatting>
  <conditionalFormatting sqref="AE118:AE120">
    <cfRule dxfId="1281" operator="greaterThan" priority="1382" type="cellIs">
      <formula>1</formula>
    </cfRule>
  </conditionalFormatting>
  <conditionalFormatting sqref="AE122">
    <cfRule dxfId="1280" operator="greaterThan" priority="1381" type="cellIs">
      <formula>1</formula>
    </cfRule>
  </conditionalFormatting>
  <conditionalFormatting sqref="AE140:AE141">
    <cfRule dxfId="1279" operator="greaterThan" priority="1378" type="cellIs">
      <formula>1</formula>
    </cfRule>
  </conditionalFormatting>
  <conditionalFormatting sqref="AE184">
    <cfRule dxfId="1278" operator="greaterThan" priority="1376" type="cellIs">
      <formula>1</formula>
    </cfRule>
  </conditionalFormatting>
  <conditionalFormatting sqref="AE215:AE219">
    <cfRule dxfId="1277" operator="greaterThan" priority="1370" type="cellIs">
      <formula>1</formula>
    </cfRule>
  </conditionalFormatting>
  <conditionalFormatting sqref="AE231:AE235">
    <cfRule dxfId="1276" operator="greaterThan" priority="1369" type="cellIs">
      <formula>1</formula>
    </cfRule>
  </conditionalFormatting>
  <conditionalFormatting sqref="AE243:AE246">
    <cfRule dxfId="1275" operator="greaterThan" priority="1368" type="cellIs">
      <formula>1</formula>
    </cfRule>
  </conditionalFormatting>
  <conditionalFormatting sqref="T59:T61">
    <cfRule dxfId="1274" operator="greaterThan" priority="1366" type="cellIs">
      <formula>1</formula>
    </cfRule>
  </conditionalFormatting>
  <conditionalFormatting sqref="T62">
    <cfRule dxfId="1273" operator="greaterThan" priority="1365" type="cellIs">
      <formula>1</formula>
    </cfRule>
  </conditionalFormatting>
  <conditionalFormatting sqref="T75">
    <cfRule dxfId="1272" operator="greaterThan" priority="1364" type="cellIs">
      <formula>1</formula>
    </cfRule>
  </conditionalFormatting>
  <conditionalFormatting sqref="T78">
    <cfRule dxfId="1271" operator="greaterThan" priority="1363" type="cellIs">
      <formula>1</formula>
    </cfRule>
  </conditionalFormatting>
  <conditionalFormatting sqref="AF47">
    <cfRule dxfId="1270" operator="greaterThan" priority="1241" type="cellIs">
      <formula>1</formula>
    </cfRule>
  </conditionalFormatting>
  <conditionalFormatting sqref="Z88">
    <cfRule dxfId="1269" operator="greaterThan" priority="1270" type="cellIs">
      <formula>1</formula>
    </cfRule>
  </conditionalFormatting>
  <conditionalFormatting sqref="Z95">
    <cfRule dxfId="1268" operator="greaterThan" priority="1269" type="cellIs">
      <formula>1</formula>
    </cfRule>
  </conditionalFormatting>
  <conditionalFormatting sqref="AE107">
    <cfRule dxfId="1267" operator="greaterThan" priority="1208" type="cellIs">
      <formula>1</formula>
    </cfRule>
  </conditionalFormatting>
  <conditionalFormatting sqref="Z190">
    <cfRule dxfId="1266" operator="greaterThan" priority="1259" type="cellIs">
      <formula>1</formula>
    </cfRule>
  </conditionalFormatting>
  <conditionalFormatting sqref="Z204:Z206">
    <cfRule dxfId="1265" operator="greaterThan" priority="1258" type="cellIs">
      <formula>1</formula>
    </cfRule>
  </conditionalFormatting>
  <conditionalFormatting sqref="Z209">
    <cfRule dxfId="1264" operator="greaterThan" priority="1257" type="cellIs">
      <formula>1</formula>
    </cfRule>
  </conditionalFormatting>
  <conditionalFormatting sqref="Z221">
    <cfRule dxfId="1263" operator="greaterThan" priority="1256" type="cellIs">
      <formula>1</formula>
    </cfRule>
  </conditionalFormatting>
  <conditionalFormatting sqref="AB32">
    <cfRule dxfId="1262" operator="greaterThan" priority="1255" type="cellIs">
      <formula>1</formula>
    </cfRule>
  </conditionalFormatting>
  <conditionalFormatting sqref="AB100:AB104">
    <cfRule dxfId="1261" operator="greaterThan" priority="1254" type="cellIs">
      <formula>1</formula>
    </cfRule>
  </conditionalFormatting>
  <conditionalFormatting sqref="AB106:AB107">
    <cfRule dxfId="1260" operator="greaterThan" priority="1253" type="cellIs">
      <formula>1</formula>
    </cfRule>
  </conditionalFormatting>
  <conditionalFormatting sqref="AF210">
    <cfRule dxfId="1259" operator="greaterThan" priority="1221" type="cellIs">
      <formula>1</formula>
    </cfRule>
  </conditionalFormatting>
  <conditionalFormatting sqref="AB109:AB113">
    <cfRule dxfId="1258" operator="greaterThan" priority="1252" type="cellIs">
      <formula>1</formula>
    </cfRule>
  </conditionalFormatting>
  <conditionalFormatting sqref="AB158">
    <cfRule dxfId="1257" operator="greaterThan" priority="1251" type="cellIs">
      <formula>1</formula>
    </cfRule>
  </conditionalFormatting>
  <conditionalFormatting sqref="AF176">
    <cfRule dxfId="1256" operator="greaterThan" priority="1225" type="cellIs">
      <formula>1</formula>
    </cfRule>
  </conditionalFormatting>
  <conditionalFormatting sqref="AB160:AB161">
    <cfRule dxfId="1255" operator="greaterThan" priority="1250" type="cellIs">
      <formula>1</formula>
    </cfRule>
  </conditionalFormatting>
  <conditionalFormatting sqref="AC32:AC35">
    <cfRule dxfId="1254" operator="greaterThan" priority="1249" type="cellIs">
      <formula>1</formula>
    </cfRule>
  </conditionalFormatting>
  <conditionalFormatting sqref="AC110">
    <cfRule dxfId="1253" operator="greaterThan" priority="1248" type="cellIs">
      <formula>1</formula>
    </cfRule>
  </conditionalFormatting>
  <conditionalFormatting sqref="AC113">
    <cfRule dxfId="1252" operator="greaterThan" priority="1247" type="cellIs">
      <formula>1</formula>
    </cfRule>
  </conditionalFormatting>
  <conditionalFormatting sqref="AC112">
    <cfRule dxfId="1251" operator="greaterThan" priority="1246" type="cellIs">
      <formula>1</formula>
    </cfRule>
  </conditionalFormatting>
  <conditionalFormatting sqref="AC203">
    <cfRule dxfId="1250" operator="greaterThan" priority="1245" type="cellIs">
      <formula>1</formula>
    </cfRule>
  </conditionalFormatting>
  <conditionalFormatting sqref="AC205:AC209">
    <cfRule dxfId="1249" operator="greaterThan" priority="1244" type="cellIs">
      <formula>1</formula>
    </cfRule>
  </conditionalFormatting>
  <conditionalFormatting sqref="AF32">
    <cfRule dxfId="1248" operator="greaterThan" priority="1243" type="cellIs">
      <formula>1</formula>
    </cfRule>
  </conditionalFormatting>
  <conditionalFormatting sqref="AF42:AF45">
    <cfRule dxfId="1247" operator="greaterThan" priority="1242" type="cellIs">
      <formula>1</formula>
    </cfRule>
  </conditionalFormatting>
  <conditionalFormatting sqref="AF50:AF52">
    <cfRule dxfId="1246" operator="greaterThan" priority="1240" type="cellIs">
      <formula>1</formula>
    </cfRule>
  </conditionalFormatting>
  <conditionalFormatting sqref="AF54">
    <cfRule dxfId="1245" operator="greaterThan" priority="1239" type="cellIs">
      <formula>1</formula>
    </cfRule>
  </conditionalFormatting>
  <conditionalFormatting sqref="AF57">
    <cfRule dxfId="1244" operator="greaterThan" priority="1238" type="cellIs">
      <formula>1</formula>
    </cfRule>
  </conditionalFormatting>
  <conditionalFormatting sqref="AF70">
    <cfRule dxfId="1243" operator="greaterThan" priority="1237" type="cellIs">
      <formula>1</formula>
    </cfRule>
  </conditionalFormatting>
  <conditionalFormatting sqref="AF72">
    <cfRule dxfId="1242" operator="greaterThan" priority="1236" type="cellIs">
      <formula>1</formula>
    </cfRule>
  </conditionalFormatting>
  <conditionalFormatting sqref="AF74:AF77">
    <cfRule dxfId="1241" operator="greaterThan" priority="1235" type="cellIs">
      <formula>1</formula>
    </cfRule>
  </conditionalFormatting>
  <conditionalFormatting sqref="AF80:AF82">
    <cfRule dxfId="1240" operator="greaterThan" priority="1234" type="cellIs">
      <formula>1</formula>
    </cfRule>
  </conditionalFormatting>
  <conditionalFormatting sqref="AF96">
    <cfRule dxfId="1239" operator="greaterThan" priority="1233" type="cellIs">
      <formula>1</formula>
    </cfRule>
  </conditionalFormatting>
  <conditionalFormatting sqref="AF98:AF100">
    <cfRule dxfId="1238" operator="greaterThan" priority="1232" type="cellIs">
      <formula>1</formula>
    </cfRule>
  </conditionalFormatting>
  <conditionalFormatting sqref="AF103">
    <cfRule dxfId="1237" operator="greaterThan" priority="1231" type="cellIs">
      <formula>1</formula>
    </cfRule>
  </conditionalFormatting>
  <conditionalFormatting sqref="AF105:AF109">
    <cfRule dxfId="1236" operator="greaterThan" priority="1230" type="cellIs">
      <formula>1</formula>
    </cfRule>
  </conditionalFormatting>
  <conditionalFormatting sqref="AF187:AF188">
    <cfRule dxfId="1235" operator="greaterThan" priority="1224" type="cellIs">
      <formula>1</formula>
    </cfRule>
  </conditionalFormatting>
  <conditionalFormatting sqref="AF111:AF112">
    <cfRule dxfId="1234" operator="greaterThan" priority="1229" type="cellIs">
      <formula>1</formula>
    </cfRule>
  </conditionalFormatting>
  <conditionalFormatting sqref="AF115:AF118">
    <cfRule dxfId="1233" operator="greaterThan" priority="1228" type="cellIs">
      <formula>1</formula>
    </cfRule>
  </conditionalFormatting>
  <conditionalFormatting sqref="AF120:AF123">
    <cfRule dxfId="1232" operator="greaterThan" priority="1227" type="cellIs">
      <formula>1</formula>
    </cfRule>
  </conditionalFormatting>
  <conditionalFormatting sqref="AF138:AF140">
    <cfRule dxfId="1231" operator="greaterThan" priority="1226" type="cellIs">
      <formula>1</formula>
    </cfRule>
  </conditionalFormatting>
  <conditionalFormatting sqref="AF208">
    <cfRule dxfId="1230" operator="greaterThan" priority="1222" type="cellIs">
      <formula>1</formula>
    </cfRule>
  </conditionalFormatting>
  <conditionalFormatting sqref="AF204:AF206">
    <cfRule dxfId="1229" operator="greaterThan" priority="1223" type="cellIs">
      <formula>1</formula>
    </cfRule>
  </conditionalFormatting>
  <conditionalFormatting sqref="AE34">
    <cfRule dxfId="1228" operator="greaterThan" priority="1220" type="cellIs">
      <formula>1</formula>
    </cfRule>
  </conditionalFormatting>
  <conditionalFormatting sqref="AE39:AE42">
    <cfRule dxfId="1227" operator="greaterThan" priority="1219" type="cellIs">
      <formula>1</formula>
    </cfRule>
  </conditionalFormatting>
  <conditionalFormatting sqref="AE44">
    <cfRule dxfId="1226" operator="greaterThan" priority="1218" type="cellIs">
      <formula>1</formula>
    </cfRule>
  </conditionalFormatting>
  <conditionalFormatting sqref="AE50">
    <cfRule dxfId="1225" operator="greaterThan" priority="1217" type="cellIs">
      <formula>1</formula>
    </cfRule>
  </conditionalFormatting>
  <conditionalFormatting sqref="AE56">
    <cfRule dxfId="1224" operator="greaterThan" priority="1216" type="cellIs">
      <formula>1</formula>
    </cfRule>
  </conditionalFormatting>
  <conditionalFormatting sqref="AE62">
    <cfRule dxfId="1223" operator="greaterThan" priority="1215" type="cellIs">
      <formula>1</formula>
    </cfRule>
  </conditionalFormatting>
  <conditionalFormatting sqref="AE64">
    <cfRule dxfId="1222" operator="greaterThan" priority="1214" type="cellIs">
      <formula>1</formula>
    </cfRule>
  </conditionalFormatting>
  <conditionalFormatting sqref="AE80">
    <cfRule dxfId="1221" operator="greaterThan" priority="1213" type="cellIs">
      <formula>1</formula>
    </cfRule>
  </conditionalFormatting>
  <conditionalFormatting sqref="AE89">
    <cfRule dxfId="1220" operator="greaterThan" priority="1212" type="cellIs">
      <formula>1</formula>
    </cfRule>
  </conditionalFormatting>
  <conditionalFormatting sqref="AE92">
    <cfRule dxfId="1219" operator="greaterThan" priority="1211" type="cellIs">
      <formula>1</formula>
    </cfRule>
  </conditionalFormatting>
  <conditionalFormatting sqref="AE95">
    <cfRule dxfId="1218" operator="greaterThan" priority="1210" type="cellIs">
      <formula>1</formula>
    </cfRule>
  </conditionalFormatting>
  <conditionalFormatting sqref="AE103">
    <cfRule dxfId="1217" operator="greaterThan" priority="1209" type="cellIs">
      <formula>1</formula>
    </cfRule>
  </conditionalFormatting>
  <conditionalFormatting sqref="AE106">
    <cfRule dxfId="1216" operator="greaterThan" priority="1207" type="cellIs">
      <formula>1</formula>
    </cfRule>
  </conditionalFormatting>
  <conditionalFormatting sqref="AE110">
    <cfRule dxfId="1215" operator="greaterThan" priority="1206" type="cellIs">
      <formula>1</formula>
    </cfRule>
  </conditionalFormatting>
  <conditionalFormatting sqref="AE112">
    <cfRule dxfId="1214" operator="greaterThan" priority="1205" type="cellIs">
      <formula>1</formula>
    </cfRule>
  </conditionalFormatting>
  <conditionalFormatting sqref="AE113">
    <cfRule dxfId="1213" operator="greaterThan" priority="1204" type="cellIs">
      <formula>1</formula>
    </cfRule>
  </conditionalFormatting>
  <conditionalFormatting sqref="AE117">
    <cfRule dxfId="1212" operator="greaterThan" priority="1203" type="cellIs">
      <formula>1</formula>
    </cfRule>
  </conditionalFormatting>
  <conditionalFormatting sqref="AE121">
    <cfRule dxfId="1211" operator="greaterThan" priority="1202" type="cellIs">
      <formula>1</formula>
    </cfRule>
  </conditionalFormatting>
  <conditionalFormatting sqref="AE123">
    <cfRule dxfId="1210" operator="greaterThan" priority="1201" type="cellIs">
      <formula>1</formula>
    </cfRule>
  </conditionalFormatting>
  <conditionalFormatting sqref="AE139">
    <cfRule dxfId="1209" operator="greaterThan" priority="1200" type="cellIs">
      <formula>1</formula>
    </cfRule>
  </conditionalFormatting>
  <conditionalFormatting sqref="AE142">
    <cfRule dxfId="1208" operator="greaterThan" priority="1199" type="cellIs">
      <formula>1</formula>
    </cfRule>
  </conditionalFormatting>
  <conditionalFormatting sqref="AE143">
    <cfRule dxfId="1207" operator="greaterThan" priority="1198" type="cellIs">
      <formula>1</formula>
    </cfRule>
  </conditionalFormatting>
  <conditionalFormatting sqref="AE153">
    <cfRule dxfId="1206" operator="greaterThan" priority="1197" type="cellIs">
      <formula>1</formula>
    </cfRule>
  </conditionalFormatting>
  <conditionalFormatting sqref="AE155">
    <cfRule dxfId="1205" operator="greaterThan" priority="1196" type="cellIs">
      <formula>1</formula>
    </cfRule>
  </conditionalFormatting>
  <conditionalFormatting sqref="AE156">
    <cfRule dxfId="1204" operator="greaterThan" priority="1195" type="cellIs">
      <formula>1</formula>
    </cfRule>
  </conditionalFormatting>
  <conditionalFormatting sqref="AE185">
    <cfRule dxfId="1203" operator="greaterThan" priority="1194" type="cellIs">
      <formula>1</formula>
    </cfRule>
  </conditionalFormatting>
  <conditionalFormatting sqref="AE190">
    <cfRule dxfId="1202" operator="greaterThan" priority="1193" type="cellIs">
      <formula>1</formula>
    </cfRule>
  </conditionalFormatting>
  <conditionalFormatting sqref="AE195">
    <cfRule dxfId="1201" operator="greaterThan" priority="1192" type="cellIs">
      <formula>1</formula>
    </cfRule>
  </conditionalFormatting>
  <conditionalFormatting sqref="AE197:AE200">
    <cfRule dxfId="1200" operator="greaterThan" priority="1191" type="cellIs">
      <formula>1</formula>
    </cfRule>
  </conditionalFormatting>
  <conditionalFormatting sqref="AE211:AE214">
    <cfRule dxfId="1199" operator="greaterThan" priority="1190" type="cellIs">
      <formula>1</formula>
    </cfRule>
  </conditionalFormatting>
  <conditionalFormatting sqref="AE230">
    <cfRule dxfId="1198" operator="greaterThan" priority="1189" type="cellIs">
      <formula>1</formula>
    </cfRule>
  </conditionalFormatting>
  <conditionalFormatting sqref="AD41:AD42">
    <cfRule dxfId="1197" operator="greaterThan" priority="1187" type="cellIs">
      <formula>1</formula>
    </cfRule>
  </conditionalFormatting>
  <conditionalFormatting sqref="M27:U31 AI27:AJ31 W27:AG31">
    <cfRule dxfId="1196" operator="greaterThan" priority="1186" type="cellIs">
      <formula>1</formula>
    </cfRule>
  </conditionalFormatting>
  <conditionalFormatting sqref="V68">
    <cfRule dxfId="1195" operator="greaterThan" priority="1142" type="cellIs">
      <formula>2</formula>
    </cfRule>
  </conditionalFormatting>
  <conditionalFormatting sqref="AF71">
    <cfRule dxfId="1194" operator="greaterThan" priority="1139" type="cellIs">
      <formula>2</formula>
    </cfRule>
  </conditionalFormatting>
  <conditionalFormatting sqref="Z77">
    <cfRule dxfId="1193" operator="greaterThan" priority="1131" type="cellIs">
      <formula>2</formula>
    </cfRule>
  </conditionalFormatting>
  <conditionalFormatting sqref="V80:V81">
    <cfRule dxfId="1192" operator="greaterThan" priority="1127" type="cellIs">
      <formula>2</formula>
    </cfRule>
  </conditionalFormatting>
  <conditionalFormatting sqref="W80">
    <cfRule dxfId="1191" operator="greaterThan" priority="1125" type="cellIs">
      <formula>2</formula>
    </cfRule>
  </conditionalFormatting>
  <conditionalFormatting sqref="T83">
    <cfRule dxfId="1190" operator="greaterThan" priority="1121" type="cellIs">
      <formula>2</formula>
    </cfRule>
  </conditionalFormatting>
  <conditionalFormatting sqref="V83">
    <cfRule dxfId="1189" operator="greaterThan" priority="1120" type="cellIs">
      <formula>2</formula>
    </cfRule>
  </conditionalFormatting>
  <conditionalFormatting sqref="Z83">
    <cfRule dxfId="1188" operator="greaterThan" priority="1119" type="cellIs">
      <formula>2</formula>
    </cfRule>
  </conditionalFormatting>
  <conditionalFormatting sqref="U87">
    <cfRule dxfId="1187" operator="greaterThan" priority="1114" type="cellIs">
      <formula>2</formula>
    </cfRule>
  </conditionalFormatting>
  <conditionalFormatting sqref="Z87">
    <cfRule dxfId="1186" operator="greaterThan" priority="1113" type="cellIs">
      <formula>2</formula>
    </cfRule>
  </conditionalFormatting>
  <conditionalFormatting sqref="Y91">
    <cfRule dxfId="1185" operator="greaterThan" priority="1108" type="cellIs">
      <formula>2</formula>
    </cfRule>
  </conditionalFormatting>
  <conditionalFormatting sqref="AC91">
    <cfRule dxfId="1184" operator="greaterThan" priority="1107" type="cellIs">
      <formula>2</formula>
    </cfRule>
  </conditionalFormatting>
  <conditionalFormatting sqref="U92:V92">
    <cfRule dxfId="1183" operator="greaterThan" priority="1106" type="cellIs">
      <formula>2</formula>
    </cfRule>
  </conditionalFormatting>
  <conditionalFormatting sqref="Z93">
    <cfRule dxfId="1182" operator="greaterThan" priority="1104" type="cellIs">
      <formula>2</formula>
    </cfRule>
  </conditionalFormatting>
  <conditionalFormatting sqref="AF93">
    <cfRule dxfId="1181" operator="greaterThan" priority="1103" type="cellIs">
      <formula>2</formula>
    </cfRule>
  </conditionalFormatting>
  <conditionalFormatting sqref="Z94">
    <cfRule dxfId="1180" operator="greaterThan" priority="1102" type="cellIs">
      <formula>2</formula>
    </cfRule>
  </conditionalFormatting>
  <conditionalFormatting sqref="Z96:Z97">
    <cfRule dxfId="1179" operator="greaterThan" priority="1098" type="cellIs">
      <formula>2</formula>
    </cfRule>
  </conditionalFormatting>
  <conditionalFormatting sqref="AB98:AB99">
    <cfRule dxfId="1178" operator="greaterThan" priority="1094" type="cellIs">
      <formula>2</formula>
    </cfRule>
  </conditionalFormatting>
  <conditionalFormatting sqref="AC100:AC102">
    <cfRule dxfId="1177" operator="greaterThan" priority="1093" type="cellIs">
      <formula>2</formula>
    </cfRule>
  </conditionalFormatting>
  <conditionalFormatting sqref="AF104">
    <cfRule dxfId="1176" operator="greaterThan" priority="1089" type="cellIs">
      <formula>2</formula>
    </cfRule>
  </conditionalFormatting>
  <conditionalFormatting sqref="V134">
    <cfRule dxfId="1175" operator="greaterThan" priority="1053" type="cellIs">
      <formula>2</formula>
    </cfRule>
  </conditionalFormatting>
  <conditionalFormatting sqref="AC175">
    <cfRule dxfId="1174" operator="greaterThan" priority="1020" type="cellIs">
      <formula>2</formula>
    </cfRule>
  </conditionalFormatting>
  <conditionalFormatting sqref="U202 U204">
    <cfRule dxfId="1173" operator="greaterThan" priority="1692" type="cellIs">
      <formula>1</formula>
    </cfRule>
  </conditionalFormatting>
  <conditionalFormatting sqref="K27 K32:K53 K59 K61:K76 K140:K246 K78:K138">
    <cfRule dxfId="1172" operator="greaterThan" priority="1717" type="cellIs">
      <formula>2</formula>
    </cfRule>
  </conditionalFormatting>
  <conditionalFormatting sqref="S92">
    <cfRule dxfId="1171" operator="greaterThan" priority="1707" type="cellIs">
      <formula>2</formula>
    </cfRule>
  </conditionalFormatting>
  <conditionalFormatting sqref="AE109:AE111">
    <cfRule dxfId="1170" operator="greaterThan" priority="1674" type="cellIs">
      <formula>1</formula>
    </cfRule>
  </conditionalFormatting>
  <conditionalFormatting sqref="AE113:AE115">
    <cfRule dxfId="1169" operator="greaterThan" priority="1673" type="cellIs">
      <formula>1</formula>
    </cfRule>
  </conditionalFormatting>
  <conditionalFormatting sqref="AE117">
    <cfRule dxfId="1168" operator="greaterThan" priority="1672" type="cellIs">
      <formula>1</formula>
    </cfRule>
  </conditionalFormatting>
  <conditionalFormatting sqref="AE128">
    <cfRule dxfId="1167" operator="greaterThan" priority="1670" type="cellIs">
      <formula>1</formula>
    </cfRule>
  </conditionalFormatting>
  <conditionalFormatting sqref="AE133">
    <cfRule dxfId="1166" operator="greaterThan" priority="1669" type="cellIs">
      <formula>1</formula>
    </cfRule>
  </conditionalFormatting>
  <conditionalFormatting sqref="AE106">
    <cfRule dxfId="1165" operator="greaterThan" priority="1675" type="cellIs">
      <formula>1</formula>
    </cfRule>
  </conditionalFormatting>
  <conditionalFormatting sqref="V47">
    <cfRule dxfId="1164" operator="greaterThan" priority="1638" type="cellIs">
      <formula>1</formula>
    </cfRule>
  </conditionalFormatting>
  <conditionalFormatting sqref="W114:W115">
    <cfRule dxfId="1163" operator="greaterThan" priority="1598" type="cellIs">
      <formula>1</formula>
    </cfRule>
  </conditionalFormatting>
  <conditionalFormatting sqref="AG85">
    <cfRule dxfId="1162" operator="greaterThan" priority="826" type="cellIs">
      <formula>2</formula>
    </cfRule>
  </conditionalFormatting>
  <conditionalFormatting sqref="AG234">
    <cfRule dxfId="1161" operator="greaterThan" priority="825" type="cellIs">
      <formula>2</formula>
    </cfRule>
  </conditionalFormatting>
  <conditionalFormatting sqref="C28:C31">
    <cfRule dxfId="1160" operator="greaterThan" priority="824" type="cellIs">
      <formula>2</formula>
    </cfRule>
  </conditionalFormatting>
  <conditionalFormatting sqref="V27:V31">
    <cfRule dxfId="1159" operator="greaterThan" priority="818" type="cellIs">
      <formula>2</formula>
    </cfRule>
  </conditionalFormatting>
  <conditionalFormatting sqref="B27:B53 B56:B246">
    <cfRule dxfId="1158" operator="greaterThan" priority="1724" type="cellIs">
      <formula>2</formula>
    </cfRule>
  </conditionalFormatting>
  <conditionalFormatting sqref="X223:X243 AA223:AA243 AD223:AD243">
    <cfRule dxfId="1157" operator="greaterThan" priority="1722" type="cellIs">
      <formula>1</formula>
    </cfRule>
  </conditionalFormatting>
  <conditionalFormatting sqref="C33:F38 D29 C40:F44 D39:F39 C47:F49 D45:F46 C53:F53 D50:F52 C58 D57 C61:F64 D59:F59 C66:F74 D65:F65 C76:F76 D75:F75 C81:F86 D78:F80 C91:F95 D87:F90 C100:F103 D96:F99 C106:F108 D104:F105 C113:F114 D109:F112 C117:F122 D115:F116 C124:F126 D123:F123 C129:F130 D127:F128 C133:F133 D131:F132 C135:F135 D134:F134 C138:F138 D136:F137 C144:F144 D140:F143 C154:F154 D145:F153 C156:F161 D155:F155 C170:F170 D162:F169 C173:F182 D171:F172 C184:F184 D183:F183 C186:F187 D185:F185 C189:F189 D188:F188 C193:F195 D190:F192 C197:F200 D196:F196 C202:F202 D201:F201 C204:F205 D203:F203 C209:F209 D206:F208 C211:F213 D210:F210 C215:F215 D214:F214 C219:F222 D216:F218 C224:F246 D223:F223 D32:F32 F30:F31 E139">
    <cfRule dxfId="1156" operator="greaterThan" priority="1721" type="cellIs">
      <formula>2</formula>
    </cfRule>
  </conditionalFormatting>
  <conditionalFormatting sqref="G27 G29 G32:G53 G59 G61:G76 G140:G246 G78:G138">
    <cfRule dxfId="1155" operator="greaterThan" priority="1720" type="cellIs">
      <formula>2</formula>
    </cfRule>
  </conditionalFormatting>
  <conditionalFormatting sqref="I32:J53 I59:J59 I61:J76 I140:J246 I139 I78:J138">
    <cfRule dxfId="1154" operator="greaterThan" priority="1718" type="cellIs">
      <formula>2</formula>
    </cfRule>
  </conditionalFormatting>
  <conditionalFormatting sqref="H32:H53 H59 H61:H76 H140:H246 H78:H138">
    <cfRule dxfId="1153" operator="greaterThan" priority="1719" type="cellIs">
      <formula>2</formula>
    </cfRule>
  </conditionalFormatting>
  <conditionalFormatting sqref="U75 U84 U119 U135:U138 U165 U172 U182:U184 U193:U195 U144 U201 U207">
    <cfRule dxfId="1152" operator="greaterThan" priority="1716" type="cellIs">
      <formula>2</formula>
    </cfRule>
  </conditionalFormatting>
  <conditionalFormatting sqref="T41 T48 T66:T69 T115 T150 T173:T176 T78 T119 T121:T122">
    <cfRule dxfId="1151" operator="greaterThan" priority="1656" type="cellIs">
      <formula>2</formula>
    </cfRule>
  </conditionalFormatting>
  <conditionalFormatting sqref="AE38 AE46 AE48 AE76 AE78 AE85 AE92 AE126:AE127 AE152 AE189 AE215 AE191 AE50 AE129:AE130 AE200:AE201 AE197:AE198 AE52">
    <cfRule dxfId="1150" operator="greaterThan" priority="1713" type="cellIs">
      <formula>2</formula>
    </cfRule>
  </conditionalFormatting>
  <conditionalFormatting sqref="X79">
    <cfRule dxfId="1149" operator="greaterThan" priority="1712" type="cellIs">
      <formula>2</formula>
    </cfRule>
  </conditionalFormatting>
  <conditionalFormatting sqref="X90">
    <cfRule dxfId="1148" operator="greaterThan" priority="1711" type="cellIs">
      <formula>2</formula>
    </cfRule>
  </conditionalFormatting>
  <conditionalFormatting sqref="X107">
    <cfRule dxfId="1147" operator="greaterThan" priority="1710" type="cellIs">
      <formula>2</formula>
    </cfRule>
  </conditionalFormatting>
  <conditionalFormatting sqref="X123:X125">
    <cfRule dxfId="1146" operator="greaterThan" priority="1709" type="cellIs">
      <formula>2</formula>
    </cfRule>
  </conditionalFormatting>
  <conditionalFormatting sqref="X150">
    <cfRule dxfId="1145" operator="greaterThan" priority="1708" type="cellIs">
      <formula>2</formula>
    </cfRule>
  </conditionalFormatting>
  <conditionalFormatting sqref="U82">
    <cfRule dxfId="1144" operator="greaterThan" priority="1704" type="cellIs">
      <formula>2</formula>
    </cfRule>
  </conditionalFormatting>
  <conditionalFormatting sqref="U85:U86">
    <cfRule dxfId="1143" operator="greaterThan" priority="1702" type="cellIs">
      <formula>1</formula>
    </cfRule>
  </conditionalFormatting>
  <conditionalFormatting sqref="U88 U90:U91 U93:U123">
    <cfRule dxfId="1142" operator="greaterThan" priority="1701" type="cellIs">
      <formula>1</formula>
    </cfRule>
  </conditionalFormatting>
  <conditionalFormatting sqref="U120:U123 U125:U138">
    <cfRule dxfId="1141" operator="greaterThan" priority="1700" type="cellIs">
      <formula>1</formula>
    </cfRule>
  </conditionalFormatting>
  <conditionalFormatting sqref="U145:U148 U150:U169">
    <cfRule dxfId="1140" operator="greaterThan" priority="1698" type="cellIs">
      <formula>1</formula>
    </cfRule>
  </conditionalFormatting>
  <conditionalFormatting sqref="AE119:AE130">
    <cfRule dxfId="1139" operator="greaterThan" priority="1671" type="cellIs">
      <formula>1</formula>
    </cfRule>
  </conditionalFormatting>
  <conditionalFormatting sqref="T75">
    <cfRule dxfId="1138" operator="greaterThan" priority="1648" type="cellIs">
      <formula>1</formula>
    </cfRule>
  </conditionalFormatting>
  <conditionalFormatting sqref="T80 T82 T84:T119">
    <cfRule dxfId="1137" operator="greaterThan" priority="1647" type="cellIs">
      <formula>1</formula>
    </cfRule>
  </conditionalFormatting>
  <conditionalFormatting sqref="T123 T128:T154">
    <cfRule dxfId="1136" operator="greaterThan" priority="1645" type="cellIs">
      <formula>1</formula>
    </cfRule>
  </conditionalFormatting>
  <conditionalFormatting sqref="T177 T182:T246">
    <cfRule dxfId="1135" operator="greaterThan" priority="1643" type="cellIs">
      <formula>1</formula>
    </cfRule>
  </conditionalFormatting>
  <conditionalFormatting sqref="V48 V59 V74:V76 V87 V126:V127 V148 V180 V209 V225 V35 V37:V38 V45:V46 V52 V63 V78 V84:V85 V98 V100:V102 V108 V116 V129:V130 V151:V152 V161:V165 V177:V178 V189 V200 V215 V231:V235 V118 V133 V171 V191:V193 V241">
    <cfRule dxfId="1134" operator="greaterThan" priority="1642" type="cellIs">
      <formula>2</formula>
    </cfRule>
  </conditionalFormatting>
  <conditionalFormatting sqref="V86">
    <cfRule dxfId="1133" operator="greaterThan" priority="1630" type="cellIs">
      <formula>1</formula>
    </cfRule>
  </conditionalFormatting>
  <conditionalFormatting sqref="V109 V111">
    <cfRule dxfId="1132" operator="greaterThan" priority="1625" type="cellIs">
      <formula>1</formula>
    </cfRule>
  </conditionalFormatting>
  <conditionalFormatting sqref="V114:V115">
    <cfRule dxfId="1131" operator="greaterThan" priority="1624" type="cellIs">
      <formula>1</formula>
    </cfRule>
  </conditionalFormatting>
  <conditionalFormatting sqref="V179">
    <cfRule dxfId="1130" operator="greaterThan" priority="1617" type="cellIs">
      <formula>1</formula>
    </cfRule>
  </conditionalFormatting>
  <conditionalFormatting sqref="V221:V224">
    <cfRule dxfId="1129" operator="greaterThan" priority="1609" type="cellIs">
      <formula>1</formula>
    </cfRule>
  </conditionalFormatting>
  <conditionalFormatting sqref="W37 W45:W46 W48 W75 W84 W98 W105 W108 W127 W177:W178 W197:W198">
    <cfRule dxfId="1128" operator="greaterThan" priority="1607" type="cellIs">
      <formula>2</formula>
    </cfRule>
  </conditionalFormatting>
  <conditionalFormatting sqref="W77">
    <cfRule dxfId="1127" operator="greaterThan" priority="1604" type="cellIs">
      <formula>1</formula>
    </cfRule>
  </conditionalFormatting>
  <conditionalFormatting sqref="W79 W81:W83">
    <cfRule dxfId="1126" operator="greaterThan" priority="1603" type="cellIs">
      <formula>1</formula>
    </cfRule>
  </conditionalFormatting>
  <conditionalFormatting sqref="W109 W111">
    <cfRule dxfId="1125" operator="greaterThan" priority="1599" type="cellIs">
      <formula>1</formula>
    </cfRule>
  </conditionalFormatting>
  <conditionalFormatting sqref="W129:W131 W133:W181">
    <cfRule dxfId="1124" operator="greaterThan" priority="1581" type="cellIs">
      <formula>1</formula>
    </cfRule>
  </conditionalFormatting>
  <conditionalFormatting sqref="Y33 Y40 Y48:Y49 Y79 Y100 Y110:Y111 Y120 Y136 Y153 Y155:Y156 Y183 Y191 Y220:Y222 Y85:Y86 Y126:Y127 Y189 Y197">
    <cfRule dxfId="1123" operator="greaterThan" priority="1574" type="cellIs">
      <formula>2</formula>
    </cfRule>
  </conditionalFormatting>
  <conditionalFormatting sqref="Y66">
    <cfRule dxfId="1122" operator="greaterThan" priority="1568" type="cellIs">
      <formula>2</formula>
    </cfRule>
  </conditionalFormatting>
  <conditionalFormatting sqref="Y121:Y124">
    <cfRule dxfId="1121" operator="greaterThan" priority="1563" type="cellIs">
      <formula>1</formula>
    </cfRule>
  </conditionalFormatting>
  <conditionalFormatting sqref="Y184:Y187">
    <cfRule dxfId="1120" operator="greaterThan" priority="1558" type="cellIs">
      <formula>1</formula>
    </cfRule>
  </conditionalFormatting>
  <conditionalFormatting sqref="AE185">
    <cfRule dxfId="1119" operator="greaterThan" priority="1416" type="cellIs">
      <formula>1</formula>
    </cfRule>
  </conditionalFormatting>
  <conditionalFormatting sqref="Z112">
    <cfRule dxfId="1118" operator="greaterThan" priority="1519" type="cellIs">
      <formula>1</formula>
    </cfRule>
  </conditionalFormatting>
  <conditionalFormatting sqref="Z53:Z54 Z89 Z92 Z129">
    <cfRule dxfId="1117" operator="greaterThan" priority="1552" type="cellIs">
      <formula>2</formula>
    </cfRule>
  </conditionalFormatting>
  <conditionalFormatting sqref="Z40">
    <cfRule dxfId="1116" operator="greaterThan" priority="1536" type="cellIs">
      <formula>2</formula>
    </cfRule>
  </conditionalFormatting>
  <conditionalFormatting sqref="Z50 Z52">
    <cfRule dxfId="1115" operator="greaterThan" priority="1534" type="cellIs">
      <formula>2</formula>
    </cfRule>
  </conditionalFormatting>
  <conditionalFormatting sqref="V133">
    <cfRule dxfId="1114" operator="greaterThan" priority="1340" type="cellIs">
      <formula>1</formula>
    </cfRule>
  </conditionalFormatting>
  <conditionalFormatting sqref="Z60">
    <cfRule dxfId="1113" operator="greaterThan" priority="1531" type="cellIs">
      <formula>2</formula>
    </cfRule>
  </conditionalFormatting>
  <conditionalFormatting sqref="Z72">
    <cfRule dxfId="1112" operator="greaterThan" priority="1530" type="cellIs">
      <formula>2</formula>
    </cfRule>
  </conditionalFormatting>
  <conditionalFormatting sqref="Z76 Z78 Z82">
    <cfRule dxfId="1111" operator="greaterThan" priority="1529" type="cellIs">
      <formula>2</formula>
    </cfRule>
  </conditionalFormatting>
  <conditionalFormatting sqref="V41">
    <cfRule dxfId="1110" operator="greaterThan" priority="1357" type="cellIs">
      <formula>1</formula>
    </cfRule>
  </conditionalFormatting>
  <conditionalFormatting sqref="T56:T57">
    <cfRule dxfId="1109" operator="greaterThan" priority="1367" type="cellIs">
      <formula>1</formula>
    </cfRule>
  </conditionalFormatting>
  <conditionalFormatting sqref="Z88">
    <cfRule dxfId="1108" operator="greaterThan" priority="1526" type="cellIs">
      <formula>2</formula>
    </cfRule>
  </conditionalFormatting>
  <conditionalFormatting sqref="Z91">
    <cfRule dxfId="1107" operator="greaterThan" priority="1525" type="cellIs">
      <formula>2</formula>
    </cfRule>
  </conditionalFormatting>
  <conditionalFormatting sqref="Z100">
    <cfRule dxfId="1106" operator="greaterThan" priority="1523" type="cellIs">
      <formula>1</formula>
    </cfRule>
  </conditionalFormatting>
  <conditionalFormatting sqref="Z107">
    <cfRule dxfId="1105" operator="greaterThan" priority="1522" type="cellIs">
      <formula>1</formula>
    </cfRule>
  </conditionalFormatting>
  <conditionalFormatting sqref="Z99">
    <cfRule dxfId="1104" operator="greaterThan" priority="1521" type="cellIs">
      <formula>2</formula>
    </cfRule>
  </conditionalFormatting>
  <conditionalFormatting sqref="Z106">
    <cfRule dxfId="1103" operator="greaterThan" priority="1520" type="cellIs">
      <formula>2</formula>
    </cfRule>
  </conditionalFormatting>
  <conditionalFormatting sqref="Z128">
    <cfRule dxfId="1102" operator="greaterThan" priority="1518" type="cellIs">
      <formula>2</formula>
    </cfRule>
  </conditionalFormatting>
  <conditionalFormatting sqref="Z131">
    <cfRule dxfId="1101" operator="greaterThan" priority="1517" type="cellIs">
      <formula>2</formula>
    </cfRule>
  </conditionalFormatting>
  <conditionalFormatting sqref="Z135">
    <cfRule dxfId="1100" operator="greaterThan" priority="1516" type="cellIs">
      <formula>2</formula>
    </cfRule>
  </conditionalFormatting>
  <conditionalFormatting sqref="AE208:AE209">
    <cfRule dxfId="1099" operator="greaterThan" priority="1413" type="cellIs">
      <formula>1</formula>
    </cfRule>
  </conditionalFormatting>
  <conditionalFormatting sqref="Z147 Z154 Z156">
    <cfRule dxfId="1098" operator="greaterThan" priority="1513" type="cellIs">
      <formula>2</formula>
    </cfRule>
  </conditionalFormatting>
  <conditionalFormatting sqref="Z184">
    <cfRule dxfId="1097" operator="greaterThan" priority="1508" type="cellIs">
      <formula>2</formula>
    </cfRule>
  </conditionalFormatting>
  <conditionalFormatting sqref="Z198 Z202">
    <cfRule dxfId="1096" operator="greaterThan" priority="1507" type="cellIs">
      <formula>2</formula>
    </cfRule>
  </conditionalFormatting>
  <conditionalFormatting sqref="Z215">
    <cfRule dxfId="1095" operator="greaterThan" priority="1503" type="cellIs">
      <formula>2</formula>
    </cfRule>
  </conditionalFormatting>
  <conditionalFormatting sqref="AE231:AE242">
    <cfRule dxfId="1094" operator="greaterThan" priority="1411" type="cellIs">
      <formula>1</formula>
    </cfRule>
  </conditionalFormatting>
  <conditionalFormatting sqref="AB47:AB48 AB79 AB93:AB94 AB103 AB117 AB152 AB154 AB186:AB187 AB200:AB202 AB222 AB100 AB109 AB158">
    <cfRule dxfId="1093" operator="greaterThan" priority="1502" type="cellIs">
      <formula>2</formula>
    </cfRule>
  </conditionalFormatting>
  <conditionalFormatting sqref="AF70 AF72">
    <cfRule dxfId="1092" operator="greaterThan" priority="1462" type="cellIs">
      <formula>1</formula>
    </cfRule>
  </conditionalFormatting>
  <conditionalFormatting sqref="AC46:AC47 AC86 AC95:AC97 AC104 AC106 AC130:AC131 AC149 AC159 AC170 AC197 AC199 AC241 AC205">
    <cfRule dxfId="1091" operator="greaterThan" priority="1487" type="cellIs">
      <formula>2</formula>
    </cfRule>
  </conditionalFormatting>
  <conditionalFormatting sqref="AF106:AF107">
    <cfRule dxfId="1090" operator="greaterThan" priority="1456" type="cellIs">
      <formula>1</formula>
    </cfRule>
  </conditionalFormatting>
  <conditionalFormatting sqref="AC105">
    <cfRule dxfId="1089" operator="greaterThan" priority="1482" type="cellIs">
      <formula>1</formula>
    </cfRule>
  </conditionalFormatting>
  <conditionalFormatting sqref="AC107">
    <cfRule dxfId="1088" operator="greaterThan" priority="1480" type="cellIs">
      <formula>1</formula>
    </cfRule>
  </conditionalFormatting>
  <conditionalFormatting sqref="AC110 AC112:AC113 AC115:AC134">
    <cfRule dxfId="1087" operator="greaterThan" priority="1479" type="cellIs">
      <formula>1</formula>
    </cfRule>
  </conditionalFormatting>
  <conditionalFormatting sqref="AC132:AC134 AC137:AC153">
    <cfRule dxfId="1086" operator="greaterThan" priority="1478" type="cellIs">
      <formula>1</formula>
    </cfRule>
  </conditionalFormatting>
  <conditionalFormatting sqref="AC150:AC153 AC155:AC163">
    <cfRule dxfId="1085" operator="greaterThan" priority="1477" type="cellIs">
      <formula>1</formula>
    </cfRule>
  </conditionalFormatting>
  <conditionalFormatting sqref="AC160:AC163 AC165:AC174">
    <cfRule dxfId="1084" operator="greaterThan" priority="1476" type="cellIs">
      <formula>1</formula>
    </cfRule>
  </conditionalFormatting>
  <conditionalFormatting sqref="AC171:AC174 AC176:AC201">
    <cfRule dxfId="1083" operator="greaterThan" priority="1475" type="cellIs">
      <formula>1</formula>
    </cfRule>
  </conditionalFormatting>
  <conditionalFormatting sqref="AC198">
    <cfRule dxfId="1082" operator="greaterThan" priority="1474" type="cellIs">
      <formula>1</formula>
    </cfRule>
  </conditionalFormatting>
  <conditionalFormatting sqref="AC200:AC201 AC203">
    <cfRule dxfId="1081" operator="greaterThan" priority="1473" type="cellIs">
      <formula>1</formula>
    </cfRule>
  </conditionalFormatting>
  <conditionalFormatting sqref="AC206:AC209 AC211:AC245">
    <cfRule dxfId="1080" operator="greaterThan" priority="1472" type="cellIs">
      <formula>1</formula>
    </cfRule>
  </conditionalFormatting>
  <conditionalFormatting sqref="AF36 AF43:AF44 AF64 AF66 AF87:AF90 AF99 AF132 AF143 AF154 AF168:AF170 AF179:AF181 AF197:AF198 AF219 AF50:AF51 AF68 AF74 AF96 AF105 AF108:AF109 AF136 AF172 AF204 AF206">
    <cfRule dxfId="1079" operator="greaterThan" priority="1471" type="cellIs">
      <formula>2</formula>
    </cfRule>
  </conditionalFormatting>
  <conditionalFormatting sqref="AF32 AF34:AF40">
    <cfRule dxfId="1078" operator="greaterThan" priority="1470" type="cellIs">
      <formula>1</formula>
    </cfRule>
  </conditionalFormatting>
  <conditionalFormatting sqref="AF37:AF40">
    <cfRule dxfId="1077" operator="greaterThan" priority="1469" type="cellIs">
      <formula>1</formula>
    </cfRule>
  </conditionalFormatting>
  <conditionalFormatting sqref="AF42">
    <cfRule dxfId="1076" operator="greaterThan" priority="1468" type="cellIs">
      <formula>1</formula>
    </cfRule>
  </conditionalFormatting>
  <conditionalFormatting sqref="AF45 AF47">
    <cfRule dxfId="1075" operator="greaterThan" priority="1467" type="cellIs">
      <formula>1</formula>
    </cfRule>
  </conditionalFormatting>
  <conditionalFormatting sqref="AF52">
    <cfRule dxfId="1074" operator="greaterThan" priority="1466" type="cellIs">
      <formula>1</formula>
    </cfRule>
  </conditionalFormatting>
  <conditionalFormatting sqref="AF54 AF57 AF59 AF61:AF68">
    <cfRule dxfId="1073" operator="greaterThan" priority="1465" type="cellIs">
      <formula>1</formula>
    </cfRule>
  </conditionalFormatting>
  <conditionalFormatting sqref="AF65">
    <cfRule dxfId="1072" operator="greaterThan" priority="1464" type="cellIs">
      <formula>1</formula>
    </cfRule>
  </conditionalFormatting>
  <conditionalFormatting sqref="AF67">
    <cfRule dxfId="1071" operator="greaterThan" priority="1463" type="cellIs">
      <formula>1</formula>
    </cfRule>
  </conditionalFormatting>
  <conditionalFormatting sqref="AF75:AF77">
    <cfRule dxfId="1070" operator="greaterThan" priority="1461" type="cellIs">
      <formula>1</formula>
    </cfRule>
  </conditionalFormatting>
  <conditionalFormatting sqref="AF91">
    <cfRule dxfId="1069" operator="greaterThan" priority="1459" type="cellIs">
      <formula>1</formula>
    </cfRule>
  </conditionalFormatting>
  <conditionalFormatting sqref="W105:W109">
    <cfRule dxfId="1068" operator="greaterThan" priority="1304" type="cellIs">
      <formula>1</formula>
    </cfRule>
  </conditionalFormatting>
  <conditionalFormatting sqref="AF98">
    <cfRule dxfId="1067" operator="greaterThan" priority="1458" type="cellIs">
      <formula>1</formula>
    </cfRule>
  </conditionalFormatting>
  <conditionalFormatting sqref="AF100 AF103">
    <cfRule dxfId="1066" operator="greaterThan" priority="1457" type="cellIs">
      <formula>1</formula>
    </cfRule>
  </conditionalFormatting>
  <conditionalFormatting sqref="AF111:AF112">
    <cfRule dxfId="1065" operator="greaterThan" priority="1455" type="cellIs">
      <formula>1</formula>
    </cfRule>
  </conditionalFormatting>
  <conditionalFormatting sqref="AF138:AF140 AF142:AF147">
    <cfRule dxfId="1064" operator="greaterThan" priority="1451" type="cellIs">
      <formula>1</formula>
    </cfRule>
  </conditionalFormatting>
  <conditionalFormatting sqref="AF182:AF183">
    <cfRule dxfId="1063" operator="greaterThan" priority="1446" type="cellIs">
      <formula>1</formula>
    </cfRule>
  </conditionalFormatting>
  <conditionalFormatting sqref="AF187:AF188 AF190:AF201">
    <cfRule dxfId="1062" operator="greaterThan" priority="1445" type="cellIs">
      <formula>1</formula>
    </cfRule>
  </conditionalFormatting>
  <conditionalFormatting sqref="AF199:AF201">
    <cfRule dxfId="1061" operator="greaterThan" priority="1444" type="cellIs">
      <formula>1</formula>
    </cfRule>
  </conditionalFormatting>
  <conditionalFormatting sqref="AE91">
    <cfRule dxfId="1060" operator="greaterThan" priority="1390" type="cellIs">
      <formula>1</formula>
    </cfRule>
  </conditionalFormatting>
  <conditionalFormatting sqref="AF205">
    <cfRule dxfId="1059" operator="greaterThan" priority="1443" type="cellIs">
      <formula>1</formula>
    </cfRule>
  </conditionalFormatting>
  <conditionalFormatting sqref="AF208 AF213:AF223 AF210">
    <cfRule dxfId="1058" operator="greaterThan" priority="1442" type="cellIs">
      <formula>1</formula>
    </cfRule>
  </conditionalFormatting>
  <conditionalFormatting sqref="AF220:AF223 AF225:AF245">
    <cfRule dxfId="1057" operator="greaterThan" priority="1441" type="cellIs">
      <formula>1</formula>
    </cfRule>
  </conditionalFormatting>
  <conditionalFormatting sqref="AE34:AE37">
    <cfRule dxfId="1056" operator="greaterThan" priority="1439" type="cellIs">
      <formula>1</formula>
    </cfRule>
  </conditionalFormatting>
  <conditionalFormatting sqref="AE39">
    <cfRule dxfId="1055" operator="greaterThan" priority="1438" type="cellIs">
      <formula>1</formula>
    </cfRule>
  </conditionalFormatting>
  <conditionalFormatting sqref="AE45">
    <cfRule dxfId="1054" operator="greaterThan" priority="1437" type="cellIs">
      <formula>1</formula>
    </cfRule>
  </conditionalFormatting>
  <conditionalFormatting sqref="AE59">
    <cfRule dxfId="1053" operator="greaterThan" priority="1436" type="cellIs">
      <formula>1</formula>
    </cfRule>
  </conditionalFormatting>
  <conditionalFormatting sqref="AE75">
    <cfRule dxfId="1052" operator="greaterThan" priority="1435" type="cellIs">
      <formula>1</formula>
    </cfRule>
  </conditionalFormatting>
  <conditionalFormatting sqref="AE84">
    <cfRule dxfId="1051" operator="greaterThan" priority="1434" type="cellIs">
      <formula>1</formula>
    </cfRule>
  </conditionalFormatting>
  <conditionalFormatting sqref="AE87">
    <cfRule dxfId="1050" operator="greaterThan" priority="1433" type="cellIs">
      <formula>1</formula>
    </cfRule>
  </conditionalFormatting>
  <conditionalFormatting sqref="Z105">
    <cfRule dxfId="1049" operator="greaterThan" priority="1267" type="cellIs">
      <formula>1</formula>
    </cfRule>
  </conditionalFormatting>
  <conditionalFormatting sqref="AE98">
    <cfRule dxfId="1048" operator="greaterThan" priority="1432" type="cellIs">
      <formula>1</formula>
    </cfRule>
  </conditionalFormatting>
  <conditionalFormatting sqref="AE102">
    <cfRule dxfId="1047" operator="greaterThan" priority="1431" type="cellIs">
      <formula>1</formula>
    </cfRule>
  </conditionalFormatting>
  <conditionalFormatting sqref="AE101">
    <cfRule dxfId="1046" operator="greaterThan" priority="1430" type="cellIs">
      <formula>1</formula>
    </cfRule>
  </conditionalFormatting>
  <conditionalFormatting sqref="AE105">
    <cfRule dxfId="1045" operator="greaterThan" priority="1429" type="cellIs">
      <formula>1</formula>
    </cfRule>
  </conditionalFormatting>
  <conditionalFormatting sqref="AE107">
    <cfRule dxfId="1044" operator="greaterThan" priority="1428" type="cellIs">
      <formula>1</formula>
    </cfRule>
  </conditionalFormatting>
  <conditionalFormatting sqref="AE108">
    <cfRule dxfId="1043" operator="greaterThan" priority="1427" type="cellIs">
      <formula>1</formula>
    </cfRule>
  </conditionalFormatting>
  <conditionalFormatting sqref="AE112">
    <cfRule dxfId="1042" operator="greaterThan" priority="1426" type="cellIs">
      <formula>1</formula>
    </cfRule>
  </conditionalFormatting>
  <conditionalFormatting sqref="Z78">
    <cfRule dxfId="1041" operator="greaterThan" priority="1273" type="cellIs">
      <formula>1</formula>
    </cfRule>
  </conditionalFormatting>
  <conditionalFormatting sqref="AE148">
    <cfRule dxfId="1040" operator="greaterThan" priority="1421" type="cellIs">
      <formula>1</formula>
    </cfRule>
  </conditionalFormatting>
  <conditionalFormatting sqref="AE190">
    <cfRule dxfId="1039" operator="greaterThan" priority="1415" type="cellIs">
      <formula>1</formula>
    </cfRule>
  </conditionalFormatting>
  <conditionalFormatting sqref="AE192:AE193 AE195">
    <cfRule dxfId="1038" operator="greaterThan" priority="1414" type="cellIs">
      <formula>1</formula>
    </cfRule>
  </conditionalFormatting>
  <conditionalFormatting sqref="AE225">
    <cfRule dxfId="1037" operator="greaterThan" priority="1412" type="cellIs">
      <formula>1</formula>
    </cfRule>
  </conditionalFormatting>
  <conditionalFormatting sqref="AD36:AD37">
    <cfRule dxfId="1036" operator="greaterThan" priority="1409" type="cellIs">
      <formula>1</formula>
    </cfRule>
  </conditionalFormatting>
  <conditionalFormatting sqref="X41:X42">
    <cfRule dxfId="1035" operator="greaterThan" priority="1408" type="cellIs">
      <formula>1</formula>
    </cfRule>
  </conditionalFormatting>
  <conditionalFormatting sqref="V52">
    <cfRule dxfId="1034" operator="greaterThan" priority="1355" type="cellIs">
      <formula>1</formula>
    </cfRule>
  </conditionalFormatting>
  <conditionalFormatting sqref="AF33">
    <cfRule dxfId="1033" operator="greaterThan" priority="1179" type="cellIs">
      <formula>2</formula>
    </cfRule>
  </conditionalFormatting>
  <conditionalFormatting sqref="AF48:AF49">
    <cfRule dxfId="1032" operator="greaterThan" priority="1165" type="cellIs">
      <formula>2</formula>
    </cfRule>
  </conditionalFormatting>
  <conditionalFormatting sqref="U201">
    <cfRule dxfId="1031" operator="greaterThan" priority="1403" type="cellIs">
      <formula>1</formula>
    </cfRule>
  </conditionalFormatting>
  <conditionalFormatting sqref="AE35:AE38">
    <cfRule dxfId="1030" operator="greaterThan" priority="1398" type="cellIs">
      <formula>1</formula>
    </cfRule>
  </conditionalFormatting>
  <conditionalFormatting sqref="AE204">
    <cfRule dxfId="1029" operator="greaterThan" priority="1372" type="cellIs">
      <formula>1</formula>
    </cfRule>
  </conditionalFormatting>
  <conditionalFormatting sqref="AE45:AE49">
    <cfRule dxfId="1028" operator="greaterThan" priority="1397" type="cellIs">
      <formula>1</formula>
    </cfRule>
  </conditionalFormatting>
  <conditionalFormatting sqref="AE52">
    <cfRule dxfId="1027" operator="greaterThan" priority="1396" type="cellIs">
      <formula>1</formula>
    </cfRule>
  </conditionalFormatting>
  <conditionalFormatting sqref="AE54">
    <cfRule dxfId="1026" operator="greaterThan" priority="1395" type="cellIs">
      <formula>1</formula>
    </cfRule>
  </conditionalFormatting>
  <conditionalFormatting sqref="AE63">
    <cfRule dxfId="1025" operator="greaterThan" priority="1393" type="cellIs">
      <formula>1</formula>
    </cfRule>
  </conditionalFormatting>
  <conditionalFormatting sqref="AE82">
    <cfRule dxfId="1024" operator="greaterThan" priority="1392" type="cellIs">
      <formula>1</formula>
    </cfRule>
  </conditionalFormatting>
  <conditionalFormatting sqref="AE84:AE88">
    <cfRule dxfId="1023" operator="greaterThan" priority="1391" type="cellIs">
      <formula>1</formula>
    </cfRule>
  </conditionalFormatting>
  <conditionalFormatting sqref="V65:V67">
    <cfRule dxfId="1022" operator="greaterThan" priority="1351" type="cellIs">
      <formula>1</formula>
    </cfRule>
  </conditionalFormatting>
  <conditionalFormatting sqref="AE93:AE94">
    <cfRule dxfId="1021" operator="greaterThan" priority="1389" type="cellIs">
      <formula>1</formula>
    </cfRule>
  </conditionalFormatting>
  <conditionalFormatting sqref="AE108:AE109">
    <cfRule dxfId="1020" operator="greaterThan" priority="1385" type="cellIs">
      <formula>1</formula>
    </cfRule>
  </conditionalFormatting>
  <conditionalFormatting sqref="AE133">
    <cfRule dxfId="1019" operator="greaterThan" priority="1380" type="cellIs">
      <formula>1</formula>
    </cfRule>
  </conditionalFormatting>
  <conditionalFormatting sqref="AE137:AE138">
    <cfRule dxfId="1018" operator="greaterThan" priority="1379" type="cellIs">
      <formula>1</formula>
    </cfRule>
  </conditionalFormatting>
  <conditionalFormatting sqref="V140:V141">
    <cfRule dxfId="1017" operator="greaterThan" priority="1339" type="cellIs">
      <formula>1</formula>
    </cfRule>
  </conditionalFormatting>
  <conditionalFormatting sqref="AE154">
    <cfRule dxfId="1016" operator="greaterThan" priority="1377" type="cellIs">
      <formula>1</formula>
    </cfRule>
  </conditionalFormatting>
  <conditionalFormatting sqref="AE208:AE210">
    <cfRule dxfId="1015" operator="greaterThan" priority="1371" type="cellIs">
      <formula>1</formula>
    </cfRule>
  </conditionalFormatting>
  <conditionalFormatting sqref="AE186:AE189">
    <cfRule dxfId="1014" operator="greaterThan" priority="1375" type="cellIs">
      <formula>1</formula>
    </cfRule>
  </conditionalFormatting>
  <conditionalFormatting sqref="AE191:AE193">
    <cfRule dxfId="1013" operator="greaterThan" priority="1374" type="cellIs">
      <formula>1</formula>
    </cfRule>
  </conditionalFormatting>
  <conditionalFormatting sqref="AE201">
    <cfRule dxfId="1012" operator="greaterThan" priority="1373" type="cellIs">
      <formula>1</formula>
    </cfRule>
  </conditionalFormatting>
  <conditionalFormatting sqref="V215:V219">
    <cfRule dxfId="1011" operator="greaterThan" priority="1328" type="cellIs">
      <formula>1</formula>
    </cfRule>
  </conditionalFormatting>
  <conditionalFormatting sqref="T80">
    <cfRule dxfId="1010" operator="greaterThan" priority="1362" type="cellIs">
      <formula>1</formula>
    </cfRule>
  </conditionalFormatting>
  <conditionalFormatting sqref="T82">
    <cfRule dxfId="1009" operator="greaterThan" priority="1361" type="cellIs">
      <formula>1</formula>
    </cfRule>
  </conditionalFormatting>
  <conditionalFormatting sqref="T121:T123">
    <cfRule dxfId="1008" operator="greaterThan" priority="1360" type="cellIs">
      <formula>1</formula>
    </cfRule>
  </conditionalFormatting>
  <conditionalFormatting sqref="V35:V38">
    <cfRule dxfId="1007" operator="greaterThan" priority="1358" type="cellIs">
      <formula>1</formula>
    </cfRule>
  </conditionalFormatting>
  <conditionalFormatting sqref="W102">
    <cfRule dxfId="1006" operator="greaterThan" priority="1318" type="cellIs">
      <formula>1</formula>
    </cfRule>
  </conditionalFormatting>
  <conditionalFormatting sqref="V45:V49">
    <cfRule dxfId="1005" operator="greaterThan" priority="1356" type="cellIs">
      <formula>1</formula>
    </cfRule>
  </conditionalFormatting>
  <conditionalFormatting sqref="V59:V61">
    <cfRule dxfId="1004" operator="greaterThan" priority="1353" type="cellIs">
      <formula>1</formula>
    </cfRule>
  </conditionalFormatting>
  <conditionalFormatting sqref="V63">
    <cfRule dxfId="1003" operator="greaterThan" priority="1352" type="cellIs">
      <formula>1</formula>
    </cfRule>
  </conditionalFormatting>
  <conditionalFormatting sqref="V82">
    <cfRule dxfId="1002" operator="greaterThan" priority="1350" type="cellIs">
      <formula>1</formula>
    </cfRule>
  </conditionalFormatting>
  <conditionalFormatting sqref="V84:V88">
    <cfRule dxfId="1001" operator="greaterThan" priority="1349" type="cellIs">
      <formula>1</formula>
    </cfRule>
  </conditionalFormatting>
  <conditionalFormatting sqref="V91">
    <cfRule dxfId="1000" operator="greaterThan" priority="1348" type="cellIs">
      <formula>1</formula>
    </cfRule>
  </conditionalFormatting>
  <conditionalFormatting sqref="V93:V96">
    <cfRule dxfId="999" operator="greaterThan" priority="1347" type="cellIs">
      <formula>1</formula>
    </cfRule>
  </conditionalFormatting>
  <conditionalFormatting sqref="V98:V102">
    <cfRule dxfId="998" operator="greaterThan" priority="1346" type="cellIs">
      <formula>1</formula>
    </cfRule>
  </conditionalFormatting>
  <conditionalFormatting sqref="V104">
    <cfRule dxfId="997" operator="greaterThan" priority="1345" type="cellIs">
      <formula>1</formula>
    </cfRule>
  </conditionalFormatting>
  <conditionalFormatting sqref="V108:V109">
    <cfRule dxfId="996" operator="greaterThan" priority="1344" type="cellIs">
      <formula>1</formula>
    </cfRule>
  </conditionalFormatting>
  <conditionalFormatting sqref="V111">
    <cfRule dxfId="995" operator="greaterThan" priority="1343" type="cellIs">
      <formula>1</formula>
    </cfRule>
  </conditionalFormatting>
  <conditionalFormatting sqref="V114:V116">
    <cfRule dxfId="994" operator="greaterThan" priority="1342" type="cellIs">
      <formula>1</formula>
    </cfRule>
  </conditionalFormatting>
  <conditionalFormatting sqref="V118:V120">
    <cfRule dxfId="993" operator="greaterThan" priority="1341" type="cellIs">
      <formula>1</formula>
    </cfRule>
  </conditionalFormatting>
  <conditionalFormatting sqref="W185">
    <cfRule dxfId="992" operator="greaterThan" priority="1301" type="cellIs">
      <formula>1</formula>
    </cfRule>
  </conditionalFormatting>
  <conditionalFormatting sqref="V154:V155">
    <cfRule dxfId="991" operator="greaterThan" priority="1338" type="cellIs">
      <formula>1</formula>
    </cfRule>
  </conditionalFormatting>
  <conditionalFormatting sqref="V171:V175">
    <cfRule dxfId="990" operator="greaterThan" priority="1337" type="cellIs">
      <formula>1</formula>
    </cfRule>
  </conditionalFormatting>
  <conditionalFormatting sqref="V177:V181">
    <cfRule dxfId="989" operator="greaterThan" priority="1336" type="cellIs">
      <formula>1</formula>
    </cfRule>
  </conditionalFormatting>
  <conditionalFormatting sqref="V184">
    <cfRule dxfId="988" operator="greaterThan" priority="1335" type="cellIs">
      <formula>1</formula>
    </cfRule>
  </conditionalFormatting>
  <conditionalFormatting sqref="V186:V189">
    <cfRule dxfId="987" operator="greaterThan" priority="1334" type="cellIs">
      <formula>1</formula>
    </cfRule>
  </conditionalFormatting>
  <conditionalFormatting sqref="V191:V193">
    <cfRule dxfId="986" operator="greaterThan" priority="1333" type="cellIs">
      <formula>1</formula>
    </cfRule>
  </conditionalFormatting>
  <conditionalFormatting sqref="V199:V200">
    <cfRule dxfId="985" operator="greaterThan" priority="1332" type="cellIs">
      <formula>1</formula>
    </cfRule>
  </conditionalFormatting>
  <conditionalFormatting sqref="V204">
    <cfRule dxfId="984" operator="greaterThan" priority="1331" type="cellIs">
      <formula>1</formula>
    </cfRule>
  </conditionalFormatting>
  <conditionalFormatting sqref="V208:V210">
    <cfRule dxfId="983" operator="greaterThan" priority="1330" type="cellIs">
      <formula>1</formula>
    </cfRule>
  </conditionalFormatting>
  <conditionalFormatting sqref="V213">
    <cfRule dxfId="982" operator="greaterThan" priority="1329" type="cellIs">
      <formula>1</formula>
    </cfRule>
  </conditionalFormatting>
  <conditionalFormatting sqref="V221:V224">
    <cfRule dxfId="981" operator="greaterThan" priority="1327" type="cellIs">
      <formula>1</formula>
    </cfRule>
  </conditionalFormatting>
  <conditionalFormatting sqref="V225:V229">
    <cfRule dxfId="980" operator="greaterThan" priority="1326" type="cellIs">
      <formula>1</formula>
    </cfRule>
  </conditionalFormatting>
  <conditionalFormatting sqref="V231:V235">
    <cfRule dxfId="979" operator="greaterThan" priority="1325" type="cellIs">
      <formula>1</formula>
    </cfRule>
  </conditionalFormatting>
  <conditionalFormatting sqref="V241">
    <cfRule dxfId="978" operator="greaterThan" priority="1324" type="cellIs">
      <formula>1</formula>
    </cfRule>
  </conditionalFormatting>
  <conditionalFormatting sqref="V243:V245">
    <cfRule dxfId="977" operator="greaterThan" priority="1323" type="cellIs">
      <formula>1</formula>
    </cfRule>
  </conditionalFormatting>
  <conditionalFormatting sqref="W52">
    <cfRule dxfId="976" operator="greaterThan" priority="1322" type="cellIs">
      <formula>1</formula>
    </cfRule>
  </conditionalFormatting>
  <conditionalFormatting sqref="W32">
    <cfRule dxfId="975" operator="greaterThan" priority="1307" type="cellIs">
      <formula>1</formula>
    </cfRule>
  </conditionalFormatting>
  <conditionalFormatting sqref="W82">
    <cfRule dxfId="974" operator="greaterThan" priority="1320" type="cellIs">
      <formula>1</formula>
    </cfRule>
  </conditionalFormatting>
  <conditionalFormatting sqref="W84:W88">
    <cfRule dxfId="973" operator="greaterThan" priority="1319" type="cellIs">
      <formula>1</formula>
    </cfRule>
  </conditionalFormatting>
  <conditionalFormatting sqref="W104">
    <cfRule dxfId="972" operator="greaterThan" priority="1317" type="cellIs">
      <formula>1</formula>
    </cfRule>
  </conditionalFormatting>
  <conditionalFormatting sqref="W111">
    <cfRule dxfId="971" operator="greaterThan" priority="1316" type="cellIs">
      <formula>1</formula>
    </cfRule>
  </conditionalFormatting>
  <conditionalFormatting sqref="W114:W116">
    <cfRule dxfId="970" operator="greaterThan" priority="1315" type="cellIs">
      <formula>1</formula>
    </cfRule>
  </conditionalFormatting>
  <conditionalFormatting sqref="W118:W120">
    <cfRule dxfId="969" operator="greaterThan" priority="1314" type="cellIs">
      <formula>1</formula>
    </cfRule>
  </conditionalFormatting>
  <conditionalFormatting sqref="W133">
    <cfRule dxfId="968" operator="greaterThan" priority="1313" type="cellIs">
      <formula>1</formula>
    </cfRule>
  </conditionalFormatting>
  <conditionalFormatting sqref="W184">
    <cfRule dxfId="967" operator="greaterThan" priority="1312" type="cellIs">
      <formula>1</formula>
    </cfRule>
  </conditionalFormatting>
  <conditionalFormatting sqref="W186:W189">
    <cfRule dxfId="966" operator="greaterThan" priority="1311" type="cellIs">
      <formula>1</formula>
    </cfRule>
  </conditionalFormatting>
  <conditionalFormatting sqref="W191:W193">
    <cfRule dxfId="965" operator="greaterThan" priority="1310" type="cellIs">
      <formula>1</formula>
    </cfRule>
  </conditionalFormatting>
  <conditionalFormatting sqref="W204">
    <cfRule dxfId="964" operator="greaterThan" priority="1309" type="cellIs">
      <formula>1</formula>
    </cfRule>
  </conditionalFormatting>
  <conditionalFormatting sqref="W208:W210">
    <cfRule dxfId="963" operator="greaterThan" priority="1308" type="cellIs">
      <formula>1</formula>
    </cfRule>
  </conditionalFormatting>
  <conditionalFormatting sqref="W81">
    <cfRule dxfId="962" operator="greaterThan" priority="1306" type="cellIs">
      <formula>1</formula>
    </cfRule>
  </conditionalFormatting>
  <conditionalFormatting sqref="W83">
    <cfRule dxfId="961" operator="greaterThan" priority="1305" type="cellIs">
      <formula>1</formula>
    </cfRule>
  </conditionalFormatting>
  <conditionalFormatting sqref="W112">
    <cfRule dxfId="960" operator="greaterThan" priority="1303" type="cellIs">
      <formula>1</formula>
    </cfRule>
  </conditionalFormatting>
  <conditionalFormatting sqref="W117">
    <cfRule dxfId="959" operator="greaterThan" priority="1302" type="cellIs">
      <formula>1</formula>
    </cfRule>
  </conditionalFormatting>
  <conditionalFormatting sqref="W190">
    <cfRule dxfId="958" operator="greaterThan" priority="1300" type="cellIs">
      <formula>1</formula>
    </cfRule>
  </conditionalFormatting>
  <conditionalFormatting sqref="W205">
    <cfRule dxfId="957" operator="greaterThan" priority="1299" type="cellIs">
      <formula>1</formula>
    </cfRule>
  </conditionalFormatting>
  <conditionalFormatting sqref="W206">
    <cfRule dxfId="956" operator="greaterThan" priority="1298" type="cellIs">
      <formula>1</formula>
    </cfRule>
  </conditionalFormatting>
  <conditionalFormatting sqref="Y39:Y42">
    <cfRule dxfId="955" operator="greaterThan" priority="1297" type="cellIs">
      <formula>1</formula>
    </cfRule>
  </conditionalFormatting>
  <conditionalFormatting sqref="Y44">
    <cfRule dxfId="954" operator="greaterThan" priority="1296" type="cellIs">
      <formula>1</formula>
    </cfRule>
  </conditionalFormatting>
  <conditionalFormatting sqref="AF94">
    <cfRule dxfId="953" operator="greaterThan" priority="1101" type="cellIs">
      <formula>2</formula>
    </cfRule>
  </conditionalFormatting>
  <conditionalFormatting sqref="Y85:Y88">
    <cfRule dxfId="952" operator="greaterThan" priority="1295" type="cellIs">
      <formula>1</formula>
    </cfRule>
  </conditionalFormatting>
  <conditionalFormatting sqref="Y89">
    <cfRule dxfId="951" operator="greaterThan" priority="1294" type="cellIs">
      <formula>1</formula>
    </cfRule>
  </conditionalFormatting>
  <conditionalFormatting sqref="Y126:Y130">
    <cfRule dxfId="950" operator="greaterThan" priority="1293" type="cellIs">
      <formula>1</formula>
    </cfRule>
  </conditionalFormatting>
  <conditionalFormatting sqref="Y159">
    <cfRule dxfId="949" operator="greaterThan" priority="1292" type="cellIs">
      <formula>1</formula>
    </cfRule>
  </conditionalFormatting>
  <conditionalFormatting sqref="Y189:Y192">
    <cfRule dxfId="948" operator="greaterThan" priority="1291" type="cellIs">
      <formula>1</formula>
    </cfRule>
  </conditionalFormatting>
  <conditionalFormatting sqref="Y195">
    <cfRule dxfId="947" operator="greaterThan" priority="1290" type="cellIs">
      <formula>1</formula>
    </cfRule>
  </conditionalFormatting>
  <conditionalFormatting sqref="Y197:Y201">
    <cfRule dxfId="946" operator="greaterThan" priority="1289" type="cellIs">
      <formula>1</formula>
    </cfRule>
  </conditionalFormatting>
  <conditionalFormatting sqref="Y203:Y206">
    <cfRule dxfId="945" operator="greaterThan" priority="1288" type="cellIs">
      <formula>1</formula>
    </cfRule>
  </conditionalFormatting>
  <conditionalFormatting sqref="Z79:Z80">
    <cfRule dxfId="944" operator="greaterThan" priority="1286" type="cellIs">
      <formula>1</formula>
    </cfRule>
  </conditionalFormatting>
  <conditionalFormatting sqref="Z89:Z92">
    <cfRule dxfId="943" operator="greaterThan" priority="1285" type="cellIs">
      <formula>1</formula>
    </cfRule>
  </conditionalFormatting>
  <conditionalFormatting sqref="Z99:Z103">
    <cfRule dxfId="942" operator="greaterThan" priority="1284" type="cellIs">
      <formula>1</formula>
    </cfRule>
  </conditionalFormatting>
  <conditionalFormatting sqref="Z106:Z110">
    <cfRule dxfId="941" operator="greaterThan" priority="1283" type="cellIs">
      <formula>1</formula>
    </cfRule>
  </conditionalFormatting>
  <conditionalFormatting sqref="Z113:Z115">
    <cfRule dxfId="940" operator="greaterThan" priority="1282" type="cellIs">
      <formula>1</formula>
    </cfRule>
  </conditionalFormatting>
  <conditionalFormatting sqref="Z138:Z139">
    <cfRule dxfId="939" operator="greaterThan" priority="1281" type="cellIs">
      <formula>1</formula>
    </cfRule>
  </conditionalFormatting>
  <conditionalFormatting sqref="Z61:Z64">
    <cfRule dxfId="938" operator="greaterThan" priority="1287" type="cellIs">
      <formula>1</formula>
    </cfRule>
  </conditionalFormatting>
  <conditionalFormatting sqref="U140:U143">
    <cfRule dxfId="937" operator="greaterThan" priority="1046" type="cellIs">
      <formula>2</formula>
    </cfRule>
  </conditionalFormatting>
  <conditionalFormatting sqref="Z32">
    <cfRule dxfId="936" operator="greaterThan" priority="1280" type="cellIs">
      <formula>1</formula>
    </cfRule>
  </conditionalFormatting>
  <conditionalFormatting sqref="Z34">
    <cfRule dxfId="935" operator="greaterThan" priority="1279" type="cellIs">
      <formula>1</formula>
    </cfRule>
  </conditionalFormatting>
  <conditionalFormatting sqref="Z36">
    <cfRule dxfId="934" operator="greaterThan" priority="1278" type="cellIs">
      <formula>1</formula>
    </cfRule>
  </conditionalFormatting>
  <conditionalFormatting sqref="AC135:AC136">
    <cfRule dxfId="933" operator="greaterThan" priority="1050" type="cellIs">
      <formula>2</formula>
    </cfRule>
  </conditionalFormatting>
  <conditionalFormatting sqref="Z46">
    <cfRule dxfId="932" operator="greaterThan" priority="1277" type="cellIs">
      <formula>1</formula>
    </cfRule>
  </conditionalFormatting>
  <conditionalFormatting sqref="V117">
    <cfRule dxfId="931" operator="greaterThan" priority="1068" type="cellIs">
      <formula>2</formula>
    </cfRule>
  </conditionalFormatting>
  <conditionalFormatting sqref="Z56">
    <cfRule dxfId="930" operator="greaterThan" priority="1276" type="cellIs">
      <formula>1</formula>
    </cfRule>
  </conditionalFormatting>
  <conditionalFormatting sqref="Z60">
    <cfRule dxfId="929" operator="greaterThan" priority="1275" type="cellIs">
      <formula>1</formula>
    </cfRule>
  </conditionalFormatting>
  <conditionalFormatting sqref="Z66">
    <cfRule dxfId="928" operator="greaterThan" priority="1274" type="cellIs">
      <formula>1</formula>
    </cfRule>
  </conditionalFormatting>
  <conditionalFormatting sqref="AF114">
    <cfRule dxfId="927" operator="greaterThan" priority="1071" type="cellIs">
      <formula>2</formula>
    </cfRule>
  </conditionalFormatting>
  <conditionalFormatting sqref="AB108">
    <cfRule dxfId="926" operator="greaterThan" priority="1082" type="cellIs">
      <formula>2</formula>
    </cfRule>
  </conditionalFormatting>
  <conditionalFormatting sqref="AF95">
    <cfRule dxfId="925" operator="greaterThan" priority="1099" type="cellIs">
      <formula>2</formula>
    </cfRule>
  </conditionalFormatting>
  <conditionalFormatting sqref="Z82">
    <cfRule dxfId="924" operator="greaterThan" priority="1272" type="cellIs">
      <formula>1</formula>
    </cfRule>
  </conditionalFormatting>
  <conditionalFormatting sqref="Z84:Z86">
    <cfRule dxfId="923" operator="greaterThan" priority="1271" type="cellIs">
      <formula>1</formula>
    </cfRule>
  </conditionalFormatting>
  <conditionalFormatting sqref="Z98">
    <cfRule dxfId="922" operator="greaterThan" priority="1268" type="cellIs">
      <formula>1</formula>
    </cfRule>
  </conditionalFormatting>
  <conditionalFormatting sqref="Z112">
    <cfRule dxfId="921" operator="greaterThan" priority="1266" type="cellIs">
      <formula>1</formula>
    </cfRule>
  </conditionalFormatting>
  <conditionalFormatting sqref="AE81">
    <cfRule dxfId="920" operator="greaterThan" priority="1122" type="cellIs">
      <formula>2</formula>
    </cfRule>
  </conditionalFormatting>
  <conditionalFormatting sqref="AF78:AF79">
    <cfRule dxfId="919" operator="greaterThan" priority="1130" type="cellIs">
      <formula>2</formula>
    </cfRule>
  </conditionalFormatting>
  <conditionalFormatting sqref="Z117">
    <cfRule dxfId="918" operator="greaterThan" priority="1265" type="cellIs">
      <formula>1</formula>
    </cfRule>
  </conditionalFormatting>
  <conditionalFormatting sqref="Z65">
    <cfRule dxfId="917" operator="greaterThan" priority="1143" type="cellIs">
      <formula>2</formula>
    </cfRule>
  </conditionalFormatting>
  <conditionalFormatting sqref="T63">
    <cfRule dxfId="916" operator="greaterThan" priority="1144" type="cellIs">
      <formula>2</formula>
    </cfRule>
  </conditionalFormatting>
  <conditionalFormatting sqref="Z135">
    <cfRule dxfId="915" operator="greaterThan" priority="1264" type="cellIs">
      <formula>1</formula>
    </cfRule>
  </conditionalFormatting>
  <conditionalFormatting sqref="Z137">
    <cfRule dxfId="914" operator="greaterThan" priority="1263" type="cellIs">
      <formula>1</formula>
    </cfRule>
  </conditionalFormatting>
  <conditionalFormatting sqref="Z141">
    <cfRule dxfId="913" operator="greaterThan" priority="1262" type="cellIs">
      <formula>1</formula>
    </cfRule>
  </conditionalFormatting>
  <conditionalFormatting sqref="W50:W51">
    <cfRule dxfId="912" operator="greaterThan" priority="1163" type="cellIs">
      <formula>2</formula>
    </cfRule>
  </conditionalFormatting>
  <conditionalFormatting sqref="Z160">
    <cfRule dxfId="911" operator="greaterThan" priority="1261" type="cellIs">
      <formula>1</formula>
    </cfRule>
  </conditionalFormatting>
  <conditionalFormatting sqref="Z162">
    <cfRule dxfId="910" operator="greaterThan" priority="1260" type="cellIs">
      <formula>1</formula>
    </cfRule>
  </conditionalFormatting>
  <conditionalFormatting sqref="Z35">
    <cfRule dxfId="909" operator="greaterThan" priority="1176" type="cellIs">
      <formula>2</formula>
    </cfRule>
  </conditionalFormatting>
  <conditionalFormatting sqref="AB52:AC52">
    <cfRule dxfId="908" operator="greaterThan" priority="1160" type="cellIs">
      <formula>2</formula>
    </cfRule>
  </conditionalFormatting>
  <conditionalFormatting sqref="V50:V51">
    <cfRule dxfId="907" operator="greaterThan" priority="1164" type="cellIs">
      <formula>2</formula>
    </cfRule>
  </conditionalFormatting>
  <conditionalFormatting sqref="V34">
    <cfRule dxfId="906" operator="greaterThan" priority="1177" type="cellIs">
      <formula>2</formula>
    </cfRule>
  </conditionalFormatting>
  <conditionalFormatting sqref="AD207">
    <cfRule dxfId="905" operator="greaterThan" priority="1188" type="cellIs">
      <formula>2</formula>
    </cfRule>
  </conditionalFormatting>
  <conditionalFormatting sqref="S33">
    <cfRule dxfId="904" operator="greaterThan" priority="1185" type="cellIs">
      <formula>2</formula>
    </cfRule>
  </conditionalFormatting>
  <conditionalFormatting sqref="V33">
    <cfRule dxfId="903" operator="greaterThan" priority="1184" type="cellIs">
      <formula>2</formula>
    </cfRule>
  </conditionalFormatting>
  <conditionalFormatting sqref="W33">
    <cfRule dxfId="902" operator="greaterThan" priority="1183" type="cellIs">
      <formula>2</formula>
    </cfRule>
  </conditionalFormatting>
  <conditionalFormatting sqref="Z33">
    <cfRule dxfId="901" operator="greaterThan" priority="1182" type="cellIs">
      <formula>2</formula>
    </cfRule>
  </conditionalFormatting>
  <conditionalFormatting sqref="AB33">
    <cfRule dxfId="900" operator="greaterThan" priority="1181" type="cellIs">
      <formula>2</formula>
    </cfRule>
  </conditionalFormatting>
  <conditionalFormatting sqref="AE33">
    <cfRule dxfId="899" operator="greaterThan" priority="1180" type="cellIs">
      <formula>2</formula>
    </cfRule>
  </conditionalFormatting>
  <conditionalFormatting sqref="AG239">
    <cfRule dxfId="898" operator="greaterThan" priority="901" type="cellIs">
      <formula>2</formula>
    </cfRule>
  </conditionalFormatting>
  <conditionalFormatting sqref="X32">
    <cfRule dxfId="897" operator="greaterThan" priority="1178" type="cellIs">
      <formula>2</formula>
    </cfRule>
  </conditionalFormatting>
  <conditionalFormatting sqref="Y71">
    <cfRule dxfId="896" operator="greaterThan" priority="1140" type="cellIs">
      <formula>2</formula>
    </cfRule>
  </conditionalFormatting>
  <conditionalFormatting sqref="Y38">
    <cfRule dxfId="895" operator="greaterThan" priority="1175" type="cellIs">
      <formula>2</formula>
    </cfRule>
  </conditionalFormatting>
  <conditionalFormatting sqref="V39:V40">
    <cfRule dxfId="894" operator="greaterThan" priority="1174" type="cellIs">
      <formula>2</formula>
    </cfRule>
  </conditionalFormatting>
  <conditionalFormatting sqref="AF41">
    <cfRule dxfId="893" operator="greaterThan" priority="1173" type="cellIs">
      <formula>2</formula>
    </cfRule>
  </conditionalFormatting>
  <conditionalFormatting sqref="V42:V44">
    <cfRule dxfId="892" operator="greaterThan" priority="1172" type="cellIs">
      <formula>2</formula>
    </cfRule>
  </conditionalFormatting>
  <conditionalFormatting sqref="W42">
    <cfRule dxfId="891" operator="greaterThan" priority="1171" type="cellIs">
      <formula>2</formula>
    </cfRule>
  </conditionalFormatting>
  <conditionalFormatting sqref="Y43">
    <cfRule dxfId="890" operator="greaterThan" priority="1170" type="cellIs">
      <formula>2</formula>
    </cfRule>
  </conditionalFormatting>
  <conditionalFormatting sqref="AE43">
    <cfRule dxfId="889" operator="greaterThan" priority="1169" type="cellIs">
      <formula>2</formula>
    </cfRule>
  </conditionalFormatting>
  <conditionalFormatting sqref="Y45:Z45">
    <cfRule dxfId="888" operator="greaterThan" priority="1168" type="cellIs">
      <formula>2</formula>
    </cfRule>
  </conditionalFormatting>
  <conditionalFormatting sqref="T46">
    <cfRule dxfId="887" operator="greaterThan" priority="1167" type="cellIs">
      <formula>2</formula>
    </cfRule>
  </conditionalFormatting>
  <conditionalFormatting sqref="AF46">
    <cfRule dxfId="886" operator="greaterThan" priority="1166" type="cellIs">
      <formula>2</formula>
    </cfRule>
  </conditionalFormatting>
  <conditionalFormatting sqref="V79">
    <cfRule dxfId="885" operator="greaterThan" priority="1128" type="cellIs">
      <formula>2</formula>
    </cfRule>
  </conditionalFormatting>
  <conditionalFormatting sqref="U80">
    <cfRule dxfId="884" operator="greaterThan" priority="1126" type="cellIs">
      <formula>2</formula>
    </cfRule>
  </conditionalFormatting>
  <conditionalFormatting sqref="AC51">
    <cfRule dxfId="883" operator="greaterThan" priority="1162" type="cellIs">
      <formula>2</formula>
    </cfRule>
  </conditionalFormatting>
  <conditionalFormatting sqref="AE51">
    <cfRule dxfId="882" operator="greaterThan" priority="1161" type="cellIs">
      <formula>2</formula>
    </cfRule>
  </conditionalFormatting>
  <conditionalFormatting sqref="AG223:AH223">
    <cfRule dxfId="881" operator="greaterThan" priority="903" type="cellIs">
      <formula>2</formula>
    </cfRule>
  </conditionalFormatting>
  <conditionalFormatting sqref="V53:W53">
    <cfRule dxfId="880" operator="greaterThan" priority="1159" type="cellIs">
      <formula>2</formula>
    </cfRule>
  </conditionalFormatting>
  <conditionalFormatting sqref="Y53">
    <cfRule dxfId="879" operator="greaterThan" priority="1158" type="cellIs">
      <formula>2</formula>
    </cfRule>
  </conditionalFormatting>
  <conditionalFormatting sqref="AB53">
    <cfRule dxfId="878" operator="greaterThan" priority="1157" type="cellIs">
      <formula>2</formula>
    </cfRule>
  </conditionalFormatting>
  <conditionalFormatting sqref="AE53:AF53">
    <cfRule dxfId="877" operator="greaterThan" priority="1156" type="cellIs">
      <formula>2</formula>
    </cfRule>
  </conditionalFormatting>
  <conditionalFormatting sqref="AF73">
    <cfRule dxfId="876" operator="greaterThan" priority="1136" type="cellIs">
      <formula>2</formula>
    </cfRule>
  </conditionalFormatting>
  <conditionalFormatting sqref="AF69">
    <cfRule dxfId="875" operator="greaterThan" priority="1135" type="cellIs">
      <formula>2</formula>
    </cfRule>
  </conditionalFormatting>
  <conditionalFormatting sqref="T53">
    <cfRule dxfId="874" operator="greaterThan" priority="1138" type="cellIs">
      <formula>2</formula>
    </cfRule>
  </conditionalFormatting>
  <conditionalFormatting sqref="V57">
    <cfRule dxfId="873" operator="greaterThan" priority="1151" type="cellIs">
      <formula>2</formula>
    </cfRule>
  </conditionalFormatting>
  <conditionalFormatting sqref="V90">
    <cfRule dxfId="872" operator="greaterThan" priority="1111" type="cellIs">
      <formula>2</formula>
    </cfRule>
  </conditionalFormatting>
  <conditionalFormatting sqref="V62">
    <cfRule dxfId="871" operator="greaterThan" priority="1145" type="cellIs">
      <formula>2</formula>
    </cfRule>
  </conditionalFormatting>
  <conditionalFormatting sqref="AE90">
    <cfRule dxfId="870" operator="greaterThan" priority="1109" type="cellIs">
      <formula>2</formula>
    </cfRule>
  </conditionalFormatting>
  <conditionalFormatting sqref="Z59">
    <cfRule dxfId="869" operator="greaterThan" priority="1146" type="cellIs">
      <formula>2</formula>
    </cfRule>
  </conditionalFormatting>
  <conditionalFormatting sqref="T71:T74">
    <cfRule dxfId="868" operator="greaterThan" priority="1141" type="cellIs">
      <formula>2</formula>
    </cfRule>
  </conditionalFormatting>
  <conditionalFormatting sqref="V64">
    <cfRule dxfId="867" operator="greaterThan" priority="1134" type="cellIs">
      <formula>2</formula>
    </cfRule>
  </conditionalFormatting>
  <conditionalFormatting sqref="AC36">
    <cfRule dxfId="866" operator="greaterThan" priority="1133" type="cellIs">
      <formula>2</formula>
    </cfRule>
  </conditionalFormatting>
  <conditionalFormatting sqref="T76:T77">
    <cfRule dxfId="865" operator="greaterThan" priority="1132" type="cellIs">
      <formula>2</formula>
    </cfRule>
  </conditionalFormatting>
  <conditionalFormatting sqref="V103">
    <cfRule dxfId="864" operator="greaterThan" priority="1091" type="cellIs">
      <formula>2</formula>
    </cfRule>
  </conditionalFormatting>
  <conditionalFormatting sqref="T79">
    <cfRule dxfId="863" operator="greaterThan" priority="1129" type="cellIs">
      <formula>2</formula>
    </cfRule>
  </conditionalFormatting>
  <conditionalFormatting sqref="T81">
    <cfRule dxfId="862" operator="greaterThan" priority="1124" type="cellIs">
      <formula>2</formula>
    </cfRule>
  </conditionalFormatting>
  <conditionalFormatting sqref="Z81">
    <cfRule dxfId="861" operator="greaterThan" priority="1123" type="cellIs">
      <formula>2</formula>
    </cfRule>
  </conditionalFormatting>
  <conditionalFormatting sqref="V107">
    <cfRule dxfId="860" operator="greaterThan" priority="1083" type="cellIs">
      <formula>2</formula>
    </cfRule>
  </conditionalFormatting>
  <conditionalFormatting sqref="AE83:AF83">
    <cfRule dxfId="859" operator="greaterThan" priority="1118" type="cellIs">
      <formula>2</formula>
    </cfRule>
  </conditionalFormatting>
  <conditionalFormatting sqref="X84:Y84">
    <cfRule dxfId="858" operator="greaterThan" priority="1117" type="cellIs">
      <formula>2</formula>
    </cfRule>
  </conditionalFormatting>
  <conditionalFormatting sqref="AB84">
    <cfRule dxfId="857" operator="greaterThan" priority="1116" type="cellIs">
      <formula>2</formula>
    </cfRule>
  </conditionalFormatting>
  <conditionalFormatting sqref="AF84">
    <cfRule dxfId="856" operator="greaterThan" priority="1115" type="cellIs">
      <formula>2</formula>
    </cfRule>
  </conditionalFormatting>
  <conditionalFormatting sqref="W113">
    <cfRule dxfId="855" operator="greaterThan" priority="1074" type="cellIs">
      <formula>2</formula>
    </cfRule>
  </conditionalFormatting>
  <conditionalFormatting sqref="U89:W89">
    <cfRule dxfId="854" operator="greaterThan" priority="1112" type="cellIs">
      <formula>2</formula>
    </cfRule>
  </conditionalFormatting>
  <conditionalFormatting sqref="Y90">
    <cfRule dxfId="853" operator="greaterThan" priority="1110" type="cellIs">
      <formula>2</formula>
    </cfRule>
  </conditionalFormatting>
  <conditionalFormatting sqref="Z116">
    <cfRule dxfId="852" operator="greaterThan" priority="1069" type="cellIs">
      <formula>2</formula>
    </cfRule>
  </conditionalFormatting>
  <conditionalFormatting sqref="AF92">
    <cfRule dxfId="851" operator="greaterThan" priority="1105" type="cellIs">
      <formula>2</formula>
    </cfRule>
  </conditionalFormatting>
  <conditionalFormatting sqref="AB122">
    <cfRule dxfId="850" operator="greaterThan" priority="1064" type="cellIs">
      <formula>2</formula>
    </cfRule>
  </conditionalFormatting>
  <conditionalFormatting sqref="U124">
    <cfRule dxfId="849" operator="greaterThan" priority="1062" type="cellIs">
      <formula>2</formula>
    </cfRule>
  </conditionalFormatting>
  <conditionalFormatting sqref="X95">
    <cfRule dxfId="848" operator="greaterThan" priority="1100" type="cellIs">
      <formula>2</formula>
    </cfRule>
  </conditionalFormatting>
  <conditionalFormatting sqref="Y125">
    <cfRule dxfId="847" operator="greaterThan" priority="1060" type="cellIs">
      <formula>2</formula>
    </cfRule>
  </conditionalFormatting>
  <conditionalFormatting sqref="V97">
    <cfRule dxfId="846" operator="greaterThan" priority="1097" type="cellIs">
      <formula>2</formula>
    </cfRule>
  </conditionalFormatting>
  <conditionalFormatting sqref="S97">
    <cfRule dxfId="845" operator="greaterThan" priority="1096" type="cellIs">
      <formula>2</formula>
    </cfRule>
  </conditionalFormatting>
  <conditionalFormatting sqref="AE97:AF97">
    <cfRule dxfId="844" operator="greaterThan" priority="1095" type="cellIs">
      <formula>2</formula>
    </cfRule>
  </conditionalFormatting>
  <conditionalFormatting sqref="AF101:AF102">
    <cfRule dxfId="843" operator="greaterThan" priority="1092" type="cellIs">
      <formula>2</formula>
    </cfRule>
  </conditionalFormatting>
  <conditionalFormatting sqref="W103">
    <cfRule dxfId="842" operator="greaterThan" priority="1090" type="cellIs">
      <formula>2</formula>
    </cfRule>
  </conditionalFormatting>
  <conditionalFormatting sqref="Z104">
    <cfRule dxfId="841" operator="greaterThan" priority="1088" type="cellIs">
      <formula>2</formula>
    </cfRule>
  </conditionalFormatting>
  <conditionalFormatting sqref="V105">
    <cfRule dxfId="840" operator="greaterThan" priority="1087" type="cellIs">
      <formula>2</formula>
    </cfRule>
  </conditionalFormatting>
  <conditionalFormatting sqref="Y105">
    <cfRule dxfId="839" operator="greaterThan" priority="1086" type="cellIs">
      <formula>2</formula>
    </cfRule>
  </conditionalFormatting>
  <conditionalFormatting sqref="AB105">
    <cfRule dxfId="838" operator="greaterThan" priority="1085" type="cellIs">
      <formula>2</formula>
    </cfRule>
  </conditionalFormatting>
  <conditionalFormatting sqref="V106">
    <cfRule dxfId="837" operator="greaterThan" priority="1084" type="cellIs">
      <formula>2</formula>
    </cfRule>
  </conditionalFormatting>
  <conditionalFormatting sqref="AF141">
    <cfRule dxfId="836" operator="greaterThan" priority="1043" type="cellIs">
      <formula>2</formula>
    </cfRule>
  </conditionalFormatting>
  <conditionalFormatting sqref="AC109">
    <cfRule dxfId="835" operator="greaterThan" priority="1081" type="cellIs">
      <formula>2</formula>
    </cfRule>
  </conditionalFormatting>
  <conditionalFormatting sqref="V110:W110">
    <cfRule dxfId="834" operator="greaterThan" priority="1080" type="cellIs">
      <formula>2</formula>
    </cfRule>
  </conditionalFormatting>
  <conditionalFormatting sqref="AF110">
    <cfRule dxfId="833" operator="greaterThan" priority="1079" type="cellIs">
      <formula>2</formula>
    </cfRule>
  </conditionalFormatting>
  <conditionalFormatting sqref="Z111">
    <cfRule dxfId="832" operator="greaterThan" priority="1078" type="cellIs">
      <formula>2</formula>
    </cfRule>
  </conditionalFormatting>
  <conditionalFormatting sqref="AC111">
    <cfRule dxfId="831" operator="greaterThan" priority="1077" type="cellIs">
      <formula>2</formula>
    </cfRule>
  </conditionalFormatting>
  <conditionalFormatting sqref="V112:V113">
    <cfRule dxfId="830" operator="greaterThan" priority="1076" type="cellIs">
      <formula>2</formula>
    </cfRule>
  </conditionalFormatting>
  <conditionalFormatting sqref="X112">
    <cfRule dxfId="829" operator="greaterThan" priority="1075" type="cellIs">
      <formula>2</formula>
    </cfRule>
  </conditionalFormatting>
  <conditionalFormatting sqref="AF113">
    <cfRule dxfId="828" operator="greaterThan" priority="1073" type="cellIs">
      <formula>2</formula>
    </cfRule>
  </conditionalFormatting>
  <conditionalFormatting sqref="AB114:AC114">
    <cfRule dxfId="827" operator="greaterThan" priority="1072" type="cellIs">
      <formula>2</formula>
    </cfRule>
  </conditionalFormatting>
  <conditionalFormatting sqref="AE157">
    <cfRule dxfId="826" operator="greaterThan" priority="1032" type="cellIs">
      <formula>2</formula>
    </cfRule>
  </conditionalFormatting>
  <conditionalFormatting sqref="Y115:Y116">
    <cfRule dxfId="825" operator="greaterThan" priority="1070" type="cellIs">
      <formula>2</formula>
    </cfRule>
  </conditionalFormatting>
  <conditionalFormatting sqref="AB159">
    <cfRule dxfId="824" operator="greaterThan" priority="1029" type="cellIs">
      <formula>2</formula>
    </cfRule>
  </conditionalFormatting>
  <conditionalFormatting sqref="T120">
    <cfRule dxfId="823" operator="greaterThan" priority="1067" type="cellIs">
      <formula>2</formula>
    </cfRule>
  </conditionalFormatting>
  <conditionalFormatting sqref="AF119">
    <cfRule dxfId="822" operator="greaterThan" priority="1066" type="cellIs">
      <formula>2</formula>
    </cfRule>
  </conditionalFormatting>
  <conditionalFormatting sqref="V121:V123">
    <cfRule dxfId="821" operator="greaterThan" priority="1065" type="cellIs">
      <formula>2</formula>
    </cfRule>
  </conditionalFormatting>
  <conditionalFormatting sqref="T124:T127">
    <cfRule dxfId="820" operator="greaterThan" priority="1063" type="cellIs">
      <formula>2</formula>
    </cfRule>
  </conditionalFormatting>
  <conditionalFormatting sqref="AF124">
    <cfRule dxfId="819" operator="greaterThan" priority="1061" type="cellIs">
      <formula>2</formula>
    </cfRule>
  </conditionalFormatting>
  <conditionalFormatting sqref="X128:X130">
    <cfRule dxfId="818" operator="greaterThan" priority="1059" type="cellIs">
      <formula>2</formula>
    </cfRule>
  </conditionalFormatting>
  <conditionalFormatting sqref="V131:V132">
    <cfRule dxfId="817" operator="greaterThan" priority="1058" type="cellIs">
      <formula>2</formula>
    </cfRule>
  </conditionalFormatting>
  <conditionalFormatting sqref="Y131:Y132">
    <cfRule dxfId="816" operator="greaterThan" priority="1057" type="cellIs">
      <formula>2</formula>
    </cfRule>
  </conditionalFormatting>
  <conditionalFormatting sqref="AE131:AE132">
    <cfRule dxfId="815" operator="greaterThan" priority="1056" type="cellIs">
      <formula>2</formula>
    </cfRule>
  </conditionalFormatting>
  <conditionalFormatting sqref="W132">
    <cfRule dxfId="814" operator="greaterThan" priority="1055" type="cellIs">
      <formula>2</formula>
    </cfRule>
  </conditionalFormatting>
  <conditionalFormatting sqref="Z133:Z134">
    <cfRule dxfId="813" operator="greaterThan" priority="1054" type="cellIs">
      <formula>2</formula>
    </cfRule>
  </conditionalFormatting>
  <conditionalFormatting sqref="AE134">
    <cfRule dxfId="812" operator="greaterThan" priority="1052" type="cellIs">
      <formula>2</formula>
    </cfRule>
  </conditionalFormatting>
  <conditionalFormatting sqref="V135:V139">
    <cfRule dxfId="811" operator="greaterThan" priority="1051" type="cellIs">
      <formula>2</formula>
    </cfRule>
  </conditionalFormatting>
  <conditionalFormatting sqref="U187:U189">
    <cfRule dxfId="810" operator="greaterThan" priority="1013" type="cellIs">
      <formula>2</formula>
    </cfRule>
  </conditionalFormatting>
  <conditionalFormatting sqref="AE135:AE136">
    <cfRule dxfId="809" operator="greaterThan" priority="1049" type="cellIs">
      <formula>2</formula>
    </cfRule>
  </conditionalFormatting>
  <conditionalFormatting sqref="Z136">
    <cfRule dxfId="808" operator="greaterThan" priority="1048" type="cellIs">
      <formula>2</formula>
    </cfRule>
  </conditionalFormatting>
  <conditionalFormatting sqref="AF137">
    <cfRule dxfId="807" operator="greaterThan" priority="1047" type="cellIs">
      <formula>2</formula>
    </cfRule>
  </conditionalFormatting>
  <conditionalFormatting sqref="V190">
    <cfRule dxfId="806" operator="greaterThan" priority="1009" type="cellIs">
      <formula>2</formula>
    </cfRule>
  </conditionalFormatting>
  <conditionalFormatting sqref="Z140">
    <cfRule dxfId="805" operator="greaterThan" priority="1045" type="cellIs">
      <formula>2</formula>
    </cfRule>
  </conditionalFormatting>
  <conditionalFormatting sqref="Y141">
    <cfRule dxfId="804" operator="greaterThan" priority="1044" type="cellIs">
      <formula>2</formula>
    </cfRule>
  </conditionalFormatting>
  <conditionalFormatting sqref="V142:V143">
    <cfRule dxfId="803" operator="greaterThan" priority="1042" type="cellIs">
      <formula>2</formula>
    </cfRule>
  </conditionalFormatting>
  <conditionalFormatting sqref="AF148">
    <cfRule dxfId="802" operator="greaterThan" priority="1041" type="cellIs">
      <formula>2</formula>
    </cfRule>
  </conditionalFormatting>
  <conditionalFormatting sqref="U149">
    <cfRule dxfId="801" operator="greaterThan" priority="1040" type="cellIs">
      <formula>2</formula>
    </cfRule>
  </conditionalFormatting>
  <conditionalFormatting sqref="Z152">
    <cfRule dxfId="800" operator="greaterThan" priority="1039" type="cellIs">
      <formula>2</formula>
    </cfRule>
  </conditionalFormatting>
  <conditionalFormatting sqref="V153">
    <cfRule dxfId="799" operator="greaterThan" priority="1038" type="cellIs">
      <formula>2</formula>
    </cfRule>
  </conditionalFormatting>
  <conditionalFormatting sqref="AC154">
    <cfRule dxfId="798" operator="greaterThan" priority="1037" type="cellIs">
      <formula>2</formula>
    </cfRule>
  </conditionalFormatting>
  <conditionalFormatting sqref="T155">
    <cfRule dxfId="797" operator="greaterThan" priority="1036" type="cellIs">
      <formula>2</formula>
    </cfRule>
  </conditionalFormatting>
  <conditionalFormatting sqref="X155">
    <cfRule dxfId="796" operator="greaterThan" priority="1035" type="cellIs">
      <formula>2</formula>
    </cfRule>
  </conditionalFormatting>
  <conditionalFormatting sqref="V156:V157">
    <cfRule dxfId="795" operator="greaterThan" priority="1034" type="cellIs">
      <formula>2</formula>
    </cfRule>
  </conditionalFormatting>
  <conditionalFormatting sqref="AB157">
    <cfRule dxfId="794" operator="greaterThan" priority="1033" type="cellIs">
      <formula>2</formula>
    </cfRule>
  </conditionalFormatting>
  <conditionalFormatting sqref="Y158">
    <cfRule dxfId="793" operator="greaterThan" priority="1031" type="cellIs">
      <formula>2</formula>
    </cfRule>
  </conditionalFormatting>
  <conditionalFormatting sqref="Z159">
    <cfRule dxfId="792" operator="greaterThan" priority="1030" type="cellIs">
      <formula>2</formula>
    </cfRule>
  </conditionalFormatting>
  <conditionalFormatting sqref="AF159">
    <cfRule dxfId="791" operator="greaterThan" priority="1028" type="cellIs">
      <formula>2</formula>
    </cfRule>
  </conditionalFormatting>
  <conditionalFormatting sqref="Y160:Y161">
    <cfRule dxfId="790" operator="greaterThan" priority="1027" type="cellIs">
      <formula>2</formula>
    </cfRule>
  </conditionalFormatting>
  <conditionalFormatting sqref="Z161">
    <cfRule dxfId="789" operator="greaterThan" priority="1026" type="cellIs">
      <formula>2</formula>
    </cfRule>
  </conditionalFormatting>
  <conditionalFormatting sqref="AB162:AB163">
    <cfRule dxfId="788" operator="greaterThan" priority="1025" type="cellIs">
      <formula>2</formula>
    </cfRule>
  </conditionalFormatting>
  <conditionalFormatting sqref="AC164">
    <cfRule dxfId="787" operator="greaterThan" priority="1024" type="cellIs">
      <formula>2</formula>
    </cfRule>
  </conditionalFormatting>
  <conditionalFormatting sqref="V166:V170">
    <cfRule dxfId="786" operator="greaterThan" priority="1023" type="cellIs">
      <formula>2</formula>
    </cfRule>
  </conditionalFormatting>
  <conditionalFormatting sqref="U170">
    <cfRule dxfId="785" operator="greaterThan" priority="1022" type="cellIs">
      <formula>2</formula>
    </cfRule>
  </conditionalFormatting>
  <conditionalFormatting sqref="C27">
    <cfRule dxfId="784" operator="greaterThan" priority="967" type="cellIs">
      <formula>1</formula>
    </cfRule>
  </conditionalFormatting>
  <conditionalFormatting sqref="AF173:AF175">
    <cfRule dxfId="783" operator="greaterThan" priority="1021" type="cellIs">
      <formula>2</formula>
    </cfRule>
  </conditionalFormatting>
  <conditionalFormatting sqref="V176">
    <cfRule dxfId="782" operator="greaterThan" priority="1019" type="cellIs">
      <formula>2</formula>
    </cfRule>
  </conditionalFormatting>
  <conditionalFormatting sqref="U177">
    <cfRule dxfId="781" operator="greaterThan" priority="1018" type="cellIs">
      <formula>2</formula>
    </cfRule>
  </conditionalFormatting>
  <conditionalFormatting sqref="T178:T181">
    <cfRule dxfId="780" operator="greaterThan" priority="1017" type="cellIs">
      <formula>2</formula>
    </cfRule>
  </conditionalFormatting>
  <conditionalFormatting sqref="V182:W183">
    <cfRule dxfId="779" operator="greaterThan" priority="1016" type="cellIs">
      <formula>2</formula>
    </cfRule>
  </conditionalFormatting>
  <conditionalFormatting sqref="AF184:AF186">
    <cfRule dxfId="778" operator="greaterThan" priority="1015" type="cellIs">
      <formula>2</formula>
    </cfRule>
  </conditionalFormatting>
  <conditionalFormatting sqref="V185">
    <cfRule dxfId="777" operator="greaterThan" priority="1014" type="cellIs">
      <formula>2</formula>
    </cfRule>
  </conditionalFormatting>
  <conditionalFormatting sqref="Y188">
    <cfRule dxfId="776" operator="greaterThan" priority="1012" type="cellIs">
      <formula>2</formula>
    </cfRule>
  </conditionalFormatting>
  <conditionalFormatting sqref="Z189">
    <cfRule dxfId="775" operator="greaterThan" priority="1011" type="cellIs">
      <formula>2</formula>
    </cfRule>
  </conditionalFormatting>
  <conditionalFormatting sqref="AF189">
    <cfRule dxfId="774" operator="greaterThan" priority="1010" type="cellIs">
      <formula>2</formula>
    </cfRule>
  </conditionalFormatting>
  <conditionalFormatting sqref="AB191:AB192">
    <cfRule dxfId="773" operator="greaterThan" priority="1008" type="cellIs">
      <formula>2</formula>
    </cfRule>
  </conditionalFormatting>
  <conditionalFormatting sqref="Y193:Y194">
    <cfRule dxfId="772" operator="greaterThan" priority="1007" type="cellIs">
      <formula>2</formula>
    </cfRule>
  </conditionalFormatting>
  <conditionalFormatting sqref="V194:V198">
    <cfRule dxfId="771" operator="greaterThan" priority="1006" type="cellIs">
      <formula>2</formula>
    </cfRule>
  </conditionalFormatting>
  <conditionalFormatting sqref="U198:U200">
    <cfRule dxfId="770" operator="greaterThan" priority="1005" type="cellIs">
      <formula>2</formula>
    </cfRule>
  </conditionalFormatting>
  <conditionalFormatting sqref="Y196">
    <cfRule dxfId="769" operator="greaterThan" priority="1004" type="cellIs">
      <formula>2</formula>
    </cfRule>
  </conditionalFormatting>
  <conditionalFormatting sqref="AE196">
    <cfRule dxfId="768" operator="greaterThan" priority="1003" type="cellIs">
      <formula>2</formula>
    </cfRule>
  </conditionalFormatting>
  <conditionalFormatting sqref="AE194">
    <cfRule dxfId="767" operator="greaterThan" priority="1002" type="cellIs">
      <formula>2</formula>
    </cfRule>
  </conditionalFormatting>
  <conditionalFormatting sqref="V201:V203">
    <cfRule dxfId="766" operator="greaterThan" priority="1001" type="cellIs">
      <formula>2</formula>
    </cfRule>
  </conditionalFormatting>
  <conditionalFormatting sqref="W202:W203">
    <cfRule dxfId="765" operator="greaterThan" priority="1000" type="cellIs">
      <formula>2</formula>
    </cfRule>
  </conditionalFormatting>
  <conditionalFormatting sqref="AE202:AF203">
    <cfRule dxfId="764" operator="greaterThan" priority="999" type="cellIs">
      <formula>2</formula>
    </cfRule>
  </conditionalFormatting>
  <conditionalFormatting sqref="Y202">
    <cfRule dxfId="763" operator="greaterThan" priority="998" type="cellIs">
      <formula>2</formula>
    </cfRule>
  </conditionalFormatting>
  <conditionalFormatting sqref="AC202">
    <cfRule dxfId="762" operator="greaterThan" priority="997" type="cellIs">
      <formula>2</formula>
    </cfRule>
  </conditionalFormatting>
  <conditionalFormatting sqref="Z203">
    <cfRule dxfId="761" operator="greaterThan" priority="996" type="cellIs">
      <formula>2</formula>
    </cfRule>
  </conditionalFormatting>
  <conditionalFormatting sqref="U203">
    <cfRule dxfId="760" operator="greaterThan" priority="995" type="cellIs">
      <formula>2</formula>
    </cfRule>
  </conditionalFormatting>
  <conditionalFormatting sqref="U205:V206">
    <cfRule dxfId="759" operator="greaterThan" priority="994" type="cellIs">
      <formula>2</formula>
    </cfRule>
  </conditionalFormatting>
  <conditionalFormatting sqref="AB205:AB206">
    <cfRule dxfId="758" operator="greaterThan" priority="993" type="cellIs">
      <formula>2</formula>
    </cfRule>
  </conditionalFormatting>
  <conditionalFormatting sqref="AE205:AE206">
    <cfRule dxfId="757" operator="greaterThan" priority="992" type="cellIs">
      <formula>2</formula>
    </cfRule>
  </conditionalFormatting>
  <conditionalFormatting sqref="AC204">
    <cfRule dxfId="756" operator="greaterThan" priority="991" type="cellIs">
      <formula>2</formula>
    </cfRule>
  </conditionalFormatting>
  <conditionalFormatting sqref="V207:W207">
    <cfRule dxfId="755" operator="greaterThan" priority="990" type="cellIs">
      <formula>2</formula>
    </cfRule>
  </conditionalFormatting>
  <conditionalFormatting sqref="Y207:Z207 Z208">
    <cfRule dxfId="754" operator="greaterThan" priority="989" type="cellIs">
      <formula>2</formula>
    </cfRule>
  </conditionalFormatting>
  <conditionalFormatting sqref="AB207">
    <cfRule dxfId="753" operator="greaterThan" priority="988" type="cellIs">
      <formula>2</formula>
    </cfRule>
  </conditionalFormatting>
  <conditionalFormatting sqref="AE207:AF207">
    <cfRule dxfId="752" operator="greaterThan" priority="987" type="cellIs">
      <formula>2</formula>
    </cfRule>
  </conditionalFormatting>
  <conditionalFormatting sqref="U211:U212">
    <cfRule dxfId="751" operator="greaterThan" priority="986" type="cellIs">
      <formula>2</formula>
    </cfRule>
  </conditionalFormatting>
  <conditionalFormatting sqref="V211:V212">
    <cfRule dxfId="750" operator="greaterThan" priority="985" type="cellIs">
      <formula>2</formula>
    </cfRule>
  </conditionalFormatting>
  <conditionalFormatting sqref="AF211:AF212">
    <cfRule dxfId="749" operator="greaterThan" priority="984" type="cellIs">
      <formula>2</formula>
    </cfRule>
  </conditionalFormatting>
  <conditionalFormatting sqref="AC210">
    <cfRule dxfId="748" operator="greaterThan" priority="983" type="cellIs">
      <formula>2</formula>
    </cfRule>
  </conditionalFormatting>
  <conditionalFormatting sqref="AF209">
    <cfRule dxfId="747" operator="greaterThan" priority="982" type="cellIs">
      <formula>2</formula>
    </cfRule>
  </conditionalFormatting>
  <conditionalFormatting sqref="V214">
    <cfRule dxfId="746" operator="greaterThan" priority="981" type="cellIs">
      <formula>2</formula>
    </cfRule>
  </conditionalFormatting>
  <conditionalFormatting sqref="V220">
    <cfRule dxfId="745" operator="greaterThan" priority="980" type="cellIs">
      <formula>2</formula>
    </cfRule>
  </conditionalFormatting>
  <conditionalFormatting sqref="Z220">
    <cfRule dxfId="744" operator="greaterThan" priority="979" type="cellIs">
      <formula>2</formula>
    </cfRule>
  </conditionalFormatting>
  <conditionalFormatting sqref="AE220">
    <cfRule dxfId="743" operator="greaterThan" priority="978" type="cellIs">
      <formula>2</formula>
    </cfRule>
  </conditionalFormatting>
  <conditionalFormatting sqref="Y225:Y227">
    <cfRule dxfId="742" operator="greaterThan" priority="977" type="cellIs">
      <formula>2</formula>
    </cfRule>
  </conditionalFormatting>
  <conditionalFormatting sqref="AB227">
    <cfRule dxfId="741" operator="greaterThan" priority="976" type="cellIs">
      <formula>2</formula>
    </cfRule>
  </conditionalFormatting>
  <conditionalFormatting sqref="AF224">
    <cfRule dxfId="740" operator="greaterThan" priority="975" type="cellIs">
      <formula>2</formula>
    </cfRule>
  </conditionalFormatting>
  <conditionalFormatting sqref="V230">
    <cfRule dxfId="739" operator="greaterThan" priority="974" type="cellIs">
      <formula>2</formula>
    </cfRule>
  </conditionalFormatting>
  <conditionalFormatting sqref="V236:V240">
    <cfRule dxfId="738" operator="greaterThan" priority="973" type="cellIs">
      <formula>2</formula>
    </cfRule>
  </conditionalFormatting>
  <conditionalFormatting sqref="V242">
    <cfRule dxfId="737" operator="greaterThan" priority="972" type="cellIs">
      <formula>2</formula>
    </cfRule>
  </conditionalFormatting>
  <conditionalFormatting sqref="V246">
    <cfRule dxfId="736" operator="greaterThan" priority="971" type="cellIs">
      <formula>2</formula>
    </cfRule>
  </conditionalFormatting>
  <conditionalFormatting sqref="AC246">
    <cfRule dxfId="735" operator="greaterThan" priority="970" type="cellIs">
      <formula>2</formula>
    </cfRule>
  </conditionalFormatting>
  <conditionalFormatting sqref="AF246">
    <cfRule dxfId="734" operator="greaterThan" priority="969" type="cellIs">
      <formula>2</formula>
    </cfRule>
  </conditionalFormatting>
  <conditionalFormatting sqref="AF177">
    <cfRule dxfId="733" operator="greaterThan" priority="968" type="cellIs">
      <formula>2</formula>
    </cfRule>
  </conditionalFormatting>
  <conditionalFormatting sqref="C32">
    <cfRule dxfId="732" operator="greaterThan" priority="966" type="cellIs">
      <formula>1</formula>
    </cfRule>
  </conditionalFormatting>
  <conditionalFormatting sqref="C39">
    <cfRule dxfId="731" operator="greaterThan" priority="965" type="cellIs">
      <formula>1</formula>
    </cfRule>
  </conditionalFormatting>
  <conditionalFormatting sqref="C45:C46">
    <cfRule dxfId="730" operator="greaterThan" priority="964" type="cellIs">
      <formula>1</formula>
    </cfRule>
  </conditionalFormatting>
  <conditionalFormatting sqref="C50:C52">
    <cfRule dxfId="729" operator="greaterThan" priority="963" type="cellIs">
      <formula>1</formula>
    </cfRule>
  </conditionalFormatting>
  <conditionalFormatting sqref="C57">
    <cfRule dxfId="728" operator="greaterThan" priority="962" type="cellIs">
      <formula>1</formula>
    </cfRule>
  </conditionalFormatting>
  <conditionalFormatting sqref="C59">
    <cfRule dxfId="727" operator="greaterThan" priority="961" type="cellIs">
      <formula>1</formula>
    </cfRule>
  </conditionalFormatting>
  <conditionalFormatting sqref="C65">
    <cfRule dxfId="726" operator="greaterThan" priority="960" type="cellIs">
      <formula>1</formula>
    </cfRule>
  </conditionalFormatting>
  <conditionalFormatting sqref="C75">
    <cfRule dxfId="725" operator="greaterThan" priority="959" type="cellIs">
      <formula>1</formula>
    </cfRule>
  </conditionalFormatting>
  <conditionalFormatting sqref="C78:C80">
    <cfRule dxfId="724" operator="greaterThan" priority="958" type="cellIs">
      <formula>1</formula>
    </cfRule>
  </conditionalFormatting>
  <conditionalFormatting sqref="C88:C89">
    <cfRule dxfId="723" operator="greaterThan" priority="957" type="cellIs">
      <formula>1</formula>
    </cfRule>
  </conditionalFormatting>
  <conditionalFormatting sqref="C90">
    <cfRule dxfId="722" operator="greaterThan" priority="956" type="cellIs">
      <formula>1</formula>
    </cfRule>
  </conditionalFormatting>
  <conditionalFormatting sqref="C87">
    <cfRule dxfId="721" operator="greaterThan" priority="955" type="cellIs">
      <formula>2</formula>
    </cfRule>
  </conditionalFormatting>
  <conditionalFormatting sqref="C96:C99">
    <cfRule dxfId="720" operator="greaterThan" priority="954" type="cellIs">
      <formula>1</formula>
    </cfRule>
  </conditionalFormatting>
  <conditionalFormatting sqref="C104:C105">
    <cfRule dxfId="719" operator="greaterThan" priority="953" type="cellIs">
      <formula>1</formula>
    </cfRule>
  </conditionalFormatting>
  <conditionalFormatting sqref="C109:C112">
    <cfRule dxfId="718" operator="greaterThan" priority="952" type="cellIs">
      <formula>1</formula>
    </cfRule>
  </conditionalFormatting>
  <conditionalFormatting sqref="C115:C116">
    <cfRule dxfId="717" operator="greaterThan" priority="951" type="cellIs">
      <formula>1</formula>
    </cfRule>
  </conditionalFormatting>
  <conditionalFormatting sqref="C123">
    <cfRule dxfId="716" operator="greaterThan" priority="950" type="cellIs">
      <formula>1</formula>
    </cfRule>
  </conditionalFormatting>
  <conditionalFormatting sqref="C127:C128">
    <cfRule dxfId="715" operator="greaterThan" priority="949" type="cellIs">
      <formula>1</formula>
    </cfRule>
  </conditionalFormatting>
  <conditionalFormatting sqref="C131:C132">
    <cfRule dxfId="714" operator="greaterThan" priority="948" type="cellIs">
      <formula>1</formula>
    </cfRule>
  </conditionalFormatting>
  <conditionalFormatting sqref="C134">
    <cfRule dxfId="713" operator="greaterThan" priority="947" type="cellIs">
      <formula>1</formula>
    </cfRule>
  </conditionalFormatting>
  <conditionalFormatting sqref="C136:C137">
    <cfRule dxfId="712" operator="greaterThan" priority="946" type="cellIs">
      <formula>1</formula>
    </cfRule>
  </conditionalFormatting>
  <conditionalFormatting sqref="C140:C142">
    <cfRule dxfId="711" operator="greaterThan" priority="945" type="cellIs">
      <formula>1</formula>
    </cfRule>
  </conditionalFormatting>
  <conditionalFormatting sqref="C143">
    <cfRule dxfId="710" operator="greaterThan" priority="944" type="cellIs">
      <formula>1</formula>
    </cfRule>
  </conditionalFormatting>
  <conditionalFormatting sqref="C145:C153">
    <cfRule dxfId="709" operator="greaterThan" priority="943" type="cellIs">
      <formula>1</formula>
    </cfRule>
  </conditionalFormatting>
  <conditionalFormatting sqref="C155">
    <cfRule dxfId="708" operator="greaterThan" priority="942" type="cellIs">
      <formula>1</formula>
    </cfRule>
  </conditionalFormatting>
  <conditionalFormatting sqref="C162:C168">
    <cfRule dxfId="707" operator="greaterThan" priority="941" type="cellIs">
      <formula>1</formula>
    </cfRule>
  </conditionalFormatting>
  <conditionalFormatting sqref="C171:C172">
    <cfRule dxfId="706" operator="greaterThan" priority="940" type="cellIs">
      <formula>1</formula>
    </cfRule>
  </conditionalFormatting>
  <conditionalFormatting sqref="C183">
    <cfRule dxfId="705" operator="greaterThan" priority="939" type="cellIs">
      <formula>1</formula>
    </cfRule>
  </conditionalFormatting>
  <conditionalFormatting sqref="C185">
    <cfRule dxfId="704" operator="greaterThan" priority="938" type="cellIs">
      <formula>1</formula>
    </cfRule>
  </conditionalFormatting>
  <conditionalFormatting sqref="C188">
    <cfRule dxfId="703" operator="greaterThan" priority="937" type="cellIs">
      <formula>1</formula>
    </cfRule>
  </conditionalFormatting>
  <conditionalFormatting sqref="C190:C192">
    <cfRule dxfId="702" operator="greaterThan" priority="936" type="cellIs">
      <formula>1</formula>
    </cfRule>
  </conditionalFormatting>
  <conditionalFormatting sqref="C196">
    <cfRule dxfId="701" operator="greaterThan" priority="935" type="cellIs">
      <formula>1</formula>
    </cfRule>
  </conditionalFormatting>
  <conditionalFormatting sqref="C201">
    <cfRule dxfId="700" operator="greaterThan" priority="934" type="cellIs">
      <formula>1</formula>
    </cfRule>
  </conditionalFormatting>
  <conditionalFormatting sqref="C203">
    <cfRule dxfId="699" operator="greaterThan" priority="933" type="cellIs">
      <formula>1</formula>
    </cfRule>
  </conditionalFormatting>
  <conditionalFormatting sqref="C206:C208">
    <cfRule dxfId="698" operator="greaterThan" priority="932" type="cellIs">
      <formula>1</formula>
    </cfRule>
  </conditionalFormatting>
  <conditionalFormatting sqref="C210">
    <cfRule dxfId="697" operator="greaterThan" priority="931" type="cellIs">
      <formula>1</formula>
    </cfRule>
  </conditionalFormatting>
  <conditionalFormatting sqref="C214">
    <cfRule dxfId="696" operator="greaterThan" priority="930" type="cellIs">
      <formula>1</formula>
    </cfRule>
  </conditionalFormatting>
  <conditionalFormatting sqref="C216:C218">
    <cfRule dxfId="695" operator="greaterThan" priority="929" type="cellIs">
      <formula>1</formula>
    </cfRule>
  </conditionalFormatting>
  <conditionalFormatting sqref="C223">
    <cfRule dxfId="694" operator="greaterThan" priority="928" type="cellIs">
      <formula>1</formula>
    </cfRule>
  </conditionalFormatting>
  <conditionalFormatting sqref="AG151">
    <cfRule dxfId="693" operator="greaterThan" priority="908" type="cellIs">
      <formula>1</formula>
    </cfRule>
  </conditionalFormatting>
  <conditionalFormatting sqref="AG213">
    <cfRule dxfId="692" operator="greaterThan" priority="906" type="cellIs">
      <formula>1</formula>
    </cfRule>
  </conditionalFormatting>
  <conditionalFormatting sqref="AG237:AH237">
    <cfRule dxfId="691" operator="greaterThan" priority="902" type="cellIs">
      <formula>2</formula>
    </cfRule>
  </conditionalFormatting>
  <conditionalFormatting sqref="AH239:AH246 AH27:AH38 AH41:AH50 AH54:AH94 AH96:AH109 AH111:AH113 AH115:AH120 AH122:AH184 AH186:AH214 AH219:AH220 AH222 AH224:AH227">
    <cfRule dxfId="690" operator="greaterThan" priority="927" type="cellIs">
      <formula>1</formula>
    </cfRule>
  </conditionalFormatting>
  <conditionalFormatting sqref="AH224:AH233 AH235:AH236 AH240:AH243 AH238">
    <cfRule dxfId="689" operator="greaterThan" priority="926" type="cellIs">
      <formula>1</formula>
    </cfRule>
  </conditionalFormatting>
  <conditionalFormatting sqref="AH80">
    <cfRule dxfId="688" operator="greaterThan" priority="925" type="cellIs">
      <formula>1</formula>
    </cfRule>
  </conditionalFormatting>
  <conditionalFormatting sqref="AH229">
    <cfRule dxfId="687" operator="greaterThan" priority="924" type="cellIs">
      <formula>1</formula>
    </cfRule>
  </conditionalFormatting>
  <conditionalFormatting sqref="AH234">
    <cfRule dxfId="686" operator="greaterThan" priority="923" type="cellIs">
      <formula>1</formula>
    </cfRule>
  </conditionalFormatting>
  <conditionalFormatting sqref="AH85">
    <cfRule dxfId="685" operator="greaterThan" priority="922" type="cellIs">
      <formula>1</formula>
    </cfRule>
  </conditionalFormatting>
  <conditionalFormatting sqref="AH234">
    <cfRule dxfId="684" operator="greaterThan" priority="921" type="cellIs">
      <formula>1</formula>
    </cfRule>
  </conditionalFormatting>
  <conditionalFormatting sqref="AH239">
    <cfRule dxfId="683" operator="greaterThan" priority="920" type="cellIs">
      <formula>1</formula>
    </cfRule>
  </conditionalFormatting>
  <conditionalFormatting sqref="AG39:AH40">
    <cfRule dxfId="682" operator="greaterThan" priority="919" type="cellIs">
      <formula>2</formula>
    </cfRule>
  </conditionalFormatting>
  <conditionalFormatting sqref="AH51 AH53">
    <cfRule dxfId="681" operator="greaterThan" priority="918" type="cellIs">
      <formula>2</formula>
    </cfRule>
  </conditionalFormatting>
  <conditionalFormatting sqref="AH52">
    <cfRule dxfId="680" operator="greaterThan" priority="917" type="cellIs">
      <formula>2</formula>
    </cfRule>
  </conditionalFormatting>
  <conditionalFormatting sqref="AG54:AG59">
    <cfRule dxfId="679" operator="greaterThan" priority="916" type="cellIs">
      <formula>1</formula>
    </cfRule>
  </conditionalFormatting>
  <conditionalFormatting sqref="AG51 AG53">
    <cfRule dxfId="678" operator="greaterThan" priority="915" type="cellIs">
      <formula>2</formula>
    </cfRule>
  </conditionalFormatting>
  <conditionalFormatting sqref="AG52">
    <cfRule dxfId="677" operator="greaterThan" priority="914" type="cellIs">
      <formula>2</formula>
    </cfRule>
  </conditionalFormatting>
  <conditionalFormatting sqref="AG46">
    <cfRule dxfId="676" operator="greaterThan" priority="913" type="cellIs">
      <formula>2</formula>
    </cfRule>
  </conditionalFormatting>
  <conditionalFormatting sqref="AG95:AH95">
    <cfRule dxfId="675" operator="greaterThan" priority="912" type="cellIs">
      <formula>2</formula>
    </cfRule>
  </conditionalFormatting>
  <conditionalFormatting sqref="AG110:AH110">
    <cfRule dxfId="674" operator="greaterThan" priority="911" type="cellIs">
      <formula>2</formula>
    </cfRule>
  </conditionalFormatting>
  <conditionalFormatting sqref="AG114:AH114">
    <cfRule dxfId="673" operator="greaterThan" priority="910" type="cellIs">
      <formula>2</formula>
    </cfRule>
  </conditionalFormatting>
  <conditionalFormatting sqref="AG121:AH121">
    <cfRule dxfId="672" operator="greaterThan" priority="909" type="cellIs">
      <formula>2</formula>
    </cfRule>
  </conditionalFormatting>
  <conditionalFormatting sqref="AG185:AH185">
    <cfRule dxfId="671" operator="greaterThan" priority="907" type="cellIs">
      <formula>2</formula>
    </cfRule>
  </conditionalFormatting>
  <conditionalFormatting sqref="AG215:AH218">
    <cfRule dxfId="670" operator="greaterThan" priority="905" type="cellIs">
      <formula>2</formula>
    </cfRule>
  </conditionalFormatting>
  <conditionalFormatting sqref="AG221:AH221">
    <cfRule dxfId="669" operator="greaterThan" priority="904" type="cellIs">
      <formula>2</formula>
    </cfRule>
  </conditionalFormatting>
  <conditionalFormatting sqref="P34">
    <cfRule dxfId="668" operator="greaterThan" priority="900" type="cellIs">
      <formula>2</formula>
    </cfRule>
  </conditionalFormatting>
  <conditionalFormatting sqref="N35:N37">
    <cfRule dxfId="667" operator="greaterThan" priority="899" type="cellIs">
      <formula>2</formula>
    </cfRule>
  </conditionalFormatting>
  <conditionalFormatting sqref="O38">
    <cfRule dxfId="666" operator="greaterThan" priority="898" type="cellIs">
      <formula>2</formula>
    </cfRule>
  </conditionalFormatting>
  <conditionalFormatting sqref="Q39">
    <cfRule dxfId="665" operator="greaterThan" priority="897" type="cellIs">
      <formula>2</formula>
    </cfRule>
  </conditionalFormatting>
  <conditionalFormatting sqref="S40">
    <cfRule dxfId="664" operator="greaterThan" priority="896" type="cellIs">
      <formula>2</formula>
    </cfRule>
  </conditionalFormatting>
  <conditionalFormatting sqref="N41:N42">
    <cfRule dxfId="663" operator="greaterThan" priority="895" type="cellIs">
      <formula>2</formula>
    </cfRule>
  </conditionalFormatting>
  <conditionalFormatting sqref="N46">
    <cfRule dxfId="662" operator="greaterThan" priority="894" type="cellIs">
      <formula>2</formula>
    </cfRule>
  </conditionalFormatting>
  <conditionalFormatting sqref="P50">
    <cfRule dxfId="661" operator="greaterThan" priority="893" type="cellIs">
      <formula>2</formula>
    </cfRule>
  </conditionalFormatting>
  <conditionalFormatting sqref="M53:S53">
    <cfRule dxfId="660" operator="greaterThan" priority="892" type="cellIs">
      <formula>2</formula>
    </cfRule>
  </conditionalFormatting>
  <conditionalFormatting sqref="N64">
    <cfRule dxfId="659" operator="greaterThan" priority="891" type="cellIs">
      <formula>2</formula>
    </cfRule>
  </conditionalFormatting>
  <conditionalFormatting sqref="S64">
    <cfRule dxfId="658" operator="greaterThan" priority="890" type="cellIs">
      <formula>2</formula>
    </cfRule>
  </conditionalFormatting>
  <conditionalFormatting sqref="N61:N62">
    <cfRule dxfId="657" operator="greaterThan" priority="889" type="cellIs">
      <formula>2</formula>
    </cfRule>
  </conditionalFormatting>
  <conditionalFormatting sqref="O68">
    <cfRule dxfId="656" operator="greaterThan" priority="888" type="cellIs">
      <formula>2</formula>
    </cfRule>
  </conditionalFormatting>
  <conditionalFormatting sqref="M70">
    <cfRule dxfId="655" operator="greaterThan" priority="887" type="cellIs">
      <formula>2</formula>
    </cfRule>
  </conditionalFormatting>
  <conditionalFormatting sqref="N78">
    <cfRule dxfId="654" operator="greaterThan" priority="886" type="cellIs">
      <formula>2</formula>
    </cfRule>
  </conditionalFormatting>
  <conditionalFormatting sqref="N85">
    <cfRule dxfId="653" operator="greaterThan" priority="885" type="cellIs">
      <formula>2</formula>
    </cfRule>
  </conditionalFormatting>
  <conditionalFormatting sqref="O89">
    <cfRule dxfId="652" operator="greaterThan" priority="884" type="cellIs">
      <formula>2</formula>
    </cfRule>
  </conditionalFormatting>
  <conditionalFormatting sqref="S78">
    <cfRule dxfId="651" operator="greaterThan" priority="883" type="cellIs">
      <formula>2</formula>
    </cfRule>
  </conditionalFormatting>
  <conditionalFormatting sqref="M84">
    <cfRule dxfId="650" operator="greaterThan" priority="882" type="cellIs">
      <formula>2</formula>
    </cfRule>
  </conditionalFormatting>
  <conditionalFormatting sqref="S84">
    <cfRule dxfId="649" operator="greaterThan" priority="881" type="cellIs">
      <formula>2</formula>
    </cfRule>
  </conditionalFormatting>
  <conditionalFormatting sqref="R92">
    <cfRule dxfId="648" operator="greaterThan" priority="880" type="cellIs">
      <formula>2</formula>
    </cfRule>
  </conditionalFormatting>
  <conditionalFormatting sqref="N93:N95">
    <cfRule dxfId="647" operator="greaterThan" priority="879" type="cellIs">
      <formula>2</formula>
    </cfRule>
  </conditionalFormatting>
  <conditionalFormatting sqref="S93:S94">
    <cfRule dxfId="646" operator="greaterThan" priority="878" type="cellIs">
      <formula>2</formula>
    </cfRule>
  </conditionalFormatting>
  <conditionalFormatting sqref="M98">
    <cfRule dxfId="645" operator="greaterThan" priority="877" type="cellIs">
      <formula>2</formula>
    </cfRule>
  </conditionalFormatting>
  <conditionalFormatting sqref="S98">
    <cfRule dxfId="644" operator="greaterThan" priority="876" type="cellIs">
      <formula>2</formula>
    </cfRule>
  </conditionalFormatting>
  <conditionalFormatting sqref="M96:M97">
    <cfRule dxfId="643" operator="greaterThan" priority="875" type="cellIs">
      <formula>2</formula>
    </cfRule>
  </conditionalFormatting>
  <conditionalFormatting sqref="N99:N100">
    <cfRule dxfId="642" operator="greaterThan" priority="874" type="cellIs">
      <formula>2</formula>
    </cfRule>
  </conditionalFormatting>
  <conditionalFormatting sqref="M99">
    <cfRule dxfId="641" operator="greaterThan" priority="873" type="cellIs">
      <formula>2</formula>
    </cfRule>
  </conditionalFormatting>
  <conditionalFormatting sqref="N102:O102">
    <cfRule dxfId="640" operator="greaterThan" priority="872" type="cellIs">
      <formula>2</formula>
    </cfRule>
  </conditionalFormatting>
  <conditionalFormatting sqref="S102">
    <cfRule dxfId="639" operator="greaterThan" priority="871" type="cellIs">
      <formula>2</formula>
    </cfRule>
  </conditionalFormatting>
  <conditionalFormatting sqref="N104">
    <cfRule dxfId="638" operator="greaterThan" priority="870" type="cellIs">
      <formula>2</formula>
    </cfRule>
  </conditionalFormatting>
  <conditionalFormatting sqref="S104">
    <cfRule dxfId="637" operator="greaterThan" priority="869" type="cellIs">
      <formula>2</formula>
    </cfRule>
  </conditionalFormatting>
  <conditionalFormatting sqref="N105:N106">
    <cfRule dxfId="636" operator="greaterThan" priority="868" type="cellIs">
      <formula>2</formula>
    </cfRule>
  </conditionalFormatting>
  <conditionalFormatting sqref="Q107">
    <cfRule dxfId="635" operator="greaterThan" priority="867" type="cellIs">
      <formula>2</formula>
    </cfRule>
  </conditionalFormatting>
  <conditionalFormatting sqref="N107:N108">
    <cfRule dxfId="634" operator="greaterThan" priority="866" type="cellIs">
      <formula>2</formula>
    </cfRule>
  </conditionalFormatting>
  <conditionalFormatting sqref="M109">
    <cfRule dxfId="633" operator="greaterThan" priority="865" type="cellIs">
      <formula>2</formula>
    </cfRule>
  </conditionalFormatting>
  <conditionalFormatting sqref="O109:O110">
    <cfRule dxfId="632" operator="greaterThan" priority="864" type="cellIs">
      <formula>2</formula>
    </cfRule>
  </conditionalFormatting>
  <conditionalFormatting sqref="S109:S111">
    <cfRule dxfId="631" operator="greaterThan" priority="863" type="cellIs">
      <formula>2</formula>
    </cfRule>
  </conditionalFormatting>
  <conditionalFormatting sqref="Q113">
    <cfRule dxfId="630" operator="greaterThan" priority="862" type="cellIs">
      <formula>2</formula>
    </cfRule>
  </conditionalFormatting>
  <conditionalFormatting sqref="P115">
    <cfRule dxfId="629" operator="greaterThan" priority="861" type="cellIs">
      <formula>2</formula>
    </cfRule>
  </conditionalFormatting>
  <conditionalFormatting sqref="Q117">
    <cfRule dxfId="628" operator="greaterThan" priority="860" type="cellIs">
      <formula>2</formula>
    </cfRule>
  </conditionalFormatting>
  <conditionalFormatting sqref="O126">
    <cfRule dxfId="627" operator="greaterThan" priority="859" type="cellIs">
      <formula>2</formula>
    </cfRule>
  </conditionalFormatting>
  <conditionalFormatting sqref="P123">
    <cfRule dxfId="626" operator="greaterThan" priority="858" type="cellIs">
      <formula>2</formula>
    </cfRule>
  </conditionalFormatting>
  <conditionalFormatting sqref="P127">
    <cfRule dxfId="625" operator="greaterThan" priority="857" type="cellIs">
      <formula>2</formula>
    </cfRule>
  </conditionalFormatting>
  <conditionalFormatting sqref="N137">
    <cfRule dxfId="624" operator="greaterThan" priority="856" type="cellIs">
      <formula>2</formula>
    </cfRule>
  </conditionalFormatting>
  <conditionalFormatting sqref="Q154">
    <cfRule dxfId="623" operator="greaterThan" priority="855" type="cellIs">
      <formula>2</formula>
    </cfRule>
  </conditionalFormatting>
  <conditionalFormatting sqref="N165:N168">
    <cfRule dxfId="622" operator="greaterThan" priority="854" type="cellIs">
      <formula>2</formula>
    </cfRule>
  </conditionalFormatting>
  <conditionalFormatting sqref="N171">
    <cfRule dxfId="621" operator="greaterThan" priority="853" type="cellIs">
      <formula>2</formula>
    </cfRule>
  </conditionalFormatting>
  <conditionalFormatting sqref="Q171">
    <cfRule dxfId="620" operator="greaterThan" priority="852" type="cellIs">
      <formula>2</formula>
    </cfRule>
  </conditionalFormatting>
  <conditionalFormatting sqref="N172">
    <cfRule dxfId="619" operator="greaterThan" priority="851" type="cellIs">
      <formula>2</formula>
    </cfRule>
  </conditionalFormatting>
  <conditionalFormatting sqref="O173:O174">
    <cfRule dxfId="618" operator="greaterThan" priority="850" type="cellIs">
      <formula>2</formula>
    </cfRule>
  </conditionalFormatting>
  <conditionalFormatting sqref="N184">
    <cfRule dxfId="617" operator="greaterThan" priority="849" type="cellIs">
      <formula>2</formula>
    </cfRule>
  </conditionalFormatting>
  <conditionalFormatting sqref="N186">
    <cfRule dxfId="616" operator="greaterThan" priority="848" type="cellIs">
      <formula>2</formula>
    </cfRule>
  </conditionalFormatting>
  <conditionalFormatting sqref="N189:O189">
    <cfRule dxfId="615" operator="greaterThan" priority="847" type="cellIs">
      <formula>2</formula>
    </cfRule>
  </conditionalFormatting>
  <conditionalFormatting sqref="O187">
    <cfRule dxfId="614" operator="greaterThan" priority="846" type="cellIs">
      <formula>2</formula>
    </cfRule>
  </conditionalFormatting>
  <conditionalFormatting sqref="S191:S192">
    <cfRule dxfId="613" operator="greaterThan" priority="845" type="cellIs">
      <formula>2</formula>
    </cfRule>
  </conditionalFormatting>
  <conditionalFormatting sqref="S198">
    <cfRule dxfId="612" operator="greaterThan" priority="844" type="cellIs">
      <formula>2</formula>
    </cfRule>
  </conditionalFormatting>
  <conditionalFormatting sqref="M199">
    <cfRule dxfId="611" operator="greaterThan" priority="843" type="cellIs">
      <formula>2</formula>
    </cfRule>
  </conditionalFormatting>
  <conditionalFormatting sqref="N200:O200">
    <cfRule dxfId="610" operator="greaterThan" priority="842" type="cellIs">
      <formula>2</formula>
    </cfRule>
  </conditionalFormatting>
  <conditionalFormatting sqref="N202:O202">
    <cfRule dxfId="609" operator="greaterThan" priority="841" type="cellIs">
      <formula>2</formula>
    </cfRule>
  </conditionalFormatting>
  <conditionalFormatting sqref="S203">
    <cfRule dxfId="608" operator="greaterThan" priority="840" type="cellIs">
      <formula>2</formula>
    </cfRule>
  </conditionalFormatting>
  <conditionalFormatting sqref="R205">
    <cfRule dxfId="607" operator="greaterThan" priority="839" type="cellIs">
      <formula>2</formula>
    </cfRule>
  </conditionalFormatting>
  <conditionalFormatting sqref="S208">
    <cfRule dxfId="606" operator="greaterThan" priority="838" type="cellIs">
      <formula>2</formula>
    </cfRule>
  </conditionalFormatting>
  <conditionalFormatting sqref="R211:R212">
    <cfRule dxfId="605" operator="greaterThan" priority="837" type="cellIs">
      <formula>2</formula>
    </cfRule>
  </conditionalFormatting>
  <conditionalFormatting sqref="M219">
    <cfRule dxfId="604" operator="greaterThan" priority="836" type="cellIs">
      <formula>2</formula>
    </cfRule>
  </conditionalFormatting>
  <conditionalFormatting sqref="S219">
    <cfRule dxfId="603" operator="greaterThan" priority="835" type="cellIs">
      <formula>2</formula>
    </cfRule>
  </conditionalFormatting>
  <conditionalFormatting sqref="N232">
    <cfRule dxfId="602" operator="greaterThan" priority="834" type="cellIs">
      <formula>2</formula>
    </cfRule>
  </conditionalFormatting>
  <conditionalFormatting sqref="M237">
    <cfRule dxfId="601" operator="greaterThan" priority="833" type="cellIs">
      <formula>2</formula>
    </cfRule>
  </conditionalFormatting>
  <conditionalFormatting sqref="Q233">
    <cfRule dxfId="600" operator="greaterThan" priority="832" type="cellIs">
      <formula>2</formula>
    </cfRule>
  </conditionalFormatting>
  <conditionalFormatting sqref="Q240:Q243">
    <cfRule dxfId="599" operator="greaterThan" priority="831" type="cellIs">
      <formula>2</formula>
    </cfRule>
  </conditionalFormatting>
  <conditionalFormatting sqref="N241">
    <cfRule dxfId="598" operator="greaterThan" priority="830" type="cellIs">
      <formula>2</formula>
    </cfRule>
  </conditionalFormatting>
  <conditionalFormatting sqref="Q246">
    <cfRule dxfId="597" operator="greaterThan" priority="829" type="cellIs">
      <formula>2</formula>
    </cfRule>
  </conditionalFormatting>
  <conditionalFormatting sqref="M191:M192">
    <cfRule dxfId="596" operator="greaterThan" priority="828" type="cellIs">
      <formula>2</formula>
    </cfRule>
  </conditionalFormatting>
  <conditionalFormatting sqref="O95:O97">
    <cfRule dxfId="595" operator="greaterThan" priority="827" type="cellIs">
      <formula>2</formula>
    </cfRule>
  </conditionalFormatting>
  <conditionalFormatting sqref="D27">
    <cfRule dxfId="594" operator="greaterThan" priority="823" type="cellIs">
      <formula>1</formula>
    </cfRule>
  </conditionalFormatting>
  <conditionalFormatting sqref="D28">
    <cfRule dxfId="593" operator="greaterThan" priority="822" type="cellIs">
      <formula>1</formula>
    </cfRule>
  </conditionalFormatting>
  <conditionalFormatting sqref="D30">
    <cfRule dxfId="592" operator="greaterThan" priority="821" type="cellIs">
      <formula>1</formula>
    </cfRule>
  </conditionalFormatting>
  <conditionalFormatting sqref="D31">
    <cfRule dxfId="591" operator="greaterThan" priority="820" type="cellIs">
      <formula>1</formula>
    </cfRule>
  </conditionalFormatting>
  <conditionalFormatting sqref="E27:E31">
    <cfRule dxfId="590" operator="greaterThan" priority="819" type="cellIs">
      <formula>1</formula>
    </cfRule>
  </conditionalFormatting>
  <conditionalFormatting sqref="F27:F29">
    <cfRule dxfId="589" operator="greaterThan" priority="817" type="cellIs">
      <formula>1</formula>
    </cfRule>
  </conditionalFormatting>
  <conditionalFormatting sqref="G28">
    <cfRule dxfId="588" operator="greaterThan" priority="816" type="cellIs">
      <formula>1</formula>
    </cfRule>
  </conditionalFormatting>
  <conditionalFormatting sqref="G30:G31">
    <cfRule dxfId="587" operator="greaterThan" priority="815" type="cellIs">
      <formula>1</formula>
    </cfRule>
  </conditionalFormatting>
  <conditionalFormatting sqref="K29:K31">
    <cfRule dxfId="586" operator="greaterThan" priority="814" type="cellIs">
      <formula>1</formula>
    </cfRule>
  </conditionalFormatting>
  <conditionalFormatting sqref="H27 H29:H31">
    <cfRule dxfId="585" operator="greaterThan" priority="813" type="cellIs">
      <formula>1</formula>
    </cfRule>
  </conditionalFormatting>
  <conditionalFormatting sqref="I27:I31">
    <cfRule dxfId="584" operator="greaterThan" priority="812" type="cellIs">
      <formula>1</formula>
    </cfRule>
  </conditionalFormatting>
  <conditionalFormatting sqref="J27:J31">
    <cfRule dxfId="583" operator="greaterThan" priority="811" type="cellIs">
      <formula>1</formula>
    </cfRule>
  </conditionalFormatting>
  <conditionalFormatting sqref="H28">
    <cfRule dxfId="582" operator="greaterThan" priority="806" type="cellIs">
      <formula>2</formula>
    </cfRule>
  </conditionalFormatting>
  <conditionalFormatting sqref="K28">
    <cfRule dxfId="581" operator="greaterThan" priority="805" type="cellIs">
      <formula>2</formula>
    </cfRule>
  </conditionalFormatting>
  <conditionalFormatting sqref="S169">
    <cfRule dxfId="580" operator="greaterThan" priority="804" type="cellIs">
      <formula>2</formula>
    </cfRule>
  </conditionalFormatting>
  <conditionalFormatting sqref="C169">
    <cfRule dxfId="579" operator="greaterThan" priority="803" type="cellIs">
      <formula>2</formula>
    </cfRule>
  </conditionalFormatting>
  <conditionalFormatting sqref="Y169">
    <cfRule dxfId="578" operator="greaterThan" priority="802" type="cellIs">
      <formula>2</formula>
    </cfRule>
  </conditionalFormatting>
  <conditionalFormatting sqref="AI255:AI257 L256:AF257 AL255:AL257 L255:AE255">
    <cfRule dxfId="577" operator="greaterThan" priority="579" type="cellIs">
      <formula>1</formula>
    </cfRule>
  </conditionalFormatting>
  <conditionalFormatting sqref="L250:S250 AL250 AI250">
    <cfRule dxfId="576" operator="greaterThan" priority="574" type="cellIs">
      <formula>1</formula>
    </cfRule>
  </conditionalFormatting>
  <conditionalFormatting sqref="AJ250 AJ252 AJ254 AJ256">
    <cfRule dxfId="575" operator="greaterThan" priority="577" type="cellIs">
      <formula>1</formula>
    </cfRule>
  </conditionalFormatting>
  <conditionalFormatting sqref="AJ251 AJ255 AJ257">
    <cfRule dxfId="574" operator="greaterThan" priority="576" type="cellIs">
      <formula>1</formula>
    </cfRule>
  </conditionalFormatting>
  <conditionalFormatting sqref="AE250">
    <cfRule dxfId="573" operator="greaterThan" priority="571" type="cellIs">
      <formula>1</formula>
    </cfRule>
  </conditionalFormatting>
  <conditionalFormatting sqref="U250">
    <cfRule dxfId="572" operator="greaterThan" priority="572" type="cellIs">
      <formula>1</formula>
    </cfRule>
  </conditionalFormatting>
  <conditionalFormatting sqref="T250">
    <cfRule dxfId="571" operator="greaterThan" priority="570" type="cellIs">
      <formula>1</formula>
    </cfRule>
  </conditionalFormatting>
  <conditionalFormatting sqref="Z250">
    <cfRule dxfId="570" operator="greaterThan" priority="567" type="cellIs">
      <formula>1</formula>
    </cfRule>
  </conditionalFormatting>
  <conditionalFormatting sqref="AB250">
    <cfRule dxfId="569" operator="greaterThan" priority="566" type="cellIs">
      <formula>1</formula>
    </cfRule>
  </conditionalFormatting>
  <conditionalFormatting sqref="L251:S251 AL251 AI251">
    <cfRule dxfId="568" operator="greaterThan" priority="563" type="cellIs">
      <formula>1</formula>
    </cfRule>
  </conditionalFormatting>
  <conditionalFormatting sqref="U251">
    <cfRule dxfId="567" operator="greaterThan" priority="561" type="cellIs">
      <formula>1</formula>
    </cfRule>
  </conditionalFormatting>
  <conditionalFormatting sqref="AE251">
    <cfRule dxfId="566" operator="greaterThan" priority="560" type="cellIs">
      <formula>1</formula>
    </cfRule>
  </conditionalFormatting>
  <conditionalFormatting sqref="T251">
    <cfRule dxfId="565" operator="greaterThan" priority="559" type="cellIs">
      <formula>1</formula>
    </cfRule>
  </conditionalFormatting>
  <conditionalFormatting sqref="Z251">
    <cfRule dxfId="564" operator="greaterThan" priority="555" type="cellIs">
      <formula>1</formula>
    </cfRule>
  </conditionalFormatting>
  <conditionalFormatting sqref="AB251">
    <cfRule dxfId="563" operator="greaterThan" priority="554" type="cellIs">
      <formula>1</formula>
    </cfRule>
  </conditionalFormatting>
  <conditionalFormatting sqref="L252:S252 AL252 AI252">
    <cfRule dxfId="562" operator="greaterThan" priority="551" type="cellIs">
      <formula>1</formula>
    </cfRule>
  </conditionalFormatting>
  <conditionalFormatting sqref="U252">
    <cfRule dxfId="561" operator="greaterThan" priority="549" type="cellIs">
      <formula>1</formula>
    </cfRule>
  </conditionalFormatting>
  <conditionalFormatting sqref="AE252">
    <cfRule dxfId="560" operator="greaterThan" priority="548" type="cellIs">
      <formula>1</formula>
    </cfRule>
  </conditionalFormatting>
  <conditionalFormatting sqref="T252">
    <cfRule dxfId="559" operator="greaterThan" priority="547" type="cellIs">
      <formula>1</formula>
    </cfRule>
  </conditionalFormatting>
  <conditionalFormatting sqref="Z252">
    <cfRule dxfId="558" operator="greaterThan" priority="543" type="cellIs">
      <formula>1</formula>
    </cfRule>
  </conditionalFormatting>
  <conditionalFormatting sqref="AB252">
    <cfRule dxfId="557" operator="greaterThan" priority="542" type="cellIs">
      <formula>1</formula>
    </cfRule>
  </conditionalFormatting>
  <conditionalFormatting sqref="AL253">
    <cfRule dxfId="556" operator="greaterThan" priority="539" type="cellIs">
      <formula>1</formula>
    </cfRule>
  </conditionalFormatting>
  <conditionalFormatting sqref="L254:S254 AL254 AI254">
    <cfRule dxfId="555" operator="greaterThan" priority="527" type="cellIs">
      <formula>1</formula>
    </cfRule>
  </conditionalFormatting>
  <conditionalFormatting sqref="U254">
    <cfRule dxfId="554" operator="greaterThan" priority="525" type="cellIs">
      <formula>1</formula>
    </cfRule>
  </conditionalFormatting>
  <conditionalFormatting sqref="AE254">
    <cfRule dxfId="553" operator="greaterThan" priority="524" type="cellIs">
      <formula>1</formula>
    </cfRule>
  </conditionalFormatting>
  <conditionalFormatting sqref="T254">
    <cfRule dxfId="552" operator="greaterThan" priority="523" type="cellIs">
      <formula>1</formula>
    </cfRule>
  </conditionalFormatting>
  <conditionalFormatting sqref="Z254">
    <cfRule dxfId="551" operator="greaterThan" priority="519" type="cellIs">
      <formula>1</formula>
    </cfRule>
  </conditionalFormatting>
  <conditionalFormatting sqref="AB254">
    <cfRule dxfId="550" operator="greaterThan" priority="518" type="cellIs">
      <formula>1</formula>
    </cfRule>
  </conditionalFormatting>
  <conditionalFormatting sqref="L250:S250 AJ252 AJ254 AJ256 AL250 AI250:AJ250">
    <cfRule dxfId="549" operator="greaterThan" priority="515" type="cellIs">
      <formula>1</formula>
    </cfRule>
  </conditionalFormatting>
  <conditionalFormatting sqref="U250">
    <cfRule dxfId="548" operator="greaterThan" priority="513" type="cellIs">
      <formula>1</formula>
    </cfRule>
  </conditionalFormatting>
  <conditionalFormatting sqref="AE250">
    <cfRule dxfId="547" operator="greaterThan" priority="512" type="cellIs">
      <formula>1</formula>
    </cfRule>
  </conditionalFormatting>
  <conditionalFormatting sqref="T250">
    <cfRule dxfId="546" operator="greaterThan" priority="511" type="cellIs">
      <formula>1</formula>
    </cfRule>
  </conditionalFormatting>
  <conditionalFormatting sqref="Z250">
    <cfRule dxfId="545" operator="greaterThan" priority="508" type="cellIs">
      <formula>1</formula>
    </cfRule>
  </conditionalFormatting>
  <conditionalFormatting sqref="AB250">
    <cfRule dxfId="544" operator="greaterThan" priority="507" type="cellIs">
      <formula>1</formula>
    </cfRule>
  </conditionalFormatting>
  <conditionalFormatting sqref="U251">
    <cfRule dxfId="543" operator="greaterThan" priority="502" type="cellIs">
      <formula>1</formula>
    </cfRule>
  </conditionalFormatting>
  <conditionalFormatting sqref="AE251">
    <cfRule dxfId="542" operator="greaterThan" priority="501" type="cellIs">
      <formula>1</formula>
    </cfRule>
  </conditionalFormatting>
  <conditionalFormatting sqref="Z251">
    <cfRule dxfId="541" operator="greaterThan" priority="496" type="cellIs">
      <formula>1</formula>
    </cfRule>
  </conditionalFormatting>
  <conditionalFormatting sqref="AB251">
    <cfRule dxfId="540" operator="greaterThan" priority="495" type="cellIs">
      <formula>1</formula>
    </cfRule>
  </conditionalFormatting>
  <conditionalFormatting sqref="U252">
    <cfRule dxfId="539" operator="greaterThan" priority="490" type="cellIs">
      <formula>1</formula>
    </cfRule>
  </conditionalFormatting>
  <conditionalFormatting sqref="AE252">
    <cfRule dxfId="538" operator="greaterThan" priority="489" type="cellIs">
      <formula>1</formula>
    </cfRule>
  </conditionalFormatting>
  <conditionalFormatting sqref="T252">
    <cfRule dxfId="537" operator="greaterThan" priority="488" type="cellIs">
      <formula>1</formula>
    </cfRule>
  </conditionalFormatting>
  <conditionalFormatting sqref="Z252">
    <cfRule dxfId="536" operator="greaterThan" priority="484" type="cellIs">
      <formula>1</formula>
    </cfRule>
  </conditionalFormatting>
  <conditionalFormatting sqref="AL253">
    <cfRule dxfId="535" operator="greaterThan" priority="480" type="cellIs">
      <formula>1</formula>
    </cfRule>
  </conditionalFormatting>
  <conditionalFormatting sqref="U254">
    <cfRule dxfId="534" operator="greaterThan" priority="466" type="cellIs">
      <formula>1</formula>
    </cfRule>
  </conditionalFormatting>
  <conditionalFormatting sqref="AE254">
    <cfRule dxfId="533" operator="greaterThan" priority="465" type="cellIs">
      <formula>1</formula>
    </cfRule>
  </conditionalFormatting>
  <conditionalFormatting sqref="T254">
    <cfRule dxfId="532" operator="greaterThan" priority="464" type="cellIs">
      <formula>1</formula>
    </cfRule>
  </conditionalFormatting>
  <conditionalFormatting sqref="Z254">
    <cfRule dxfId="531" operator="greaterThan" priority="460" type="cellIs">
      <formula>1</formula>
    </cfRule>
  </conditionalFormatting>
  <conditionalFormatting sqref="AB254">
    <cfRule dxfId="530" operator="greaterThan" priority="459" type="cellIs">
      <formula>1</formula>
    </cfRule>
  </conditionalFormatting>
  <conditionalFormatting sqref="L255:S255 AL255 AI255">
    <cfRule dxfId="529" operator="greaterThan" priority="456" type="cellIs">
      <formula>1</formula>
    </cfRule>
  </conditionalFormatting>
  <conditionalFormatting sqref="U255">
    <cfRule dxfId="528" operator="greaterThan" priority="454" type="cellIs">
      <formula>1</formula>
    </cfRule>
  </conditionalFormatting>
  <conditionalFormatting sqref="AE255">
    <cfRule dxfId="527" operator="greaterThan" priority="453" type="cellIs">
      <formula>1</formula>
    </cfRule>
  </conditionalFormatting>
  <conditionalFormatting sqref="T255">
    <cfRule dxfId="526" operator="greaterThan" priority="452" type="cellIs">
      <formula>1</formula>
    </cfRule>
  </conditionalFormatting>
  <conditionalFormatting sqref="Z255">
    <cfRule dxfId="525" operator="greaterThan" priority="448" type="cellIs">
      <formula>1</formula>
    </cfRule>
  </conditionalFormatting>
  <conditionalFormatting sqref="AB255">
    <cfRule dxfId="524" operator="greaterThan" priority="447" type="cellIs">
      <formula>1</formula>
    </cfRule>
  </conditionalFormatting>
  <conditionalFormatting sqref="L256:S256 AL256 AI256">
    <cfRule dxfId="523" operator="greaterThan" priority="444" type="cellIs">
      <formula>1</formula>
    </cfRule>
  </conditionalFormatting>
  <conditionalFormatting sqref="U256">
    <cfRule dxfId="522" operator="greaterThan" priority="442" type="cellIs">
      <formula>1</formula>
    </cfRule>
  </conditionalFormatting>
  <conditionalFormatting sqref="AE256">
    <cfRule dxfId="521" operator="greaterThan" priority="441" type="cellIs">
      <formula>1</formula>
    </cfRule>
  </conditionalFormatting>
  <conditionalFormatting sqref="T256">
    <cfRule dxfId="520" operator="greaterThan" priority="440" type="cellIs">
      <formula>1</formula>
    </cfRule>
  </conditionalFormatting>
  <conditionalFormatting sqref="Z256">
    <cfRule dxfId="519" operator="greaterThan" priority="436" type="cellIs">
      <formula>1</formula>
    </cfRule>
  </conditionalFormatting>
  <conditionalFormatting sqref="AB256">
    <cfRule dxfId="518" operator="greaterThan" priority="435" type="cellIs">
      <formula>1</formula>
    </cfRule>
  </conditionalFormatting>
  <conditionalFormatting sqref="U257">
    <cfRule dxfId="517" operator="greaterThan" priority="430" type="cellIs">
      <formula>1</formula>
    </cfRule>
  </conditionalFormatting>
  <conditionalFormatting sqref="AE257">
    <cfRule dxfId="516" operator="greaterThan" priority="429" type="cellIs">
      <formula>1</formula>
    </cfRule>
  </conditionalFormatting>
  <conditionalFormatting sqref="T257">
    <cfRule dxfId="515" operator="greaterThan" priority="428" type="cellIs">
      <formula>1</formula>
    </cfRule>
  </conditionalFormatting>
  <conditionalFormatting sqref="Z257">
    <cfRule dxfId="514" operator="greaterThan" priority="424" type="cellIs">
      <formula>1</formula>
    </cfRule>
  </conditionalFormatting>
  <conditionalFormatting sqref="AB257">
    <cfRule dxfId="513" operator="greaterThan" priority="423" type="cellIs">
      <formula>1</formula>
    </cfRule>
  </conditionalFormatting>
  <conditionalFormatting sqref="D247:K247">
    <cfRule dxfId="512" operator="greaterThan" priority="369" type="cellIs">
      <formula>1</formula>
    </cfRule>
  </conditionalFormatting>
  <conditionalFormatting sqref="U248">
    <cfRule dxfId="511" operator="greaterThan" priority="363" type="cellIs">
      <formula>1</formula>
    </cfRule>
  </conditionalFormatting>
  <conditionalFormatting sqref="T248">
    <cfRule dxfId="510" operator="greaterThan" priority="362" type="cellIs">
      <formula>1</formula>
    </cfRule>
  </conditionalFormatting>
  <conditionalFormatting sqref="Z248">
    <cfRule dxfId="509" operator="greaterThan" priority="359" type="cellIs">
      <formula>1</formula>
    </cfRule>
  </conditionalFormatting>
  <conditionalFormatting sqref="V248">
    <cfRule dxfId="508" operator="greaterThan" priority="356" type="cellIs">
      <formula>1</formula>
    </cfRule>
  </conditionalFormatting>
  <conditionalFormatting sqref="D248:K248">
    <cfRule dxfId="507" operator="greaterThan" priority="355" type="cellIs">
      <formula>1</formula>
    </cfRule>
  </conditionalFormatting>
  <conditionalFormatting sqref="L54:P54 R54:S54">
    <cfRule dxfId="506" operator="greaterThan" priority="351" type="cellIs">
      <formula>1</formula>
    </cfRule>
  </conditionalFormatting>
  <conditionalFormatting sqref="L257:S257 AL257 AI257">
    <cfRule dxfId="505" operator="greaterThan" priority="432" type="cellIs">
      <formula>1</formula>
    </cfRule>
  </conditionalFormatting>
  <conditionalFormatting sqref="L251:S251 AI251:AJ251 AJ255 AJ257 AL251">
    <cfRule dxfId="504" operator="greaterThan" priority="504" type="cellIs">
      <formula>1</formula>
    </cfRule>
  </conditionalFormatting>
  <conditionalFormatting sqref="T251">
    <cfRule dxfId="503" operator="greaterThan" priority="500" type="cellIs">
      <formula>1</formula>
    </cfRule>
  </conditionalFormatting>
  <conditionalFormatting sqref="L252:S252 AI252 AL252">
    <cfRule dxfId="502" operator="greaterThan" priority="492" type="cellIs">
      <formula>1</formula>
    </cfRule>
  </conditionalFormatting>
  <conditionalFormatting sqref="AB252">
    <cfRule dxfId="501" operator="greaterThan" priority="483" type="cellIs">
      <formula>1</formula>
    </cfRule>
  </conditionalFormatting>
  <conditionalFormatting sqref="L254:S254 AL254 AI254">
    <cfRule dxfId="500" operator="greaterThan" priority="468" type="cellIs">
      <formula>1</formula>
    </cfRule>
  </conditionalFormatting>
  <conditionalFormatting sqref="B250 B252 B254 B256">
    <cfRule dxfId="499" operator="greaterThan" priority="392" type="cellIs">
      <formula>2</formula>
    </cfRule>
  </conditionalFormatting>
  <conditionalFormatting sqref="B251 B253 B255 B257">
    <cfRule dxfId="498" operator="greaterThan" priority="391" type="cellIs">
      <formula>2</formula>
    </cfRule>
  </conditionalFormatting>
  <conditionalFormatting sqref="B250 B252 B254 B256">
    <cfRule dxfId="497" operator="greaterThan" priority="390" type="cellIs">
      <formula>2</formula>
    </cfRule>
  </conditionalFormatting>
  <conditionalFormatting sqref="B251 B253 B255 B257">
    <cfRule dxfId="496" operator="greaterThan" priority="389" type="cellIs">
      <formula>2</formula>
    </cfRule>
  </conditionalFormatting>
  <conditionalFormatting sqref="B247:B248">
    <cfRule dxfId="495" operator="greaterThan" priority="585" type="cellIs">
      <formula>2</formula>
    </cfRule>
  </conditionalFormatting>
  <conditionalFormatting sqref="C247:C248">
    <cfRule dxfId="494" operator="greaterThan" priority="584" type="cellIs">
      <formula>2</formula>
    </cfRule>
  </conditionalFormatting>
  <conditionalFormatting sqref="X248 AA248 AD248">
    <cfRule dxfId="493" operator="greaterThan" priority="364" type="cellIs">
      <formula>1</formula>
    </cfRule>
  </conditionalFormatting>
  <conditionalFormatting sqref="AC252">
    <cfRule dxfId="492" operator="greaterThan" priority="482" type="cellIs">
      <formula>2</formula>
    </cfRule>
  </conditionalFormatting>
  <conditionalFormatting sqref="X254 AA254 AD254">
    <cfRule dxfId="491" operator="greaterThan" priority="467" type="cellIs">
      <formula>1</formula>
    </cfRule>
  </conditionalFormatting>
  <conditionalFormatting sqref="W254">
    <cfRule dxfId="490" operator="greaterThan" priority="462" type="cellIs">
      <formula>1</formula>
    </cfRule>
  </conditionalFormatting>
  <conditionalFormatting sqref="X255 AA255 AD255">
    <cfRule dxfId="489" operator="greaterThan" priority="455" type="cellIs">
      <formula>1</formula>
    </cfRule>
  </conditionalFormatting>
  <conditionalFormatting sqref="W255">
    <cfRule dxfId="488" operator="greaterThan" priority="450" type="cellIs">
      <formula>1</formula>
    </cfRule>
  </conditionalFormatting>
  <conditionalFormatting sqref="Y255">
    <cfRule dxfId="487" operator="greaterThan" priority="449" type="cellIs">
      <formula>1</formula>
    </cfRule>
  </conditionalFormatting>
  <conditionalFormatting sqref="X256 AA256 AD256">
    <cfRule dxfId="486" operator="greaterThan" priority="443" type="cellIs">
      <formula>1</formula>
    </cfRule>
  </conditionalFormatting>
  <conditionalFormatting sqref="Y256">
    <cfRule dxfId="485" operator="greaterThan" priority="437" type="cellIs">
      <formula>1</formula>
    </cfRule>
  </conditionalFormatting>
  <conditionalFormatting sqref="W257">
    <cfRule dxfId="484" operator="greaterThan" priority="426" type="cellIs">
      <formula>1</formula>
    </cfRule>
  </conditionalFormatting>
  <conditionalFormatting sqref="Y257">
    <cfRule dxfId="483" operator="greaterThan" priority="425" type="cellIs">
      <formula>1</formula>
    </cfRule>
  </conditionalFormatting>
  <conditionalFormatting sqref="L248:R248 AD248 T248:AB248">
    <cfRule dxfId="482" operator="greaterThan" priority="365" type="cellIs">
      <formula>1</formula>
    </cfRule>
  </conditionalFormatting>
  <conditionalFormatting sqref="AB248">
    <cfRule dxfId="481" operator="greaterThan" priority="358" type="cellIs">
      <formula>1</formula>
    </cfRule>
  </conditionalFormatting>
  <conditionalFormatting sqref="AG250:AG252 AG254 AG256:AG257">
    <cfRule dxfId="480" operator="greaterThan" priority="396" type="cellIs">
      <formula>1</formula>
    </cfRule>
  </conditionalFormatting>
  <conditionalFormatting sqref="AG250 AG252 AG254 AG256">
    <cfRule dxfId="479" operator="greaterThan" priority="395" type="cellIs">
      <formula>1</formula>
    </cfRule>
  </conditionalFormatting>
  <conditionalFormatting sqref="AG251 AG257">
    <cfRule dxfId="478" operator="greaterThan" priority="394" type="cellIs">
      <formula>1</formula>
    </cfRule>
  </conditionalFormatting>
  <conditionalFormatting sqref="AH250:AH252 AH254:AH257">
    <cfRule dxfId="477" operator="greaterThan" priority="393" type="cellIs">
      <formula>1</formula>
    </cfRule>
  </conditionalFormatting>
  <conditionalFormatting sqref="X250 AA250">
    <cfRule dxfId="476" operator="greaterThan" priority="573" type="cellIs">
      <formula>1</formula>
    </cfRule>
  </conditionalFormatting>
  <conditionalFormatting sqref="W250">
    <cfRule dxfId="475" operator="greaterThan" priority="569" type="cellIs">
      <formula>1</formula>
    </cfRule>
  </conditionalFormatting>
  <conditionalFormatting sqref="Y250">
    <cfRule dxfId="474" operator="greaterThan" priority="568" type="cellIs">
      <formula>1</formula>
    </cfRule>
  </conditionalFormatting>
  <conditionalFormatting sqref="AC250">
    <cfRule dxfId="473" operator="greaterThan" priority="565" type="cellIs">
      <formula>2</formula>
    </cfRule>
  </conditionalFormatting>
  <conditionalFormatting sqref="X251 AA251">
    <cfRule dxfId="472" operator="greaterThan" priority="562" type="cellIs">
      <formula>1</formula>
    </cfRule>
  </conditionalFormatting>
  <conditionalFormatting sqref="V251">
    <cfRule dxfId="471" operator="greaterThan" priority="558" type="cellIs">
      <formula>2</formula>
    </cfRule>
  </conditionalFormatting>
  <conditionalFormatting sqref="W251">
    <cfRule dxfId="470" operator="greaterThan" priority="557" type="cellIs">
      <formula>1</formula>
    </cfRule>
  </conditionalFormatting>
  <conditionalFormatting sqref="Y251">
    <cfRule dxfId="469" operator="greaterThan" priority="556" type="cellIs">
      <formula>1</formula>
    </cfRule>
  </conditionalFormatting>
  <conditionalFormatting sqref="X252 AA252 AD252">
    <cfRule dxfId="468" operator="greaterThan" priority="550" type="cellIs">
      <formula>1</formula>
    </cfRule>
  </conditionalFormatting>
  <conditionalFormatting sqref="V252">
    <cfRule dxfId="467" operator="greaterThan" priority="546" type="cellIs">
      <formula>2</formula>
    </cfRule>
  </conditionalFormatting>
  <conditionalFormatting sqref="W252">
    <cfRule dxfId="466" operator="greaterThan" priority="545" type="cellIs">
      <formula>1</formula>
    </cfRule>
  </conditionalFormatting>
  <conditionalFormatting sqref="Y252">
    <cfRule dxfId="465" operator="greaterThan" priority="544" type="cellIs">
      <formula>1</formula>
    </cfRule>
  </conditionalFormatting>
  <conditionalFormatting sqref="AC252">
    <cfRule dxfId="464" operator="greaterThan" priority="541" type="cellIs">
      <formula>2</formula>
    </cfRule>
  </conditionalFormatting>
  <conditionalFormatting sqref="X254 AA254 AD254">
    <cfRule dxfId="463" operator="greaterThan" priority="526" type="cellIs">
      <formula>1</formula>
    </cfRule>
  </conditionalFormatting>
  <conditionalFormatting sqref="V254">
    <cfRule dxfId="462" operator="greaterThan" priority="522" type="cellIs">
      <formula>2</formula>
    </cfRule>
  </conditionalFormatting>
  <conditionalFormatting sqref="W254">
    <cfRule dxfId="461" operator="greaterThan" priority="521" type="cellIs">
      <formula>1</formula>
    </cfRule>
  </conditionalFormatting>
  <conditionalFormatting sqref="Y254">
    <cfRule dxfId="460" operator="greaterThan" priority="520" type="cellIs">
      <formula>1</formula>
    </cfRule>
  </conditionalFormatting>
  <conditionalFormatting sqref="AC254">
    <cfRule dxfId="459" operator="greaterThan" priority="517" type="cellIs">
      <formula>2</formula>
    </cfRule>
  </conditionalFormatting>
  <conditionalFormatting sqref="V251">
    <cfRule dxfId="458" operator="greaterThan" priority="499" type="cellIs">
      <formula>2</formula>
    </cfRule>
  </conditionalFormatting>
  <conditionalFormatting sqref="W251">
    <cfRule dxfId="457" operator="greaterThan" priority="498" type="cellIs">
      <formula>1</formula>
    </cfRule>
  </conditionalFormatting>
  <conditionalFormatting sqref="Y251">
    <cfRule dxfId="456" operator="greaterThan" priority="497" type="cellIs">
      <formula>1</formula>
    </cfRule>
  </conditionalFormatting>
  <conditionalFormatting sqref="X250 AA250">
    <cfRule dxfId="455" operator="greaterThan" priority="514" type="cellIs">
      <formula>1</formula>
    </cfRule>
  </conditionalFormatting>
  <conditionalFormatting sqref="W250">
    <cfRule dxfId="454" operator="greaterThan" priority="510" type="cellIs">
      <formula>1</formula>
    </cfRule>
  </conditionalFormatting>
  <conditionalFormatting sqref="Y250">
    <cfRule dxfId="453" operator="greaterThan" priority="509" type="cellIs">
      <formula>1</formula>
    </cfRule>
  </conditionalFormatting>
  <conditionalFormatting sqref="AC250">
    <cfRule dxfId="452" operator="greaterThan" priority="506" type="cellIs">
      <formula>2</formula>
    </cfRule>
  </conditionalFormatting>
  <conditionalFormatting sqref="X251 AA251">
    <cfRule dxfId="451" operator="greaterThan" priority="503" type="cellIs">
      <formula>1</formula>
    </cfRule>
  </conditionalFormatting>
  <conditionalFormatting sqref="V252">
    <cfRule dxfId="450" operator="greaterThan" priority="487" type="cellIs">
      <formula>2</formula>
    </cfRule>
  </conditionalFormatting>
  <conditionalFormatting sqref="W252">
    <cfRule dxfId="449" operator="greaterThan" priority="486" type="cellIs">
      <formula>1</formula>
    </cfRule>
  </conditionalFormatting>
  <conditionalFormatting sqref="Y252">
    <cfRule dxfId="448" operator="greaterThan" priority="485" type="cellIs">
      <formula>1</formula>
    </cfRule>
  </conditionalFormatting>
  <conditionalFormatting sqref="X252 AA252 AD252">
    <cfRule dxfId="447" operator="greaterThan" priority="491" type="cellIs">
      <formula>1</formula>
    </cfRule>
  </conditionalFormatting>
  <conditionalFormatting sqref="V254">
    <cfRule dxfId="446" operator="greaterThan" priority="463" type="cellIs">
      <formula>2</formula>
    </cfRule>
  </conditionalFormatting>
  <conditionalFormatting sqref="Y254">
    <cfRule dxfId="445" operator="greaterThan" priority="461" type="cellIs">
      <formula>1</formula>
    </cfRule>
  </conditionalFormatting>
  <conditionalFormatting sqref="AC254">
    <cfRule dxfId="444" operator="greaterThan" priority="458" type="cellIs">
      <formula>2</formula>
    </cfRule>
  </conditionalFormatting>
  <conditionalFormatting sqref="V255">
    <cfRule dxfId="443" operator="greaterThan" priority="451" type="cellIs">
      <formula>2</formula>
    </cfRule>
  </conditionalFormatting>
  <conditionalFormatting sqref="AC255">
    <cfRule dxfId="442" operator="greaterThan" priority="446" type="cellIs">
      <formula>2</formula>
    </cfRule>
  </conditionalFormatting>
  <conditionalFormatting sqref="V256">
    <cfRule dxfId="441" operator="greaterThan" priority="439" type="cellIs">
      <formula>2</formula>
    </cfRule>
  </conditionalFormatting>
  <conditionalFormatting sqref="W256">
    <cfRule dxfId="440" operator="greaterThan" priority="438" type="cellIs">
      <formula>1</formula>
    </cfRule>
  </conditionalFormatting>
  <conditionalFormatting sqref="AC256">
    <cfRule dxfId="439" operator="greaterThan" priority="434" type="cellIs">
      <formula>2</formula>
    </cfRule>
  </conditionalFormatting>
  <conditionalFormatting sqref="AF256">
    <cfRule dxfId="438" operator="greaterThan" priority="433" type="cellIs">
      <formula>2</formula>
    </cfRule>
  </conditionalFormatting>
  <conditionalFormatting sqref="X257 AA257 AD257">
    <cfRule dxfId="437" operator="greaterThan" priority="431" type="cellIs">
      <formula>1</formula>
    </cfRule>
  </conditionalFormatting>
  <conditionalFormatting sqref="V257">
    <cfRule dxfId="436" operator="greaterThan" priority="427" type="cellIs">
      <formula>2</formula>
    </cfRule>
  </conditionalFormatting>
  <conditionalFormatting sqref="AC257">
    <cfRule dxfId="435" operator="greaterThan" priority="422" type="cellIs">
      <formula>2</formula>
    </cfRule>
  </conditionalFormatting>
  <conditionalFormatting sqref="AF257">
    <cfRule dxfId="434" operator="greaterThan" priority="421" type="cellIs">
      <formula>2</formula>
    </cfRule>
  </conditionalFormatting>
  <conditionalFormatting sqref="AK247">
    <cfRule dxfId="433" operator="greaterThan" priority="366" type="cellIs">
      <formula>2</formula>
    </cfRule>
  </conditionalFormatting>
  <conditionalFormatting sqref="AC248">
    <cfRule dxfId="432" operator="greaterThan" priority="354" type="cellIs">
      <formula>2</formula>
    </cfRule>
  </conditionalFormatting>
  <conditionalFormatting sqref="AE248:AG248 AI248:AJ248 L247:AE247 AG247 AJ247 AL247:AL248">
    <cfRule dxfId="431" operator="greaterThan" priority="384" type="cellIs">
      <formula>1</formula>
    </cfRule>
  </conditionalFormatting>
  <conditionalFormatting sqref="X247 AA247 AD247">
    <cfRule dxfId="430" operator="greaterThan" priority="383" type="cellIs">
      <formula>1</formula>
    </cfRule>
  </conditionalFormatting>
  <conditionalFormatting sqref="U247">
    <cfRule dxfId="429" operator="greaterThan" priority="382" type="cellIs">
      <formula>1</formula>
    </cfRule>
  </conditionalFormatting>
  <conditionalFormatting sqref="T247">
    <cfRule dxfId="428" operator="greaterThan" priority="381" type="cellIs">
      <formula>1</formula>
    </cfRule>
  </conditionalFormatting>
  <conditionalFormatting sqref="W247">
    <cfRule dxfId="427" operator="greaterThan" priority="380" type="cellIs">
      <formula>1</formula>
    </cfRule>
  </conditionalFormatting>
  <conditionalFormatting sqref="Y247">
    <cfRule dxfId="426" operator="greaterThan" priority="379" type="cellIs">
      <formula>1</formula>
    </cfRule>
  </conditionalFormatting>
  <conditionalFormatting sqref="Z247">
    <cfRule dxfId="425" operator="greaterThan" priority="378" type="cellIs">
      <formula>1</formula>
    </cfRule>
  </conditionalFormatting>
  <conditionalFormatting sqref="AB247">
    <cfRule dxfId="424" operator="greaterThan" priority="377" type="cellIs">
      <formula>1</formula>
    </cfRule>
  </conditionalFormatting>
  <conditionalFormatting sqref="AC247">
    <cfRule dxfId="423" operator="greaterThan" priority="376" type="cellIs">
      <formula>1</formula>
    </cfRule>
  </conditionalFormatting>
  <conditionalFormatting sqref="AF248">
    <cfRule dxfId="422" operator="greaterThan" priority="375" type="cellIs">
      <formula>1</formula>
    </cfRule>
  </conditionalFormatting>
  <conditionalFormatting sqref="AE247:AE248">
    <cfRule dxfId="421" operator="greaterThan" priority="374" type="cellIs">
      <formula>1</formula>
    </cfRule>
  </conditionalFormatting>
  <conditionalFormatting sqref="V247">
    <cfRule dxfId="420" operator="greaterThan" priority="373" type="cellIs">
      <formula>1</formula>
    </cfRule>
  </conditionalFormatting>
  <conditionalFormatting sqref="AH247:AH248">
    <cfRule dxfId="419" operator="greaterThan" priority="372" type="cellIs">
      <formula>1</formula>
    </cfRule>
  </conditionalFormatting>
  <conditionalFormatting sqref="AF247">
    <cfRule dxfId="418" operator="greaterThan" priority="368" type="cellIs">
      <formula>2</formula>
    </cfRule>
  </conditionalFormatting>
  <conditionalFormatting sqref="AI247">
    <cfRule dxfId="417" operator="greaterThan" priority="367" type="cellIs">
      <formula>2</formula>
    </cfRule>
  </conditionalFormatting>
  <conditionalFormatting sqref="W248">
    <cfRule dxfId="416" operator="greaterThan" priority="361" type="cellIs">
      <formula>1</formula>
    </cfRule>
  </conditionalFormatting>
  <conditionalFormatting sqref="Y248">
    <cfRule dxfId="415" operator="greaterThan" priority="360" type="cellIs">
      <formula>1</formula>
    </cfRule>
  </conditionalFormatting>
  <conditionalFormatting sqref="AK248">
    <cfRule dxfId="414" operator="greaterThan" priority="353" type="cellIs">
      <formula>2</formula>
    </cfRule>
  </conditionalFormatting>
  <conditionalFormatting sqref="S248">
    <cfRule dxfId="413" operator="greaterThan" priority="352" type="cellIs">
      <formula>2</formula>
    </cfRule>
  </conditionalFormatting>
  <conditionalFormatting sqref="B54">
    <cfRule dxfId="412" operator="greaterThan" priority="350" type="cellIs">
      <formula>2</formula>
    </cfRule>
  </conditionalFormatting>
  <conditionalFormatting sqref="X54">
    <cfRule dxfId="411" operator="greaterThan" priority="349" type="cellIs">
      <formula>1</formula>
    </cfRule>
  </conditionalFormatting>
  <conditionalFormatting sqref="U54">
    <cfRule dxfId="410" operator="greaterThan" priority="348" type="cellIs">
      <formula>1</formula>
    </cfRule>
  </conditionalFormatting>
  <conditionalFormatting sqref="T54">
    <cfRule dxfId="409" operator="greaterThan" priority="347" type="cellIs">
      <formula>1</formula>
    </cfRule>
  </conditionalFormatting>
  <conditionalFormatting sqref="W54">
    <cfRule dxfId="408" operator="greaterThan" priority="346" type="cellIs">
      <formula>1</formula>
    </cfRule>
  </conditionalFormatting>
  <conditionalFormatting sqref="T54">
    <cfRule dxfId="407" operator="greaterThan" priority="345" type="cellIs">
      <formula>1</formula>
    </cfRule>
  </conditionalFormatting>
  <conditionalFormatting sqref="W54">
    <cfRule dxfId="406" operator="greaterThan" priority="344" type="cellIs">
      <formula>1</formula>
    </cfRule>
  </conditionalFormatting>
  <conditionalFormatting sqref="Y54">
    <cfRule dxfId="405" operator="greaterThan" priority="343" type="cellIs">
      <formula>2</formula>
    </cfRule>
  </conditionalFormatting>
  <conditionalFormatting sqref="D54:H54 J54:K54">
    <cfRule dxfId="404" operator="greaterThan" priority="342" type="cellIs">
      <formula>1</formula>
    </cfRule>
  </conditionalFormatting>
  <conditionalFormatting sqref="C54">
    <cfRule dxfId="403" operator="greaterThan" priority="341" type="cellIs">
      <formula>2</formula>
    </cfRule>
  </conditionalFormatting>
  <conditionalFormatting sqref="Q54">
    <cfRule dxfId="402" operator="greaterThan" priority="340" type="cellIs">
      <formula>2</formula>
    </cfRule>
  </conditionalFormatting>
  <conditionalFormatting sqref="I54">
    <cfRule dxfId="401" operator="greaterThan" priority="339" type="cellIs">
      <formula>2</formula>
    </cfRule>
  </conditionalFormatting>
  <conditionalFormatting sqref="V54">
    <cfRule dxfId="400" operator="greaterThan" priority="338" type="cellIs">
      <formula>2</formula>
    </cfRule>
  </conditionalFormatting>
  <conditionalFormatting sqref="L55:S55">
    <cfRule dxfId="399" operator="greaterThan" priority="337" type="cellIs">
      <formula>1</formula>
    </cfRule>
  </conditionalFormatting>
  <conditionalFormatting sqref="B55">
    <cfRule dxfId="398" operator="greaterThan" priority="336" type="cellIs">
      <formula>2</formula>
    </cfRule>
  </conditionalFormatting>
  <conditionalFormatting sqref="AA55 X55">
    <cfRule dxfId="397" operator="greaterThan" priority="335" type="cellIs">
      <formula>1</formula>
    </cfRule>
  </conditionalFormatting>
  <conditionalFormatting sqref="I55">
    <cfRule dxfId="396" operator="greaterThan" priority="334" type="cellIs">
      <formula>2</formula>
    </cfRule>
  </conditionalFormatting>
  <conditionalFormatting sqref="U55">
    <cfRule dxfId="395" operator="greaterThan" priority="333" type="cellIs">
      <formula>1</formula>
    </cfRule>
  </conditionalFormatting>
  <conditionalFormatting sqref="T55">
    <cfRule dxfId="394" operator="greaterThan" priority="332" type="cellIs">
      <formula>1</formula>
    </cfRule>
  </conditionalFormatting>
  <conditionalFormatting sqref="AC55">
    <cfRule dxfId="393" operator="greaterThan" priority="329" type="cellIs">
      <formula>1</formula>
    </cfRule>
  </conditionalFormatting>
  <conditionalFormatting sqref="Y55">
    <cfRule dxfId="392" operator="greaterThan" priority="331" type="cellIs">
      <formula>1</formula>
    </cfRule>
  </conditionalFormatting>
  <conditionalFormatting sqref="T55">
    <cfRule dxfId="391" operator="greaterThan" priority="328" type="cellIs">
      <formula>1</formula>
    </cfRule>
  </conditionalFormatting>
  <conditionalFormatting sqref="AB55">
    <cfRule dxfId="390" operator="greaterThan" priority="330" type="cellIs">
      <formula>1</formula>
    </cfRule>
  </conditionalFormatting>
  <conditionalFormatting sqref="V55:W55">
    <cfRule dxfId="389" operator="greaterThan" priority="327" type="cellIs">
      <formula>2</formula>
    </cfRule>
  </conditionalFormatting>
  <conditionalFormatting sqref="D55:E55 G55:H55">
    <cfRule dxfId="388" operator="greaterThan" priority="326" type="cellIs">
      <formula>1</formula>
    </cfRule>
  </conditionalFormatting>
  <conditionalFormatting sqref="J55:K55">
    <cfRule dxfId="387" operator="greaterThan" priority="325" type="cellIs">
      <formula>1</formula>
    </cfRule>
  </conditionalFormatting>
  <conditionalFormatting sqref="C55">
    <cfRule dxfId="386" operator="greaterThan" priority="324" type="cellIs">
      <formula>2</formula>
    </cfRule>
  </conditionalFormatting>
  <conditionalFormatting sqref="F55">
    <cfRule dxfId="385" operator="greaterThan" priority="323" type="cellIs">
      <formula>2</formula>
    </cfRule>
  </conditionalFormatting>
  <conditionalFormatting sqref="Z55">
    <cfRule dxfId="384" operator="greaterThan" priority="322" type="cellIs">
      <formula>1</formula>
    </cfRule>
  </conditionalFormatting>
  <conditionalFormatting sqref="AE55:AF55">
    <cfRule dxfId="383" operator="greaterThan" priority="321" type="cellIs">
      <formula>1</formula>
    </cfRule>
  </conditionalFormatting>
  <conditionalFormatting sqref="AD55">
    <cfRule dxfId="382" operator="greaterThan" priority="320" type="cellIs">
      <formula>1</formula>
    </cfRule>
  </conditionalFormatting>
  <conditionalFormatting sqref="C250:D250 D252 C254 C256:K256 J250">
    <cfRule dxfId="381" operator="greaterThan" priority="319" type="cellIs">
      <formula>2</formula>
    </cfRule>
  </conditionalFormatting>
  <conditionalFormatting sqref="C251 C255:E255 C257:K257">
    <cfRule dxfId="380" operator="greaterThan" priority="318" type="cellIs">
      <formula>2</formula>
    </cfRule>
  </conditionalFormatting>
  <conditionalFormatting sqref="C250:D250 D252 C254 C256:K256 J250">
    <cfRule dxfId="379" operator="greaterThan" priority="317" type="cellIs">
      <formula>2</formula>
    </cfRule>
  </conditionalFormatting>
  <conditionalFormatting sqref="C251 C255:E255 C257:K257">
    <cfRule dxfId="378" operator="greaterThan" priority="316" type="cellIs">
      <formula>2</formula>
    </cfRule>
  </conditionalFormatting>
  <conditionalFormatting sqref="B249">
    <cfRule dxfId="377" operator="greaterThan" priority="315" type="cellIs">
      <formula>2</formula>
    </cfRule>
  </conditionalFormatting>
  <conditionalFormatting sqref="C249">
    <cfRule dxfId="376" operator="greaterThan" priority="314" type="cellIs">
      <formula>2</formula>
    </cfRule>
  </conditionalFormatting>
  <conditionalFormatting sqref="AE249:AG249 AI249:AJ249 AL249">
    <cfRule dxfId="375" operator="greaterThan" priority="313" type="cellIs">
      <formula>1</formula>
    </cfRule>
  </conditionalFormatting>
  <conditionalFormatting sqref="AF249">
    <cfRule dxfId="374" operator="greaterThan" priority="312" type="cellIs">
      <formula>1</formula>
    </cfRule>
  </conditionalFormatting>
  <conditionalFormatting sqref="AE249">
    <cfRule dxfId="373" operator="greaterThan" priority="311" type="cellIs">
      <formula>1</formula>
    </cfRule>
  </conditionalFormatting>
  <conditionalFormatting sqref="AH249">
    <cfRule dxfId="372" operator="greaterThan" priority="310" type="cellIs">
      <formula>1</formula>
    </cfRule>
  </conditionalFormatting>
  <conditionalFormatting sqref="L249:M249 AD249 T249:AB249 O249:R249">
    <cfRule dxfId="371" operator="greaterThan" priority="309" type="cellIs">
      <formula>1</formula>
    </cfRule>
  </conditionalFormatting>
  <conditionalFormatting sqref="X249 AA249 AD249">
    <cfRule dxfId="370" operator="greaterThan" priority="308" type="cellIs">
      <formula>1</formula>
    </cfRule>
  </conditionalFormatting>
  <conditionalFormatting sqref="U249">
    <cfRule dxfId="369" operator="greaterThan" priority="307" type="cellIs">
      <formula>1</formula>
    </cfRule>
  </conditionalFormatting>
  <conditionalFormatting sqref="T249">
    <cfRule dxfId="368" operator="greaterThan" priority="306" type="cellIs">
      <formula>1</formula>
    </cfRule>
  </conditionalFormatting>
  <conditionalFormatting sqref="W249">
    <cfRule dxfId="367" operator="greaterThan" priority="305" type="cellIs">
      <formula>1</formula>
    </cfRule>
  </conditionalFormatting>
  <conditionalFormatting sqref="Y249">
    <cfRule dxfId="366" operator="greaterThan" priority="304" type="cellIs">
      <formula>1</formula>
    </cfRule>
  </conditionalFormatting>
  <conditionalFormatting sqref="Z249">
    <cfRule dxfId="365" operator="greaterThan" priority="303" type="cellIs">
      <formula>1</formula>
    </cfRule>
  </conditionalFormatting>
  <conditionalFormatting sqref="AB249">
    <cfRule dxfId="364" operator="greaterThan" priority="302" type="cellIs">
      <formula>1</formula>
    </cfRule>
  </conditionalFormatting>
  <conditionalFormatting sqref="V249">
    <cfRule dxfId="363" operator="greaterThan" priority="301" type="cellIs">
      <formula>1</formula>
    </cfRule>
  </conditionalFormatting>
  <conditionalFormatting sqref="E249:K249">
    <cfRule dxfId="362" operator="greaterThan" priority="300" type="cellIs">
      <formula>1</formula>
    </cfRule>
  </conditionalFormatting>
  <conditionalFormatting sqref="S249">
    <cfRule dxfId="361" operator="greaterThan" priority="296" type="cellIs">
      <formula>1</formula>
    </cfRule>
  </conditionalFormatting>
  <conditionalFormatting sqref="AC249">
    <cfRule dxfId="360" operator="greaterThan" priority="295" type="cellIs">
      <formula>1</formula>
    </cfRule>
  </conditionalFormatting>
  <conditionalFormatting sqref="AK251 AK257">
    <cfRule dxfId="359" operator="greaterThan" priority="289" type="cellIs">
      <formula>1</formula>
    </cfRule>
  </conditionalFormatting>
  <conditionalFormatting sqref="AK249">
    <cfRule dxfId="358" operator="greaterThan" priority="293" type="cellIs">
      <formula>2</formula>
    </cfRule>
  </conditionalFormatting>
  <conditionalFormatting sqref="AK250 AK254 AK256 AK252">
    <cfRule dxfId="357" operator="greaterThan" priority="292" type="cellIs">
      <formula>1</formula>
    </cfRule>
  </conditionalFormatting>
  <conditionalFormatting sqref="AK251 AK257">
    <cfRule dxfId="356" operator="greaterThan" priority="291" type="cellIs">
      <formula>1</formula>
    </cfRule>
  </conditionalFormatting>
  <conditionalFormatting sqref="AK250 AK254 AK256 AK252">
    <cfRule dxfId="355" operator="greaterThan" priority="290" type="cellIs">
      <formula>1</formula>
    </cfRule>
  </conditionalFormatting>
  <conditionalFormatting sqref="D249">
    <cfRule dxfId="354" operator="greaterThan" priority="288" type="cellIs">
      <formula>2</formula>
    </cfRule>
  </conditionalFormatting>
  <conditionalFormatting sqref="N249">
    <cfRule dxfId="353" operator="greaterThan" priority="287" type="cellIs">
      <formula>2</formula>
    </cfRule>
  </conditionalFormatting>
  <conditionalFormatting sqref="C56">
    <cfRule dxfId="352" operator="greaterThan" priority="286" type="cellIs">
      <formula>2</formula>
    </cfRule>
  </conditionalFormatting>
  <conditionalFormatting sqref="D56">
    <cfRule dxfId="351" operator="greaterThan" priority="285" type="cellIs">
      <formula>2</formula>
    </cfRule>
  </conditionalFormatting>
  <conditionalFormatting sqref="E56">
    <cfRule dxfId="350" operator="greaterThan" priority="284" type="cellIs">
      <formula>1</formula>
    </cfRule>
  </conditionalFormatting>
  <conditionalFormatting sqref="F56">
    <cfRule dxfId="349" operator="greaterThan" priority="283" type="cellIs">
      <formula>1</formula>
    </cfRule>
  </conditionalFormatting>
  <conditionalFormatting sqref="G56">
    <cfRule dxfId="348" operator="greaterThan" priority="282" type="cellIs">
      <formula>1</formula>
    </cfRule>
  </conditionalFormatting>
  <conditionalFormatting sqref="H56">
    <cfRule dxfId="347" operator="greaterThan" priority="281" type="cellIs">
      <formula>1</formula>
    </cfRule>
  </conditionalFormatting>
  <conditionalFormatting sqref="I56">
    <cfRule dxfId="346" operator="greaterThan" priority="280" type="cellIs">
      <formula>1</formula>
    </cfRule>
  </conditionalFormatting>
  <conditionalFormatting sqref="J56">
    <cfRule dxfId="345" operator="greaterThan" priority="279" type="cellIs">
      <formula>1</formula>
    </cfRule>
  </conditionalFormatting>
  <conditionalFormatting sqref="K56">
    <cfRule dxfId="344" operator="greaterThan" priority="278" type="cellIs">
      <formula>1</formula>
    </cfRule>
  </conditionalFormatting>
  <conditionalFormatting sqref="V56">
    <cfRule dxfId="343" operator="greaterThan" priority="277" type="cellIs">
      <formula>1</formula>
    </cfRule>
  </conditionalFormatting>
  <conditionalFormatting sqref="AF56">
    <cfRule dxfId="342" operator="greaterThan" priority="276" type="cellIs">
      <formula>1</formula>
    </cfRule>
  </conditionalFormatting>
  <conditionalFormatting sqref="N56">
    <cfRule dxfId="341" operator="greaterThan" priority="275" type="cellIs">
      <formula>2</formula>
    </cfRule>
  </conditionalFormatting>
  <conditionalFormatting sqref="AJ56">
    <cfRule dxfId="340" operator="greaterThan" priority="272" type="cellIs">
      <formula>2</formula>
    </cfRule>
  </conditionalFormatting>
  <conditionalFormatting sqref="AJ200">
    <cfRule dxfId="339" operator="greaterThan" priority="271" type="cellIs">
      <formula>2</formula>
    </cfRule>
  </conditionalFormatting>
  <conditionalFormatting sqref="O56">
    <cfRule dxfId="338" operator="greaterThan" priority="270" type="cellIs">
      <formula>1</formula>
    </cfRule>
  </conditionalFormatting>
  <conditionalFormatting sqref="U56">
    <cfRule dxfId="337" operator="greaterThan" priority="269" type="cellIs">
      <formula>1</formula>
    </cfRule>
  </conditionalFormatting>
  <conditionalFormatting sqref="E57:K57">
    <cfRule dxfId="336" operator="greaterThan" priority="268" type="cellIs">
      <formula>1</formula>
    </cfRule>
  </conditionalFormatting>
  <conditionalFormatting sqref="Z57">
    <cfRule dxfId="335" operator="greaterThan" priority="267" type="cellIs">
      <formula>1</formula>
    </cfRule>
  </conditionalFormatting>
  <conditionalFormatting sqref="AD57">
    <cfRule dxfId="334" operator="greaterThan" priority="266" type="cellIs">
      <formula>1</formula>
    </cfRule>
  </conditionalFormatting>
  <conditionalFormatting sqref="AE57">
    <cfRule dxfId="333" operator="greaterThan" priority="265" type="cellIs">
      <formula>1</formula>
    </cfRule>
  </conditionalFormatting>
  <conditionalFormatting sqref="N57">
    <cfRule dxfId="332" operator="greaterThan" priority="264" type="cellIs">
      <formula>2</formula>
    </cfRule>
  </conditionalFormatting>
  <conditionalFormatting sqref="C57">
    <cfRule dxfId="331" operator="greaterThan" priority="263" type="cellIs">
      <formula>2</formula>
    </cfRule>
  </conditionalFormatting>
  <conditionalFormatting sqref="D57">
    <cfRule dxfId="330" operator="greaterThan" priority="262" type="cellIs">
      <formula>1</formula>
    </cfRule>
  </conditionalFormatting>
  <conditionalFormatting sqref="D58:K58">
    <cfRule dxfId="329" operator="greaterThan" priority="261" type="cellIs">
      <formula>2</formula>
    </cfRule>
  </conditionalFormatting>
  <conditionalFormatting sqref="D58:K58">
    <cfRule dxfId="328" operator="greaterThan" priority="260" type="cellIs">
      <formula>1</formula>
    </cfRule>
  </conditionalFormatting>
  <conditionalFormatting sqref="T58:U58 W58:Z58">
    <cfRule dxfId="327" operator="greaterThan" priority="259" type="cellIs">
      <formula>2</formula>
    </cfRule>
  </conditionalFormatting>
  <conditionalFormatting sqref="T58:U58 W58:Z58">
    <cfRule dxfId="326" operator="greaterThan" priority="258" type="cellIs">
      <formula>1</formula>
    </cfRule>
  </conditionalFormatting>
  <conditionalFormatting sqref="AF58">
    <cfRule dxfId="325" operator="greaterThan" priority="257" type="cellIs">
      <formula>2</formula>
    </cfRule>
  </conditionalFormatting>
  <conditionalFormatting sqref="AF58">
    <cfRule dxfId="324" operator="greaterThan" priority="256" type="cellIs">
      <formula>1</formula>
    </cfRule>
  </conditionalFormatting>
  <conditionalFormatting sqref="S58">
    <cfRule dxfId="323" operator="greaterThan" priority="255" type="cellIs">
      <formula>2</formula>
    </cfRule>
  </conditionalFormatting>
  <conditionalFormatting sqref="V58">
    <cfRule dxfId="322" operator="greaterThan" priority="254" type="cellIs">
      <formula>2</formula>
    </cfRule>
  </conditionalFormatting>
  <conditionalFormatting sqref="D60:K60">
    <cfRule dxfId="321" operator="greaterThan" priority="253" type="cellIs">
      <formula>1</formula>
    </cfRule>
  </conditionalFormatting>
  <conditionalFormatting sqref="C60">
    <cfRule dxfId="320" operator="greaterThan" priority="252" type="cellIs">
      <formula>2</formula>
    </cfRule>
  </conditionalFormatting>
  <conditionalFormatting sqref="S60">
    <cfRule dxfId="319" operator="greaterThan" priority="251" type="cellIs">
      <formula>2</formula>
    </cfRule>
  </conditionalFormatting>
  <conditionalFormatting sqref="AF60">
    <cfRule dxfId="318" operator="greaterThan" priority="250" type="cellIs">
      <formula>2</formula>
    </cfRule>
  </conditionalFormatting>
  <conditionalFormatting sqref="AK60">
    <cfRule dxfId="317" operator="greaterThan" priority="249" type="cellIs">
      <formula>2</formula>
    </cfRule>
  </conditionalFormatting>
  <conditionalFormatting sqref="E250:I250">
    <cfRule dxfId="316" operator="greaterThan" priority="248" type="cellIs">
      <formula>1</formula>
    </cfRule>
  </conditionalFormatting>
  <conditionalFormatting sqref="K250">
    <cfRule dxfId="315" operator="greaterThan" priority="247" type="cellIs">
      <formula>1</formula>
    </cfRule>
  </conditionalFormatting>
  <conditionalFormatting sqref="V250">
    <cfRule dxfId="314" operator="greaterThan" priority="246" type="cellIs">
      <formula>2</formula>
    </cfRule>
  </conditionalFormatting>
  <conditionalFormatting sqref="V250">
    <cfRule dxfId="313" operator="greaterThan" priority="245" type="cellIs">
      <formula>2</formula>
    </cfRule>
  </conditionalFormatting>
  <conditionalFormatting sqref="AJ250">
    <cfRule dxfId="312" operator="greaterThan" priority="244" type="cellIs">
      <formula>1</formula>
    </cfRule>
  </conditionalFormatting>
  <conditionalFormatting sqref="AF250">
    <cfRule dxfId="311" operator="greaterThan" priority="243" type="cellIs">
      <formula>2</formula>
    </cfRule>
  </conditionalFormatting>
  <conditionalFormatting sqref="AF250">
    <cfRule dxfId="310" operator="greaterThan" priority="242" type="cellIs">
      <formula>2</formula>
    </cfRule>
  </conditionalFormatting>
  <conditionalFormatting sqref="AK250">
    <cfRule dxfId="309" operator="greaterThan" priority="241" type="cellIs">
      <formula>1</formula>
    </cfRule>
  </conditionalFormatting>
  <conditionalFormatting sqref="AK250">
    <cfRule dxfId="308" operator="greaterThan" priority="240" type="cellIs">
      <formula>1</formula>
    </cfRule>
  </conditionalFormatting>
  <conditionalFormatting sqref="AJ250">
    <cfRule dxfId="307" operator="greaterThan" priority="239" type="cellIs">
      <formula>1</formula>
    </cfRule>
  </conditionalFormatting>
  <conditionalFormatting sqref="AJ250">
    <cfRule dxfId="306" operator="greaterThan" priority="238" type="cellIs">
      <formula>1</formula>
    </cfRule>
  </conditionalFormatting>
  <conditionalFormatting sqref="AD251">
    <cfRule dxfId="305" operator="greaterThan" priority="235" type="cellIs">
      <formula>1</formula>
    </cfRule>
  </conditionalFormatting>
  <conditionalFormatting sqref="AD251">
    <cfRule dxfId="304" operator="greaterThan" priority="234" type="cellIs">
      <formula>1</formula>
    </cfRule>
  </conditionalFormatting>
  <conditionalFormatting sqref="AD250">
    <cfRule dxfId="303" operator="greaterThan" priority="233" type="cellIs">
      <formula>2</formula>
    </cfRule>
  </conditionalFormatting>
  <conditionalFormatting sqref="AD250">
    <cfRule dxfId="302" operator="greaterThan" priority="232" type="cellIs">
      <formula>2</formula>
    </cfRule>
  </conditionalFormatting>
  <conditionalFormatting sqref="K251">
    <cfRule dxfId="301" operator="greaterThan" priority="231" type="cellIs">
      <formula>1</formula>
    </cfRule>
  </conditionalFormatting>
  <conditionalFormatting sqref="E251:J251">
    <cfRule dxfId="300" operator="greaterThan" priority="230" type="cellIs">
      <formula>1</formula>
    </cfRule>
  </conditionalFormatting>
  <conditionalFormatting sqref="D251">
    <cfRule dxfId="299" operator="greaterThan" priority="229" type="cellIs">
      <formula>1</formula>
    </cfRule>
  </conditionalFormatting>
  <conditionalFormatting sqref="AC251">
    <cfRule dxfId="298" operator="greaterThan" priority="228" type="cellIs">
      <formula>2</formula>
    </cfRule>
  </conditionalFormatting>
  <conditionalFormatting sqref="AC251">
    <cfRule dxfId="297" operator="greaterThan" priority="227" type="cellIs">
      <formula>2</formula>
    </cfRule>
  </conditionalFormatting>
  <conditionalFormatting sqref="AF251">
    <cfRule dxfId="296" operator="greaterThan" priority="226" type="cellIs">
      <formula>2</formula>
    </cfRule>
  </conditionalFormatting>
  <conditionalFormatting sqref="AF251">
    <cfRule dxfId="295" operator="greaterThan" priority="225" type="cellIs">
      <formula>2</formula>
    </cfRule>
  </conditionalFormatting>
  <conditionalFormatting sqref="C252">
    <cfRule dxfId="294" operator="greaterThan" priority="224" type="cellIs">
      <formula>1</formula>
    </cfRule>
  </conditionalFormatting>
  <conditionalFormatting sqref="E252:K252">
    <cfRule dxfId="293" operator="greaterThan" priority="223" type="cellIs">
      <formula>1</formula>
    </cfRule>
  </conditionalFormatting>
  <conditionalFormatting sqref="AF252">
    <cfRule dxfId="292" operator="greaterThan" priority="222" type="cellIs">
      <formula>2</formula>
    </cfRule>
  </conditionalFormatting>
  <conditionalFormatting sqref="AF252">
    <cfRule dxfId="291" operator="greaterThan" priority="221" type="cellIs">
      <formula>2</formula>
    </cfRule>
  </conditionalFormatting>
  <conditionalFormatting sqref="AK252">
    <cfRule dxfId="290" operator="greaterThan" priority="220" type="cellIs">
      <formula>1</formula>
    </cfRule>
  </conditionalFormatting>
  <conditionalFormatting sqref="AK252">
    <cfRule dxfId="289" operator="greaterThan" priority="219" type="cellIs">
      <formula>1</formula>
    </cfRule>
  </conditionalFormatting>
  <conditionalFormatting sqref="AJ253">
    <cfRule dxfId="288" operator="greaterThan" priority="218" type="cellIs">
      <formula>1</formula>
    </cfRule>
  </conditionalFormatting>
  <conditionalFormatting sqref="L253:S253 AI253">
    <cfRule dxfId="287" operator="greaterThan" priority="217" type="cellIs">
      <formula>1</formula>
    </cfRule>
  </conditionalFormatting>
  <conditionalFormatting sqref="U253">
    <cfRule dxfId="286" operator="greaterThan" priority="215" type="cellIs">
      <formula>1</formula>
    </cfRule>
  </conditionalFormatting>
  <conditionalFormatting sqref="AE253">
    <cfRule dxfId="285" operator="greaterThan" priority="214" type="cellIs">
      <formula>1</formula>
    </cfRule>
  </conditionalFormatting>
  <conditionalFormatting sqref="T253">
    <cfRule dxfId="284" operator="greaterThan" priority="213" type="cellIs">
      <formula>1</formula>
    </cfRule>
  </conditionalFormatting>
  <conditionalFormatting sqref="Z253">
    <cfRule dxfId="283" operator="greaterThan" priority="209" type="cellIs">
      <formula>1</formula>
    </cfRule>
  </conditionalFormatting>
  <conditionalFormatting sqref="AB253">
    <cfRule dxfId="282" operator="greaterThan" priority="208" type="cellIs">
      <formula>1</formula>
    </cfRule>
  </conditionalFormatting>
  <conditionalFormatting sqref="AJ253">
    <cfRule dxfId="281" operator="greaterThan" priority="206" type="cellIs">
      <formula>1</formula>
    </cfRule>
  </conditionalFormatting>
  <conditionalFormatting sqref="U253">
    <cfRule dxfId="280" operator="greaterThan" priority="203" type="cellIs">
      <formula>1</formula>
    </cfRule>
  </conditionalFormatting>
  <conditionalFormatting sqref="AE253">
    <cfRule dxfId="279" operator="greaterThan" priority="202" type="cellIs">
      <formula>1</formula>
    </cfRule>
  </conditionalFormatting>
  <conditionalFormatting sqref="T253">
    <cfRule dxfId="278" operator="greaterThan" priority="201" type="cellIs">
      <formula>1</formula>
    </cfRule>
  </conditionalFormatting>
  <conditionalFormatting sqref="Z253">
    <cfRule dxfId="277" operator="greaterThan" priority="197" type="cellIs">
      <formula>1</formula>
    </cfRule>
  </conditionalFormatting>
  <conditionalFormatting sqref="L253:S253 AI253">
    <cfRule dxfId="276" operator="greaterThan" priority="205" type="cellIs">
      <formula>1</formula>
    </cfRule>
  </conditionalFormatting>
  <conditionalFormatting sqref="AB253">
    <cfRule dxfId="275" operator="greaterThan" priority="196" type="cellIs">
      <formula>1</formula>
    </cfRule>
  </conditionalFormatting>
  <conditionalFormatting sqref="AC253">
    <cfRule dxfId="274" operator="greaterThan" priority="195" type="cellIs">
      <formula>2</formula>
    </cfRule>
  </conditionalFormatting>
  <conditionalFormatting sqref="AG253">
    <cfRule dxfId="273" operator="greaterThan" priority="194" type="cellIs">
      <formula>1</formula>
    </cfRule>
  </conditionalFormatting>
  <conditionalFormatting sqref="AG253">
    <cfRule dxfId="272" operator="greaterThan" priority="193" type="cellIs">
      <formula>1</formula>
    </cfRule>
  </conditionalFormatting>
  <conditionalFormatting sqref="AH253">
    <cfRule dxfId="271" operator="greaterThan" priority="192" type="cellIs">
      <formula>1</formula>
    </cfRule>
  </conditionalFormatting>
  <conditionalFormatting sqref="X253 AA253 AD253">
    <cfRule dxfId="270" operator="greaterThan" priority="216" type="cellIs">
      <formula>1</formula>
    </cfRule>
  </conditionalFormatting>
  <conditionalFormatting sqref="V253">
    <cfRule dxfId="269" operator="greaterThan" priority="212" type="cellIs">
      <formula>2</formula>
    </cfRule>
  </conditionalFormatting>
  <conditionalFormatting sqref="W253">
    <cfRule dxfId="268" operator="greaterThan" priority="211" type="cellIs">
      <formula>1</formula>
    </cfRule>
  </conditionalFormatting>
  <conditionalFormatting sqref="Y253">
    <cfRule dxfId="267" operator="greaterThan" priority="210" type="cellIs">
      <formula>1</formula>
    </cfRule>
  </conditionalFormatting>
  <conditionalFormatting sqref="AC253">
    <cfRule dxfId="266" operator="greaterThan" priority="207" type="cellIs">
      <formula>2</formula>
    </cfRule>
  </conditionalFormatting>
  <conditionalFormatting sqref="V253">
    <cfRule dxfId="265" operator="greaterThan" priority="200" type="cellIs">
      <formula>2</formula>
    </cfRule>
  </conditionalFormatting>
  <conditionalFormatting sqref="W253">
    <cfRule dxfId="264" operator="greaterThan" priority="199" type="cellIs">
      <formula>1</formula>
    </cfRule>
  </conditionalFormatting>
  <conditionalFormatting sqref="Y253">
    <cfRule dxfId="263" operator="greaterThan" priority="198" type="cellIs">
      <formula>1</formula>
    </cfRule>
  </conditionalFormatting>
  <conditionalFormatting sqref="X253 AA253 AD253">
    <cfRule dxfId="262" operator="greaterThan" priority="204" type="cellIs">
      <formula>1</formula>
    </cfRule>
  </conditionalFormatting>
  <conditionalFormatting sqref="D253">
    <cfRule dxfId="261" operator="greaterThan" priority="191" type="cellIs">
      <formula>2</formula>
    </cfRule>
  </conditionalFormatting>
  <conditionalFormatting sqref="D253">
    <cfRule dxfId="260" operator="greaterThan" priority="190" type="cellIs">
      <formula>2</formula>
    </cfRule>
  </conditionalFormatting>
  <conditionalFormatting sqref="AK253">
    <cfRule dxfId="259" operator="greaterThan" priority="189" type="cellIs">
      <formula>1</formula>
    </cfRule>
  </conditionalFormatting>
  <conditionalFormatting sqref="AK253">
    <cfRule dxfId="258" operator="greaterThan" priority="188" type="cellIs">
      <formula>1</formula>
    </cfRule>
  </conditionalFormatting>
  <conditionalFormatting sqref="E253:K253">
    <cfRule dxfId="257" operator="greaterThan" priority="186" type="cellIs">
      <formula>1</formula>
    </cfRule>
  </conditionalFormatting>
  <conditionalFormatting sqref="AF253">
    <cfRule dxfId="256" operator="greaterThan" priority="185" type="cellIs">
      <formula>2</formula>
    </cfRule>
  </conditionalFormatting>
  <conditionalFormatting sqref="AF253">
    <cfRule dxfId="255" operator="greaterThan" priority="184" type="cellIs">
      <formula>2</formula>
    </cfRule>
  </conditionalFormatting>
  <conditionalFormatting sqref="AK253">
    <cfRule dxfId="254" operator="greaterThan" priority="183" type="cellIs">
      <formula>1</formula>
    </cfRule>
  </conditionalFormatting>
  <conditionalFormatting sqref="AK253">
    <cfRule dxfId="253" operator="greaterThan" priority="182" type="cellIs">
      <formula>1</formula>
    </cfRule>
  </conditionalFormatting>
  <conditionalFormatting sqref="C253">
    <cfRule dxfId="252" operator="greaterThan" priority="181" type="cellIs">
      <formula>2</formula>
    </cfRule>
  </conditionalFormatting>
  <conditionalFormatting sqref="C253">
    <cfRule dxfId="251" operator="greaterThan" priority="180" type="cellIs">
      <formula>2</formula>
    </cfRule>
  </conditionalFormatting>
  <conditionalFormatting sqref="D254:K254">
    <cfRule dxfId="250" operator="greaterThan" priority="179" type="cellIs">
      <formula>1</formula>
    </cfRule>
  </conditionalFormatting>
  <conditionalFormatting sqref="AF254">
    <cfRule dxfId="249" operator="greaterThan" priority="178" type="cellIs">
      <formula>1</formula>
    </cfRule>
  </conditionalFormatting>
  <conditionalFormatting sqref="AF254">
    <cfRule dxfId="248" operator="greaterThan" priority="177" type="cellIs">
      <formula>1</formula>
    </cfRule>
  </conditionalFormatting>
  <conditionalFormatting sqref="F255:K255">
    <cfRule dxfId="247" operator="greaterThan" priority="176" type="cellIs">
      <formula>1</formula>
    </cfRule>
  </conditionalFormatting>
  <conditionalFormatting sqref="AF255">
    <cfRule dxfId="246" operator="greaterThan" priority="175" type="cellIs">
      <formula>2</formula>
    </cfRule>
  </conditionalFormatting>
  <conditionalFormatting sqref="AF255">
    <cfRule dxfId="245" operator="greaterThan" priority="174" type="cellIs">
      <formula>2</formula>
    </cfRule>
  </conditionalFormatting>
  <conditionalFormatting sqref="AG255">
    <cfRule dxfId="244" operator="greaterThan" priority="173" type="cellIs">
      <formula>2</formula>
    </cfRule>
  </conditionalFormatting>
  <conditionalFormatting sqref="AG255">
    <cfRule dxfId="243" operator="greaterThan" priority="172" type="cellIs">
      <formula>2</formula>
    </cfRule>
  </conditionalFormatting>
  <conditionalFormatting sqref="AK255">
    <cfRule dxfId="242" operator="greaterThan" priority="171" type="cellIs">
      <formula>1</formula>
    </cfRule>
  </conditionalFormatting>
  <conditionalFormatting sqref="AK255">
    <cfRule dxfId="241" operator="greaterThan" priority="170" type="cellIs">
      <formula>1</formula>
    </cfRule>
  </conditionalFormatting>
  <conditionalFormatting sqref="V128">
    <cfRule dxfId="240" operator="greaterThan" priority="169" type="cellIs">
      <formula>2</formula>
    </cfRule>
  </conditionalFormatting>
  <conditionalFormatting sqref="V32">
    <cfRule dxfId="239" operator="greaterThan" priority="168" type="cellIs">
      <formula>2</formula>
    </cfRule>
  </conditionalFormatting>
  <conditionalFormatting sqref="D139">
    <cfRule dxfId="238" operator="greaterThan" priority="167" type="cellIs">
      <formula>1</formula>
    </cfRule>
  </conditionalFormatting>
  <conditionalFormatting sqref="F139:H139">
    <cfRule dxfId="237" operator="greaterThan" priority="166" type="cellIs">
      <formula>1</formula>
    </cfRule>
  </conditionalFormatting>
  <conditionalFormatting sqref="J139:K139">
    <cfRule dxfId="236" operator="greaterThan" priority="165" type="cellIs">
      <formula>1</formula>
    </cfRule>
  </conditionalFormatting>
  <conditionalFormatting sqref="C139">
    <cfRule dxfId="235" operator="greaterThan" priority="164" type="cellIs">
      <formula>2</formula>
    </cfRule>
  </conditionalFormatting>
  <conditionalFormatting sqref="U139">
    <cfRule dxfId="234" operator="greaterThan" priority="163" type="cellIs">
      <formula>2</formula>
    </cfRule>
  </conditionalFormatting>
  <conditionalFormatting sqref="B260">
    <cfRule dxfId="233" operator="greaterThan" priority="162" type="cellIs">
      <formula>2</formula>
    </cfRule>
  </conditionalFormatting>
  <conditionalFormatting sqref="AE260:AG260 AI260:AJ260 AL260">
    <cfRule dxfId="232" operator="greaterThan" priority="160" type="cellIs">
      <formula>1</formula>
    </cfRule>
  </conditionalFormatting>
  <conditionalFormatting sqref="AF260">
    <cfRule dxfId="231" operator="greaterThan" priority="159" type="cellIs">
      <formula>1</formula>
    </cfRule>
  </conditionalFormatting>
  <conditionalFormatting sqref="AE260">
    <cfRule dxfId="230" operator="greaterThan" priority="158" type="cellIs">
      <formula>1</formula>
    </cfRule>
  </conditionalFormatting>
  <conditionalFormatting sqref="AH260">
    <cfRule dxfId="229" operator="greaterThan" priority="157" type="cellIs">
      <formula>1</formula>
    </cfRule>
  </conditionalFormatting>
  <conditionalFormatting sqref="L260:R260 AD260 U260:AA260">
    <cfRule dxfId="228" operator="greaterThan" priority="156" type="cellIs">
      <formula>1</formula>
    </cfRule>
  </conditionalFormatting>
  <conditionalFormatting sqref="X260 AA260 AD260">
    <cfRule dxfId="227" operator="greaterThan" priority="155" type="cellIs">
      <formula>1</formula>
    </cfRule>
  </conditionalFormatting>
  <conditionalFormatting sqref="U260">
    <cfRule dxfId="226" operator="greaterThan" priority="154" type="cellIs">
      <formula>1</formula>
    </cfRule>
  </conditionalFormatting>
  <conditionalFormatting sqref="W260">
    <cfRule dxfId="225" operator="greaterThan" priority="152" type="cellIs">
      <formula>1</formula>
    </cfRule>
  </conditionalFormatting>
  <conditionalFormatting sqref="Y260">
    <cfRule dxfId="224" operator="greaterThan" priority="151" type="cellIs">
      <formula>1</formula>
    </cfRule>
  </conditionalFormatting>
  <conditionalFormatting sqref="Z260">
    <cfRule dxfId="223" operator="greaterThan" priority="150" type="cellIs">
      <formula>1</formula>
    </cfRule>
  </conditionalFormatting>
  <conditionalFormatting sqref="D260:K260">
    <cfRule dxfId="222" operator="greaterThan" priority="147" type="cellIs">
      <formula>1</formula>
    </cfRule>
  </conditionalFormatting>
  <conditionalFormatting sqref="V260">
    <cfRule dxfId="221" operator="greaterThan" priority="148" type="cellIs">
      <formula>1</formula>
    </cfRule>
  </conditionalFormatting>
  <conditionalFormatting sqref="AK260">
    <cfRule dxfId="220" operator="greaterThan" priority="145" type="cellIs">
      <formula>2</formula>
    </cfRule>
  </conditionalFormatting>
  <conditionalFormatting sqref="S260">
    <cfRule dxfId="219" operator="greaterThan" priority="142" type="cellIs">
      <formula>2</formula>
    </cfRule>
  </conditionalFormatting>
  <conditionalFormatting sqref="T260">
    <cfRule dxfId="218" operator="greaterThan" priority="141" type="cellIs">
      <formula>1</formula>
    </cfRule>
  </conditionalFormatting>
  <conditionalFormatting sqref="AB260">
    <cfRule dxfId="217" operator="greaterThan" priority="140" type="cellIs">
      <formula>1</formula>
    </cfRule>
  </conditionalFormatting>
  <conditionalFormatting sqref="AC260">
    <cfRule dxfId="216" operator="greaterThan" priority="139" type="cellIs">
      <formula>2</formula>
    </cfRule>
  </conditionalFormatting>
  <conditionalFormatting sqref="C260">
    <cfRule dxfId="215" operator="greaterThan" priority="138" type="cellIs">
      <formula>2</formula>
    </cfRule>
  </conditionalFormatting>
  <conditionalFormatting sqref="B261">
    <cfRule dxfId="214" operator="greaterThan" priority="137" type="cellIs">
      <formula>2</formula>
    </cfRule>
  </conditionalFormatting>
  <conditionalFormatting sqref="AE261:AG261 AI261:AJ261 AL261">
    <cfRule dxfId="213" operator="greaterThan" priority="136" type="cellIs">
      <formula>1</formula>
    </cfRule>
  </conditionalFormatting>
  <conditionalFormatting sqref="AF261">
    <cfRule dxfId="212" operator="greaterThan" priority="135" type="cellIs">
      <formula>1</formula>
    </cfRule>
  </conditionalFormatting>
  <conditionalFormatting sqref="AE261">
    <cfRule dxfId="211" operator="greaterThan" priority="134" type="cellIs">
      <formula>1</formula>
    </cfRule>
  </conditionalFormatting>
  <conditionalFormatting sqref="AH261">
    <cfRule dxfId="210" operator="greaterThan" priority="133" type="cellIs">
      <formula>1</formula>
    </cfRule>
  </conditionalFormatting>
  <conditionalFormatting sqref="L261:R261 AD261 U261 W261:AA261">
    <cfRule dxfId="209" operator="greaterThan" priority="132" type="cellIs">
      <formula>1</formula>
    </cfRule>
  </conditionalFormatting>
  <conditionalFormatting sqref="X261 AA261 AD261">
    <cfRule dxfId="208" operator="greaterThan" priority="131" type="cellIs">
      <formula>1</formula>
    </cfRule>
  </conditionalFormatting>
  <conditionalFormatting sqref="U261">
    <cfRule dxfId="207" operator="greaterThan" priority="130" type="cellIs">
      <formula>1</formula>
    </cfRule>
  </conditionalFormatting>
  <conditionalFormatting sqref="W261">
    <cfRule dxfId="206" operator="greaterThan" priority="129" type="cellIs">
      <formula>1</formula>
    </cfRule>
  </conditionalFormatting>
  <conditionalFormatting sqref="Y261">
    <cfRule dxfId="205" operator="greaterThan" priority="128" type="cellIs">
      <formula>1</formula>
    </cfRule>
  </conditionalFormatting>
  <conditionalFormatting sqref="Z261">
    <cfRule dxfId="204" operator="greaterThan" priority="127" type="cellIs">
      <formula>1</formula>
    </cfRule>
  </conditionalFormatting>
  <conditionalFormatting sqref="D261:E261 G261:K261">
    <cfRule dxfId="203" operator="greaterThan" priority="125" type="cellIs">
      <formula>1</formula>
    </cfRule>
  </conditionalFormatting>
  <conditionalFormatting sqref="AK261">
    <cfRule dxfId="202" operator="greaterThan" priority="124" type="cellIs">
      <formula>2</formula>
    </cfRule>
  </conditionalFormatting>
  <conditionalFormatting sqref="C261">
    <cfRule dxfId="201" operator="greaterThan" priority="119" type="cellIs">
      <formula>2</formula>
    </cfRule>
  </conditionalFormatting>
  <conditionalFormatting sqref="T261">
    <cfRule dxfId="200" operator="greaterThan" priority="122" type="cellIs">
      <formula>1</formula>
    </cfRule>
  </conditionalFormatting>
  <conditionalFormatting sqref="AB261">
    <cfRule dxfId="199" operator="greaterThan" priority="121" type="cellIs">
      <formula>1</formula>
    </cfRule>
  </conditionalFormatting>
  <conditionalFormatting sqref="S261">
    <cfRule dxfId="198" operator="greaterThan" priority="118" type="cellIs">
      <formula>1</formula>
    </cfRule>
  </conditionalFormatting>
  <conditionalFormatting sqref="AC261">
    <cfRule dxfId="197" operator="greaterThan" priority="117" type="cellIs">
      <formula>1</formula>
    </cfRule>
  </conditionalFormatting>
  <conditionalFormatting sqref="V261">
    <cfRule dxfId="196" operator="greaterThan" priority="116" type="cellIs">
      <formula>2</formula>
    </cfRule>
  </conditionalFormatting>
  <conditionalFormatting sqref="F261">
    <cfRule dxfId="195" operator="greaterThan" priority="115" type="cellIs">
      <formula>2</formula>
    </cfRule>
  </conditionalFormatting>
  <conditionalFormatting sqref="F261">
    <cfRule dxfId="194" operator="greaterThan" priority="114" type="cellIs">
      <formula>1</formula>
    </cfRule>
  </conditionalFormatting>
  <conditionalFormatting sqref="G261">
    <cfRule dxfId="193" operator="greaterThan" priority="113" type="cellIs">
      <formula>2</formula>
    </cfRule>
  </conditionalFormatting>
  <conditionalFormatting sqref="B262">
    <cfRule dxfId="192" operator="greaterThan" priority="112" type="cellIs">
      <formula>2</formula>
    </cfRule>
  </conditionalFormatting>
  <conditionalFormatting sqref="AE262:AG262 AI262:AJ262 AL262">
    <cfRule dxfId="191" operator="greaterThan" priority="111" type="cellIs">
      <formula>1</formula>
    </cfRule>
  </conditionalFormatting>
  <conditionalFormatting sqref="AF262">
    <cfRule dxfId="190" operator="greaterThan" priority="110" type="cellIs">
      <formula>1</formula>
    </cfRule>
  </conditionalFormatting>
  <conditionalFormatting sqref="AE262">
    <cfRule dxfId="189" operator="greaterThan" priority="109" type="cellIs">
      <formula>1</formula>
    </cfRule>
  </conditionalFormatting>
  <conditionalFormatting sqref="AH262">
    <cfRule dxfId="188" operator="greaterThan" priority="108" type="cellIs">
      <formula>1</formula>
    </cfRule>
  </conditionalFormatting>
  <conditionalFormatting sqref="L262:R262 AD262 U262 W262:X262 Z262:AA262">
    <cfRule dxfId="187" operator="greaterThan" priority="107" type="cellIs">
      <formula>1</formula>
    </cfRule>
  </conditionalFormatting>
  <conditionalFormatting sqref="X262 AA262 AD262">
    <cfRule dxfId="186" operator="greaterThan" priority="106" type="cellIs">
      <formula>1</formula>
    </cfRule>
  </conditionalFormatting>
  <conditionalFormatting sqref="U262">
    <cfRule dxfId="185" operator="greaterThan" priority="105" type="cellIs">
      <formula>1</formula>
    </cfRule>
  </conditionalFormatting>
  <conditionalFormatting sqref="W262">
    <cfRule dxfId="184" operator="greaterThan" priority="104" type="cellIs">
      <formula>1</formula>
    </cfRule>
  </conditionalFormatting>
  <conditionalFormatting sqref="Z262">
    <cfRule dxfId="183" operator="greaterThan" priority="102" type="cellIs">
      <formula>1</formula>
    </cfRule>
  </conditionalFormatting>
  <conditionalFormatting sqref="D262:E262 H262:I262 K262">
    <cfRule dxfId="182" operator="greaterThan" priority="101" type="cellIs">
      <formula>1</formula>
    </cfRule>
  </conditionalFormatting>
  <conditionalFormatting sqref="V262">
    <cfRule dxfId="181" operator="greaterThan" priority="94" type="cellIs">
      <formula>2</formula>
    </cfRule>
  </conditionalFormatting>
  <conditionalFormatting sqref="C262">
    <cfRule dxfId="180" operator="greaterThan" priority="97" type="cellIs">
      <formula>2</formula>
    </cfRule>
  </conditionalFormatting>
  <conditionalFormatting sqref="T262">
    <cfRule dxfId="179" operator="greaterThan" priority="99" type="cellIs">
      <formula>1</formula>
    </cfRule>
  </conditionalFormatting>
  <conditionalFormatting sqref="AB262">
    <cfRule dxfId="178" operator="greaterThan" priority="98" type="cellIs">
      <formula>1</formula>
    </cfRule>
  </conditionalFormatting>
  <conditionalFormatting sqref="S262">
    <cfRule dxfId="177" operator="greaterThan" priority="96" type="cellIs">
      <formula>1</formula>
    </cfRule>
  </conditionalFormatting>
  <conditionalFormatting sqref="AC262">
    <cfRule dxfId="176" operator="greaterThan" priority="95" type="cellIs">
      <formula>1</formula>
    </cfRule>
  </conditionalFormatting>
  <conditionalFormatting sqref="F262">
    <cfRule dxfId="175" operator="greaterThan" priority="93" type="cellIs">
      <formula>2</formula>
    </cfRule>
  </conditionalFormatting>
  <conditionalFormatting sqref="F262">
    <cfRule dxfId="174" operator="greaterThan" priority="92" type="cellIs">
      <formula>1</formula>
    </cfRule>
  </conditionalFormatting>
  <conditionalFormatting sqref="AK262">
    <cfRule dxfId="173" operator="greaterThan" priority="90" type="cellIs">
      <formula>1</formula>
    </cfRule>
  </conditionalFormatting>
  <conditionalFormatting sqref="J262">
    <cfRule dxfId="172" operator="greaterThan" priority="89" type="cellIs">
      <formula>2</formula>
    </cfRule>
  </conditionalFormatting>
  <conditionalFormatting sqref="G262">
    <cfRule dxfId="171" operator="greaterThan" priority="86" type="cellIs">
      <formula>2</formula>
    </cfRule>
  </conditionalFormatting>
  <conditionalFormatting sqref="Y262">
    <cfRule dxfId="170" operator="greaterThan" priority="85" type="cellIs">
      <formula>2</formula>
    </cfRule>
  </conditionalFormatting>
  <conditionalFormatting sqref="B263">
    <cfRule dxfId="169" operator="greaterThan" priority="84" type="cellIs">
      <formula>2</formula>
    </cfRule>
  </conditionalFormatting>
  <conditionalFormatting sqref="AE263:AF263 AI263:AJ263 AL263">
    <cfRule dxfId="168" operator="greaterThan" priority="83" type="cellIs">
      <formula>1</formula>
    </cfRule>
  </conditionalFormatting>
  <conditionalFormatting sqref="AF263">
    <cfRule dxfId="167" operator="greaterThan" priority="82" type="cellIs">
      <formula>1</formula>
    </cfRule>
  </conditionalFormatting>
  <conditionalFormatting sqref="AE263">
    <cfRule dxfId="166" operator="greaterThan" priority="81" type="cellIs">
      <formula>1</formula>
    </cfRule>
  </conditionalFormatting>
  <conditionalFormatting sqref="AH263">
    <cfRule dxfId="165" operator="greaterThan" priority="80" type="cellIs">
      <formula>1</formula>
    </cfRule>
  </conditionalFormatting>
  <conditionalFormatting sqref="L263:R263 AD263 U263 W263:X263 Z263:AA263">
    <cfRule dxfId="164" operator="greaterThan" priority="79" type="cellIs">
      <formula>1</formula>
    </cfRule>
  </conditionalFormatting>
  <conditionalFormatting sqref="X263 AA263 AD263">
    <cfRule dxfId="163" operator="greaterThan" priority="78" type="cellIs">
      <formula>1</formula>
    </cfRule>
  </conditionalFormatting>
  <conditionalFormatting sqref="U263">
    <cfRule dxfId="162" operator="greaterThan" priority="77" type="cellIs">
      <formula>1</formula>
    </cfRule>
  </conditionalFormatting>
  <conditionalFormatting sqref="W263">
    <cfRule dxfId="161" operator="greaterThan" priority="76" type="cellIs">
      <formula>1</formula>
    </cfRule>
  </conditionalFormatting>
  <conditionalFormatting sqref="Z263">
    <cfRule dxfId="160" operator="greaterThan" priority="75" type="cellIs">
      <formula>1</formula>
    </cfRule>
  </conditionalFormatting>
  <conditionalFormatting sqref="D263:E263 H263:I263 K263">
    <cfRule dxfId="159" operator="greaterThan" priority="74" type="cellIs">
      <formula>1</formula>
    </cfRule>
  </conditionalFormatting>
  <conditionalFormatting sqref="V263">
    <cfRule dxfId="158" operator="greaterThan" priority="68" type="cellIs">
      <formula>2</formula>
    </cfRule>
  </conditionalFormatting>
  <conditionalFormatting sqref="C263">
    <cfRule dxfId="157" operator="greaterThan" priority="71" type="cellIs">
      <formula>2</formula>
    </cfRule>
  </conditionalFormatting>
  <conditionalFormatting sqref="T263">
    <cfRule dxfId="156" operator="greaterThan" priority="73" type="cellIs">
      <formula>1</formula>
    </cfRule>
  </conditionalFormatting>
  <conditionalFormatting sqref="AB263">
    <cfRule dxfId="155" operator="greaterThan" priority="72" type="cellIs">
      <formula>1</formula>
    </cfRule>
  </conditionalFormatting>
  <conditionalFormatting sqref="S263">
    <cfRule dxfId="154" operator="greaterThan" priority="70" type="cellIs">
      <formula>1</formula>
    </cfRule>
  </conditionalFormatting>
  <conditionalFormatting sqref="AC263">
    <cfRule dxfId="153" operator="greaterThan" priority="69" type="cellIs">
      <formula>1</formula>
    </cfRule>
  </conditionalFormatting>
  <conditionalFormatting sqref="F263">
    <cfRule dxfId="152" operator="greaterThan" priority="67" type="cellIs">
      <formula>2</formula>
    </cfRule>
  </conditionalFormatting>
  <conditionalFormatting sqref="F263">
    <cfRule dxfId="151" operator="greaterThan" priority="66" type="cellIs">
      <formula>1</formula>
    </cfRule>
  </conditionalFormatting>
  <conditionalFormatting sqref="AK263">
    <cfRule dxfId="150" operator="greaterThan" priority="65" type="cellIs">
      <formula>1</formula>
    </cfRule>
  </conditionalFormatting>
  <conditionalFormatting sqref="G263">
    <cfRule dxfId="149" operator="greaterThan" priority="63" type="cellIs">
      <formula>2</formula>
    </cfRule>
  </conditionalFormatting>
  <conditionalFormatting sqref="AG263">
    <cfRule dxfId="148" operator="greaterThan" priority="57" type="cellIs">
      <formula>2</formula>
    </cfRule>
  </conditionalFormatting>
  <conditionalFormatting sqref="Y263">
    <cfRule dxfId="147" operator="greaterThan" priority="61" type="cellIs">
      <formula>1</formula>
    </cfRule>
  </conditionalFormatting>
  <conditionalFormatting sqref="Y263">
    <cfRule dxfId="146" operator="greaterThan" priority="60" type="cellIs">
      <formula>1</formula>
    </cfRule>
  </conditionalFormatting>
  <conditionalFormatting sqref="J263">
    <cfRule dxfId="145" operator="greaterThan" priority="59" type="cellIs">
      <formula>2</formula>
    </cfRule>
  </conditionalFormatting>
  <conditionalFormatting sqref="J263">
    <cfRule dxfId="144" operator="greaterThan" priority="58" type="cellIs">
      <formula>1</formula>
    </cfRule>
  </conditionalFormatting>
  <conditionalFormatting sqref="D77:F77 H77:K77">
    <cfRule dxfId="143" operator="greaterThan" priority="56" type="cellIs">
      <formula>1</formula>
    </cfRule>
  </conditionalFormatting>
  <conditionalFormatting sqref="T77">
    <cfRule dxfId="142" operator="greaterThan" priority="55" type="cellIs">
      <formula>1</formula>
    </cfRule>
  </conditionalFormatting>
  <conditionalFormatting sqref="T77">
    <cfRule dxfId="141" operator="greaterThan" priority="54" type="cellIs">
      <formula>1</formula>
    </cfRule>
  </conditionalFormatting>
  <conditionalFormatting sqref="S77">
    <cfRule dxfId="140" operator="greaterThan" priority="53" type="cellIs">
      <formula>2</formula>
    </cfRule>
  </conditionalFormatting>
  <conditionalFormatting sqref="G77">
    <cfRule dxfId="139" operator="greaterThan" priority="52" type="cellIs">
      <formula>1</formula>
    </cfRule>
  </conditionalFormatting>
  <conditionalFormatting sqref="G77">
    <cfRule dxfId="138" operator="greaterThan" priority="51" type="cellIs">
      <formula>2</formula>
    </cfRule>
  </conditionalFormatting>
  <conditionalFormatting sqref="C77">
    <cfRule dxfId="137" operator="greaterThan" priority="50" type="cellIs">
      <formula>2</formula>
    </cfRule>
  </conditionalFormatting>
  <conditionalFormatting sqref="AK259">
    <cfRule dxfId="136" operator="greaterThan" priority="9" type="cellIs">
      <formula>1</formula>
    </cfRule>
  </conditionalFormatting>
  <conditionalFormatting sqref="AI258:AI259 AL258:AL259 L259:AA259 AD259:AE259 L258:AE258">
    <cfRule dxfId="135" operator="greaterThan" priority="49" type="cellIs">
      <formula>1</formula>
    </cfRule>
  </conditionalFormatting>
  <conditionalFormatting sqref="AJ258">
    <cfRule dxfId="134" operator="greaterThan" priority="48" type="cellIs">
      <formula>1</formula>
    </cfRule>
  </conditionalFormatting>
  <conditionalFormatting sqref="AJ258">
    <cfRule dxfId="133" operator="greaterThan" priority="46" type="cellIs">
      <formula>1</formula>
    </cfRule>
  </conditionalFormatting>
  <conditionalFormatting sqref="L258:S258 AL258 AI258">
    <cfRule dxfId="132" operator="greaterThan" priority="44" type="cellIs">
      <formula>1</formula>
    </cfRule>
  </conditionalFormatting>
  <conditionalFormatting sqref="L259:S259 AL259 AI259">
    <cfRule dxfId="131" operator="greaterThan" priority="33" type="cellIs">
      <formula>1</formula>
    </cfRule>
  </conditionalFormatting>
  <conditionalFormatting sqref="X259 AA259 AD259">
    <cfRule dxfId="130" operator="greaterThan" priority="32" type="cellIs">
      <formula>1</formula>
    </cfRule>
  </conditionalFormatting>
  <conditionalFormatting sqref="AE259">
    <cfRule dxfId="129" operator="greaterThan" priority="30" type="cellIs">
      <formula>1</formula>
    </cfRule>
  </conditionalFormatting>
  <conditionalFormatting sqref="T259">
    <cfRule dxfId="128" operator="greaterThan" priority="29" type="cellIs">
      <formula>1</formula>
    </cfRule>
  </conditionalFormatting>
  <conditionalFormatting sqref="W259">
    <cfRule dxfId="127" operator="greaterThan" priority="27" type="cellIs">
      <formula>1</formula>
    </cfRule>
  </conditionalFormatting>
  <conditionalFormatting sqref="AB258">
    <cfRule dxfId="126" operator="greaterThan" priority="35" type="cellIs">
      <formula>1</formula>
    </cfRule>
  </conditionalFormatting>
  <conditionalFormatting sqref="AH258:AH259">
    <cfRule dxfId="125" operator="greaterThan" priority="21" type="cellIs">
      <formula>1</formula>
    </cfRule>
  </conditionalFormatting>
  <conditionalFormatting sqref="AK258">
    <cfRule dxfId="124" operator="greaterThan" priority="10" type="cellIs">
      <formula>1</formula>
    </cfRule>
  </conditionalFormatting>
  <conditionalFormatting sqref="AJ259">
    <cfRule dxfId="123" operator="greaterThan" priority="47" type="cellIs">
      <formula>1</formula>
    </cfRule>
  </conditionalFormatting>
  <conditionalFormatting sqref="U258">
    <cfRule dxfId="122" operator="greaterThan" priority="42" type="cellIs">
      <formula>1</formula>
    </cfRule>
  </conditionalFormatting>
  <conditionalFormatting sqref="AE258">
    <cfRule dxfId="121" operator="greaterThan" priority="41" type="cellIs">
      <formula>1</formula>
    </cfRule>
  </conditionalFormatting>
  <conditionalFormatting sqref="T258">
    <cfRule dxfId="120" operator="greaterThan" priority="40" type="cellIs">
      <formula>1</formula>
    </cfRule>
  </conditionalFormatting>
  <conditionalFormatting sqref="Z258">
    <cfRule dxfId="119" operator="greaterThan" priority="36" type="cellIs">
      <formula>1</formula>
    </cfRule>
  </conditionalFormatting>
  <conditionalFormatting sqref="U259">
    <cfRule dxfId="118" operator="greaterThan" priority="31" type="cellIs">
      <formula>1</formula>
    </cfRule>
  </conditionalFormatting>
  <conditionalFormatting sqref="Z259">
    <cfRule dxfId="117" operator="greaterThan" priority="25" type="cellIs">
      <formula>1</formula>
    </cfRule>
  </conditionalFormatting>
  <conditionalFormatting sqref="AJ259">
    <cfRule dxfId="116" operator="greaterThan" priority="45" type="cellIs">
      <formula>1</formula>
    </cfRule>
  </conditionalFormatting>
  <conditionalFormatting sqref="B258">
    <cfRule dxfId="115" operator="greaterThan" priority="20" type="cellIs">
      <formula>2</formula>
    </cfRule>
  </conditionalFormatting>
  <conditionalFormatting sqref="B259">
    <cfRule dxfId="114" operator="greaterThan" priority="19" type="cellIs">
      <formula>2</formula>
    </cfRule>
  </conditionalFormatting>
  <conditionalFormatting sqref="B258">
    <cfRule dxfId="113" operator="greaterThan" priority="18" type="cellIs">
      <formula>2</formula>
    </cfRule>
  </conditionalFormatting>
  <conditionalFormatting sqref="B259">
    <cfRule dxfId="112" operator="greaterThan" priority="17" type="cellIs">
      <formula>2</formula>
    </cfRule>
  </conditionalFormatting>
  <conditionalFormatting sqref="Y258">
    <cfRule dxfId="111" operator="greaterThan" priority="37" type="cellIs">
      <formula>1</formula>
    </cfRule>
  </conditionalFormatting>
  <conditionalFormatting sqref="W258">
    <cfRule dxfId="110" operator="greaterThan" priority="38" type="cellIs">
      <formula>1</formula>
    </cfRule>
  </conditionalFormatting>
  <conditionalFormatting sqref="Y259">
    <cfRule dxfId="109" operator="greaterThan" priority="26" type="cellIs">
      <formula>1</formula>
    </cfRule>
  </conditionalFormatting>
  <conditionalFormatting sqref="AG258:AG259">
    <cfRule dxfId="108" operator="greaterThan" priority="24" type="cellIs">
      <formula>1</formula>
    </cfRule>
  </conditionalFormatting>
  <conditionalFormatting sqref="AG258">
    <cfRule dxfId="107" operator="greaterThan" priority="23" type="cellIs">
      <formula>1</formula>
    </cfRule>
  </conditionalFormatting>
  <conditionalFormatting sqref="AG259">
    <cfRule dxfId="106" operator="greaterThan" priority="22" type="cellIs">
      <formula>1</formula>
    </cfRule>
  </conditionalFormatting>
  <conditionalFormatting sqref="X258 AA258 AD258">
    <cfRule dxfId="105" operator="greaterThan" priority="43" type="cellIs">
      <formula>1</formula>
    </cfRule>
  </conditionalFormatting>
  <conditionalFormatting sqref="V258">
    <cfRule dxfId="104" operator="greaterThan" priority="39" type="cellIs">
      <formula>2</formula>
    </cfRule>
  </conditionalFormatting>
  <conditionalFormatting sqref="AC258">
    <cfRule dxfId="103" operator="greaterThan" priority="34" type="cellIs">
      <formula>2</formula>
    </cfRule>
  </conditionalFormatting>
  <conditionalFormatting sqref="V259">
    <cfRule dxfId="102" operator="greaterThan" priority="28" type="cellIs">
      <formula>2</formula>
    </cfRule>
  </conditionalFormatting>
  <conditionalFormatting sqref="C258:D258">
    <cfRule dxfId="101" operator="greaterThan" priority="16" type="cellIs">
      <formula>2</formula>
    </cfRule>
  </conditionalFormatting>
  <conditionalFormatting sqref="C259:D259">
    <cfRule dxfId="100" operator="greaterThan" priority="15" type="cellIs">
      <formula>2</formula>
    </cfRule>
  </conditionalFormatting>
  <conditionalFormatting sqref="C258:D258">
    <cfRule dxfId="99" operator="greaterThan" priority="14" type="cellIs">
      <formula>2</formula>
    </cfRule>
  </conditionalFormatting>
  <conditionalFormatting sqref="C259:D259">
    <cfRule dxfId="98" operator="greaterThan" priority="13" type="cellIs">
      <formula>2</formula>
    </cfRule>
  </conditionalFormatting>
  <conditionalFormatting sqref="AK258">
    <cfRule dxfId="97" operator="greaterThan" priority="12" type="cellIs">
      <formula>1</formula>
    </cfRule>
  </conditionalFormatting>
  <conditionalFormatting sqref="AK259">
    <cfRule dxfId="96" operator="greaterThan" priority="11" type="cellIs">
      <formula>1</formula>
    </cfRule>
  </conditionalFormatting>
  <conditionalFormatting sqref="E258:K259">
    <cfRule dxfId="95" operator="greaterThan" priority="8" type="cellIs">
      <formula>1</formula>
    </cfRule>
  </conditionalFormatting>
  <conditionalFormatting sqref="E258:K259">
    <cfRule dxfId="94" operator="greaterThan" priority="7" type="cellIs">
      <formula>1</formula>
    </cfRule>
  </conditionalFormatting>
  <conditionalFormatting sqref="AB259:AC259">
    <cfRule dxfId="93" operator="greaterThan" priority="6" type="cellIs">
      <formula>1</formula>
    </cfRule>
  </conditionalFormatting>
  <conditionalFormatting sqref="AB259:AC259">
    <cfRule dxfId="92" operator="greaterThan" priority="5" type="cellIs">
      <formula>1</formula>
    </cfRule>
  </conditionalFormatting>
  <conditionalFormatting sqref="AF259">
    <cfRule dxfId="91" operator="greaterThan" priority="4" type="cellIs">
      <formula>1</formula>
    </cfRule>
  </conditionalFormatting>
  <conditionalFormatting sqref="AF259">
    <cfRule dxfId="90" operator="greaterThan" priority="3" type="cellIs">
      <formula>1</formula>
    </cfRule>
  </conditionalFormatting>
  <conditionalFormatting sqref="AF258">
    <cfRule dxfId="89" operator="greaterThan" priority="2" type="cellIs">
      <formula>1</formula>
    </cfRule>
  </conditionalFormatting>
  <conditionalFormatting sqref="AF258">
    <cfRule dxfId="88" operator="greaterThan" priority="1" type="cellIs">
      <formula>1</formula>
    </cfRule>
  </conditionalFormatting>
  <pageMargins bottom="1" footer="0.5" header="0.5" left="0.75" right="0.75" top="1"/>
  <pageSetup orientation="portrait" paperSize="9" r:id="rId1"/>
  <headerFooter alignWithMargins="0"/>
</worksheet>
</file>

<file path=xl/worksheets/sheet2.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xmlns:xr="http://schemas.microsoft.com/office/spreadsheetml/2014/revision" xmlns:xr2="http://schemas.microsoft.com/office/spreadsheetml/2015/revision2" xmlns:xr3="http://schemas.microsoft.com/office/spreadsheetml/2016/revision3" mc:Ignorable="x14ac xr xr2 xr3" xr:uid="{00000000-0001-0000-0100-000000000000}">
  <sheetPr codeName="Sheet80">
    <tabColor rgb="FFB482DA"/>
  </sheetPr>
  <dimension ref="A1:N207"/>
  <sheetViews>
    <sheetView showGridLines="0" topLeftCell="B80" workbookViewId="0" zoomScaleNormal="100">
      <selection activeCell="G104" sqref="G104"/>
    </sheetView>
  </sheetViews>
  <sheetFormatPr defaultColWidth="9.140625" defaultRowHeight="12.75" x14ac:dyDescent="0.2"/>
  <cols>
    <col min="1" max="1" customWidth="true" hidden="true" style="1171" width="10.0" collapsed="true"/>
    <col min="2" max="2" customWidth="true" style="7" width="2.5703125" collapsed="true"/>
    <col min="3" max="3" customWidth="true" style="7" width="51.42578125" collapsed="true"/>
    <col min="4" max="4" bestFit="true" customWidth="true" style="7" width="26.0" collapsed="true"/>
    <col min="5" max="5" customWidth="true" style="7" width="10.0" collapsed="true"/>
    <col min="6" max="6" customWidth="true" style="7" width="2.5703125" collapsed="true"/>
    <col min="7" max="7" bestFit="true" customWidth="true" style="7" width="31.85546875" collapsed="true"/>
    <col min="8" max="8" customWidth="true" style="7" width="13.0" collapsed="true"/>
    <col min="9" max="9" bestFit="true" customWidth="true" style="7" width="16.5703125" collapsed="true"/>
    <col min="10" max="10" customWidth="true" style="7" width="8.0" collapsed="true"/>
    <col min="11" max="12" style="7" width="9.140625" collapsed="true"/>
    <col min="13" max="13" bestFit="true" customWidth="true" style="1171" width="16.7109375" collapsed="true"/>
    <col min="14" max="16384" style="1171" width="9.140625" collapsed="true"/>
  </cols>
  <sheetData>
    <row ht="15.75" r="1" spans="1:7" x14ac:dyDescent="0.25">
      <c r="A1" s="1174" t="s">
        <v>3033</v>
      </c>
      <c r="C1" s="1742" t="s">
        <v>4543</v>
      </c>
      <c r="E1" s="4476" t="str">
        <f>"Calculate Tax and NIC "&amp;tax_year</f>
        <v>Calculate Tax and NIC 2019-20</v>
      </c>
      <c r="F1" s="4476"/>
      <c r="G1" s="4476"/>
    </row>
    <row r="2" spans="1:7" x14ac:dyDescent="0.2">
      <c r="A2" s="1174" t="s">
        <v>3034</v>
      </c>
      <c r="C2" s="979" t="s">
        <v>4428</v>
      </c>
    </row>
    <row r="3" spans="1:7" x14ac:dyDescent="0.2">
      <c r="A3" s="1174" t="s">
        <v>3035</v>
      </c>
      <c r="C3" s="979" t="s">
        <v>4429</v>
      </c>
    </row>
    <row r="4" spans="1:7" x14ac:dyDescent="0.2">
      <c r="A4" s="1172" t="s">
        <v>6403</v>
      </c>
      <c r="C4" s="979" t="s">
        <v>4430</v>
      </c>
    </row>
    <row r="5" spans="1:7" x14ac:dyDescent="0.2">
      <c r="A5" s="1174" t="s">
        <v>3036</v>
      </c>
      <c r="C5" s="979" t="s">
        <v>4431</v>
      </c>
    </row>
    <row r="6" spans="1:7" x14ac:dyDescent="0.2">
      <c r="A6" s="1174" t="s">
        <v>3037</v>
      </c>
    </row>
    <row r="7" spans="1:7" x14ac:dyDescent="0.2">
      <c r="A7" s="1174" t="s">
        <v>3097</v>
      </c>
      <c r="C7" s="979" t="str">
        <f><![CDATA["For example: "&'Tax adj (c9)'!I51&" requires a figure from box "&'allowances (c14c15)'!K147&" or "&'allowances (c14c15)'!K163&". To calculate box "&'allowances (c14c15)'!K147&" or "&'allowances (c14c15)'!K163&" not"]]></f>
        <v>For example: c9.16 requires a figure from box c15.20 or c15.21. To calculate box c15.20 or c15.21 not</v>
      </c>
    </row>
    <row r="8" spans="1:7" x14ac:dyDescent="0.2">
      <c r="A8" s="1174" t="s">
        <v>3098</v>
      </c>
      <c r="C8" s="979" t="str">
        <f><![CDATA["only requires calculating "&'allowances (c14c15)'!K42&" onwards but also "&'allowances (c14c15)'!K5&" through "&'allowances (c14c15)'!K25&", as these are referenced in "&'allowances (c14c15)'!E57]]></f>
        <v>only requires calculating c15.1 onwards but also c14.1 through c14.6, as these are referenced in c15.6</v>
      </c>
    </row>
    <row r="9" spans="1:7" x14ac:dyDescent="0.2">
      <c r="A9" s="1174" t="s">
        <v>3099</v>
      </c>
      <c r="C9" s="979" t="str">
        <f>"and "&amp;'allowances (c14c15)'!E60&amp;"."</f>
        <v>and c15.7.</v>
      </c>
    </row>
    <row r="10" spans="1:7" x14ac:dyDescent="0.2">
      <c r="A10" s="1174" t="s">
        <v>3100</v>
      </c>
    </row>
    <row r="11" spans="1:7" x14ac:dyDescent="0.2">
      <c r="A11" s="1174" t="s">
        <v>3101</v>
      </c>
      <c r="C11" s="979" t="s">
        <v>4432</v>
      </c>
    </row>
    <row r="12" spans="1:7" x14ac:dyDescent="0.2">
      <c r="A12" s="1174" t="s">
        <v>3102</v>
      </c>
    </row>
    <row r="13" spans="1:7" x14ac:dyDescent="0.2">
      <c r="A13" s="1174" t="s">
        <v>3103</v>
      </c>
      <c r="C13" s="979" t="s">
        <v>4433</v>
      </c>
    </row>
    <row r="14" spans="1:7" x14ac:dyDescent="0.2">
      <c r="A14" s="1174" t="s">
        <v>3104</v>
      </c>
    </row>
    <row r="15" spans="1:7" x14ac:dyDescent="0.2">
      <c r="A15" s="1174" t="s">
        <v>822</v>
      </c>
      <c r="C15" s="979" t="s">
        <v>4434</v>
      </c>
    </row>
    <row r="16" spans="1:7" x14ac:dyDescent="0.2">
      <c r="A16" s="1174" t="s">
        <v>783</v>
      </c>
      <c r="C16" s="7" t="str">
        <f>"Calculate boxes "&amp;'NS income (c1)'!E5&amp;" through "&amp;'Tax due (c12)'!I79</f>
        <v>Calculate boxes c1.1 through c12.21</v>
      </c>
    </row>
    <row r="17" spans="1:3" x14ac:dyDescent="0.2">
      <c r="A17" s="1174" t="s">
        <v>784</v>
      </c>
      <c r="C17" s="979" t="str">
        <f>"resident-result = "&amp;'Tax due (c12)'!I67</f>
        <v>resident-result = c12.18</v>
      </c>
    </row>
    <row r="18" spans="1:3" x14ac:dyDescent="0.2">
      <c r="A18" s="1174" t="s">
        <v>785</v>
      </c>
      <c r="C18" s="979" t="s">
        <v>4435</v>
      </c>
    </row>
    <row r="19" spans="1:3" x14ac:dyDescent="0.2">
      <c r="A19" s="1174" t="s">
        <v>3253</v>
      </c>
      <c r="C19" s="1399" t="s">
        <v>4436</v>
      </c>
    </row>
    <row r="20" spans="1:3" x14ac:dyDescent="0.2">
      <c r="A20" s="1174" t="s">
        <v>2567</v>
      </c>
      <c r="C20" s="1399" t="str">
        <f>"Calculate boxes "&amp;'non-res (c91)'!C15&amp;" through "&amp;'non-res (c91)'!R116</f>
        <v>Calculate boxes c91.1 through c91.35</v>
      </c>
    </row>
    <row r="21" spans="1:3" x14ac:dyDescent="0.2">
      <c r="A21" s="1838" t="s">
        <v>6250</v>
      </c>
      <c r="C21" s="1399" t="str">
        <f>"Calculate boxes "&amp;'Deductions (c4)'!H239&amp;" through "&amp;'Tax due (c12)'!I79</f>
        <v>Calculate boxes c4.64 through c12.21</v>
      </c>
    </row>
    <row r="22" spans="1:3" x14ac:dyDescent="0.2">
      <c r="A22" s="1172" t="s">
        <v>6249</v>
      </c>
      <c r="C22" s="1399" t="str">
        <f>"non-resident-result = "&amp;'Tax due (c12)'!I67</f>
        <v>non-resident-result = c12.18</v>
      </c>
    </row>
    <row r="23" spans="1:3" x14ac:dyDescent="0.2">
      <c r="A23" s="1174" t="s">
        <v>786</v>
      </c>
      <c r="C23" s="3247" t="s">
        <v>7537</v>
      </c>
    </row>
    <row r="24" spans="1:3" x14ac:dyDescent="0.2">
      <c r="A24" s="1174" t="s">
        <v>2264</v>
      </c>
      <c r="C24" s="1400" t="s">
        <v>4434</v>
      </c>
    </row>
    <row r="25" spans="1:3" x14ac:dyDescent="0.2">
      <c r="A25" s="1174" t="s">
        <v>2263</v>
      </c>
      <c r="C25" s="1743" t="str">
        <f>"Calculate boxes c1.1 through "&amp;'Tax due (c12)'!I79</f>
        <v>Calculate boxes c1.1 through c12.21</v>
      </c>
    </row>
    <row r="26" spans="1:3" x14ac:dyDescent="0.2">
      <c r="A26" s="1174" t="s">
        <v>787</v>
      </c>
      <c r="C26" s="1399" t="s">
        <v>2495</v>
      </c>
    </row>
    <row r="27" spans="1:3" x14ac:dyDescent="0.2">
      <c r="C27" s="1405" t="s">
        <v>2495</v>
      </c>
    </row>
    <row r="28" spans="1:3" x14ac:dyDescent="0.2">
      <c r="A28" s="1171" t="s">
        <v>3768</v>
      </c>
    </row>
    <row r="29" spans="1:3" x14ac:dyDescent="0.2">
      <c r="A29" s="1171" t="s">
        <v>2075</v>
      </c>
      <c r="C29" s="1744" t="s">
        <v>4544</v>
      </c>
    </row>
    <row r="30" spans="1:3" x14ac:dyDescent="0.2">
      <c r="A30" s="1171" t="s">
        <v>801</v>
      </c>
    </row>
    <row r="31" spans="1:3" x14ac:dyDescent="0.2">
      <c r="A31" s="1171" t="s">
        <v>3665</v>
      </c>
      <c r="C31" s="979" t="s">
        <v>5022</v>
      </c>
    </row>
    <row r="32" spans="1:3" x14ac:dyDescent="0.2">
      <c r="A32" s="1171" t="s">
        <v>802</v>
      </c>
      <c r="C32" s="7" t="str">
        <f>"or MAT_IN amount will be set and "&amp;'Deductions (c4)'!H276&amp;" or "&amp;'Tax adj (c9)'!I75&amp;" will be completed with the MAT amount."</f>
        <v>or MAT_IN amount will be set and c4.68 or c9.20 will be completed with the MAT amount.</v>
      </c>
    </row>
    <row r="33" spans="1:13" x14ac:dyDescent="0.2">
      <c r="A33" s="1173" t="s">
        <v>4560</v>
      </c>
    </row>
    <row r="34" spans="1:13" x14ac:dyDescent="0.2">
      <c r="A34" s="1171" t="s">
        <v>3318</v>
      </c>
      <c r="C34" s="7" t="str">
        <f>"Where there is not a digital Marriage Allowance transfer claim in place and the customer completes MAT"&amp;'REL(2)'!C32</f>
        <v>Where there is not a digital Marriage Allowance transfer claim in place and the customer completes MAT1-5</v>
      </c>
    </row>
    <row r="35" spans="1:13" x14ac:dyDescent="0.2">
      <c r="A35" s="1171" t="s">
        <v>3319</v>
      </c>
      <c r="C35" s="979" t="s">
        <v>5135</v>
      </c>
    </row>
    <row r="36" spans="1:13" x14ac:dyDescent="0.2">
      <c r="A36" s="1171" t="s">
        <v>3320</v>
      </c>
    </row>
    <row r="37" spans="1:13" x14ac:dyDescent="0.2">
      <c r="A37" s="1171" t="s">
        <v>2768</v>
      </c>
      <c r="C37" s="979" t="str">
        <f>"For Class 2 there are no boxes on the SA Return. Pseudo Return boxes / centralised box will be required to populate "&amp;'Class 4 NIC (c16)'!J189&amp;"."</f>
        <v>For Class 2 there are no boxes on the SA Return. Pseudo Return boxes / centralised box will be required to populate c16.32.</v>
      </c>
    </row>
    <row r="38" spans="1:13" x14ac:dyDescent="0.2">
      <c r="A38" s="1171" t="s">
        <v>3321</v>
      </c>
      <c r="C38" s="979" t="s">
        <v>5021</v>
      </c>
    </row>
    <row r="39" spans="1:13" x14ac:dyDescent="0.2">
      <c r="A39" s="1171" t="s">
        <v>568</v>
      </c>
    </row>
    <row r="40" spans="1:13" x14ac:dyDescent="0.2">
      <c r="A40" s="1171" t="s">
        <v>3322</v>
      </c>
      <c r="C40" s="979" t="s">
        <v>5136</v>
      </c>
    </row>
    <row r="41" spans="1:13" x14ac:dyDescent="0.2">
      <c r="A41" s="1171" t="s">
        <v>6</v>
      </c>
      <c r="C41" s="7" t="str">
        <f>"Pseudo Return boxes will be required to populate "&amp;'Class 4 NIC (c16)'!J107</f>
        <v>Pseudo Return boxes will be required to populate c16.20</v>
      </c>
    </row>
    <row r="42" spans="1:13" x14ac:dyDescent="0.2">
      <c r="A42" s="1171" t="s">
        <v>3830</v>
      </c>
    </row>
    <row r="43" spans="1:13" x14ac:dyDescent="0.2">
      <c r="A43" s="1171" t="s">
        <v>614</v>
      </c>
      <c r="C43" s="779" t="s">
        <v>2373</v>
      </c>
      <c r="F43" s="1745" t="s">
        <v>4964</v>
      </c>
      <c r="G43" s="1745" t="s">
        <v>4437</v>
      </c>
      <c r="H43" s="538">
        <f>'Swiss Tax Credit'!G35</f>
        <v>0</v>
      </c>
    </row>
    <row r="44" spans="1:13" x14ac:dyDescent="0.2">
      <c r="A44" s="1171" t="s">
        <v>3832</v>
      </c>
      <c r="C44" s="1177" t="s">
        <v>4278</v>
      </c>
      <c r="D44" s="1169" t="s">
        <v>4279</v>
      </c>
      <c r="E44" s="1176">
        <v>0.12</v>
      </c>
      <c r="G44" s="2739" t="s">
        <v>6293</v>
      </c>
    </row>
    <row r="45" spans="1:13" x14ac:dyDescent="0.2">
      <c r="C45" s="1177" t="s">
        <v>4273</v>
      </c>
      <c r="D45" s="1169" t="s">
        <v>2956</v>
      </c>
      <c r="E45" s="1176">
        <v>0.09</v>
      </c>
      <c r="K45" s="979" t="s">
        <v>6138</v>
      </c>
    </row>
    <row r="46" spans="1:13" x14ac:dyDescent="0.2">
      <c r="A46" s="1171" t="s">
        <v>1068</v>
      </c>
      <c r="C46" s="1177" t="s">
        <v>4274</v>
      </c>
      <c r="D46" s="1169" t="s">
        <v>610</v>
      </c>
      <c r="E46" s="1176">
        <v>0.02</v>
      </c>
      <c r="G46" s="1746" t="s">
        <v>3112</v>
      </c>
      <c r="I46" s="979" t="s">
        <v>6136</v>
      </c>
      <c r="J46" s="979" t="s">
        <v>4165</v>
      </c>
      <c r="K46" s="979" t="s">
        <v>6137</v>
      </c>
      <c r="L46" s="979" t="s">
        <v>6139</v>
      </c>
    </row>
    <row r="47" spans="1:13" x14ac:dyDescent="0.2">
      <c r="A47" s="1171" t="s">
        <v>1069</v>
      </c>
      <c r="C47" s="1179" t="s">
        <v>4275</v>
      </c>
      <c r="D47" s="1180" t="s">
        <v>2174</v>
      </c>
      <c r="E47" s="1181">
        <v>0.09</v>
      </c>
      <c r="G47" s="1747" t="s">
        <v>917</v>
      </c>
      <c r="H47" s="1747" t="s">
        <v>918</v>
      </c>
      <c r="I47" s="1748">
        <v>1.08108108108109</v>
      </c>
      <c r="J47" s="1747" t="s">
        <v>6135</v>
      </c>
      <c r="K47" s="1747">
        <v>92.5</v>
      </c>
      <c r="L47" s="1772">
        <v>7.4999999999999997E-2</v>
      </c>
      <c r="M47" s="1732"/>
    </row>
    <row r="48" spans="1:13" x14ac:dyDescent="0.2">
      <c r="A48" s="1171" t="s">
        <v>2905</v>
      </c>
      <c r="C48" s="3225" t="s">
        <v>8018</v>
      </c>
      <c r="D48" s="3226" t="s">
        <v>7442</v>
      </c>
      <c r="E48" s="3227">
        <v>0.06</v>
      </c>
      <c r="G48" s="1749" t="s">
        <v>919</v>
      </c>
      <c r="H48" s="1749" t="s">
        <v>920</v>
      </c>
      <c r="I48" s="1749">
        <v>1.25</v>
      </c>
      <c r="J48" s="1770" t="s">
        <v>921</v>
      </c>
      <c r="K48" s="1770">
        <v>80</v>
      </c>
      <c r="L48" s="1773">
        <v>0.2</v>
      </c>
    </row>
    <row r="49" spans="1:13" x14ac:dyDescent="0.2">
      <c r="A49" s="1171" t="s">
        <v>2906</v>
      </c>
      <c r="C49" s="1168" t="s">
        <v>5162</v>
      </c>
      <c r="D49" s="1169" t="s">
        <v>611</v>
      </c>
      <c r="E49" s="1176">
        <v>0</v>
      </c>
      <c r="G49" s="1749" t="s">
        <v>922</v>
      </c>
      <c r="H49" s="1749" t="s">
        <v>1730</v>
      </c>
      <c r="I49" s="1749">
        <v>1.25</v>
      </c>
      <c r="J49" s="1770" t="s">
        <v>921</v>
      </c>
      <c r="K49" s="1770">
        <v>80</v>
      </c>
      <c r="L49" s="1773">
        <v>0.2</v>
      </c>
    </row>
    <row r="50" spans="1:13" x14ac:dyDescent="0.2">
      <c r="A50" s="1171" t="s">
        <v>1856</v>
      </c>
      <c r="C50" s="1168" t="s">
        <v>5163</v>
      </c>
      <c r="D50" s="1169" t="s">
        <v>5164</v>
      </c>
      <c r="E50" s="1176">
        <v>0</v>
      </c>
      <c r="G50" s="1747" t="s">
        <v>3509</v>
      </c>
      <c r="H50" s="1747" t="s">
        <v>3510</v>
      </c>
      <c r="I50" s="2942">
        <v>1.6666666666666701</v>
      </c>
      <c r="J50" s="1747" t="s">
        <v>3511</v>
      </c>
      <c r="K50" s="1747">
        <v>60</v>
      </c>
      <c r="L50" s="2943">
        <v>0.4</v>
      </c>
      <c r="M50" s="2742" t="s">
        <v>6078</v>
      </c>
    </row>
    <row r="51" spans="1:13" x14ac:dyDescent="0.2">
      <c r="A51" s="1171" t="s">
        <v>2082</v>
      </c>
      <c r="C51" s="1168" t="s">
        <v>1833</v>
      </c>
      <c r="D51" s="1169" t="s">
        <v>1834</v>
      </c>
      <c r="E51" s="1182">
        <v>0.22</v>
      </c>
      <c r="G51" s="1749" t="s">
        <v>3785</v>
      </c>
      <c r="H51" s="1750" t="s">
        <v>3786</v>
      </c>
      <c r="I51" s="1751">
        <v>1.2820512820512822</v>
      </c>
      <c r="J51" s="1771" t="s">
        <v>3787</v>
      </c>
      <c r="K51" s="1771">
        <v>78</v>
      </c>
      <c r="L51" s="1774">
        <v>0.22</v>
      </c>
    </row>
    <row r="52" spans="1:13" x14ac:dyDescent="0.2">
      <c r="A52" s="1171" t="s">
        <v>2907</v>
      </c>
      <c r="C52" s="1177" t="s">
        <v>7483</v>
      </c>
      <c r="D52" s="1169" t="s">
        <v>612</v>
      </c>
      <c r="E52" s="1176">
        <v>0.2</v>
      </c>
      <c r="G52" s="1749" t="s">
        <v>3788</v>
      </c>
      <c r="H52" s="1749" t="s">
        <v>2364</v>
      </c>
      <c r="I52" s="1748">
        <v>1.8181818181818181</v>
      </c>
      <c r="J52" s="1770" t="s">
        <v>3529</v>
      </c>
      <c r="K52" s="1770">
        <v>55</v>
      </c>
      <c r="L52" s="1773">
        <v>0.45</v>
      </c>
    </row>
    <row r="53" spans="1:13" x14ac:dyDescent="0.2">
      <c r="A53" s="1171" t="s">
        <v>2908</v>
      </c>
      <c r="C53" s="1179" t="s">
        <v>7484</v>
      </c>
      <c r="D53" s="1180" t="s">
        <v>2593</v>
      </c>
      <c r="E53" s="1181">
        <v>0.4</v>
      </c>
      <c r="G53" s="1747" t="s">
        <v>2280</v>
      </c>
      <c r="H53" s="1747" t="s">
        <v>2281</v>
      </c>
      <c r="I53" s="1748">
        <v>1.6155088852988799</v>
      </c>
      <c r="J53" s="1747" t="s">
        <v>5195</v>
      </c>
      <c r="K53" s="1747">
        <v>61.9</v>
      </c>
      <c r="L53" s="1775">
        <v>0.38100000000000001</v>
      </c>
      <c r="M53" s="1732"/>
    </row>
    <row r="54" spans="1:13" x14ac:dyDescent="0.2">
      <c r="A54" s="1171" t="s">
        <v>3877</v>
      </c>
      <c r="C54" s="1177" t="s">
        <v>7485</v>
      </c>
      <c r="D54" s="1169" t="s">
        <v>3567</v>
      </c>
      <c r="E54" s="1176">
        <v>0.45</v>
      </c>
      <c r="G54" s="1749" t="s">
        <v>3069</v>
      </c>
      <c r="H54" s="1749" t="s">
        <v>3070</v>
      </c>
      <c r="I54" s="1749">
        <v>1.25</v>
      </c>
      <c r="J54" s="1770" t="s">
        <v>921</v>
      </c>
      <c r="K54" s="1770">
        <v>80</v>
      </c>
      <c r="L54" s="1773">
        <v>0.2</v>
      </c>
      <c r="M54" s="1733">
        <f>100/61.9</f>
        <v>1.6155088852988693</v>
      </c>
    </row>
    <row r="55" spans="1:13" x14ac:dyDescent="0.2">
      <c r="C55" s="2986" t="s">
        <v>6764</v>
      </c>
      <c r="D55" s="2988" t="s">
        <v>6765</v>
      </c>
      <c r="E55" s="3017">
        <v>0.19</v>
      </c>
    </row>
    <row r="56" spans="1:13" x14ac:dyDescent="0.2">
      <c r="C56" s="1177" t="s">
        <v>5845</v>
      </c>
      <c r="D56" s="1178" t="s">
        <v>5024</v>
      </c>
      <c r="E56" s="1176">
        <v>0.2</v>
      </c>
    </row>
    <row r="57" spans="1:13" x14ac:dyDescent="0.2">
      <c r="C57" s="2986" t="s">
        <v>6762</v>
      </c>
      <c r="D57" s="2988" t="s">
        <v>6763</v>
      </c>
      <c r="E57" s="3017">
        <v>0.21</v>
      </c>
    </row>
    <row r="58" spans="1:13" x14ac:dyDescent="0.2">
      <c r="C58" s="1177" t="s">
        <v>7723</v>
      </c>
      <c r="D58" s="1178" t="s">
        <v>5025</v>
      </c>
      <c r="E58" s="1176">
        <v>0.41</v>
      </c>
    </row>
    <row r="59" spans="1:13" x14ac:dyDescent="0.2">
      <c r="C59" s="1177" t="s">
        <v>5822</v>
      </c>
      <c r="D59" s="1178" t="s">
        <v>5026</v>
      </c>
      <c r="E59" s="1176">
        <v>0.46</v>
      </c>
    </row>
    <row r="60" spans="1:13" x14ac:dyDescent="0.2">
      <c r="C60" s="3229" t="s">
        <v>7721</v>
      </c>
      <c r="D60" s="3230" t="s">
        <v>7519</v>
      </c>
      <c r="E60" s="3231">
        <v>0.2</v>
      </c>
    </row>
    <row r="61" spans="1:13" x14ac:dyDescent="0.2">
      <c r="C61" s="3232" t="s">
        <v>7722</v>
      </c>
      <c r="D61" s="3233" t="s">
        <v>7520</v>
      </c>
      <c r="E61" s="3231">
        <v>0.4</v>
      </c>
    </row>
    <row r="62" spans="1:13" x14ac:dyDescent="0.2">
      <c r="C62" s="3229" t="s">
        <v>7536</v>
      </c>
      <c r="D62" s="3230" t="s">
        <v>7521</v>
      </c>
      <c r="E62" s="3231">
        <v>0.45</v>
      </c>
    </row>
    <row r="63" spans="1:13" x14ac:dyDescent="0.2">
      <c r="C63" s="1445" t="s">
        <v>3072</v>
      </c>
      <c r="D63" s="1446" t="s">
        <v>3071</v>
      </c>
      <c r="E63" s="1447">
        <v>0.1</v>
      </c>
    </row>
    <row r="64" spans="1:13" x14ac:dyDescent="0.2">
      <c r="C64" s="1179" t="s">
        <v>5160</v>
      </c>
      <c r="D64" s="1752" t="s">
        <v>5161</v>
      </c>
      <c r="E64" s="1176">
        <v>0</v>
      </c>
    </row>
    <row r="65" spans="3:5" x14ac:dyDescent="0.2">
      <c r="C65" s="1179" t="s">
        <v>5016</v>
      </c>
      <c r="D65" s="1752" t="s">
        <v>5018</v>
      </c>
      <c r="E65" s="1753">
        <v>7.4999999999999997E-2</v>
      </c>
    </row>
    <row r="66" spans="3:5" x14ac:dyDescent="0.2">
      <c r="C66" s="1179" t="s">
        <v>5015</v>
      </c>
      <c r="D66" s="1752" t="s">
        <v>5019</v>
      </c>
      <c r="E66" s="1753">
        <v>0.32500000000000001</v>
      </c>
    </row>
    <row r="67" spans="3:5" x14ac:dyDescent="0.2">
      <c r="C67" s="1179" t="s">
        <v>5017</v>
      </c>
      <c r="D67" s="1752" t="s">
        <v>5020</v>
      </c>
      <c r="E67" s="1753">
        <v>0.38100000000000001</v>
      </c>
    </row>
    <row r="68" spans="3:5" x14ac:dyDescent="0.2">
      <c r="C68" s="1168" t="s">
        <v>2177</v>
      </c>
      <c r="D68" s="1169" t="s">
        <v>3458</v>
      </c>
      <c r="E68" s="1182">
        <v>0.3</v>
      </c>
    </row>
    <row r="69" spans="3:5" x14ac:dyDescent="0.2">
      <c r="C69" s="1168" t="s">
        <v>2179</v>
      </c>
      <c r="D69" s="1169" t="s">
        <v>1832</v>
      </c>
      <c r="E69" s="1176">
        <v>0.3</v>
      </c>
    </row>
    <row r="70" spans="3:5" x14ac:dyDescent="0.2">
      <c r="C70" s="1179" t="s">
        <v>5191</v>
      </c>
      <c r="D70" s="1180" t="s">
        <v>2363</v>
      </c>
      <c r="E70" s="1183">
        <v>0.5</v>
      </c>
    </row>
    <row r="71" spans="3:5" x14ac:dyDescent="0.2">
      <c r="C71" s="1168" t="s">
        <v>2600</v>
      </c>
      <c r="D71" s="1178" t="s">
        <v>841</v>
      </c>
      <c r="E71" s="1176">
        <v>0.05</v>
      </c>
    </row>
    <row r="72" spans="3:5" x14ac:dyDescent="0.2">
      <c r="C72" s="1168" t="s">
        <v>2178</v>
      </c>
      <c r="D72" s="1178" t="s">
        <v>7374</v>
      </c>
      <c r="E72" s="1182">
        <v>0.3</v>
      </c>
    </row>
    <row r="73" spans="3:5" x14ac:dyDescent="0.2">
      <c r="C73" s="1177" t="s">
        <v>4309</v>
      </c>
      <c r="D73" s="1169" t="s">
        <v>3073</v>
      </c>
      <c r="E73" s="1176">
        <v>0.1</v>
      </c>
    </row>
    <row r="74" spans="3:5" x14ac:dyDescent="0.2">
      <c r="C74" s="1177" t="s">
        <v>5192</v>
      </c>
      <c r="D74" s="1169" t="s">
        <v>3008</v>
      </c>
      <c r="E74" s="1182">
        <v>0.1</v>
      </c>
    </row>
    <row r="75" spans="3:5" x14ac:dyDescent="0.2">
      <c r="C75" s="1177" t="s">
        <v>5193</v>
      </c>
      <c r="D75" s="3358" t="s">
        <v>7668</v>
      </c>
      <c r="E75" s="1182">
        <v>0.1</v>
      </c>
    </row>
    <row r="76" spans="3:5" x14ac:dyDescent="0.2">
      <c r="C76" s="1177" t="s">
        <v>5194</v>
      </c>
      <c r="D76" s="3358" t="s">
        <v>7669</v>
      </c>
      <c r="E76" s="1182">
        <v>0.2</v>
      </c>
    </row>
    <row r="77" spans="3:5" x14ac:dyDescent="0.2">
      <c r="C77" s="1177" t="s">
        <v>5189</v>
      </c>
      <c r="D77" s="3358" t="s">
        <v>7670</v>
      </c>
      <c r="E77" s="1754">
        <v>0.18</v>
      </c>
    </row>
    <row r="78" spans="3:5" x14ac:dyDescent="0.2">
      <c r="C78" s="1177" t="s">
        <v>5190</v>
      </c>
      <c r="D78" s="3358" t="s">
        <v>7671</v>
      </c>
      <c r="E78" s="1754">
        <v>0.28000000000000003</v>
      </c>
    </row>
    <row r="80" spans="3:5" x14ac:dyDescent="0.2">
      <c r="C80" s="779" t="s">
        <v>6921</v>
      </c>
    </row>
    <row r="81" spans="3:12" x14ac:dyDescent="0.2">
      <c r="C81" s="1177" t="s">
        <v>4124</v>
      </c>
      <c r="D81" s="1169" t="s">
        <v>613</v>
      </c>
      <c r="E81" s="1170">
        <v>5000</v>
      </c>
      <c r="H81" s="1755"/>
    </row>
    <row r="82" spans="3:12" x14ac:dyDescent="0.2">
      <c r="C82" s="2986" t="s">
        <v>6758</v>
      </c>
      <c r="D82" s="2987" t="s">
        <v>6759</v>
      </c>
      <c r="E82" s="3027">
        <v>2049</v>
      </c>
      <c r="F82" s="1171"/>
      <c r="G82" s="1171"/>
      <c r="H82" s="1171"/>
      <c r="I82" s="1171"/>
      <c r="J82" s="1171"/>
      <c r="K82" s="1171"/>
      <c r="L82" s="1171"/>
    </row>
    <row r="83" spans="3:12" x14ac:dyDescent="0.2">
      <c r="C83" s="1177" t="s">
        <v>4236</v>
      </c>
      <c r="D83" s="1178" t="s">
        <v>6216</v>
      </c>
      <c r="E83" s="3021">
        <v>32500</v>
      </c>
      <c r="G83" s="1758">
        <f>BR_band-SR_band</f>
        <v>32500</v>
      </c>
      <c r="H83" s="1756" t="s">
        <v>5029</v>
      </c>
    </row>
    <row r="84" spans="3:12" x14ac:dyDescent="0.2">
      <c r="C84" s="1168" t="s">
        <v>609</v>
      </c>
      <c r="D84" s="1169" t="s">
        <v>2172</v>
      </c>
      <c r="E84" s="3021">
        <v>37500</v>
      </c>
      <c r="H84" s="1755"/>
    </row>
    <row r="85" spans="3:12" x14ac:dyDescent="0.2">
      <c r="C85" s="1177" t="s">
        <v>6217</v>
      </c>
      <c r="D85" s="1178" t="s">
        <v>2015</v>
      </c>
      <c r="E85" s="3021">
        <v>10395</v>
      </c>
      <c r="G85" s="1843" t="s">
        <v>6276</v>
      </c>
      <c r="H85" s="979" t="s">
        <v>6278</v>
      </c>
    </row>
    <row r="86" spans="3:12" x14ac:dyDescent="0.2">
      <c r="C86" s="2986" t="s">
        <v>6760</v>
      </c>
      <c r="D86" s="2988" t="s">
        <v>6761</v>
      </c>
      <c r="E86" s="3027">
        <v>18486</v>
      </c>
      <c r="F86" s="1171"/>
      <c r="G86" s="1171"/>
      <c r="H86" s="1171"/>
      <c r="I86" s="1171"/>
      <c r="J86" s="1171"/>
      <c r="K86" s="1171"/>
      <c r="L86" s="1171"/>
    </row>
    <row r="87" spans="3:12" x14ac:dyDescent="0.2">
      <c r="C87" s="1177" t="s">
        <v>4272</v>
      </c>
      <c r="D87" s="1169" t="s">
        <v>2173</v>
      </c>
      <c r="E87" s="3021">
        <v>112500</v>
      </c>
      <c r="G87" s="1758">
        <f>AHR_band-BR_band</f>
        <v>112500</v>
      </c>
      <c r="H87" s="1757" t="s">
        <v>6220</v>
      </c>
    </row>
    <row r="88" spans="3:12" x14ac:dyDescent="0.2">
      <c r="C88" s="1177" t="s">
        <v>6218</v>
      </c>
      <c r="D88" s="1178" t="s">
        <v>6219</v>
      </c>
      <c r="E88" s="3021">
        <v>119070</v>
      </c>
      <c r="G88" s="1758">
        <f>SAHR_band-(SBR_band+SSR_band+SIR_band)</f>
        <v>119070</v>
      </c>
      <c r="H88" s="1757" t="s">
        <v>6277</v>
      </c>
    </row>
    <row r="89" spans="3:12" x14ac:dyDescent="0.2">
      <c r="C89" s="1177" t="s">
        <v>3300</v>
      </c>
      <c r="D89" s="1169" t="s">
        <v>2418</v>
      </c>
      <c r="E89" s="1170">
        <v>150000</v>
      </c>
    </row>
    <row r="90" spans="3:12" x14ac:dyDescent="0.2">
      <c r="C90" s="1177" t="s">
        <v>6221</v>
      </c>
      <c r="D90" s="1178" t="s">
        <v>6222</v>
      </c>
      <c r="E90" s="1170">
        <v>150000</v>
      </c>
    </row>
    <row r="91" spans="3:12" x14ac:dyDescent="0.2">
      <c r="C91" s="2737" t="s">
        <v>6291</v>
      </c>
      <c r="D91" s="2738" t="s">
        <v>6289</v>
      </c>
      <c r="E91" s="3023">
        <v>8632</v>
      </c>
      <c r="F91" s="2008"/>
      <c r="G91" s="2739" t="s">
        <v>6293</v>
      </c>
    </row>
    <row r="92" spans="3:12" x14ac:dyDescent="0.2">
      <c r="C92" s="2737" t="s">
        <v>6292</v>
      </c>
      <c r="D92" s="2738" t="s">
        <v>6290</v>
      </c>
      <c r="E92" s="3023">
        <v>50000</v>
      </c>
      <c r="F92" s="2008"/>
      <c r="G92" s="2739" t="s">
        <v>6293</v>
      </c>
    </row>
    <row r="93" spans="3:12" x14ac:dyDescent="0.2">
      <c r="C93" s="1177" t="s">
        <v>4277</v>
      </c>
      <c r="D93" s="1178" t="s">
        <v>4276</v>
      </c>
      <c r="E93" s="3024">
        <v>3</v>
      </c>
      <c r="G93" s="1757" t="s">
        <v>4575</v>
      </c>
    </row>
    <row r="94" spans="3:12" x14ac:dyDescent="0.2">
      <c r="C94" s="1177" t="s">
        <v>4442</v>
      </c>
      <c r="D94" s="1178" t="s">
        <v>4443</v>
      </c>
      <c r="E94" s="3024">
        <v>159</v>
      </c>
      <c r="G94" s="1758">
        <f>NIC2_weekamt*53</f>
        <v>159</v>
      </c>
      <c r="H94" s="1757" t="s">
        <v>5027</v>
      </c>
    </row>
    <row r="95" spans="3:12" x14ac:dyDescent="0.2">
      <c r="C95" s="1177" t="s">
        <v>4576</v>
      </c>
      <c r="D95" s="1178" t="s">
        <v>4568</v>
      </c>
      <c r="E95" s="3024">
        <v>3.65</v>
      </c>
      <c r="G95" s="7" t="s">
        <v>4559</v>
      </c>
    </row>
    <row r="96" spans="3:12" x14ac:dyDescent="0.2">
      <c r="C96" s="1177" t="s">
        <v>4577</v>
      </c>
      <c r="D96" s="1178" t="s">
        <v>4569</v>
      </c>
      <c r="E96" s="3024">
        <v>193.45</v>
      </c>
      <c r="G96" s="1758">
        <f>NIC2SF_weekamt*53</f>
        <v>193.45</v>
      </c>
      <c r="H96" s="1757" t="s">
        <v>5028</v>
      </c>
    </row>
    <row r="97" spans="1:10" x14ac:dyDescent="0.2">
      <c r="C97" s="1177" t="s">
        <v>4271</v>
      </c>
      <c r="D97" s="1178" t="s">
        <v>4270</v>
      </c>
      <c r="E97" s="3024">
        <v>6365</v>
      </c>
    </row>
    <row r="98" spans="1:10" x14ac:dyDescent="0.2">
      <c r="C98" s="2740" t="s">
        <v>6303</v>
      </c>
      <c r="D98" s="2741" t="s">
        <v>6304</v>
      </c>
      <c r="E98" s="3025">
        <v>962</v>
      </c>
      <c r="F98" s="2742"/>
      <c r="G98" s="2742" t="s">
        <v>6305</v>
      </c>
    </row>
    <row r="99" spans="1:10" x14ac:dyDescent="0.2">
      <c r="C99" s="2740" t="s">
        <v>6306</v>
      </c>
      <c r="D99" s="2741" t="s">
        <v>6307</v>
      </c>
      <c r="E99" s="3025">
        <v>166</v>
      </c>
      <c r="F99" s="2742"/>
      <c r="G99" s="2742" t="s">
        <v>6305</v>
      </c>
    </row>
    <row r="100" spans="1:10" x14ac:dyDescent="0.2">
      <c r="C100" s="1168" t="s">
        <v>4029</v>
      </c>
      <c r="D100" s="1169" t="s">
        <v>1170</v>
      </c>
      <c r="E100" s="3021">
        <v>50000</v>
      </c>
    </row>
    <row r="101" spans="1:10" x14ac:dyDescent="0.2">
      <c r="C101" s="1168" t="s">
        <v>4030</v>
      </c>
      <c r="D101" s="1169" t="s">
        <v>1837</v>
      </c>
      <c r="E101" s="3021">
        <v>8632</v>
      </c>
    </row>
    <row r="102" spans="1:10" x14ac:dyDescent="0.2">
      <c r="C102" s="1168" t="s">
        <v>1171</v>
      </c>
      <c r="D102" s="1169" t="s">
        <v>4009</v>
      </c>
      <c r="E102" s="3021">
        <v>41368</v>
      </c>
      <c r="G102" s="1758">
        <f>NIC_UEL-NIC_LEL</f>
        <v>41368</v>
      </c>
      <c r="H102" s="1757" t="s">
        <v>5031</v>
      </c>
    </row>
    <row r="103" spans="1:10" x14ac:dyDescent="0.2">
      <c r="C103" s="1168" t="s">
        <v>4028</v>
      </c>
      <c r="D103" s="1169" t="s">
        <v>3825</v>
      </c>
      <c r="E103" s="3026">
        <v>3723.12</v>
      </c>
      <c r="G103" s="1758">
        <f>NIC_Band*NIC_rate</f>
        <v>3723.12</v>
      </c>
      <c r="H103" s="1757" t="s">
        <v>5030</v>
      </c>
    </row>
    <row r="104" spans="1:10" x14ac:dyDescent="0.2">
      <c r="C104" s="1177" t="s">
        <v>5130</v>
      </c>
      <c r="D104" s="1178" t="s">
        <v>5132</v>
      </c>
      <c r="E104" s="3022">
        <v>18935</v>
      </c>
    </row>
    <row r="105" spans="1:10" x14ac:dyDescent="0.2">
      <c r="C105" s="1177" t="s">
        <v>5131</v>
      </c>
      <c r="D105" s="1178" t="s">
        <v>5133</v>
      </c>
      <c r="E105" s="3022">
        <v>25725</v>
      </c>
    </row>
    <row r="106" spans="1:10" x14ac:dyDescent="0.2">
      <c r="C106" s="3222" t="s">
        <v>8017</v>
      </c>
      <c r="D106" s="3223" t="s">
        <v>7443</v>
      </c>
      <c r="E106" s="3224">
        <v>21000</v>
      </c>
    </row>
    <row r="107" spans="1:10" x14ac:dyDescent="0.2">
      <c r="C107" s="1177" t="s">
        <v>4125</v>
      </c>
      <c r="D107" s="1169" t="s">
        <v>1182</v>
      </c>
      <c r="E107" s="1170">
        <v>2000</v>
      </c>
    </row>
    <row r="108" spans="1:10" x14ac:dyDescent="0.2">
      <c r="C108" s="3228"/>
      <c r="D108" s="32"/>
      <c r="E108" s="3234"/>
    </row>
    <row r="110" spans="1:10" x14ac:dyDescent="0.2">
      <c r="C110" s="1759" t="s">
        <v>1183</v>
      </c>
      <c r="J110" s="541" t="str">
        <f><![CDATA[IF(ppr_extender<1000,ppr_extender,H111&","&IF(I111<10,"00"&I111,IF(I111<100,"0"&I111,I111)))]]></f>
        <v>1,000</v>
      </c>
    </row>
    <row r="111" spans="1:10" x14ac:dyDescent="0.2">
      <c r="A111" s="1171" t="s">
        <v>2491</v>
      </c>
      <c r="C111" s="1168" t="s">
        <v>1835</v>
      </c>
      <c r="D111" s="1169" t="s">
        <v>1836</v>
      </c>
      <c r="E111" s="1184">
        <v>1000</v>
      </c>
      <c r="G111" s="538" t="s">
        <v>2884</v>
      </c>
      <c r="H111" s="538">
        <f>TRUNC(ppr_extender/1000,0)</f>
        <v>1</v>
      </c>
      <c r="I111" s="538">
        <f>ppr_extender-(H111*1000)</f>
        <v>0</v>
      </c>
      <c r="J111" s="541">
        <f><![CDATA[IF(gift_extender<1000,gift_extender,H112&","&IF(I112<10,"00"&I112,IF(I112<100,"0"&I112,I112)))]]></f>
        <v>625</v>
      </c>
    </row>
    <row r="112" spans="1:10" x14ac:dyDescent="0.2">
      <c r="C112" s="1177" t="s">
        <v>4126</v>
      </c>
      <c r="D112" s="1178" t="s">
        <v>7343</v>
      </c>
      <c r="E112" s="1184">
        <v>30000</v>
      </c>
      <c r="G112" s="538" t="s">
        <v>2560</v>
      </c>
      <c r="H112" s="538">
        <f>TRUNC(gift_extender/1000,0)</f>
        <v>0</v>
      </c>
      <c r="I112" s="538">
        <f>gift_extender-(H112*1000)</f>
        <v>625</v>
      </c>
      <c r="J112" s="541" t="str">
        <f><![CDATA[IF(extended_BR<1000,extended_BR,H113&","&IF(I113<10,"00"&I113,IF(I113<100,"0"&I113,I113)))]]></f>
        <v>39,125</v>
      </c>
    </row>
    <row r="113" spans="3:10" x14ac:dyDescent="0.2">
      <c r="C113" s="1168" t="s">
        <v>3080</v>
      </c>
      <c r="D113" s="1178" t="s">
        <v>6923</v>
      </c>
      <c r="E113" s="1170">
        <v>60000</v>
      </c>
      <c r="G113" s="538" t="s">
        <v>1160</v>
      </c>
      <c r="H113" s="538">
        <f>TRUNC(extended_BR/1000,0)</f>
        <v>39</v>
      </c>
      <c r="I113" s="538">
        <f>extended_BR-(H113*1000)</f>
        <v>125</v>
      </c>
      <c r="J113" s="541" t="str">
        <f><![CDATA[IF((extended_BR+SR_band)<1000,(extended_BR+SR_band),H114&","&IF(I114<10,"00"&I114,IF(I114<100,"0"&I114,I114)))]]></f>
        <v>44,125</v>
      </c>
    </row>
    <row r="114" spans="3:10" x14ac:dyDescent="0.2">
      <c r="C114" s="1177" t="s">
        <v>4127</v>
      </c>
      <c r="D114" s="1178" t="s">
        <v>4128</v>
      </c>
      <c r="E114" s="1184">
        <v>2000</v>
      </c>
      <c r="G114" s="538" t="s">
        <v>1161</v>
      </c>
      <c r="H114" s="538">
        <f>TRUNC((extended_BR+SR_band)/1000,0)</f>
        <v>44</v>
      </c>
      <c r="I114" s="538">
        <f>(extended_BR+SR_band)-(H114*1000)</f>
        <v>125</v>
      </c>
      <c r="J114" s="541" t="str">
        <f><![CDATA[IF((SR_band)<1000,(SR_band),H115&","&IF(I115<10,"00"&I115,IF(I115<100,"0"&I115,I115)))]]></f>
        <v>5,000</v>
      </c>
    </row>
    <row r="115" spans="3:10" x14ac:dyDescent="0.2">
      <c r="C115" s="1168" t="s">
        <v>930</v>
      </c>
      <c r="D115" s="1169" t="s">
        <v>931</v>
      </c>
      <c r="E115" s="1184">
        <v>3000</v>
      </c>
      <c r="G115" s="538" t="s">
        <v>1162</v>
      </c>
      <c r="H115" s="538">
        <f>TRUNC((SR_band)/1000,0)</f>
        <v>5</v>
      </c>
      <c r="I115" s="538">
        <f>(SR_band)-(H115*1000)</f>
        <v>0</v>
      </c>
    </row>
    <row r="116" spans="3:10" x14ac:dyDescent="0.2">
      <c r="C116" s="1168" t="s">
        <v>2458</v>
      </c>
      <c r="D116" s="1169" t="s">
        <v>2459</v>
      </c>
      <c r="E116" s="1170">
        <v>50000</v>
      </c>
    </row>
    <row r="117" spans="3:10" x14ac:dyDescent="0.2">
      <c r="C117" s="1168" t="s">
        <v>3052</v>
      </c>
      <c r="D117" s="1169" t="s">
        <v>3053</v>
      </c>
      <c r="E117" s="1185">
        <v>0.01</v>
      </c>
    </row>
    <row r="119" spans="3:10" x14ac:dyDescent="0.2">
      <c r="C119" s="779" t="s">
        <v>605</v>
      </c>
    </row>
    <row r="120" spans="3:10" x14ac:dyDescent="0.2">
      <c r="C120" s="1168" t="s">
        <v>3148</v>
      </c>
      <c r="D120" s="1169" t="s">
        <v>2175</v>
      </c>
      <c r="E120" s="3021">
        <v>12500</v>
      </c>
    </row>
    <row r="121" spans="3:10" x14ac:dyDescent="0.2">
      <c r="C121" s="1168" t="s">
        <v>3085</v>
      </c>
      <c r="D121" s="1169" t="s">
        <v>2594</v>
      </c>
      <c r="E121" s="3021">
        <v>29600</v>
      </c>
    </row>
    <row r="122" spans="3:10" x14ac:dyDescent="0.2">
      <c r="C122" s="1168" t="s">
        <v>2420</v>
      </c>
      <c r="D122" s="1169" t="s">
        <v>2419</v>
      </c>
      <c r="E122" s="1170">
        <v>100000</v>
      </c>
    </row>
    <row r="123" spans="3:10" x14ac:dyDescent="0.2">
      <c r="C123" s="1168" t="s">
        <v>3086</v>
      </c>
      <c r="D123" s="1169" t="s">
        <v>3087</v>
      </c>
      <c r="E123" s="1182">
        <v>0.5</v>
      </c>
    </row>
    <row r="124" spans="3:10" x14ac:dyDescent="0.2">
      <c r="C124" s="1177" t="s">
        <v>5008</v>
      </c>
      <c r="D124" s="1178" t="s">
        <v>5009</v>
      </c>
      <c r="E124" s="1170">
        <v>1000</v>
      </c>
    </row>
    <row r="125" spans="3:10" x14ac:dyDescent="0.2">
      <c r="C125" s="1177" t="s">
        <v>5010</v>
      </c>
      <c r="D125" s="1178" t="s">
        <v>5011</v>
      </c>
      <c r="E125" s="1170">
        <v>500</v>
      </c>
    </row>
    <row r="126" spans="3:10" x14ac:dyDescent="0.2">
      <c r="C126" s="1177" t="s">
        <v>5012</v>
      </c>
      <c r="D126" s="1178" t="s">
        <v>5013</v>
      </c>
      <c r="E126" s="1170">
        <v>0</v>
      </c>
    </row>
    <row r="127" spans="3:10" x14ac:dyDescent="0.2">
      <c r="C127" s="1177" t="s">
        <v>5053</v>
      </c>
      <c r="D127" s="1178" t="s">
        <v>6122</v>
      </c>
      <c r="E127" s="1170">
        <v>2000</v>
      </c>
    </row>
    <row r="128" spans="3:10" x14ac:dyDescent="0.2">
      <c r="C128" s="1177" t="s">
        <v>4032</v>
      </c>
      <c r="D128" s="1178" t="s">
        <v>4033</v>
      </c>
      <c r="E128" s="3022">
        <v>1250</v>
      </c>
      <c r="G128" s="938">
        <f>CEILING(P_A*10%,10)</f>
        <v>1250</v>
      </c>
    </row>
    <row r="129" spans="1:10" x14ac:dyDescent="0.2">
      <c r="C129" s="1168" t="s">
        <v>3613</v>
      </c>
      <c r="D129" s="1169" t="s">
        <v>614</v>
      </c>
      <c r="E129" s="3021">
        <v>3450</v>
      </c>
    </row>
    <row r="130" spans="1:10" x14ac:dyDescent="0.2">
      <c r="C130" s="1168" t="s">
        <v>3614</v>
      </c>
      <c r="D130" s="1169" t="s">
        <v>3615</v>
      </c>
      <c r="E130" s="3021">
        <v>1725</v>
      </c>
      <c r="G130" s="938">
        <f>MCA/2</f>
        <v>1725</v>
      </c>
    </row>
    <row r="131" spans="1:10" x14ac:dyDescent="0.2">
      <c r="C131" s="1168" t="s">
        <v>3611</v>
      </c>
      <c r="D131" s="1169" t="s">
        <v>3612</v>
      </c>
      <c r="E131" s="3022">
        <v>8915</v>
      </c>
      <c r="G131" s="1186"/>
    </row>
    <row r="132" spans="1:10" x14ac:dyDescent="0.2">
      <c r="C132" s="1168" t="s">
        <v>3413</v>
      </c>
      <c r="D132" s="1169" t="s">
        <v>971</v>
      </c>
      <c r="E132" s="3021">
        <v>2450</v>
      </c>
    </row>
    <row r="133" spans="1:10" x14ac:dyDescent="0.2">
      <c r="C133" s="1168" t="s">
        <v>3697</v>
      </c>
      <c r="D133" s="1169" t="s">
        <v>896</v>
      </c>
      <c r="E133" s="3021">
        <v>3450</v>
      </c>
      <c r="G133" s="938">
        <f>MCA</f>
        <v>3450</v>
      </c>
      <c r="H133" s="1757" t="s">
        <v>5023</v>
      </c>
    </row>
    <row r="134" spans="1:10" x14ac:dyDescent="0.2">
      <c r="C134" s="1168" t="s">
        <v>3636</v>
      </c>
      <c r="D134" s="1169" t="s">
        <v>586</v>
      </c>
      <c r="E134" s="3021">
        <v>12000</v>
      </c>
    </row>
    <row r="135" spans="1:10" x14ac:dyDescent="0.2">
      <c r="C135" s="1168" t="s">
        <v>706</v>
      </c>
      <c r="D135" s="1169" t="s">
        <v>708</v>
      </c>
      <c r="E135" s="1170">
        <v>50000</v>
      </c>
    </row>
    <row r="136" spans="1:10" x14ac:dyDescent="0.2">
      <c r="C136" s="1168" t="s">
        <v>707</v>
      </c>
      <c r="D136" s="1169" t="s">
        <v>709</v>
      </c>
      <c r="E136" s="1182">
        <v>0.25</v>
      </c>
    </row>
    <row r="138" spans="1:10" x14ac:dyDescent="0.2">
      <c r="C138" s="779" t="s">
        <v>3088</v>
      </c>
      <c r="H138" s="7" t="s">
        <v>2053</v>
      </c>
      <c r="I138" s="7">
        <v>1</v>
      </c>
      <c r="J138" s="7" t="s">
        <v>2054</v>
      </c>
    </row>
    <row r="139" spans="1:10" x14ac:dyDescent="0.2">
      <c r="C139" s="1168" t="s">
        <v>1057</v>
      </c>
      <c r="D139" s="1169" t="s">
        <v>1056</v>
      </c>
      <c r="E139" s="1187">
        <v>1935</v>
      </c>
      <c r="F139" s="3019" t="s">
        <v>41</v>
      </c>
      <c r="H139" s="1760">
        <f ca="1">NOW()</f>
        <v>43790.092280902776</v>
      </c>
      <c r="I139" s="7">
        <v>2</v>
      </c>
      <c r="J139" s="7" t="s">
        <v>2055</v>
      </c>
    </row>
    <row r="140" spans="1:10" x14ac:dyDescent="0.2">
      <c r="C140" s="1474" t="s">
        <v>897</v>
      </c>
      <c r="D140" s="1475" t="s">
        <v>2384</v>
      </c>
      <c r="E140" s="3020" t="str">
        <f>20&amp;F139</f>
        <v>2019</v>
      </c>
      <c r="F140" s="3019" t="s">
        <v>43</v>
      </c>
      <c r="H140" s="1761">
        <f>'Add pages'!I5</f>
        <v>0</v>
      </c>
      <c r="I140" s="7">
        <v>3</v>
      </c>
      <c r="J140" s="7" t="s">
        <v>1395</v>
      </c>
    </row>
    <row r="141" spans="1:10" x14ac:dyDescent="0.2">
      <c r="C141" s="1474" t="s">
        <v>945</v>
      </c>
      <c r="D141" s="1475" t="s">
        <v>1055</v>
      </c>
      <c r="E141" s="3020" t="str">
        <f>20&amp;F140</f>
        <v>2020</v>
      </c>
      <c r="F141" s="3019" t="s">
        <v>45</v>
      </c>
      <c r="H141" s="7">
        <f ca="1">IF(H140=0,H139,H140)</f>
        <v>43790.092280902776</v>
      </c>
      <c r="I141" s="7">
        <v>4</v>
      </c>
      <c r="J141" s="7" t="s">
        <v>1396</v>
      </c>
    </row>
    <row r="142" spans="1:10" x14ac:dyDescent="0.2">
      <c r="C142" s="1474" t="s">
        <v>1508</v>
      </c>
      <c r="D142" s="1475" t="s">
        <v>1509</v>
      </c>
      <c r="E142" s="3020" t="str">
        <f>20&amp;F141</f>
        <v>2021</v>
      </c>
      <c r="H142" s="7" t="str">
        <f ca="1">DAY(H141)&amp;" "&amp;VLOOKUP(MONTH(H141),I138:J149,2)&amp;" "&amp;YEAR(H141)</f>
        <v>21 November 2019</v>
      </c>
      <c r="I142" s="7">
        <v>5</v>
      </c>
      <c r="J142" s="7" t="s">
        <v>1397</v>
      </c>
    </row>
    <row r="143" spans="1:10" x14ac:dyDescent="0.2">
      <c r="A143" s="1171" t="s">
        <v>3657</v>
      </c>
      <c r="C143" s="1171"/>
      <c r="D143" s="1171"/>
      <c r="E143" s="1171"/>
      <c r="F143" s="1171"/>
      <c r="I143" s="7">
        <v>6</v>
      </c>
      <c r="J143" s="7" t="s">
        <v>1398</v>
      </c>
    </row>
    <row r="144" spans="1:10" x14ac:dyDescent="0.2">
      <c r="C144" s="1171"/>
      <c r="D144" s="1171"/>
      <c r="E144" s="1171"/>
      <c r="F144" s="1171"/>
      <c r="I144" s="7">
        <v>7</v>
      </c>
      <c r="J144" s="7" t="s">
        <v>1399</v>
      </c>
    </row>
    <row r="145" spans="1:10" x14ac:dyDescent="0.2">
      <c r="I145" s="7">
        <v>8</v>
      </c>
      <c r="J145" s="7" t="s">
        <v>1400</v>
      </c>
    </row>
    <row r="146" spans="1:10" x14ac:dyDescent="0.2">
      <c r="C146" s="1474" t="s">
        <v>1058</v>
      </c>
      <c r="D146" s="1475" t="s">
        <v>1059</v>
      </c>
      <c r="E146" s="3018" t="str">
        <f>Tax_year_start&amp;"-"&amp;F140</f>
        <v>2019-20</v>
      </c>
      <c r="I146" s="7">
        <v>9</v>
      </c>
      <c r="J146" s="7" t="s">
        <v>1602</v>
      </c>
    </row>
    <row r="147" spans="1:10" x14ac:dyDescent="0.2">
      <c r="C147" s="1474" t="s">
        <v>1060</v>
      </c>
      <c r="D147" s="1475" t="s">
        <v>1061</v>
      </c>
      <c r="E147" s="3018" t="str">
        <f>Tax_year_end&amp;"-"&amp;F141</f>
        <v>2020-21</v>
      </c>
      <c r="I147" s="7">
        <v>10</v>
      </c>
      <c r="J147" s="7" t="s">
        <v>1603</v>
      </c>
    </row>
    <row r="148" spans="1:10" x14ac:dyDescent="0.2">
      <c r="A148" s="1171" t="s">
        <v>3658</v>
      </c>
      <c r="C148" s="1474" t="s">
        <v>2489</v>
      </c>
      <c r="D148" s="1475" t="s">
        <v>2490</v>
      </c>
      <c r="E148" s="3018" t="str">
        <f>Tax_year_start-1&amp;"-"&amp;F139</f>
        <v>2018-19</v>
      </c>
      <c r="I148" s="7">
        <v>11</v>
      </c>
      <c r="J148" s="7" t="s">
        <v>1604</v>
      </c>
    </row>
    <row r="149" spans="1:10" x14ac:dyDescent="0.2">
      <c r="C149" s="32"/>
      <c r="D149" s="32"/>
      <c r="E149" s="1762"/>
      <c r="I149" s="7">
        <v>12</v>
      </c>
      <c r="J149" s="7" t="s">
        <v>1605</v>
      </c>
    </row>
    <row r="150" spans="1:10" x14ac:dyDescent="0.2">
      <c r="C150" s="779" t="s">
        <v>6922</v>
      </c>
    </row>
    <row r="151" spans="1:10" x14ac:dyDescent="0.2">
      <c r="A151" s="1175" t="s">
        <v>614</v>
      </c>
      <c r="C151" s="538" t="s">
        <v>3306</v>
      </c>
      <c r="D151" s="538" t="s">
        <v>3308</v>
      </c>
      <c r="E151" s="780">
        <v>0.55000000000000004</v>
      </c>
    </row>
    <row r="152" spans="1:10" x14ac:dyDescent="0.2">
      <c r="C152" s="538" t="s">
        <v>3307</v>
      </c>
      <c r="D152" s="538" t="s">
        <v>3309</v>
      </c>
      <c r="E152" s="780">
        <v>0.25</v>
      </c>
      <c r="H152" s="979" t="s">
        <v>5176</v>
      </c>
      <c r="I152" s="7">
        <v>1</v>
      </c>
      <c r="J152" s="7" t="s">
        <v>5177</v>
      </c>
    </row>
    <row r="153" spans="1:10" x14ac:dyDescent="0.2">
      <c r="C153" s="538" t="s">
        <v>3566</v>
      </c>
      <c r="D153" s="538" t="s">
        <v>1474</v>
      </c>
      <c r="E153" s="959">
        <v>40000</v>
      </c>
      <c r="H153" s="1760">
        <f ca="1">NOW()</f>
        <v>43790.092280902776</v>
      </c>
      <c r="I153" s="7">
        <v>2</v>
      </c>
      <c r="J153" s="7" t="s">
        <v>5178</v>
      </c>
    </row>
    <row r="154" spans="1:10" x14ac:dyDescent="0.2">
      <c r="C154" s="1188" t="s">
        <v>4396</v>
      </c>
      <c r="D154" s="1188" t="s">
        <v>4395</v>
      </c>
      <c r="E154" s="959">
        <v>4000</v>
      </c>
      <c r="H154" s="1761">
        <f>'Add pages'!I5</f>
        <v>0</v>
      </c>
      <c r="I154" s="7">
        <v>3</v>
      </c>
      <c r="J154" s="7" t="s">
        <v>5179</v>
      </c>
    </row>
    <row r="155" spans="1:10" x14ac:dyDescent="0.2">
      <c r="C155" s="538" t="s">
        <v>546</v>
      </c>
      <c r="D155" s="538" t="s">
        <v>2440</v>
      </c>
      <c r="E155" s="780">
        <v>0.4</v>
      </c>
      <c r="H155" s="7">
        <f ca="1">IF(H154=0,H153,H154)</f>
        <v>43790.092280902776</v>
      </c>
      <c r="I155" s="7">
        <v>4</v>
      </c>
      <c r="J155" s="7" t="s">
        <v>5180</v>
      </c>
    </row>
    <row r="156" spans="1:10" x14ac:dyDescent="0.2">
      <c r="C156" s="538" t="s">
        <v>5014</v>
      </c>
      <c r="D156" s="538" t="s">
        <v>2441</v>
      </c>
      <c r="E156" s="780">
        <v>0.4</v>
      </c>
      <c r="H156" s="7" t="str">
        <f ca="1">DAY(H155)&amp;" "&amp;VLOOKUP(MONTH(H155),I152:J163,2)&amp;" "&amp;YEAR(H155)</f>
        <v>21 Tachwedd 2019</v>
      </c>
      <c r="I156" s="7">
        <v>5</v>
      </c>
      <c r="J156" s="7" t="s">
        <v>5181</v>
      </c>
    </row>
    <row r="157" spans="1:10" x14ac:dyDescent="0.2">
      <c r="C157" s="538" t="s">
        <v>2486</v>
      </c>
      <c r="D157" s="1188" t="s">
        <v>4455</v>
      </c>
      <c r="E157" s="780">
        <v>0.55000000000000004</v>
      </c>
      <c r="I157" s="7">
        <v>6</v>
      </c>
      <c r="J157" s="7" t="s">
        <v>5182</v>
      </c>
    </row>
    <row r="158" spans="1:10" x14ac:dyDescent="0.2">
      <c r="C158" s="538" t="s">
        <v>2443</v>
      </c>
      <c r="D158" s="538" t="s">
        <v>2442</v>
      </c>
      <c r="E158" s="780">
        <v>0.2</v>
      </c>
      <c r="I158" s="7">
        <v>7</v>
      </c>
      <c r="J158" s="7" t="s">
        <v>5183</v>
      </c>
    </row>
    <row r="159" spans="1:10" x14ac:dyDescent="0.2">
      <c r="C159" s="538" t="s">
        <v>2047</v>
      </c>
      <c r="D159" s="538" t="s">
        <v>2048</v>
      </c>
      <c r="E159" s="847">
        <v>20000</v>
      </c>
      <c r="H159" s="979"/>
      <c r="I159" s="7">
        <v>8</v>
      </c>
      <c r="J159" s="7" t="s">
        <v>5184</v>
      </c>
    </row>
    <row r="160" spans="1:10" x14ac:dyDescent="0.2">
      <c r="B160" s="538">
        <v>1</v>
      </c>
      <c r="C160" s="538" t="s">
        <v>3304</v>
      </c>
      <c r="D160" s="538" t="s">
        <v>2049</v>
      </c>
      <c r="E160" s="780">
        <v>0.5</v>
      </c>
      <c r="G160" s="781"/>
      <c r="I160" s="7">
        <v>9</v>
      </c>
      <c r="J160" s="7" t="s">
        <v>5185</v>
      </c>
    </row>
    <row r="161" spans="1:10" x14ac:dyDescent="0.2">
      <c r="B161" s="538">
        <v>2</v>
      </c>
      <c r="C161" s="538" t="s">
        <v>2050</v>
      </c>
      <c r="D161" s="538" t="s">
        <v>2051</v>
      </c>
      <c r="E161" s="780">
        <v>0.45</v>
      </c>
      <c r="I161" s="7">
        <v>10</v>
      </c>
      <c r="J161" s="7" t="s">
        <v>5186</v>
      </c>
    </row>
    <row r="162" spans="1:10" x14ac:dyDescent="0.2">
      <c r="B162" s="538">
        <v>3</v>
      </c>
      <c r="C162" s="538" t="s">
        <v>6486</v>
      </c>
      <c r="D162" s="538" t="s">
        <v>6487</v>
      </c>
      <c r="E162" s="780">
        <v>0.25</v>
      </c>
      <c r="I162" s="7">
        <v>11</v>
      </c>
      <c r="J162" s="7" t="s">
        <v>5187</v>
      </c>
    </row>
    <row r="163" spans="1:10" x14ac:dyDescent="0.2">
      <c r="C163" s="538" t="s">
        <v>3305</v>
      </c>
      <c r="D163" s="538" t="s">
        <v>2052</v>
      </c>
      <c r="E163" s="840">
        <v>3600</v>
      </c>
      <c r="I163" s="7">
        <v>12</v>
      </c>
      <c r="J163" s="7" t="s">
        <v>5188</v>
      </c>
    </row>
    <row r="165" spans="1:10" x14ac:dyDescent="0.2">
      <c r="A165" s="1175" t="s">
        <v>2485</v>
      </c>
      <c r="C165" s="779" t="s">
        <v>5032</v>
      </c>
    </row>
    <row r="166" spans="1:10" x14ac:dyDescent="0.2">
      <c r="A166" s="1172" t="s">
        <v>4286</v>
      </c>
      <c r="B166" s="538">
        <v>1</v>
      </c>
      <c r="C166" s="1763" t="str">
        <f>"Before 6/4/"&amp;MCA_year&amp;" (age over "&amp;Tax_year_start-MCA_year&amp;")"</f>
        <v>Before 6/4/1935 (age over 84)</v>
      </c>
      <c r="D166" s="14" t="b">
        <f>tp_age_ind=1</f>
        <v>0</v>
      </c>
    </row>
    <row r="167" spans="1:10" x14ac:dyDescent="0.2">
      <c r="B167" s="2154">
        <v>2</v>
      </c>
      <c r="C167" s="2155" t="str">
        <f>"After 6/4/"&amp;MCA_year&amp;" (age "&amp;Tax_year_start-MCA_year&amp;" or under)"</f>
        <v>After 6/4/1935 (age 84 or under)</v>
      </c>
      <c r="D167" s="2154" t="b">
        <f>tp_age_ind=2</f>
        <v>1</v>
      </c>
    </row>
    <row r="168" spans="1:10" x14ac:dyDescent="0.2">
      <c r="B168" s="975"/>
      <c r="C168" s="2152"/>
      <c r="D168" s="2153"/>
      <c r="E168" s="2152"/>
    </row>
    <row r="169" spans="1:10" x14ac:dyDescent="0.2">
      <c r="A169" s="1172" t="s">
        <v>4287</v>
      </c>
      <c r="C169" s="779" t="s">
        <v>5033</v>
      </c>
      <c r="G169" s="32"/>
    </row>
    <row r="170" spans="1:10" x14ac:dyDescent="0.2">
      <c r="B170" s="538">
        <v>1</v>
      </c>
      <c r="C170" s="1763" t="str">
        <f>IF(MCA_claim=1,"","1) Before 6/4/"&amp;MCA_year)</f>
        <v/>
      </c>
      <c r="D170" s="14" t="b">
        <f>Wife_age_ind=1</f>
        <v>0</v>
      </c>
      <c r="E170" s="1764" t="str">
        <f>"over "&amp;Tax_year_start-MCA_year</f>
        <v>over 84</v>
      </c>
    </row>
    <row r="171" spans="1:10" x14ac:dyDescent="0.2">
      <c r="B171" s="538">
        <v>2</v>
      </c>
      <c r="C171" s="1763" t="str">
        <f>IF(MCA_claim=1,"","2) After 5/4/"&amp;MCA_year&amp;" or not present")</f>
        <v/>
      </c>
      <c r="D171" s="14" t="b">
        <f>Wife_age_ind=2</f>
        <v>1</v>
      </c>
      <c r="E171" s="1764"/>
    </row>
    <row r="173" spans="1:10" x14ac:dyDescent="0.2">
      <c r="B173" s="538">
        <v>1</v>
      </c>
      <c r="C173" s="538" t="s">
        <v>1538</v>
      </c>
      <c r="D173" s="538" t="b">
        <f>MCA!F5=1</f>
        <v>1</v>
      </c>
    </row>
    <row r="174" spans="1:10" x14ac:dyDescent="0.2">
      <c r="B174" s="538">
        <v>2</v>
      </c>
      <c r="C174" s="538" t="str">
        <f>"2) husband / higher income partner (box "&amp;MCA!$C$4&amp;" present)"</f>
        <v>2) husband / higher income partner (box 1 present)</v>
      </c>
      <c r="D174" s="538" t="b">
        <f>MCA!F5=2</f>
        <v>0</v>
      </c>
    </row>
    <row r="175" spans="1:10" x14ac:dyDescent="0.2">
      <c r="B175" s="538">
        <v>3</v>
      </c>
      <c r="C175" s="538" t="str">
        <f>"3) wife / lower income partner (box "&amp;MCA!$C$5&amp;" present)"</f>
        <v>3) wife / lower income partner (box 8 present)</v>
      </c>
      <c r="D175" s="538" t="b">
        <f>MCA!F5=3</f>
        <v>0</v>
      </c>
    </row>
    <row r="177" spans="2:4" x14ac:dyDescent="0.2">
      <c r="B177" s="538">
        <v>1</v>
      </c>
      <c r="C177" s="1765" t="str">
        <f>IF(mca_not_claimed,"","1) None to spouse/partner")</f>
        <v/>
      </c>
      <c r="D177" s="538" t="b">
        <f>MCA!F13=1</f>
        <v>1</v>
      </c>
    </row>
    <row r="178" spans="2:4" x14ac:dyDescent="0.2">
      <c r="B178" s="538">
        <v>2</v>
      </c>
      <c r="C178" s="1765" t="str">
        <f>IF(MCA_claim&gt;1,"2) 50% to spouse/partner (box "&amp;MCA!$C$12&amp;" ticked)","")</f>
        <v/>
      </c>
      <c r="D178" s="14" t="b">
        <f>MCA!F13=2</f>
        <v>0</v>
      </c>
    </row>
    <row r="179" spans="2:4" x14ac:dyDescent="0.2">
      <c r="B179" s="538">
        <v>3</v>
      </c>
      <c r="C179" s="1765" t="str">
        <f>IF(MCA_claim&gt;1,"3) All to spouse/partner (box "&amp;MCA!$C$13&amp;" ticked)","")</f>
        <v/>
      </c>
      <c r="D179" s="538" t="b">
        <f>MCA!F13=3</f>
        <v>0</v>
      </c>
    </row>
    <row r="181" spans="2:4" x14ac:dyDescent="0.2">
      <c r="C181" s="1764" t="s">
        <v>3659</v>
      </c>
      <c r="D181" s="1766">
        <f>MIN(tp_age_ind,Wife_age_ind)</f>
        <v>2</v>
      </c>
    </row>
    <row r="183" spans="2:4" x14ac:dyDescent="0.2">
      <c r="C183" s="7" t="s">
        <v>2484</v>
      </c>
      <c r="D183" s="538">
        <f>months_married-1</f>
        <v>0</v>
      </c>
    </row>
    <row r="184" spans="2:4" x14ac:dyDescent="0.2">
      <c r="C184" s="538" t="str">
        <f>IF(MCA!$F$5=1,"","1) "&amp;'allowances (c14c15)'!C104)</f>
        <v/>
      </c>
    </row>
    <row r="185" spans="2:4" x14ac:dyDescent="0.2">
      <c r="C185" s="538" t="str">
        <f>IF(MCA!$F$5=1,"","2) "&amp;'allowances (c14c15)'!C105)</f>
        <v/>
      </c>
    </row>
    <row r="186" spans="2:4" x14ac:dyDescent="0.2">
      <c r="C186" s="538" t="str">
        <f>IF(MCA!$F$5=1,"","3) "&amp;'allowances (c14c15)'!C106)</f>
        <v/>
      </c>
    </row>
    <row r="187" spans="2:4" x14ac:dyDescent="0.2">
      <c r="C187" s="538" t="str">
        <f>IF(MCA!$F$5=1,"","4) "&amp;'allowances (c14c15)'!C107)</f>
        <v/>
      </c>
    </row>
    <row r="188" spans="2:4" x14ac:dyDescent="0.2">
      <c r="C188" s="538" t="str">
        <f>IF(MCA!$F$5=1,"","5) "&amp;'allowances (c14c15)'!C108)</f>
        <v/>
      </c>
    </row>
    <row r="189" spans="2:4" x14ac:dyDescent="0.2">
      <c r="C189" s="538" t="str">
        <f>IF(MCA!$F$5=1,"","6) "&amp;'allowances (c14c15)'!C109)</f>
        <v/>
      </c>
    </row>
    <row r="190" spans="2:4" x14ac:dyDescent="0.2">
      <c r="C190" s="538" t="str">
        <f>IF(MCA!$F$5=1,"","7) "&amp;'allowances (c14c15)'!C110)</f>
        <v/>
      </c>
    </row>
    <row r="191" spans="2:4" x14ac:dyDescent="0.2">
      <c r="C191" s="538" t="str">
        <f>IF(MCA!$F$5=1,"","8) "&amp;'allowances (c14c15)'!C111)</f>
        <v/>
      </c>
    </row>
    <row r="192" spans="2:4" x14ac:dyDescent="0.2">
      <c r="C192" s="538" t="str">
        <f>IF(MCA!$F$5=1,"","9) "&amp;'allowances (c14c15)'!C112)</f>
        <v/>
      </c>
    </row>
    <row r="193" spans="2:7" x14ac:dyDescent="0.2">
      <c r="C193" s="538" t="str">
        <f>IF(MCA!$F$5=1,"","10) "&amp;'allowances (c14c15)'!C113)</f>
        <v/>
      </c>
    </row>
    <row r="194" spans="2:7" x14ac:dyDescent="0.2">
      <c r="C194" s="538" t="str">
        <f>IF(MCA!$F$5=1,"","11) "&amp;'allowances (c14c15)'!C114)</f>
        <v/>
      </c>
    </row>
    <row r="195" spans="2:7" x14ac:dyDescent="0.2">
      <c r="C195" s="538" t="str">
        <f>IF(MCA!$F$5=1,"","12) "&amp;'allowances (c14c15)'!C115)</f>
        <v/>
      </c>
    </row>
    <row r="196" spans="2:7" x14ac:dyDescent="0.2">
      <c r="C196" s="538" t="str">
        <f>IF(MCA!$F$5=1,"","13) "&amp;'allowances (c14c15)'!C116)</f>
        <v/>
      </c>
    </row>
    <row r="198" spans="2:7" x14ac:dyDescent="0.2">
      <c r="C198" s="779" t="s">
        <v>4031</v>
      </c>
      <c r="D198" s="14" t="b">
        <f>OR(SE!L21,SE!M21,LUN!P20,PS!R20,PS!S20,NIC_ex_set)</f>
        <v>0</v>
      </c>
    </row>
    <row r="199" spans="2:7" x14ac:dyDescent="0.2">
      <c r="C199" s="1767" t="s">
        <v>3812</v>
      </c>
      <c r="D199" s="14" t="b">
        <f>NIC_x</f>
        <v>0</v>
      </c>
    </row>
    <row r="201" spans="2:7" x14ac:dyDescent="0.2">
      <c r="C201" s="779" t="s">
        <v>4264</v>
      </c>
      <c r="D201" s="1768" t="str">
        <f>IF(AND('Class 4 NIC (c16)'!H85&lt;NIC2_SPT,OR(SE!L20,SE!M20,LUN!P19,PS!R19,PS!S19,NIC2_Vol)),"TRUE","FALSE")</f>
        <v>FALSE</v>
      </c>
    </row>
    <row r="202" spans="2:7" x14ac:dyDescent="0.2">
      <c r="C202" s="1769" t="s">
        <v>4289</v>
      </c>
      <c r="D202" s="1768" t="str">
        <f>NIC2_v</f>
        <v>FALSE</v>
      </c>
    </row>
    <row r="204" spans="2:7" x14ac:dyDescent="0.2">
      <c r="C204" s="1944" t="str">
        <f>IF(not_to_be_coded,"Not used",D204)</f>
        <v>On or before 31 October 2020</v>
      </c>
      <c r="D204" s="1944" t="str">
        <f>"On or before 31 October "&amp;Tax_year_end</f>
        <v>On or before 31 October 2020</v>
      </c>
    </row>
    <row r="205" spans="2:7" x14ac:dyDescent="0.2">
      <c r="C205" s="1944" t="str">
        <f>IF(not_to_be_coded,"",D205)</f>
        <v>After 31 October 2020</v>
      </c>
      <c r="D205" s="1944" t="str">
        <f>"After 31 October "&amp;Tax_year_end</f>
        <v>After 31 October 2020</v>
      </c>
    </row>
    <row r="206" spans="2:7" x14ac:dyDescent="0.2">
      <c r="B206" s="1171"/>
      <c r="C206" s="1171"/>
      <c r="D206" s="1171"/>
      <c r="E206" s="1171"/>
      <c r="F206" s="1171"/>
      <c r="G206" s="1171"/>
    </row>
    <row r="207" spans="2:7" x14ac:dyDescent="0.2">
      <c r="B207" s="1171"/>
      <c r="C207" s="1171"/>
      <c r="D207" s="1171"/>
      <c r="E207" s="1171"/>
      <c r="F207" s="1171"/>
      <c r="G207" s="1171"/>
    </row>
  </sheetData>
  <dataConsolidate/>
  <mergeCells count="1">
    <mergeCell ref="E1:G1"/>
  </mergeCells>
  <phoneticPr fontId="67" type="noConversion"/>
  <pageMargins bottom="0.196850393700787" footer="0" header="0" left="0.196850393700787" right="0.196850393700787" top="0.196850393700787"/>
  <pageSetup orientation="portrait" paperSize="9" r:id="rId1"/>
  <headerFooter alignWithMargins="0"/>
  <drawing r:id="rId2"/>
  <legacyDrawing r:id="rId3"/>
  <mc:AlternateContent>
    <mc:Choice Requires="x14">
      <controls>
        <mc:AlternateContent>
          <mc:Choice Requires="x14">
            <control name="Button 1" r:id="rId4" shapeId="46081">
              <controlPr autoFill="0" autoPict="0" defaultSize="0" macro="[0]!Recheck_Calc_figure" print="0">
                <anchor moveWithCells="1" sizeWithCells="1">
                  <from>
                    <xdr:col>5</xdr:col>
                    <xdr:colOff>152400</xdr:colOff>
                    <xdr:row>54</xdr:row>
                    <xdr:rowOff>47625</xdr:rowOff>
                  </from>
                  <to>
                    <xdr:col>7</xdr:col>
                    <xdr:colOff>285750</xdr:colOff>
                    <xdr:row>56</xdr:row>
                    <xdr:rowOff>76200</xdr:rowOff>
                  </to>
                </anchor>
              </controlPr>
            </control>
          </mc:Choice>
        </mc:AlternateContent>
      </controls>
    </mc:Choice>
  </mc:AlternateContent>
</worksheet>
</file>

<file path=xl/worksheets/sheet3.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5">
    <tabColor rgb="FFB482DA"/>
  </sheetPr>
  <dimension ref="A1:E751"/>
  <sheetViews>
    <sheetView showGridLines="0" workbookViewId="0" zoomScaleNormal="100">
      <pane activePane="bottomLeft" state="frozen" topLeftCell="A745" ySplit="10"/>
      <selection activeCell="B14" sqref="B14"/>
      <selection activeCell="C745" pane="bottomLeft" sqref="C745"/>
    </sheetView>
  </sheetViews>
  <sheetFormatPr defaultRowHeight="12.75" x14ac:dyDescent="0.2"/>
  <cols>
    <col min="1" max="1" customWidth="true" style="1734" width="53.140625" collapsed="true"/>
    <col min="2" max="2" bestFit="true" customWidth="true" style="1976" width="41.0" collapsed="true"/>
    <col min="3" max="3" customWidth="true" style="1344" width="94.5703125" collapsed="true"/>
    <col min="4" max="4" customWidth="true" style="1344" width="50.7109375" collapsed="true"/>
  </cols>
  <sheetData>
    <row r="1" spans="1:4" x14ac:dyDescent="0.2">
      <c r="A1" s="2316" t="s">
        <v>6924</v>
      </c>
      <c r="B1"/>
      <c r="C1" s="2313"/>
      <c r="D1" s="2313"/>
    </row>
    <row r="2" spans="1:4" x14ac:dyDescent="0.2">
      <c r="A2" s="2317" t="s">
        <v>6925</v>
      </c>
      <c r="B2" s="2318" t="s">
        <v>6926</v>
      </c>
      <c r="C2" s="2313"/>
      <c r="D2" s="2313"/>
    </row>
    <row r="3" spans="1:4" x14ac:dyDescent="0.2">
      <c r="A3" s="2319" t="s">
        <v>8169</v>
      </c>
      <c r="B3" s="2320"/>
      <c r="C3" s="2313"/>
      <c r="D3" s="2313"/>
    </row>
    <row r="4" spans="1:4" x14ac:dyDescent="0.2">
      <c r="A4" s="3119" t="s">
        <v>8167</v>
      </c>
      <c r="B4" s="3120"/>
      <c r="C4" s="2313"/>
      <c r="D4" s="2313"/>
    </row>
    <row r="5" spans="1:4" x14ac:dyDescent="0.2">
      <c r="A5" s="3163" t="s">
        <v>8166</v>
      </c>
      <c r="B5" s="3212"/>
      <c r="C5" s="2313"/>
      <c r="D5" s="2313"/>
    </row>
    <row r="6" spans="1:4" x14ac:dyDescent="0.2">
      <c r="A6" s="3121" t="s">
        <v>8165</v>
      </c>
      <c r="B6" s="3122"/>
      <c r="C6" s="2313"/>
      <c r="D6" s="2313"/>
    </row>
    <row r="7" spans="1:4" x14ac:dyDescent="0.2">
      <c r="A7" s="3284" t="s">
        <v>8168</v>
      </c>
      <c r="B7" s="3285"/>
      <c r="C7" s="3270"/>
      <c r="D7" s="3270"/>
    </row>
    <row r="8" spans="1:4" x14ac:dyDescent="0.2">
      <c r="A8" s="3410" t="s">
        <v>8164</v>
      </c>
      <c r="B8" s="3434"/>
      <c r="C8" s="3391"/>
      <c r="D8" s="3391"/>
    </row>
    <row ht="13.5" r="9" spans="1:4" thickBot="1" x14ac:dyDescent="0.25">
      <c r="A9" s="1174"/>
      <c r="B9" s="1174"/>
      <c r="C9" s="2313"/>
      <c r="D9" s="2313"/>
    </row>
    <row ht="13.5" r="10" spans="1:4" thickBot="1" x14ac:dyDescent="0.25">
      <c r="A10" s="2964" t="s">
        <v>7424</v>
      </c>
      <c r="B10" s="2964" t="s">
        <v>5227</v>
      </c>
      <c r="C10" s="2965" t="s">
        <v>5229</v>
      </c>
      <c r="D10" s="2966" t="s">
        <v>4624</v>
      </c>
    </row>
    <row r="11" spans="1:4" x14ac:dyDescent="0.2">
      <c r="A11" s="2969" t="s">
        <v>7421</v>
      </c>
      <c r="B11" s="2962">
        <v>43439</v>
      </c>
      <c r="D11" s="2963"/>
    </row>
    <row customFormat="1" r="12" s="7" spans="1:4" x14ac:dyDescent="0.2">
      <c r="A12" s="2319" t="s">
        <v>7423</v>
      </c>
      <c r="B12" s="1974" t="s">
        <v>7425</v>
      </c>
      <c r="C12" s="1806" t="s">
        <v>7422</v>
      </c>
      <c r="D12" s="2967" t="s">
        <v>7426</v>
      </c>
    </row>
    <row customFormat="1" r="13" s="7" spans="1:4" x14ac:dyDescent="0.2">
      <c r="A13" s="2319" t="s">
        <v>7427</v>
      </c>
      <c r="B13" s="1974" t="s">
        <v>7428</v>
      </c>
      <c r="C13" s="1806" t="s">
        <v>7429</v>
      </c>
      <c r="D13" s="2967"/>
    </row>
    <row r="14" spans="1:4" x14ac:dyDescent="0.2">
      <c r="A14" s="2970" t="s">
        <v>6624</v>
      </c>
      <c r="B14" s="1973">
        <v>43473</v>
      </c>
      <c r="C14" s="2960"/>
      <c r="D14" s="1804"/>
    </row>
    <row customFormat="1" r="15" s="7" spans="1:4" x14ac:dyDescent="0.2">
      <c r="A15" s="2319" t="s">
        <v>6625</v>
      </c>
      <c r="B15" s="1974" t="s">
        <v>7425</v>
      </c>
      <c r="C15" s="1806"/>
      <c r="D15" s="1805"/>
    </row>
    <row customFormat="1" r="16" s="7" spans="1:4" x14ac:dyDescent="0.2">
      <c r="A16" s="2319" t="s">
        <v>6927</v>
      </c>
      <c r="B16" s="1974" t="s">
        <v>6223</v>
      </c>
      <c r="C16" s="1806" t="s">
        <v>6224</v>
      </c>
      <c r="D16" s="1805"/>
    </row>
    <row r="17" spans="1:4" x14ac:dyDescent="0.2">
      <c r="A17" s="2968" t="s">
        <v>5228</v>
      </c>
      <c r="B17" s="1975" t="s">
        <v>4034</v>
      </c>
      <c r="C17" s="1806" t="s">
        <v>6225</v>
      </c>
      <c r="D17" s="1343"/>
    </row>
    <row r="18" spans="1:4" x14ac:dyDescent="0.2">
      <c r="A18" s="2970" t="s">
        <v>6655</v>
      </c>
      <c r="B18" s="2961">
        <v>43672</v>
      </c>
      <c r="C18" s="4480"/>
      <c r="D18" s="4481"/>
    </row>
    <row r="19" spans="1:4" x14ac:dyDescent="0.2">
      <c r="A19" s="3493" t="s">
        <v>7444</v>
      </c>
      <c r="B19" s="3267" t="s">
        <v>4034</v>
      </c>
      <c r="C19" s="3268" t="s">
        <v>7445</v>
      </c>
      <c r="D19" s="3268"/>
    </row>
    <row r="20" spans="1:4" x14ac:dyDescent="0.2">
      <c r="A20" s="3493" t="s">
        <v>7444</v>
      </c>
      <c r="B20" s="3267" t="s">
        <v>7446</v>
      </c>
      <c r="C20" s="3268" t="s">
        <v>7447</v>
      </c>
      <c r="D20" s="3268"/>
    </row>
    <row r="21" spans="1:4" x14ac:dyDescent="0.2">
      <c r="A21" s="3494" t="s">
        <v>8166</v>
      </c>
      <c r="B21" s="3265" t="s">
        <v>7448</v>
      </c>
      <c r="C21" s="2255" t="s">
        <v>7449</v>
      </c>
      <c r="D21" s="2255"/>
    </row>
    <row r="22" spans="1:4" x14ac:dyDescent="0.2">
      <c r="A22" s="3494" t="s">
        <v>8166</v>
      </c>
      <c r="B22" s="3265" t="s">
        <v>7448</v>
      </c>
      <c r="C22" s="2255" t="s">
        <v>7450</v>
      </c>
      <c r="D22" s="2255"/>
    </row>
    <row ht="89.25" r="23" spans="1:4" x14ac:dyDescent="0.2">
      <c r="A23" s="3494" t="s">
        <v>8166</v>
      </c>
      <c r="B23" s="3265" t="s">
        <v>7451</v>
      </c>
      <c r="C23" s="3266" t="s">
        <v>7727</v>
      </c>
      <c r="D23" s="2255"/>
    </row>
    <row r="24" spans="1:4" x14ac:dyDescent="0.2">
      <c r="A24" s="3494" t="s">
        <v>8166</v>
      </c>
      <c r="B24" s="3265" t="s">
        <v>7451</v>
      </c>
      <c r="C24" s="2255" t="s">
        <v>7499</v>
      </c>
      <c r="D24" s="2255"/>
    </row>
    <row ht="38.25" r="25" spans="1:4" x14ac:dyDescent="0.2">
      <c r="A25" s="3494" t="s">
        <v>8166</v>
      </c>
      <c r="B25" s="3265" t="s">
        <v>7451</v>
      </c>
      <c r="C25" s="3266" t="s">
        <v>7728</v>
      </c>
      <c r="D25" s="2255"/>
    </row>
    <row r="26" spans="1:4" x14ac:dyDescent="0.2">
      <c r="A26" s="3494" t="s">
        <v>8166</v>
      </c>
      <c r="B26" s="3265" t="s">
        <v>7451</v>
      </c>
      <c r="C26" s="2255" t="s">
        <v>7459</v>
      </c>
      <c r="D26" s="2255"/>
    </row>
    <row r="27" spans="1:4" x14ac:dyDescent="0.2">
      <c r="A27" s="3494" t="s">
        <v>8166</v>
      </c>
      <c r="B27" s="3265" t="s">
        <v>7451</v>
      </c>
      <c r="C27" s="2255" t="s">
        <v>7500</v>
      </c>
      <c r="D27" s="2255"/>
    </row>
    <row r="28" spans="1:4" x14ac:dyDescent="0.2">
      <c r="A28" s="3494" t="s">
        <v>8166</v>
      </c>
      <c r="B28" s="3265" t="s">
        <v>7451</v>
      </c>
      <c r="C28" s="2255" t="s">
        <v>7501</v>
      </c>
      <c r="D28" s="2255"/>
    </row>
    <row ht="51" r="29" spans="1:4" x14ac:dyDescent="0.2">
      <c r="A29" s="3494" t="s">
        <v>8166</v>
      </c>
      <c r="B29" s="3265" t="s">
        <v>7451</v>
      </c>
      <c r="C29" s="3266" t="s">
        <v>7726</v>
      </c>
      <c r="D29" s="2255"/>
    </row>
    <row r="30" spans="1:4" x14ac:dyDescent="0.2">
      <c r="A30" s="3494" t="s">
        <v>8166</v>
      </c>
      <c r="B30" s="3265" t="s">
        <v>7451</v>
      </c>
      <c r="C30" s="2255" t="s">
        <v>7502</v>
      </c>
      <c r="D30" s="2255"/>
    </row>
    <row r="31" spans="1:4" x14ac:dyDescent="0.2">
      <c r="A31" s="3494" t="s">
        <v>8166</v>
      </c>
      <c r="B31" s="3265" t="s">
        <v>7451</v>
      </c>
      <c r="C31" s="2255" t="s">
        <v>7503</v>
      </c>
      <c r="D31" s="2255"/>
    </row>
    <row ht="127.5" r="32" spans="1:4" x14ac:dyDescent="0.2">
      <c r="A32" s="3494" t="s">
        <v>8166</v>
      </c>
      <c r="B32" s="3265" t="s">
        <v>7451</v>
      </c>
      <c r="C32" s="3266" t="s">
        <v>7724</v>
      </c>
      <c r="D32" s="2255"/>
    </row>
    <row r="33" spans="1:4" x14ac:dyDescent="0.2">
      <c r="A33" s="3494" t="s">
        <v>8166</v>
      </c>
      <c r="B33" s="3265" t="s">
        <v>7451</v>
      </c>
      <c r="C33" s="2255" t="s">
        <v>7504</v>
      </c>
      <c r="D33" s="2255"/>
    </row>
    <row ht="76.5" r="34" spans="1:4" x14ac:dyDescent="0.2">
      <c r="A34" s="3494" t="s">
        <v>8166</v>
      </c>
      <c r="B34" s="3265" t="s">
        <v>7451</v>
      </c>
      <c r="C34" s="3266" t="s">
        <v>7725</v>
      </c>
      <c r="D34" s="2255"/>
    </row>
    <row r="35" spans="1:4" x14ac:dyDescent="0.2">
      <c r="A35" s="3494" t="s">
        <v>8166</v>
      </c>
      <c r="B35" s="3265" t="s">
        <v>7452</v>
      </c>
      <c r="C35" s="2255" t="s">
        <v>7453</v>
      </c>
      <c r="D35" s="2255"/>
    </row>
    <row r="36" spans="1:4" x14ac:dyDescent="0.2">
      <c r="A36" s="3494" t="s">
        <v>8166</v>
      </c>
      <c r="B36" s="1976" t="s">
        <v>7452</v>
      </c>
      <c r="C36" s="2255" t="s">
        <v>7454</v>
      </c>
      <c r="D36" s="2255"/>
    </row>
    <row r="37" spans="1:4" x14ac:dyDescent="0.2">
      <c r="A37" s="3494" t="s">
        <v>8166</v>
      </c>
      <c r="B37" s="3265" t="s">
        <v>7452</v>
      </c>
      <c r="C37" s="2255" t="s">
        <v>7455</v>
      </c>
      <c r="D37" s="2255"/>
    </row>
    <row r="38" spans="1:4" x14ac:dyDescent="0.2">
      <c r="A38" s="3494" t="s">
        <v>8166</v>
      </c>
      <c r="B38" s="3265" t="s">
        <v>7452</v>
      </c>
      <c r="C38" s="3266" t="s">
        <v>7506</v>
      </c>
      <c r="D38" s="2255"/>
    </row>
    <row r="39" spans="1:4" x14ac:dyDescent="0.2">
      <c r="A39" s="3494" t="s">
        <v>8166</v>
      </c>
      <c r="B39" s="3265" t="s">
        <v>7456</v>
      </c>
      <c r="C39" s="2255" t="s">
        <v>7453</v>
      </c>
      <c r="D39" s="2255"/>
    </row>
    <row r="40" spans="1:4" x14ac:dyDescent="0.2">
      <c r="A40" s="3494" t="s">
        <v>8166</v>
      </c>
      <c r="B40" s="3265" t="s">
        <v>7457</v>
      </c>
      <c r="C40" s="2255" t="s">
        <v>7453</v>
      </c>
      <c r="D40" s="2255"/>
    </row>
    <row r="41" spans="1:4" x14ac:dyDescent="0.2">
      <c r="A41" s="3493" t="s">
        <v>7465</v>
      </c>
      <c r="B41" s="3267" t="s">
        <v>7452</v>
      </c>
      <c r="C41" s="3268" t="s">
        <v>7466</v>
      </c>
      <c r="D41" s="3268"/>
    </row>
    <row r="42" spans="1:4" x14ac:dyDescent="0.2">
      <c r="A42" s="3493" t="s">
        <v>7444</v>
      </c>
      <c r="B42" s="3267" t="s">
        <v>7473</v>
      </c>
      <c r="C42" s="3268" t="s">
        <v>7549</v>
      </c>
      <c r="D42" s="3268"/>
    </row>
    <row r="43" spans="1:4" x14ac:dyDescent="0.2">
      <c r="A43" s="3493" t="s">
        <v>7444</v>
      </c>
      <c r="B43" s="3267" t="s">
        <v>7473</v>
      </c>
      <c r="C43" s="3268" t="s">
        <v>7477</v>
      </c>
      <c r="D43" s="3268"/>
    </row>
    <row r="44" spans="1:4" x14ac:dyDescent="0.2">
      <c r="A44" s="3493" t="s">
        <v>7444</v>
      </c>
      <c r="B44" s="3267" t="s">
        <v>7474</v>
      </c>
      <c r="C44" s="3268" t="s">
        <v>7475</v>
      </c>
      <c r="D44" s="3268"/>
    </row>
    <row r="45" spans="1:4" x14ac:dyDescent="0.2">
      <c r="A45" s="3493" t="s">
        <v>7444</v>
      </c>
      <c r="B45" s="3267" t="s">
        <v>7474</v>
      </c>
      <c r="C45" s="3268" t="s">
        <v>7550</v>
      </c>
      <c r="D45" s="3268"/>
    </row>
    <row r="46" spans="1:4" x14ac:dyDescent="0.2">
      <c r="A46" s="3494" t="s">
        <v>8166</v>
      </c>
      <c r="B46" s="3265" t="s">
        <v>7505</v>
      </c>
      <c r="C46" s="3266" t="s">
        <v>7514</v>
      </c>
      <c r="D46" s="2255"/>
    </row>
    <row r="47" spans="1:4" x14ac:dyDescent="0.2">
      <c r="A47" s="3493" t="s">
        <v>7444</v>
      </c>
      <c r="B47" s="3267" t="s">
        <v>7476</v>
      </c>
      <c r="C47" s="3268" t="s">
        <v>7478</v>
      </c>
      <c r="D47" s="3268"/>
    </row>
    <row r="48" spans="1:4" x14ac:dyDescent="0.2">
      <c r="A48" s="3493" t="s">
        <v>7444</v>
      </c>
      <c r="B48" s="3267" t="s">
        <v>7476</v>
      </c>
      <c r="C48" s="3268" t="s">
        <v>7479</v>
      </c>
      <c r="D48" s="3268"/>
    </row>
    <row r="49" spans="1:4" x14ac:dyDescent="0.2">
      <c r="A49" s="3493" t="s">
        <v>7444</v>
      </c>
      <c r="B49" s="3267" t="s">
        <v>7476</v>
      </c>
      <c r="C49" s="3268" t="s">
        <v>7550</v>
      </c>
      <c r="D49" s="3268"/>
    </row>
    <row ht="25.5" r="50" spans="1:4" x14ac:dyDescent="0.2">
      <c r="A50" s="3494" t="s">
        <v>8166</v>
      </c>
      <c r="B50" s="3298" t="s">
        <v>7617</v>
      </c>
      <c r="C50" s="3300" t="s">
        <v>7618</v>
      </c>
      <c r="D50" s="3300"/>
    </row>
    <row r="51" spans="1:4" x14ac:dyDescent="0.2">
      <c r="A51" s="3493" t="s">
        <v>7458</v>
      </c>
      <c r="B51" s="3267" t="s">
        <v>3640</v>
      </c>
      <c r="C51" s="3268" t="s">
        <v>7486</v>
      </c>
      <c r="D51" s="3268"/>
    </row>
    <row r="52" spans="1:4" x14ac:dyDescent="0.2">
      <c r="A52" s="3495" t="s">
        <v>8167</v>
      </c>
      <c r="B52" s="3265" t="s">
        <v>7452</v>
      </c>
      <c r="C52" s="2255" t="s">
        <v>7487</v>
      </c>
      <c r="D52" s="2255"/>
    </row>
    <row r="53" spans="1:4" x14ac:dyDescent="0.2">
      <c r="A53" s="3495" t="s">
        <v>8167</v>
      </c>
      <c r="B53" s="3265" t="s">
        <v>7452</v>
      </c>
      <c r="C53" s="2255" t="s">
        <v>7488</v>
      </c>
      <c r="D53" s="2255"/>
    </row>
    <row ht="178.5" r="54" spans="1:4" x14ac:dyDescent="0.2">
      <c r="A54" s="3495" t="s">
        <v>8167</v>
      </c>
      <c r="B54" s="3265" t="s">
        <v>7489</v>
      </c>
      <c r="C54" s="3266" t="s">
        <v>7729</v>
      </c>
      <c r="D54" s="2255"/>
    </row>
    <row ht="216.75" r="55" spans="1:4" x14ac:dyDescent="0.2">
      <c r="A55" s="3495" t="s">
        <v>8167</v>
      </c>
      <c r="B55" s="3265" t="s">
        <v>7489</v>
      </c>
      <c r="C55" s="2255" t="s">
        <v>7522</v>
      </c>
      <c r="D55" s="2255"/>
    </row>
    <row ht="191.25" r="56" spans="1:4" x14ac:dyDescent="0.2">
      <c r="A56" s="3495" t="s">
        <v>8167</v>
      </c>
      <c r="B56" s="3265" t="s">
        <v>7489</v>
      </c>
      <c r="C56" s="3266" t="s">
        <v>7730</v>
      </c>
      <c r="D56" s="2255"/>
    </row>
    <row ht="191.25" r="57" spans="1:4" x14ac:dyDescent="0.2">
      <c r="A57" s="3495" t="s">
        <v>8167</v>
      </c>
      <c r="B57" s="3265" t="s">
        <v>7489</v>
      </c>
      <c r="C57" s="3266" t="s">
        <v>7731</v>
      </c>
      <c r="D57" s="2255"/>
    </row>
    <row customHeight="1" ht="14.25" r="58" spans="1:4" x14ac:dyDescent="0.2">
      <c r="A58" s="3493" t="s">
        <v>7465</v>
      </c>
      <c r="B58" s="3267" t="s">
        <v>7476</v>
      </c>
      <c r="C58" s="3268" t="s">
        <v>7491</v>
      </c>
      <c r="D58" s="3268"/>
    </row>
    <row r="59" spans="1:4" x14ac:dyDescent="0.2">
      <c r="A59" s="3495" t="s">
        <v>8167</v>
      </c>
      <c r="B59" s="3265" t="s">
        <v>7452</v>
      </c>
      <c r="C59" s="3237" t="s">
        <v>7523</v>
      </c>
      <c r="D59" s="2255"/>
    </row>
    <row r="60" spans="1:4" x14ac:dyDescent="0.2">
      <c r="A60" s="3495" t="s">
        <v>8167</v>
      </c>
      <c r="B60" s="3265" t="s">
        <v>7452</v>
      </c>
      <c r="C60" s="3266" t="s">
        <v>7515</v>
      </c>
      <c r="D60" s="2255"/>
    </row>
    <row r="61" spans="1:4" x14ac:dyDescent="0.2">
      <c r="A61" s="3495" t="s">
        <v>8167</v>
      </c>
      <c r="B61" s="3265" t="s">
        <v>7452</v>
      </c>
      <c r="C61" s="3269" t="s">
        <v>7488</v>
      </c>
      <c r="D61" s="2255"/>
    </row>
    <row r="62" spans="1:4" x14ac:dyDescent="0.2">
      <c r="A62" s="3495" t="s">
        <v>8167</v>
      </c>
      <c r="B62" s="3265" t="s">
        <v>7452</v>
      </c>
      <c r="C62" s="2255" t="s">
        <v>7524</v>
      </c>
      <c r="D62" s="2255"/>
    </row>
    <row r="63" spans="1:4" x14ac:dyDescent="0.2">
      <c r="A63" s="3495" t="s">
        <v>8167</v>
      </c>
      <c r="B63" s="3265" t="s">
        <v>7452</v>
      </c>
      <c r="C63" s="3269" t="s">
        <v>7525</v>
      </c>
      <c r="D63" s="2255"/>
    </row>
    <row r="64" spans="1:4" x14ac:dyDescent="0.2">
      <c r="A64" s="3495" t="s">
        <v>8167</v>
      </c>
      <c r="B64" s="3265" t="s">
        <v>7452</v>
      </c>
      <c r="C64" s="3269" t="s">
        <v>7526</v>
      </c>
      <c r="D64" s="2255"/>
    </row>
    <row customHeight="1" ht="12" r="65" spans="1:4" x14ac:dyDescent="0.2">
      <c r="A65" s="3493" t="s">
        <v>7458</v>
      </c>
      <c r="B65" s="3267" t="s">
        <v>7498</v>
      </c>
      <c r="C65" s="3268" t="s">
        <v>7516</v>
      </c>
      <c r="D65" s="3268"/>
    </row>
    <row r="66" spans="1:4" x14ac:dyDescent="0.2">
      <c r="A66" s="3493" t="s">
        <v>7458</v>
      </c>
      <c r="B66" s="3267" t="s">
        <v>7498</v>
      </c>
      <c r="C66" s="3268" t="s">
        <v>7515</v>
      </c>
      <c r="D66" s="3268"/>
    </row>
    <row r="67" spans="1:4" x14ac:dyDescent="0.2">
      <c r="A67" s="3493" t="s">
        <v>7458</v>
      </c>
      <c r="B67" s="3267" t="s">
        <v>7498</v>
      </c>
      <c r="C67" s="3268" t="s">
        <v>7488</v>
      </c>
      <c r="D67" s="3268"/>
    </row>
    <row r="68" spans="1:4" x14ac:dyDescent="0.2">
      <c r="A68" s="3493" t="s">
        <v>7458</v>
      </c>
      <c r="B68" s="3267" t="s">
        <v>7498</v>
      </c>
      <c r="C68" s="3268" t="s">
        <v>7524</v>
      </c>
      <c r="D68" s="3268"/>
    </row>
    <row r="69" spans="1:4" x14ac:dyDescent="0.2">
      <c r="A69" s="3493" t="s">
        <v>7458</v>
      </c>
      <c r="B69" s="3267" t="s">
        <v>7498</v>
      </c>
      <c r="C69" s="3268" t="s">
        <v>7525</v>
      </c>
      <c r="D69" s="3268"/>
    </row>
    <row r="70" spans="1:4" x14ac:dyDescent="0.2">
      <c r="A70" s="3493" t="s">
        <v>7458</v>
      </c>
      <c r="B70" s="3267" t="s">
        <v>7498</v>
      </c>
      <c r="C70" s="3268" t="s">
        <v>7526</v>
      </c>
      <c r="D70" s="3268"/>
    </row>
    <row r="71" spans="1:4" x14ac:dyDescent="0.2">
      <c r="A71" s="3493" t="s">
        <v>7465</v>
      </c>
      <c r="B71" s="3267" t="s">
        <v>7452</v>
      </c>
      <c r="C71" s="3268" t="s">
        <v>7507</v>
      </c>
      <c r="D71" s="3268"/>
    </row>
    <row r="72" spans="1:4" x14ac:dyDescent="0.2">
      <c r="A72" s="3493" t="s">
        <v>7465</v>
      </c>
      <c r="B72" s="3267" t="s">
        <v>7498</v>
      </c>
      <c r="C72" s="3268" t="s">
        <v>7507</v>
      </c>
      <c r="D72" s="3268"/>
    </row>
    <row ht="140.25" r="73" spans="1:4" x14ac:dyDescent="0.2">
      <c r="A73" s="3495" t="s">
        <v>8167</v>
      </c>
      <c r="B73" s="3265" t="s">
        <v>7533</v>
      </c>
      <c r="C73" s="3266" t="s">
        <v>7658</v>
      </c>
      <c r="D73" s="2255"/>
    </row>
    <row ht="140.25" r="74" spans="1:4" x14ac:dyDescent="0.2">
      <c r="A74" s="3495" t="s">
        <v>8167</v>
      </c>
      <c r="B74" s="3265" t="s">
        <v>7533</v>
      </c>
      <c r="C74" s="3266" t="s">
        <v>7659</v>
      </c>
      <c r="D74" s="2255"/>
    </row>
    <row ht="140.25" r="75" spans="1:4" x14ac:dyDescent="0.2">
      <c r="A75" s="3495" t="s">
        <v>8167</v>
      </c>
      <c r="B75" s="3265" t="s">
        <v>7535</v>
      </c>
      <c r="C75" s="3266" t="s">
        <v>7660</v>
      </c>
      <c r="D75" s="2255"/>
    </row>
    <row ht="140.25" r="76" spans="1:4" x14ac:dyDescent="0.2">
      <c r="A76" s="3495" t="s">
        <v>8167</v>
      </c>
      <c r="B76" s="3265" t="s">
        <v>7535</v>
      </c>
      <c r="C76" s="3266" t="s">
        <v>7648</v>
      </c>
      <c r="D76" s="2255"/>
    </row>
    <row ht="140.25" r="77" spans="1:4" x14ac:dyDescent="0.2">
      <c r="A77" s="3495" t="s">
        <v>8167</v>
      </c>
      <c r="B77" s="3265" t="s">
        <v>7535</v>
      </c>
      <c r="C77" s="3266" t="s">
        <v>7647</v>
      </c>
      <c r="D77" s="2255"/>
    </row>
    <row ht="140.25" r="78" spans="1:4" x14ac:dyDescent="0.2">
      <c r="A78" s="3495" t="s">
        <v>8167</v>
      </c>
      <c r="B78" s="3265" t="s">
        <v>7535</v>
      </c>
      <c r="C78" s="3266" t="s">
        <v>7661</v>
      </c>
      <c r="D78" s="2255"/>
    </row>
    <row r="79" spans="1:4" x14ac:dyDescent="0.2">
      <c r="A79" s="3495" t="s">
        <v>8167</v>
      </c>
      <c r="B79" s="3298" t="s">
        <v>7456</v>
      </c>
      <c r="C79" s="3299" t="s">
        <v>7742</v>
      </c>
      <c r="D79" s="3300"/>
    </row>
    <row r="80" spans="1:4" x14ac:dyDescent="0.2">
      <c r="A80" s="3495" t="s">
        <v>8167</v>
      </c>
      <c r="B80" s="3298" t="s">
        <v>7456</v>
      </c>
      <c r="C80" s="3299" t="s">
        <v>7743</v>
      </c>
      <c r="D80" s="3300"/>
    </row>
    <row r="81" spans="1:4" x14ac:dyDescent="0.2">
      <c r="A81" s="3495" t="s">
        <v>8167</v>
      </c>
      <c r="B81" s="3298" t="s">
        <v>7456</v>
      </c>
      <c r="C81" s="3299" t="s">
        <v>7744</v>
      </c>
      <c r="D81" s="3300"/>
    </row>
    <row r="82" spans="1:4" x14ac:dyDescent="0.2">
      <c r="A82" s="3495" t="s">
        <v>8167</v>
      </c>
      <c r="B82" s="3298" t="s">
        <v>7456</v>
      </c>
      <c r="C82" s="3299" t="s">
        <v>7745</v>
      </c>
      <c r="D82" s="3300"/>
    </row>
    <row r="83" spans="1:4" x14ac:dyDescent="0.2">
      <c r="A83" s="3495" t="s">
        <v>8167</v>
      </c>
      <c r="B83" s="3298" t="s">
        <v>7456</v>
      </c>
      <c r="C83" s="3299" t="s">
        <v>7746</v>
      </c>
      <c r="D83" s="3300"/>
    </row>
    <row r="84" spans="1:4" x14ac:dyDescent="0.2">
      <c r="A84" s="3495" t="s">
        <v>8167</v>
      </c>
      <c r="B84" s="3298" t="s">
        <v>7452</v>
      </c>
      <c r="C84" s="3299" t="s">
        <v>7743</v>
      </c>
      <c r="D84" s="3300"/>
    </row>
    <row r="85" spans="1:4" x14ac:dyDescent="0.2">
      <c r="A85" s="3495" t="s">
        <v>8167</v>
      </c>
      <c r="B85" s="3298" t="s">
        <v>7452</v>
      </c>
      <c r="C85" s="3299" t="s">
        <v>7744</v>
      </c>
      <c r="D85" s="3300"/>
    </row>
    <row r="86" spans="1:4" x14ac:dyDescent="0.2">
      <c r="A86" s="3495" t="s">
        <v>8167</v>
      </c>
      <c r="B86" s="3298" t="s">
        <v>7452</v>
      </c>
      <c r="C86" s="3299" t="s">
        <v>7746</v>
      </c>
      <c r="D86" s="3300"/>
    </row>
    <row ht="267.75" r="87" spans="1:4" x14ac:dyDescent="0.2">
      <c r="A87" s="3496"/>
      <c r="B87" s="3336" t="s">
        <v>7538</v>
      </c>
      <c r="C87" s="3337" t="s">
        <v>7649</v>
      </c>
      <c r="D87" s="3337"/>
    </row>
    <row ht="38.25" r="88" spans="1:4" x14ac:dyDescent="0.2">
      <c r="A88" s="3284" t="s">
        <v>8168</v>
      </c>
      <c r="B88" s="3298" t="s">
        <v>7599</v>
      </c>
      <c r="C88" s="3300" t="s">
        <v>7605</v>
      </c>
      <c r="D88" s="3300"/>
    </row>
    <row ht="63.75" r="89" spans="1:4" x14ac:dyDescent="0.2">
      <c r="A89" s="3284" t="s">
        <v>8168</v>
      </c>
      <c r="B89" s="3298" t="s">
        <v>7599</v>
      </c>
      <c r="C89" s="3299" t="s">
        <v>7662</v>
      </c>
      <c r="D89" s="3300"/>
    </row>
    <row ht="51" r="90" spans="1:4" x14ac:dyDescent="0.2">
      <c r="A90" s="3284" t="s">
        <v>8168</v>
      </c>
      <c r="B90" s="3298" t="s">
        <v>7580</v>
      </c>
      <c r="C90" s="3299" t="s">
        <v>7663</v>
      </c>
      <c r="D90" s="3300"/>
    </row>
    <row ht="89.25" r="91" spans="1:4" x14ac:dyDescent="0.2">
      <c r="A91" s="3284" t="s">
        <v>8168</v>
      </c>
      <c r="B91" s="3298" t="s">
        <v>7580</v>
      </c>
      <c r="C91" s="3299" t="s">
        <v>7650</v>
      </c>
      <c r="D91" s="3300"/>
    </row>
    <row r="92" spans="1:4" x14ac:dyDescent="0.2">
      <c r="A92" s="3284" t="s">
        <v>8168</v>
      </c>
      <c r="B92" s="3298" t="s">
        <v>7580</v>
      </c>
      <c r="C92" s="3299" t="s">
        <v>7557</v>
      </c>
      <c r="D92" s="3300"/>
    </row>
    <row r="93" spans="1:4" x14ac:dyDescent="0.2">
      <c r="A93" s="3284" t="s">
        <v>8168</v>
      </c>
      <c r="B93" s="3298" t="s">
        <v>7580</v>
      </c>
      <c r="C93" s="3300" t="s">
        <v>7578</v>
      </c>
      <c r="D93" s="3300"/>
    </row>
    <row r="94" spans="1:4" x14ac:dyDescent="0.2">
      <c r="A94" s="3284" t="s">
        <v>8168</v>
      </c>
      <c r="B94" s="3298" t="s">
        <v>7580</v>
      </c>
      <c r="C94" s="3300" t="s">
        <v>7606</v>
      </c>
      <c r="D94" s="3300"/>
    </row>
    <row r="95" spans="1:4" x14ac:dyDescent="0.2">
      <c r="A95" s="3284" t="s">
        <v>8168</v>
      </c>
      <c r="B95" s="3298" t="s">
        <v>7580</v>
      </c>
      <c r="C95" s="3300" t="s">
        <v>7607</v>
      </c>
      <c r="D95" s="3300"/>
    </row>
    <row r="96" spans="1:4" x14ac:dyDescent="0.2">
      <c r="A96" s="3284" t="s">
        <v>8168</v>
      </c>
      <c r="B96" s="3298" t="s">
        <v>7580</v>
      </c>
      <c r="C96" s="3300" t="s">
        <v>7608</v>
      </c>
      <c r="D96" s="3300"/>
    </row>
    <row r="97" spans="1:4" x14ac:dyDescent="0.2">
      <c r="A97" s="3284" t="s">
        <v>8168</v>
      </c>
      <c r="B97" s="3298" t="s">
        <v>7580</v>
      </c>
      <c r="C97" s="3300" t="s">
        <v>7609</v>
      </c>
      <c r="D97" s="3300"/>
    </row>
    <row ht="89.25" r="98" spans="1:4" x14ac:dyDescent="0.2">
      <c r="A98" s="3284" t="s">
        <v>8168</v>
      </c>
      <c r="B98" s="3298" t="s">
        <v>7580</v>
      </c>
      <c r="C98" s="3300" t="s">
        <v>7579</v>
      </c>
      <c r="D98" s="3300"/>
    </row>
    <row r="99" spans="1:4" x14ac:dyDescent="0.2">
      <c r="A99" s="3284" t="s">
        <v>8168</v>
      </c>
      <c r="B99" s="3298" t="s">
        <v>7580</v>
      </c>
      <c r="C99" s="3325" t="s">
        <v>7610</v>
      </c>
      <c r="D99" s="3300"/>
    </row>
    <row r="100" spans="1:4" x14ac:dyDescent="0.2">
      <c r="A100" s="3284" t="s">
        <v>8168</v>
      </c>
      <c r="B100" s="3298" t="s">
        <v>7580</v>
      </c>
      <c r="C100" s="3300" t="s">
        <v>7611</v>
      </c>
      <c r="D100" s="3300"/>
    </row>
    <row r="101" spans="1:4" x14ac:dyDescent="0.2">
      <c r="A101" s="3284" t="s">
        <v>8168</v>
      </c>
      <c r="B101" s="3298" t="s">
        <v>7580</v>
      </c>
      <c r="C101" s="3300" t="s">
        <v>7612</v>
      </c>
      <c r="D101" s="3300"/>
    </row>
    <row r="102" spans="1:4" x14ac:dyDescent="0.2">
      <c r="A102" s="3284" t="s">
        <v>8168</v>
      </c>
      <c r="B102" s="3298" t="s">
        <v>7580</v>
      </c>
      <c r="C102" s="3300" t="s">
        <v>7613</v>
      </c>
      <c r="D102" s="3300"/>
    </row>
    <row r="103" spans="1:4" x14ac:dyDescent="0.2">
      <c r="A103" s="3284" t="s">
        <v>8168</v>
      </c>
      <c r="B103" s="3298" t="s">
        <v>7580</v>
      </c>
      <c r="C103" s="3300" t="s">
        <v>7614</v>
      </c>
      <c r="D103" s="3300"/>
    </row>
    <row r="104" spans="1:4" x14ac:dyDescent="0.2">
      <c r="A104" s="3284" t="s">
        <v>8168</v>
      </c>
      <c r="B104" s="3298" t="s">
        <v>7580</v>
      </c>
      <c r="C104" s="3300" t="s">
        <v>7615</v>
      </c>
      <c r="D104" s="3300"/>
    </row>
    <row r="105" spans="1:4" x14ac:dyDescent="0.2">
      <c r="A105" s="3284" t="s">
        <v>8168</v>
      </c>
      <c r="B105" s="3298" t="s">
        <v>7580</v>
      </c>
      <c r="C105" s="3300" t="s">
        <v>7616</v>
      </c>
      <c r="D105" s="3300"/>
    </row>
    <row r="106" spans="1:4" x14ac:dyDescent="0.2">
      <c r="A106" s="3284" t="s">
        <v>8168</v>
      </c>
      <c r="B106" s="3298" t="s">
        <v>7452</v>
      </c>
      <c r="C106" s="3300"/>
      <c r="D106" s="3300"/>
    </row>
    <row r="107" spans="1:4" x14ac:dyDescent="0.2">
      <c r="A107" s="3121" t="s">
        <v>8165</v>
      </c>
      <c r="B107" s="3298" t="s">
        <v>7581</v>
      </c>
      <c r="C107" s="3299" t="s">
        <v>7570</v>
      </c>
      <c r="D107" s="3300"/>
    </row>
    <row r="108" spans="1:4" x14ac:dyDescent="0.2">
      <c r="A108" s="3121" t="s">
        <v>8165</v>
      </c>
      <c r="B108" s="3298" t="s">
        <v>7581</v>
      </c>
      <c r="C108" s="3299" t="s">
        <v>7571</v>
      </c>
      <c r="D108" s="3300"/>
    </row>
    <row r="109" spans="1:4" x14ac:dyDescent="0.2">
      <c r="A109" s="3121" t="s">
        <v>8165</v>
      </c>
      <c r="B109" s="3298" t="s">
        <v>7581</v>
      </c>
      <c r="C109" s="3299" t="s">
        <v>7572</v>
      </c>
      <c r="D109" s="3300"/>
    </row>
    <row r="110" spans="1:4" x14ac:dyDescent="0.2">
      <c r="A110" s="3121" t="s">
        <v>8165</v>
      </c>
      <c r="B110" s="3298" t="s">
        <v>7581</v>
      </c>
      <c r="C110" s="3299" t="s">
        <v>7573</v>
      </c>
      <c r="D110" s="3300"/>
    </row>
    <row r="111" spans="1:4" x14ac:dyDescent="0.2">
      <c r="A111" s="3121" t="s">
        <v>8165</v>
      </c>
      <c r="B111" s="3298" t="s">
        <v>7581</v>
      </c>
      <c r="C111" s="3299" t="s">
        <v>7574</v>
      </c>
      <c r="D111" s="3300"/>
    </row>
    <row r="112" spans="1:4" x14ac:dyDescent="0.2">
      <c r="A112" s="3121" t="s">
        <v>8165</v>
      </c>
      <c r="B112" s="3298" t="s">
        <v>7581</v>
      </c>
      <c r="C112" s="3299" t="s">
        <v>7575</v>
      </c>
      <c r="D112" s="3300"/>
    </row>
    <row r="113" spans="1:4" x14ac:dyDescent="0.2">
      <c r="A113" s="3121" t="s">
        <v>8165</v>
      </c>
      <c r="B113" s="3298" t="s">
        <v>7581</v>
      </c>
      <c r="C113" s="3299" t="s">
        <v>7576</v>
      </c>
      <c r="D113" s="3300"/>
    </row>
    <row r="114" spans="1:4" x14ac:dyDescent="0.2">
      <c r="A114" s="3121" t="s">
        <v>8165</v>
      </c>
      <c r="B114" s="3298" t="s">
        <v>7581</v>
      </c>
      <c r="C114" s="3299" t="s">
        <v>7577</v>
      </c>
      <c r="D114" s="3300"/>
    </row>
    <row r="115" spans="1:4" x14ac:dyDescent="0.2">
      <c r="A115" s="3121" t="s">
        <v>8165</v>
      </c>
      <c r="B115" s="3298" t="s">
        <v>7534</v>
      </c>
      <c r="C115" s="3299" t="s">
        <v>7639</v>
      </c>
      <c r="D115" s="3354" t="s">
        <v>7654</v>
      </c>
    </row>
    <row ht="25.5" r="116" spans="1:4" x14ac:dyDescent="0.2">
      <c r="A116" s="3121" t="s">
        <v>8165</v>
      </c>
      <c r="B116" s="3298" t="s">
        <v>7534</v>
      </c>
      <c r="C116" s="3299" t="s">
        <v>7640</v>
      </c>
      <c r="D116" s="3354" t="s">
        <v>7654</v>
      </c>
    </row>
    <row ht="51" r="117" spans="1:4" x14ac:dyDescent="0.2">
      <c r="A117" s="2319" t="s">
        <v>8169</v>
      </c>
      <c r="B117" s="3298" t="s">
        <v>7534</v>
      </c>
      <c r="C117" s="3299" t="s">
        <v>7646</v>
      </c>
      <c r="D117" s="3354" t="s">
        <v>7654</v>
      </c>
    </row>
    <row r="118" spans="1:4" x14ac:dyDescent="0.2">
      <c r="A118" s="2319" t="s">
        <v>8169</v>
      </c>
      <c r="B118" s="3298" t="s">
        <v>7534</v>
      </c>
      <c r="C118" s="3299" t="s">
        <v>7688</v>
      </c>
      <c r="D118" s="3354" t="s">
        <v>7689</v>
      </c>
    </row>
    <row r="119" spans="1:4" x14ac:dyDescent="0.2">
      <c r="A119" s="3496" t="s">
        <v>7465</v>
      </c>
      <c r="B119" s="3336" t="s">
        <v>7452</v>
      </c>
      <c r="C119" s="3337" t="s">
        <v>7619</v>
      </c>
      <c r="D119" s="3337"/>
    </row>
    <row r="120" spans="1:4" x14ac:dyDescent="0.2">
      <c r="A120" s="3496" t="s">
        <v>7465</v>
      </c>
      <c r="B120" s="3336" t="s">
        <v>7498</v>
      </c>
      <c r="C120" s="3337" t="s">
        <v>7619</v>
      </c>
      <c r="D120" s="3337"/>
    </row>
    <row r="121" spans="1:4" x14ac:dyDescent="0.2">
      <c r="A121" s="3496" t="s">
        <v>7465</v>
      </c>
      <c r="B121" s="3336" t="s">
        <v>7452</v>
      </c>
      <c r="C121" s="3337" t="s">
        <v>7620</v>
      </c>
      <c r="D121" s="3337"/>
    </row>
    <row r="122" spans="1:4" x14ac:dyDescent="0.2">
      <c r="A122" s="3496" t="s">
        <v>7465</v>
      </c>
      <c r="B122" s="3336" t="s">
        <v>7498</v>
      </c>
      <c r="C122" s="3337" t="s">
        <v>7620</v>
      </c>
      <c r="D122" s="3337"/>
    </row>
    <row r="123" spans="1:4" x14ac:dyDescent="0.2">
      <c r="A123" s="3496" t="s">
        <v>6927</v>
      </c>
      <c r="B123" s="3336" t="s">
        <v>7534</v>
      </c>
      <c r="C123" s="3337" t="s">
        <v>7637</v>
      </c>
      <c r="D123" s="3337" t="s">
        <v>7826</v>
      </c>
    </row>
    <row ht="76.5" r="124" spans="1:4" x14ac:dyDescent="0.2">
      <c r="A124" s="3496" t="s">
        <v>6927</v>
      </c>
      <c r="B124" s="3336" t="s">
        <v>7534</v>
      </c>
      <c r="C124" s="3337" t="s">
        <v>7638</v>
      </c>
      <c r="D124" s="3337" t="s">
        <v>7826</v>
      </c>
    </row>
    <row r="125" spans="1:4" x14ac:dyDescent="0.2">
      <c r="A125" s="3496" t="s">
        <v>6927</v>
      </c>
      <c r="B125" s="3336" t="s">
        <v>7534</v>
      </c>
      <c r="C125" s="3337" t="s">
        <v>7622</v>
      </c>
      <c r="D125" s="3337" t="s">
        <v>7826</v>
      </c>
    </row>
    <row ht="63.75" r="126" spans="1:4" x14ac:dyDescent="0.2">
      <c r="A126" s="3496" t="s">
        <v>6927</v>
      </c>
      <c r="B126" s="3336" t="s">
        <v>7534</v>
      </c>
      <c r="C126" s="3337" t="s">
        <v>7641</v>
      </c>
      <c r="D126" s="3337" t="s">
        <v>7830</v>
      </c>
    </row>
    <row ht="25.5" r="127" spans="1:4" x14ac:dyDescent="0.2">
      <c r="A127" s="2319" t="s">
        <v>8169</v>
      </c>
      <c r="B127" s="3355" t="s">
        <v>7652</v>
      </c>
      <c r="C127" s="3299" t="s">
        <v>8382</v>
      </c>
      <c r="D127" s="3354" t="s">
        <v>7653</v>
      </c>
    </row>
    <row ht="25.5" r="128" spans="1:4" x14ac:dyDescent="0.2">
      <c r="A128" s="2319" t="s">
        <v>8169</v>
      </c>
      <c r="B128" s="3355" t="s">
        <v>7651</v>
      </c>
      <c r="C128" s="3299" t="s">
        <v>8158</v>
      </c>
      <c r="D128" s="3354" t="s">
        <v>7653</v>
      </c>
    </row>
    <row r="129" spans="1:4" x14ac:dyDescent="0.2">
      <c r="A129" s="3496" t="s">
        <v>7664</v>
      </c>
      <c r="B129" s="3336" t="s">
        <v>4560</v>
      </c>
      <c r="C129" s="3337" t="s">
        <v>7665</v>
      </c>
      <c r="D129" s="3361" t="s">
        <v>7666</v>
      </c>
    </row>
    <row r="130" spans="1:4" x14ac:dyDescent="0.2">
      <c r="A130" s="3497" t="s">
        <v>5761</v>
      </c>
      <c r="B130" s="3350" t="s">
        <v>7642</v>
      </c>
      <c r="C130" s="3351" t="s">
        <v>7643</v>
      </c>
      <c r="D130" s="3352"/>
    </row>
    <row ht="25.5" r="131" spans="1:4" x14ac:dyDescent="0.2">
      <c r="A131" s="2319" t="s">
        <v>8169</v>
      </c>
      <c r="B131" s="3298" t="s">
        <v>7538</v>
      </c>
      <c r="C131" s="3299" t="s">
        <v>7673</v>
      </c>
      <c r="D131" s="3299" t="s">
        <v>7675</v>
      </c>
    </row>
    <row ht="38.25" r="132" spans="1:4" x14ac:dyDescent="0.2">
      <c r="A132" s="2319" t="s">
        <v>8169</v>
      </c>
      <c r="B132" s="3298" t="s">
        <v>7538</v>
      </c>
      <c r="C132" s="3299" t="s">
        <v>7674</v>
      </c>
      <c r="D132" s="3299" t="s">
        <v>7679</v>
      </c>
    </row>
    <row ht="25.5" r="133" spans="1:4" x14ac:dyDescent="0.2">
      <c r="A133" s="2319" t="s">
        <v>8169</v>
      </c>
      <c r="B133" s="3298" t="s">
        <v>7672</v>
      </c>
      <c r="C133" s="3299" t="s">
        <v>7676</v>
      </c>
      <c r="D133" s="3299" t="s">
        <v>7678</v>
      </c>
    </row>
    <row ht="25.5" r="134" spans="1:4" x14ac:dyDescent="0.2">
      <c r="A134" s="2319" t="s">
        <v>8169</v>
      </c>
      <c r="B134" s="3298" t="s">
        <v>7672</v>
      </c>
      <c r="C134" s="3299" t="s">
        <v>7677</v>
      </c>
      <c r="D134" s="3299" t="s">
        <v>7680</v>
      </c>
    </row>
    <row r="135" spans="1:4" x14ac:dyDescent="0.2">
      <c r="A135" s="3496" t="s">
        <v>7465</v>
      </c>
      <c r="B135" s="3336" t="s">
        <v>7534</v>
      </c>
      <c r="C135" s="3337" t="s">
        <v>7681</v>
      </c>
      <c r="D135" s="3361"/>
    </row>
    <row r="136" spans="1:4" x14ac:dyDescent="0.2">
      <c r="A136" s="3496" t="s">
        <v>7682</v>
      </c>
      <c r="B136" s="3336" t="s">
        <v>7476</v>
      </c>
      <c r="C136" s="3337" t="s">
        <v>7683</v>
      </c>
      <c r="D136" s="3361"/>
    </row>
    <row r="137" spans="1:4" x14ac:dyDescent="0.2">
      <c r="A137" s="3496" t="s">
        <v>7682</v>
      </c>
      <c r="B137" s="3336" t="s">
        <v>7476</v>
      </c>
      <c r="C137" s="3337" t="s">
        <v>7684</v>
      </c>
      <c r="D137" s="3361"/>
    </row>
    <row r="138" spans="1:4" x14ac:dyDescent="0.2">
      <c r="A138" s="3496" t="s">
        <v>7685</v>
      </c>
      <c r="B138" s="3336" t="s">
        <v>7476</v>
      </c>
      <c r="C138" s="3337" t="s">
        <v>7686</v>
      </c>
      <c r="D138" s="3361"/>
    </row>
    <row r="139" spans="1:4" x14ac:dyDescent="0.2">
      <c r="A139" s="2319" t="s">
        <v>8169</v>
      </c>
      <c r="B139" s="3298" t="s">
        <v>7690</v>
      </c>
      <c r="C139" s="3299" t="s">
        <v>7691</v>
      </c>
      <c r="D139" s="3299" t="s">
        <v>7695</v>
      </c>
    </row>
    <row r="140" spans="1:4" x14ac:dyDescent="0.2">
      <c r="A140" s="3496" t="s">
        <v>7685</v>
      </c>
      <c r="B140" s="3336" t="s">
        <v>7690</v>
      </c>
      <c r="C140" s="3337" t="s">
        <v>7692</v>
      </c>
      <c r="D140" s="3361"/>
    </row>
    <row r="141" spans="1:4" x14ac:dyDescent="0.2">
      <c r="A141" s="3496" t="s">
        <v>7685</v>
      </c>
      <c r="B141" s="3336" t="s">
        <v>7690</v>
      </c>
      <c r="C141" s="3337" t="s">
        <v>7693</v>
      </c>
      <c r="D141" s="3361"/>
    </row>
    <row r="142" spans="1:4" x14ac:dyDescent="0.2">
      <c r="A142" s="2319" t="s">
        <v>8169</v>
      </c>
      <c r="B142" s="3298" t="s">
        <v>7534</v>
      </c>
      <c r="C142" s="3300" t="s">
        <v>7694</v>
      </c>
      <c r="D142" s="3299" t="s">
        <v>7695</v>
      </c>
    </row>
    <row r="143" spans="1:4" x14ac:dyDescent="0.2">
      <c r="A143" s="2319" t="s">
        <v>8169</v>
      </c>
      <c r="B143" s="3298" t="s">
        <v>7696</v>
      </c>
      <c r="C143" s="3300" t="s">
        <v>7697</v>
      </c>
      <c r="D143" s="3299" t="s">
        <v>7698</v>
      </c>
    </row>
    <row r="144" spans="1:4" x14ac:dyDescent="0.2">
      <c r="A144" s="2319" t="s">
        <v>8169</v>
      </c>
      <c r="B144" s="3298" t="s">
        <v>7699</v>
      </c>
      <c r="C144" s="3300" t="s">
        <v>7700</v>
      </c>
      <c r="D144" s="3299" t="s">
        <v>7695</v>
      </c>
    </row>
    <row r="145" spans="1:4" x14ac:dyDescent="0.2">
      <c r="A145" s="3496"/>
      <c r="B145" s="3336" t="s">
        <v>7701</v>
      </c>
      <c r="C145" s="3337" t="s">
        <v>7702</v>
      </c>
      <c r="D145" s="3361"/>
    </row>
    <row r="146" spans="1:4" x14ac:dyDescent="0.2">
      <c r="A146" s="3496"/>
      <c r="B146" s="3336" t="s">
        <v>7651</v>
      </c>
      <c r="C146" s="3337" t="s">
        <v>7703</v>
      </c>
      <c r="D146" s="3361"/>
    </row>
    <row r="147" spans="1:4" x14ac:dyDescent="0.2">
      <c r="A147" s="2319" t="s">
        <v>8169</v>
      </c>
      <c r="B147" s="3298" t="s">
        <v>7534</v>
      </c>
      <c r="C147" s="3300" t="s">
        <v>7704</v>
      </c>
      <c r="D147" s="3299" t="s">
        <v>7695</v>
      </c>
    </row>
    <row r="148" spans="1:4" x14ac:dyDescent="0.2">
      <c r="A148" s="3496" t="s">
        <v>7465</v>
      </c>
      <c r="B148" s="3336" t="s">
        <v>7534</v>
      </c>
      <c r="C148" s="3337" t="s">
        <v>7706</v>
      </c>
      <c r="D148" s="3337"/>
    </row>
    <row r="149" spans="1:4" x14ac:dyDescent="0.2">
      <c r="A149" s="3496" t="s">
        <v>7465</v>
      </c>
      <c r="B149" s="3336" t="s">
        <v>7534</v>
      </c>
      <c r="C149" s="3337" t="s">
        <v>7705</v>
      </c>
      <c r="D149" s="3337"/>
    </row>
    <row r="150" spans="1:4" x14ac:dyDescent="0.2">
      <c r="A150" s="3496" t="s">
        <v>7465</v>
      </c>
      <c r="B150" s="3336" t="s">
        <v>7534</v>
      </c>
      <c r="C150" s="3337" t="s">
        <v>7707</v>
      </c>
      <c r="D150" s="3337"/>
    </row>
    <row r="151" spans="1:4" x14ac:dyDescent="0.2">
      <c r="A151" s="3496" t="s">
        <v>7465</v>
      </c>
      <c r="B151" s="3336" t="s">
        <v>7451</v>
      </c>
      <c r="C151" s="3337" t="s">
        <v>7708</v>
      </c>
      <c r="D151" s="3337"/>
    </row>
    <row r="152" spans="1:4" x14ac:dyDescent="0.2">
      <c r="A152" s="3496" t="s">
        <v>7465</v>
      </c>
      <c r="B152" s="3336" t="s">
        <v>7701</v>
      </c>
      <c r="C152" s="3337" t="s">
        <v>7711</v>
      </c>
      <c r="D152" s="3337" t="s">
        <v>7713</v>
      </c>
    </row>
    <row r="153" spans="1:4" x14ac:dyDescent="0.2">
      <c r="A153" s="3496" t="s">
        <v>7465</v>
      </c>
      <c r="B153" s="3336" t="s">
        <v>7712</v>
      </c>
      <c r="C153" s="3337" t="s">
        <v>7710</v>
      </c>
      <c r="D153" s="3337" t="s">
        <v>7713</v>
      </c>
    </row>
    <row r="154" spans="1:4" x14ac:dyDescent="0.2">
      <c r="A154" s="3496" t="s">
        <v>7465</v>
      </c>
      <c r="B154" s="3336" t="s">
        <v>7581</v>
      </c>
      <c r="C154" s="3337" t="s">
        <v>7709</v>
      </c>
      <c r="D154" s="3337" t="s">
        <v>7713</v>
      </c>
    </row>
    <row r="155" spans="1:4" x14ac:dyDescent="0.2">
      <c r="A155" s="3496" t="s">
        <v>7465</v>
      </c>
      <c r="B155" s="3336" t="s">
        <v>7716</v>
      </c>
      <c r="C155" s="3337" t="s">
        <v>7717</v>
      </c>
      <c r="D155" s="3337" t="s">
        <v>7719</v>
      </c>
    </row>
    <row r="156" spans="1:4" x14ac:dyDescent="0.2">
      <c r="A156" s="3496" t="s">
        <v>7465</v>
      </c>
      <c r="B156" s="3336" t="s">
        <v>7716</v>
      </c>
      <c r="C156" s="3337" t="s">
        <v>7718</v>
      </c>
      <c r="D156" s="3337" t="s">
        <v>7720</v>
      </c>
    </row>
    <row r="157" spans="1:4" x14ac:dyDescent="0.2">
      <c r="A157" s="2319" t="s">
        <v>8169</v>
      </c>
      <c r="B157" s="3298" t="s">
        <v>7534</v>
      </c>
      <c r="C157" s="3300" t="s">
        <v>7931</v>
      </c>
      <c r="D157" s="3354" t="s">
        <v>7932</v>
      </c>
    </row>
    <row ht="25.5" r="158" spans="1:4" x14ac:dyDescent="0.2">
      <c r="A158" s="2319" t="s">
        <v>8169</v>
      </c>
      <c r="B158" s="3298" t="s">
        <v>7534</v>
      </c>
      <c r="C158" s="3299" t="s">
        <v>7933</v>
      </c>
      <c r="D158" s="3354" t="s">
        <v>7932</v>
      </c>
    </row>
    <row r="159" spans="1:4" x14ac:dyDescent="0.2">
      <c r="A159" s="2319" t="s">
        <v>8169</v>
      </c>
      <c r="B159" s="3298"/>
      <c r="C159" s="3299" t="s">
        <v>8001</v>
      </c>
      <c r="D159" s="3354" t="s">
        <v>7934</v>
      </c>
    </row>
    <row r="160" spans="1:4" x14ac:dyDescent="0.2">
      <c r="A160" s="3121" t="s">
        <v>8165</v>
      </c>
      <c r="B160" s="3298" t="s">
        <v>7534</v>
      </c>
      <c r="C160" s="3299" t="s">
        <v>7750</v>
      </c>
      <c r="D160" s="3354" t="s">
        <v>7751</v>
      </c>
    </row>
    <row r="161" spans="1:4" x14ac:dyDescent="0.2">
      <c r="A161" s="3121" t="s">
        <v>8165</v>
      </c>
      <c r="B161" s="3298" t="s">
        <v>7534</v>
      </c>
      <c r="C161" s="3299" t="s">
        <v>7752</v>
      </c>
      <c r="D161" s="3354" t="s">
        <v>7751</v>
      </c>
    </row>
    <row ht="25.5" r="162" spans="1:4" x14ac:dyDescent="0.2">
      <c r="A162" s="3121" t="s">
        <v>8165</v>
      </c>
      <c r="B162" s="3298" t="s">
        <v>7534</v>
      </c>
      <c r="C162" s="3299" t="s">
        <v>7753</v>
      </c>
      <c r="D162" s="3354" t="s">
        <v>7751</v>
      </c>
    </row>
    <row ht="25.5" r="163" spans="1:4" x14ac:dyDescent="0.2">
      <c r="A163" s="3121" t="s">
        <v>8165</v>
      </c>
      <c r="B163" s="3298" t="s">
        <v>7534</v>
      </c>
      <c r="C163" s="3299" t="s">
        <v>7754</v>
      </c>
      <c r="D163" s="3354" t="s">
        <v>7751</v>
      </c>
    </row>
    <row ht="25.5" r="164" spans="1:4" x14ac:dyDescent="0.2">
      <c r="A164" s="3121" t="s">
        <v>8165</v>
      </c>
      <c r="B164" s="3298" t="s">
        <v>7534</v>
      </c>
      <c r="C164" s="3299" t="s">
        <v>7755</v>
      </c>
      <c r="D164" s="3354" t="s">
        <v>7751</v>
      </c>
    </row>
    <row ht="25.5" r="165" spans="1:4" x14ac:dyDescent="0.2">
      <c r="A165" s="3121" t="s">
        <v>8165</v>
      </c>
      <c r="B165" s="3298" t="s">
        <v>7534</v>
      </c>
      <c r="C165" s="3299" t="s">
        <v>7756</v>
      </c>
      <c r="D165" s="3354" t="s">
        <v>7751</v>
      </c>
    </row>
    <row r="166" spans="1:4" x14ac:dyDescent="0.2">
      <c r="A166" s="3121" t="s">
        <v>8165</v>
      </c>
      <c r="B166" s="3298" t="s">
        <v>7534</v>
      </c>
      <c r="C166" s="3299" t="s">
        <v>7759</v>
      </c>
      <c r="D166" s="3354" t="s">
        <v>7751</v>
      </c>
    </row>
    <row r="167" spans="1:4" x14ac:dyDescent="0.2">
      <c r="A167" s="3121" t="s">
        <v>8165</v>
      </c>
      <c r="B167" s="3298" t="s">
        <v>7533</v>
      </c>
      <c r="C167" s="3299" t="s">
        <v>7760</v>
      </c>
      <c r="D167" s="3354" t="s">
        <v>7751</v>
      </c>
    </row>
    <row r="168" spans="1:4" x14ac:dyDescent="0.2">
      <c r="A168" s="3121" t="s">
        <v>8165</v>
      </c>
      <c r="B168" s="3298" t="s">
        <v>7533</v>
      </c>
      <c r="C168" s="3299" t="s">
        <v>7761</v>
      </c>
      <c r="D168" s="3354" t="s">
        <v>7751</v>
      </c>
    </row>
    <row ht="89.25" r="169" spans="1:4" x14ac:dyDescent="0.2">
      <c r="A169" s="3121" t="s">
        <v>8165</v>
      </c>
      <c r="B169" s="3298" t="s">
        <v>7533</v>
      </c>
      <c r="C169" s="3299" t="s">
        <v>7769</v>
      </c>
      <c r="D169" s="3354" t="s">
        <v>7751</v>
      </c>
    </row>
    <row ht="25.5" r="170" spans="1:4" x14ac:dyDescent="0.2">
      <c r="A170" s="3121" t="s">
        <v>8165</v>
      </c>
      <c r="B170" s="3298" t="s">
        <v>7533</v>
      </c>
      <c r="C170" s="3299" t="s">
        <v>7764</v>
      </c>
      <c r="D170" s="3354" t="s">
        <v>7751</v>
      </c>
    </row>
    <row ht="25.5" r="171" spans="1:4" x14ac:dyDescent="0.2">
      <c r="A171" s="3121" t="s">
        <v>8165</v>
      </c>
      <c r="B171" s="3298" t="s">
        <v>7533</v>
      </c>
      <c r="C171" s="3299" t="s">
        <v>7765</v>
      </c>
      <c r="D171" s="3354" t="s">
        <v>7751</v>
      </c>
    </row>
    <row r="172" spans="1:4" x14ac:dyDescent="0.2">
      <c r="A172" s="3121" t="s">
        <v>8165</v>
      </c>
      <c r="B172" s="3298" t="s">
        <v>7533</v>
      </c>
      <c r="C172" s="3299" t="s">
        <v>7766</v>
      </c>
      <c r="D172" s="3354" t="s">
        <v>7751</v>
      </c>
    </row>
    <row r="173" spans="1:4" x14ac:dyDescent="0.2">
      <c r="A173" s="3121" t="s">
        <v>8165</v>
      </c>
      <c r="B173" s="3298" t="s">
        <v>7533</v>
      </c>
      <c r="C173" s="3299" t="s">
        <v>7767</v>
      </c>
      <c r="D173" s="3354" t="s">
        <v>7751</v>
      </c>
    </row>
    <row ht="89.25" r="174" spans="1:4" x14ac:dyDescent="0.2">
      <c r="A174" s="3121" t="s">
        <v>8165</v>
      </c>
      <c r="B174" s="3298" t="s">
        <v>7533</v>
      </c>
      <c r="C174" s="3299" t="s">
        <v>7768</v>
      </c>
      <c r="D174" s="3354" t="s">
        <v>7751</v>
      </c>
    </row>
    <row r="175" spans="1:4" x14ac:dyDescent="0.2">
      <c r="A175" s="3121" t="s">
        <v>8165</v>
      </c>
      <c r="B175" s="3298" t="s">
        <v>7456</v>
      </c>
      <c r="C175" s="3299" t="s">
        <v>8020</v>
      </c>
      <c r="D175" s="3354" t="s">
        <v>7751</v>
      </c>
    </row>
    <row r="176" spans="1:4" x14ac:dyDescent="0.2">
      <c r="A176" s="3121" t="s">
        <v>8165</v>
      </c>
      <c r="B176" s="3298" t="s">
        <v>7452</v>
      </c>
      <c r="C176" s="3299" t="s">
        <v>8021</v>
      </c>
      <c r="D176" s="3354" t="s">
        <v>7751</v>
      </c>
    </row>
    <row r="177" spans="1:4" x14ac:dyDescent="0.2">
      <c r="A177" s="3121" t="s">
        <v>8165</v>
      </c>
      <c r="B177" s="3298" t="s">
        <v>7452</v>
      </c>
      <c r="C177" s="3299" t="s">
        <v>8022</v>
      </c>
      <c r="D177" s="3354" t="s">
        <v>7751</v>
      </c>
    </row>
    <row r="178" spans="1:4" x14ac:dyDescent="0.2">
      <c r="A178" s="3410" t="s">
        <v>8164</v>
      </c>
      <c r="B178" s="3298" t="s">
        <v>7452</v>
      </c>
      <c r="C178" s="3299" t="s">
        <v>7758</v>
      </c>
      <c r="D178" s="3300"/>
    </row>
    <row r="179" spans="1:4" x14ac:dyDescent="0.2">
      <c r="A179" s="3498" t="s">
        <v>7465</v>
      </c>
      <c r="B179" s="3414" t="s">
        <v>7456</v>
      </c>
      <c r="C179" s="3361" t="s">
        <v>7763</v>
      </c>
      <c r="D179" s="3361"/>
    </row>
    <row ht="38.25" r="180" spans="1:4" x14ac:dyDescent="0.2">
      <c r="A180" s="2319" t="s">
        <v>8169</v>
      </c>
      <c r="B180" s="3298" t="s">
        <v>7599</v>
      </c>
      <c r="C180" s="3417" t="s">
        <v>7771</v>
      </c>
      <c r="D180" s="3354" t="s">
        <v>7762</v>
      </c>
    </row>
    <row r="181" spans="1:4" x14ac:dyDescent="0.2">
      <c r="A181" s="3498" t="s">
        <v>7773</v>
      </c>
      <c r="B181" s="3414" t="s">
        <v>7599</v>
      </c>
      <c r="C181" s="3361" t="s">
        <v>7772</v>
      </c>
      <c r="D181" s="3361" t="s">
        <v>7762</v>
      </c>
    </row>
    <row r="182" spans="1:4" x14ac:dyDescent="0.2">
      <c r="A182" s="2319" t="s">
        <v>8169</v>
      </c>
      <c r="B182" s="3298" t="s">
        <v>7699</v>
      </c>
      <c r="C182" s="3299" t="s">
        <v>7774</v>
      </c>
      <c r="D182" s="3354" t="s">
        <v>7776</v>
      </c>
    </row>
    <row r="183" spans="1:4" x14ac:dyDescent="0.2">
      <c r="A183" s="2319" t="s">
        <v>8169</v>
      </c>
      <c r="B183" s="3298" t="s">
        <v>7699</v>
      </c>
      <c r="C183" s="3299" t="s">
        <v>7775</v>
      </c>
      <c r="D183" s="3354" t="s">
        <v>7776</v>
      </c>
    </row>
    <row ht="25.5" r="184" spans="1:4" x14ac:dyDescent="0.2">
      <c r="A184" s="3496" t="s">
        <v>7465</v>
      </c>
      <c r="B184" s="3336" t="s">
        <v>7505</v>
      </c>
      <c r="C184" s="3337" t="s">
        <v>7808</v>
      </c>
      <c r="D184" s="3337"/>
    </row>
    <row r="185" spans="1:4" x14ac:dyDescent="0.2">
      <c r="A185" s="2319" t="s">
        <v>8169</v>
      </c>
      <c r="B185" s="3298" t="s">
        <v>7534</v>
      </c>
      <c r="C185" s="3300" t="s">
        <v>7822</v>
      </c>
      <c r="D185" s="3354" t="s">
        <v>7645</v>
      </c>
    </row>
    <row r="186" spans="1:4" x14ac:dyDescent="0.2">
      <c r="A186" s="2319" t="s">
        <v>8169</v>
      </c>
      <c r="B186" s="3298" t="s">
        <v>7534</v>
      </c>
      <c r="C186" s="3300" t="s">
        <v>7823</v>
      </c>
      <c r="D186" s="3354" t="s">
        <v>7645</v>
      </c>
    </row>
    <row r="187" spans="1:4" x14ac:dyDescent="0.2">
      <c r="A187" s="2319" t="s">
        <v>8169</v>
      </c>
      <c r="B187" s="3298" t="s">
        <v>7534</v>
      </c>
      <c r="C187" s="3300" t="s">
        <v>7824</v>
      </c>
      <c r="D187" s="3354" t="s">
        <v>7645</v>
      </c>
    </row>
    <row r="188" spans="1:4" x14ac:dyDescent="0.2">
      <c r="A188" s="2319" t="s">
        <v>8169</v>
      </c>
      <c r="B188" s="3298" t="s">
        <v>7534</v>
      </c>
      <c r="C188" s="3300" t="s">
        <v>7809</v>
      </c>
      <c r="D188" s="3354" t="s">
        <v>7645</v>
      </c>
    </row>
    <row r="189" spans="1:4" x14ac:dyDescent="0.2">
      <c r="A189" s="2319" t="s">
        <v>8169</v>
      </c>
      <c r="B189" s="3298" t="s">
        <v>7534</v>
      </c>
      <c r="C189" s="3300" t="s">
        <v>7810</v>
      </c>
      <c r="D189" s="3354" t="s">
        <v>7645</v>
      </c>
    </row>
    <row r="190" spans="1:4" x14ac:dyDescent="0.2">
      <c r="A190" s="2319" t="s">
        <v>8169</v>
      </c>
      <c r="B190" s="3298" t="s">
        <v>7534</v>
      </c>
      <c r="C190" s="3300" t="s">
        <v>7811</v>
      </c>
      <c r="D190" s="3354" t="s">
        <v>7645</v>
      </c>
    </row>
    <row r="191" spans="1:4" x14ac:dyDescent="0.2">
      <c r="A191" s="2319" t="s">
        <v>8169</v>
      </c>
      <c r="B191" s="3298" t="s">
        <v>7534</v>
      </c>
      <c r="C191" s="3300" t="s">
        <v>7812</v>
      </c>
      <c r="D191" s="3354" t="s">
        <v>7645</v>
      </c>
    </row>
    <row r="192" spans="1:4" x14ac:dyDescent="0.2">
      <c r="A192" s="2319" t="s">
        <v>8169</v>
      </c>
      <c r="B192" s="3298" t="s">
        <v>7534</v>
      </c>
      <c r="C192" s="3300" t="s">
        <v>7813</v>
      </c>
      <c r="D192" s="3354" t="s">
        <v>7645</v>
      </c>
    </row>
    <row r="193" spans="1:4" x14ac:dyDescent="0.2">
      <c r="A193" s="2319" t="s">
        <v>8169</v>
      </c>
      <c r="B193" s="3298" t="s">
        <v>7534</v>
      </c>
      <c r="C193" s="3300" t="s">
        <v>7814</v>
      </c>
      <c r="D193" s="3354" t="s">
        <v>7645</v>
      </c>
    </row>
    <row r="194" spans="1:4" x14ac:dyDescent="0.2">
      <c r="A194" s="2319" t="s">
        <v>8169</v>
      </c>
      <c r="B194" s="3298" t="s">
        <v>7534</v>
      </c>
      <c r="C194" s="3300" t="s">
        <v>7815</v>
      </c>
      <c r="D194" s="3354" t="s">
        <v>7645</v>
      </c>
    </row>
    <row r="195" spans="1:4" x14ac:dyDescent="0.2">
      <c r="A195" s="2319" t="s">
        <v>8169</v>
      </c>
      <c r="B195" s="3298" t="s">
        <v>7534</v>
      </c>
      <c r="C195" s="3300" t="s">
        <v>7816</v>
      </c>
      <c r="D195" s="3354" t="s">
        <v>7645</v>
      </c>
    </row>
    <row r="196" spans="1:4" x14ac:dyDescent="0.2">
      <c r="A196" s="2319" t="s">
        <v>8169</v>
      </c>
      <c r="B196" s="3298" t="s">
        <v>7534</v>
      </c>
      <c r="C196" s="3300" t="s">
        <v>7817</v>
      </c>
      <c r="D196" s="3354" t="s">
        <v>7645</v>
      </c>
    </row>
    <row r="197" spans="1:4" x14ac:dyDescent="0.2">
      <c r="A197" s="2319" t="s">
        <v>8169</v>
      </c>
      <c r="B197" s="3298" t="s">
        <v>7534</v>
      </c>
      <c r="C197" s="3300" t="s">
        <v>7818</v>
      </c>
      <c r="D197" s="3354" t="s">
        <v>7645</v>
      </c>
    </row>
    <row r="198" spans="1:4" x14ac:dyDescent="0.2">
      <c r="A198" s="2319" t="s">
        <v>8169</v>
      </c>
      <c r="B198" s="3298" t="s">
        <v>7534</v>
      </c>
      <c r="C198" s="3300" t="s">
        <v>7819</v>
      </c>
      <c r="D198" s="3354" t="s">
        <v>7645</v>
      </c>
    </row>
    <row ht="89.25" r="199" spans="1:4" x14ac:dyDescent="0.2">
      <c r="A199" s="2319" t="s">
        <v>8169</v>
      </c>
      <c r="B199" s="3298" t="s">
        <v>7534</v>
      </c>
      <c r="C199" s="3299" t="s">
        <v>7995</v>
      </c>
      <c r="D199" s="3354" t="s">
        <v>7645</v>
      </c>
    </row>
    <row r="200" spans="1:4" x14ac:dyDescent="0.2">
      <c r="A200" s="2319" t="s">
        <v>8169</v>
      </c>
      <c r="B200" s="3298" t="s">
        <v>7534</v>
      </c>
      <c r="C200" s="3300" t="s">
        <v>7820</v>
      </c>
      <c r="D200" s="3354" t="s">
        <v>7645</v>
      </c>
    </row>
    <row ht="76.5" r="201" spans="1:4" x14ac:dyDescent="0.2">
      <c r="A201" s="2319" t="s">
        <v>8169</v>
      </c>
      <c r="B201" s="3298" t="s">
        <v>7534</v>
      </c>
      <c r="C201" s="3299" t="s">
        <v>7821</v>
      </c>
      <c r="D201" s="3354" t="s">
        <v>7645</v>
      </c>
    </row>
    <row ht="25.5" r="202" spans="1:4" x14ac:dyDescent="0.2">
      <c r="A202" s="2319" t="s">
        <v>8169</v>
      </c>
      <c r="B202" s="3298" t="s">
        <v>7534</v>
      </c>
      <c r="C202" s="3299" t="s">
        <v>7825</v>
      </c>
      <c r="D202" s="3354" t="s">
        <v>7645</v>
      </c>
    </row>
    <row r="203" spans="1:4" x14ac:dyDescent="0.2">
      <c r="A203" s="3496" t="s">
        <v>6927</v>
      </c>
      <c r="B203" s="3336" t="s">
        <v>7534</v>
      </c>
      <c r="C203" s="3337" t="s">
        <v>7827</v>
      </c>
      <c r="D203" s="3337" t="s">
        <v>7826</v>
      </c>
    </row>
    <row ht="25.5" r="204" spans="1:4" x14ac:dyDescent="0.2">
      <c r="A204" s="3496" t="s">
        <v>6927</v>
      </c>
      <c r="B204" s="3336" t="s">
        <v>7534</v>
      </c>
      <c r="C204" s="3337" t="s">
        <v>7828</v>
      </c>
      <c r="D204" s="3337" t="s">
        <v>7826</v>
      </c>
    </row>
    <row ht="25.5" r="205" spans="1:4" x14ac:dyDescent="0.2">
      <c r="A205" s="2319" t="s">
        <v>8169</v>
      </c>
      <c r="B205" s="3298" t="s">
        <v>7534</v>
      </c>
      <c r="C205" s="3299" t="s">
        <v>8381</v>
      </c>
      <c r="D205" s="3354" t="s">
        <v>7645</v>
      </c>
    </row>
    <row ht="63.75" r="206" spans="1:4" x14ac:dyDescent="0.2">
      <c r="A206" s="2319" t="s">
        <v>8169</v>
      </c>
      <c r="B206" s="3298" t="s">
        <v>7534</v>
      </c>
      <c r="C206" s="3299" t="s">
        <v>8436</v>
      </c>
      <c r="D206" s="3354" t="s">
        <v>7645</v>
      </c>
    </row>
    <row ht="25.5" r="207" spans="1:4" x14ac:dyDescent="0.2">
      <c r="A207" s="2319" t="s">
        <v>8169</v>
      </c>
      <c r="B207" s="3298" t="s">
        <v>7534</v>
      </c>
      <c r="C207" s="3300" t="s">
        <v>7829</v>
      </c>
      <c r="D207" s="3354" t="s">
        <v>7645</v>
      </c>
    </row>
    <row ht="51" r="208" spans="1:4" x14ac:dyDescent="0.2">
      <c r="A208" s="2319" t="s">
        <v>8169</v>
      </c>
      <c r="B208" s="3298" t="s">
        <v>7534</v>
      </c>
      <c r="C208" s="3300" t="s">
        <v>7831</v>
      </c>
      <c r="D208" s="3354" t="s">
        <v>7645</v>
      </c>
    </row>
    <row ht="63.75" r="209" spans="1:4" x14ac:dyDescent="0.2">
      <c r="A209" s="2319" t="s">
        <v>8169</v>
      </c>
      <c r="B209" s="3298" t="s">
        <v>7534</v>
      </c>
      <c r="C209" s="3299" t="s">
        <v>8433</v>
      </c>
      <c r="D209" s="3354" t="s">
        <v>7832</v>
      </c>
    </row>
    <row r="210" spans="1:4" x14ac:dyDescent="0.2">
      <c r="A210" s="2319" t="s">
        <v>8169</v>
      </c>
      <c r="B210" s="3298" t="s">
        <v>7534</v>
      </c>
      <c r="C210" s="3300" t="s">
        <v>7833</v>
      </c>
      <c r="D210" s="3354" t="s">
        <v>7832</v>
      </c>
    </row>
    <row ht="25.5" r="211" spans="1:4" x14ac:dyDescent="0.2">
      <c r="A211" s="2319" t="s">
        <v>8169</v>
      </c>
      <c r="B211" s="3298" t="s">
        <v>7534</v>
      </c>
      <c r="C211" s="3300" t="s">
        <v>7834</v>
      </c>
      <c r="D211" s="3354" t="s">
        <v>7832</v>
      </c>
    </row>
    <row ht="89.25" r="212" spans="1:4" x14ac:dyDescent="0.2">
      <c r="A212" s="2319" t="s">
        <v>8169</v>
      </c>
      <c r="B212" s="3298" t="s">
        <v>7534</v>
      </c>
      <c r="C212" s="3299" t="s">
        <v>8434</v>
      </c>
      <c r="D212" s="3354" t="s">
        <v>7832</v>
      </c>
    </row>
    <row ht="25.5" r="213" spans="1:4" x14ac:dyDescent="0.2">
      <c r="A213" s="2319" t="s">
        <v>8169</v>
      </c>
      <c r="B213" s="3298" t="s">
        <v>7534</v>
      </c>
      <c r="C213" s="3299" t="s">
        <v>8171</v>
      </c>
      <c r="D213" s="3354" t="s">
        <v>7832</v>
      </c>
    </row>
    <row ht="63.75" r="214" spans="1:4" x14ac:dyDescent="0.2">
      <c r="A214" s="2319" t="s">
        <v>8169</v>
      </c>
      <c r="B214" s="3298" t="s">
        <v>7534</v>
      </c>
      <c r="C214" s="3299" t="s">
        <v>8435</v>
      </c>
      <c r="D214" s="3354" t="s">
        <v>7832</v>
      </c>
    </row>
    <row r="215" spans="1:4" x14ac:dyDescent="0.2">
      <c r="A215" s="2319" t="s">
        <v>8169</v>
      </c>
      <c r="B215" s="3298" t="s">
        <v>7534</v>
      </c>
      <c r="C215" s="3299" t="s">
        <v>7836</v>
      </c>
      <c r="D215" s="3354" t="s">
        <v>7832</v>
      </c>
    </row>
    <row r="216" spans="1:4" x14ac:dyDescent="0.2">
      <c r="A216" s="2319" t="s">
        <v>8169</v>
      </c>
      <c r="B216" s="3298" t="s">
        <v>7534</v>
      </c>
      <c r="C216" s="3299" t="s">
        <v>7837</v>
      </c>
      <c r="D216" s="3354" t="s">
        <v>7832</v>
      </c>
    </row>
    <row r="217" spans="1:4" x14ac:dyDescent="0.2">
      <c r="A217" s="2319" t="s">
        <v>8169</v>
      </c>
      <c r="B217" s="3298" t="s">
        <v>7534</v>
      </c>
      <c r="C217" s="3299" t="s">
        <v>7838</v>
      </c>
      <c r="D217" s="3354" t="s">
        <v>7832</v>
      </c>
    </row>
    <row ht="25.5" r="218" spans="1:4" x14ac:dyDescent="0.2">
      <c r="A218" s="2319" t="s">
        <v>8169</v>
      </c>
      <c r="B218" s="3298" t="s">
        <v>7534</v>
      </c>
      <c r="C218" s="3299" t="s">
        <v>7839</v>
      </c>
      <c r="D218" s="3354" t="s">
        <v>7832</v>
      </c>
    </row>
    <row r="219" spans="1:4" x14ac:dyDescent="0.2">
      <c r="A219" s="2319" t="s">
        <v>8169</v>
      </c>
      <c r="B219" s="3298" t="s">
        <v>7534</v>
      </c>
      <c r="C219" s="3299" t="s">
        <v>7840</v>
      </c>
      <c r="D219" s="3354" t="s">
        <v>7832</v>
      </c>
    </row>
    <row r="220" spans="1:4" x14ac:dyDescent="0.2">
      <c r="A220" s="2319" t="s">
        <v>8169</v>
      </c>
      <c r="B220" s="3298" t="s">
        <v>7534</v>
      </c>
      <c r="C220" s="3299" t="s">
        <v>7841</v>
      </c>
      <c r="D220" s="3354" t="s">
        <v>7832</v>
      </c>
    </row>
    <row r="221" spans="1:4" x14ac:dyDescent="0.2">
      <c r="A221" s="2319" t="s">
        <v>8169</v>
      </c>
      <c r="B221" s="3298" t="s">
        <v>7534</v>
      </c>
      <c r="C221" s="3299" t="s">
        <v>7842</v>
      </c>
      <c r="D221" s="3354" t="s">
        <v>7832</v>
      </c>
    </row>
    <row r="222" spans="1:4" x14ac:dyDescent="0.2">
      <c r="A222" s="2319" t="s">
        <v>8169</v>
      </c>
      <c r="B222" s="3298" t="s">
        <v>7534</v>
      </c>
      <c r="C222" s="3299" t="s">
        <v>7843</v>
      </c>
      <c r="D222" s="3354" t="s">
        <v>7832</v>
      </c>
    </row>
    <row r="223" spans="1:4" x14ac:dyDescent="0.2">
      <c r="A223" s="2319" t="s">
        <v>8169</v>
      </c>
      <c r="B223" s="3298" t="s">
        <v>7534</v>
      </c>
      <c r="C223" s="3299" t="s">
        <v>7844</v>
      </c>
      <c r="D223" s="3354" t="s">
        <v>7832</v>
      </c>
    </row>
    <row ht="25.5" r="224" spans="1:4" x14ac:dyDescent="0.2">
      <c r="A224" s="2319" t="s">
        <v>8169</v>
      </c>
      <c r="B224" s="3298" t="s">
        <v>7534</v>
      </c>
      <c r="C224" s="3299" t="s">
        <v>8172</v>
      </c>
      <c r="D224" s="3354" t="s">
        <v>7832</v>
      </c>
    </row>
    <row ht="25.5" r="225" spans="1:4" x14ac:dyDescent="0.2">
      <c r="A225" s="2319" t="s">
        <v>8169</v>
      </c>
      <c r="B225" s="3298" t="s">
        <v>7534</v>
      </c>
      <c r="C225" s="3299" t="s">
        <v>7845</v>
      </c>
      <c r="D225" s="3354" t="s">
        <v>7832</v>
      </c>
    </row>
    <row ht="114.75" r="226" spans="1:4" x14ac:dyDescent="0.2">
      <c r="A226" s="2319" t="s">
        <v>8169</v>
      </c>
      <c r="B226" s="3298" t="s">
        <v>7534</v>
      </c>
      <c r="C226" s="3299" t="s">
        <v>8437</v>
      </c>
      <c r="D226" s="3354" t="s">
        <v>7832</v>
      </c>
    </row>
    <row r="227" spans="1:4" x14ac:dyDescent="0.2">
      <c r="A227" s="2319" t="s">
        <v>8169</v>
      </c>
      <c r="B227" s="3298" t="s">
        <v>7534</v>
      </c>
      <c r="C227" s="3299" t="s">
        <v>8173</v>
      </c>
      <c r="D227" s="3354" t="s">
        <v>7832</v>
      </c>
    </row>
    <row ht="25.5" r="228" spans="1:4" x14ac:dyDescent="0.2">
      <c r="A228" s="2319" t="s">
        <v>8169</v>
      </c>
      <c r="B228" s="3298" t="s">
        <v>7534</v>
      </c>
      <c r="C228" s="3299" t="s">
        <v>7848</v>
      </c>
      <c r="D228" s="3354" t="s">
        <v>7832</v>
      </c>
    </row>
    <row ht="25.5" r="229" spans="1:4" x14ac:dyDescent="0.2">
      <c r="A229" s="2319" t="s">
        <v>8169</v>
      </c>
      <c r="B229" s="3298" t="s">
        <v>7534</v>
      </c>
      <c r="C229" s="3299" t="s">
        <v>7849</v>
      </c>
      <c r="D229" s="3354" t="s">
        <v>7832</v>
      </c>
    </row>
    <row r="230" spans="1:4" x14ac:dyDescent="0.2">
      <c r="A230" s="2319" t="s">
        <v>8169</v>
      </c>
      <c r="B230" s="3298" t="s">
        <v>7534</v>
      </c>
      <c r="C230" s="3299" t="s">
        <v>7850</v>
      </c>
      <c r="D230" s="3354" t="s">
        <v>7832</v>
      </c>
    </row>
    <row r="231" spans="1:4" x14ac:dyDescent="0.2">
      <c r="A231" s="2319" t="s">
        <v>8169</v>
      </c>
      <c r="B231" s="3298" t="s">
        <v>7534</v>
      </c>
      <c r="C231" s="3299" t="s">
        <v>8174</v>
      </c>
      <c r="D231" s="3354" t="s">
        <v>7832</v>
      </c>
    </row>
    <row r="232" spans="1:4" x14ac:dyDescent="0.2">
      <c r="A232" s="2319" t="s">
        <v>8169</v>
      </c>
      <c r="B232" s="3298" t="s">
        <v>7534</v>
      </c>
      <c r="C232" s="3299" t="s">
        <v>8175</v>
      </c>
      <c r="D232" s="3354" t="s">
        <v>7832</v>
      </c>
    </row>
    <row r="233" spans="1:4" x14ac:dyDescent="0.2">
      <c r="A233" s="2319" t="s">
        <v>8169</v>
      </c>
      <c r="B233" s="3298" t="s">
        <v>7534</v>
      </c>
      <c r="C233" s="3299" t="s">
        <v>8176</v>
      </c>
      <c r="D233" s="3354" t="s">
        <v>7832</v>
      </c>
    </row>
    <row r="234" spans="1:4" x14ac:dyDescent="0.2">
      <c r="A234" s="2319" t="s">
        <v>8169</v>
      </c>
      <c r="B234" s="3298" t="s">
        <v>7534</v>
      </c>
      <c r="C234" s="3299" t="s">
        <v>8177</v>
      </c>
      <c r="D234" s="3354" t="s">
        <v>7832</v>
      </c>
    </row>
    <row ht="76.5" r="235" spans="1:4" x14ac:dyDescent="0.2">
      <c r="A235" s="2319" t="s">
        <v>8169</v>
      </c>
      <c r="B235" s="3298" t="s">
        <v>7534</v>
      </c>
      <c r="C235" s="3299" t="s">
        <v>8438</v>
      </c>
      <c r="D235" s="3354" t="s">
        <v>7832</v>
      </c>
    </row>
    <row r="236" spans="1:4" x14ac:dyDescent="0.2">
      <c r="A236" s="2319" t="s">
        <v>8169</v>
      </c>
      <c r="B236" s="3298" t="s">
        <v>7534</v>
      </c>
      <c r="C236" s="3299" t="s">
        <v>8178</v>
      </c>
      <c r="D236" s="3354" t="s">
        <v>7832</v>
      </c>
    </row>
    <row ht="51" r="237" spans="1:4" x14ac:dyDescent="0.2">
      <c r="A237" s="2319" t="s">
        <v>8169</v>
      </c>
      <c r="B237" s="3298" t="s">
        <v>7534</v>
      </c>
      <c r="C237" s="3299" t="s">
        <v>8179</v>
      </c>
      <c r="D237" s="3354" t="s">
        <v>7832</v>
      </c>
    </row>
    <row r="238" spans="1:4" x14ac:dyDescent="0.2">
      <c r="A238" s="2319" t="s">
        <v>8169</v>
      </c>
      <c r="B238" s="3298" t="s">
        <v>7534</v>
      </c>
      <c r="C238" s="3299" t="s">
        <v>8180</v>
      </c>
      <c r="D238" s="3354" t="s">
        <v>7832</v>
      </c>
    </row>
    <row r="239" spans="1:4" x14ac:dyDescent="0.2">
      <c r="A239" s="2319" t="s">
        <v>8169</v>
      </c>
      <c r="B239" s="3298" t="s">
        <v>7534</v>
      </c>
      <c r="C239" s="3299" t="s">
        <v>7851</v>
      </c>
      <c r="D239" s="3354" t="s">
        <v>7832</v>
      </c>
    </row>
    <row r="240" spans="1:4" x14ac:dyDescent="0.2">
      <c r="A240" s="2319" t="s">
        <v>8169</v>
      </c>
      <c r="B240" s="3298" t="s">
        <v>7534</v>
      </c>
      <c r="C240" s="3299" t="s">
        <v>7852</v>
      </c>
      <c r="D240" s="3354" t="s">
        <v>7832</v>
      </c>
    </row>
    <row r="241" spans="1:4" x14ac:dyDescent="0.2">
      <c r="A241" s="2319" t="s">
        <v>8169</v>
      </c>
      <c r="B241" s="3298" t="s">
        <v>7534</v>
      </c>
      <c r="C241" s="3299" t="s">
        <v>7853</v>
      </c>
      <c r="D241" s="3354" t="s">
        <v>7832</v>
      </c>
    </row>
    <row r="242" spans="1:4" x14ac:dyDescent="0.2">
      <c r="A242" s="2319" t="s">
        <v>8169</v>
      </c>
      <c r="B242" s="3298" t="s">
        <v>7534</v>
      </c>
      <c r="C242" s="3299" t="s">
        <v>7854</v>
      </c>
      <c r="D242" s="3354" t="s">
        <v>7832</v>
      </c>
    </row>
    <row ht="25.5" r="243" spans="1:4" x14ac:dyDescent="0.2">
      <c r="A243" s="2319" t="s">
        <v>8169</v>
      </c>
      <c r="B243" s="3298" t="s">
        <v>7534</v>
      </c>
      <c r="C243" s="3299" t="s">
        <v>8181</v>
      </c>
      <c r="D243" s="3354" t="s">
        <v>7832</v>
      </c>
    </row>
    <row ht="25.5" r="244" spans="1:4" x14ac:dyDescent="0.2">
      <c r="A244" s="2319" t="s">
        <v>8169</v>
      </c>
      <c r="B244" s="3298" t="s">
        <v>7534</v>
      </c>
      <c r="C244" s="3299" t="s">
        <v>8182</v>
      </c>
      <c r="D244" s="3354" t="s">
        <v>7832</v>
      </c>
    </row>
    <row ht="25.5" r="245" spans="1:4" x14ac:dyDescent="0.2">
      <c r="A245" s="2319" t="s">
        <v>8169</v>
      </c>
      <c r="B245" s="3298" t="s">
        <v>7534</v>
      </c>
      <c r="C245" s="3299" t="s">
        <v>8183</v>
      </c>
      <c r="D245" s="3354" t="s">
        <v>7832</v>
      </c>
    </row>
    <row ht="25.5" r="246" spans="1:4" x14ac:dyDescent="0.2">
      <c r="A246" s="2319" t="s">
        <v>8169</v>
      </c>
      <c r="B246" s="3298" t="s">
        <v>7534</v>
      </c>
      <c r="C246" s="3299" t="s">
        <v>7855</v>
      </c>
      <c r="D246" s="3354" t="s">
        <v>7832</v>
      </c>
    </row>
    <row ht="25.5" r="247" spans="1:4" x14ac:dyDescent="0.2">
      <c r="A247" s="2319" t="s">
        <v>8169</v>
      </c>
      <c r="B247" s="3298" t="s">
        <v>7534</v>
      </c>
      <c r="C247" s="3299" t="s">
        <v>7856</v>
      </c>
      <c r="D247" s="3354" t="s">
        <v>7832</v>
      </c>
    </row>
    <row ht="25.5" r="248" spans="1:4" x14ac:dyDescent="0.2">
      <c r="A248" s="2319" t="s">
        <v>8169</v>
      </c>
      <c r="B248" s="3298" t="s">
        <v>7534</v>
      </c>
      <c r="C248" s="3299" t="s">
        <v>7862</v>
      </c>
      <c r="D248" s="3354" t="s">
        <v>7832</v>
      </c>
    </row>
    <row ht="25.5" r="249" spans="1:4" x14ac:dyDescent="0.2">
      <c r="A249" s="2319" t="s">
        <v>8169</v>
      </c>
      <c r="B249" s="3298" t="s">
        <v>7534</v>
      </c>
      <c r="C249" s="3299" t="s">
        <v>7865</v>
      </c>
      <c r="D249" s="3354" t="s">
        <v>7832</v>
      </c>
    </row>
    <row ht="25.5" r="250" spans="1:4" x14ac:dyDescent="0.2">
      <c r="A250" s="2319" t="s">
        <v>8169</v>
      </c>
      <c r="B250" s="3298" t="s">
        <v>7534</v>
      </c>
      <c r="C250" s="3299" t="s">
        <v>7866</v>
      </c>
      <c r="D250" s="3354" t="s">
        <v>7832</v>
      </c>
    </row>
    <row ht="25.5" r="251" spans="1:4" x14ac:dyDescent="0.2">
      <c r="A251" s="2319" t="s">
        <v>8169</v>
      </c>
      <c r="B251" s="3298" t="s">
        <v>7534</v>
      </c>
      <c r="C251" s="3299" t="s">
        <v>7869</v>
      </c>
      <c r="D251" s="3354" t="s">
        <v>7832</v>
      </c>
    </row>
    <row ht="25.5" r="252" spans="1:4" x14ac:dyDescent="0.2">
      <c r="A252" s="2319" t="s">
        <v>8169</v>
      </c>
      <c r="B252" s="3298" t="s">
        <v>7534</v>
      </c>
      <c r="C252" s="3299" t="s">
        <v>7870</v>
      </c>
      <c r="D252" s="3354" t="s">
        <v>7832</v>
      </c>
    </row>
    <row r="253" spans="1:4" x14ac:dyDescent="0.2">
      <c r="A253" s="2319" t="s">
        <v>8169</v>
      </c>
      <c r="B253" s="3298" t="s">
        <v>7534</v>
      </c>
      <c r="C253" s="3299" t="s">
        <v>7871</v>
      </c>
      <c r="D253" s="3354" t="s">
        <v>7832</v>
      </c>
    </row>
    <row ht="25.5" r="254" spans="1:4" x14ac:dyDescent="0.2">
      <c r="A254" s="2319" t="s">
        <v>8169</v>
      </c>
      <c r="B254" s="3298" t="s">
        <v>7534</v>
      </c>
      <c r="C254" s="3299" t="s">
        <v>7874</v>
      </c>
      <c r="D254" s="3354" t="s">
        <v>7832</v>
      </c>
    </row>
    <row ht="25.5" r="255" spans="1:4" x14ac:dyDescent="0.2">
      <c r="A255" s="2319" t="s">
        <v>8169</v>
      </c>
      <c r="B255" s="3298" t="s">
        <v>7534</v>
      </c>
      <c r="C255" s="3299" t="s">
        <v>7875</v>
      </c>
      <c r="D255" s="3354" t="s">
        <v>7832</v>
      </c>
    </row>
    <row ht="25.5" r="256" spans="1:4" x14ac:dyDescent="0.2">
      <c r="A256" s="2319" t="s">
        <v>8169</v>
      </c>
      <c r="B256" s="3298" t="s">
        <v>7534</v>
      </c>
      <c r="C256" s="3299" t="s">
        <v>7876</v>
      </c>
      <c r="D256" s="3354" t="s">
        <v>7832</v>
      </c>
    </row>
    <row ht="25.5" r="257" spans="1:4" x14ac:dyDescent="0.2">
      <c r="A257" s="2319" t="s">
        <v>8169</v>
      </c>
      <c r="B257" s="3298" t="s">
        <v>7534</v>
      </c>
      <c r="C257" s="3299" t="s">
        <v>7878</v>
      </c>
      <c r="D257" s="3354" t="s">
        <v>7832</v>
      </c>
    </row>
    <row ht="25.5" r="258" spans="1:4" x14ac:dyDescent="0.2">
      <c r="A258" s="2319" t="s">
        <v>8169</v>
      </c>
      <c r="B258" s="3298" t="s">
        <v>7534</v>
      </c>
      <c r="C258" s="3299" t="s">
        <v>7879</v>
      </c>
      <c r="D258" s="3354" t="s">
        <v>7832</v>
      </c>
    </row>
    <row ht="25.5" r="259" spans="1:4" x14ac:dyDescent="0.2">
      <c r="A259" s="2319" t="s">
        <v>8169</v>
      </c>
      <c r="B259" s="3298" t="s">
        <v>7534</v>
      </c>
      <c r="C259" s="3299" t="s">
        <v>7882</v>
      </c>
      <c r="D259" s="3354" t="s">
        <v>7832</v>
      </c>
    </row>
    <row r="260" spans="1:4" x14ac:dyDescent="0.2">
      <c r="A260" s="2319" t="s">
        <v>8169</v>
      </c>
      <c r="B260" s="3298" t="s">
        <v>7534</v>
      </c>
      <c r="C260" s="3299" t="s">
        <v>7883</v>
      </c>
      <c r="D260" s="3354" t="s">
        <v>7832</v>
      </c>
    </row>
    <row ht="25.5" r="261" spans="1:4" x14ac:dyDescent="0.2">
      <c r="A261" s="2319" t="s">
        <v>8169</v>
      </c>
      <c r="B261" s="3298" t="s">
        <v>7534</v>
      </c>
      <c r="C261" s="3299" t="s">
        <v>7884</v>
      </c>
      <c r="D261" s="3354" t="s">
        <v>7832</v>
      </c>
    </row>
    <row ht="25.5" r="262" spans="1:4" x14ac:dyDescent="0.2">
      <c r="A262" s="2319" t="s">
        <v>8169</v>
      </c>
      <c r="B262" s="3298" t="s">
        <v>7534</v>
      </c>
      <c r="C262" s="3299" t="s">
        <v>7885</v>
      </c>
      <c r="D262" s="3354" t="s">
        <v>7832</v>
      </c>
    </row>
    <row ht="25.5" r="263" spans="1:4" x14ac:dyDescent="0.2">
      <c r="A263" s="2319" t="s">
        <v>8169</v>
      </c>
      <c r="B263" s="3298" t="s">
        <v>7534</v>
      </c>
      <c r="C263" s="3299" t="s">
        <v>7886</v>
      </c>
      <c r="D263" s="3354" t="s">
        <v>7832</v>
      </c>
    </row>
    <row ht="25.5" r="264" spans="1:4" x14ac:dyDescent="0.2">
      <c r="A264" s="2319" t="s">
        <v>8169</v>
      </c>
      <c r="B264" s="3298" t="s">
        <v>7534</v>
      </c>
      <c r="C264" s="3299" t="s">
        <v>7887</v>
      </c>
      <c r="D264" s="3354" t="s">
        <v>7832</v>
      </c>
    </row>
    <row ht="25.5" r="265" spans="1:4" x14ac:dyDescent="0.2">
      <c r="A265" s="2319" t="s">
        <v>8169</v>
      </c>
      <c r="B265" s="3298" t="s">
        <v>7534</v>
      </c>
      <c r="C265" s="3299" t="s">
        <v>7888</v>
      </c>
      <c r="D265" s="3354" t="s">
        <v>7832</v>
      </c>
    </row>
    <row r="266" spans="1:4" x14ac:dyDescent="0.2">
      <c r="A266" s="2319" t="s">
        <v>8169</v>
      </c>
      <c r="B266" s="3298" t="s">
        <v>7534</v>
      </c>
      <c r="C266" s="3299" t="s">
        <v>7909</v>
      </c>
      <c r="D266" s="3354" t="s">
        <v>7832</v>
      </c>
    </row>
    <row r="267" spans="1:4" x14ac:dyDescent="0.2">
      <c r="A267" s="2319" t="s">
        <v>8169</v>
      </c>
      <c r="B267" s="3298" t="s">
        <v>7534</v>
      </c>
      <c r="C267" s="3299" t="s">
        <v>7910</v>
      </c>
      <c r="D267" s="3354" t="s">
        <v>7832</v>
      </c>
    </row>
    <row ht="25.5" r="268" spans="1:4" x14ac:dyDescent="0.2">
      <c r="A268" s="2319" t="s">
        <v>8169</v>
      </c>
      <c r="B268" s="3298" t="s">
        <v>7534</v>
      </c>
      <c r="C268" s="3299" t="s">
        <v>7911</v>
      </c>
      <c r="D268" s="3354" t="s">
        <v>7832</v>
      </c>
    </row>
    <row r="269" spans="1:4" x14ac:dyDescent="0.2">
      <c r="A269" s="2319" t="s">
        <v>8169</v>
      </c>
      <c r="B269" s="3298" t="s">
        <v>7534</v>
      </c>
      <c r="C269" s="3299" t="s">
        <v>7912</v>
      </c>
      <c r="D269" s="3354" t="s">
        <v>7832</v>
      </c>
    </row>
    <row r="270" spans="1:4" x14ac:dyDescent="0.2">
      <c r="A270" s="2319" t="s">
        <v>8169</v>
      </c>
      <c r="B270" s="3298" t="s">
        <v>7534</v>
      </c>
      <c r="C270" s="3299" t="s">
        <v>7913</v>
      </c>
      <c r="D270" s="3354" t="s">
        <v>7832</v>
      </c>
    </row>
    <row r="271" spans="1:4" x14ac:dyDescent="0.2">
      <c r="A271" s="2319" t="s">
        <v>8169</v>
      </c>
      <c r="B271" s="3298" t="s">
        <v>7534</v>
      </c>
      <c r="C271" s="3299" t="s">
        <v>7914</v>
      </c>
      <c r="D271" s="3354" t="s">
        <v>7832</v>
      </c>
    </row>
    <row r="272" spans="1:4" x14ac:dyDescent="0.2">
      <c r="A272" s="2319" t="s">
        <v>8169</v>
      </c>
      <c r="B272" s="3298" t="s">
        <v>7534</v>
      </c>
      <c r="C272" s="3299" t="s">
        <v>7915</v>
      </c>
      <c r="D272" s="3354" t="s">
        <v>7832</v>
      </c>
    </row>
    <row r="273" spans="1:4" x14ac:dyDescent="0.2">
      <c r="A273" s="2319" t="s">
        <v>8169</v>
      </c>
      <c r="B273" s="3298" t="s">
        <v>7534</v>
      </c>
      <c r="C273" s="3299" t="s">
        <v>7915</v>
      </c>
      <c r="D273" s="3354" t="s">
        <v>7832</v>
      </c>
    </row>
    <row r="274" spans="1:4" x14ac:dyDescent="0.2">
      <c r="A274" s="2319" t="s">
        <v>8169</v>
      </c>
      <c r="B274" s="3298" t="s">
        <v>7534</v>
      </c>
      <c r="C274" s="3299" t="s">
        <v>7916</v>
      </c>
      <c r="D274" s="3354" t="s">
        <v>7832</v>
      </c>
    </row>
    <row r="275" spans="1:4" x14ac:dyDescent="0.2">
      <c r="A275" s="2319" t="s">
        <v>8169</v>
      </c>
      <c r="B275" s="3298" t="s">
        <v>7534</v>
      </c>
      <c r="C275" s="3299" t="s">
        <v>7917</v>
      </c>
      <c r="D275" s="3354" t="s">
        <v>7832</v>
      </c>
    </row>
    <row r="276" spans="1:4" x14ac:dyDescent="0.2">
      <c r="A276" s="2319" t="s">
        <v>8169</v>
      </c>
      <c r="B276" s="3298" t="s">
        <v>7534</v>
      </c>
      <c r="C276" s="3299" t="s">
        <v>7918</v>
      </c>
      <c r="D276" s="3354" t="s">
        <v>7832</v>
      </c>
    </row>
    <row r="277" spans="1:4" x14ac:dyDescent="0.2">
      <c r="A277" s="2319" t="s">
        <v>8169</v>
      </c>
      <c r="B277" s="3298" t="s">
        <v>7534</v>
      </c>
      <c r="C277" s="3299" t="s">
        <v>7919</v>
      </c>
      <c r="D277" s="3354" t="s">
        <v>7832</v>
      </c>
    </row>
    <row r="278" spans="1:4" x14ac:dyDescent="0.2">
      <c r="A278" s="2319" t="s">
        <v>8169</v>
      </c>
      <c r="B278" s="3298" t="s">
        <v>7534</v>
      </c>
      <c r="C278" s="3299" t="s">
        <v>7920</v>
      </c>
      <c r="D278" s="3354" t="s">
        <v>7832</v>
      </c>
    </row>
    <row r="279" spans="1:4" x14ac:dyDescent="0.2">
      <c r="A279" s="2319" t="s">
        <v>8169</v>
      </c>
      <c r="B279" s="3298" t="s">
        <v>7534</v>
      </c>
      <c r="C279" s="3299" t="s">
        <v>7921</v>
      </c>
      <c r="D279" s="3354" t="s">
        <v>7832</v>
      </c>
    </row>
    <row ht="25.5" r="280" spans="1:4" x14ac:dyDescent="0.2">
      <c r="A280" s="2319" t="s">
        <v>8169</v>
      </c>
      <c r="B280" s="3298" t="s">
        <v>7534</v>
      </c>
      <c r="C280" s="3299" t="s">
        <v>7922</v>
      </c>
      <c r="D280" s="3354" t="s">
        <v>7832</v>
      </c>
    </row>
    <row r="281" spans="1:4" x14ac:dyDescent="0.2">
      <c r="A281" s="2319" t="s">
        <v>8169</v>
      </c>
      <c r="B281" s="3298" t="s">
        <v>7534</v>
      </c>
      <c r="C281" s="3299" t="s">
        <v>7937</v>
      </c>
      <c r="D281" s="3354" t="s">
        <v>7832</v>
      </c>
    </row>
    <row r="282" spans="1:4" x14ac:dyDescent="0.2">
      <c r="A282" s="2319" t="s">
        <v>8169</v>
      </c>
      <c r="B282" s="3298" t="s">
        <v>7534</v>
      </c>
      <c r="C282" s="3299" t="s">
        <v>7938</v>
      </c>
      <c r="D282" s="3354" t="s">
        <v>7832</v>
      </c>
    </row>
    <row ht="25.5" r="283" spans="1:4" x14ac:dyDescent="0.2">
      <c r="A283" s="2319" t="s">
        <v>8169</v>
      </c>
      <c r="B283" s="3298" t="s">
        <v>7534</v>
      </c>
      <c r="C283" s="3299" t="s">
        <v>8184</v>
      </c>
      <c r="D283" s="3354" t="s">
        <v>7832</v>
      </c>
    </row>
    <row r="284" spans="1:4" x14ac:dyDescent="0.2">
      <c r="A284" s="2319" t="s">
        <v>8169</v>
      </c>
      <c r="B284" s="3298" t="s">
        <v>7534</v>
      </c>
      <c r="C284" s="3299" t="s">
        <v>7939</v>
      </c>
      <c r="D284" s="3354" t="s">
        <v>7832</v>
      </c>
    </row>
    <row r="285" spans="1:4" x14ac:dyDescent="0.2">
      <c r="A285" s="2319" t="s">
        <v>8169</v>
      </c>
      <c r="B285" s="3298" t="s">
        <v>7534</v>
      </c>
      <c r="C285" s="3299" t="s">
        <v>7940</v>
      </c>
      <c r="D285" s="3354" t="s">
        <v>7832</v>
      </c>
    </row>
    <row r="286" spans="1:4" x14ac:dyDescent="0.2">
      <c r="A286" s="2319" t="s">
        <v>8169</v>
      </c>
      <c r="B286" s="3298" t="s">
        <v>7534</v>
      </c>
      <c r="C286" s="3299" t="s">
        <v>7941</v>
      </c>
      <c r="D286" s="3354" t="s">
        <v>7832</v>
      </c>
    </row>
    <row r="287" spans="1:4" x14ac:dyDescent="0.2">
      <c r="A287" s="2319" t="s">
        <v>8169</v>
      </c>
      <c r="B287" s="3298" t="s">
        <v>7534</v>
      </c>
      <c r="C287" s="3299" t="s">
        <v>7942</v>
      </c>
      <c r="D287" s="3354" t="s">
        <v>7832</v>
      </c>
    </row>
    <row r="288" spans="1:4" x14ac:dyDescent="0.2">
      <c r="A288" s="2319" t="s">
        <v>8169</v>
      </c>
      <c r="B288" s="3298" t="s">
        <v>7534</v>
      </c>
      <c r="C288" s="3299" t="s">
        <v>7943</v>
      </c>
      <c r="D288" s="3354" t="s">
        <v>7832</v>
      </c>
    </row>
    <row r="289" spans="1:4" x14ac:dyDescent="0.2">
      <c r="A289" s="2319" t="s">
        <v>8169</v>
      </c>
      <c r="B289" s="3298" t="s">
        <v>7534</v>
      </c>
      <c r="C289" s="3299" t="s">
        <v>7944</v>
      </c>
      <c r="D289" s="3354" t="s">
        <v>7832</v>
      </c>
    </row>
    <row r="290" spans="1:4" x14ac:dyDescent="0.2">
      <c r="A290" s="2319" t="s">
        <v>8169</v>
      </c>
      <c r="B290" s="3298" t="s">
        <v>7534</v>
      </c>
      <c r="C290" s="3299" t="s">
        <v>7945</v>
      </c>
      <c r="D290" s="3354" t="s">
        <v>7832</v>
      </c>
    </row>
    <row r="291" spans="1:4" x14ac:dyDescent="0.2">
      <c r="A291" s="2319" t="s">
        <v>8169</v>
      </c>
      <c r="B291" s="3298" t="s">
        <v>7534</v>
      </c>
      <c r="C291" s="3299" t="s">
        <v>7946</v>
      </c>
      <c r="D291" s="3354" t="s">
        <v>7832</v>
      </c>
    </row>
    <row r="292" spans="1:4" x14ac:dyDescent="0.2">
      <c r="A292" s="2319" t="s">
        <v>8169</v>
      </c>
      <c r="B292" s="3298" t="s">
        <v>7534</v>
      </c>
      <c r="C292" s="3299" t="s">
        <v>7947</v>
      </c>
      <c r="D292" s="3354" t="s">
        <v>7832</v>
      </c>
    </row>
    <row ht="25.5" r="293" spans="1:4" x14ac:dyDescent="0.2">
      <c r="A293" s="2319" t="s">
        <v>8169</v>
      </c>
      <c r="B293" s="3298" t="s">
        <v>7534</v>
      </c>
      <c r="C293" s="3299" t="s">
        <v>7948</v>
      </c>
      <c r="D293" s="3354" t="s">
        <v>7832</v>
      </c>
    </row>
    <row r="294" spans="1:4" x14ac:dyDescent="0.2">
      <c r="A294" s="2319" t="s">
        <v>8169</v>
      </c>
      <c r="B294" s="3298" t="s">
        <v>7534</v>
      </c>
      <c r="C294" s="3299" t="s">
        <v>7949</v>
      </c>
      <c r="D294" s="3354" t="s">
        <v>7832</v>
      </c>
    </row>
    <row r="295" spans="1:4" x14ac:dyDescent="0.2">
      <c r="A295" s="2319" t="s">
        <v>8169</v>
      </c>
      <c r="B295" s="3298" t="s">
        <v>7534</v>
      </c>
      <c r="C295" s="3299" t="s">
        <v>7950</v>
      </c>
      <c r="D295" s="3354" t="s">
        <v>7832</v>
      </c>
    </row>
    <row r="296" spans="1:4" x14ac:dyDescent="0.2">
      <c r="A296" s="2319" t="s">
        <v>8169</v>
      </c>
      <c r="B296" s="3298" t="s">
        <v>7534</v>
      </c>
      <c r="C296" s="3299" t="s">
        <v>7951</v>
      </c>
      <c r="D296" s="3354" t="s">
        <v>7832</v>
      </c>
    </row>
    <row r="297" spans="1:4" x14ac:dyDescent="0.2">
      <c r="A297" s="2319" t="s">
        <v>8169</v>
      </c>
      <c r="B297" s="3298" t="s">
        <v>7534</v>
      </c>
      <c r="C297" s="3299" t="s">
        <v>7952</v>
      </c>
      <c r="D297" s="3354" t="s">
        <v>7832</v>
      </c>
    </row>
    <row ht="25.5" r="298" spans="1:4" x14ac:dyDescent="0.2">
      <c r="A298" s="2319" t="s">
        <v>8169</v>
      </c>
      <c r="B298" s="3298" t="s">
        <v>7534</v>
      </c>
      <c r="C298" s="3299" t="s">
        <v>7953</v>
      </c>
      <c r="D298" s="3354" t="s">
        <v>7832</v>
      </c>
    </row>
    <row ht="63.75" r="299" spans="1:4" x14ac:dyDescent="0.2">
      <c r="A299" s="2319" t="s">
        <v>8169</v>
      </c>
      <c r="B299" s="3298" t="s">
        <v>7534</v>
      </c>
      <c r="C299" s="3299" t="s">
        <v>8023</v>
      </c>
      <c r="D299" s="3354" t="s">
        <v>7832</v>
      </c>
    </row>
    <row r="300" spans="1:4" x14ac:dyDescent="0.2">
      <c r="A300" s="2319" t="s">
        <v>8169</v>
      </c>
      <c r="B300" s="3298" t="s">
        <v>7534</v>
      </c>
      <c r="C300" s="3299" t="s">
        <v>7954</v>
      </c>
      <c r="D300" s="3354" t="s">
        <v>7832</v>
      </c>
    </row>
    <row r="301" spans="1:4" x14ac:dyDescent="0.2">
      <c r="A301" s="2319" t="s">
        <v>8169</v>
      </c>
      <c r="B301" s="3298" t="s">
        <v>7534</v>
      </c>
      <c r="C301" s="3299" t="s">
        <v>7955</v>
      </c>
      <c r="D301" s="3354" t="s">
        <v>7832</v>
      </c>
    </row>
    <row r="302" spans="1:4" x14ac:dyDescent="0.2">
      <c r="A302" s="2319" t="s">
        <v>8169</v>
      </c>
      <c r="B302" s="3298" t="s">
        <v>7534</v>
      </c>
      <c r="C302" s="3299" t="s">
        <v>7956</v>
      </c>
      <c r="D302" s="3354" t="s">
        <v>7832</v>
      </c>
    </row>
    <row ht="51" r="303" spans="1:4" x14ac:dyDescent="0.2">
      <c r="A303" s="2319" t="s">
        <v>8169</v>
      </c>
      <c r="B303" s="3298" t="s">
        <v>7534</v>
      </c>
      <c r="C303" s="3299" t="s">
        <v>8024</v>
      </c>
      <c r="D303" s="3354" t="s">
        <v>7832</v>
      </c>
    </row>
    <row ht="89.25" r="304" spans="1:4" x14ac:dyDescent="0.2">
      <c r="A304" s="2319" t="s">
        <v>8169</v>
      </c>
      <c r="B304" s="3298" t="s">
        <v>7534</v>
      </c>
      <c r="C304" s="3299" t="s">
        <v>8877</v>
      </c>
      <c r="D304" s="3354" t="s">
        <v>7832</v>
      </c>
    </row>
    <row r="305" spans="1:4" x14ac:dyDescent="0.2">
      <c r="A305" s="2319" t="s">
        <v>8169</v>
      </c>
      <c r="B305" s="3298" t="s">
        <v>7534</v>
      </c>
      <c r="C305" s="3299" t="s">
        <v>8150</v>
      </c>
      <c r="D305" s="3354" t="s">
        <v>7832</v>
      </c>
    </row>
    <row r="306" spans="1:4" x14ac:dyDescent="0.2">
      <c r="A306" s="2319" t="s">
        <v>8169</v>
      </c>
      <c r="B306" s="3298" t="s">
        <v>7534</v>
      </c>
      <c r="C306" s="3299" t="s">
        <v>8151</v>
      </c>
      <c r="D306" s="3354" t="s">
        <v>7832</v>
      </c>
    </row>
    <row ht="25.5" r="307" spans="1:4" x14ac:dyDescent="0.2">
      <c r="A307" s="2319" t="s">
        <v>8169</v>
      </c>
      <c r="B307" s="3298" t="s">
        <v>7534</v>
      </c>
      <c r="C307" s="3299" t="s">
        <v>8152</v>
      </c>
      <c r="D307" s="3354" t="s">
        <v>7832</v>
      </c>
    </row>
    <row ht="25.5" r="308" spans="1:4" x14ac:dyDescent="0.2">
      <c r="A308" s="2319" t="s">
        <v>8169</v>
      </c>
      <c r="B308" s="3298" t="s">
        <v>7534</v>
      </c>
      <c r="C308" s="3299" t="s">
        <v>8153</v>
      </c>
      <c r="D308" s="3354" t="s">
        <v>7832</v>
      </c>
    </row>
    <row ht="25.5" r="309" spans="1:4" x14ac:dyDescent="0.2">
      <c r="A309" s="2319" t="s">
        <v>8169</v>
      </c>
      <c r="B309" s="3298" t="s">
        <v>7534</v>
      </c>
      <c r="C309" s="3299" t="s">
        <v>8154</v>
      </c>
      <c r="D309" s="3354" t="s">
        <v>7832</v>
      </c>
    </row>
    <row ht="102" r="310" spans="1:4" x14ac:dyDescent="0.2">
      <c r="A310" s="2319" t="s">
        <v>8169</v>
      </c>
      <c r="B310" s="3298"/>
      <c r="C310" s="3299" t="s">
        <v>8354</v>
      </c>
      <c r="D310" s="3354" t="s">
        <v>7832</v>
      </c>
    </row>
    <row ht="25.5" r="311" spans="1:4" x14ac:dyDescent="0.2">
      <c r="A311" s="2319" t="s">
        <v>8169</v>
      </c>
      <c r="B311" s="3298" t="s">
        <v>7534</v>
      </c>
      <c r="C311" s="3299" t="s">
        <v>8155</v>
      </c>
      <c r="D311" s="3354" t="s">
        <v>7832</v>
      </c>
    </row>
    <row r="312" spans="1:4" x14ac:dyDescent="0.2">
      <c r="A312" s="2319" t="s">
        <v>8169</v>
      </c>
      <c r="B312" s="3355" t="s">
        <v>7456</v>
      </c>
      <c r="C312" s="3299" t="s">
        <v>7960</v>
      </c>
      <c r="D312" s="3354" t="s">
        <v>7961</v>
      </c>
    </row>
    <row r="313" spans="1:4" x14ac:dyDescent="0.2">
      <c r="A313" s="2319" t="s">
        <v>8169</v>
      </c>
      <c r="B313" s="3355" t="s">
        <v>7456</v>
      </c>
      <c r="C313" s="3299" t="s">
        <v>7962</v>
      </c>
      <c r="D313" s="3354" t="s">
        <v>7961</v>
      </c>
    </row>
    <row r="314" spans="1:4" x14ac:dyDescent="0.2">
      <c r="A314" s="2319" t="s">
        <v>8169</v>
      </c>
      <c r="B314" s="3355" t="s">
        <v>7456</v>
      </c>
      <c r="C314" s="3299" t="s">
        <v>7963</v>
      </c>
      <c r="D314" s="3354" t="s">
        <v>7961</v>
      </c>
    </row>
    <row r="315" spans="1:4" x14ac:dyDescent="0.2">
      <c r="A315" s="2319" t="s">
        <v>8169</v>
      </c>
      <c r="B315" s="3355" t="s">
        <v>7452</v>
      </c>
      <c r="C315" s="3299" t="s">
        <v>7960</v>
      </c>
      <c r="D315" s="3354" t="s">
        <v>7961</v>
      </c>
    </row>
    <row r="316" spans="1:4" x14ac:dyDescent="0.2">
      <c r="A316" s="2319" t="s">
        <v>8169</v>
      </c>
      <c r="B316" s="3355" t="s">
        <v>7452</v>
      </c>
      <c r="C316" s="3299" t="s">
        <v>7962</v>
      </c>
      <c r="D316" s="3354" t="s">
        <v>7961</v>
      </c>
    </row>
    <row r="317" spans="1:4" x14ac:dyDescent="0.2">
      <c r="A317" s="2319" t="s">
        <v>8169</v>
      </c>
      <c r="B317" s="3355" t="s">
        <v>8448</v>
      </c>
      <c r="C317" s="3299" t="s">
        <v>7962</v>
      </c>
      <c r="D317" s="3354" t="s">
        <v>7961</v>
      </c>
    </row>
    <row r="318" spans="1:4" x14ac:dyDescent="0.2">
      <c r="A318" s="2319" t="s">
        <v>8169</v>
      </c>
      <c r="B318" s="3355" t="s">
        <v>7452</v>
      </c>
      <c r="C318" s="3299" t="s">
        <v>7964</v>
      </c>
      <c r="D318" s="3354" t="s">
        <v>7961</v>
      </c>
    </row>
    <row ht="25.5" r="319" spans="1:4" x14ac:dyDescent="0.2">
      <c r="A319" s="2319" t="s">
        <v>8169</v>
      </c>
      <c r="B319" s="3355" t="s">
        <v>7967</v>
      </c>
      <c r="C319" s="3299" t="s">
        <v>7968</v>
      </c>
      <c r="D319" s="3354" t="s">
        <v>7961</v>
      </c>
    </row>
    <row ht="25.5" r="320" spans="1:4" x14ac:dyDescent="0.2">
      <c r="A320" s="2319" t="s">
        <v>8169</v>
      </c>
      <c r="B320" s="3355" t="s">
        <v>7696</v>
      </c>
      <c r="C320" s="3299" t="s">
        <v>7969</v>
      </c>
      <c r="D320" s="3354" t="s">
        <v>7961</v>
      </c>
    </row>
    <row r="321" spans="1:4" x14ac:dyDescent="0.2">
      <c r="A321" s="2319" t="s">
        <v>8169</v>
      </c>
      <c r="B321" s="3355" t="s">
        <v>7448</v>
      </c>
      <c r="C321" s="3299" t="s">
        <v>7965</v>
      </c>
      <c r="D321" s="3354" t="s">
        <v>7961</v>
      </c>
    </row>
    <row r="322" spans="1:4" x14ac:dyDescent="0.2">
      <c r="A322" s="2319" t="s">
        <v>8169</v>
      </c>
      <c r="B322" s="3355" t="s">
        <v>7690</v>
      </c>
      <c r="C322" s="3299" t="s">
        <v>7980</v>
      </c>
      <c r="D322" s="3354" t="s">
        <v>7966</v>
      </c>
    </row>
    <row r="323" spans="1:4" x14ac:dyDescent="0.2">
      <c r="A323" s="2319" t="s">
        <v>8169</v>
      </c>
      <c r="B323" s="3355" t="s">
        <v>7690</v>
      </c>
      <c r="C323" s="3299" t="s">
        <v>7981</v>
      </c>
      <c r="D323" s="3354" t="s">
        <v>7966</v>
      </c>
    </row>
    <row r="324" spans="1:4" x14ac:dyDescent="0.2">
      <c r="A324" s="2319" t="s">
        <v>8169</v>
      </c>
      <c r="B324" s="3355" t="s">
        <v>7690</v>
      </c>
      <c r="C324" s="3299" t="s">
        <v>7982</v>
      </c>
      <c r="D324" s="3354" t="s">
        <v>7966</v>
      </c>
    </row>
    <row r="325" spans="1:4" x14ac:dyDescent="0.2">
      <c r="A325" s="2319" t="s">
        <v>8169</v>
      </c>
      <c r="B325" s="3355" t="s">
        <v>7690</v>
      </c>
      <c r="C325" s="3299" t="s">
        <v>7983</v>
      </c>
      <c r="D325" s="3354" t="s">
        <v>7966</v>
      </c>
    </row>
    <row r="326" spans="1:4" x14ac:dyDescent="0.2">
      <c r="A326" s="2319" t="s">
        <v>8169</v>
      </c>
      <c r="B326" s="3355" t="s">
        <v>7690</v>
      </c>
      <c r="C326" s="3299" t="s">
        <v>7984</v>
      </c>
      <c r="D326" s="3354" t="s">
        <v>7966</v>
      </c>
    </row>
    <row ht="38.25" r="327" spans="1:4" x14ac:dyDescent="0.2">
      <c r="A327" s="2319" t="s">
        <v>8169</v>
      </c>
      <c r="B327" s="3355" t="s">
        <v>7690</v>
      </c>
      <c r="C327" s="3299" t="s">
        <v>7979</v>
      </c>
      <c r="D327" s="3354" t="s">
        <v>7966</v>
      </c>
    </row>
    <row ht="114.75" r="328" spans="1:4" x14ac:dyDescent="0.2">
      <c r="A328" s="2319" t="s">
        <v>8169</v>
      </c>
      <c r="B328" s="3355" t="s">
        <v>7690</v>
      </c>
      <c r="C328" s="3299" t="s">
        <v>8878</v>
      </c>
      <c r="D328" s="3354" t="s">
        <v>7966</v>
      </c>
    </row>
    <row ht="25.5" r="329" spans="1:4" x14ac:dyDescent="0.2">
      <c r="A329" s="2319" t="s">
        <v>8169</v>
      </c>
      <c r="B329" s="3355" t="s">
        <v>7690</v>
      </c>
      <c r="C329" s="3299" t="s">
        <v>8185</v>
      </c>
      <c r="D329" s="3354" t="s">
        <v>7966</v>
      </c>
    </row>
    <row ht="63.75" r="330" spans="1:4" x14ac:dyDescent="0.2">
      <c r="A330" s="2319" t="s">
        <v>8169</v>
      </c>
      <c r="B330" s="3355" t="s">
        <v>7690</v>
      </c>
      <c r="C330" s="3299" t="s">
        <v>8149</v>
      </c>
      <c r="D330" s="3354" t="s">
        <v>7966</v>
      </c>
    </row>
    <row r="331" spans="1:4" x14ac:dyDescent="0.2">
      <c r="A331" s="2319" t="s">
        <v>8169</v>
      </c>
      <c r="B331" s="3355" t="s">
        <v>7599</v>
      </c>
      <c r="C331" s="3299" t="s">
        <v>7988</v>
      </c>
      <c r="D331" s="3354"/>
    </row>
    <row r="332" spans="1:4" x14ac:dyDescent="0.2">
      <c r="A332" s="2319" t="s">
        <v>8169</v>
      </c>
      <c r="B332" s="3355" t="s">
        <v>7581</v>
      </c>
      <c r="C332" s="3299" t="s">
        <v>7989</v>
      </c>
      <c r="D332" s="3354" t="s">
        <v>7990</v>
      </c>
    </row>
    <row r="333" spans="1:4" x14ac:dyDescent="0.2">
      <c r="A333" s="2319" t="s">
        <v>8169</v>
      </c>
      <c r="B333" s="3475" t="s">
        <v>7452</v>
      </c>
      <c r="C333" s="3299" t="s">
        <v>7991</v>
      </c>
      <c r="D333" s="3354" t="s">
        <v>7992</v>
      </c>
    </row>
    <row ht="25.5" r="334" spans="1:4" x14ac:dyDescent="0.2">
      <c r="A334" s="3121" t="s">
        <v>8165</v>
      </c>
      <c r="B334" s="3298" t="s">
        <v>7534</v>
      </c>
      <c r="C334" s="3299" t="s">
        <v>7993</v>
      </c>
      <c r="D334" s="3300"/>
    </row>
    <row ht="25.5" r="335" spans="1:4" x14ac:dyDescent="0.2">
      <c r="A335" s="3121" t="s">
        <v>8165</v>
      </c>
      <c r="B335" s="3298" t="s">
        <v>7534</v>
      </c>
      <c r="C335" s="3299" t="s">
        <v>7994</v>
      </c>
      <c r="D335" s="3300"/>
    </row>
    <row ht="25.5" r="336" spans="1:4" x14ac:dyDescent="0.2">
      <c r="A336" s="3121" t="s">
        <v>8165</v>
      </c>
      <c r="B336" s="3298" t="s">
        <v>7534</v>
      </c>
      <c r="C336" s="3299" t="s">
        <v>7996</v>
      </c>
      <c r="D336" s="3300"/>
    </row>
    <row ht="38.25" r="337" spans="1:4" x14ac:dyDescent="0.2">
      <c r="A337" s="3121" t="s">
        <v>8165</v>
      </c>
      <c r="B337" s="3298" t="s">
        <v>7534</v>
      </c>
      <c r="C337" s="3299" t="s">
        <v>7997</v>
      </c>
      <c r="D337" s="3300"/>
    </row>
    <row ht="38.25" r="338" spans="1:4" x14ac:dyDescent="0.2">
      <c r="A338" s="3121" t="s">
        <v>8165</v>
      </c>
      <c r="B338" s="3298" t="s">
        <v>7534</v>
      </c>
      <c r="C338" s="3299" t="s">
        <v>7998</v>
      </c>
      <c r="D338" s="3300"/>
    </row>
    <row ht="25.5" r="339" spans="1:4" x14ac:dyDescent="0.2">
      <c r="A339" s="3121" t="s">
        <v>8165</v>
      </c>
      <c r="B339" s="3298" t="s">
        <v>7534</v>
      </c>
      <c r="C339" s="3299" t="s">
        <v>7999</v>
      </c>
      <c r="D339" s="3300"/>
    </row>
    <row ht="25.5" r="340" spans="1:4" x14ac:dyDescent="0.2">
      <c r="A340" s="3121" t="s">
        <v>8165</v>
      </c>
      <c r="B340" s="3298" t="s">
        <v>7534</v>
      </c>
      <c r="C340" s="3299" t="s">
        <v>8000</v>
      </c>
      <c r="D340" s="3300"/>
    </row>
    <row ht="25.5" r="341" spans="1:4" x14ac:dyDescent="0.2">
      <c r="A341" s="3121" t="s">
        <v>8165</v>
      </c>
      <c r="B341" s="3298" t="s">
        <v>7534</v>
      </c>
      <c r="C341" s="3299" t="s">
        <v>8148</v>
      </c>
      <c r="D341" s="3354"/>
    </row>
    <row r="342" spans="1:4" x14ac:dyDescent="0.2">
      <c r="A342" s="3496" t="s">
        <v>8138</v>
      </c>
      <c r="B342" s="3336" t="s">
        <v>7534</v>
      </c>
      <c r="C342" s="3337" t="s">
        <v>8139</v>
      </c>
      <c r="D342" s="3337" t="s">
        <v>8138</v>
      </c>
    </row>
    <row ht="25.5" r="343" spans="1:4" x14ac:dyDescent="0.2">
      <c r="A343" s="3496" t="s">
        <v>8138</v>
      </c>
      <c r="B343" s="3336" t="s">
        <v>7534</v>
      </c>
      <c r="C343" s="3337" t="s">
        <v>8140</v>
      </c>
      <c r="D343" s="3337" t="s">
        <v>8138</v>
      </c>
    </row>
    <row r="344" spans="1:4" x14ac:dyDescent="0.2">
      <c r="A344" s="2319" t="s">
        <v>8169</v>
      </c>
      <c r="B344" s="3298" t="s">
        <v>7534</v>
      </c>
      <c r="C344" s="3299" t="s">
        <v>8141</v>
      </c>
      <c r="D344" s="3354" t="s">
        <v>7932</v>
      </c>
    </row>
    <row r="345" spans="1:4" x14ac:dyDescent="0.2">
      <c r="A345" s="2319" t="s">
        <v>8169</v>
      </c>
      <c r="B345" s="3298" t="s">
        <v>7534</v>
      </c>
      <c r="C345" s="3300" t="s">
        <v>8190</v>
      </c>
      <c r="D345" s="3354" t="s">
        <v>7932</v>
      </c>
    </row>
    <row r="346" spans="1:4" x14ac:dyDescent="0.2">
      <c r="A346" s="2319" t="s">
        <v>8169</v>
      </c>
      <c r="B346" s="3298" t="s">
        <v>7534</v>
      </c>
      <c r="C346" s="3300" t="s">
        <v>8191</v>
      </c>
      <c r="D346" s="3354" t="s">
        <v>7932</v>
      </c>
    </row>
    <row r="347" spans="1:4" x14ac:dyDescent="0.2">
      <c r="A347" s="2319" t="s">
        <v>8169</v>
      </c>
      <c r="B347" s="3298" t="s">
        <v>7534</v>
      </c>
      <c r="C347" s="3300" t="s">
        <v>8192</v>
      </c>
      <c r="D347" s="3354" t="s">
        <v>7932</v>
      </c>
    </row>
    <row r="348" spans="1:4" x14ac:dyDescent="0.2">
      <c r="A348" s="2319" t="s">
        <v>8169</v>
      </c>
      <c r="B348" s="3298" t="s">
        <v>7534</v>
      </c>
      <c r="C348" s="3300" t="s">
        <v>8193</v>
      </c>
      <c r="D348" s="3354" t="s">
        <v>7932</v>
      </c>
    </row>
    <row r="349" spans="1:4" x14ac:dyDescent="0.2">
      <c r="A349" s="2319" t="s">
        <v>8169</v>
      </c>
      <c r="B349" s="3298" t="s">
        <v>7534</v>
      </c>
      <c r="C349" s="3300" t="s">
        <v>8194</v>
      </c>
      <c r="D349" s="3354" t="s">
        <v>7932</v>
      </c>
    </row>
    <row r="350" spans="1:4" x14ac:dyDescent="0.2">
      <c r="A350" s="2319" t="s">
        <v>8169</v>
      </c>
      <c r="B350" s="3298" t="s">
        <v>7534</v>
      </c>
      <c r="C350" s="3300" t="s">
        <v>8195</v>
      </c>
      <c r="D350" s="3354" t="s">
        <v>7932</v>
      </c>
    </row>
    <row r="351" spans="1:4" x14ac:dyDescent="0.2">
      <c r="A351" s="2319" t="s">
        <v>8169</v>
      </c>
      <c r="B351" s="3298" t="s">
        <v>7534</v>
      </c>
      <c r="C351" s="3300" t="s">
        <v>8196</v>
      </c>
      <c r="D351" s="3354" t="s">
        <v>7932</v>
      </c>
    </row>
    <row r="352" spans="1:4" x14ac:dyDescent="0.2">
      <c r="A352" s="2319" t="s">
        <v>8169</v>
      </c>
      <c r="B352" s="3298" t="s">
        <v>7534</v>
      </c>
      <c r="C352" s="3300" t="s">
        <v>8197</v>
      </c>
      <c r="D352" s="3354" t="s">
        <v>7932</v>
      </c>
    </row>
    <row r="353" spans="1:4" x14ac:dyDescent="0.2">
      <c r="A353" s="2319" t="s">
        <v>8169</v>
      </c>
      <c r="B353" s="3298" t="s">
        <v>7534</v>
      </c>
      <c r="C353" s="3300" t="s">
        <v>8348</v>
      </c>
      <c r="D353" s="3354" t="s">
        <v>7932</v>
      </c>
    </row>
    <row ht="25.5" r="354" spans="1:4" x14ac:dyDescent="0.2">
      <c r="A354" s="2319" t="s">
        <v>8169</v>
      </c>
      <c r="B354" s="3298" t="s">
        <v>7534</v>
      </c>
      <c r="C354" s="3300" t="s">
        <v>8198</v>
      </c>
      <c r="D354" s="3354" t="s">
        <v>7932</v>
      </c>
    </row>
    <row ht="25.5" r="355" spans="1:4" x14ac:dyDescent="0.2">
      <c r="A355" s="2319" t="s">
        <v>8169</v>
      </c>
      <c r="B355" s="3298" t="s">
        <v>7534</v>
      </c>
      <c r="C355" s="3300" t="s">
        <v>8199</v>
      </c>
      <c r="D355" s="3354" t="s">
        <v>7932</v>
      </c>
    </row>
    <row ht="25.5" r="356" spans="1:4" x14ac:dyDescent="0.2">
      <c r="A356" s="2319" t="s">
        <v>8169</v>
      </c>
      <c r="B356" s="3298" t="s">
        <v>7534</v>
      </c>
      <c r="C356" s="3300" t="s">
        <v>8349</v>
      </c>
      <c r="D356" s="3354" t="s">
        <v>7932</v>
      </c>
    </row>
    <row r="357" spans="1:4" x14ac:dyDescent="0.2">
      <c r="A357" s="2319" t="s">
        <v>8169</v>
      </c>
      <c r="B357" s="3298" t="s">
        <v>7534</v>
      </c>
      <c r="C357" s="3300" t="s">
        <v>8200</v>
      </c>
      <c r="D357" s="3354" t="s">
        <v>7932</v>
      </c>
    </row>
    <row ht="25.5" r="358" spans="1:4" x14ac:dyDescent="0.2">
      <c r="A358" s="2319" t="s">
        <v>8169</v>
      </c>
      <c r="B358" s="3298" t="s">
        <v>7534</v>
      </c>
      <c r="C358" s="3300" t="s">
        <v>8350</v>
      </c>
      <c r="D358" s="3354" t="s">
        <v>7932</v>
      </c>
    </row>
    <row ht="25.5" r="359" spans="1:4" x14ac:dyDescent="0.2">
      <c r="A359" s="2319" t="s">
        <v>8169</v>
      </c>
      <c r="B359" s="3298" t="s">
        <v>7534</v>
      </c>
      <c r="C359" s="3300" t="s">
        <v>8201</v>
      </c>
      <c r="D359" s="3354" t="s">
        <v>7932</v>
      </c>
    </row>
    <row ht="25.5" r="360" spans="1:4" x14ac:dyDescent="0.2">
      <c r="A360" s="2319" t="s">
        <v>8169</v>
      </c>
      <c r="B360" s="3298" t="s">
        <v>7534</v>
      </c>
      <c r="C360" s="3300" t="s">
        <v>8202</v>
      </c>
      <c r="D360" s="3354" t="s">
        <v>7932</v>
      </c>
    </row>
    <row ht="25.5" r="361" spans="1:4" x14ac:dyDescent="0.2">
      <c r="A361" s="2319" t="s">
        <v>8169</v>
      </c>
      <c r="B361" s="3298" t="s">
        <v>7534</v>
      </c>
      <c r="C361" s="3300" t="s">
        <v>8203</v>
      </c>
      <c r="D361" s="3354" t="s">
        <v>7932</v>
      </c>
    </row>
    <row r="362" spans="1:4" x14ac:dyDescent="0.2">
      <c r="A362" s="2319" t="s">
        <v>8169</v>
      </c>
      <c r="B362" s="3298" t="s">
        <v>7534</v>
      </c>
      <c r="C362" s="3300" t="s">
        <v>8204</v>
      </c>
      <c r="D362" s="3354" t="s">
        <v>7932</v>
      </c>
    </row>
    <row r="363" spans="1:4" x14ac:dyDescent="0.2">
      <c r="A363" s="2319" t="s">
        <v>8169</v>
      </c>
      <c r="B363" s="3298" t="s">
        <v>7534</v>
      </c>
      <c r="C363" s="3300" t="s">
        <v>8205</v>
      </c>
      <c r="D363" s="3354" t="s">
        <v>7932</v>
      </c>
    </row>
    <row r="364" spans="1:4" x14ac:dyDescent="0.2">
      <c r="A364" s="2319" t="s">
        <v>8169</v>
      </c>
      <c r="B364" s="3298" t="s">
        <v>7534</v>
      </c>
      <c r="C364" s="3300" t="s">
        <v>8206</v>
      </c>
      <c r="D364" s="3354" t="s">
        <v>7932</v>
      </c>
    </row>
    <row r="365" spans="1:4" x14ac:dyDescent="0.2">
      <c r="A365" s="2319" t="s">
        <v>8169</v>
      </c>
      <c r="B365" s="3298" t="s">
        <v>7534</v>
      </c>
      <c r="C365" s="3300" t="s">
        <v>8207</v>
      </c>
      <c r="D365" s="3354" t="s">
        <v>7932</v>
      </c>
    </row>
    <row r="366" spans="1:4" x14ac:dyDescent="0.2">
      <c r="A366" s="2319" t="s">
        <v>8169</v>
      </c>
      <c r="B366" s="3298" t="s">
        <v>7534</v>
      </c>
      <c r="C366" s="3300" t="s">
        <v>8208</v>
      </c>
      <c r="D366" s="3354" t="s">
        <v>7932</v>
      </c>
    </row>
    <row r="367" spans="1:4" x14ac:dyDescent="0.2">
      <c r="A367" s="2319" t="s">
        <v>8169</v>
      </c>
      <c r="B367" s="3298" t="s">
        <v>7534</v>
      </c>
      <c r="C367" s="3300" t="s">
        <v>8209</v>
      </c>
      <c r="D367" s="3354" t="s">
        <v>7932</v>
      </c>
    </row>
    <row r="368" spans="1:4" x14ac:dyDescent="0.2">
      <c r="A368" s="2319" t="s">
        <v>8169</v>
      </c>
      <c r="B368" s="3298" t="s">
        <v>7534</v>
      </c>
      <c r="C368" s="3300" t="s">
        <v>8210</v>
      </c>
      <c r="D368" s="3354" t="s">
        <v>7932</v>
      </c>
    </row>
    <row r="369" spans="1:4" x14ac:dyDescent="0.2">
      <c r="A369" s="2319" t="s">
        <v>8169</v>
      </c>
      <c r="B369" s="3298" t="s">
        <v>7534</v>
      </c>
      <c r="C369" s="3300" t="s">
        <v>8211</v>
      </c>
      <c r="D369" s="3354" t="s">
        <v>7932</v>
      </c>
    </row>
    <row r="370" spans="1:4" x14ac:dyDescent="0.2">
      <c r="A370" s="2319" t="s">
        <v>8169</v>
      </c>
      <c r="B370" s="3298" t="s">
        <v>7534</v>
      </c>
      <c r="C370" s="3300" t="s">
        <v>8292</v>
      </c>
      <c r="D370" s="3354" t="s">
        <v>7932</v>
      </c>
    </row>
    <row r="371" spans="1:4" x14ac:dyDescent="0.2">
      <c r="A371" s="2319" t="s">
        <v>8169</v>
      </c>
      <c r="B371" s="3298" t="s">
        <v>7534</v>
      </c>
      <c r="C371" s="3300" t="s">
        <v>8293</v>
      </c>
      <c r="D371" s="3354" t="s">
        <v>7932</v>
      </c>
    </row>
    <row r="372" spans="1:4" x14ac:dyDescent="0.2">
      <c r="A372" s="2319" t="s">
        <v>8169</v>
      </c>
      <c r="B372" s="3298" t="s">
        <v>7534</v>
      </c>
      <c r="C372" s="3300" t="s">
        <v>8294</v>
      </c>
      <c r="D372" s="3354" t="s">
        <v>7932</v>
      </c>
    </row>
    <row ht="25.5" r="373" spans="1:4" x14ac:dyDescent="0.2">
      <c r="A373" s="2319" t="s">
        <v>8169</v>
      </c>
      <c r="B373" s="3298" t="s">
        <v>7534</v>
      </c>
      <c r="C373" s="3300" t="s">
        <v>8295</v>
      </c>
      <c r="D373" s="3354" t="s">
        <v>7932</v>
      </c>
    </row>
    <row r="374" spans="1:4" x14ac:dyDescent="0.2">
      <c r="A374" s="2319" t="s">
        <v>8169</v>
      </c>
      <c r="B374" s="3298" t="s">
        <v>7534</v>
      </c>
      <c r="C374" s="3300" t="s">
        <v>8296</v>
      </c>
      <c r="D374" s="3354" t="s">
        <v>7932</v>
      </c>
    </row>
    <row r="375" spans="1:4" x14ac:dyDescent="0.2">
      <c r="A375" s="2319" t="s">
        <v>8169</v>
      </c>
      <c r="B375" s="3298" t="s">
        <v>7534</v>
      </c>
      <c r="C375" s="3300" t="s">
        <v>8297</v>
      </c>
      <c r="D375" s="3354" t="s">
        <v>7932</v>
      </c>
    </row>
    <row r="376" spans="1:4" x14ac:dyDescent="0.2">
      <c r="A376" s="2319" t="s">
        <v>8169</v>
      </c>
      <c r="B376" s="3298" t="s">
        <v>7534</v>
      </c>
      <c r="C376" s="3300" t="s">
        <v>8298</v>
      </c>
      <c r="D376" s="3354" t="s">
        <v>7932</v>
      </c>
    </row>
    <row r="377" spans="1:4" x14ac:dyDescent="0.2">
      <c r="A377" s="2319" t="s">
        <v>8169</v>
      </c>
      <c r="B377" s="3298" t="s">
        <v>7534</v>
      </c>
      <c r="C377" s="3300" t="s">
        <v>8299</v>
      </c>
      <c r="D377" s="3354" t="s">
        <v>7932</v>
      </c>
    </row>
    <row r="378" spans="1:4" x14ac:dyDescent="0.2">
      <c r="A378" s="2319" t="s">
        <v>8169</v>
      </c>
      <c r="B378" s="3298" t="s">
        <v>7534</v>
      </c>
      <c r="C378" s="3300" t="s">
        <v>8300</v>
      </c>
      <c r="D378" s="3354" t="s">
        <v>7932</v>
      </c>
    </row>
    <row r="379" spans="1:4" x14ac:dyDescent="0.2">
      <c r="A379" s="2319" t="s">
        <v>8169</v>
      </c>
      <c r="B379" s="3298" t="s">
        <v>7534</v>
      </c>
      <c r="C379" s="3300" t="s">
        <v>8301</v>
      </c>
      <c r="D379" s="3354" t="s">
        <v>7932</v>
      </c>
    </row>
    <row r="380" spans="1:4" x14ac:dyDescent="0.2">
      <c r="A380" s="2319" t="s">
        <v>8169</v>
      </c>
      <c r="B380" s="3298" t="s">
        <v>7534</v>
      </c>
      <c r="C380" s="3300" t="s">
        <v>8302</v>
      </c>
      <c r="D380" s="3354" t="s">
        <v>7932</v>
      </c>
    </row>
    <row r="381" spans="1:4" x14ac:dyDescent="0.2">
      <c r="A381" s="2319" t="s">
        <v>8169</v>
      </c>
      <c r="B381" s="3298" t="s">
        <v>7534</v>
      </c>
      <c r="C381" s="3300" t="s">
        <v>8303</v>
      </c>
      <c r="D381" s="3354" t="s">
        <v>7932</v>
      </c>
    </row>
    <row r="382" spans="1:4" x14ac:dyDescent="0.2">
      <c r="A382" s="2319" t="s">
        <v>8169</v>
      </c>
      <c r="B382" s="3298" t="s">
        <v>7534</v>
      </c>
      <c r="C382" s="3300" t="s">
        <v>8304</v>
      </c>
      <c r="D382" s="3354" t="s">
        <v>7932</v>
      </c>
    </row>
    <row r="383" spans="1:4" x14ac:dyDescent="0.2">
      <c r="A383" s="2319" t="s">
        <v>8169</v>
      </c>
      <c r="B383" s="3298" t="s">
        <v>7534</v>
      </c>
      <c r="C383" s="3300" t="s">
        <v>8351</v>
      </c>
      <c r="D383" s="3354" t="s">
        <v>7932</v>
      </c>
    </row>
    <row ht="25.5" r="384" spans="1:4" x14ac:dyDescent="0.2">
      <c r="A384" s="2319" t="s">
        <v>8169</v>
      </c>
      <c r="B384" s="3298" t="s">
        <v>7534</v>
      </c>
      <c r="C384" s="3300" t="s">
        <v>8352</v>
      </c>
      <c r="D384" s="3354" t="s">
        <v>7932</v>
      </c>
    </row>
    <row ht="25.5" r="385" spans="1:4" x14ac:dyDescent="0.2">
      <c r="A385" s="2319" t="s">
        <v>8169</v>
      </c>
      <c r="B385" s="3298" t="s">
        <v>7534</v>
      </c>
      <c r="C385" s="3300" t="s">
        <v>8353</v>
      </c>
      <c r="D385" s="3354" t="s">
        <v>7932</v>
      </c>
    </row>
    <row ht="25.5" r="386" spans="1:4" x14ac:dyDescent="0.2">
      <c r="A386" s="2319" t="s">
        <v>8169</v>
      </c>
      <c r="B386" s="3298" t="s">
        <v>7534</v>
      </c>
      <c r="C386" s="3300" t="s">
        <v>8305</v>
      </c>
      <c r="D386" s="3354" t="s">
        <v>7932</v>
      </c>
    </row>
    <row ht="25.5" r="387" spans="1:4" x14ac:dyDescent="0.2">
      <c r="A387" s="2319" t="s">
        <v>8169</v>
      </c>
      <c r="B387" s="3298" t="s">
        <v>7534</v>
      </c>
      <c r="C387" s="3300" t="s">
        <v>8306</v>
      </c>
      <c r="D387" s="3354" t="s">
        <v>7932</v>
      </c>
    </row>
    <row ht="25.5" r="388" spans="1:4" x14ac:dyDescent="0.2">
      <c r="A388" s="2319" t="s">
        <v>8169</v>
      </c>
      <c r="B388" s="3298" t="s">
        <v>7534</v>
      </c>
      <c r="C388" s="3300" t="s">
        <v>8307</v>
      </c>
      <c r="D388" s="3354" t="s">
        <v>7932</v>
      </c>
    </row>
    <row r="389" spans="1:4" x14ac:dyDescent="0.2">
      <c r="A389" s="2319" t="s">
        <v>8169</v>
      </c>
      <c r="B389" s="3298" t="s">
        <v>7534</v>
      </c>
      <c r="C389" s="3300" t="s">
        <v>8308</v>
      </c>
      <c r="D389" s="3354" t="s">
        <v>7932</v>
      </c>
    </row>
    <row ht="63.75" r="390" spans="1:4" x14ac:dyDescent="0.2">
      <c r="A390" s="2319" t="s">
        <v>8169</v>
      </c>
      <c r="B390" s="3298" t="s">
        <v>7534</v>
      </c>
      <c r="C390" s="3300" t="s">
        <v>8432</v>
      </c>
      <c r="D390" s="3354" t="s">
        <v>7932</v>
      </c>
    </row>
    <row ht="63.75" r="391" spans="1:4" x14ac:dyDescent="0.2">
      <c r="A391" s="2319" t="s">
        <v>8169</v>
      </c>
      <c r="B391" s="3298" t="s">
        <v>7534</v>
      </c>
      <c r="C391" s="3417" t="s">
        <v>8431</v>
      </c>
      <c r="D391" s="3354" t="s">
        <v>7932</v>
      </c>
    </row>
    <row ht="63.75" r="392" spans="1:4" x14ac:dyDescent="0.2">
      <c r="A392" s="2319" t="s">
        <v>8169</v>
      </c>
      <c r="B392" s="3298" t="s">
        <v>7534</v>
      </c>
      <c r="C392" s="3417" t="s">
        <v>8430</v>
      </c>
      <c r="D392" s="3354" t="s">
        <v>7932</v>
      </c>
    </row>
    <row r="393" spans="1:4" x14ac:dyDescent="0.2">
      <c r="A393" s="2319" t="s">
        <v>8169</v>
      </c>
      <c r="B393" s="3298" t="s">
        <v>7534</v>
      </c>
      <c r="C393" s="3417" t="s">
        <v>8309</v>
      </c>
      <c r="D393" s="3354" t="s">
        <v>7932</v>
      </c>
    </row>
    <row r="394" spans="1:4" x14ac:dyDescent="0.2">
      <c r="A394" s="2319" t="s">
        <v>8169</v>
      </c>
      <c r="B394" s="3298" t="s">
        <v>7534</v>
      </c>
      <c r="C394" s="3417" t="s">
        <v>8310</v>
      </c>
      <c r="D394" s="3354" t="s">
        <v>7932</v>
      </c>
    </row>
    <row r="395" spans="1:4" x14ac:dyDescent="0.2">
      <c r="A395" s="2319" t="s">
        <v>8169</v>
      </c>
      <c r="B395" s="3298" t="s">
        <v>7534</v>
      </c>
      <c r="C395" s="3417" t="s">
        <v>8311</v>
      </c>
      <c r="D395" s="3354" t="s">
        <v>7932</v>
      </c>
    </row>
    <row ht="63.75" r="396" spans="1:4" x14ac:dyDescent="0.2">
      <c r="A396" s="2319" t="s">
        <v>8169</v>
      </c>
      <c r="B396" s="3298" t="s">
        <v>7534</v>
      </c>
      <c r="C396" s="3417" t="s">
        <v>8429</v>
      </c>
      <c r="D396" s="3354" t="s">
        <v>7932</v>
      </c>
    </row>
    <row r="397" spans="1:4" x14ac:dyDescent="0.2">
      <c r="A397" s="2319" t="s">
        <v>8169</v>
      </c>
      <c r="B397" s="3298" t="s">
        <v>7534</v>
      </c>
      <c r="C397" s="3417" t="s">
        <v>8312</v>
      </c>
      <c r="D397" s="3354" t="s">
        <v>7932</v>
      </c>
    </row>
    <row r="398" spans="1:4" x14ac:dyDescent="0.2">
      <c r="A398" s="2319" t="s">
        <v>8169</v>
      </c>
      <c r="B398" s="3298" t="s">
        <v>7534</v>
      </c>
      <c r="C398" s="3417" t="s">
        <v>8313</v>
      </c>
      <c r="D398" s="3354" t="s">
        <v>7932</v>
      </c>
    </row>
    <row r="399" spans="1:4" x14ac:dyDescent="0.2">
      <c r="A399" s="2319" t="s">
        <v>8169</v>
      </c>
      <c r="B399" s="3298" t="s">
        <v>7534</v>
      </c>
      <c r="C399" s="3417" t="s">
        <v>8314</v>
      </c>
      <c r="D399" s="3354" t="s">
        <v>7932</v>
      </c>
    </row>
    <row r="400" spans="1:4" x14ac:dyDescent="0.2">
      <c r="A400" s="2319" t="s">
        <v>8169</v>
      </c>
      <c r="B400" s="3298" t="s">
        <v>7534</v>
      </c>
      <c r="C400" s="3417" t="s">
        <v>8315</v>
      </c>
      <c r="D400" s="3354" t="s">
        <v>7932</v>
      </c>
    </row>
    <row r="401" spans="1:4" x14ac:dyDescent="0.2">
      <c r="A401" s="2319" t="s">
        <v>8169</v>
      </c>
      <c r="B401" s="3298" t="s">
        <v>7534</v>
      </c>
      <c r="C401" s="3417" t="s">
        <v>8316</v>
      </c>
      <c r="D401" s="3354" t="s">
        <v>7932</v>
      </c>
    </row>
    <row ht="25.5" r="402" spans="1:4" x14ac:dyDescent="0.2">
      <c r="A402" s="2319" t="s">
        <v>8169</v>
      </c>
      <c r="B402" s="3298" t="s">
        <v>7534</v>
      </c>
      <c r="C402" s="3417" t="s">
        <v>8317</v>
      </c>
      <c r="D402" s="3354" t="s">
        <v>7932</v>
      </c>
    </row>
    <row ht="25.5" r="403" spans="1:4" x14ac:dyDescent="0.2">
      <c r="A403" s="2319" t="s">
        <v>8169</v>
      </c>
      <c r="B403" s="3298" t="s">
        <v>7534</v>
      </c>
      <c r="C403" s="3417" t="s">
        <v>8318</v>
      </c>
      <c r="D403" s="3354" t="s">
        <v>7932</v>
      </c>
    </row>
    <row ht="25.5" r="404" spans="1:4" x14ac:dyDescent="0.2">
      <c r="A404" s="2319" t="s">
        <v>8169</v>
      </c>
      <c r="B404" s="3298" t="s">
        <v>7534</v>
      </c>
      <c r="C404" s="3417" t="s">
        <v>8319</v>
      </c>
      <c r="D404" s="3354" t="s">
        <v>7932</v>
      </c>
    </row>
    <row r="405" spans="1:4" x14ac:dyDescent="0.2">
      <c r="A405" s="2319" t="s">
        <v>8169</v>
      </c>
      <c r="B405" s="3298" t="s">
        <v>7534</v>
      </c>
      <c r="C405" s="3417" t="s">
        <v>8320</v>
      </c>
      <c r="D405" s="3354" t="s">
        <v>7932</v>
      </c>
    </row>
    <row ht="25.5" r="406" spans="1:4" x14ac:dyDescent="0.2">
      <c r="A406" s="2319" t="s">
        <v>8169</v>
      </c>
      <c r="B406" s="3298" t="s">
        <v>7534</v>
      </c>
      <c r="C406" s="3417" t="s">
        <v>8321</v>
      </c>
      <c r="D406" s="3354" t="s">
        <v>7932</v>
      </c>
    </row>
    <row ht="25.5" r="407" spans="1:4" x14ac:dyDescent="0.2">
      <c r="A407" s="2319" t="s">
        <v>8169</v>
      </c>
      <c r="B407" s="3298" t="s">
        <v>7534</v>
      </c>
      <c r="C407" s="3417" t="s">
        <v>8322</v>
      </c>
      <c r="D407" s="3354" t="s">
        <v>7932</v>
      </c>
    </row>
    <row ht="25.5" r="408" spans="1:4" x14ac:dyDescent="0.2">
      <c r="A408" s="2319" t="s">
        <v>8169</v>
      </c>
      <c r="B408" s="3298" t="s">
        <v>7534</v>
      </c>
      <c r="C408" s="3417" t="s">
        <v>8323</v>
      </c>
      <c r="D408" s="3354" t="s">
        <v>7932</v>
      </c>
    </row>
    <row ht="25.5" r="409" spans="1:4" x14ac:dyDescent="0.2">
      <c r="A409" s="2319" t="s">
        <v>8169</v>
      </c>
      <c r="B409" s="3298" t="s">
        <v>7534</v>
      </c>
      <c r="C409" s="3417" t="s">
        <v>8324</v>
      </c>
      <c r="D409" s="3354" t="s">
        <v>7932</v>
      </c>
    </row>
    <row r="410" spans="1:4" x14ac:dyDescent="0.2">
      <c r="A410" s="2319" t="s">
        <v>8169</v>
      </c>
      <c r="B410" s="3298" t="s">
        <v>7534</v>
      </c>
      <c r="C410" s="3417" t="s">
        <v>8325</v>
      </c>
      <c r="D410" s="3354" t="s">
        <v>7932</v>
      </c>
    </row>
    <row r="411" spans="1:4" x14ac:dyDescent="0.2">
      <c r="A411" s="2319" t="s">
        <v>8169</v>
      </c>
      <c r="B411" s="3298" t="s">
        <v>7534</v>
      </c>
      <c r="C411" s="3417" t="s">
        <v>8326</v>
      </c>
      <c r="D411" s="3354" t="s">
        <v>7932</v>
      </c>
    </row>
    <row r="412" spans="1:4" x14ac:dyDescent="0.2">
      <c r="A412" s="2319" t="s">
        <v>8169</v>
      </c>
      <c r="B412" s="3298" t="s">
        <v>7534</v>
      </c>
      <c r="C412" s="3417" t="s">
        <v>8327</v>
      </c>
      <c r="D412" s="3354" t="s">
        <v>7932</v>
      </c>
    </row>
    <row r="413" spans="1:4" x14ac:dyDescent="0.2">
      <c r="A413" s="2319" t="s">
        <v>8169</v>
      </c>
      <c r="B413" s="3298" t="s">
        <v>7534</v>
      </c>
      <c r="C413" s="3417" t="s">
        <v>8328</v>
      </c>
      <c r="D413" s="3354" t="s">
        <v>7932</v>
      </c>
    </row>
    <row r="414" spans="1:4" x14ac:dyDescent="0.2">
      <c r="A414" s="2319" t="s">
        <v>8169</v>
      </c>
      <c r="B414" s="3298" t="s">
        <v>7534</v>
      </c>
      <c r="C414" s="3417" t="s">
        <v>8329</v>
      </c>
      <c r="D414" s="3354" t="s">
        <v>7932</v>
      </c>
    </row>
    <row r="415" spans="1:4" x14ac:dyDescent="0.2">
      <c r="A415" s="2319" t="s">
        <v>8169</v>
      </c>
      <c r="B415" s="3298" t="s">
        <v>7534</v>
      </c>
      <c r="C415" s="3417" t="s">
        <v>8330</v>
      </c>
      <c r="D415" s="3354" t="s">
        <v>7932</v>
      </c>
    </row>
    <row ht="25.5" r="416" spans="1:4" x14ac:dyDescent="0.2">
      <c r="A416" s="2319" t="s">
        <v>8169</v>
      </c>
      <c r="B416" s="3298" t="s">
        <v>7534</v>
      </c>
      <c r="C416" s="3417" t="s">
        <v>8331</v>
      </c>
      <c r="D416" s="3354" t="s">
        <v>7932</v>
      </c>
    </row>
    <row r="417" spans="1:4" x14ac:dyDescent="0.2">
      <c r="A417" s="2319" t="s">
        <v>8169</v>
      </c>
      <c r="B417" s="3298" t="s">
        <v>7534</v>
      </c>
      <c r="C417" s="3417" t="s">
        <v>8332</v>
      </c>
      <c r="D417" s="3354" t="s">
        <v>7932</v>
      </c>
    </row>
    <row r="418" spans="1:4" x14ac:dyDescent="0.2">
      <c r="A418" s="2319" t="s">
        <v>8169</v>
      </c>
      <c r="B418" s="3298" t="s">
        <v>7534</v>
      </c>
      <c r="C418" s="3417" t="s">
        <v>8333</v>
      </c>
      <c r="D418" s="3354" t="s">
        <v>7932</v>
      </c>
    </row>
    <row r="419" spans="1:4" x14ac:dyDescent="0.2">
      <c r="A419" s="2319" t="s">
        <v>8169</v>
      </c>
      <c r="B419" s="3298" t="s">
        <v>7534</v>
      </c>
      <c r="C419" s="3417" t="s">
        <v>8334</v>
      </c>
      <c r="D419" s="3354" t="s">
        <v>7932</v>
      </c>
    </row>
    <row r="420" spans="1:4" x14ac:dyDescent="0.2">
      <c r="A420" s="2319" t="s">
        <v>8169</v>
      </c>
      <c r="B420" s="3298" t="s">
        <v>7534</v>
      </c>
      <c r="C420" s="3417" t="s">
        <v>8335</v>
      </c>
      <c r="D420" s="3354" t="s">
        <v>7932</v>
      </c>
    </row>
    <row r="421" spans="1:4" x14ac:dyDescent="0.2">
      <c r="A421" s="2319" t="s">
        <v>8169</v>
      </c>
      <c r="B421" s="3298" t="s">
        <v>7534</v>
      </c>
      <c r="C421" s="3417" t="s">
        <v>8336</v>
      </c>
      <c r="D421" s="3354" t="s">
        <v>7932</v>
      </c>
    </row>
    <row r="422" spans="1:4" x14ac:dyDescent="0.2">
      <c r="A422" s="2319" t="s">
        <v>8169</v>
      </c>
      <c r="B422" s="3298" t="s">
        <v>7534</v>
      </c>
      <c r="C422" s="3417" t="s">
        <v>8337</v>
      </c>
      <c r="D422" s="3354" t="s">
        <v>7932</v>
      </c>
    </row>
    <row r="423" spans="1:4" x14ac:dyDescent="0.2">
      <c r="A423" s="2319" t="s">
        <v>8169</v>
      </c>
      <c r="B423" s="3298" t="s">
        <v>7534</v>
      </c>
      <c r="C423" s="3417" t="s">
        <v>8338</v>
      </c>
      <c r="D423" s="3354" t="s">
        <v>7932</v>
      </c>
    </row>
    <row r="424" spans="1:4" x14ac:dyDescent="0.2">
      <c r="A424" s="2319" t="s">
        <v>8169</v>
      </c>
      <c r="B424" s="3298" t="s">
        <v>7534</v>
      </c>
      <c r="C424" s="3417" t="s">
        <v>8339</v>
      </c>
      <c r="D424" s="3354" t="s">
        <v>7932</v>
      </c>
    </row>
    <row r="425" spans="1:4" x14ac:dyDescent="0.2">
      <c r="A425" s="2319" t="s">
        <v>8169</v>
      </c>
      <c r="B425" s="3298" t="s">
        <v>7534</v>
      </c>
      <c r="C425" s="3417" t="s">
        <v>8340</v>
      </c>
      <c r="D425" s="3354" t="s">
        <v>7932</v>
      </c>
    </row>
    <row r="426" spans="1:4" x14ac:dyDescent="0.2">
      <c r="A426" s="2319" t="s">
        <v>8169</v>
      </c>
      <c r="B426" s="3298" t="s">
        <v>7534</v>
      </c>
      <c r="C426" s="3417" t="s">
        <v>8341</v>
      </c>
      <c r="D426" s="3354" t="s">
        <v>7932</v>
      </c>
    </row>
    <row ht="25.5" r="427" spans="1:4" x14ac:dyDescent="0.2">
      <c r="A427" s="2319" t="s">
        <v>8169</v>
      </c>
      <c r="B427" s="3298" t="s">
        <v>7534</v>
      </c>
      <c r="C427" s="3417" t="s">
        <v>8342</v>
      </c>
      <c r="D427" s="3354" t="s">
        <v>7932</v>
      </c>
    </row>
    <row ht="25.5" r="428" spans="1:4" x14ac:dyDescent="0.2">
      <c r="A428" s="2319" t="s">
        <v>8169</v>
      </c>
      <c r="B428" s="3298" t="s">
        <v>7534</v>
      </c>
      <c r="C428" s="3299" t="s">
        <v>8343</v>
      </c>
      <c r="D428" s="3354" t="s">
        <v>7932</v>
      </c>
    </row>
    <row ht="25.5" r="429" spans="1:4" x14ac:dyDescent="0.2">
      <c r="A429" s="2319" t="s">
        <v>8169</v>
      </c>
      <c r="B429" s="3298" t="s">
        <v>7534</v>
      </c>
      <c r="C429" s="3299" t="s">
        <v>8376</v>
      </c>
      <c r="D429" s="3354" t="s">
        <v>7932</v>
      </c>
    </row>
    <row r="430" spans="1:4" x14ac:dyDescent="0.2">
      <c r="A430" s="2319" t="s">
        <v>8169</v>
      </c>
      <c r="B430" s="3298" t="s">
        <v>7534</v>
      </c>
      <c r="C430" s="3417" t="s">
        <v>8344</v>
      </c>
      <c r="D430" s="3354" t="s">
        <v>7932</v>
      </c>
    </row>
    <row ht="25.5" r="431" spans="1:4" x14ac:dyDescent="0.2">
      <c r="A431" s="2319"/>
      <c r="B431" s="3298"/>
      <c r="C431" s="3417" t="s">
        <v>8345</v>
      </c>
      <c r="D431" s="3354" t="s">
        <v>7932</v>
      </c>
    </row>
    <row ht="25.5" r="432" spans="1:4" x14ac:dyDescent="0.2">
      <c r="A432" s="2319" t="s">
        <v>8169</v>
      </c>
      <c r="B432" s="3298" t="s">
        <v>7534</v>
      </c>
      <c r="C432" s="3417" t="s">
        <v>8346</v>
      </c>
      <c r="D432" s="3354" t="s">
        <v>7932</v>
      </c>
    </row>
    <row ht="76.5" r="433" spans="1:4" x14ac:dyDescent="0.2">
      <c r="A433" s="2319" t="s">
        <v>8169</v>
      </c>
      <c r="B433" s="3298" t="s">
        <v>7534</v>
      </c>
      <c r="C433" s="3417" t="s">
        <v>8428</v>
      </c>
      <c r="D433" s="3354" t="s">
        <v>7932</v>
      </c>
    </row>
    <row ht="25.5" r="434" spans="1:4" x14ac:dyDescent="0.2">
      <c r="A434" s="2319" t="s">
        <v>8169</v>
      </c>
      <c r="B434" s="3298" t="s">
        <v>7534</v>
      </c>
      <c r="C434" s="3417" t="s">
        <v>8347</v>
      </c>
      <c r="D434" s="3354" t="s">
        <v>7932</v>
      </c>
    </row>
    <row ht="38.25" r="435" spans="1:4" x14ac:dyDescent="0.2">
      <c r="A435" s="2319" t="s">
        <v>8169</v>
      </c>
      <c r="B435" s="3298" t="s">
        <v>7534</v>
      </c>
      <c r="C435" s="3417" t="s">
        <v>8142</v>
      </c>
      <c r="D435" s="3354" t="s">
        <v>7932</v>
      </c>
    </row>
    <row ht="76.5" r="436" spans="1:4" x14ac:dyDescent="0.2">
      <c r="A436" s="2319" t="s">
        <v>8169</v>
      </c>
      <c r="B436" s="3298" t="s">
        <v>7534</v>
      </c>
      <c r="C436" s="3417" t="s">
        <v>8424</v>
      </c>
      <c r="D436" s="3354" t="s">
        <v>7932</v>
      </c>
    </row>
    <row ht="25.5" r="437" spans="1:4" x14ac:dyDescent="0.2">
      <c r="A437" s="2319" t="s">
        <v>8169</v>
      </c>
      <c r="B437" s="3298" t="s">
        <v>7534</v>
      </c>
      <c r="C437" s="3299" t="s">
        <v>8143</v>
      </c>
      <c r="D437" s="3354" t="s">
        <v>7932</v>
      </c>
    </row>
    <row r="438" spans="1:4" x14ac:dyDescent="0.2">
      <c r="A438" s="2319" t="s">
        <v>8169</v>
      </c>
      <c r="B438" s="3298" t="s">
        <v>7534</v>
      </c>
      <c r="C438" s="3299" t="s">
        <v>8144</v>
      </c>
      <c r="D438" s="3354" t="s">
        <v>7932</v>
      </c>
    </row>
    <row ht="38.25" r="439" spans="1:4" x14ac:dyDescent="0.2">
      <c r="A439" s="2319" t="s">
        <v>8169</v>
      </c>
      <c r="B439" s="3298" t="s">
        <v>7534</v>
      </c>
      <c r="C439" s="3299" t="s">
        <v>8425</v>
      </c>
      <c r="D439" s="3354" t="s">
        <v>7932</v>
      </c>
    </row>
    <row r="440" spans="1:4" x14ac:dyDescent="0.2">
      <c r="A440" s="2319" t="s">
        <v>8169</v>
      </c>
      <c r="B440" s="3298" t="s">
        <v>7534</v>
      </c>
      <c r="C440" s="3299" t="s">
        <v>8145</v>
      </c>
      <c r="D440" s="3354" t="s">
        <v>8291</v>
      </c>
    </row>
    <row ht="25.5" r="441" spans="1:4" x14ac:dyDescent="0.2">
      <c r="A441" s="2319" t="s">
        <v>8169</v>
      </c>
      <c r="B441" s="3298" t="s">
        <v>7534</v>
      </c>
      <c r="C441" s="3299" t="s">
        <v>8189</v>
      </c>
      <c r="D441" s="3354" t="s">
        <v>8291</v>
      </c>
    </row>
    <row ht="51" r="442" spans="1:4" x14ac:dyDescent="0.2">
      <c r="A442" s="2319" t="s">
        <v>8169</v>
      </c>
      <c r="B442" s="3298" t="s">
        <v>7534</v>
      </c>
      <c r="C442" s="3299" t="s">
        <v>8426</v>
      </c>
      <c r="D442" s="3354" t="s">
        <v>7932</v>
      </c>
    </row>
    <row ht="51" r="443" spans="1:4" x14ac:dyDescent="0.2">
      <c r="A443" s="2319" t="s">
        <v>8169</v>
      </c>
      <c r="B443" s="3298" t="s">
        <v>7534</v>
      </c>
      <c r="C443" s="3299" t="s">
        <v>8427</v>
      </c>
      <c r="D443" s="3354" t="s">
        <v>7932</v>
      </c>
    </row>
    <row ht="51" r="444" spans="1:4" x14ac:dyDescent="0.2">
      <c r="A444" s="2319" t="s">
        <v>8169</v>
      </c>
      <c r="B444" s="3298" t="s">
        <v>7534</v>
      </c>
      <c r="C444" s="3299" t="s">
        <v>8146</v>
      </c>
      <c r="D444" s="3354" t="s">
        <v>7932</v>
      </c>
    </row>
    <row ht="25.5" r="445" spans="1:4" x14ac:dyDescent="0.2">
      <c r="A445" s="2319" t="s">
        <v>8169</v>
      </c>
      <c r="B445" s="3298" t="s">
        <v>7534</v>
      </c>
      <c r="C445" s="3299" t="s">
        <v>8147</v>
      </c>
      <c r="D445" s="3354" t="s">
        <v>7932</v>
      </c>
    </row>
    <row r="446" spans="1:4" x14ac:dyDescent="0.2">
      <c r="A446" s="3410" t="s">
        <v>8164</v>
      </c>
      <c r="B446" s="3298" t="s">
        <v>7580</v>
      </c>
      <c r="C446" s="3299" t="s">
        <v>8157</v>
      </c>
      <c r="D446" s="3300"/>
    </row>
    <row r="447" spans="1:4" x14ac:dyDescent="0.2">
      <c r="A447" s="3496" t="s">
        <v>7757</v>
      </c>
      <c r="B447" s="3336" t="s">
        <v>7474</v>
      </c>
      <c r="C447" s="3337" t="s">
        <v>8162</v>
      </c>
      <c r="D447" s="3337"/>
    </row>
    <row r="448" spans="1:4" x14ac:dyDescent="0.2">
      <c r="A448" s="3496" t="s">
        <v>7757</v>
      </c>
      <c r="B448" s="3336" t="s">
        <v>7476</v>
      </c>
      <c r="C448" s="3337" t="s">
        <v>8163</v>
      </c>
      <c r="D448" s="3337"/>
    </row>
    <row ht="25.5" r="449" spans="1:4" x14ac:dyDescent="0.2">
      <c r="A449" s="3609" t="s">
        <v>8218</v>
      </c>
      <c r="B449" s="3609" t="s">
        <v>8219</v>
      </c>
      <c r="C449" s="3610" t="s">
        <v>8220</v>
      </c>
      <c r="D449" s="3610"/>
    </row>
    <row ht="38.25" r="450" spans="1:4" x14ac:dyDescent="0.2">
      <c r="A450" s="3609" t="s">
        <v>8218</v>
      </c>
      <c r="B450" s="3609" t="s">
        <v>7474</v>
      </c>
      <c r="C450" s="3610" t="s">
        <v>8221</v>
      </c>
      <c r="D450" s="3610" t="s">
        <v>8222</v>
      </c>
    </row>
    <row ht="25.5" r="451" spans="1:4" x14ac:dyDescent="0.2">
      <c r="A451" s="3609" t="s">
        <v>8218</v>
      </c>
      <c r="B451" s="3609" t="s">
        <v>7474</v>
      </c>
      <c r="C451" s="3610" t="s">
        <v>8223</v>
      </c>
      <c r="D451" s="3610" t="s">
        <v>8222</v>
      </c>
    </row>
    <row ht="25.5" r="452" spans="1:4" x14ac:dyDescent="0.2">
      <c r="A452" s="3609" t="s">
        <v>8218</v>
      </c>
      <c r="B452" s="3609" t="s">
        <v>8224</v>
      </c>
      <c r="C452" s="3610" t="s">
        <v>8225</v>
      </c>
      <c r="D452" s="3610" t="s">
        <v>8222</v>
      </c>
    </row>
    <row r="453" spans="1:4" x14ac:dyDescent="0.2">
      <c r="A453" s="3609" t="s">
        <v>8226</v>
      </c>
      <c r="B453" s="3609" t="s">
        <v>8219</v>
      </c>
      <c r="C453" s="3610" t="s">
        <v>8227</v>
      </c>
      <c r="D453" s="3610"/>
    </row>
    <row r="454" spans="1:4" x14ac:dyDescent="0.2">
      <c r="A454" s="3609" t="s">
        <v>8226</v>
      </c>
      <c r="B454" s="3609" t="s">
        <v>8219</v>
      </c>
      <c r="C454" s="3610" t="s">
        <v>8228</v>
      </c>
      <c r="D454" s="3610"/>
    </row>
    <row r="455" spans="1:4" x14ac:dyDescent="0.2">
      <c r="A455" s="3609" t="s">
        <v>8226</v>
      </c>
      <c r="B455" s="3609" t="s">
        <v>8219</v>
      </c>
      <c r="C455" s="3610" t="s">
        <v>8229</v>
      </c>
      <c r="D455" s="3610"/>
    </row>
    <row r="456" spans="1:4" x14ac:dyDescent="0.2">
      <c r="A456" s="3609" t="s">
        <v>8226</v>
      </c>
      <c r="B456" s="3609" t="s">
        <v>8219</v>
      </c>
      <c r="C456" s="3610" t="s">
        <v>8230</v>
      </c>
      <c r="D456" s="3610"/>
    </row>
    <row ht="25.5" r="457" spans="1:4" x14ac:dyDescent="0.2">
      <c r="A457" s="3609" t="s">
        <v>8226</v>
      </c>
      <c r="B457" s="3609" t="s">
        <v>8219</v>
      </c>
      <c r="C457" s="3610" t="s">
        <v>8231</v>
      </c>
      <c r="D457" s="3610"/>
    </row>
    <row ht="25.5" r="458" spans="1:4" x14ac:dyDescent="0.2">
      <c r="A458" s="3609" t="s">
        <v>8226</v>
      </c>
      <c r="B458" s="3609" t="s">
        <v>1069</v>
      </c>
      <c r="C458" s="3610" t="s">
        <v>8232</v>
      </c>
      <c r="D458" s="3610"/>
    </row>
    <row r="459" spans="1:4" x14ac:dyDescent="0.2">
      <c r="A459" s="3609" t="s">
        <v>8226</v>
      </c>
      <c r="B459" s="3609" t="s">
        <v>8219</v>
      </c>
      <c r="C459" s="3610" t="s">
        <v>8233</v>
      </c>
      <c r="D459" s="3610"/>
    </row>
    <row r="460" spans="1:4" x14ac:dyDescent="0.2">
      <c r="A460" s="3609" t="s">
        <v>8226</v>
      </c>
      <c r="B460" s="3609" t="s">
        <v>1068</v>
      </c>
      <c r="C460" s="3610" t="s">
        <v>8234</v>
      </c>
      <c r="D460" s="3610"/>
    </row>
    <row r="461" spans="1:4" x14ac:dyDescent="0.2">
      <c r="A461" s="3609" t="s">
        <v>8226</v>
      </c>
      <c r="B461" s="3609" t="s">
        <v>1068</v>
      </c>
      <c r="C461" s="3610" t="s">
        <v>8235</v>
      </c>
      <c r="D461" s="3610"/>
    </row>
    <row r="462" spans="1:4" x14ac:dyDescent="0.2">
      <c r="A462" s="3609" t="s">
        <v>8226</v>
      </c>
      <c r="B462" s="3609" t="s">
        <v>1068</v>
      </c>
      <c r="C462" s="3610" t="s">
        <v>8236</v>
      </c>
      <c r="D462" s="3610"/>
    </row>
    <row r="463" spans="1:4" x14ac:dyDescent="0.2">
      <c r="A463" s="3609" t="s">
        <v>8226</v>
      </c>
      <c r="B463" s="3609" t="s">
        <v>1068</v>
      </c>
      <c r="C463" s="3610" t="s">
        <v>8237</v>
      </c>
      <c r="D463" s="3610"/>
    </row>
    <row r="464" spans="1:4" x14ac:dyDescent="0.2">
      <c r="A464" s="3609" t="s">
        <v>8226</v>
      </c>
      <c r="B464" s="3609" t="s">
        <v>1068</v>
      </c>
      <c r="C464" s="3610" t="s">
        <v>8238</v>
      </c>
      <c r="D464" s="3610"/>
    </row>
    <row r="465" spans="1:4" x14ac:dyDescent="0.2">
      <c r="A465" s="3609" t="s">
        <v>8226</v>
      </c>
      <c r="B465" s="3609" t="s">
        <v>2905</v>
      </c>
      <c r="C465" s="3610" t="s">
        <v>8239</v>
      </c>
      <c r="D465" s="3610"/>
    </row>
    <row r="466" spans="1:4" x14ac:dyDescent="0.2">
      <c r="A466" s="3609" t="s">
        <v>8226</v>
      </c>
      <c r="B466" s="3609" t="s">
        <v>2906</v>
      </c>
      <c r="C466" s="3610" t="s">
        <v>8240</v>
      </c>
      <c r="D466" s="3610"/>
    </row>
    <row r="467" spans="1:4" x14ac:dyDescent="0.2">
      <c r="A467" s="3609" t="s">
        <v>8226</v>
      </c>
      <c r="B467" s="3609" t="s">
        <v>2082</v>
      </c>
      <c r="C467" s="3610" t="s">
        <v>8241</v>
      </c>
      <c r="D467" s="3610"/>
    </row>
    <row ht="25.5" r="468" spans="1:4" x14ac:dyDescent="0.2">
      <c r="A468" s="3609" t="s">
        <v>8226</v>
      </c>
      <c r="B468" s="3609" t="s">
        <v>8219</v>
      </c>
      <c r="C468" s="3610" t="s">
        <v>8242</v>
      </c>
      <c r="D468" s="3610"/>
    </row>
    <row r="469" spans="1:4" x14ac:dyDescent="0.2">
      <c r="A469" s="3609" t="s">
        <v>8226</v>
      </c>
      <c r="B469" s="3609" t="s">
        <v>8289</v>
      </c>
      <c r="C469" s="3610" t="s">
        <v>8290</v>
      </c>
      <c r="D469" s="3610"/>
    </row>
    <row r="470" spans="1:4" x14ac:dyDescent="0.2">
      <c r="A470" s="3609" t="s">
        <v>8226</v>
      </c>
      <c r="B470" s="3609"/>
      <c r="C470" s="3610" t="s">
        <v>8385</v>
      </c>
      <c r="D470" s="3610" t="s">
        <v>7654</v>
      </c>
    </row>
    <row r="471" spans="1:4" x14ac:dyDescent="0.2">
      <c r="A471" s="3609" t="s">
        <v>8226</v>
      </c>
      <c r="B471" s="3609" t="s">
        <v>1068</v>
      </c>
      <c r="C471" s="3610" t="s">
        <v>8386</v>
      </c>
      <c r="D471" s="3610"/>
    </row>
    <row r="472" spans="1:4" x14ac:dyDescent="0.2">
      <c r="A472" s="3609" t="s">
        <v>8226</v>
      </c>
      <c r="B472" s="3609" t="s">
        <v>2905</v>
      </c>
      <c r="C472" s="3610" t="s">
        <v>8386</v>
      </c>
      <c r="D472" s="3610"/>
    </row>
    <row r="473" spans="1:4" x14ac:dyDescent="0.2">
      <c r="A473" s="3609" t="s">
        <v>8226</v>
      </c>
      <c r="B473" s="3609" t="s">
        <v>3877</v>
      </c>
      <c r="C473" s="3610" t="s">
        <v>8386</v>
      </c>
      <c r="D473" s="3610"/>
    </row>
    <row ht="25.5" r="474" spans="1:4" x14ac:dyDescent="0.2">
      <c r="A474" s="2319" t="s">
        <v>8169</v>
      </c>
      <c r="B474" s="3355" t="s">
        <v>7534</v>
      </c>
      <c r="C474" s="3299" t="s">
        <v>8355</v>
      </c>
      <c r="D474" s="3354" t="s">
        <v>7654</v>
      </c>
    </row>
    <row r="475" spans="1:4" x14ac:dyDescent="0.2">
      <c r="A475" s="2319" t="s">
        <v>8169</v>
      </c>
      <c r="B475" s="3355" t="s">
        <v>7448</v>
      </c>
      <c r="C475" s="3299" t="s">
        <v>8366</v>
      </c>
      <c r="D475" s="3354" t="s">
        <v>7653</v>
      </c>
    </row>
    <row r="476" spans="1:4" x14ac:dyDescent="0.2">
      <c r="A476" s="2319" t="s">
        <v>8169</v>
      </c>
      <c r="B476" s="3355" t="s">
        <v>7448</v>
      </c>
      <c r="C476" s="3299" t="s">
        <v>8367</v>
      </c>
      <c r="D476" s="3354" t="s">
        <v>7653</v>
      </c>
    </row>
    <row r="477" spans="1:4" x14ac:dyDescent="0.2">
      <c r="A477" s="2319" t="s">
        <v>8169</v>
      </c>
      <c r="B477" s="3355" t="s">
        <v>7448</v>
      </c>
      <c r="C477" s="3299" t="s">
        <v>8368</v>
      </c>
      <c r="D477" s="3354" t="s">
        <v>7653</v>
      </c>
    </row>
    <row r="478" spans="1:4" x14ac:dyDescent="0.2">
      <c r="A478" s="2319" t="s">
        <v>8169</v>
      </c>
      <c r="B478" s="3355" t="s">
        <v>7456</v>
      </c>
      <c r="C478" s="3299" t="s">
        <v>8370</v>
      </c>
      <c r="D478" s="3354" t="s">
        <v>7653</v>
      </c>
    </row>
    <row r="479" spans="1:4" x14ac:dyDescent="0.2">
      <c r="A479" s="2319" t="s">
        <v>8169</v>
      </c>
      <c r="B479" s="3355" t="s">
        <v>7456</v>
      </c>
      <c r="C479" s="3299" t="s">
        <v>8369</v>
      </c>
      <c r="D479" s="3354" t="s">
        <v>7653</v>
      </c>
    </row>
    <row r="480" spans="1:4" x14ac:dyDescent="0.2">
      <c r="A480" s="2319" t="s">
        <v>8169</v>
      </c>
      <c r="B480" s="3355" t="s">
        <v>7452</v>
      </c>
      <c r="C480" s="3299" t="s">
        <v>8370</v>
      </c>
      <c r="D480" s="3354" t="s">
        <v>7653</v>
      </c>
    </row>
    <row r="481" spans="1:4" x14ac:dyDescent="0.2">
      <c r="A481" s="2319" t="s">
        <v>8169</v>
      </c>
      <c r="B481" s="3355" t="s">
        <v>7452</v>
      </c>
      <c r="C481" s="3299" t="s">
        <v>8369</v>
      </c>
      <c r="D481" s="3354" t="s">
        <v>7653</v>
      </c>
    </row>
    <row r="482" spans="1:4" x14ac:dyDescent="0.2">
      <c r="A482" s="2319" t="s">
        <v>8169</v>
      </c>
      <c r="B482" s="3355" t="s">
        <v>7498</v>
      </c>
      <c r="C482" s="3299" t="s">
        <v>8370</v>
      </c>
      <c r="D482" s="3354" t="s">
        <v>7653</v>
      </c>
    </row>
    <row r="483" spans="1:4" x14ac:dyDescent="0.2">
      <c r="A483" s="2319" t="s">
        <v>8169</v>
      </c>
      <c r="B483" s="3355" t="s">
        <v>7498</v>
      </c>
      <c r="C483" s="3299" t="s">
        <v>8369</v>
      </c>
      <c r="D483" s="3354" t="s">
        <v>7653</v>
      </c>
    </row>
    <row r="484" spans="1:4" x14ac:dyDescent="0.2">
      <c r="A484" s="3692" t="s">
        <v>8169</v>
      </c>
      <c r="B484" s="3693" t="s">
        <v>8371</v>
      </c>
      <c r="C484" s="3694" t="s">
        <v>8373</v>
      </c>
      <c r="D484" s="3695" t="s">
        <v>8372</v>
      </c>
    </row>
    <row r="485" spans="1:4" x14ac:dyDescent="0.2">
      <c r="A485" s="3692" t="s">
        <v>8169</v>
      </c>
      <c r="B485" s="3693" t="s">
        <v>8371</v>
      </c>
      <c r="C485" s="3694" t="s">
        <v>8374</v>
      </c>
      <c r="D485" s="3695" t="s">
        <v>8372</v>
      </c>
    </row>
    <row r="486" spans="1:4" x14ac:dyDescent="0.2">
      <c r="A486" s="3692" t="s">
        <v>8169</v>
      </c>
      <c r="B486" s="3693" t="s">
        <v>8371</v>
      </c>
      <c r="C486" s="3694" t="s">
        <v>8375</v>
      </c>
      <c r="D486" s="3695" t="s">
        <v>8372</v>
      </c>
    </row>
    <row r="487" spans="1:4" x14ac:dyDescent="0.2">
      <c r="A487" s="3609" t="s">
        <v>8226</v>
      </c>
      <c r="B487" s="3609" t="s">
        <v>8219</v>
      </c>
      <c r="C487" s="3610" t="s">
        <v>8377</v>
      </c>
      <c r="D487" s="3610"/>
    </row>
    <row r="488" spans="1:4" x14ac:dyDescent="0.2">
      <c r="A488" s="3609" t="s">
        <v>8226</v>
      </c>
      <c r="B488" s="3609" t="s">
        <v>8844</v>
      </c>
      <c r="C488" s="3610" t="s">
        <v>8378</v>
      </c>
      <c r="D488" s="3610"/>
    </row>
    <row r="489" spans="1:4" x14ac:dyDescent="0.2">
      <c r="A489" s="3609" t="s">
        <v>8226</v>
      </c>
      <c r="B489" s="3609" t="s">
        <v>8844</v>
      </c>
      <c r="C489" s="3610" t="s">
        <v>8379</v>
      </c>
      <c r="D489" s="3610"/>
    </row>
    <row r="490" spans="1:4" x14ac:dyDescent="0.2">
      <c r="A490" s="3609" t="s">
        <v>8226</v>
      </c>
      <c r="B490" s="3609" t="s">
        <v>7476</v>
      </c>
      <c r="C490" s="3610" t="s">
        <v>8380</v>
      </c>
      <c r="D490" s="3610"/>
    </row>
    <row r="491" spans="1:4" x14ac:dyDescent="0.2">
      <c r="A491" s="3609" t="s">
        <v>8169</v>
      </c>
      <c r="B491" s="3693" t="s">
        <v>7652</v>
      </c>
      <c r="C491" s="3694" t="s">
        <v>8384</v>
      </c>
      <c r="D491" s="3695" t="s">
        <v>8372</v>
      </c>
    </row>
    <row r="492" spans="1:4" x14ac:dyDescent="0.2">
      <c r="A492" s="3609" t="s">
        <v>8226</v>
      </c>
      <c r="B492" s="3693" t="s">
        <v>7457</v>
      </c>
      <c r="C492" s="3694" t="s">
        <v>8383</v>
      </c>
      <c r="D492" s="3695"/>
    </row>
    <row r="493" spans="1:4" x14ac:dyDescent="0.2">
      <c r="A493" s="3609" t="s">
        <v>8226</v>
      </c>
      <c r="B493" s="3693" t="s">
        <v>8401</v>
      </c>
      <c r="C493" s="3694" t="s">
        <v>8402</v>
      </c>
      <c r="D493" s="3695"/>
    </row>
    <row r="494" spans="1:4" x14ac:dyDescent="0.2">
      <c r="A494" s="3854" t="s">
        <v>8403</v>
      </c>
      <c r="B494" s="3855">
        <v>43707</v>
      </c>
      <c r="C494" s="4478"/>
      <c r="D494" s="4479"/>
    </row>
    <row ht="38.25" r="495" spans="1:4" x14ac:dyDescent="0.2">
      <c r="A495" s="3121" t="s">
        <v>8165</v>
      </c>
      <c r="B495" s="3298" t="s">
        <v>7534</v>
      </c>
      <c r="C495" s="3299" t="s">
        <v>8528</v>
      </c>
      <c r="D495" s="3354" t="s">
        <v>8488</v>
      </c>
    </row>
    <row ht="25.5" r="496" spans="1:4" x14ac:dyDescent="0.2">
      <c r="A496" s="3121" t="s">
        <v>8165</v>
      </c>
      <c r="B496" s="3298" t="s">
        <v>7534</v>
      </c>
      <c r="C496" s="3299" t="s">
        <v>8405</v>
      </c>
      <c r="D496" s="3299" t="s">
        <v>8413</v>
      </c>
    </row>
    <row ht="38.25" r="497" spans="1:4" x14ac:dyDescent="0.2">
      <c r="A497" s="3121" t="s">
        <v>8165</v>
      </c>
      <c r="B497" s="3298" t="s">
        <v>7534</v>
      </c>
      <c r="C497" s="3299" t="s">
        <v>8407</v>
      </c>
      <c r="D497" s="3299" t="s">
        <v>8411</v>
      </c>
    </row>
    <row ht="25.5" r="498" spans="1:4" x14ac:dyDescent="0.2">
      <c r="A498" s="3121" t="s">
        <v>8165</v>
      </c>
      <c r="B498" s="3298" t="s">
        <v>7534</v>
      </c>
      <c r="C498" s="3299" t="s">
        <v>8409</v>
      </c>
      <c r="D498" s="3299" t="s">
        <v>8411</v>
      </c>
    </row>
    <row ht="25.5" r="499" spans="1:4" x14ac:dyDescent="0.2">
      <c r="A499" s="3121" t="s">
        <v>8165</v>
      </c>
      <c r="B499" s="3298" t="s">
        <v>7534</v>
      </c>
      <c r="C499" s="3299" t="s">
        <v>8408</v>
      </c>
      <c r="D499" s="3299" t="s">
        <v>8411</v>
      </c>
    </row>
    <row r="500" spans="1:4" x14ac:dyDescent="0.2">
      <c r="A500" s="3121" t="s">
        <v>8165</v>
      </c>
      <c r="B500" s="3298" t="s">
        <v>7581</v>
      </c>
      <c r="C500" s="3299" t="s">
        <v>8765</v>
      </c>
      <c r="D500" s="3299" t="s">
        <v>8411</v>
      </c>
    </row>
    <row r="501" spans="1:4" x14ac:dyDescent="0.2">
      <c r="A501" s="3121" t="s">
        <v>8165</v>
      </c>
      <c r="B501" s="3298" t="s">
        <v>7581</v>
      </c>
      <c r="C501" s="3299" t="s">
        <v>8766</v>
      </c>
      <c r="D501" s="3299" t="s">
        <v>8411</v>
      </c>
    </row>
    <row r="502" spans="1:4" x14ac:dyDescent="0.2">
      <c r="A502" s="2319" t="s">
        <v>8169</v>
      </c>
      <c r="B502" s="3475" t="s">
        <v>8512</v>
      </c>
      <c r="C502" s="3299" t="s">
        <v>8514</v>
      </c>
      <c r="D502" s="3354"/>
    </row>
    <row r="503" spans="1:4" x14ac:dyDescent="0.2">
      <c r="A503" s="2319" t="s">
        <v>8169</v>
      </c>
      <c r="B503" s="3475" t="s">
        <v>8512</v>
      </c>
      <c r="C503" s="3299" t="s">
        <v>8513</v>
      </c>
      <c r="D503" s="3354" t="s">
        <v>7653</v>
      </c>
    </row>
    <row ht="38.25" r="504" spans="1:4" x14ac:dyDescent="0.2">
      <c r="A504" s="2319" t="s">
        <v>8169</v>
      </c>
      <c r="B504" s="3475" t="s">
        <v>7652</v>
      </c>
      <c r="C504" s="3299" t="s">
        <v>8516</v>
      </c>
      <c r="D504" s="3354" t="s">
        <v>7653</v>
      </c>
    </row>
    <row r="505" spans="1:4" x14ac:dyDescent="0.2">
      <c r="A505" s="2319" t="s">
        <v>8169</v>
      </c>
      <c r="B505" s="3475" t="s">
        <v>7651</v>
      </c>
      <c r="C505" s="3299" t="s">
        <v>8517</v>
      </c>
      <c r="D505" s="3354" t="s">
        <v>7653</v>
      </c>
    </row>
    <row ht="25.5" r="506" spans="1:4" x14ac:dyDescent="0.2">
      <c r="A506" s="2319" t="s">
        <v>8169</v>
      </c>
      <c r="B506" s="3475" t="s">
        <v>7651</v>
      </c>
      <c r="C506" s="3299" t="s">
        <v>8515</v>
      </c>
      <c r="D506" s="3354" t="s">
        <v>7653</v>
      </c>
    </row>
    <row ht="76.5" r="507" spans="1:4" x14ac:dyDescent="0.2">
      <c r="A507" s="2319" t="s">
        <v>8169</v>
      </c>
      <c r="B507" s="3298"/>
      <c r="C507" s="3299" t="s">
        <v>8439</v>
      </c>
      <c r="D507" s="3300"/>
    </row>
    <row r="508" spans="1:4" x14ac:dyDescent="0.2">
      <c r="A508" s="2319" t="s">
        <v>8169</v>
      </c>
      <c r="B508" s="3298"/>
      <c r="C508" s="3299" t="s">
        <v>8406</v>
      </c>
      <c r="D508" s="3300"/>
    </row>
    <row ht="25.5" r="509" spans="1:4" x14ac:dyDescent="0.2">
      <c r="A509" s="2319" t="s">
        <v>8169</v>
      </c>
      <c r="B509" s="3298" t="s">
        <v>7534</v>
      </c>
      <c r="C509" s="3299" t="s">
        <v>8410</v>
      </c>
      <c r="D509" s="3299" t="s">
        <v>8412</v>
      </c>
    </row>
    <row ht="38.25" r="510" spans="1:4" x14ac:dyDescent="0.2">
      <c r="A510" s="2319" t="s">
        <v>8169</v>
      </c>
      <c r="B510" s="3298" t="s">
        <v>7534</v>
      </c>
      <c r="C510" s="3299" t="s">
        <v>8440</v>
      </c>
      <c r="D510" s="3299" t="s">
        <v>8441</v>
      </c>
    </row>
    <row r="511" spans="1:4" x14ac:dyDescent="0.2">
      <c r="A511" s="3494" t="s">
        <v>8166</v>
      </c>
      <c r="B511" s="3265" t="s">
        <v>8418</v>
      </c>
      <c r="C511" s="2255" t="s">
        <v>8419</v>
      </c>
      <c r="D511" s="2255"/>
    </row>
    <row r="512" spans="1:4" x14ac:dyDescent="0.2">
      <c r="A512" s="3494" t="s">
        <v>8166</v>
      </c>
      <c r="B512" s="3265" t="s">
        <v>8418</v>
      </c>
      <c r="C512" s="2255" t="s">
        <v>8420</v>
      </c>
      <c r="D512" s="2255"/>
    </row>
    <row r="513" spans="1:4" x14ac:dyDescent="0.2">
      <c r="A513" s="3494" t="s">
        <v>8166</v>
      </c>
      <c r="B513" s="3265" t="s">
        <v>8418</v>
      </c>
      <c r="C513" s="2255" t="s">
        <v>8421</v>
      </c>
      <c r="D513" s="2255"/>
    </row>
    <row r="514" spans="1:4" x14ac:dyDescent="0.2">
      <c r="A514" s="3494" t="s">
        <v>8166</v>
      </c>
      <c r="B514" s="3265" t="s">
        <v>8418</v>
      </c>
      <c r="C514" s="2255" t="s">
        <v>8422</v>
      </c>
      <c r="D514" s="2255"/>
    </row>
    <row r="515" spans="1:4" x14ac:dyDescent="0.2">
      <c r="A515" s="3494" t="s">
        <v>8166</v>
      </c>
      <c r="B515" s="3265" t="s">
        <v>8418</v>
      </c>
      <c r="C515" s="2255" t="s">
        <v>8423</v>
      </c>
      <c r="D515" s="2255"/>
    </row>
    <row ht="25.5" r="516" spans="1:4" x14ac:dyDescent="0.2">
      <c r="A516" s="2319" t="s">
        <v>8169</v>
      </c>
      <c r="B516" s="3355" t="s">
        <v>7534</v>
      </c>
      <c r="C516" s="3299" t="s">
        <v>8444</v>
      </c>
      <c r="D516" s="3354" t="s">
        <v>8443</v>
      </c>
    </row>
    <row ht="165.75" r="517" spans="1:4" x14ac:dyDescent="0.2">
      <c r="A517" s="2319" t="s">
        <v>8169</v>
      </c>
      <c r="B517" s="3355" t="s">
        <v>7534</v>
      </c>
      <c r="C517" s="3299" t="s">
        <v>8764</v>
      </c>
      <c r="D517" s="3354" t="s">
        <v>8443</v>
      </c>
    </row>
    <row ht="25.5" r="518" spans="1:4" x14ac:dyDescent="0.2">
      <c r="A518" s="2319" t="s">
        <v>8169</v>
      </c>
      <c r="B518" s="3355" t="s">
        <v>7534</v>
      </c>
      <c r="C518" s="3299" t="s">
        <v>8445</v>
      </c>
      <c r="D518" s="3354" t="s">
        <v>8443</v>
      </c>
    </row>
    <row ht="153" r="519" spans="1:4" x14ac:dyDescent="0.2">
      <c r="A519" s="2319" t="s">
        <v>8169</v>
      </c>
      <c r="B519" s="3355" t="s">
        <v>7534</v>
      </c>
      <c r="C519" s="3299" t="s">
        <v>8475</v>
      </c>
      <c r="D519" s="3354" t="s">
        <v>8443</v>
      </c>
    </row>
    <row ht="25.5" r="520" spans="1:4" x14ac:dyDescent="0.2">
      <c r="A520" s="2319" t="s">
        <v>8169</v>
      </c>
      <c r="B520" s="3355" t="s">
        <v>7534</v>
      </c>
      <c r="C520" s="3299" t="s">
        <v>8446</v>
      </c>
      <c r="D520" s="3354" t="s">
        <v>8443</v>
      </c>
    </row>
    <row ht="38.25" r="521" spans="1:4" x14ac:dyDescent="0.2">
      <c r="A521" s="2319" t="s">
        <v>8169</v>
      </c>
      <c r="B521" s="3355" t="s">
        <v>7534</v>
      </c>
      <c r="C521" s="3299" t="s">
        <v>8447</v>
      </c>
      <c r="D521" s="3354" t="s">
        <v>8443</v>
      </c>
    </row>
    <row ht="25.5" r="522" spans="1:4" x14ac:dyDescent="0.2">
      <c r="A522" s="3940" t="s">
        <v>7465</v>
      </c>
      <c r="B522" s="3872" t="s">
        <v>7599</v>
      </c>
      <c r="C522" s="3695" t="s">
        <v>8843</v>
      </c>
      <c r="D522" s="3695" t="s">
        <v>8138</v>
      </c>
    </row>
    <row r="523" spans="1:4" x14ac:dyDescent="0.2">
      <c r="A523" s="3892" t="s">
        <v>7465</v>
      </c>
      <c r="B523" s="3336" t="s">
        <v>8844</v>
      </c>
      <c r="C523" s="3337" t="s">
        <v>8845</v>
      </c>
      <c r="D523" s="3695" t="s">
        <v>8138</v>
      </c>
    </row>
    <row r="524" spans="1:4" x14ac:dyDescent="0.2">
      <c r="A524" s="2319" t="s">
        <v>8169</v>
      </c>
      <c r="B524" s="3475" t="s">
        <v>7696</v>
      </c>
      <c r="C524" s="3299" t="s">
        <v>8449</v>
      </c>
      <c r="D524" s="3354" t="s">
        <v>8460</v>
      </c>
    </row>
    <row r="525" spans="1:4" x14ac:dyDescent="0.2">
      <c r="A525" s="2319" t="s">
        <v>8169</v>
      </c>
      <c r="B525" s="3475" t="s">
        <v>7696</v>
      </c>
      <c r="C525" s="3299" t="s">
        <v>8450</v>
      </c>
      <c r="D525" s="3354" t="s">
        <v>8460</v>
      </c>
    </row>
    <row ht="25.5" r="526" spans="1:4" x14ac:dyDescent="0.2">
      <c r="A526" s="2319" t="s">
        <v>8169</v>
      </c>
      <c r="B526" s="3475" t="s">
        <v>7696</v>
      </c>
      <c r="C526" s="3299" t="s">
        <v>8451</v>
      </c>
      <c r="D526" s="3354" t="s">
        <v>8460</v>
      </c>
    </row>
    <row ht="25.5" r="527" spans="1:4" x14ac:dyDescent="0.2">
      <c r="A527" s="2319" t="s">
        <v>8169</v>
      </c>
      <c r="B527" s="3475" t="s">
        <v>7696</v>
      </c>
      <c r="C527" s="3299" t="s">
        <v>8472</v>
      </c>
      <c r="D527" s="3354" t="s">
        <v>8460</v>
      </c>
    </row>
    <row r="528" spans="1:4" x14ac:dyDescent="0.2">
      <c r="A528" s="2319" t="s">
        <v>8169</v>
      </c>
      <c r="B528" s="3475" t="s">
        <v>7696</v>
      </c>
      <c r="C528" s="3299" t="s">
        <v>8452</v>
      </c>
      <c r="D528" s="3354" t="s">
        <v>8460</v>
      </c>
    </row>
    <row r="529" spans="1:4" x14ac:dyDescent="0.2">
      <c r="A529" s="2319" t="s">
        <v>8169</v>
      </c>
      <c r="B529" s="3475" t="s">
        <v>7452</v>
      </c>
      <c r="C529" s="3299" t="s">
        <v>8453</v>
      </c>
      <c r="D529" s="3354" t="s">
        <v>8460</v>
      </c>
    </row>
    <row r="530" spans="1:4" x14ac:dyDescent="0.2">
      <c r="A530" s="2319" t="s">
        <v>8169</v>
      </c>
      <c r="B530" s="3872" t="s">
        <v>8448</v>
      </c>
      <c r="C530" s="3695" t="s">
        <v>8453</v>
      </c>
      <c r="D530" s="3695" t="s">
        <v>8460</v>
      </c>
    </row>
    <row r="531" spans="1:4" x14ac:dyDescent="0.2">
      <c r="A531" s="2319" t="s">
        <v>8169</v>
      </c>
      <c r="B531" s="3475" t="s">
        <v>7452</v>
      </c>
      <c r="C531" s="3299" t="s">
        <v>8454</v>
      </c>
      <c r="D531" s="3354" t="s">
        <v>8460</v>
      </c>
    </row>
    <row r="532" spans="1:4" x14ac:dyDescent="0.2">
      <c r="A532" s="2319" t="s">
        <v>8169</v>
      </c>
      <c r="B532" s="3872" t="s">
        <v>8448</v>
      </c>
      <c r="C532" s="3695" t="s">
        <v>8454</v>
      </c>
      <c r="D532" s="3695" t="s">
        <v>8460</v>
      </c>
    </row>
    <row r="533" spans="1:4" x14ac:dyDescent="0.2">
      <c r="A533" s="2319" t="s">
        <v>8169</v>
      </c>
      <c r="B533" s="3475" t="s">
        <v>7452</v>
      </c>
      <c r="C533" s="3299" t="s">
        <v>8455</v>
      </c>
      <c r="D533" s="3354" t="s">
        <v>8460</v>
      </c>
    </row>
    <row r="534" spans="1:4" x14ac:dyDescent="0.2">
      <c r="A534" s="2319" t="s">
        <v>8169</v>
      </c>
      <c r="B534" s="3872" t="s">
        <v>8448</v>
      </c>
      <c r="C534" s="3695" t="s">
        <v>8455</v>
      </c>
      <c r="D534" s="3695" t="s">
        <v>8460</v>
      </c>
    </row>
    <row r="535" spans="1:4" x14ac:dyDescent="0.2">
      <c r="A535" s="2319" t="s">
        <v>8169</v>
      </c>
      <c r="B535" s="3475" t="s">
        <v>7452</v>
      </c>
      <c r="C535" s="3299" t="s">
        <v>8456</v>
      </c>
      <c r="D535" s="3354" t="s">
        <v>8460</v>
      </c>
    </row>
    <row r="536" spans="1:4" x14ac:dyDescent="0.2">
      <c r="A536" s="2319" t="s">
        <v>8169</v>
      </c>
      <c r="B536" s="3872" t="s">
        <v>8448</v>
      </c>
      <c r="C536" s="3695" t="s">
        <v>8456</v>
      </c>
      <c r="D536" s="3695" t="s">
        <v>8460</v>
      </c>
    </row>
    <row r="537" spans="1:4" x14ac:dyDescent="0.2">
      <c r="A537" s="2319" t="s">
        <v>8169</v>
      </c>
      <c r="B537" s="3475" t="s">
        <v>7456</v>
      </c>
      <c r="C537" s="3299" t="s">
        <v>8457</v>
      </c>
      <c r="D537" s="3354" t="s">
        <v>8460</v>
      </c>
    </row>
    <row r="538" spans="1:4" x14ac:dyDescent="0.2">
      <c r="A538" s="2319" t="s">
        <v>8169</v>
      </c>
      <c r="B538" s="3475" t="s">
        <v>7452</v>
      </c>
      <c r="C538" s="3299" t="s">
        <v>8458</v>
      </c>
      <c r="D538" s="3354" t="s">
        <v>8460</v>
      </c>
    </row>
    <row r="539" spans="1:4" x14ac:dyDescent="0.2">
      <c r="A539" s="2319" t="s">
        <v>8169</v>
      </c>
      <c r="B539" s="3872" t="s">
        <v>8448</v>
      </c>
      <c r="C539" s="3695" t="s">
        <v>8458</v>
      </c>
      <c r="D539" s="3695" t="s">
        <v>8460</v>
      </c>
    </row>
    <row r="540" spans="1:4" x14ac:dyDescent="0.2">
      <c r="A540" s="2319" t="s">
        <v>8169</v>
      </c>
      <c r="B540" s="3475" t="s">
        <v>7452</v>
      </c>
      <c r="C540" s="3299" t="s">
        <v>8459</v>
      </c>
      <c r="D540" s="3354" t="s">
        <v>8460</v>
      </c>
    </row>
    <row r="541" spans="1:4" x14ac:dyDescent="0.2">
      <c r="A541" s="2319" t="s">
        <v>8169</v>
      </c>
      <c r="B541" s="3872" t="s">
        <v>8448</v>
      </c>
      <c r="C541" s="3695" t="s">
        <v>8459</v>
      </c>
      <c r="D541" s="3695" t="s">
        <v>8460</v>
      </c>
    </row>
    <row r="542" spans="1:4" x14ac:dyDescent="0.2">
      <c r="A542" s="2319" t="s">
        <v>8169</v>
      </c>
      <c r="B542" s="3475" t="s">
        <v>7452</v>
      </c>
      <c r="C542" s="3299" t="s">
        <v>8526</v>
      </c>
      <c r="D542" s="3354" t="s">
        <v>8460</v>
      </c>
    </row>
    <row r="543" spans="1:4" x14ac:dyDescent="0.2">
      <c r="A543" s="2319" t="s">
        <v>8169</v>
      </c>
      <c r="B543" s="3872" t="s">
        <v>8448</v>
      </c>
      <c r="C543" s="3695" t="s">
        <v>8526</v>
      </c>
      <c r="D543" s="3695" t="s">
        <v>8460</v>
      </c>
    </row>
    <row r="544" spans="1:4" x14ac:dyDescent="0.2">
      <c r="A544" s="2319" t="s">
        <v>8169</v>
      </c>
      <c r="B544" s="3475" t="s">
        <v>7452</v>
      </c>
      <c r="C544" s="3299" t="s">
        <v>8464</v>
      </c>
      <c r="D544" s="3354" t="s">
        <v>8460</v>
      </c>
    </row>
    <row r="545" spans="1:4" x14ac:dyDescent="0.2">
      <c r="A545" s="2319" t="s">
        <v>8169</v>
      </c>
      <c r="B545" s="3475" t="s">
        <v>7452</v>
      </c>
      <c r="C545" s="3299" t="s">
        <v>8465</v>
      </c>
      <c r="D545" s="3354" t="s">
        <v>8460</v>
      </c>
    </row>
    <row ht="25.5" r="546" spans="1:4" x14ac:dyDescent="0.2">
      <c r="A546" s="3410" t="s">
        <v>8164</v>
      </c>
      <c r="B546" s="3298" t="s">
        <v>7580</v>
      </c>
      <c r="C546" s="3299" t="s">
        <v>8763</v>
      </c>
      <c r="D546" s="3300"/>
    </row>
    <row ht="25.5" r="547" spans="1:4" x14ac:dyDescent="0.2">
      <c r="A547" s="2319" t="s">
        <v>8169</v>
      </c>
      <c r="B547" s="3355" t="s">
        <v>7696</v>
      </c>
      <c r="C547" s="3299" t="s">
        <v>8770</v>
      </c>
      <c r="D547" s="3354" t="s">
        <v>8768</v>
      </c>
    </row>
    <row r="548" spans="1:4" x14ac:dyDescent="0.2">
      <c r="A548" s="2319" t="s">
        <v>8169</v>
      </c>
      <c r="B548" s="3355" t="s">
        <v>7696</v>
      </c>
      <c r="C548" s="3299" t="s">
        <v>8775</v>
      </c>
      <c r="D548" s="3354" t="s">
        <v>8774</v>
      </c>
    </row>
    <row r="549" spans="1:4" x14ac:dyDescent="0.2">
      <c r="A549" s="2319" t="s">
        <v>8169</v>
      </c>
      <c r="B549" s="3355" t="s">
        <v>7696</v>
      </c>
      <c r="C549" s="3299" t="s">
        <v>8776</v>
      </c>
      <c r="D549" s="3354" t="s">
        <v>8768</v>
      </c>
    </row>
    <row ht="25.5" r="550" spans="1:4" x14ac:dyDescent="0.2">
      <c r="A550" s="2319" t="s">
        <v>8169</v>
      </c>
      <c r="B550" s="3355" t="s">
        <v>7448</v>
      </c>
      <c r="C550" s="3299" t="s">
        <v>8786</v>
      </c>
      <c r="D550" s="3354" t="s">
        <v>8773</v>
      </c>
    </row>
    <row r="551" spans="1:4" x14ac:dyDescent="0.2">
      <c r="A551" s="2319" t="s">
        <v>8169</v>
      </c>
      <c r="B551" s="3355" t="s">
        <v>7456</v>
      </c>
      <c r="C551" s="3299" t="s">
        <v>8778</v>
      </c>
      <c r="D551" s="3354" t="s">
        <v>8768</v>
      </c>
    </row>
    <row r="552" spans="1:4" x14ac:dyDescent="0.2">
      <c r="A552" s="2319" t="s">
        <v>8169</v>
      </c>
      <c r="B552" s="3355" t="s">
        <v>7456</v>
      </c>
      <c r="C552" s="3299" t="s">
        <v>8784</v>
      </c>
      <c r="D552" s="3354" t="s">
        <v>8768</v>
      </c>
    </row>
    <row r="553" spans="1:4" x14ac:dyDescent="0.2">
      <c r="A553" s="2319" t="s">
        <v>8169</v>
      </c>
      <c r="B553" s="3355" t="s">
        <v>7452</v>
      </c>
      <c r="C553" s="3299" t="s">
        <v>8782</v>
      </c>
      <c r="D553" s="3354" t="s">
        <v>8460</v>
      </c>
    </row>
    <row r="554" spans="1:4" x14ac:dyDescent="0.2">
      <c r="A554" s="2319" t="s">
        <v>8169</v>
      </c>
      <c r="B554" s="3355" t="s">
        <v>7452</v>
      </c>
      <c r="C554" s="3299" t="s">
        <v>8779</v>
      </c>
      <c r="D554" s="3354" t="s">
        <v>8768</v>
      </c>
    </row>
    <row r="555" spans="1:4" x14ac:dyDescent="0.2">
      <c r="A555" s="2319" t="s">
        <v>8169</v>
      </c>
      <c r="B555" s="3355" t="s">
        <v>7452</v>
      </c>
      <c r="C555" s="3299" t="s">
        <v>8787</v>
      </c>
      <c r="D555" s="3354" t="s">
        <v>8768</v>
      </c>
    </row>
    <row r="556" spans="1:4" x14ac:dyDescent="0.2">
      <c r="A556" s="2319" t="s">
        <v>8169</v>
      </c>
      <c r="B556" s="3355" t="s">
        <v>7452</v>
      </c>
      <c r="C556" s="3299" t="s">
        <v>8788</v>
      </c>
      <c r="D556" s="3354" t="s">
        <v>8768</v>
      </c>
    </row>
    <row r="557" spans="1:4" x14ac:dyDescent="0.2">
      <c r="A557" s="2319" t="s">
        <v>8169</v>
      </c>
      <c r="B557" s="3355" t="s">
        <v>7452</v>
      </c>
      <c r="C557" s="3299" t="s">
        <v>8784</v>
      </c>
      <c r="D557" s="3354" t="s">
        <v>8768</v>
      </c>
    </row>
    <row r="558" spans="1:4" x14ac:dyDescent="0.2">
      <c r="A558" s="2319" t="s">
        <v>8169</v>
      </c>
      <c r="B558" s="3355" t="s">
        <v>7452</v>
      </c>
      <c r="C558" s="3299" t="s">
        <v>8781</v>
      </c>
      <c r="D558" s="3354" t="s">
        <v>8768</v>
      </c>
    </row>
    <row r="559" spans="1:4" x14ac:dyDescent="0.2">
      <c r="A559" s="2319" t="s">
        <v>8169</v>
      </c>
      <c r="B559" s="3355" t="s">
        <v>7452</v>
      </c>
      <c r="C559" s="3299" t="s">
        <v>8780</v>
      </c>
      <c r="D559" s="3354" t="s">
        <v>8768</v>
      </c>
    </row>
    <row ht="25.5" r="560" spans="1:4" x14ac:dyDescent="0.2">
      <c r="A560" s="2319" t="s">
        <v>8169</v>
      </c>
      <c r="B560" s="3355" t="s">
        <v>8448</v>
      </c>
      <c r="C560" s="3299" t="s">
        <v>8785</v>
      </c>
      <c r="D560" s="3354" t="s">
        <v>8460</v>
      </c>
    </row>
    <row r="561" spans="1:4" x14ac:dyDescent="0.2">
      <c r="A561" s="2319" t="s">
        <v>8169</v>
      </c>
      <c r="B561" s="3355" t="s">
        <v>8448</v>
      </c>
      <c r="C561" s="3299" t="s">
        <v>8779</v>
      </c>
      <c r="D561" s="3354" t="s">
        <v>8768</v>
      </c>
    </row>
    <row r="562" spans="1:4" x14ac:dyDescent="0.2">
      <c r="A562" s="2319" t="s">
        <v>8169</v>
      </c>
      <c r="B562" s="3355" t="s">
        <v>8448</v>
      </c>
      <c r="C562" s="3299" t="s">
        <v>8787</v>
      </c>
      <c r="D562" s="3354" t="s">
        <v>8768</v>
      </c>
    </row>
    <row r="563" spans="1:4" x14ac:dyDescent="0.2">
      <c r="A563" s="2319" t="s">
        <v>8169</v>
      </c>
      <c r="B563" s="3355" t="s">
        <v>8448</v>
      </c>
      <c r="C563" s="3299" t="s">
        <v>8788</v>
      </c>
      <c r="D563" s="3354" t="s">
        <v>8768</v>
      </c>
    </row>
    <row r="564" spans="1:4" x14ac:dyDescent="0.2">
      <c r="A564" s="2319" t="s">
        <v>8169</v>
      </c>
      <c r="B564" s="3355" t="s">
        <v>8448</v>
      </c>
      <c r="C564" s="3299" t="s">
        <v>8784</v>
      </c>
      <c r="D564" s="3354" t="s">
        <v>8768</v>
      </c>
    </row>
    <row r="565" spans="1:4" x14ac:dyDescent="0.2">
      <c r="A565" s="2319" t="s">
        <v>8169</v>
      </c>
      <c r="B565" s="3355" t="s">
        <v>8448</v>
      </c>
      <c r="C565" s="3299" t="s">
        <v>8781</v>
      </c>
      <c r="D565" s="3354" t="s">
        <v>8768</v>
      </c>
    </row>
    <row r="566" spans="1:4" x14ac:dyDescent="0.2">
      <c r="A566" s="2319" t="s">
        <v>8169</v>
      </c>
      <c r="B566" s="3355" t="s">
        <v>8448</v>
      </c>
      <c r="C566" s="3299" t="s">
        <v>8780</v>
      </c>
      <c r="D566" s="3354" t="s">
        <v>8768</v>
      </c>
    </row>
    <row r="567" spans="1:4" x14ac:dyDescent="0.2">
      <c r="A567" s="3609" t="s">
        <v>8226</v>
      </c>
      <c r="B567" s="3609" t="s">
        <v>8493</v>
      </c>
      <c r="C567" s="3610" t="s">
        <v>8494</v>
      </c>
      <c r="D567" s="3610"/>
    </row>
    <row r="568" spans="1:4" x14ac:dyDescent="0.2">
      <c r="A568" s="3609" t="s">
        <v>8226</v>
      </c>
      <c r="B568" s="3609" t="s">
        <v>7473</v>
      </c>
      <c r="C568" s="3610" t="s">
        <v>8494</v>
      </c>
      <c r="D568" s="3610"/>
    </row>
    <row r="569" spans="1:4" x14ac:dyDescent="0.2">
      <c r="A569" s="3609" t="s">
        <v>8226</v>
      </c>
      <c r="B569" s="3609" t="s">
        <v>8503</v>
      </c>
      <c r="C569" s="3610" t="s">
        <v>8504</v>
      </c>
      <c r="D569" s="3610"/>
    </row>
    <row r="570" spans="1:4" x14ac:dyDescent="0.2">
      <c r="A570" s="3609" t="s">
        <v>8226</v>
      </c>
      <c r="B570" s="3609" t="s">
        <v>7473</v>
      </c>
      <c r="C570" s="3610" t="s">
        <v>8504</v>
      </c>
      <c r="D570" s="3610"/>
    </row>
    <row r="571" spans="1:4" x14ac:dyDescent="0.2">
      <c r="A571" s="3609" t="s">
        <v>8226</v>
      </c>
      <c r="B571" s="3609" t="s">
        <v>8505</v>
      </c>
      <c r="C571" s="3610" t="s">
        <v>8506</v>
      </c>
      <c r="D571" s="3610"/>
    </row>
    <row r="572" spans="1:4" x14ac:dyDescent="0.2">
      <c r="A572" s="3609" t="s">
        <v>8226</v>
      </c>
      <c r="B572" s="3609" t="s">
        <v>7473</v>
      </c>
      <c r="C572" s="3610" t="s">
        <v>8506</v>
      </c>
      <c r="D572" s="3610"/>
    </row>
    <row r="573" spans="1:4" x14ac:dyDescent="0.2">
      <c r="A573" s="3609" t="s">
        <v>8226</v>
      </c>
      <c r="B573" s="3609" t="s">
        <v>8507</v>
      </c>
      <c r="C573" s="3610" t="s">
        <v>8508</v>
      </c>
      <c r="D573" s="3610"/>
    </row>
    <row r="574" spans="1:4" x14ac:dyDescent="0.2">
      <c r="A574" s="3609" t="s">
        <v>8226</v>
      </c>
      <c r="B574" s="3609" t="s">
        <v>7473</v>
      </c>
      <c r="C574" s="3610" t="s">
        <v>8508</v>
      </c>
      <c r="D574" s="3610"/>
    </row>
    <row r="575" spans="1:4" x14ac:dyDescent="0.2">
      <c r="A575" s="3609" t="s">
        <v>8226</v>
      </c>
      <c r="B575" s="3609" t="s">
        <v>8509</v>
      </c>
      <c r="C575" s="3610" t="s">
        <v>8510</v>
      </c>
      <c r="D575" s="3610"/>
    </row>
    <row r="576" spans="1:4" x14ac:dyDescent="0.2">
      <c r="A576" s="3609" t="s">
        <v>8226</v>
      </c>
      <c r="B576" s="3609" t="s">
        <v>7473</v>
      </c>
      <c r="C576" s="3610" t="s">
        <v>8510</v>
      </c>
      <c r="D576" s="3610"/>
    </row>
    <row r="577" spans="1:4" x14ac:dyDescent="0.2">
      <c r="A577" s="3609" t="s">
        <v>8226</v>
      </c>
      <c r="B577" s="3609" t="s">
        <v>8509</v>
      </c>
      <c r="C577" s="3610" t="s">
        <v>7477</v>
      </c>
      <c r="D577" s="3610"/>
    </row>
    <row r="578" spans="1:4" x14ac:dyDescent="0.2">
      <c r="A578" s="3609" t="s">
        <v>8226</v>
      </c>
      <c r="B578" s="3609" t="s">
        <v>7473</v>
      </c>
      <c r="C578" s="3610" t="s">
        <v>7477</v>
      </c>
      <c r="D578" s="3610"/>
    </row>
    <row r="579" spans="1:4" x14ac:dyDescent="0.2">
      <c r="A579" s="3609" t="s">
        <v>8226</v>
      </c>
      <c r="B579" s="3609" t="s">
        <v>3322</v>
      </c>
      <c r="C579" s="3610" t="s">
        <v>8494</v>
      </c>
      <c r="D579" s="3610"/>
    </row>
    <row r="580" spans="1:4" x14ac:dyDescent="0.2">
      <c r="A580" s="3609" t="s">
        <v>8226</v>
      </c>
      <c r="B580" s="3609" t="s">
        <v>7474</v>
      </c>
      <c r="C580" s="3610" t="s">
        <v>8494</v>
      </c>
      <c r="D580" s="3610"/>
    </row>
    <row r="581" spans="1:4" x14ac:dyDescent="0.2">
      <c r="A581" s="3609" t="s">
        <v>8226</v>
      </c>
      <c r="B581" s="3609" t="s">
        <v>8791</v>
      </c>
      <c r="C581" s="3610" t="s">
        <v>8792</v>
      </c>
      <c r="D581" s="3610"/>
    </row>
    <row r="582" spans="1:4" x14ac:dyDescent="0.2">
      <c r="A582" s="3609" t="s">
        <v>8226</v>
      </c>
      <c r="B582" s="3609" t="s">
        <v>8493</v>
      </c>
      <c r="C582" s="3610" t="s">
        <v>8790</v>
      </c>
      <c r="D582" s="3610"/>
    </row>
    <row r="583" spans="1:4" x14ac:dyDescent="0.2">
      <c r="A583" s="3609" t="s">
        <v>8226</v>
      </c>
      <c r="B583" s="3609" t="s">
        <v>8791</v>
      </c>
      <c r="C583" s="3610" t="s">
        <v>8795</v>
      </c>
      <c r="D583" s="3610"/>
    </row>
    <row r="584" spans="1:4" x14ac:dyDescent="0.2">
      <c r="A584" s="3609" t="s">
        <v>8226</v>
      </c>
      <c r="B584" s="3609" t="s">
        <v>8493</v>
      </c>
      <c r="C584" s="3610" t="s">
        <v>8796</v>
      </c>
      <c r="D584" s="3610"/>
    </row>
    <row r="585" spans="1:4" x14ac:dyDescent="0.2">
      <c r="A585" s="3609" t="s">
        <v>8226</v>
      </c>
      <c r="B585" s="3609" t="s">
        <v>8797</v>
      </c>
      <c r="C585" s="3610" t="s">
        <v>8798</v>
      </c>
      <c r="D585" s="3610"/>
    </row>
    <row r="586" spans="1:4" x14ac:dyDescent="0.2">
      <c r="A586" s="3609" t="s">
        <v>8226</v>
      </c>
      <c r="B586" s="3609" t="s">
        <v>8799</v>
      </c>
      <c r="C586" s="3610" t="s">
        <v>8800</v>
      </c>
      <c r="D586" s="3610"/>
    </row>
    <row ht="25.5" r="587" spans="1:4" x14ac:dyDescent="0.2">
      <c r="A587" s="3609" t="s">
        <v>8226</v>
      </c>
      <c r="B587" s="3609" t="s">
        <v>8791</v>
      </c>
      <c r="C587" s="3610" t="s">
        <v>8806</v>
      </c>
      <c r="D587" s="3610"/>
    </row>
    <row r="588" spans="1:4" x14ac:dyDescent="0.2">
      <c r="A588" s="3609" t="s">
        <v>8226</v>
      </c>
      <c r="B588" s="3609" t="s">
        <v>8791</v>
      </c>
      <c r="C588" s="3610" t="s">
        <v>8808</v>
      </c>
      <c r="D588" s="3610"/>
    </row>
    <row r="589" spans="1:4" x14ac:dyDescent="0.2">
      <c r="A589" s="3609" t="s">
        <v>8226</v>
      </c>
      <c r="B589" s="3609" t="s">
        <v>8809</v>
      </c>
      <c r="C589" s="3610" t="s">
        <v>8810</v>
      </c>
      <c r="D589" s="3610"/>
    </row>
    <row r="590" spans="1:4" x14ac:dyDescent="0.2">
      <c r="A590" s="3609" t="s">
        <v>8226</v>
      </c>
      <c r="B590" s="3609" t="s">
        <v>8791</v>
      </c>
      <c r="C590" s="3610" t="s">
        <v>8811</v>
      </c>
      <c r="D590" s="3610"/>
    </row>
    <row r="591" spans="1:4" x14ac:dyDescent="0.2">
      <c r="A591" s="3609" t="s">
        <v>8226</v>
      </c>
      <c r="B591" s="3609" t="s">
        <v>8493</v>
      </c>
      <c r="C591" s="3610" t="s">
        <v>8827</v>
      </c>
      <c r="D591" s="3610"/>
    </row>
    <row r="592" spans="1:4" x14ac:dyDescent="0.2">
      <c r="A592" s="3609" t="s">
        <v>8226</v>
      </c>
      <c r="B592" s="3609" t="s">
        <v>8809</v>
      </c>
      <c r="C592" s="3610" t="s">
        <v>8828</v>
      </c>
      <c r="D592" s="3610"/>
    </row>
    <row r="593" spans="1:4" x14ac:dyDescent="0.2">
      <c r="A593" s="3609" t="s">
        <v>8226</v>
      </c>
      <c r="B593" s="3609" t="s">
        <v>8509</v>
      </c>
      <c r="C593" s="3610" t="s">
        <v>8829</v>
      </c>
      <c r="D593" s="3610"/>
    </row>
    <row r="594" spans="1:4" x14ac:dyDescent="0.2">
      <c r="A594" s="3609" t="s">
        <v>8226</v>
      </c>
      <c r="B594" s="3609" t="s">
        <v>8799</v>
      </c>
      <c r="C594" s="3610" t="s">
        <v>8812</v>
      </c>
      <c r="D594" s="3610"/>
    </row>
    <row r="595" spans="1:4" x14ac:dyDescent="0.2">
      <c r="A595" s="3609" t="s">
        <v>8226</v>
      </c>
      <c r="B595" s="3609" t="s">
        <v>8791</v>
      </c>
      <c r="C595" s="3610" t="s">
        <v>8833</v>
      </c>
      <c r="D595" s="3610"/>
    </row>
    <row r="596" spans="1:4" x14ac:dyDescent="0.2">
      <c r="A596" s="3609" t="s">
        <v>8226</v>
      </c>
      <c r="B596" s="3609" t="s">
        <v>8797</v>
      </c>
      <c r="C596" s="3610" t="s">
        <v>8831</v>
      </c>
      <c r="D596" s="3610"/>
    </row>
    <row r="597" spans="1:4" x14ac:dyDescent="0.2">
      <c r="A597" s="3609" t="s">
        <v>8226</v>
      </c>
      <c r="B597" s="3609" t="s">
        <v>8509</v>
      </c>
      <c r="C597" s="3610" t="s">
        <v>8830</v>
      </c>
      <c r="D597" s="3610"/>
    </row>
    <row r="598" spans="1:4" x14ac:dyDescent="0.2">
      <c r="A598" s="3609" t="s">
        <v>8226</v>
      </c>
      <c r="B598" s="3609" t="s">
        <v>8799</v>
      </c>
      <c r="C598" s="3610" t="s">
        <v>8832</v>
      </c>
      <c r="D598" s="3610"/>
    </row>
    <row r="599" spans="1:4" x14ac:dyDescent="0.2">
      <c r="A599" s="3609" t="s">
        <v>8226</v>
      </c>
      <c r="B599" s="3609" t="s">
        <v>8791</v>
      </c>
      <c r="C599" s="3610" t="s">
        <v>8834</v>
      </c>
      <c r="D599" s="3610"/>
    </row>
    <row r="600" spans="1:4" x14ac:dyDescent="0.2">
      <c r="A600" s="3609" t="s">
        <v>8226</v>
      </c>
      <c r="B600" s="3609" t="s">
        <v>8797</v>
      </c>
      <c r="C600" s="3610" t="s">
        <v>8835</v>
      </c>
      <c r="D600" s="3610"/>
    </row>
    <row r="601" spans="1:4" x14ac:dyDescent="0.2">
      <c r="A601" s="3609" t="s">
        <v>8226</v>
      </c>
      <c r="B601" s="3609" t="s">
        <v>8503</v>
      </c>
      <c r="C601" s="3610" t="s">
        <v>8837</v>
      </c>
      <c r="D601" s="3610"/>
    </row>
    <row r="602" spans="1:4" x14ac:dyDescent="0.2">
      <c r="A602" s="3609" t="s">
        <v>8226</v>
      </c>
      <c r="B602" s="3609" t="s">
        <v>8799</v>
      </c>
      <c r="C602" s="3610" t="s">
        <v>8836</v>
      </c>
      <c r="D602" s="3610"/>
    </row>
    <row r="603" spans="1:4" x14ac:dyDescent="0.2">
      <c r="A603" s="3609" t="s">
        <v>8226</v>
      </c>
      <c r="B603" s="3609" t="s">
        <v>8791</v>
      </c>
      <c r="C603" s="3610" t="s">
        <v>8838</v>
      </c>
      <c r="D603" s="3610"/>
    </row>
    <row r="604" spans="1:4" x14ac:dyDescent="0.2">
      <c r="A604" s="3609" t="s">
        <v>8226</v>
      </c>
      <c r="B604" s="3609" t="s">
        <v>8797</v>
      </c>
      <c r="C604" s="3610" t="s">
        <v>8839</v>
      </c>
      <c r="D604" s="3610"/>
    </row>
    <row r="605" spans="1:4" x14ac:dyDescent="0.2">
      <c r="A605" s="3609" t="s">
        <v>8226</v>
      </c>
      <c r="B605" s="3609" t="s">
        <v>8507</v>
      </c>
      <c r="C605" s="3610" t="s">
        <v>8841</v>
      </c>
      <c r="D605" s="3610"/>
    </row>
    <row r="606" spans="1:4" x14ac:dyDescent="0.2">
      <c r="A606" s="3609" t="s">
        <v>8226</v>
      </c>
      <c r="B606" s="3609" t="s">
        <v>8799</v>
      </c>
      <c r="C606" s="3610" t="s">
        <v>8840</v>
      </c>
      <c r="D606" s="3610"/>
    </row>
    <row r="607" spans="1:4" x14ac:dyDescent="0.2">
      <c r="A607" s="3609" t="s">
        <v>8226</v>
      </c>
      <c r="B607" s="3609" t="s">
        <v>8509</v>
      </c>
      <c r="C607" s="3610" t="s">
        <v>8846</v>
      </c>
      <c r="D607" s="3610"/>
    </row>
    <row r="608" spans="1:4" x14ac:dyDescent="0.2">
      <c r="A608" s="3609" t="s">
        <v>8226</v>
      </c>
      <c r="B608" s="3609" t="s">
        <v>8791</v>
      </c>
      <c r="C608" s="3610" t="s">
        <v>8850</v>
      </c>
      <c r="D608" s="3610"/>
    </row>
    <row r="609" spans="1:4" x14ac:dyDescent="0.2">
      <c r="A609" s="3609" t="s">
        <v>8226</v>
      </c>
      <c r="B609" s="3609" t="s">
        <v>8493</v>
      </c>
      <c r="C609" s="3610" t="s">
        <v>8866</v>
      </c>
      <c r="D609" s="3610"/>
    </row>
    <row r="610" spans="1:4" x14ac:dyDescent="0.2">
      <c r="A610" s="3609" t="s">
        <v>8226</v>
      </c>
      <c r="B610" s="3609" t="s">
        <v>8503</v>
      </c>
      <c r="C610" s="3610" t="s">
        <v>8851</v>
      </c>
      <c r="D610" s="3610"/>
    </row>
    <row r="611" spans="1:4" x14ac:dyDescent="0.2">
      <c r="A611" s="3609" t="s">
        <v>8226</v>
      </c>
      <c r="B611" s="3609" t="s">
        <v>8799</v>
      </c>
      <c r="C611" s="3610" t="s">
        <v>8852</v>
      </c>
      <c r="D611" s="3610"/>
    </row>
    <row r="612" spans="1:4" x14ac:dyDescent="0.2">
      <c r="A612" s="3121" t="s">
        <v>8165</v>
      </c>
      <c r="B612" s="3298" t="s">
        <v>7456</v>
      </c>
      <c r="C612" s="3299" t="s">
        <v>8879</v>
      </c>
      <c r="D612" s="3300"/>
    </row>
    <row r="613" spans="1:4" x14ac:dyDescent="0.2">
      <c r="A613" s="2319" t="s">
        <v>8169</v>
      </c>
      <c r="B613" s="3298" t="s">
        <v>7452</v>
      </c>
      <c r="C613" s="4304" t="s">
        <v>8881</v>
      </c>
      <c r="D613" s="3300"/>
    </row>
    <row r="614" spans="1:4" x14ac:dyDescent="0.2">
      <c r="A614" s="2319" t="s">
        <v>8169</v>
      </c>
      <c r="B614" s="3298" t="s">
        <v>7452</v>
      </c>
      <c r="C614" s="4304" t="s">
        <v>8882</v>
      </c>
      <c r="D614" s="3300"/>
    </row>
    <row r="615" spans="1:4" x14ac:dyDescent="0.2">
      <c r="A615" s="2319" t="s">
        <v>8169</v>
      </c>
      <c r="B615" s="3298" t="s">
        <v>7452</v>
      </c>
      <c r="C615" s="4304" t="s">
        <v>8883</v>
      </c>
      <c r="D615" s="3300"/>
    </row>
    <row r="616" spans="1:4" x14ac:dyDescent="0.2">
      <c r="A616" s="2319" t="s">
        <v>8169</v>
      </c>
      <c r="B616" s="3355" t="s">
        <v>8448</v>
      </c>
      <c r="C616" s="4304" t="s">
        <v>8881</v>
      </c>
      <c r="D616" s="3300"/>
    </row>
    <row r="617" spans="1:4" x14ac:dyDescent="0.2">
      <c r="A617" s="2319" t="s">
        <v>8169</v>
      </c>
      <c r="B617" s="3355" t="s">
        <v>8448</v>
      </c>
      <c r="C617" s="4304" t="s">
        <v>8882</v>
      </c>
      <c r="D617" s="3300"/>
    </row>
    <row r="618" spans="1:4" x14ac:dyDescent="0.2">
      <c r="A618" s="2319" t="s">
        <v>8169</v>
      </c>
      <c r="B618" s="3355" t="s">
        <v>8448</v>
      </c>
      <c r="C618" s="4304" t="s">
        <v>8883</v>
      </c>
      <c r="D618" s="3300"/>
    </row>
    <row r="619" spans="1:4" x14ac:dyDescent="0.2">
      <c r="A619" s="3854" t="s">
        <v>8894</v>
      </c>
      <c r="B619" s="3855">
        <v>43707</v>
      </c>
      <c r="C619" s="4478"/>
      <c r="D619" s="4479"/>
    </row>
    <row r="620" spans="1:4" x14ac:dyDescent="0.2">
      <c r="A620" s="3940" t="s">
        <v>7465</v>
      </c>
      <c r="B620" s="3872" t="s">
        <v>8512</v>
      </c>
      <c r="C620" s="3695" t="s">
        <v>8895</v>
      </c>
      <c r="D620" s="3695" t="s">
        <v>8138</v>
      </c>
    </row>
    <row ht="25.5" r="621" spans="1:4" x14ac:dyDescent="0.2">
      <c r="A621" s="3940" t="s">
        <v>7465</v>
      </c>
      <c r="B621" s="3872" t="s">
        <v>8289</v>
      </c>
      <c r="C621" s="3695" t="s">
        <v>8896</v>
      </c>
      <c r="D621" s="3695" t="s">
        <v>8138</v>
      </c>
    </row>
    <row ht="38.25" r="622" spans="1:4" x14ac:dyDescent="0.2">
      <c r="A622" s="3940" t="s">
        <v>7465</v>
      </c>
      <c r="B622" s="3872" t="s">
        <v>7452</v>
      </c>
      <c r="C622" s="3695" t="s">
        <v>8901</v>
      </c>
      <c r="D622" s="3695" t="s">
        <v>8899</v>
      </c>
    </row>
    <row ht="38.25" r="623" spans="1:4" x14ac:dyDescent="0.2">
      <c r="A623" s="3940" t="s">
        <v>7465</v>
      </c>
      <c r="B623" s="3872" t="s">
        <v>7498</v>
      </c>
      <c r="C623" s="3695" t="s">
        <v>8901</v>
      </c>
      <c r="D623" s="3695" t="s">
        <v>8900</v>
      </c>
    </row>
    <row ht="25.5" r="624" spans="1:4" x14ac:dyDescent="0.2">
      <c r="A624" s="3940" t="s">
        <v>7465</v>
      </c>
      <c r="B624" s="3872" t="s">
        <v>7452</v>
      </c>
      <c r="C624" s="3695" t="s">
        <v>8898</v>
      </c>
      <c r="D624" s="3695" t="s">
        <v>8899</v>
      </c>
    </row>
    <row hidden="1" ht="25.5" r="625" spans="1:4" x14ac:dyDescent="0.2">
      <c r="A625" s="3940" t="s">
        <v>7465</v>
      </c>
      <c r="B625" s="3872" t="s">
        <v>7498</v>
      </c>
      <c r="C625" s="3695" t="s">
        <v>8898</v>
      </c>
      <c r="D625" s="3695" t="s">
        <v>8900</v>
      </c>
    </row>
    <row ht="38.25" r="626" spans="1:4" x14ac:dyDescent="0.2">
      <c r="A626" s="3940" t="s">
        <v>7465</v>
      </c>
      <c r="B626" s="3872" t="s">
        <v>8371</v>
      </c>
      <c r="C626" s="3695" t="s">
        <v>8902</v>
      </c>
      <c r="D626" s="3695" t="s">
        <v>8138</v>
      </c>
    </row>
    <row ht="25.5" r="627" spans="1:4" x14ac:dyDescent="0.2">
      <c r="A627" s="3940" t="s">
        <v>7465</v>
      </c>
      <c r="B627" s="3872" t="s">
        <v>8371</v>
      </c>
      <c r="C627" s="3695" t="s">
        <v>8903</v>
      </c>
      <c r="D627" s="3695" t="s">
        <v>8138</v>
      </c>
    </row>
    <row r="628" spans="1:4" x14ac:dyDescent="0.2">
      <c r="A628" s="3854" t="s">
        <v>8906</v>
      </c>
      <c r="B628" s="3855">
        <v>43724</v>
      </c>
      <c r="C628" s="4478"/>
      <c r="D628" s="4479"/>
    </row>
    <row r="629" spans="1:4" x14ac:dyDescent="0.2">
      <c r="A629" s="4332" t="s">
        <v>8905</v>
      </c>
      <c r="B629" s="3475" t="s">
        <v>7652</v>
      </c>
      <c r="C629" s="3299" t="s">
        <v>8909</v>
      </c>
      <c r="D629" s="3354" t="s">
        <v>8910</v>
      </c>
    </row>
    <row ht="38.25" r="630" spans="1:4" x14ac:dyDescent="0.2">
      <c r="A630" s="4332" t="s">
        <v>8905</v>
      </c>
      <c r="B630" s="3475" t="s">
        <v>7651</v>
      </c>
      <c r="C630" s="3299" t="s">
        <v>8908</v>
      </c>
      <c r="D630" s="3354" t="s">
        <v>8907</v>
      </c>
    </row>
    <row r="631" spans="1:4" x14ac:dyDescent="0.2">
      <c r="A631" s="4332" t="s">
        <v>8905</v>
      </c>
      <c r="B631" s="3298" t="s">
        <v>8503</v>
      </c>
      <c r="C631" s="3300" t="s">
        <v>8911</v>
      </c>
      <c r="D631" s="3300"/>
    </row>
    <row r="632" spans="1:4" x14ac:dyDescent="0.2">
      <c r="A632" s="4332" t="s">
        <v>8905</v>
      </c>
      <c r="B632" s="3298" t="s">
        <v>8797</v>
      </c>
      <c r="C632" s="3300" t="s">
        <v>8912</v>
      </c>
      <c r="D632" s="3300"/>
    </row>
    <row ht="102" r="633" spans="1:4" x14ac:dyDescent="0.2">
      <c r="A633" s="4332" t="s">
        <v>8905</v>
      </c>
      <c r="B633" s="3298" t="s">
        <v>7534</v>
      </c>
      <c r="C633" s="3300" t="s">
        <v>8913</v>
      </c>
      <c r="D633" s="3300" t="s">
        <v>8914</v>
      </c>
    </row>
    <row ht="102" r="634" spans="1:4" x14ac:dyDescent="0.2">
      <c r="A634" s="4332" t="s">
        <v>8905</v>
      </c>
      <c r="B634" s="3298" t="s">
        <v>7534</v>
      </c>
      <c r="C634" s="3300" t="s">
        <v>8915</v>
      </c>
      <c r="D634" s="3300" t="s">
        <v>8914</v>
      </c>
    </row>
    <row ht="127.5" r="635" spans="1:4" x14ac:dyDescent="0.2">
      <c r="A635" s="4332" t="s">
        <v>8905</v>
      </c>
      <c r="B635" s="3298" t="s">
        <v>7534</v>
      </c>
      <c r="C635" s="3299" t="s">
        <v>8919</v>
      </c>
      <c r="D635" s="3300" t="s">
        <v>8916</v>
      </c>
    </row>
    <row customFormat="1" r="636" s="4340" spans="1:4" x14ac:dyDescent="0.2">
      <c r="A636" s="4337" t="s">
        <v>8905</v>
      </c>
      <c r="B636" s="4338" t="s">
        <v>7451</v>
      </c>
      <c r="C636" s="4339" t="s">
        <v>8918</v>
      </c>
      <c r="D636" s="4339"/>
    </row>
    <row r="637" spans="1:4" x14ac:dyDescent="0.2">
      <c r="A637" s="3854" t="s">
        <v>8927</v>
      </c>
      <c r="B637" s="3855">
        <v>43741</v>
      </c>
      <c r="C637" s="4478"/>
      <c r="D637" s="4479"/>
    </row>
    <row ht="25.5" r="638" spans="1:4" x14ac:dyDescent="0.2">
      <c r="A638" s="4332" t="s">
        <v>8905</v>
      </c>
      <c r="B638" s="3298" t="s">
        <v>7580</v>
      </c>
      <c r="C638" s="3299" t="s">
        <v>8920</v>
      </c>
      <c r="D638" s="3300"/>
    </row>
    <row ht="38.25" r="639" spans="1:4" x14ac:dyDescent="0.2">
      <c r="A639" s="4332" t="s">
        <v>8905</v>
      </c>
      <c r="B639" s="3298" t="s">
        <v>7534</v>
      </c>
      <c r="C639" s="3299" t="s">
        <v>8932</v>
      </c>
      <c r="D639" s="3299" t="s">
        <v>7645</v>
      </c>
    </row>
    <row ht="127.5" r="640" spans="1:4" x14ac:dyDescent="0.2">
      <c r="A640" s="4332" t="s">
        <v>8905</v>
      </c>
      <c r="B640" s="3298" t="s">
        <v>7534</v>
      </c>
      <c r="C640" s="3299" t="s">
        <v>8933</v>
      </c>
      <c r="D640" s="3299" t="s">
        <v>7645</v>
      </c>
    </row>
    <row ht="51" r="641" spans="1:4" x14ac:dyDescent="0.2">
      <c r="A641" s="4332" t="s">
        <v>8905</v>
      </c>
      <c r="B641" s="3298" t="s">
        <v>7534</v>
      </c>
      <c r="C641" s="3299" t="s">
        <v>8934</v>
      </c>
      <c r="D641" s="3299" t="s">
        <v>7645</v>
      </c>
    </row>
    <row ht="204" r="642" spans="1:4" x14ac:dyDescent="0.2">
      <c r="A642" s="4332" t="s">
        <v>8905</v>
      </c>
      <c r="B642" s="3298" t="s">
        <v>7534</v>
      </c>
      <c r="C642" s="3299" t="s">
        <v>8935</v>
      </c>
      <c r="D642" s="3299" t="s">
        <v>7645</v>
      </c>
    </row>
    <row r="643" spans="1:4" x14ac:dyDescent="0.2">
      <c r="A643" s="4332" t="s">
        <v>8905</v>
      </c>
      <c r="B643" s="3298" t="s">
        <v>7534</v>
      </c>
      <c r="C643" s="3299" t="s">
        <v>8936</v>
      </c>
      <c r="D643" s="3299" t="s">
        <v>7645</v>
      </c>
    </row>
    <row r="644" spans="1:4" x14ac:dyDescent="0.2">
      <c r="A644" s="4332" t="s">
        <v>8905</v>
      </c>
      <c r="B644" s="3298" t="s">
        <v>7534</v>
      </c>
      <c r="C644" s="3299" t="s">
        <v>8937</v>
      </c>
      <c r="D644" s="3299" t="s">
        <v>7645</v>
      </c>
    </row>
    <row ht="102" r="645" spans="1:4" x14ac:dyDescent="0.2">
      <c r="A645" s="4332" t="s">
        <v>8905</v>
      </c>
      <c r="B645" s="3298" t="s">
        <v>7534</v>
      </c>
      <c r="C645" s="3299" t="s">
        <v>8939</v>
      </c>
      <c r="D645" s="3299" t="s">
        <v>7645</v>
      </c>
    </row>
    <row ht="25.5" r="646" spans="1:4" x14ac:dyDescent="0.2">
      <c r="A646" s="4332" t="s">
        <v>8905</v>
      </c>
      <c r="B646" s="3298" t="s">
        <v>7534</v>
      </c>
      <c r="C646" s="3299" t="s">
        <v>8938</v>
      </c>
      <c r="D646" s="3299" t="s">
        <v>7645</v>
      </c>
    </row>
    <row ht="25.5" r="647" spans="1:4" x14ac:dyDescent="0.2">
      <c r="A647" s="4332" t="s">
        <v>8905</v>
      </c>
      <c r="B647" s="3298" t="s">
        <v>7534</v>
      </c>
      <c r="C647" s="3299" t="s">
        <v>8940</v>
      </c>
      <c r="D647" s="3299" t="s">
        <v>7645</v>
      </c>
    </row>
    <row ht="51" r="648" spans="1:4" x14ac:dyDescent="0.2">
      <c r="A648" s="4332" t="s">
        <v>8905</v>
      </c>
      <c r="B648" s="3298" t="s">
        <v>7534</v>
      </c>
      <c r="C648" s="3299" t="s">
        <v>8941</v>
      </c>
      <c r="D648" s="3299" t="s">
        <v>7645</v>
      </c>
    </row>
    <row r="649" spans="1:4" x14ac:dyDescent="0.2">
      <c r="A649" s="2320" t="s">
        <v>7465</v>
      </c>
      <c r="B649" s="3355" t="s">
        <v>7452</v>
      </c>
      <c r="C649" s="3299" t="s">
        <v>8921</v>
      </c>
      <c r="D649" s="3300"/>
    </row>
    <row r="650" spans="1:4" x14ac:dyDescent="0.2">
      <c r="A650" s="2320" t="s">
        <v>7465</v>
      </c>
      <c r="B650" s="3355" t="s">
        <v>8448</v>
      </c>
      <c r="C650" s="3299" t="s">
        <v>8921</v>
      </c>
      <c r="D650" s="3300"/>
    </row>
    <row r="651" spans="1:4" x14ac:dyDescent="0.2">
      <c r="A651" s="2320" t="s">
        <v>7465</v>
      </c>
      <c r="B651" s="3355" t="s">
        <v>7452</v>
      </c>
      <c r="C651" s="3299" t="s">
        <v>8926</v>
      </c>
      <c r="D651" s="3300"/>
    </row>
    <row r="652" spans="1:4" x14ac:dyDescent="0.2">
      <c r="A652" s="2320" t="s">
        <v>7465</v>
      </c>
      <c r="B652" s="3355" t="s">
        <v>8448</v>
      </c>
      <c r="C652" s="3299" t="s">
        <v>8926</v>
      </c>
      <c r="D652" s="3300"/>
    </row>
    <row r="653" spans="1:4" x14ac:dyDescent="0.2">
      <c r="A653" s="2320" t="s">
        <v>7465</v>
      </c>
      <c r="B653" s="3355" t="s">
        <v>7452</v>
      </c>
      <c r="C653" s="3299" t="s">
        <v>8922</v>
      </c>
      <c r="D653" s="3300"/>
    </row>
    <row r="654" spans="1:4" x14ac:dyDescent="0.2">
      <c r="A654" s="2320" t="s">
        <v>7465</v>
      </c>
      <c r="B654" s="3355" t="s">
        <v>8448</v>
      </c>
      <c r="C654" s="3299" t="s">
        <v>8923</v>
      </c>
      <c r="D654" s="3300"/>
    </row>
    <row r="655" spans="1:4" x14ac:dyDescent="0.2">
      <c r="A655" s="2320" t="s">
        <v>7465</v>
      </c>
      <c r="B655" s="3355" t="s">
        <v>7452</v>
      </c>
      <c r="C655" s="3299" t="s">
        <v>8924</v>
      </c>
      <c r="D655" s="3300"/>
    </row>
    <row r="656" spans="1:4" x14ac:dyDescent="0.2">
      <c r="A656" s="2320" t="s">
        <v>7465</v>
      </c>
      <c r="B656" s="3355" t="s">
        <v>8448</v>
      </c>
      <c r="C656" s="3299" t="s">
        <v>8925</v>
      </c>
      <c r="D656" s="3300"/>
    </row>
    <row r="657" spans="1:4" x14ac:dyDescent="0.2">
      <c r="A657" s="3854" t="s">
        <v>8952</v>
      </c>
      <c r="B657" s="3855">
        <v>43752</v>
      </c>
      <c r="C657" s="4478"/>
      <c r="D657" s="4479"/>
    </row>
    <row ht="242.25" r="658" spans="1:4" x14ac:dyDescent="0.2">
      <c r="A658" s="2320" t="s">
        <v>7465</v>
      </c>
      <c r="B658" s="3298" t="s">
        <v>7534</v>
      </c>
      <c r="C658" s="3299" t="s">
        <v>8953</v>
      </c>
      <c r="D658" s="3300"/>
    </row>
    <row ht="204" r="659" spans="1:4" x14ac:dyDescent="0.2">
      <c r="A659" s="2320" t="s">
        <v>7465</v>
      </c>
      <c r="B659" s="3298" t="s">
        <v>7534</v>
      </c>
      <c r="C659" s="3299" t="s">
        <v>8954</v>
      </c>
      <c r="D659" s="3300"/>
    </row>
    <row customFormat="1" r="660" s="4382" spans="1:4" x14ac:dyDescent="0.2">
      <c r="A660" s="4380" t="s">
        <v>7465</v>
      </c>
      <c r="B660" s="4381" t="s">
        <v>8448</v>
      </c>
      <c r="C660" s="3361" t="s">
        <v>8971</v>
      </c>
      <c r="D660" s="3361"/>
    </row>
    <row customFormat="1" r="661" s="4382" spans="1:4" x14ac:dyDescent="0.2">
      <c r="A661" s="4380" t="s">
        <v>7465</v>
      </c>
      <c r="B661" s="4381" t="s">
        <v>8448</v>
      </c>
      <c r="C661" s="3361" t="s">
        <v>8972</v>
      </c>
      <c r="D661" s="3361"/>
    </row>
    <row customFormat="1" r="662" s="4382" spans="1:4" x14ac:dyDescent="0.2">
      <c r="A662" s="4380" t="s">
        <v>7465</v>
      </c>
      <c r="B662" s="4381" t="s">
        <v>8448</v>
      </c>
      <c r="C662" s="3361" t="s">
        <v>8973</v>
      </c>
      <c r="D662" s="3361"/>
    </row>
    <row customFormat="1" r="663" s="4382" spans="1:4" x14ac:dyDescent="0.2">
      <c r="A663" s="4380"/>
      <c r="B663" s="4381" t="s">
        <v>8448</v>
      </c>
      <c r="C663" s="3361" t="s">
        <v>8973</v>
      </c>
      <c r="D663" s="3361"/>
    </row>
    <row customFormat="1" r="664" s="4382" spans="1:4" x14ac:dyDescent="0.2">
      <c r="A664" s="4380"/>
      <c r="B664" s="4381" t="s">
        <v>8448</v>
      </c>
      <c r="C664" s="3361" t="s">
        <v>8974</v>
      </c>
      <c r="D664" s="3361"/>
    </row>
    <row customFormat="1" r="665" s="4382" spans="1:4" x14ac:dyDescent="0.2">
      <c r="A665" s="4380" t="s">
        <v>7465</v>
      </c>
      <c r="B665" s="4381" t="s">
        <v>8448</v>
      </c>
      <c r="C665" s="3361" t="s">
        <v>8975</v>
      </c>
      <c r="D665" s="3361"/>
    </row>
    <row customFormat="1" r="666" s="4382" spans="1:4" x14ac:dyDescent="0.2">
      <c r="A666" s="4380" t="s">
        <v>7465</v>
      </c>
      <c r="B666" s="4381" t="s">
        <v>8448</v>
      </c>
      <c r="C666" s="3361" t="s">
        <v>8962</v>
      </c>
      <c r="D666" s="3361"/>
    </row>
    <row customFormat="1" r="667" s="4382" spans="1:4" x14ac:dyDescent="0.2">
      <c r="A667" s="4380" t="s">
        <v>7465</v>
      </c>
      <c r="B667" s="4381" t="s">
        <v>8448</v>
      </c>
      <c r="C667" s="3361" t="s">
        <v>8963</v>
      </c>
      <c r="D667" s="3361"/>
    </row>
    <row customFormat="1" r="668" s="4382" spans="1:4" x14ac:dyDescent="0.2">
      <c r="A668" s="4380" t="s">
        <v>7465</v>
      </c>
      <c r="B668" s="4381" t="s">
        <v>8448</v>
      </c>
      <c r="C668" s="3361" t="s">
        <v>8964</v>
      </c>
      <c r="D668" s="3361"/>
    </row>
    <row customFormat="1" r="669" s="4382" spans="1:4" x14ac:dyDescent="0.2">
      <c r="A669" s="4380" t="s">
        <v>7465</v>
      </c>
      <c r="B669" s="4381" t="s">
        <v>8448</v>
      </c>
      <c r="C669" s="3361" t="s">
        <v>8965</v>
      </c>
      <c r="D669" s="3361"/>
    </row>
    <row customFormat="1" r="670" s="4382" spans="1:4" x14ac:dyDescent="0.2">
      <c r="A670" s="4380" t="s">
        <v>7465</v>
      </c>
      <c r="B670" s="4381" t="s">
        <v>8448</v>
      </c>
      <c r="C670" s="3361" t="s">
        <v>8966</v>
      </c>
      <c r="D670" s="3361"/>
    </row>
    <row customFormat="1" r="671" s="4382" spans="1:4" x14ac:dyDescent="0.2">
      <c r="A671" s="4380" t="s">
        <v>7465</v>
      </c>
      <c r="B671" s="4381" t="s">
        <v>8448</v>
      </c>
      <c r="C671" s="3361" t="s">
        <v>8967</v>
      </c>
      <c r="D671" s="3361"/>
    </row>
    <row customFormat="1" r="672" s="4382" spans="1:4" x14ac:dyDescent="0.2">
      <c r="A672" s="4380" t="s">
        <v>7465</v>
      </c>
      <c r="B672" s="4381" t="s">
        <v>8448</v>
      </c>
      <c r="C672" s="3361" t="s">
        <v>8968</v>
      </c>
      <c r="D672" s="3361"/>
    </row>
    <row customFormat="1" r="673" s="4382" spans="1:4" x14ac:dyDescent="0.2">
      <c r="A673" s="4380" t="s">
        <v>7465</v>
      </c>
      <c r="B673" s="4381" t="s">
        <v>8448</v>
      </c>
      <c r="C673" s="3361" t="s">
        <v>8969</v>
      </c>
      <c r="D673" s="3361"/>
    </row>
    <row customFormat="1" r="674" s="4382" spans="1:4" x14ac:dyDescent="0.2">
      <c r="A674" s="4380" t="s">
        <v>7465</v>
      </c>
      <c r="B674" s="4381" t="s">
        <v>8448</v>
      </c>
      <c r="C674" s="3361" t="s">
        <v>8970</v>
      </c>
      <c r="D674" s="3361"/>
    </row>
    <row customFormat="1" r="675" s="4382" spans="1:4" x14ac:dyDescent="0.2">
      <c r="A675" s="4380" t="s">
        <v>7465</v>
      </c>
      <c r="B675" s="4381" t="s">
        <v>7534</v>
      </c>
      <c r="C675" s="3361" t="s">
        <v>8976</v>
      </c>
      <c r="D675" s="3361"/>
    </row>
    <row customFormat="1" r="676" s="4382" spans="1:4" x14ac:dyDescent="0.2">
      <c r="A676" s="4380" t="s">
        <v>7465</v>
      </c>
      <c r="B676" s="4381" t="s">
        <v>7534</v>
      </c>
      <c r="C676" s="3361" t="s">
        <v>8977</v>
      </c>
      <c r="D676" s="3361"/>
    </row>
    <row customFormat="1" r="677" s="4382" spans="1:4" x14ac:dyDescent="0.2">
      <c r="A677" s="4380" t="s">
        <v>7465</v>
      </c>
      <c r="B677" s="4381" t="s">
        <v>7534</v>
      </c>
      <c r="C677" s="3361" t="s">
        <v>8978</v>
      </c>
      <c r="D677" s="3361"/>
    </row>
    <row customFormat="1" r="678" s="4382" spans="1:4" x14ac:dyDescent="0.2">
      <c r="A678" s="4380" t="s">
        <v>7465</v>
      </c>
      <c r="B678" s="4381" t="s">
        <v>7534</v>
      </c>
      <c r="C678" s="3361" t="s">
        <v>8979</v>
      </c>
      <c r="D678" s="3361"/>
    </row>
    <row customFormat="1" r="679" s="4382" spans="1:4" x14ac:dyDescent="0.2">
      <c r="A679" s="4380" t="s">
        <v>7465</v>
      </c>
      <c r="B679" s="4381" t="s">
        <v>7534</v>
      </c>
      <c r="C679" s="3361" t="s">
        <v>8980</v>
      </c>
      <c r="D679" s="3361"/>
    </row>
    <row customFormat="1" r="680" s="4382" spans="1:4" x14ac:dyDescent="0.2">
      <c r="A680" s="4380" t="s">
        <v>7465</v>
      </c>
      <c r="B680" s="4381" t="s">
        <v>7534</v>
      </c>
      <c r="C680" s="3361" t="s">
        <v>8981</v>
      </c>
      <c r="D680" s="3361"/>
    </row>
    <row r="681" spans="1:4" x14ac:dyDescent="0.2">
      <c r="A681" s="3854" t="s">
        <v>9021</v>
      </c>
      <c r="B681" s="3855">
        <v>43759</v>
      </c>
      <c r="C681" s="4478"/>
      <c r="D681" s="4479"/>
    </row>
    <row customFormat="1" r="682" s="4382" spans="1:4" x14ac:dyDescent="0.2">
      <c r="A682" s="4380" t="s">
        <v>7465</v>
      </c>
      <c r="B682" s="4381" t="s">
        <v>8984</v>
      </c>
      <c r="C682" s="3361" t="s">
        <v>8989</v>
      </c>
      <c r="D682" s="3361"/>
    </row>
    <row customFormat="1" r="683" s="4382" spans="1:4" x14ac:dyDescent="0.2">
      <c r="A683" s="4380"/>
      <c r="B683" s="4381" t="s">
        <v>7451</v>
      </c>
      <c r="C683" s="3361" t="s">
        <v>9018</v>
      </c>
      <c r="D683" s="3361"/>
    </row>
    <row customFormat="1" r="684" s="4382" spans="1:4" x14ac:dyDescent="0.2">
      <c r="A684" s="4380" t="s">
        <v>7465</v>
      </c>
      <c r="B684" s="4381" t="s">
        <v>7452</v>
      </c>
      <c r="C684" s="3361" t="s">
        <v>8990</v>
      </c>
      <c r="D684" s="3361"/>
    </row>
    <row customFormat="1" r="685" s="4382" spans="1:4" x14ac:dyDescent="0.2">
      <c r="A685" s="4380" t="s">
        <v>7465</v>
      </c>
      <c r="B685" s="4381" t="s">
        <v>8448</v>
      </c>
      <c r="C685" s="3361" t="s">
        <v>8990</v>
      </c>
      <c r="D685" s="3361"/>
    </row>
    <row r="686" spans="1:4" x14ac:dyDescent="0.2">
      <c r="A686" s="4380" t="s">
        <v>7465</v>
      </c>
      <c r="B686" s="4389" t="s">
        <v>8493</v>
      </c>
      <c r="C686" s="4390" t="s">
        <v>8985</v>
      </c>
      <c r="D686" s="4390"/>
    </row>
    <row r="687" spans="1:4" x14ac:dyDescent="0.2">
      <c r="A687" s="4380" t="s">
        <v>7465</v>
      </c>
      <c r="B687" s="4391" t="s">
        <v>8509</v>
      </c>
      <c r="C687" s="4390" t="s">
        <v>8986</v>
      </c>
      <c r="D687" s="4390"/>
    </row>
    <row r="688" spans="1:4" x14ac:dyDescent="0.2">
      <c r="A688" s="4380" t="s">
        <v>7465</v>
      </c>
      <c r="B688" s="4391" t="s">
        <v>7473</v>
      </c>
      <c r="C688" s="4390" t="s">
        <v>8991</v>
      </c>
      <c r="D688" s="4390"/>
    </row>
    <row r="689" spans="1:4" x14ac:dyDescent="0.2">
      <c r="A689" s="4380" t="s">
        <v>7465</v>
      </c>
      <c r="B689" s="4391" t="s">
        <v>8797</v>
      </c>
      <c r="C689" s="4390" t="s">
        <v>8993</v>
      </c>
      <c r="D689" s="4390"/>
    </row>
    <row r="690" spans="1:4" x14ac:dyDescent="0.2">
      <c r="A690" s="4380" t="s">
        <v>7465</v>
      </c>
      <c r="B690" s="4391" t="s">
        <v>8503</v>
      </c>
      <c r="C690" s="4390" t="s">
        <v>8992</v>
      </c>
      <c r="D690" s="4390"/>
    </row>
    <row r="691" spans="1:4" x14ac:dyDescent="0.2">
      <c r="A691" s="4380" t="s">
        <v>7465</v>
      </c>
      <c r="B691" s="4391" t="s">
        <v>8809</v>
      </c>
      <c r="C691" s="4390" t="s">
        <v>8987</v>
      </c>
      <c r="D691" s="4390"/>
    </row>
    <row r="692" spans="1:4" x14ac:dyDescent="0.2">
      <c r="A692" s="4380" t="s">
        <v>7465</v>
      </c>
      <c r="B692" s="4391" t="s">
        <v>8509</v>
      </c>
      <c r="C692" s="4390" t="s">
        <v>8988</v>
      </c>
      <c r="D692" s="4390"/>
    </row>
    <row r="693" spans="1:4" x14ac:dyDescent="0.2">
      <c r="A693" s="4380" t="s">
        <v>7465</v>
      </c>
      <c r="B693" s="4391" t="s">
        <v>8809</v>
      </c>
      <c r="C693" s="4390" t="s">
        <v>8994</v>
      </c>
      <c r="D693" s="4390" t="s">
        <v>8995</v>
      </c>
    </row>
    <row r="694" spans="1:4" x14ac:dyDescent="0.2">
      <c r="A694" s="4380" t="s">
        <v>7465</v>
      </c>
      <c r="B694" s="4391" t="s">
        <v>8809</v>
      </c>
      <c r="C694" s="4390" t="s">
        <v>8996</v>
      </c>
      <c r="D694" s="4390" t="s">
        <v>8997</v>
      </c>
    </row>
    <row r="695" spans="1:4" x14ac:dyDescent="0.2">
      <c r="A695" s="4380" t="s">
        <v>7465</v>
      </c>
      <c r="B695" s="4391" t="s">
        <v>8809</v>
      </c>
      <c r="C695" s="4390" t="s">
        <v>8999</v>
      </c>
      <c r="D695" s="4390" t="s">
        <v>8998</v>
      </c>
    </row>
    <row r="696" spans="1:4" x14ac:dyDescent="0.2">
      <c r="A696" s="4380" t="s">
        <v>7465</v>
      </c>
      <c r="B696" s="4391" t="s">
        <v>8791</v>
      </c>
      <c r="C696" s="4390" t="s">
        <v>9000</v>
      </c>
      <c r="D696" s="4390" t="s">
        <v>9001</v>
      </c>
    </row>
    <row r="697" spans="1:4" x14ac:dyDescent="0.2">
      <c r="A697" s="4380" t="s">
        <v>7465</v>
      </c>
      <c r="B697" s="4391" t="s">
        <v>8809</v>
      </c>
      <c r="C697" s="4390" t="s">
        <v>9002</v>
      </c>
      <c r="D697" s="4390" t="s">
        <v>9003</v>
      </c>
    </row>
    <row r="698" spans="1:4" x14ac:dyDescent="0.2">
      <c r="A698" s="4380" t="s">
        <v>7465</v>
      </c>
      <c r="B698" s="4391" t="s">
        <v>8809</v>
      </c>
      <c r="C698" s="4390" t="s">
        <v>8994</v>
      </c>
      <c r="D698" s="4390" t="s">
        <v>9004</v>
      </c>
    </row>
    <row r="699" spans="1:4" x14ac:dyDescent="0.2">
      <c r="A699" s="4380" t="s">
        <v>7465</v>
      </c>
      <c r="B699" s="4391" t="s">
        <v>8505</v>
      </c>
      <c r="C699" s="4390" t="s">
        <v>9005</v>
      </c>
      <c r="D699" s="4390" t="s">
        <v>9006</v>
      </c>
    </row>
    <row r="700" spans="1:4" x14ac:dyDescent="0.2">
      <c r="A700" s="4380" t="s">
        <v>7465</v>
      </c>
      <c r="B700" s="4391" t="s">
        <v>8509</v>
      </c>
      <c r="C700" s="4390" t="s">
        <v>9007</v>
      </c>
      <c r="D700" s="4390" t="s">
        <v>9008</v>
      </c>
    </row>
    <row r="701" spans="1:4" x14ac:dyDescent="0.2">
      <c r="A701" s="4380" t="s">
        <v>7465</v>
      </c>
      <c r="B701" s="4391" t="s">
        <v>8809</v>
      </c>
      <c r="C701" s="4390" t="s">
        <v>9009</v>
      </c>
      <c r="D701" s="4390" t="s">
        <v>9010</v>
      </c>
    </row>
    <row r="702" spans="1:4" x14ac:dyDescent="0.2">
      <c r="A702" s="4380" t="s">
        <v>7465</v>
      </c>
      <c r="B702" s="4391" t="s">
        <v>8509</v>
      </c>
      <c r="C702" s="4390" t="s">
        <v>9011</v>
      </c>
      <c r="D702" s="4390" t="s">
        <v>9012</v>
      </c>
    </row>
    <row r="703" spans="1:4" x14ac:dyDescent="0.2">
      <c r="A703" s="4380" t="s">
        <v>7465</v>
      </c>
      <c r="B703" s="4391" t="s">
        <v>8509</v>
      </c>
      <c r="C703" s="4390" t="s">
        <v>9013</v>
      </c>
      <c r="D703" s="4390" t="s">
        <v>9012</v>
      </c>
    </row>
    <row r="704" spans="1:4" x14ac:dyDescent="0.2">
      <c r="A704" s="4380" t="s">
        <v>7465</v>
      </c>
      <c r="B704" s="4391" t="s">
        <v>8505</v>
      </c>
      <c r="C704" s="4390" t="s">
        <v>9014</v>
      </c>
      <c r="D704" s="4390" t="s">
        <v>9015</v>
      </c>
    </row>
    <row r="705" spans="1:4" x14ac:dyDescent="0.2">
      <c r="A705" s="4380" t="s">
        <v>7465</v>
      </c>
      <c r="B705" s="4391" t="s">
        <v>8505</v>
      </c>
      <c r="C705" s="4390" t="s">
        <v>9016</v>
      </c>
      <c r="D705" s="4390" t="s">
        <v>9017</v>
      </c>
    </row>
    <row r="706" spans="1:4" x14ac:dyDescent="0.2">
      <c r="A706" s="4392" t="s">
        <v>9030</v>
      </c>
      <c r="B706" s="4393">
        <v>43768</v>
      </c>
      <c r="C706" s="4477" t="s">
        <v>9027</v>
      </c>
      <c r="D706" s="4477"/>
    </row>
    <row r="707" spans="1:4" x14ac:dyDescent="0.2">
      <c r="A707" s="4380"/>
      <c r="B707" s="4391" t="s">
        <v>3319</v>
      </c>
      <c r="C707" s="4390" t="s">
        <v>9026</v>
      </c>
      <c r="D707" s="4390"/>
    </row>
    <row r="708" spans="1:4" x14ac:dyDescent="0.2">
      <c r="A708" s="4380" t="s">
        <v>7465</v>
      </c>
      <c r="B708" s="4391" t="s">
        <v>8809</v>
      </c>
      <c r="C708" s="4390" t="s">
        <v>9028</v>
      </c>
      <c r="D708" s="4390" t="s">
        <v>9010</v>
      </c>
    </row>
    <row customFormat="1" r="709" s="864" spans="1:4" x14ac:dyDescent="0.2">
      <c r="A709" s="4396"/>
      <c r="B709" s="3298" t="s">
        <v>7580</v>
      </c>
      <c r="C709" s="3299" t="s">
        <v>9029</v>
      </c>
      <c r="D709" s="3299"/>
    </row>
    <row customFormat="1" r="710" s="864" spans="1:4" x14ac:dyDescent="0.2">
      <c r="A710" s="4396" t="s">
        <v>7465</v>
      </c>
      <c r="B710" s="3298" t="s">
        <v>7580</v>
      </c>
      <c r="C710" s="3299" t="s">
        <v>9031</v>
      </c>
      <c r="D710" s="3299"/>
    </row>
    <row ht="63.75" r="711" spans="1:4" x14ac:dyDescent="0.2">
      <c r="A711" s="4396" t="s">
        <v>7465</v>
      </c>
      <c r="B711" s="3298" t="s">
        <v>7534</v>
      </c>
      <c r="C711" s="3299" t="s">
        <v>9057</v>
      </c>
      <c r="D711" s="3300"/>
    </row>
    <row r="712" spans="1:4" x14ac:dyDescent="0.2">
      <c r="A712" s="4396" t="s">
        <v>7465</v>
      </c>
      <c r="B712" s="3298" t="s">
        <v>7451</v>
      </c>
      <c r="C712" s="3300" t="s">
        <v>9035</v>
      </c>
      <c r="D712" s="3300"/>
    </row>
    <row r="713" spans="1:4" x14ac:dyDescent="0.2">
      <c r="A713" s="4396" t="s">
        <v>7465</v>
      </c>
      <c r="B713" s="3298" t="s">
        <v>7451</v>
      </c>
      <c r="C713" s="3300" t="s">
        <v>9036</v>
      </c>
      <c r="D713" s="3300"/>
    </row>
    <row r="714" spans="1:4" x14ac:dyDescent="0.2">
      <c r="A714" s="4396" t="s">
        <v>7465</v>
      </c>
      <c r="B714" s="3298" t="s">
        <v>7451</v>
      </c>
      <c r="C714" s="3300" t="s">
        <v>9037</v>
      </c>
      <c r="D714" s="3300"/>
    </row>
    <row ht="165.75" r="715" spans="1:4" x14ac:dyDescent="0.2">
      <c r="A715" s="4396" t="s">
        <v>7465</v>
      </c>
      <c r="B715" s="3298" t="s">
        <v>7451</v>
      </c>
      <c r="C715" s="3299" t="s">
        <v>9056</v>
      </c>
      <c r="D715" s="3300"/>
    </row>
    <row r="716" spans="1:4" x14ac:dyDescent="0.2">
      <c r="A716" s="4396" t="s">
        <v>7465</v>
      </c>
      <c r="B716" s="3298" t="s">
        <v>7451</v>
      </c>
      <c r="C716" s="3299" t="s">
        <v>9038</v>
      </c>
      <c r="D716" s="3300"/>
    </row>
    <row ht="127.5" r="717" spans="1:4" x14ac:dyDescent="0.2">
      <c r="A717" s="4396" t="s">
        <v>7465</v>
      </c>
      <c r="B717" s="3298" t="s">
        <v>7451</v>
      </c>
      <c r="C717" s="3299" t="s">
        <v>9039</v>
      </c>
      <c r="D717" s="3300"/>
    </row>
    <row r="718" spans="1:4" x14ac:dyDescent="0.2">
      <c r="A718" s="4396" t="s">
        <v>7465</v>
      </c>
      <c r="B718" s="3298" t="s">
        <v>7451</v>
      </c>
      <c r="C718" s="3299" t="s">
        <v>9040</v>
      </c>
      <c r="D718" s="3300"/>
    </row>
    <row ht="63.75" r="719" spans="1:4" x14ac:dyDescent="0.2">
      <c r="A719" s="4396" t="s">
        <v>7465</v>
      </c>
      <c r="B719" s="3298" t="s">
        <v>7451</v>
      </c>
      <c r="C719" s="3299" t="s">
        <v>9055</v>
      </c>
      <c r="D719" s="3300"/>
    </row>
    <row r="720" spans="1:4" x14ac:dyDescent="0.2">
      <c r="A720" s="4396" t="s">
        <v>7465</v>
      </c>
      <c r="B720" s="3298" t="s">
        <v>7451</v>
      </c>
      <c r="C720" s="3300" t="s">
        <v>9041</v>
      </c>
      <c r="D720" s="3300"/>
    </row>
    <row r="721" spans="1:4" x14ac:dyDescent="0.2">
      <c r="A721" s="4396" t="s">
        <v>7465</v>
      </c>
      <c r="B721" s="3298" t="s">
        <v>7451</v>
      </c>
      <c r="C721" s="3300" t="s">
        <v>9042</v>
      </c>
      <c r="D721" s="3300"/>
    </row>
    <row r="722" spans="1:4" x14ac:dyDescent="0.2">
      <c r="A722" s="4396" t="s">
        <v>7465</v>
      </c>
      <c r="B722" s="3298" t="s">
        <v>7451</v>
      </c>
      <c r="C722" s="3300" t="s">
        <v>9043</v>
      </c>
      <c r="D722" s="3300"/>
    </row>
    <row ht="216.75" r="723" spans="1:4" x14ac:dyDescent="0.2">
      <c r="A723" s="4396" t="s">
        <v>7465</v>
      </c>
      <c r="B723" s="3298" t="s">
        <v>7451</v>
      </c>
      <c r="C723" s="3299" t="s">
        <v>9054</v>
      </c>
      <c r="D723" s="3300"/>
    </row>
    <row ht="127.5" r="724" spans="1:4" x14ac:dyDescent="0.2">
      <c r="A724" s="4396" t="s">
        <v>7465</v>
      </c>
      <c r="B724" s="3298" t="s">
        <v>7451</v>
      </c>
      <c r="C724" s="3299" t="s">
        <v>9053</v>
      </c>
      <c r="D724" s="3300"/>
    </row>
    <row r="725" spans="1:4" x14ac:dyDescent="0.2">
      <c r="A725" s="4396" t="s">
        <v>7465</v>
      </c>
      <c r="B725" s="4391" t="s">
        <v>7476</v>
      </c>
      <c r="C725" s="4390" t="s">
        <v>9044</v>
      </c>
      <c r="D725" s="4390"/>
    </row>
    <row r="726" spans="1:4" x14ac:dyDescent="0.2">
      <c r="A726" s="4396" t="s">
        <v>7465</v>
      </c>
      <c r="B726" s="4391" t="s">
        <v>7474</v>
      </c>
      <c r="C726" s="4390" t="s">
        <v>9045</v>
      </c>
      <c r="D726" s="4390"/>
    </row>
    <row r="727" spans="1:4" x14ac:dyDescent="0.2">
      <c r="A727" s="4396" t="s">
        <v>7465</v>
      </c>
      <c r="B727" s="4391" t="s">
        <v>7473</v>
      </c>
      <c r="C727" s="4390" t="s">
        <v>9045</v>
      </c>
      <c r="D727" s="4390"/>
    </row>
    <row r="728" spans="1:4" x14ac:dyDescent="0.2">
      <c r="A728" s="4396" t="s">
        <v>7465</v>
      </c>
      <c r="B728" s="4391" t="s">
        <v>7505</v>
      </c>
      <c r="C728" s="4390" t="s">
        <v>9049</v>
      </c>
      <c r="D728" s="4390"/>
    </row>
    <row r="729" spans="1:4" x14ac:dyDescent="0.2">
      <c r="A729" s="4396" t="s">
        <v>7465</v>
      </c>
      <c r="B729" s="4391" t="s">
        <v>7505</v>
      </c>
      <c r="C729" s="4391" t="s">
        <v>9050</v>
      </c>
      <c r="D729" s="4390"/>
    </row>
    <row r="730" spans="1:4" x14ac:dyDescent="0.2">
      <c r="A730" s="4396" t="s">
        <v>7465</v>
      </c>
      <c r="B730" s="4391" t="s">
        <v>7505</v>
      </c>
      <c r="C730" s="4390" t="s">
        <v>9046</v>
      </c>
      <c r="D730" s="3300"/>
    </row>
    <row r="731" spans="1:4" x14ac:dyDescent="0.2">
      <c r="A731" s="4396" t="s">
        <v>7465</v>
      </c>
      <c r="B731" s="4391" t="s">
        <v>7505</v>
      </c>
      <c r="C731" s="4390" t="s">
        <v>9047</v>
      </c>
      <c r="D731" s="3300"/>
    </row>
    <row r="732" spans="1:4" x14ac:dyDescent="0.2">
      <c r="A732" s="4396" t="s">
        <v>7465</v>
      </c>
      <c r="B732" s="4391" t="s">
        <v>7505</v>
      </c>
      <c r="C732" s="4390" t="s">
        <v>9048</v>
      </c>
      <c r="D732" s="3300"/>
    </row>
    <row r="733" spans="1:4" x14ac:dyDescent="0.2">
      <c r="A733" s="4392" t="s">
        <v>9058</v>
      </c>
      <c r="B733" s="4393">
        <v>43787</v>
      </c>
      <c r="C733" s="4477"/>
      <c r="D733" s="4477"/>
    </row>
    <row ht="25.5" r="734" spans="1:4" x14ac:dyDescent="0.2">
      <c r="A734" s="4396" t="s">
        <v>7465</v>
      </c>
      <c r="B734" s="3298" t="s">
        <v>7534</v>
      </c>
      <c r="C734" s="3299" t="s">
        <v>9076</v>
      </c>
      <c r="D734" s="3299" t="s">
        <v>7645</v>
      </c>
    </row>
    <row r="735" spans="1:4" x14ac:dyDescent="0.2">
      <c r="A735" s="4396" t="s">
        <v>7465</v>
      </c>
      <c r="B735" s="3298" t="s">
        <v>7534</v>
      </c>
      <c r="C735" s="3299" t="s">
        <v>9077</v>
      </c>
      <c r="D735" s="3299" t="s">
        <v>7645</v>
      </c>
    </row>
    <row r="736" spans="1:4" x14ac:dyDescent="0.2">
      <c r="A736" s="4396" t="s">
        <v>7465</v>
      </c>
      <c r="B736" s="3298" t="s">
        <v>7534</v>
      </c>
      <c r="C736" s="3299" t="s">
        <v>9065</v>
      </c>
      <c r="D736" s="3299" t="s">
        <v>7645</v>
      </c>
    </row>
    <row r="737" spans="1:4" x14ac:dyDescent="0.2">
      <c r="A737" s="4396" t="s">
        <v>7465</v>
      </c>
      <c r="B737" s="3298" t="s">
        <v>7534</v>
      </c>
      <c r="C737" s="3299" t="s">
        <v>9068</v>
      </c>
      <c r="D737" s="3299" t="s">
        <v>7645</v>
      </c>
    </row>
    <row r="738" spans="1:4" x14ac:dyDescent="0.2">
      <c r="A738" s="4396" t="s">
        <v>7465</v>
      </c>
      <c r="B738" s="3298" t="s">
        <v>7534</v>
      </c>
      <c r="C738" s="3299" t="s">
        <v>9078</v>
      </c>
      <c r="D738" s="3299" t="s">
        <v>7645</v>
      </c>
    </row>
    <row r="739" spans="1:4" x14ac:dyDescent="0.2">
      <c r="A739" s="4396" t="s">
        <v>7465</v>
      </c>
      <c r="B739" s="3298" t="s">
        <v>7534</v>
      </c>
      <c r="C739" s="3299" t="s">
        <v>9069</v>
      </c>
      <c r="D739" s="3299" t="s">
        <v>7645</v>
      </c>
    </row>
    <row r="740" spans="1:4" x14ac:dyDescent="0.2">
      <c r="A740" s="4396" t="s">
        <v>7465</v>
      </c>
      <c r="B740" s="3298" t="s">
        <v>7534</v>
      </c>
      <c r="C740" s="3299" t="s">
        <v>9070</v>
      </c>
      <c r="D740" s="3299" t="s">
        <v>7645</v>
      </c>
    </row>
    <row r="741" spans="1:4" x14ac:dyDescent="0.2">
      <c r="A741" s="4396" t="s">
        <v>7465</v>
      </c>
      <c r="B741" s="3298" t="s">
        <v>7534</v>
      </c>
      <c r="C741" s="3299" t="s">
        <v>9071</v>
      </c>
      <c r="D741" s="3299" t="s">
        <v>7645</v>
      </c>
    </row>
    <row ht="25.5" r="742" spans="1:4" x14ac:dyDescent="0.2">
      <c r="A742" s="4396" t="s">
        <v>7465</v>
      </c>
      <c r="B742" s="3298" t="s">
        <v>7534</v>
      </c>
      <c r="C742" s="3299" t="s">
        <v>9072</v>
      </c>
      <c r="D742" s="3299" t="s">
        <v>7645</v>
      </c>
    </row>
    <row r="743" spans="1:4" x14ac:dyDescent="0.2">
      <c r="A743" s="4396" t="s">
        <v>7465</v>
      </c>
      <c r="B743" s="3298" t="s">
        <v>7534</v>
      </c>
      <c r="C743" s="3299" t="s">
        <v>9073</v>
      </c>
      <c r="D743" s="3299" t="s">
        <v>7645</v>
      </c>
    </row>
    <row ht="51" r="744" spans="1:4" x14ac:dyDescent="0.2">
      <c r="A744" s="4396" t="s">
        <v>7465</v>
      </c>
      <c r="B744" s="3298" t="s">
        <v>7534</v>
      </c>
      <c r="C744" s="3299" t="s">
        <v>9074</v>
      </c>
      <c r="D744" s="3299" t="s">
        <v>7645</v>
      </c>
    </row>
    <row ht="255" r="745" spans="1:4" x14ac:dyDescent="0.2">
      <c r="A745" s="4396" t="s">
        <v>7465</v>
      </c>
      <c r="B745" s="3298" t="s">
        <v>7534</v>
      </c>
      <c r="C745" s="3299" t="s">
        <v>9075</v>
      </c>
      <c r="D745" s="3299" t="s">
        <v>7645</v>
      </c>
    </row>
    <row r="746" spans="1:4" x14ac:dyDescent="0.2">
      <c r="A746" s="4464" t="s">
        <v>7465</v>
      </c>
      <c r="B746" s="4391" t="s">
        <v>7498</v>
      </c>
      <c r="C746" s="4390" t="s">
        <v>9079</v>
      </c>
      <c r="D746" s="4390"/>
    </row>
    <row r="747" spans="1:4" x14ac:dyDescent="0.2">
      <c r="A747" s="4464" t="s">
        <v>7465</v>
      </c>
      <c r="B747" s="4391" t="s">
        <v>9080</v>
      </c>
      <c r="C747" s="4390" t="s">
        <v>9081</v>
      </c>
      <c r="D747" s="4390"/>
    </row>
    <row r="748" spans="1:4" x14ac:dyDescent="0.2">
      <c r="A748" s="4464" t="s">
        <v>7465</v>
      </c>
      <c r="B748" s="4391" t="s">
        <v>7473</v>
      </c>
      <c r="C748" s="4390" t="s">
        <v>9082</v>
      </c>
      <c r="D748" s="4390" t="s">
        <v>9083</v>
      </c>
    </row>
    <row r="749" spans="1:4" x14ac:dyDescent="0.2">
      <c r="A749" s="4464" t="s">
        <v>7465</v>
      </c>
      <c r="B749" s="4391" t="s">
        <v>8799</v>
      </c>
      <c r="C749" s="4390" t="s">
        <v>9084</v>
      </c>
      <c r="D749" s="4390"/>
    </row>
    <row r="750" spans="1:4" x14ac:dyDescent="0.2">
      <c r="A750" s="4396" t="s">
        <v>7465</v>
      </c>
      <c r="B750" s="3298" t="s">
        <v>7534</v>
      </c>
      <c r="C750" s="3299" t="s">
        <v>9085</v>
      </c>
      <c r="D750" s="3299"/>
    </row>
    <row r="751" spans="1:4" x14ac:dyDescent="0.2">
      <c r="A751" s="4464" t="s">
        <v>7465</v>
      </c>
      <c r="B751" s="4391" t="s">
        <v>9087</v>
      </c>
      <c r="C751" s="4390" t="s">
        <v>7477</v>
      </c>
      <c r="D751" s="4390"/>
    </row>
  </sheetData>
  <mergeCells count="9">
    <mergeCell ref="C733:D733"/>
    <mergeCell ref="C706:D706"/>
    <mergeCell ref="C681:D681"/>
    <mergeCell ref="C657:D657"/>
    <mergeCell ref="C18:D18"/>
    <mergeCell ref="C494:D494"/>
    <mergeCell ref="C619:D619"/>
    <mergeCell ref="C628:D628"/>
    <mergeCell ref="C637:D637"/>
  </mergeCells>
  <phoneticPr fontId="67" type="noConversion"/>
  <pageMargins bottom="0.196850393700787" footer="0" header="0" left="0.196850393700787" right="0.196850393700787" top="0.196850393700787"/>
  <pageSetup orientation="portrait" paperSize="9" r:id="rId1"/>
  <headerFooter alignWithMargins="0"/>
  <drawing r:id="rId2"/>
</worksheet>
</file>

<file path=xl/worksheets/sheet4.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8">
    <tabColor rgb="FFFFFF00"/>
  </sheetPr>
  <dimension ref="A1:J551"/>
  <sheetViews>
    <sheetView showGridLines="0" topLeftCell="A58" workbookViewId="0">
      <selection activeCell="B90" sqref="B90"/>
    </sheetView>
  </sheetViews>
  <sheetFormatPr defaultColWidth="9.140625" defaultRowHeight="12" x14ac:dyDescent="0.2"/>
  <cols>
    <col min="1" max="1" customWidth="true" style="34" width="0.7109375" collapsed="true"/>
    <col min="2" max="2" customWidth="true" style="34" width="10.42578125" collapsed="true"/>
    <col min="3" max="3" customWidth="true" style="34" width="60.0" collapsed="true"/>
    <col min="4" max="4" bestFit="true" customWidth="true" style="34" width="16.42578125" collapsed="true"/>
    <col min="5" max="5" bestFit="true" customWidth="true" style="34" width="20.140625" collapsed="true"/>
    <col min="6" max="6" bestFit="true" customWidth="true" style="34" width="10.7109375" collapsed="true"/>
    <col min="7" max="7" bestFit="true" customWidth="true" style="34" width="25.85546875" collapsed="true"/>
    <col min="8" max="8" bestFit="true" customWidth="true" style="34" width="10.7109375" collapsed="true"/>
    <col min="9" max="9" bestFit="true" customWidth="true" style="34" width="25.85546875" collapsed="true"/>
    <col min="10" max="16384" style="34" width="9.140625" collapsed="true"/>
  </cols>
  <sheetData>
    <row r="1" spans="2:3" x14ac:dyDescent="0.2">
      <c r="B1" s="112" t="s">
        <v>3335</v>
      </c>
      <c r="C1" s="112" t="str">
        <f>'Add pages'!G2</f>
        <v>Version E1.5.0</v>
      </c>
    </row>
    <row r="2" spans="2:3" x14ac:dyDescent="0.2">
      <c r="B2" s="34" t="s">
        <v>3020</v>
      </c>
    </row>
    <row r="3" spans="2:3" x14ac:dyDescent="0.2">
      <c r="B3" s="1945" t="str">
        <f>"a "&amp;tax_year&amp;" Main Tax Return (MTR), and can be used in 3 ways."</f>
        <v>a 2019-20 Main Tax Return (MTR), and can be used in 3 ways.</v>
      </c>
    </row>
    <row customHeight="1" ht="6" r="4" spans="2:3" x14ac:dyDescent="0.2"/>
    <row r="5" spans="2:3" x14ac:dyDescent="0.2">
      <c r="B5" s="34" t="s">
        <v>698</v>
      </c>
    </row>
    <row r="6" spans="2:3" x14ac:dyDescent="0.2">
      <c r="B6" s="636" t="s">
        <v>1874</v>
      </c>
    </row>
    <row r="7" spans="2:3" x14ac:dyDescent="0.2">
      <c r="B7" s="636" t="s">
        <v>2032</v>
      </c>
    </row>
    <row r="8" spans="2:3" x14ac:dyDescent="0.2">
      <c r="B8" s="636" t="s">
        <v>2033</v>
      </c>
    </row>
    <row r="9" spans="2:3" x14ac:dyDescent="0.2">
      <c r="B9" s="636" t="s">
        <v>2034</v>
      </c>
    </row>
    <row r="10" spans="2:3" x14ac:dyDescent="0.2">
      <c r="B10" s="637" t="s">
        <v>2035</v>
      </c>
    </row>
    <row r="11" spans="2:3" x14ac:dyDescent="0.2">
      <c r="B11" s="637" t="s">
        <v>2036</v>
      </c>
    </row>
    <row customHeight="1" ht="5.25" r="12" spans="2:3" x14ac:dyDescent="0.2">
      <c r="B12" s="638"/>
    </row>
    <row r="13" spans="2:3" x14ac:dyDescent="0.2">
      <c r="B13" s="34" t="s">
        <v>2037</v>
      </c>
    </row>
    <row r="14" spans="2:3" x14ac:dyDescent="0.2">
      <c r="B14" s="636" t="s">
        <v>3089</v>
      </c>
    </row>
    <row r="15" spans="2:3" x14ac:dyDescent="0.2">
      <c r="B15" s="636" t="s">
        <v>3090</v>
      </c>
    </row>
    <row r="16" spans="2:3" x14ac:dyDescent="0.2">
      <c r="B16" s="636" t="s">
        <v>3091</v>
      </c>
    </row>
    <row r="17" spans="2:2" x14ac:dyDescent="0.2">
      <c r="B17" s="636" t="s">
        <v>3092</v>
      </c>
    </row>
    <row r="18" spans="2:2" x14ac:dyDescent="0.2">
      <c r="B18" s="636" t="s">
        <v>3093</v>
      </c>
    </row>
    <row customHeight="1" ht="5.25" r="19" spans="2:2" x14ac:dyDescent="0.2"/>
    <row r="20" spans="2:2" x14ac:dyDescent="0.2">
      <c r="B20" s="34" t="s">
        <v>3094</v>
      </c>
    </row>
    <row customHeight="1" ht="12.75" r="21" spans="2:2" x14ac:dyDescent="0.2">
      <c r="B21" s="636" t="s">
        <v>627</v>
      </c>
    </row>
    <row customHeight="1" ht="12.75" r="22" spans="2:2" x14ac:dyDescent="0.2">
      <c r="B22" s="636" t="s">
        <v>3171</v>
      </c>
    </row>
    <row customHeight="1" ht="12.75" r="23" spans="2:2" x14ac:dyDescent="0.2">
      <c r="B23" s="636" t="s">
        <v>1569</v>
      </c>
    </row>
    <row customHeight="1" ht="12.75" r="24" spans="2:2" x14ac:dyDescent="0.2">
      <c r="B24" s="636" t="s">
        <v>2078</v>
      </c>
    </row>
    <row customHeight="1" ht="12.75" r="25" spans="2:2" x14ac:dyDescent="0.2">
      <c r="B25" s="636" t="s">
        <v>1670</v>
      </c>
    </row>
    <row customHeight="1" ht="12.75" r="26" spans="2:2" x14ac:dyDescent="0.2">
      <c r="B26" s="636"/>
    </row>
    <row customHeight="1" ht="12.75" r="27" spans="2:2" x14ac:dyDescent="0.2">
      <c r="B27" s="81" t="s">
        <v>1671</v>
      </c>
    </row>
    <row customHeight="1" ht="12.75" r="28" spans="2:2" x14ac:dyDescent="0.2">
      <c r="B28" s="79" t="s">
        <v>2038</v>
      </c>
    </row>
    <row customHeight="1" ht="12.75" r="29" spans="2:2" x14ac:dyDescent="0.2">
      <c r="B29" s="79" t="s">
        <v>1599</v>
      </c>
    </row>
    <row customHeight="1" ht="12.75" r="30" spans="2:2" x14ac:dyDescent="0.2">
      <c r="B30" s="79" t="s">
        <v>3709</v>
      </c>
    </row>
    <row customHeight="1" ht="12.75" r="31" spans="2:2" x14ac:dyDescent="0.2">
      <c r="B31" s="79" t="s">
        <v>882</v>
      </c>
    </row>
    <row customHeight="1" ht="12.75" r="32" spans="2:2" x14ac:dyDescent="0.2">
      <c r="B32" s="79" t="s">
        <v>883</v>
      </c>
    </row>
    <row customHeight="1" ht="12.75" r="33" spans="1:5" x14ac:dyDescent="0.2">
      <c r="B33" s="79" t="s">
        <v>1352</v>
      </c>
    </row>
    <row customHeight="1" ht="12.75" r="34" spans="1:5" x14ac:dyDescent="0.2">
      <c r="B34" s="638"/>
    </row>
    <row r="35" spans="1:5" x14ac:dyDescent="0.2">
      <c r="B35" s="112" t="s">
        <v>1353</v>
      </c>
    </row>
    <row r="36" spans="1:5" x14ac:dyDescent="0.2">
      <c r="B36" s="34" t="s">
        <v>1354</v>
      </c>
    </row>
    <row r="37" spans="1:5" x14ac:dyDescent="0.2">
      <c r="B37" s="34" t="s">
        <v>2736</v>
      </c>
    </row>
    <row r="38" spans="1:5" x14ac:dyDescent="0.2">
      <c r="B38" s="34" t="s">
        <v>3599</v>
      </c>
    </row>
    <row customHeight="1" ht="6.75" r="39" spans="1:5" x14ac:dyDescent="0.2"/>
    <row r="40" spans="1:5" x14ac:dyDescent="0.2">
      <c r="B40" s="1079" t="s">
        <v>3600</v>
      </c>
      <c r="C40" s="1080" t="s">
        <v>693</v>
      </c>
      <c r="D40" s="1079" t="s">
        <v>694</v>
      </c>
      <c r="E40" s="1079" t="s">
        <v>695</v>
      </c>
    </row>
    <row r="41" spans="1:5" x14ac:dyDescent="0.2">
      <c r="A41" s="121"/>
      <c r="B41" s="1081" t="s">
        <v>3738</v>
      </c>
      <c r="C41" s="2109" t="s">
        <v>696</v>
      </c>
      <c r="D41" s="1081">
        <v>15</v>
      </c>
      <c r="E41" s="1081" t="s">
        <v>1068</v>
      </c>
    </row>
    <row r="42" spans="1:5" x14ac:dyDescent="0.2">
      <c r="A42" s="121"/>
      <c r="B42" s="1081" t="s">
        <v>3737</v>
      </c>
      <c r="C42" s="2109" t="s">
        <v>1768</v>
      </c>
      <c r="D42" s="1081">
        <v>11</v>
      </c>
      <c r="E42" s="1081" t="s">
        <v>1068</v>
      </c>
    </row>
    <row r="43" spans="1:5" x14ac:dyDescent="0.2">
      <c r="A43" s="121"/>
      <c r="B43" s="1081" t="s">
        <v>3736</v>
      </c>
      <c r="C43" s="2109" t="s">
        <v>2371</v>
      </c>
      <c r="D43" s="1081">
        <v>6</v>
      </c>
      <c r="E43" s="1081" t="s">
        <v>1068</v>
      </c>
    </row>
    <row r="44" spans="1:5" x14ac:dyDescent="0.2">
      <c r="A44" s="121"/>
      <c r="B44" s="1081" t="s">
        <v>3735</v>
      </c>
      <c r="C44" s="2109" t="s">
        <v>2797</v>
      </c>
      <c r="D44" s="1081">
        <v>7</v>
      </c>
      <c r="E44" s="1081" t="s">
        <v>1068</v>
      </c>
    </row>
    <row r="45" spans="1:5" x14ac:dyDescent="0.2">
      <c r="A45" s="121"/>
      <c r="B45" s="1081" t="s">
        <v>3734</v>
      </c>
      <c r="C45" s="2109" t="s">
        <v>3972</v>
      </c>
      <c r="D45" s="1081">
        <v>8</v>
      </c>
      <c r="E45" s="1081" t="s">
        <v>1068</v>
      </c>
    </row>
    <row r="46" spans="1:5" x14ac:dyDescent="0.2">
      <c r="A46" s="121"/>
      <c r="B46" s="1081" t="s">
        <v>3899</v>
      </c>
      <c r="C46" s="2109" t="s">
        <v>3973</v>
      </c>
      <c r="D46" s="1081">
        <v>2</v>
      </c>
      <c r="E46" s="1081" t="s">
        <v>1068</v>
      </c>
    </row>
    <row r="47" spans="1:5" x14ac:dyDescent="0.2">
      <c r="A47" s="121"/>
      <c r="B47" s="1081" t="s">
        <v>2845</v>
      </c>
      <c r="C47" s="2109" t="s">
        <v>3555</v>
      </c>
      <c r="D47" s="1081">
        <v>6</v>
      </c>
      <c r="E47" s="1081" t="s">
        <v>1068</v>
      </c>
    </row>
    <row r="48" spans="1:5" x14ac:dyDescent="0.2">
      <c r="A48" s="121"/>
      <c r="B48" s="1081" t="s">
        <v>3023</v>
      </c>
      <c r="C48" s="2109" t="s">
        <v>1489</v>
      </c>
      <c r="D48" s="1081">
        <v>4</v>
      </c>
      <c r="E48" s="1081" t="s">
        <v>1068</v>
      </c>
    </row>
    <row r="49" spans="1:5" x14ac:dyDescent="0.2">
      <c r="A49" s="121"/>
      <c r="B49" s="1081" t="s">
        <v>4225</v>
      </c>
      <c r="C49" s="2109" t="s">
        <v>4226</v>
      </c>
      <c r="D49" s="1081">
        <v>4</v>
      </c>
      <c r="E49" s="1081" t="s">
        <v>1068</v>
      </c>
    </row>
    <row r="50" spans="1:5" x14ac:dyDescent="0.2">
      <c r="A50" s="121"/>
      <c r="B50" s="1081" t="s">
        <v>3994</v>
      </c>
      <c r="C50" s="2109" t="s">
        <v>3558</v>
      </c>
      <c r="D50" s="1081">
        <v>3</v>
      </c>
      <c r="E50" s="1081" t="s">
        <v>1069</v>
      </c>
    </row>
    <row r="51" spans="1:5" x14ac:dyDescent="0.2">
      <c r="A51" s="121"/>
      <c r="B51" s="1081" t="s">
        <v>3995</v>
      </c>
      <c r="C51" s="2109" t="s">
        <v>3559</v>
      </c>
      <c r="D51" s="1081">
        <v>9</v>
      </c>
      <c r="E51" s="1081" t="s">
        <v>1069</v>
      </c>
    </row>
    <row r="52" spans="1:5" x14ac:dyDescent="0.2">
      <c r="A52" s="121"/>
      <c r="B52" s="1081" t="s">
        <v>3996</v>
      </c>
      <c r="C52" s="2109" t="s">
        <v>3476</v>
      </c>
      <c r="D52" s="1081">
        <v>5</v>
      </c>
      <c r="E52" s="1081" t="s">
        <v>1069</v>
      </c>
    </row>
    <row r="53" spans="1:5" x14ac:dyDescent="0.2">
      <c r="A53" s="121"/>
      <c r="B53" s="1081" t="s">
        <v>2090</v>
      </c>
      <c r="C53" s="2109" t="s">
        <v>3693</v>
      </c>
      <c r="D53" s="1081">
        <v>3</v>
      </c>
      <c r="E53" s="1081" t="s">
        <v>1069</v>
      </c>
    </row>
    <row r="54" spans="1:5" x14ac:dyDescent="0.2">
      <c r="A54" s="121"/>
      <c r="B54" s="1081" t="s">
        <v>2091</v>
      </c>
      <c r="C54" s="2109" t="s">
        <v>638</v>
      </c>
      <c r="D54" s="1081">
        <v>3</v>
      </c>
      <c r="E54" s="1081" t="s">
        <v>1069</v>
      </c>
    </row>
    <row r="55" spans="1:5" x14ac:dyDescent="0.2">
      <c r="A55" s="121"/>
      <c r="B55" s="1081" t="s">
        <v>2092</v>
      </c>
      <c r="C55" s="2109" t="s">
        <v>3479</v>
      </c>
      <c r="D55" s="1081">
        <v>4</v>
      </c>
      <c r="E55" s="1081" t="s">
        <v>1069</v>
      </c>
    </row>
    <row r="56" spans="1:5" x14ac:dyDescent="0.2">
      <c r="A56" s="121"/>
      <c r="B56" s="1081" t="s">
        <v>3830</v>
      </c>
      <c r="C56" s="2109" t="s">
        <v>639</v>
      </c>
      <c r="D56" s="1081">
        <v>10</v>
      </c>
      <c r="E56" s="1081" t="s">
        <v>1069</v>
      </c>
    </row>
    <row r="57" spans="1:5" x14ac:dyDescent="0.2">
      <c r="A57" s="121"/>
      <c r="B57" s="1081" t="s">
        <v>614</v>
      </c>
      <c r="C57" s="2109" t="s">
        <v>2389</v>
      </c>
      <c r="D57" s="1081">
        <v>9</v>
      </c>
      <c r="E57" s="1081" t="s">
        <v>1069</v>
      </c>
    </row>
    <row r="58" spans="1:5" x14ac:dyDescent="0.2">
      <c r="A58" s="121"/>
      <c r="B58" s="1081" t="s">
        <v>3832</v>
      </c>
      <c r="C58" s="2109" t="s">
        <v>2390</v>
      </c>
      <c r="D58" s="1081">
        <v>11</v>
      </c>
      <c r="E58" s="1081" t="s">
        <v>1069</v>
      </c>
    </row>
    <row r="59" spans="1:5" x14ac:dyDescent="0.2">
      <c r="A59" s="121"/>
      <c r="B59" s="1081" t="s">
        <v>3768</v>
      </c>
      <c r="C59" s="2109" t="s">
        <v>2074</v>
      </c>
      <c r="D59" s="1081">
        <v>11</v>
      </c>
      <c r="E59" s="1081" t="s">
        <v>2905</v>
      </c>
    </row>
    <row r="60" spans="1:5" x14ac:dyDescent="0.2">
      <c r="A60" s="121"/>
      <c r="B60" s="1081" t="s">
        <v>2075</v>
      </c>
      <c r="C60" s="2109" t="s">
        <v>2391</v>
      </c>
      <c r="D60" s="1081">
        <v>6</v>
      </c>
      <c r="E60" s="1081" t="s">
        <v>2905</v>
      </c>
    </row>
    <row r="61" spans="1:5" x14ac:dyDescent="0.2">
      <c r="A61" s="121"/>
      <c r="B61" s="1081" t="s">
        <v>2076</v>
      </c>
      <c r="C61" s="2109" t="s">
        <v>3186</v>
      </c>
      <c r="D61" s="1081">
        <v>8</v>
      </c>
      <c r="E61" s="1081" t="s">
        <v>2906</v>
      </c>
    </row>
    <row r="62" spans="1:5" x14ac:dyDescent="0.2">
      <c r="A62" s="121"/>
      <c r="B62" s="1081" t="s">
        <v>3663</v>
      </c>
      <c r="C62" s="2109" t="s">
        <v>2762</v>
      </c>
      <c r="D62" s="1081">
        <v>9</v>
      </c>
      <c r="E62" s="1081" t="s">
        <v>2906</v>
      </c>
    </row>
    <row r="63" spans="1:5" x14ac:dyDescent="0.2">
      <c r="A63" s="121"/>
      <c r="B63" s="1081" t="s">
        <v>3665</v>
      </c>
      <c r="C63" s="2109" t="s">
        <v>1133</v>
      </c>
      <c r="D63" s="1081">
        <v>7</v>
      </c>
      <c r="E63" s="1081" t="s">
        <v>2906</v>
      </c>
    </row>
    <row r="64" spans="1:5" x14ac:dyDescent="0.2">
      <c r="A64" s="121"/>
      <c r="B64" s="1081" t="s">
        <v>2261</v>
      </c>
      <c r="C64" s="2109" t="s">
        <v>1134</v>
      </c>
      <c r="D64" s="1081">
        <v>6</v>
      </c>
      <c r="E64" s="1081" t="s">
        <v>1856</v>
      </c>
    </row>
    <row r="65" spans="1:5" x14ac:dyDescent="0.2">
      <c r="A65" s="121"/>
      <c r="B65" s="1081" t="s">
        <v>3316</v>
      </c>
      <c r="C65" s="2109" t="s">
        <v>2453</v>
      </c>
      <c r="D65" s="1081">
        <v>8</v>
      </c>
      <c r="E65" s="1081" t="s">
        <v>1856</v>
      </c>
    </row>
    <row r="66" spans="1:5" x14ac:dyDescent="0.2">
      <c r="A66" s="121"/>
      <c r="B66" s="1081" t="s">
        <v>3318</v>
      </c>
      <c r="C66" s="2109" t="s">
        <v>2454</v>
      </c>
      <c r="D66" s="1081">
        <v>10</v>
      </c>
      <c r="E66" s="1081" t="s">
        <v>2082</v>
      </c>
    </row>
    <row r="67" spans="1:5" x14ac:dyDescent="0.2">
      <c r="A67" s="121"/>
      <c r="B67" s="1081" t="s">
        <v>3319</v>
      </c>
      <c r="C67" s="2109" t="str">
        <f>"Foreign income (excluding Foreign Tax Credit Relief  - box "&amp;'C6'!C3&amp;")"</f>
        <v>Foreign income (excluding Foreign Tax Credit Relief  - box FOR2)</v>
      </c>
      <c r="D67" s="1081">
        <v>8</v>
      </c>
      <c r="E67" s="1081" t="s">
        <v>2907</v>
      </c>
    </row>
    <row r="68" spans="1:5" x14ac:dyDescent="0.2">
      <c r="A68" s="121"/>
      <c r="B68" s="1081" t="s">
        <v>3320</v>
      </c>
      <c r="C68" s="2109" t="s">
        <v>1315</v>
      </c>
      <c r="D68" s="1081">
        <v>4</v>
      </c>
      <c r="E68" s="1081" t="s">
        <v>2908</v>
      </c>
    </row>
    <row r="69" spans="1:5" x14ac:dyDescent="0.2">
      <c r="A69" s="121"/>
      <c r="B69" s="1081" t="s">
        <v>2768</v>
      </c>
      <c r="C69" s="2109" t="s">
        <v>2455</v>
      </c>
      <c r="D69" s="1081">
        <v>9</v>
      </c>
      <c r="E69" s="1081" t="s">
        <v>2456</v>
      </c>
    </row>
    <row r="70" spans="1:5" x14ac:dyDescent="0.2">
      <c r="A70" s="121"/>
      <c r="B70" s="1081" t="s">
        <v>3321</v>
      </c>
      <c r="C70" s="2109" t="s">
        <v>2781</v>
      </c>
      <c r="D70" s="1081">
        <v>10</v>
      </c>
      <c r="E70" s="1081" t="s">
        <v>2457</v>
      </c>
    </row>
    <row r="71" spans="1:5" x14ac:dyDescent="0.2">
      <c r="A71" s="121"/>
      <c r="B71" s="1081" t="s">
        <v>568</v>
      </c>
      <c r="C71" s="2109" t="s">
        <v>3878</v>
      </c>
      <c r="D71" s="1081">
        <v>18</v>
      </c>
      <c r="E71" s="1081" t="s">
        <v>3877</v>
      </c>
    </row>
    <row r="72" spans="1:5" x14ac:dyDescent="0.2">
      <c r="A72" s="121"/>
      <c r="B72" s="1081" t="s">
        <v>4564</v>
      </c>
      <c r="C72" s="2109" t="s">
        <v>4566</v>
      </c>
      <c r="D72" s="1081">
        <v>2</v>
      </c>
      <c r="E72" s="1081" t="s">
        <v>3877</v>
      </c>
    </row>
    <row customHeight="1" ht="12" r="73" spans="1:5" x14ac:dyDescent="0.2">
      <c r="A73" s="121"/>
      <c r="B73" s="1081" t="s">
        <v>4565</v>
      </c>
      <c r="C73" s="2109" t="s">
        <v>4567</v>
      </c>
      <c r="D73" s="1081">
        <v>2</v>
      </c>
      <c r="E73" s="1081" t="s">
        <v>3877</v>
      </c>
    </row>
    <row customHeight="1" ht="12" r="74" spans="1:5" x14ac:dyDescent="0.2"/>
    <row r="75" spans="1:5" x14ac:dyDescent="0.2">
      <c r="B75" s="34" t="s">
        <v>2387</v>
      </c>
    </row>
    <row r="76" spans="1:5" x14ac:dyDescent="0.2">
      <c r="B76" s="34" t="s">
        <v>926</v>
      </c>
    </row>
    <row r="77" spans="1:5" x14ac:dyDescent="0.2">
      <c r="B77" s="34" t="s">
        <v>1877</v>
      </c>
    </row>
    <row r="78" spans="1:5" x14ac:dyDescent="0.2">
      <c r="B78" s="34" t="s">
        <v>1769</v>
      </c>
    </row>
    <row r="79" spans="1:5" x14ac:dyDescent="0.2">
      <c r="B79" s="34" t="s">
        <v>3372</v>
      </c>
    </row>
    <row r="80" spans="1:5" x14ac:dyDescent="0.2">
      <c r="B80" s="34" t="s">
        <v>4008</v>
      </c>
    </row>
    <row r="81" spans="2:2" x14ac:dyDescent="0.2">
      <c r="B81" s="34" t="s">
        <v>1127</v>
      </c>
    </row>
    <row r="82" spans="2:2" x14ac:dyDescent="0.2">
      <c r="B82" s="34" t="s">
        <v>2758</v>
      </c>
    </row>
    <row r="83" spans="2:2" x14ac:dyDescent="0.2">
      <c r="B83" s="34" t="s">
        <v>2759</v>
      </c>
    </row>
    <row r="84" spans="2:2" x14ac:dyDescent="0.2">
      <c r="B84" s="34" t="s">
        <v>2760</v>
      </c>
    </row>
    <row r="86" spans="2:2" x14ac:dyDescent="0.2">
      <c r="B86" s="112" t="s">
        <v>2787</v>
      </c>
    </row>
    <row r="87" spans="2:2" x14ac:dyDescent="0.2">
      <c r="B87" s="34" t="str">
        <f>'Add pages'!G2&amp;" of the "&amp;tax_year&amp;" test case generator has a built in database of "&amp;Last_row-1&amp;" test cases."</f>
        <v>Version E1.5.0 of the 2019-20 test case generator has a built in database of 262 test cases.</v>
      </c>
    </row>
    <row r="88" spans="2:2" x14ac:dyDescent="0.2">
      <c r="B88" s="34" t="s">
        <v>2765</v>
      </c>
    </row>
    <row r="89" spans="2:2" x14ac:dyDescent="0.2">
      <c r="B89" s="34" t="s">
        <v>3512</v>
      </c>
    </row>
    <row r="90" spans="2:2" x14ac:dyDescent="0.2">
      <c r="B90" s="638" t="s">
        <v>2362</v>
      </c>
    </row>
    <row r="91" spans="2:2" x14ac:dyDescent="0.2">
      <c r="B91" s="34" t="s">
        <v>1341</v>
      </c>
    </row>
    <row customHeight="1" ht="12.75" r="92" spans="2:2" x14ac:dyDescent="0.2">
      <c r="B92" s="34" t="s">
        <v>2078</v>
      </c>
    </row>
    <row customHeight="1" ht="12.75" r="93" spans="2:2" x14ac:dyDescent="0.2">
      <c r="B93" s="34" t="s">
        <v>1670</v>
      </c>
    </row>
    <row r="94" spans="2:2" x14ac:dyDescent="0.2">
      <c r="B94" s="34" t="s">
        <v>2157</v>
      </c>
    </row>
    <row r="96" spans="2:2" x14ac:dyDescent="0.2">
      <c r="B96" s="112" t="s">
        <v>3376</v>
      </c>
    </row>
    <row r="97" spans="2:3" x14ac:dyDescent="0.2">
      <c r="B97" s="34" t="s">
        <v>2631</v>
      </c>
    </row>
    <row r="98" spans="2:3" x14ac:dyDescent="0.2">
      <c r="B98" s="34" t="s">
        <v>2388</v>
      </c>
    </row>
    <row r="99" spans="2:3" x14ac:dyDescent="0.2">
      <c r="B99" s="34" t="s">
        <v>3829</v>
      </c>
    </row>
    <row r="100" spans="2:3" x14ac:dyDescent="0.2">
      <c r="C100" s="34" t="s">
        <v>3066</v>
      </c>
    </row>
    <row r="101" spans="2:3" x14ac:dyDescent="0.2">
      <c r="C101" s="34" t="s">
        <v>3067</v>
      </c>
    </row>
    <row r="102" spans="2:3" x14ac:dyDescent="0.2">
      <c r="C102" s="34" t="s">
        <v>2113</v>
      </c>
    </row>
    <row r="103" spans="2:3" x14ac:dyDescent="0.2">
      <c r="C103" s="34" t="s">
        <v>2313</v>
      </c>
    </row>
    <row customHeight="1" ht="6" r="104" spans="2:3" x14ac:dyDescent="0.2"/>
    <row r="105" spans="2:3" x14ac:dyDescent="0.2">
      <c r="B105" s="34" t="s">
        <v>2314</v>
      </c>
    </row>
    <row r="106" spans="2:3" x14ac:dyDescent="0.2">
      <c r="B106" s="34" t="s">
        <v>2161</v>
      </c>
    </row>
    <row r="107" spans="2:3" x14ac:dyDescent="0.2">
      <c r="B107" s="34" t="s">
        <v>2162</v>
      </c>
    </row>
    <row r="108" spans="2:3" x14ac:dyDescent="0.2">
      <c r="B108" s="80" t="s">
        <v>3641</v>
      </c>
    </row>
    <row r="109" spans="2:3" x14ac:dyDescent="0.2">
      <c r="B109" s="80" t="s">
        <v>3642</v>
      </c>
    </row>
    <row r="111" spans="2:3" x14ac:dyDescent="0.2">
      <c r="B111" s="112" t="s">
        <v>3643</v>
      </c>
    </row>
    <row r="112" spans="2:3" x14ac:dyDescent="0.2">
      <c r="B112" s="34" t="s">
        <v>2319</v>
      </c>
    </row>
    <row r="113" spans="2:2" x14ac:dyDescent="0.2">
      <c r="B113" s="34" t="s">
        <v>2320</v>
      </c>
    </row>
    <row r="114" spans="2:2" x14ac:dyDescent="0.2">
      <c r="B114" s="34" t="s">
        <v>1358</v>
      </c>
    </row>
    <row r="115" spans="2:2" x14ac:dyDescent="0.2">
      <c r="B115" s="34" t="s">
        <v>1359</v>
      </c>
    </row>
    <row r="116" spans="2:2" x14ac:dyDescent="0.2">
      <c r="B116" s="80" t="s">
        <v>3698</v>
      </c>
    </row>
    <row r="117" spans="2:2" x14ac:dyDescent="0.2">
      <c r="B117" s="80" t="s">
        <v>3017</v>
      </c>
    </row>
    <row r="118" spans="2:2" x14ac:dyDescent="0.2">
      <c r="B118" s="80" t="s">
        <v>1088</v>
      </c>
    </row>
    <row r="119" spans="2:2" x14ac:dyDescent="0.2">
      <c r="B119" s="639" t="s">
        <v>1866</v>
      </c>
    </row>
    <row r="121" spans="2:2" x14ac:dyDescent="0.2">
      <c r="B121" s="112" t="s">
        <v>3149</v>
      </c>
    </row>
    <row customHeight="1" ht="12" r="122" spans="2:2" x14ac:dyDescent="0.2">
      <c r="B122" s="34" t="s">
        <v>1652</v>
      </c>
    </row>
    <row customHeight="1" ht="12" r="123" spans="2:2" x14ac:dyDescent="0.2"/>
    <row r="124" spans="2:2" x14ac:dyDescent="0.2">
      <c r="B124" s="34" t="s">
        <v>817</v>
      </c>
    </row>
    <row r="126" spans="2:2" x14ac:dyDescent="0.2">
      <c r="B126" s="34" t="s">
        <v>1758</v>
      </c>
    </row>
    <row r="128" spans="2:2" x14ac:dyDescent="0.2">
      <c r="B128" s="34" t="s">
        <v>1012</v>
      </c>
    </row>
    <row r="130" spans="2:2" x14ac:dyDescent="0.2">
      <c r="B130" s="34" t="s">
        <v>575</v>
      </c>
    </row>
    <row r="132" spans="2:2" x14ac:dyDescent="0.2">
      <c r="B132" s="34" t="s">
        <v>1438</v>
      </c>
    </row>
    <row r="133" spans="2:2" x14ac:dyDescent="0.2">
      <c r="B133" s="34" t="s">
        <v>960</v>
      </c>
    </row>
    <row r="135" spans="2:2" x14ac:dyDescent="0.2">
      <c r="B135" s="112" t="s">
        <v>961</v>
      </c>
    </row>
    <row r="136" spans="2:2" x14ac:dyDescent="0.2">
      <c r="B136" s="34" t="s">
        <v>2115</v>
      </c>
    </row>
    <row r="137" spans="2:2" x14ac:dyDescent="0.2">
      <c r="B137" s="636" t="s">
        <v>4961</v>
      </c>
    </row>
    <row r="138" spans="2:2" x14ac:dyDescent="0.2">
      <c r="B138" s="636" t="s">
        <v>3971</v>
      </c>
    </row>
    <row r="139" spans="2:2" x14ac:dyDescent="0.2">
      <c r="B139" s="34" t="s">
        <v>4960</v>
      </c>
    </row>
    <row r="140" spans="2:2" x14ac:dyDescent="0.2">
      <c r="B140" s="636" t="s">
        <v>3482</v>
      </c>
    </row>
    <row r="141" spans="2:2" x14ac:dyDescent="0.2">
      <c r="B141" s="79" t="s">
        <v>3483</v>
      </c>
    </row>
    <row r="143" spans="2:2" x14ac:dyDescent="0.2">
      <c r="B143" s="112" t="s">
        <v>763</v>
      </c>
    </row>
    <row r="144" spans="2:2" x14ac:dyDescent="0.2">
      <c r="B144" s="34" t="s">
        <v>4962</v>
      </c>
    </row>
    <row r="145" spans="2:2" x14ac:dyDescent="0.2">
      <c r="B145" s="34" t="s">
        <v>1473</v>
      </c>
    </row>
    <row ht="18" r="147" spans="2:2" x14ac:dyDescent="0.2">
      <c r="B147" s="1055" t="s">
        <v>4465</v>
      </c>
    </row>
    <row ht="12.75" r="148" spans="2:2" x14ac:dyDescent="0.2">
      <c r="B148"/>
    </row>
    <row ht="15" r="149" spans="2:2" x14ac:dyDescent="0.2">
      <c r="B149" s="1053" t="s">
        <v>6056</v>
      </c>
    </row>
    <row ht="15" r="150" spans="2:2" x14ac:dyDescent="0.2">
      <c r="B150" s="1053" t="s">
        <v>6057</v>
      </c>
    </row>
    <row ht="15" r="151" spans="2:2" x14ac:dyDescent="0.2">
      <c r="B151" s="1053" t="s">
        <v>6058</v>
      </c>
    </row>
    <row ht="15" r="152" spans="2:2" x14ac:dyDescent="0.2">
      <c r="B152" s="1053"/>
    </row>
    <row ht="15" r="153" spans="2:2" x14ac:dyDescent="0.2">
      <c r="B153" s="1053"/>
    </row>
    <row ht="15" r="154" spans="2:2" x14ac:dyDescent="0.2">
      <c r="B154" s="1053"/>
    </row>
    <row ht="15" r="180" spans="2:2" x14ac:dyDescent="0.2">
      <c r="B180" s="1053" t="s">
        <v>6059</v>
      </c>
    </row>
    <row ht="15" r="188" spans="2:2" x14ac:dyDescent="0.2">
      <c r="B188" s="1053"/>
    </row>
    <row ht="15" r="213" spans="2:2" x14ac:dyDescent="0.2">
      <c r="B213" s="1053" t="s">
        <v>6060</v>
      </c>
    </row>
    <row ht="15.75" r="244" spans="2:2" x14ac:dyDescent="0.25">
      <c r="B244" s="1031" t="s">
        <v>4560</v>
      </c>
    </row>
    <row r="245" spans="2:2" x14ac:dyDescent="0.2">
      <c r="B245" s="34" t="s">
        <v>6404</v>
      </c>
    </row>
    <row r="247" spans="2:2" x14ac:dyDescent="0.2">
      <c r="B247" s="34" t="s">
        <v>6405</v>
      </c>
    </row>
    <row r="249" spans="2:2" x14ac:dyDescent="0.2">
      <c r="B249" s="112" t="s">
        <v>4264</v>
      </c>
    </row>
    <row r="250" spans="2:2" x14ac:dyDescent="0.2">
      <c r="B250" s="34" t="s">
        <v>6406</v>
      </c>
    </row>
    <row r="251" spans="2:2" x14ac:dyDescent="0.2">
      <c r="B251" s="34" t="s">
        <v>6407</v>
      </c>
    </row>
    <row r="252" spans="2:2" x14ac:dyDescent="0.2">
      <c r="B252" s="34" t="s">
        <v>6408</v>
      </c>
    </row>
    <row r="253" spans="2:2" x14ac:dyDescent="0.2">
      <c r="B253" s="34" t="s">
        <v>6409</v>
      </c>
    </row>
    <row r="254" spans="2:2" x14ac:dyDescent="0.2">
      <c r="B254" s="112"/>
    </row>
    <row r="255" spans="2:2" x14ac:dyDescent="0.2">
      <c r="B255" s="112" t="s">
        <v>4031</v>
      </c>
    </row>
    <row r="256" spans="2:2" x14ac:dyDescent="0.2">
      <c r="B256" s="34" t="s">
        <v>6410</v>
      </c>
    </row>
    <row r="257" spans="2:2" x14ac:dyDescent="0.2">
      <c r="B257" s="34" t="s">
        <v>6411</v>
      </c>
    </row>
    <row r="258" spans="2:2" x14ac:dyDescent="0.2">
      <c r="B258" s="34" t="s">
        <v>6412</v>
      </c>
    </row>
    <row r="259" spans="2:2" x14ac:dyDescent="0.2">
      <c r="B259" s="34" t="s">
        <v>6413</v>
      </c>
    </row>
    <row r="260" spans="2:2" x14ac:dyDescent="0.2">
      <c r="B260" s="34" t="s">
        <v>6414</v>
      </c>
    </row>
    <row r="261" spans="2:2" x14ac:dyDescent="0.2">
      <c r="B261" s="34" t="s">
        <v>6415</v>
      </c>
    </row>
    <row r="262" spans="2:2" x14ac:dyDescent="0.2">
      <c r="B262" s="34" t="s">
        <v>6416</v>
      </c>
    </row>
    <row r="263" spans="2:2" x14ac:dyDescent="0.2">
      <c r="B263" s="34" t="s">
        <v>6417</v>
      </c>
    </row>
    <row r="264" spans="2:2" x14ac:dyDescent="0.2">
      <c r="B264" s="34" t="s">
        <v>6418</v>
      </c>
    </row>
    <row r="265" spans="2:2" x14ac:dyDescent="0.2">
      <c r="B265" s="34" t="s">
        <v>6419</v>
      </c>
    </row>
    <row r="267" spans="2:2" x14ac:dyDescent="0.2">
      <c r="B267" s="112" t="s">
        <v>6420</v>
      </c>
    </row>
    <row r="269" spans="2:2" x14ac:dyDescent="0.2">
      <c r="B269" s="34" t="s">
        <v>6421</v>
      </c>
    </row>
    <row r="271" spans="2:2" x14ac:dyDescent="0.2">
      <c r="B271" s="34" t="str">
        <f>NI!C19&amp;" Earnings from PT to UEL - These are earnings that appear in the column 1c from PT to UEL on the P60 (this was Column 1c + 1d up to 2015-16)."</f>
        <v>EMPCL1 Earnings from PT to UEL - These are earnings that appear in the column 1c from PT to UEL on the P60 (this was Column 1c + 1d up to 2015-16).</v>
      </c>
    </row>
    <row r="272" spans="2:2" x14ac:dyDescent="0.2">
      <c r="B272" s="34" t="str">
        <f>NI!C26&amp;" Earnings from PT to UEL - These are earnings that appear in the column 1c from PT to UEL on the P60 (this was Column 1c + 1d up to 2015-16)."</f>
        <v>MORCL1 Earnings from PT to UEL - These are earnings that appear in the column 1c from PT to UEL on the P60 (this was Column 1c + 1d up to 2015-16).</v>
      </c>
    </row>
    <row r="274" spans="2:2" x14ac:dyDescent="0.2">
      <c r="B274" s="34" t="s">
        <v>7363</v>
      </c>
    </row>
    <row r="277" spans="2:2" x14ac:dyDescent="0.2">
      <c r="B277" s="112" t="s">
        <v>6422</v>
      </c>
    </row>
    <row r="278" spans="2:2" x14ac:dyDescent="0.2">
      <c r="B278" s="34" t="str">
        <f><![CDATA["Enter the amounts in the "&NI!C19&"/"&NI!C22&" and/or "&NI!C26&"/"&NI!C29&" boxes."]]></f>
        <v>Enter the amounts in the EMPCL1/ and/or MORCL1/ boxes.</v>
      </c>
    </row>
    <row ht="15" r="308" spans="2:2" x14ac:dyDescent="0.2">
      <c r="B308" s="1053" t="s">
        <v>6061</v>
      </c>
    </row>
    <row ht="15" r="340" spans="2:2" x14ac:dyDescent="0.2">
      <c r="B340" s="1053" t="s">
        <v>6062</v>
      </c>
    </row>
    <row ht="15" r="380" spans="2:2" x14ac:dyDescent="0.2">
      <c r="B380" s="1054" t="s">
        <v>4469</v>
      </c>
    </row>
    <row ht="15" r="381" spans="2:2" x14ac:dyDescent="0.2">
      <c r="B381" s="1054" t="s">
        <v>4470</v>
      </c>
    </row>
    <row ht="15.75" r="383" spans="2:2" x14ac:dyDescent="0.25">
      <c r="B383" s="1056" t="s">
        <v>4466</v>
      </c>
    </row>
    <row ht="15.75" r="384" spans="2:2" x14ac:dyDescent="0.25">
      <c r="B384" s="1031" t="s">
        <v>4226</v>
      </c>
    </row>
    <row ht="15" r="385" spans="2:2" x14ac:dyDescent="0.2">
      <c r="B385" s="1053" t="s">
        <v>4467</v>
      </c>
    </row>
    <row ht="15" r="386" spans="2:2" x14ac:dyDescent="0.2">
      <c r="B386" s="1053" t="s">
        <v>4468</v>
      </c>
    </row>
    <row ht="15" r="387" spans="2:2" x14ac:dyDescent="0.2">
      <c r="B387" s="1053" t="s">
        <v>9090</v>
      </c>
    </row>
    <row ht="15.75" r="411" spans="2:2" x14ac:dyDescent="0.25">
      <c r="B411" s="1031" t="s">
        <v>4968</v>
      </c>
    </row>
    <row ht="15" r="412" spans="2:2" x14ac:dyDescent="0.2">
      <c r="B412" s="1147" t="s">
        <v>4969</v>
      </c>
    </row>
    <row ht="15" r="413" spans="2:2" x14ac:dyDescent="0.2">
      <c r="B413" s="1147" t="s">
        <v>4970</v>
      </c>
    </row>
    <row ht="15" r="414" spans="2:2" x14ac:dyDescent="0.2">
      <c r="B414" s="1147"/>
    </row>
    <row ht="15" r="415" spans="2:2" x14ac:dyDescent="0.2">
      <c r="B415" s="1147"/>
    </row>
    <row ht="15" r="416" spans="2:2" x14ac:dyDescent="0.2">
      <c r="B416" s="1053"/>
    </row>
    <row ht="15" r="417" spans="2:2" x14ac:dyDescent="0.2">
      <c r="B417" s="1053"/>
    </row>
    <row ht="15" r="418" spans="2:2" x14ac:dyDescent="0.2">
      <c r="B418" s="1053"/>
    </row>
    <row ht="15" r="419" spans="2:2" x14ac:dyDescent="0.2">
      <c r="B419" s="1053"/>
    </row>
    <row ht="15" r="420" spans="2:2" x14ac:dyDescent="0.2">
      <c r="B420" s="1053"/>
    </row>
    <row ht="15" r="421" spans="2:2" x14ac:dyDescent="0.2">
      <c r="B421" s="1053"/>
    </row>
    <row ht="15" r="422" spans="2:2" x14ac:dyDescent="0.2">
      <c r="B422" s="1053"/>
    </row>
    <row ht="15" r="423" spans="2:2" x14ac:dyDescent="0.2">
      <c r="B423" s="1053"/>
    </row>
    <row ht="15" r="424" spans="2:2" x14ac:dyDescent="0.2">
      <c r="B424" s="1053"/>
    </row>
    <row ht="15" r="425" spans="2:2" x14ac:dyDescent="0.2">
      <c r="B425" s="1053"/>
    </row>
    <row ht="15" r="426" spans="2:2" x14ac:dyDescent="0.2">
      <c r="B426" s="1053"/>
    </row>
    <row ht="15" r="427" spans="2:2" x14ac:dyDescent="0.2">
      <c r="B427" s="1053"/>
    </row>
    <row ht="15" r="428" spans="2:2" x14ac:dyDescent="0.2">
      <c r="B428" s="1053"/>
    </row>
    <row ht="15" r="429" spans="2:2" x14ac:dyDescent="0.2">
      <c r="B429" s="1053"/>
    </row>
    <row ht="15" r="430" spans="2:2" x14ac:dyDescent="0.2">
      <c r="B430" s="1053"/>
    </row>
    <row ht="15" r="431" spans="2:2" x14ac:dyDescent="0.2">
      <c r="B431" s="1053"/>
    </row>
    <row ht="15" r="432" spans="2:2" x14ac:dyDescent="0.2">
      <c r="B432" s="1053"/>
    </row>
    <row ht="15.75" r="433" spans="2:7" x14ac:dyDescent="0.25">
      <c r="B433" s="1031" t="s">
        <v>4471</v>
      </c>
    </row>
    <row customHeight="1" ht="35.25" r="434" spans="2:7" x14ac:dyDescent="0.2">
      <c r="B434" s="4488" t="s">
        <v>4472</v>
      </c>
      <c r="C434" s="4488"/>
      <c r="D434" s="4488"/>
      <c r="E434" s="4488"/>
      <c r="F434" s="4488"/>
      <c r="G434" s="4488"/>
    </row>
    <row customHeight="1" ht="23.25" r="435" spans="2:7" x14ac:dyDescent="0.2">
      <c r="B435" s="4488" t="s">
        <v>4473</v>
      </c>
      <c r="C435" s="4488"/>
      <c r="D435" s="4488"/>
      <c r="E435" s="4488"/>
      <c r="F435" s="4488"/>
      <c r="G435" s="4488"/>
    </row>
    <row customHeight="1" ht="37.5" r="436" spans="2:7" x14ac:dyDescent="0.2">
      <c r="B436" s="4488" t="s">
        <v>4474</v>
      </c>
      <c r="C436" s="4488"/>
      <c r="D436" s="4488"/>
      <c r="E436" s="4488"/>
      <c r="F436" s="4488"/>
      <c r="G436" s="4488"/>
    </row>
    <row customHeight="1" ht="24.75" r="437" spans="2:7" x14ac:dyDescent="0.2">
      <c r="B437" s="4488" t="s">
        <v>4475</v>
      </c>
      <c r="C437" s="4488"/>
      <c r="D437" s="4488"/>
      <c r="E437" s="4488"/>
      <c r="F437" s="4488"/>
      <c r="G437" s="4488"/>
    </row>
    <row customHeight="1" ht="12" r="438" spans="2:7" x14ac:dyDescent="0.2">
      <c r="B438" s="4488" t="s">
        <v>4476</v>
      </c>
      <c r="C438" s="4488"/>
      <c r="D438" s="4488"/>
      <c r="E438" s="4488"/>
      <c r="F438" s="4488"/>
      <c r="G438" s="4488"/>
    </row>
    <row ht="15.75" r="440" spans="2:7" x14ac:dyDescent="0.25">
      <c r="B440" s="1031" t="s">
        <v>5907</v>
      </c>
    </row>
    <row customHeight="1" ht="28.5" r="441" spans="2:7" x14ac:dyDescent="0.2">
      <c r="B441" s="4489" t="s">
        <v>5908</v>
      </c>
      <c r="C441" s="4490"/>
      <c r="D441" s="4490"/>
      <c r="E441" s="4490"/>
      <c r="F441" s="4490"/>
      <c r="G441" s="4490"/>
    </row>
    <row r="442" spans="2:7" x14ac:dyDescent="0.2">
      <c r="B442" s="34" t="s">
        <v>5914</v>
      </c>
    </row>
    <row r="443" spans="2:7" x14ac:dyDescent="0.2">
      <c r="B443" s="638" t="s">
        <v>5909</v>
      </c>
    </row>
    <row customHeight="1" ht="27.75" r="444" spans="2:7" x14ac:dyDescent="0.2">
      <c r="B444" s="4491" t="s">
        <v>5910</v>
      </c>
      <c r="C444" s="4490"/>
      <c r="D444" s="4490"/>
      <c r="E444" s="4490"/>
      <c r="F444" s="4490"/>
      <c r="G444" s="4490"/>
    </row>
    <row customHeight="1" ht="36" r="445" spans="2:7" x14ac:dyDescent="0.2">
      <c r="B445" s="4489" t="s">
        <v>5911</v>
      </c>
      <c r="C445" s="4490"/>
      <c r="D445" s="4490"/>
      <c r="E445" s="4490"/>
      <c r="F445" s="4490"/>
      <c r="G445" s="4490"/>
    </row>
    <row r="446" spans="2:7" x14ac:dyDescent="0.2">
      <c r="B446" s="34" t="s">
        <v>5912</v>
      </c>
    </row>
    <row ht="12.75" r="447" spans="2:7" x14ac:dyDescent="0.2">
      <c r="B447" s="1498" t="s">
        <v>5913</v>
      </c>
    </row>
    <row ht="15.75" r="449" spans="2:2" x14ac:dyDescent="0.25">
      <c r="B449" s="1031" t="s">
        <v>5917</v>
      </c>
    </row>
    <row r="451" spans="2:2" x14ac:dyDescent="0.2">
      <c r="B451" s="34" t="s">
        <v>5918</v>
      </c>
    </row>
    <row r="453" spans="2:2" x14ac:dyDescent="0.2">
      <c r="B453" s="34" t="s">
        <v>5919</v>
      </c>
    </row>
    <row r="455" spans="2:2" x14ac:dyDescent="0.2">
      <c r="B455" s="34" t="s">
        <v>5915</v>
      </c>
    </row>
    <row r="456" spans="2:2" x14ac:dyDescent="0.2">
      <c r="B456" s="34" t="s">
        <v>5916</v>
      </c>
    </row>
    <row r="458" spans="2:2" x14ac:dyDescent="0.2">
      <c r="B458" s="638" t="s">
        <v>5923</v>
      </c>
    </row>
    <row r="459" spans="2:2" x14ac:dyDescent="0.2">
      <c r="B459" s="638" t="s">
        <v>5924</v>
      </c>
    </row>
    <row r="460" spans="2:2" x14ac:dyDescent="0.2">
      <c r="B460" s="638" t="s">
        <v>5925</v>
      </c>
    </row>
    <row r="461" spans="2:2" x14ac:dyDescent="0.2">
      <c r="B461" s="638" t="s">
        <v>5926</v>
      </c>
    </row>
    <row r="462" spans="2:2" x14ac:dyDescent="0.2">
      <c r="B462" s="638" t="s">
        <v>5920</v>
      </c>
    </row>
    <row r="463" spans="2:2" x14ac:dyDescent="0.2">
      <c r="B463" s="638" t="s">
        <v>5921</v>
      </c>
    </row>
    <row r="464" spans="2:2" x14ac:dyDescent="0.2">
      <c r="B464" s="638" t="s">
        <v>5922</v>
      </c>
    </row>
    <row ht="15.75" r="466" spans="2:2" x14ac:dyDescent="0.25">
      <c r="B466" s="1031" t="s">
        <v>690</v>
      </c>
    </row>
    <row r="468" spans="2:2" x14ac:dyDescent="0.2">
      <c r="B468" s="34" t="s">
        <v>5927</v>
      </c>
    </row>
    <row r="469" spans="2:2" x14ac:dyDescent="0.2">
      <c r="B469" s="34" t="s">
        <v>5928</v>
      </c>
    </row>
    <row r="471" spans="2:2" x14ac:dyDescent="0.2">
      <c r="B471" s="34" t="s">
        <v>5929</v>
      </c>
    </row>
    <row r="472" spans="2:2" x14ac:dyDescent="0.2">
      <c r="B472" s="34" t="s">
        <v>5930</v>
      </c>
    </row>
    <row r="473" spans="2:2" x14ac:dyDescent="0.2">
      <c r="B473" s="34" t="s">
        <v>5931</v>
      </c>
    </row>
    <row r="475" spans="2:2" x14ac:dyDescent="0.2">
      <c r="B475" s="638" t="s">
        <v>5932</v>
      </c>
    </row>
    <row r="476" spans="2:2" x14ac:dyDescent="0.2">
      <c r="B476" s="638" t="s">
        <v>5933</v>
      </c>
    </row>
    <row r="477" spans="2:2" x14ac:dyDescent="0.2">
      <c r="B477" s="638" t="s">
        <v>5934</v>
      </c>
    </row>
    <row r="478" spans="2:2" x14ac:dyDescent="0.2">
      <c r="B478" s="638" t="s">
        <v>5935</v>
      </c>
    </row>
    <row ht="15.75" r="480" spans="2:2" x14ac:dyDescent="0.25">
      <c r="B480" s="1031" t="s">
        <v>4226</v>
      </c>
    </row>
    <row r="481" spans="2:2" x14ac:dyDescent="0.2">
      <c r="B481" s="34" t="s">
        <v>6133</v>
      </c>
    </row>
    <row ht="15.75" r="483" spans="2:2" x14ac:dyDescent="0.25">
      <c r="B483" s="1031" t="s">
        <v>5937</v>
      </c>
    </row>
    <row r="485" spans="2:2" x14ac:dyDescent="0.2">
      <c r="B485" s="34" t="s">
        <v>5936</v>
      </c>
    </row>
    <row r="486" spans="2:2" x14ac:dyDescent="0.2">
      <c r="B486" s="34" t="s">
        <v>6063</v>
      </c>
    </row>
    <row r="487" spans="2:2" x14ac:dyDescent="0.2">
      <c r="B487" s="34" t="s">
        <v>6064</v>
      </c>
    </row>
    <row ht="15.75" r="489" spans="2:2" x14ac:dyDescent="0.25">
      <c r="B489" s="1031" t="s">
        <v>5945</v>
      </c>
    </row>
    <row r="491" spans="2:2" x14ac:dyDescent="0.2">
      <c r="B491" s="34" t="s">
        <v>5938</v>
      </c>
    </row>
    <row r="493" spans="2:2" x14ac:dyDescent="0.2">
      <c r="B493" s="34" t="s">
        <v>6226</v>
      </c>
    </row>
    <row r="495" spans="2:2" x14ac:dyDescent="0.2">
      <c r="B495" s="34" t="s">
        <v>5939</v>
      </c>
    </row>
    <row r="496" spans="2:2" x14ac:dyDescent="0.2">
      <c r="B496" s="34" t="s">
        <v>6345</v>
      </c>
    </row>
    <row r="497" spans="2:6" x14ac:dyDescent="0.2">
      <c r="B497" s="34" t="s">
        <v>5940</v>
      </c>
    </row>
    <row r="498" spans="2:6" x14ac:dyDescent="0.2">
      <c r="B498" s="34" t="s">
        <v>5941</v>
      </c>
    </row>
    <row r="500" spans="2:6" x14ac:dyDescent="0.2">
      <c r="B500" s="34" t="s">
        <v>5942</v>
      </c>
    </row>
    <row r="501" spans="2:6" x14ac:dyDescent="0.2">
      <c r="B501" s="34" t="s">
        <v>5943</v>
      </c>
    </row>
    <row r="502" spans="2:6" x14ac:dyDescent="0.2">
      <c r="B502" s="34" t="s">
        <v>5944</v>
      </c>
    </row>
    <row ht="15.75" r="504" spans="2:6" x14ac:dyDescent="0.25">
      <c r="B504" s="1031" t="s">
        <v>5952</v>
      </c>
    </row>
    <row r="505" spans="2:6" x14ac:dyDescent="0.2">
      <c r="B505" s="34" t="s">
        <v>5946</v>
      </c>
    </row>
    <row r="507" spans="2:6" x14ac:dyDescent="0.2">
      <c r="C507" s="1499" t="s">
        <v>6337</v>
      </c>
      <c r="D507" s="1503"/>
      <c r="E507" s="1504"/>
      <c r="F507" s="1505"/>
    </row>
    <row r="508" spans="2:6" x14ac:dyDescent="0.2">
      <c r="C508" s="1500" t="s">
        <v>5947</v>
      </c>
      <c r="D508" s="1502" t="s">
        <v>6338</v>
      </c>
      <c r="E508" s="35"/>
      <c r="F508" s="1449"/>
    </row>
    <row r="509" spans="2:6" x14ac:dyDescent="0.2">
      <c r="C509" s="1500" t="s">
        <v>5948</v>
      </c>
      <c r="D509" s="1502" t="s">
        <v>5949</v>
      </c>
      <c r="E509" s="35"/>
      <c r="F509" s="1449"/>
    </row>
    <row r="510" spans="2:6" x14ac:dyDescent="0.2">
      <c r="C510" s="1501" t="s">
        <v>5950</v>
      </c>
      <c r="D510" s="1450" t="s">
        <v>5951</v>
      </c>
      <c r="E510" s="1451"/>
      <c r="F510" s="1452"/>
    </row>
    <row ht="15.75" r="512" spans="2:6" x14ac:dyDescent="0.25">
      <c r="B512" s="1031" t="s">
        <v>6319</v>
      </c>
    </row>
    <row r="513" spans="2:2" x14ac:dyDescent="0.2">
      <c r="B513" s="34" t="s">
        <v>6361</v>
      </c>
    </row>
    <row r="514" spans="2:2" x14ac:dyDescent="0.2">
      <c r="B514" s="34" t="s">
        <v>6362</v>
      </c>
    </row>
    <row r="515" spans="2:2" x14ac:dyDescent="0.2">
      <c r="B515" s="34" t="s">
        <v>6363</v>
      </c>
    </row>
    <row r="517" spans="2:2" x14ac:dyDescent="0.2">
      <c r="B517" s="34" t="s">
        <v>6357</v>
      </c>
    </row>
    <row r="519" spans="2:2" x14ac:dyDescent="0.2">
      <c r="B519" s="34" t="s">
        <v>6358</v>
      </c>
    </row>
    <row r="521" spans="2:2" x14ac:dyDescent="0.2">
      <c r="B521" s="34" t="s">
        <v>6359</v>
      </c>
    </row>
    <row ht="15.75" r="522" spans="2:2" x14ac:dyDescent="0.25">
      <c r="B522" s="1031"/>
    </row>
    <row r="523" spans="2:2" x14ac:dyDescent="0.2">
      <c r="B523" s="34" t="s">
        <v>6360</v>
      </c>
    </row>
    <row r="524" spans="2:2" x14ac:dyDescent="0.2">
      <c r="B524" s="34" t="s">
        <v>6320</v>
      </c>
    </row>
    <row r="525" spans="2:2" x14ac:dyDescent="0.2">
      <c r="B525" s="1876" t="s">
        <v>6321</v>
      </c>
    </row>
    <row r="526" spans="2:2" x14ac:dyDescent="0.2">
      <c r="B526" s="34" t="s">
        <v>6322</v>
      </c>
    </row>
    <row r="527" spans="2:2" x14ac:dyDescent="0.2">
      <c r="B527" s="34" t="s">
        <v>6323</v>
      </c>
    </row>
    <row r="528" spans="2:2" x14ac:dyDescent="0.2">
      <c r="B528" s="34" t="s">
        <v>6324</v>
      </c>
    </row>
    <row r="530" spans="2:9" x14ac:dyDescent="0.2">
      <c r="C530" s="1877" t="s">
        <v>6328</v>
      </c>
      <c r="D530" s="4482" t="s">
        <v>6329</v>
      </c>
      <c r="E530" s="4483"/>
      <c r="F530" s="4484"/>
      <c r="G530" s="1878" t="s">
        <v>6342</v>
      </c>
      <c r="H530" s="1878" t="s">
        <v>6343</v>
      </c>
      <c r="I530" s="1878" t="s">
        <v>6344</v>
      </c>
    </row>
    <row r="531" spans="2:9" x14ac:dyDescent="0.2">
      <c r="C531" s="1878" t="s">
        <v>6330</v>
      </c>
      <c r="D531" s="4485" t="s">
        <v>6331</v>
      </c>
      <c r="E531" s="4486"/>
      <c r="F531" s="4487"/>
      <c r="G531" s="1879">
        <v>0.1</v>
      </c>
      <c r="H531" s="1879">
        <v>0.1</v>
      </c>
      <c r="I531" s="1879">
        <v>0.2</v>
      </c>
    </row>
    <row r="532" spans="2:9" x14ac:dyDescent="0.2">
      <c r="C532" s="1878" t="s">
        <v>6332</v>
      </c>
      <c r="D532" s="4485" t="s">
        <v>6333</v>
      </c>
      <c r="E532" s="4486"/>
      <c r="F532" s="4487"/>
      <c r="G532" s="1879">
        <v>0.3</v>
      </c>
      <c r="H532" s="1879">
        <v>0.1</v>
      </c>
      <c r="I532" s="1879">
        <v>0.4</v>
      </c>
    </row>
    <row r="533" spans="2:9" x14ac:dyDescent="0.2">
      <c r="C533" s="1878" t="s">
        <v>6334</v>
      </c>
      <c r="D533" s="4485" t="s">
        <v>6335</v>
      </c>
      <c r="E533" s="4486"/>
      <c r="F533" s="4487"/>
      <c r="G533" s="1879">
        <v>0.35</v>
      </c>
      <c r="H533" s="1879">
        <v>0.1</v>
      </c>
      <c r="I533" s="1879">
        <v>0.45</v>
      </c>
    </row>
    <row r="535" spans="2:9" x14ac:dyDescent="0.2">
      <c r="B535" s="112" t="s">
        <v>6044</v>
      </c>
    </row>
    <row r="536" spans="2:9" x14ac:dyDescent="0.2">
      <c r="B536" s="34" t="s">
        <v>6275</v>
      </c>
    </row>
    <row r="537" spans="2:9" x14ac:dyDescent="0.2">
      <c r="B537" s="34" t="s">
        <v>6325</v>
      </c>
    </row>
    <row r="539" spans="2:9" x14ac:dyDescent="0.2">
      <c r="B539" s="112" t="s">
        <v>5047</v>
      </c>
    </row>
    <row r="540" spans="2:9" x14ac:dyDescent="0.2">
      <c r="B540" s="34" t="s">
        <v>4551</v>
      </c>
    </row>
    <row r="541" spans="2:9" x14ac:dyDescent="0.2">
      <c r="B541" s="34" t="s">
        <v>6236</v>
      </c>
    </row>
    <row r="542" spans="2:9" x14ac:dyDescent="0.2">
      <c r="B542" s="34" t="s">
        <v>6230</v>
      </c>
    </row>
    <row r="543" spans="2:9" x14ac:dyDescent="0.2">
      <c r="B543" s="34" t="s">
        <v>6231</v>
      </c>
    </row>
    <row r="544" spans="2:9" x14ac:dyDescent="0.2">
      <c r="B544" s="34" t="s">
        <v>6232</v>
      </c>
    </row>
    <row r="545" spans="2:2" x14ac:dyDescent="0.2">
      <c r="B545" s="34" t="s">
        <v>6326</v>
      </c>
    </row>
    <row r="547" spans="2:2" x14ac:dyDescent="0.2">
      <c r="B547" s="34" t="s">
        <v>5046</v>
      </c>
    </row>
    <row r="548" spans="2:2" x14ac:dyDescent="0.2">
      <c r="B548" s="34" t="s">
        <v>6233</v>
      </c>
    </row>
    <row r="549" spans="2:2" x14ac:dyDescent="0.2">
      <c r="B549" s="34" t="s">
        <v>6234</v>
      </c>
    </row>
    <row r="550" spans="2:2" x14ac:dyDescent="0.2">
      <c r="B550" s="34" t="s">
        <v>6235</v>
      </c>
    </row>
    <row r="551" spans="2:2" x14ac:dyDescent="0.2">
      <c r="B551" s="34" t="s">
        <v>6327</v>
      </c>
    </row>
  </sheetData>
  <mergeCells count="12">
    <mergeCell ref="D530:F530"/>
    <mergeCell ref="D531:F531"/>
    <mergeCell ref="D532:F532"/>
    <mergeCell ref="D533:F533"/>
    <mergeCell ref="B434:G434"/>
    <mergeCell ref="B441:G441"/>
    <mergeCell ref="B444:G444"/>
    <mergeCell ref="B445:G445"/>
    <mergeCell ref="B438:G438"/>
    <mergeCell ref="B437:G437"/>
    <mergeCell ref="B435:G435"/>
    <mergeCell ref="B436:G436"/>
  </mergeCells>
  <phoneticPr fontId="67" type="noConversion"/>
  <hyperlinks>
    <hyperlink r:id="rId1" ref="B412" xr:uid="{00000000-0004-0000-0300-000000000000}"/>
    <hyperlink r:id="rId2" ref="B447" xr:uid="{00000000-0004-0000-0300-000001000000}"/>
  </hyperlinks>
  <pageMargins bottom="0.196850393700787" footer="0" header="0" left="0.196850393700787" right="0.196850393700787" top="0.196850393700787"/>
  <pageSetup horizontalDpi="1200" orientation="portrait" paperSize="9" r:id="rId3" verticalDpi="1200"/>
  <headerFooter alignWithMargins="0"/>
  <drawing r:id="rId4"/>
</worksheet>
</file>

<file path=xl/worksheets/sheet5.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xmlns:xr="http://schemas.microsoft.com/office/spreadsheetml/2014/revision" xmlns:xr2="http://schemas.microsoft.com/office/spreadsheetml/2015/revision2" xmlns:xr3="http://schemas.microsoft.com/office/spreadsheetml/2016/revision3" mc:Ignorable="x14ac xr xr2 xr3" xr:uid="{00000000-0001-0000-0400-000000000000}">
  <sheetPr codeName="Sheet75"/>
  <dimension ref="A1:M267"/>
  <sheetViews>
    <sheetView showGridLines="0" workbookViewId="0" zoomScaleNormal="100">
      <pane activePane="bottomRight" state="frozen" topLeftCell="B255" xSplit="1" ySplit="5"/>
      <selection activeCell="B7" sqref="B7"/>
      <selection activeCell="B7" pane="topRight" sqref="B7"/>
      <selection activeCell="B7" pane="bottomLeft" sqref="B7"/>
      <selection activeCell="C3" pane="bottomRight" sqref="C3"/>
    </sheetView>
  </sheetViews>
  <sheetFormatPr defaultColWidth="9.140625" defaultRowHeight="12" x14ac:dyDescent="0.2"/>
  <cols>
    <col min="1" max="1" customWidth="true" style="1077" width="4.42578125" collapsed="true"/>
    <col min="2" max="2" customWidth="true" style="816" width="47.140625" collapsed="true"/>
    <col min="3" max="3" customWidth="true" style="503" width="5.140625" collapsed="true"/>
    <col min="4" max="4" customWidth="true" style="1157" width="46.28515625" collapsed="true"/>
    <col min="5" max="7" customWidth="true" style="1157" width="10.7109375" collapsed="true"/>
    <col min="8" max="8" customWidth="true" style="503" width="94.7109375" collapsed="true"/>
    <col min="9" max="10" style="503" width="9.140625" collapsed="true"/>
    <col min="11" max="11" customWidth="true" style="572" width="7.28515625" collapsed="true"/>
    <col min="12" max="12" customWidth="true" style="572" width="7.42578125" collapsed="true"/>
    <col min="13" max="16384" style="503" width="9.140625" collapsed="true"/>
  </cols>
  <sheetData>
    <row r="1" spans="1:12" x14ac:dyDescent="0.2">
      <c r="A1" s="1072"/>
      <c r="B1" s="1062"/>
      <c r="C1" s="1017" t="str">
        <f>"There are "&amp;Last_row-1&amp;" stored test cases"</f>
        <v>There are 262 stored test cases</v>
      </c>
      <c r="D1" s="1158"/>
      <c r="E1" s="1159"/>
      <c r="F1" s="1154"/>
      <c r="G1" s="1154"/>
      <c r="H1" s="1015"/>
    </row>
    <row r="2" spans="1:12" x14ac:dyDescent="0.2">
      <c r="A2" s="1073"/>
      <c r="B2" s="1063"/>
      <c r="C2" s="63"/>
      <c r="D2" s="1154"/>
      <c r="E2" s="1160"/>
      <c r="F2" s="1154"/>
      <c r="G2" s="1154"/>
      <c r="H2" s="1015"/>
    </row>
    <row customHeight="1" ht="15" r="3" spans="1:12" x14ac:dyDescent="0.2">
      <c r="A3" s="1073"/>
      <c r="B3" s="1064"/>
      <c r="C3" s="1152">
        <v>3</v>
      </c>
      <c r="D3" s="1154"/>
      <c r="E3" s="1160"/>
      <c r="F3" s="1154"/>
      <c r="G3" s="1154"/>
      <c r="H3" s="1015"/>
    </row>
    <row r="4" spans="1:12" x14ac:dyDescent="0.2">
      <c r="A4" s="1073"/>
      <c r="B4" s="1063"/>
      <c r="C4" s="63"/>
      <c r="D4" s="1154"/>
      <c r="E4" s="1160"/>
      <c r="F4" s="1154"/>
      <c r="G4" s="1155" t="s">
        <v>5007</v>
      </c>
      <c r="H4" s="1015"/>
    </row>
    <row r="5" spans="1:12" x14ac:dyDescent="0.2">
      <c r="A5" s="1074"/>
      <c r="B5" s="1065" t="s">
        <v>909</v>
      </c>
      <c r="C5" s="575"/>
      <c r="D5" s="1161" t="s">
        <v>910</v>
      </c>
      <c r="E5" s="1162" t="s">
        <v>3739</v>
      </c>
      <c r="F5" s="1156" t="s">
        <v>8469</v>
      </c>
      <c r="G5" s="1156" t="s">
        <v>5004</v>
      </c>
      <c r="H5" s="1016" t="s">
        <v>4400</v>
      </c>
    </row>
    <row ht="48" r="6" spans="1:12" x14ac:dyDescent="0.2">
      <c r="A6" s="1075">
        <v>1</v>
      </c>
      <c r="B6" s="793" t="s">
        <v>7089</v>
      </c>
      <c r="C6" s="815"/>
      <c r="D6" s="2110" t="s">
        <v>7348</v>
      </c>
      <c r="E6" s="3833">
        <v>39.930000000000291</v>
      </c>
      <c r="F6" s="3833">
        <v>39.930000000000291</v>
      </c>
      <c r="G6" s="1153" t="s">
        <v>5005</v>
      </c>
      <c r="H6" s="2399"/>
      <c r="K6" s="642"/>
      <c r="L6" s="642"/>
    </row>
    <row ht="36" r="7" spans="1:12" x14ac:dyDescent="0.2">
      <c r="A7" s="1076">
        <v>2</v>
      </c>
      <c r="B7" s="3003" t="s">
        <v>7020</v>
      </c>
      <c r="C7" s="815"/>
      <c r="D7" s="1164" t="s">
        <v>7625</v>
      </c>
      <c r="E7" s="3833">
        <v>5256.4000000000005</v>
      </c>
      <c r="F7" s="3833">
        <v>5256.4</v>
      </c>
      <c r="G7" s="1153" t="s">
        <v>5005</v>
      </c>
      <c r="H7" s="2399"/>
      <c r="K7" s="642"/>
      <c r="L7" s="642"/>
    </row>
    <row ht="72" r="8" spans="1:12" x14ac:dyDescent="0.2">
      <c r="A8" s="1076">
        <v>3</v>
      </c>
      <c r="B8" s="3003" t="s">
        <v>7090</v>
      </c>
      <c r="C8" s="815"/>
      <c r="D8" s="1164" t="s">
        <v>8530</v>
      </c>
      <c r="E8" s="3833">
        <v>12908.41</v>
      </c>
      <c r="F8" s="3833">
        <v>12519.369999999999</v>
      </c>
      <c r="G8" s="1153" t="s">
        <v>5005</v>
      </c>
      <c r="H8" s="2399"/>
      <c r="K8" s="642"/>
      <c r="L8" s="642"/>
    </row>
    <row ht="48" r="9" spans="1:12" x14ac:dyDescent="0.2">
      <c r="A9" s="1076">
        <v>4</v>
      </c>
      <c r="B9" s="3890" t="s">
        <v>8522</v>
      </c>
      <c r="C9" s="3944"/>
      <c r="D9" s="4274" t="s">
        <v>7624</v>
      </c>
      <c r="E9" s="3937">
        <v>2360.7999999999993</v>
      </c>
      <c r="F9" s="3833">
        <v>3084.8</v>
      </c>
      <c r="G9" s="1153" t="s">
        <v>5005</v>
      </c>
      <c r="H9" s="2399" t="s">
        <v>8388</v>
      </c>
      <c r="K9" s="642"/>
      <c r="L9" s="642"/>
    </row>
    <row ht="48" r="10" spans="1:12" x14ac:dyDescent="0.2">
      <c r="A10" s="1076">
        <v>5</v>
      </c>
      <c r="B10" s="793" t="s">
        <v>7021</v>
      </c>
      <c r="C10" s="815"/>
      <c r="D10" s="1164" t="s">
        <v>7626</v>
      </c>
      <c r="E10" s="3833">
        <v>617.21</v>
      </c>
      <c r="F10" s="3833">
        <v>617.22</v>
      </c>
      <c r="G10" s="1153" t="s">
        <v>5005</v>
      </c>
      <c r="H10" s="2399"/>
      <c r="K10" s="642"/>
      <c r="L10" s="642"/>
    </row>
    <row ht="48" r="11" spans="1:12" x14ac:dyDescent="0.2">
      <c r="A11" s="1076">
        <v>6</v>
      </c>
      <c r="B11" s="3004" t="s">
        <v>7342</v>
      </c>
      <c r="C11" s="815"/>
      <c r="D11" s="1164" t="s">
        <v>7627</v>
      </c>
      <c r="E11" s="3833">
        <v>3085.6600000000003</v>
      </c>
      <c r="F11" s="3833">
        <v>3085.6600000000003</v>
      </c>
      <c r="G11" s="1153" t="s">
        <v>5005</v>
      </c>
      <c r="H11" s="2399"/>
      <c r="K11" s="642"/>
      <c r="L11" s="642"/>
    </row>
    <row ht="48" r="12" spans="1:12" x14ac:dyDescent="0.2">
      <c r="A12" s="1076">
        <v>7</v>
      </c>
      <c r="B12" s="793" t="s">
        <v>6208</v>
      </c>
      <c r="C12" s="815"/>
      <c r="D12" s="1164" t="s">
        <v>8531</v>
      </c>
      <c r="E12" s="3833">
        <v>3718.6000000000004</v>
      </c>
      <c r="F12" s="3833">
        <v>3910.8</v>
      </c>
      <c r="G12" s="1153" t="s">
        <v>5005</v>
      </c>
      <c r="H12" s="2399"/>
      <c r="K12" s="642"/>
      <c r="L12" s="642"/>
    </row>
    <row ht="48" r="13" spans="1:12" x14ac:dyDescent="0.2">
      <c r="A13" s="1076">
        <v>8</v>
      </c>
      <c r="B13" s="793" t="s">
        <v>6531</v>
      </c>
      <c r="C13" s="815"/>
      <c r="D13" s="1164" t="s">
        <v>7349</v>
      </c>
      <c r="E13" s="3833">
        <v>760.7</v>
      </c>
      <c r="F13" s="3850">
        <v>760.7</v>
      </c>
      <c r="G13" s="1153" t="s">
        <v>5005</v>
      </c>
      <c r="H13" s="3733"/>
      <c r="K13" s="642"/>
      <c r="L13" s="642"/>
    </row>
    <row ht="48" r="14" spans="1:12" x14ac:dyDescent="0.2">
      <c r="A14" s="1076">
        <v>9</v>
      </c>
      <c r="B14" s="3943" t="s">
        <v>8521</v>
      </c>
      <c r="C14" s="3944"/>
      <c r="D14" s="4274" t="s">
        <v>7628</v>
      </c>
      <c r="E14" s="3937">
        <v>208.75</v>
      </c>
      <c r="F14" s="3833">
        <v>208.75</v>
      </c>
      <c r="G14" s="1153" t="s">
        <v>5005</v>
      </c>
      <c r="H14" s="2399" t="s">
        <v>8388</v>
      </c>
      <c r="K14" s="642"/>
      <c r="L14" s="642"/>
    </row>
    <row ht="36" r="15" spans="1:12" x14ac:dyDescent="0.2">
      <c r="A15" s="1076">
        <v>10</v>
      </c>
      <c r="B15" s="3004" t="s">
        <v>7022</v>
      </c>
      <c r="C15" s="815"/>
      <c r="D15" s="1164" t="s">
        <v>7629</v>
      </c>
      <c r="E15" s="3833">
        <v>3306.6000000000004</v>
      </c>
      <c r="F15" s="3833">
        <v>3306.6000000000004</v>
      </c>
      <c r="G15" s="1153" t="s">
        <v>5005</v>
      </c>
      <c r="H15" s="2399"/>
      <c r="K15" s="642"/>
      <c r="L15" s="642"/>
    </row>
    <row ht="48" r="16" spans="1:12" x14ac:dyDescent="0.2">
      <c r="A16" s="1076">
        <v>11</v>
      </c>
      <c r="B16" s="3005" t="s">
        <v>7023</v>
      </c>
      <c r="C16" s="815"/>
      <c r="D16" s="1164" t="s">
        <v>7350</v>
      </c>
      <c r="E16" s="3833">
        <v>8242.76</v>
      </c>
      <c r="F16" s="3833">
        <v>8148.1500000000015</v>
      </c>
      <c r="G16" s="1153" t="s">
        <v>5005</v>
      </c>
      <c r="H16" s="2399"/>
      <c r="K16" s="642"/>
      <c r="L16" s="642"/>
    </row>
    <row ht="36" r="17" spans="1:12" x14ac:dyDescent="0.2">
      <c r="A17" s="1076">
        <v>12</v>
      </c>
      <c r="B17" s="793" t="s">
        <v>7034</v>
      </c>
      <c r="C17" s="815"/>
      <c r="D17" s="1164" t="s">
        <v>7351</v>
      </c>
      <c r="E17" s="3833">
        <v>5200.59</v>
      </c>
      <c r="F17" s="3833">
        <v>5200.59</v>
      </c>
      <c r="G17" s="1153" t="s">
        <v>5005</v>
      </c>
      <c r="H17" s="2399"/>
      <c r="K17" s="642"/>
      <c r="L17" s="642"/>
    </row>
    <row ht="60" r="18" spans="1:12" x14ac:dyDescent="0.2">
      <c r="A18" s="1076">
        <v>13</v>
      </c>
      <c r="B18" s="793" t="s">
        <v>7160</v>
      </c>
      <c r="C18" s="815"/>
      <c r="D18" s="1164" t="s">
        <v>7352</v>
      </c>
      <c r="E18" s="3833">
        <v>10658.800000000001</v>
      </c>
      <c r="F18" s="3833">
        <v>10658.800000000001</v>
      </c>
      <c r="G18" s="1153" t="s">
        <v>5005</v>
      </c>
      <c r="H18" s="2399"/>
      <c r="K18" s="642"/>
      <c r="L18" s="642"/>
    </row>
    <row ht="36" r="19" spans="1:12" x14ac:dyDescent="0.2">
      <c r="A19" s="1076">
        <v>14</v>
      </c>
      <c r="B19" s="3005" t="s">
        <v>7024</v>
      </c>
      <c r="C19" s="815"/>
      <c r="D19" s="1164" t="s">
        <v>7353</v>
      </c>
      <c r="E19" s="3833">
        <v>5493.05</v>
      </c>
      <c r="F19" s="3833">
        <v>6782.05</v>
      </c>
      <c r="G19" s="1153" t="s">
        <v>5005</v>
      </c>
      <c r="H19" s="2399"/>
      <c r="K19" s="642"/>
      <c r="L19" s="642"/>
    </row>
    <row ht="36" r="20" spans="1:12" x14ac:dyDescent="0.2">
      <c r="A20" s="1076">
        <v>15</v>
      </c>
      <c r="B20" s="3004" t="s">
        <v>7025</v>
      </c>
      <c r="C20" s="815"/>
      <c r="D20" s="1164" t="s">
        <v>7354</v>
      </c>
      <c r="E20" s="3833">
        <v>2464.46</v>
      </c>
      <c r="F20" s="3833">
        <v>2464.4700000000003</v>
      </c>
      <c r="G20" s="1153" t="s">
        <v>5005</v>
      </c>
      <c r="H20" s="2399"/>
      <c r="K20" s="642"/>
      <c r="L20" s="642"/>
    </row>
    <row ht="36" r="21" spans="1:12" x14ac:dyDescent="0.2">
      <c r="A21" s="1076">
        <v>16</v>
      </c>
      <c r="B21" s="2112" t="s">
        <v>7035</v>
      </c>
      <c r="C21" s="817"/>
      <c r="D21" s="1164" t="s">
        <v>7630</v>
      </c>
      <c r="E21" s="3833">
        <v>9710.7400000000016</v>
      </c>
      <c r="F21" s="3833">
        <v>9710.7400000000016</v>
      </c>
      <c r="G21" s="1153" t="s">
        <v>5005</v>
      </c>
      <c r="H21" s="2399"/>
      <c r="K21" s="642"/>
      <c r="L21" s="642"/>
    </row>
    <row ht="48" r="22" spans="1:12" x14ac:dyDescent="0.2">
      <c r="A22" s="1076">
        <v>17</v>
      </c>
      <c r="B22" s="3934" t="s">
        <v>8520</v>
      </c>
      <c r="C22" s="4111"/>
      <c r="D22" s="4274" t="s">
        <v>7355</v>
      </c>
      <c r="E22" s="3937">
        <v>19612.149999999998</v>
      </c>
      <c r="F22" s="3833">
        <v>19612.149999999998</v>
      </c>
      <c r="G22" s="1153" t="s">
        <v>5005</v>
      </c>
      <c r="H22" s="2399" t="s">
        <v>8388</v>
      </c>
      <c r="K22" s="642"/>
      <c r="L22" s="642"/>
    </row>
    <row ht="36" r="23" spans="1:12" x14ac:dyDescent="0.2">
      <c r="A23" s="1076">
        <v>18</v>
      </c>
      <c r="B23" s="3006" t="s">
        <v>7026</v>
      </c>
      <c r="C23" s="817"/>
      <c r="D23" s="1164" t="s">
        <v>7356</v>
      </c>
      <c r="E23" s="3833">
        <v>-234</v>
      </c>
      <c r="F23" s="3833">
        <v>-234</v>
      </c>
      <c r="G23" s="1153" t="s">
        <v>5005</v>
      </c>
      <c r="H23" s="2399"/>
      <c r="K23" s="642"/>
      <c r="L23" s="642"/>
    </row>
    <row ht="36" r="24" spans="1:12" x14ac:dyDescent="0.2">
      <c r="A24" s="1076">
        <v>19</v>
      </c>
      <c r="B24" s="3006" t="s">
        <v>7027</v>
      </c>
      <c r="C24" s="819"/>
      <c r="D24" s="1164" t="s">
        <v>7631</v>
      </c>
      <c r="E24" s="3833">
        <v>7442.74</v>
      </c>
      <c r="F24" s="3833">
        <v>7442.74</v>
      </c>
      <c r="G24" s="1153" t="s">
        <v>5005</v>
      </c>
      <c r="H24" s="2399"/>
      <c r="K24" s="642"/>
      <c r="L24" s="642"/>
    </row>
    <row ht="36" r="25" spans="1:12" x14ac:dyDescent="0.2">
      <c r="A25" s="1076">
        <v>20</v>
      </c>
      <c r="B25" s="3007" t="s">
        <v>7028</v>
      </c>
      <c r="C25" s="819"/>
      <c r="D25" s="1164" t="s">
        <v>7632</v>
      </c>
      <c r="E25" s="3833">
        <v>11170.59</v>
      </c>
      <c r="F25" s="3833">
        <v>11170.59</v>
      </c>
      <c r="G25" s="1153" t="s">
        <v>5005</v>
      </c>
      <c r="H25" s="2399"/>
      <c r="K25" s="642"/>
      <c r="L25" s="642"/>
    </row>
    <row ht="36" r="26" spans="1:12" x14ac:dyDescent="0.2">
      <c r="A26" s="1076">
        <v>21</v>
      </c>
      <c r="B26" s="3007" t="s">
        <v>7029</v>
      </c>
      <c r="C26" s="819"/>
      <c r="D26" s="1164" t="s">
        <v>7633</v>
      </c>
      <c r="E26" s="3833">
        <v>10864.35</v>
      </c>
      <c r="F26" s="3833">
        <v>10864.35</v>
      </c>
      <c r="G26" s="1153" t="s">
        <v>5005</v>
      </c>
      <c r="H26" s="2399"/>
      <c r="K26" s="642"/>
      <c r="L26" s="642"/>
    </row>
    <row ht="36" r="27" spans="1:12" x14ac:dyDescent="0.2">
      <c r="A27" s="1076">
        <v>22</v>
      </c>
      <c r="B27" s="793" t="s">
        <v>7030</v>
      </c>
      <c r="C27" s="819"/>
      <c r="D27" s="1165" t="s">
        <v>7634</v>
      </c>
      <c r="E27" s="3833">
        <v>4479.42</v>
      </c>
      <c r="F27" s="3833">
        <v>4479.42</v>
      </c>
      <c r="G27" s="1153" t="s">
        <v>5005</v>
      </c>
      <c r="H27" s="2399"/>
      <c r="K27" s="642"/>
      <c r="L27" s="642"/>
    </row>
    <row ht="48" r="28" spans="1:12" x14ac:dyDescent="0.2">
      <c r="A28" s="1076">
        <v>23</v>
      </c>
      <c r="B28" s="3006" t="s">
        <v>7031</v>
      </c>
      <c r="C28" s="819"/>
      <c r="D28" s="1164" t="s">
        <v>7357</v>
      </c>
      <c r="E28" s="3851">
        <v>7133.1500000000015</v>
      </c>
      <c r="F28" s="3851">
        <v>7133.1500000000015</v>
      </c>
      <c r="G28" s="1153" t="s">
        <v>5005</v>
      </c>
      <c r="H28" s="2399"/>
      <c r="K28" s="642"/>
      <c r="L28" s="642"/>
    </row>
    <row ht="36" r="29" spans="1:12" x14ac:dyDescent="0.2">
      <c r="A29" s="1076">
        <v>24</v>
      </c>
      <c r="B29" s="3006" t="s">
        <v>7032</v>
      </c>
      <c r="C29" s="819"/>
      <c r="D29" s="1164" t="s">
        <v>7358</v>
      </c>
      <c r="E29" s="3851">
        <v>-1715.920000000001</v>
      </c>
      <c r="F29" s="3851">
        <v>-1715.920000000001</v>
      </c>
      <c r="G29" s="1153" t="s">
        <v>5005</v>
      </c>
      <c r="H29" s="2399"/>
      <c r="K29" s="642"/>
      <c r="L29" s="642"/>
    </row>
    <row ht="48" r="30" spans="1:12" x14ac:dyDescent="0.2">
      <c r="A30" s="1076">
        <v>25</v>
      </c>
      <c r="B30" s="3006" t="s">
        <v>7033</v>
      </c>
      <c r="C30" s="819"/>
      <c r="D30" s="1164" t="s">
        <v>7359</v>
      </c>
      <c r="E30" s="3851">
        <v>5689.06</v>
      </c>
      <c r="F30" s="3851">
        <v>5689.0700000000006</v>
      </c>
      <c r="G30" s="1153" t="s">
        <v>5005</v>
      </c>
      <c r="H30" s="2399"/>
      <c r="K30" s="642"/>
      <c r="L30" s="642"/>
    </row>
    <row ht="36" r="31" spans="1:12" x14ac:dyDescent="0.2">
      <c r="A31" s="1076">
        <v>26</v>
      </c>
      <c r="B31" s="4112" t="s">
        <v>8390</v>
      </c>
      <c r="C31" s="4113"/>
      <c r="D31" s="4277" t="s">
        <v>8532</v>
      </c>
      <c r="E31" s="4278">
        <v>-50.600000000000364</v>
      </c>
      <c r="F31" s="3833">
        <v>0</v>
      </c>
      <c r="G31" s="1153" t="s">
        <v>5005</v>
      </c>
      <c r="H31" s="2399" t="s">
        <v>8389</v>
      </c>
      <c r="K31" s="642"/>
      <c r="L31" s="642"/>
    </row>
    <row ht="24" r="32" spans="1:12" x14ac:dyDescent="0.2">
      <c r="A32" s="1076">
        <v>27</v>
      </c>
      <c r="B32" s="4112" t="s">
        <v>8391</v>
      </c>
      <c r="C32" s="4113"/>
      <c r="D32" s="4277" t="s">
        <v>8533</v>
      </c>
      <c r="E32" s="4278">
        <v>15894.989999999998</v>
      </c>
      <c r="F32" s="3833">
        <v>15874.989999999998</v>
      </c>
      <c r="G32" s="1153" t="s">
        <v>5005</v>
      </c>
      <c r="H32" s="2399" t="s">
        <v>8389</v>
      </c>
      <c r="K32" s="642"/>
      <c r="L32" s="642"/>
    </row>
    <row ht="24" r="33" spans="1:12" x14ac:dyDescent="0.2">
      <c r="A33" s="1076">
        <v>28</v>
      </c>
      <c r="B33" s="4112" t="s">
        <v>8392</v>
      </c>
      <c r="C33" s="4113"/>
      <c r="D33" s="4277" t="s">
        <v>8534</v>
      </c>
      <c r="E33" s="4278">
        <v>7142.89</v>
      </c>
      <c r="F33" s="3833">
        <v>7142.9</v>
      </c>
      <c r="G33" s="1153" t="s">
        <v>5005</v>
      </c>
      <c r="H33" s="2399" t="s">
        <v>8389</v>
      </c>
      <c r="K33" s="642"/>
      <c r="L33" s="642"/>
    </row>
    <row ht="24" r="34" spans="1:12" x14ac:dyDescent="0.2">
      <c r="A34" s="1076">
        <v>29</v>
      </c>
      <c r="B34" s="4112" t="s">
        <v>8393</v>
      </c>
      <c r="C34" s="4113"/>
      <c r="D34" s="4277" t="s">
        <v>8535</v>
      </c>
      <c r="E34" s="4278">
        <v>3587.9099999999962</v>
      </c>
      <c r="F34" s="3833">
        <v>3587.9099999999962</v>
      </c>
      <c r="G34" s="1153" t="s">
        <v>5005</v>
      </c>
      <c r="H34" s="2399" t="s">
        <v>8389</v>
      </c>
      <c r="K34" s="642"/>
      <c r="L34" s="642"/>
    </row>
    <row ht="24" r="35" spans="1:12" x14ac:dyDescent="0.2">
      <c r="A35" s="1076">
        <v>30</v>
      </c>
      <c r="B35" s="4112" t="s">
        <v>8394</v>
      </c>
      <c r="C35" s="4113"/>
      <c r="D35" s="4277" t="s">
        <v>8536</v>
      </c>
      <c r="E35" s="4278">
        <v>20256.020000000004</v>
      </c>
      <c r="F35" s="3833">
        <v>20256.03</v>
      </c>
      <c r="G35" s="1153" t="s">
        <v>5005</v>
      </c>
      <c r="H35" s="2399" t="s">
        <v>8389</v>
      </c>
      <c r="K35" s="642"/>
      <c r="L35" s="642"/>
    </row>
    <row ht="48" r="36" spans="1:12" x14ac:dyDescent="0.2">
      <c r="A36" s="1076">
        <v>31</v>
      </c>
      <c r="B36" s="3003" t="s">
        <v>7088</v>
      </c>
      <c r="C36" s="815"/>
      <c r="D36" s="1164" t="s">
        <v>8537</v>
      </c>
      <c r="E36" s="3833">
        <v>-2420</v>
      </c>
      <c r="F36" s="3833">
        <v>-2670</v>
      </c>
      <c r="G36" s="1153" t="s">
        <v>5006</v>
      </c>
      <c r="H36" s="2399"/>
      <c r="K36" s="642"/>
      <c r="L36" s="642"/>
    </row>
    <row ht="60" r="37" spans="1:12" x14ac:dyDescent="0.2">
      <c r="A37" s="1076">
        <v>32</v>
      </c>
      <c r="B37" s="793" t="s">
        <v>7091</v>
      </c>
      <c r="C37" s="815"/>
      <c r="D37" s="1164" t="s">
        <v>8538</v>
      </c>
      <c r="E37" s="3833">
        <v>70986.350000000006</v>
      </c>
      <c r="F37" s="3833">
        <v>69947.360000000001</v>
      </c>
      <c r="G37" s="1153" t="s">
        <v>5006</v>
      </c>
      <c r="H37" s="2399"/>
      <c r="K37" s="642"/>
      <c r="L37" s="642"/>
    </row>
    <row ht="48" r="38" spans="1:12" x14ac:dyDescent="0.2">
      <c r="A38" s="1076">
        <v>33</v>
      </c>
      <c r="B38" s="793" t="s">
        <v>7092</v>
      </c>
      <c r="C38" s="815"/>
      <c r="D38" s="1164" t="s">
        <v>8539</v>
      </c>
      <c r="E38" s="3833">
        <v>321281.38000000006</v>
      </c>
      <c r="F38" s="3833">
        <v>321281.39000000007</v>
      </c>
      <c r="G38" s="1153" t="s">
        <v>5005</v>
      </c>
      <c r="H38" s="2399"/>
      <c r="K38" s="642"/>
      <c r="L38" s="642"/>
    </row>
    <row ht="48" r="39" spans="1:12" x14ac:dyDescent="0.2">
      <c r="A39" s="1076">
        <v>34</v>
      </c>
      <c r="B39" s="793" t="s">
        <v>7157</v>
      </c>
      <c r="C39" s="815"/>
      <c r="D39" s="1164" t="s">
        <v>8540</v>
      </c>
      <c r="E39" s="3833">
        <v>346492.48000000004</v>
      </c>
      <c r="F39" s="3833">
        <v>346492.49000000005</v>
      </c>
      <c r="G39" s="1153" t="s">
        <v>5005</v>
      </c>
      <c r="H39" s="2399"/>
      <c r="K39" s="642"/>
      <c r="L39" s="642"/>
    </row>
    <row ht="36" r="40" spans="1:12" x14ac:dyDescent="0.2">
      <c r="A40" s="1076">
        <v>35</v>
      </c>
      <c r="B40" s="793" t="s">
        <v>7093</v>
      </c>
      <c r="C40" s="815"/>
      <c r="D40" s="1164" t="s">
        <v>8541</v>
      </c>
      <c r="E40" s="3833">
        <v>21424.87</v>
      </c>
      <c r="F40" s="3833">
        <v>21424.87</v>
      </c>
      <c r="G40" s="1153" t="s">
        <v>5005</v>
      </c>
      <c r="H40" s="2399"/>
      <c r="K40" s="642"/>
      <c r="L40" s="642"/>
    </row>
    <row ht="36" r="41" spans="1:12" x14ac:dyDescent="0.2">
      <c r="A41" s="1076">
        <v>36</v>
      </c>
      <c r="B41" s="793" t="s">
        <v>7113</v>
      </c>
      <c r="C41" s="815"/>
      <c r="D41" s="1164" t="s">
        <v>8542</v>
      </c>
      <c r="E41" s="3833">
        <v>304414.09000000003</v>
      </c>
      <c r="F41" s="3833">
        <v>304414.09000000003</v>
      </c>
      <c r="G41" s="1153" t="s">
        <v>5005</v>
      </c>
      <c r="H41" s="2399"/>
      <c r="K41" s="642"/>
      <c r="L41" s="642"/>
    </row>
    <row ht="48" r="42" spans="1:12" x14ac:dyDescent="0.2">
      <c r="A42" s="1076">
        <v>37</v>
      </c>
      <c r="B42" s="793" t="s">
        <v>8397</v>
      </c>
      <c r="C42" s="815"/>
      <c r="D42" s="1164" t="s">
        <v>8543</v>
      </c>
      <c r="E42" s="3833">
        <v>67.799999999999955</v>
      </c>
      <c r="F42" s="3833">
        <v>67.799999999999955</v>
      </c>
      <c r="G42" s="1153" t="s">
        <v>5005</v>
      </c>
      <c r="H42" s="2399"/>
      <c r="K42" s="642"/>
      <c r="L42" s="642"/>
    </row>
    <row ht="48" r="43" spans="1:12" x14ac:dyDescent="0.2">
      <c r="A43" s="1076">
        <v>38</v>
      </c>
      <c r="B43" s="793" t="s">
        <v>7114</v>
      </c>
      <c r="C43" s="815"/>
      <c r="D43" s="1164" t="s">
        <v>8544</v>
      </c>
      <c r="E43" s="3833">
        <v>7283.7999999999993</v>
      </c>
      <c r="F43" s="3833">
        <v>8572.7999999999993</v>
      </c>
      <c r="G43" s="1153" t="s">
        <v>5005</v>
      </c>
      <c r="H43" s="2399"/>
      <c r="K43" s="642"/>
      <c r="L43" s="642"/>
    </row>
    <row ht="48" r="44" spans="1:12" x14ac:dyDescent="0.2">
      <c r="A44" s="1076">
        <v>39</v>
      </c>
      <c r="B44" s="793" t="s">
        <v>7115</v>
      </c>
      <c r="C44" s="815"/>
      <c r="D44" s="1164" t="s">
        <v>8545</v>
      </c>
      <c r="E44" s="3833">
        <v>-5496.01</v>
      </c>
      <c r="F44" s="3833">
        <v>-5496.01</v>
      </c>
      <c r="G44" s="1153" t="s">
        <v>5006</v>
      </c>
      <c r="H44" s="2399"/>
      <c r="K44" s="642"/>
      <c r="L44" s="642"/>
    </row>
    <row ht="36" r="45" spans="1:12" x14ac:dyDescent="0.2">
      <c r="A45" s="1076">
        <v>40</v>
      </c>
      <c r="B45" s="793" t="s">
        <v>7116</v>
      </c>
      <c r="C45" s="815"/>
      <c r="D45" s="1164" t="s">
        <v>8546</v>
      </c>
      <c r="E45" s="3833">
        <v>-41.320000000000164</v>
      </c>
      <c r="F45" s="3833">
        <v>-41.320000000000164</v>
      </c>
      <c r="G45" s="1153" t="s">
        <v>5006</v>
      </c>
      <c r="H45" s="2399"/>
      <c r="K45" s="642"/>
      <c r="L45" s="642"/>
    </row>
    <row ht="48" r="46" spans="1:12" x14ac:dyDescent="0.2">
      <c r="A46" s="1076">
        <v>41</v>
      </c>
      <c r="B46" s="793" t="s">
        <v>8399</v>
      </c>
      <c r="C46" s="815"/>
      <c r="D46" s="1164" t="s">
        <v>8547</v>
      </c>
      <c r="E46" s="3833">
        <v>51901</v>
      </c>
      <c r="F46" s="3833">
        <v>55215</v>
      </c>
      <c r="G46" s="1153" t="s">
        <v>5005</v>
      </c>
      <c r="H46" s="2399"/>
      <c r="K46" s="642"/>
      <c r="L46" s="642"/>
    </row>
    <row ht="48" r="47" spans="1:12" x14ac:dyDescent="0.2">
      <c r="A47" s="1076">
        <v>42</v>
      </c>
      <c r="B47" s="793" t="s">
        <v>7117</v>
      </c>
      <c r="C47" s="815"/>
      <c r="D47" s="1164" t="s">
        <v>8548</v>
      </c>
      <c r="E47" s="3833">
        <v>191.25</v>
      </c>
      <c r="F47" s="3833">
        <v>191.25</v>
      </c>
      <c r="G47" s="1153" t="s">
        <v>5005</v>
      </c>
      <c r="H47" s="2399"/>
      <c r="K47" s="642"/>
      <c r="L47" s="642"/>
    </row>
    <row ht="36" r="48" spans="1:12" x14ac:dyDescent="0.2">
      <c r="A48" s="1076">
        <v>43</v>
      </c>
      <c r="B48" s="793" t="s">
        <v>7118</v>
      </c>
      <c r="C48" s="815"/>
      <c r="D48" s="1164" t="s">
        <v>8549</v>
      </c>
      <c r="E48" s="3833">
        <v>27114.949999999997</v>
      </c>
      <c r="F48" s="3833">
        <v>27114.949999999997</v>
      </c>
      <c r="G48" s="1153" t="s">
        <v>5005</v>
      </c>
      <c r="H48" s="2399"/>
      <c r="K48" s="642"/>
      <c r="L48" s="642"/>
    </row>
    <row ht="48" r="49" spans="1:12" x14ac:dyDescent="0.2">
      <c r="A49" s="1076">
        <v>44</v>
      </c>
      <c r="B49" s="793" t="s">
        <v>7094</v>
      </c>
      <c r="C49" s="815"/>
      <c r="D49" s="1164" t="s">
        <v>8550</v>
      </c>
      <c r="E49" s="3833">
        <v>788.10000000000218</v>
      </c>
      <c r="F49" s="3833">
        <v>788.10000000000218</v>
      </c>
      <c r="G49" s="1153" t="s">
        <v>5006</v>
      </c>
      <c r="H49" s="2399"/>
      <c r="K49" s="642"/>
      <c r="L49" s="642"/>
    </row>
    <row ht="48" r="50" spans="1:12" x14ac:dyDescent="0.2">
      <c r="A50" s="1076">
        <v>45</v>
      </c>
      <c r="B50" s="793" t="s">
        <v>7119</v>
      </c>
      <c r="C50" s="815"/>
      <c r="D50" s="1164" t="s">
        <v>8551</v>
      </c>
      <c r="E50" s="3833">
        <v>3699.5</v>
      </c>
      <c r="F50" s="3833">
        <v>3699.5</v>
      </c>
      <c r="G50" s="1153" t="s">
        <v>5005</v>
      </c>
      <c r="H50" s="2399"/>
      <c r="K50" s="642"/>
      <c r="L50" s="642"/>
    </row>
    <row ht="36" r="51" spans="1:12" x14ac:dyDescent="0.2">
      <c r="A51" s="1076">
        <v>46</v>
      </c>
      <c r="B51" s="793" t="s">
        <v>7120</v>
      </c>
      <c r="C51" s="815"/>
      <c r="D51" s="1164" t="s">
        <v>8552</v>
      </c>
      <c r="E51" s="3833">
        <v>-91.25</v>
      </c>
      <c r="F51" s="3833">
        <v>-91.25</v>
      </c>
      <c r="G51" s="1153" t="s">
        <v>5006</v>
      </c>
      <c r="H51" s="2399"/>
      <c r="K51" s="642"/>
      <c r="L51" s="642"/>
    </row>
    <row ht="48" r="52" spans="1:12" x14ac:dyDescent="0.2">
      <c r="A52" s="1076">
        <v>47</v>
      </c>
      <c r="B52" s="793" t="s">
        <v>7121</v>
      </c>
      <c r="C52" s="815"/>
      <c r="D52" s="1164" t="s">
        <v>8553</v>
      </c>
      <c r="E52" s="3833">
        <v>5217</v>
      </c>
      <c r="F52" s="3833">
        <v>5217</v>
      </c>
      <c r="G52" s="1153" t="s">
        <v>5006</v>
      </c>
      <c r="H52" s="2399"/>
      <c r="K52" s="642"/>
      <c r="L52" s="642"/>
    </row>
    <row ht="60" r="53" spans="1:12" x14ac:dyDescent="0.2">
      <c r="A53" s="1076">
        <v>48</v>
      </c>
      <c r="B53" s="793" t="s">
        <v>7122</v>
      </c>
      <c r="C53" s="815"/>
      <c r="D53" s="1164" t="s">
        <v>8554</v>
      </c>
      <c r="E53" s="3833">
        <v>5217</v>
      </c>
      <c r="F53" s="3833">
        <v>5217</v>
      </c>
      <c r="G53" s="1153" t="s">
        <v>5006</v>
      </c>
      <c r="H53" s="2399"/>
      <c r="K53" s="642"/>
      <c r="L53" s="642"/>
    </row>
    <row ht="48" r="54" spans="1:12" x14ac:dyDescent="0.2">
      <c r="A54" s="1076">
        <v>49</v>
      </c>
      <c r="B54" s="793" t="s">
        <v>6542</v>
      </c>
      <c r="C54" s="815"/>
      <c r="D54" s="1164" t="s">
        <v>8555</v>
      </c>
      <c r="E54" s="3833">
        <v>27349</v>
      </c>
      <c r="F54" s="3833">
        <v>27349</v>
      </c>
      <c r="G54" s="1153" t="s">
        <v>5005</v>
      </c>
      <c r="H54" s="2399"/>
      <c r="K54" s="642"/>
      <c r="L54" s="642"/>
    </row>
    <row ht="60" r="55" spans="1:12" x14ac:dyDescent="0.2">
      <c r="A55" s="1076">
        <v>50</v>
      </c>
      <c r="B55" s="793" t="s">
        <v>7123</v>
      </c>
      <c r="C55" s="815"/>
      <c r="D55" s="1164" t="s">
        <v>8556</v>
      </c>
      <c r="E55" s="3833">
        <v>7000.4</v>
      </c>
      <c r="F55" s="3833">
        <v>7000.4</v>
      </c>
      <c r="G55" s="1153" t="s">
        <v>5005</v>
      </c>
      <c r="H55" s="2399"/>
      <c r="K55" s="642"/>
      <c r="L55" s="642"/>
    </row>
    <row ht="48" r="56" spans="1:12" x14ac:dyDescent="0.2">
      <c r="A56" s="1076">
        <v>51</v>
      </c>
      <c r="B56" s="793" t="s">
        <v>7124</v>
      </c>
      <c r="C56" s="815"/>
      <c r="D56" s="1164" t="s">
        <v>8557</v>
      </c>
      <c r="E56" s="3833">
        <v>33719.630000000005</v>
      </c>
      <c r="F56" s="3833">
        <v>33719.630000000005</v>
      </c>
      <c r="G56" s="1153" t="s">
        <v>5006</v>
      </c>
      <c r="H56" s="2399"/>
      <c r="K56" s="642"/>
      <c r="L56" s="642"/>
    </row>
    <row ht="84" r="57" spans="1:12" x14ac:dyDescent="0.2">
      <c r="A57" s="1076">
        <v>52</v>
      </c>
      <c r="B57" s="793" t="s">
        <v>7125</v>
      </c>
      <c r="C57" s="815"/>
      <c r="D57" s="1164" t="s">
        <v>8558</v>
      </c>
      <c r="E57" s="3833">
        <v>99710.502799999987</v>
      </c>
      <c r="F57" s="3833">
        <v>99710.502799999987</v>
      </c>
      <c r="G57" s="1153" t="s">
        <v>5006</v>
      </c>
      <c r="H57" s="2399"/>
      <c r="K57" s="642"/>
      <c r="L57" s="642"/>
    </row>
    <row ht="48" r="58" spans="1:12" x14ac:dyDescent="0.2">
      <c r="A58" s="1076">
        <v>53</v>
      </c>
      <c r="B58" s="3890" t="s">
        <v>8468</v>
      </c>
      <c r="C58" s="3891"/>
      <c r="D58" s="4276" t="s">
        <v>8559</v>
      </c>
      <c r="E58" s="3937">
        <v>6812.02</v>
      </c>
      <c r="F58" s="3833">
        <v>4990.4699999999993</v>
      </c>
      <c r="G58" s="1153" t="s">
        <v>5005</v>
      </c>
      <c r="H58" s="2399" t="s">
        <v>8388</v>
      </c>
      <c r="K58" s="642"/>
      <c r="L58" s="642"/>
    </row>
    <row ht="36" r="59" spans="1:12" x14ac:dyDescent="0.2">
      <c r="A59" s="1076">
        <v>54</v>
      </c>
      <c r="B59" s="3890" t="s">
        <v>8473</v>
      </c>
      <c r="C59" s="3891"/>
      <c r="D59" s="4274" t="s">
        <v>8560</v>
      </c>
      <c r="E59" s="3937">
        <v>11060.560000000001</v>
      </c>
      <c r="F59" s="3833">
        <v>9733.5600000000013</v>
      </c>
      <c r="G59" s="1153" t="s">
        <v>5005</v>
      </c>
      <c r="H59" s="2399" t="s">
        <v>8388</v>
      </c>
      <c r="K59" s="642"/>
      <c r="L59" s="642"/>
    </row>
    <row ht="60" r="60" spans="1:12" x14ac:dyDescent="0.2">
      <c r="A60" s="1076">
        <v>55</v>
      </c>
      <c r="B60" s="3943" t="s">
        <v>8474</v>
      </c>
      <c r="C60" s="3944"/>
      <c r="D60" s="4274" t="s">
        <v>8561</v>
      </c>
      <c r="E60" s="3937">
        <v>6643.9400000000005</v>
      </c>
      <c r="F60" s="3833">
        <v>7378.15</v>
      </c>
      <c r="G60" s="1153" t="s">
        <v>5005</v>
      </c>
      <c r="H60" s="2399" t="s">
        <v>8388</v>
      </c>
      <c r="K60" s="642"/>
      <c r="L60" s="642"/>
    </row>
    <row ht="24" r="61" spans="1:12" x14ac:dyDescent="0.2">
      <c r="A61" s="1076">
        <v>56</v>
      </c>
      <c r="B61" s="3943" t="s">
        <v>8477</v>
      </c>
      <c r="C61" s="3944"/>
      <c r="D61" s="4274" t="s">
        <v>8562</v>
      </c>
      <c r="E61" s="3937">
        <v>0</v>
      </c>
      <c r="F61" s="3833">
        <v>0</v>
      </c>
      <c r="G61" s="1153" t="s">
        <v>5005</v>
      </c>
      <c r="H61" s="2399" t="s">
        <v>8388</v>
      </c>
      <c r="K61" s="642"/>
      <c r="L61" s="642"/>
    </row>
    <row ht="24" r="62" spans="1:12" x14ac:dyDescent="0.2">
      <c r="A62" s="1076">
        <v>57</v>
      </c>
      <c r="B62" s="3943" t="s">
        <v>8479</v>
      </c>
      <c r="C62" s="3944"/>
      <c r="D62" s="4274" t="s">
        <v>8563</v>
      </c>
      <c r="E62" s="3937">
        <v>11765</v>
      </c>
      <c r="F62" s="3833">
        <v>11835</v>
      </c>
      <c r="G62" s="1153" t="s">
        <v>5005</v>
      </c>
      <c r="H62" s="2399" t="s">
        <v>8388</v>
      </c>
      <c r="K62" s="642"/>
      <c r="L62" s="642"/>
    </row>
    <row ht="48" r="63" spans="1:12" x14ac:dyDescent="0.2">
      <c r="A63" s="1076">
        <v>58</v>
      </c>
      <c r="B63" s="793" t="s">
        <v>7126</v>
      </c>
      <c r="C63" s="815"/>
      <c r="D63" s="1164" t="s">
        <v>8564</v>
      </c>
      <c r="E63" s="3833">
        <v>35286.25</v>
      </c>
      <c r="F63" s="3833">
        <v>35286.25</v>
      </c>
      <c r="G63" s="1153" t="s">
        <v>5005</v>
      </c>
      <c r="H63" s="2399"/>
      <c r="K63" s="642"/>
      <c r="L63" s="642"/>
    </row>
    <row ht="24" r="64" spans="1:12" x14ac:dyDescent="0.2">
      <c r="A64" s="1076">
        <v>59</v>
      </c>
      <c r="B64" s="3943" t="s">
        <v>8480</v>
      </c>
      <c r="C64" s="3944"/>
      <c r="D64" s="4274" t="s">
        <v>8565</v>
      </c>
      <c r="E64" s="3937">
        <v>0</v>
      </c>
      <c r="F64" s="3833">
        <v>-11915.599999999999</v>
      </c>
      <c r="G64" s="1153" t="s">
        <v>5005</v>
      </c>
      <c r="H64" s="2399" t="s">
        <v>8388</v>
      </c>
      <c r="K64" s="642"/>
      <c r="L64" s="642"/>
    </row>
    <row ht="36" r="65" spans="1:12" x14ac:dyDescent="0.2">
      <c r="A65" s="1076">
        <v>60</v>
      </c>
      <c r="B65" s="793" t="s">
        <v>7128</v>
      </c>
      <c r="C65" s="815"/>
      <c r="D65" s="1164" t="s">
        <v>8566</v>
      </c>
      <c r="E65" s="3833">
        <v>-6468.6499999999978</v>
      </c>
      <c r="F65" s="3833">
        <v>-6468.6499999999978</v>
      </c>
      <c r="G65" s="1153" t="s">
        <v>5006</v>
      </c>
      <c r="H65" s="2399"/>
      <c r="K65" s="642"/>
      <c r="L65" s="642"/>
    </row>
    <row ht="48" r="66" spans="1:12" x14ac:dyDescent="0.2">
      <c r="A66" s="1076">
        <v>61</v>
      </c>
      <c r="B66" s="793" t="s">
        <v>7129</v>
      </c>
      <c r="C66" s="815"/>
      <c r="D66" s="1164" t="s">
        <v>8567</v>
      </c>
      <c r="E66" s="3833">
        <v>2311.5</v>
      </c>
      <c r="F66" s="3833">
        <v>2311.5</v>
      </c>
      <c r="G66" s="1153" t="s">
        <v>5005</v>
      </c>
      <c r="H66" s="2399"/>
      <c r="K66" s="642"/>
      <c r="L66" s="642"/>
    </row>
    <row ht="36" r="67" spans="1:12" x14ac:dyDescent="0.2">
      <c r="A67" s="1076">
        <v>62</v>
      </c>
      <c r="B67" s="793" t="s">
        <v>7130</v>
      </c>
      <c r="C67" s="815"/>
      <c r="D67" s="1164" t="s">
        <v>8568</v>
      </c>
      <c r="E67" s="3833">
        <v>-2834.79</v>
      </c>
      <c r="F67" s="3833">
        <v>-2834.79</v>
      </c>
      <c r="G67" s="1153" t="s">
        <v>5005</v>
      </c>
      <c r="H67" s="2399"/>
      <c r="K67" s="642"/>
      <c r="L67" s="642"/>
    </row>
    <row ht="48" r="68" spans="1:12" x14ac:dyDescent="0.2">
      <c r="A68" s="1076">
        <v>63</v>
      </c>
      <c r="B68" s="793" t="s">
        <v>8847</v>
      </c>
      <c r="C68" s="815"/>
      <c r="D68" s="1164" t="s">
        <v>8569</v>
      </c>
      <c r="E68" s="3833">
        <v>294861.33</v>
      </c>
      <c r="F68" s="3833">
        <v>294861.33</v>
      </c>
      <c r="G68" s="1153" t="s">
        <v>5005</v>
      </c>
      <c r="H68" s="2399"/>
      <c r="K68" s="642"/>
      <c r="L68" s="642"/>
    </row>
    <row ht="48" r="69" spans="1:12" x14ac:dyDescent="0.2">
      <c r="A69" s="1076">
        <v>64</v>
      </c>
      <c r="B69" s="793" t="s">
        <v>7095</v>
      </c>
      <c r="C69" s="815"/>
      <c r="D69" s="1164" t="s">
        <v>8570</v>
      </c>
      <c r="E69" s="3833">
        <v>3378</v>
      </c>
      <c r="F69" s="3833">
        <v>3378</v>
      </c>
      <c r="G69" s="1153" t="s">
        <v>5005</v>
      </c>
      <c r="H69" s="2399"/>
      <c r="K69" s="642"/>
      <c r="L69" s="642"/>
    </row>
    <row ht="36" r="70" spans="1:12" x14ac:dyDescent="0.2">
      <c r="A70" s="1076">
        <v>65</v>
      </c>
      <c r="B70" s="3008" t="s">
        <v>7127</v>
      </c>
      <c r="C70" s="1777"/>
      <c r="D70" s="1164" t="s">
        <v>8571</v>
      </c>
      <c r="E70" s="3833">
        <v>9845.35</v>
      </c>
      <c r="F70" s="3833">
        <v>9845.35</v>
      </c>
      <c r="G70" s="1153" t="s">
        <v>5005</v>
      </c>
      <c r="H70" s="2399"/>
      <c r="K70" s="642"/>
      <c r="L70" s="642"/>
    </row>
    <row ht="36" r="71" spans="1:12" x14ac:dyDescent="0.2">
      <c r="A71" s="1076">
        <v>66</v>
      </c>
      <c r="B71" s="3009" t="s">
        <v>7131</v>
      </c>
      <c r="C71" s="1777"/>
      <c r="D71" s="1164" t="s">
        <v>8572</v>
      </c>
      <c r="E71" s="3833">
        <v>-453.75</v>
      </c>
      <c r="F71" s="3833">
        <v>-453.75</v>
      </c>
      <c r="G71" s="1153" t="s">
        <v>5005</v>
      </c>
      <c r="H71" s="2399"/>
      <c r="K71" s="642"/>
      <c r="L71" s="642"/>
    </row>
    <row ht="48" r="72" spans="1:12" x14ac:dyDescent="0.2">
      <c r="A72" s="1076">
        <v>67</v>
      </c>
      <c r="B72" s="3009" t="s">
        <v>7132</v>
      </c>
      <c r="C72" s="1777"/>
      <c r="D72" s="1164" t="s">
        <v>8573</v>
      </c>
      <c r="E72" s="3833">
        <v>995.59999999999991</v>
      </c>
      <c r="F72" s="3833">
        <v>995.59999999999991</v>
      </c>
      <c r="G72" s="1153" t="s">
        <v>5005</v>
      </c>
      <c r="H72" s="2399"/>
      <c r="K72" s="642"/>
      <c r="L72" s="642"/>
    </row>
    <row ht="48" r="73" spans="1:12" x14ac:dyDescent="0.2">
      <c r="A73" s="1076">
        <v>68</v>
      </c>
      <c r="B73" s="793" t="s">
        <v>7096</v>
      </c>
      <c r="C73" s="815"/>
      <c r="D73" s="1164" t="s">
        <v>8574</v>
      </c>
      <c r="E73" s="3833">
        <v>12373.75</v>
      </c>
      <c r="F73" s="3833">
        <v>12373.75</v>
      </c>
      <c r="G73" s="1153" t="s">
        <v>5005</v>
      </c>
      <c r="H73" s="2399"/>
      <c r="K73" s="642"/>
      <c r="L73" s="642"/>
    </row>
    <row ht="48" r="74" spans="1:12" x14ac:dyDescent="0.2">
      <c r="A74" s="1076">
        <v>69</v>
      </c>
      <c r="B74" s="3010" t="s">
        <v>7133</v>
      </c>
      <c r="C74" s="815"/>
      <c r="D74" s="1164" t="s">
        <v>8575</v>
      </c>
      <c r="E74" s="3833">
        <v>2840.95</v>
      </c>
      <c r="F74" s="3833">
        <v>2840.95</v>
      </c>
      <c r="G74" s="1153" t="s">
        <v>5005</v>
      </c>
      <c r="H74" s="2399"/>
      <c r="K74" s="642"/>
      <c r="L74" s="642"/>
    </row>
    <row ht="48" r="75" spans="1:12" x14ac:dyDescent="0.2">
      <c r="A75" s="1076">
        <v>70</v>
      </c>
      <c r="B75" s="793" t="s">
        <v>8848</v>
      </c>
      <c r="C75" s="815"/>
      <c r="D75" s="1164" t="s">
        <v>8576</v>
      </c>
      <c r="E75" s="3833">
        <v>0</v>
      </c>
      <c r="F75" s="3833">
        <v>0</v>
      </c>
      <c r="G75" s="1153" t="s">
        <v>5005</v>
      </c>
      <c r="H75" s="2399"/>
      <c r="K75" s="642"/>
      <c r="L75" s="642"/>
    </row>
    <row ht="48" r="76" spans="1:12" x14ac:dyDescent="0.2">
      <c r="A76" s="1076">
        <v>71</v>
      </c>
      <c r="B76" s="793" t="s">
        <v>7134</v>
      </c>
      <c r="C76" s="815"/>
      <c r="D76" s="1164" t="s">
        <v>8577</v>
      </c>
      <c r="E76" s="3833">
        <v>1708.75</v>
      </c>
      <c r="F76" s="3833">
        <v>1708.75</v>
      </c>
      <c r="G76" s="1153" t="s">
        <v>5005</v>
      </c>
      <c r="H76" s="2399"/>
      <c r="K76" s="642"/>
      <c r="L76" s="642"/>
    </row>
    <row ht="48" r="77" spans="1:12" x14ac:dyDescent="0.2">
      <c r="A77" s="1076">
        <v>72</v>
      </c>
      <c r="B77" s="793" t="s">
        <v>7135</v>
      </c>
      <c r="C77" s="815"/>
      <c r="D77" s="1164" t="s">
        <v>8578</v>
      </c>
      <c r="E77" s="3833">
        <v>-169.15000000000009</v>
      </c>
      <c r="F77" s="3833">
        <v>-169.15000000000009</v>
      </c>
      <c r="G77" s="1153" t="s">
        <v>5005</v>
      </c>
      <c r="H77" s="2399"/>
      <c r="K77" s="642"/>
      <c r="L77" s="642"/>
    </row>
    <row ht="36" r="78" spans="1:12" x14ac:dyDescent="0.2">
      <c r="A78" s="1076">
        <v>73</v>
      </c>
      <c r="B78" s="3010" t="s">
        <v>7136</v>
      </c>
      <c r="C78" s="815"/>
      <c r="D78" s="1164" t="s">
        <v>8579</v>
      </c>
      <c r="E78" s="3833">
        <v>600</v>
      </c>
      <c r="F78" s="3833">
        <v>600</v>
      </c>
      <c r="G78" s="1153" t="s">
        <v>5005</v>
      </c>
      <c r="H78" s="2399"/>
      <c r="K78" s="642"/>
      <c r="L78" s="642"/>
    </row>
    <row ht="36" r="79" spans="1:12" x14ac:dyDescent="0.2">
      <c r="A79" s="1076">
        <v>74</v>
      </c>
      <c r="B79" s="793" t="s">
        <v>7097</v>
      </c>
      <c r="C79" s="815"/>
      <c r="D79" s="1164" t="s">
        <v>8580</v>
      </c>
      <c r="E79" s="3833">
        <v>-348.78999999999996</v>
      </c>
      <c r="F79" s="3833">
        <v>-348.78999999999996</v>
      </c>
      <c r="G79" s="1153" t="s">
        <v>5005</v>
      </c>
      <c r="H79" s="2399"/>
      <c r="K79" s="642"/>
      <c r="L79" s="642"/>
    </row>
    <row ht="36" r="80" spans="1:12" x14ac:dyDescent="0.2">
      <c r="A80" s="1076">
        <v>75</v>
      </c>
      <c r="B80" s="793" t="s">
        <v>7137</v>
      </c>
      <c r="C80" s="815"/>
      <c r="D80" s="1164" t="s">
        <v>8581</v>
      </c>
      <c r="E80" s="3833">
        <v>0</v>
      </c>
      <c r="F80" s="3833">
        <v>0</v>
      </c>
      <c r="G80" s="1153" t="s">
        <v>5005</v>
      </c>
      <c r="H80" s="2399"/>
      <c r="K80" s="642"/>
      <c r="L80" s="642"/>
    </row>
    <row ht="48" r="81" spans="1:12" x14ac:dyDescent="0.2">
      <c r="A81" s="1076">
        <v>76</v>
      </c>
      <c r="B81" s="3943" t="s">
        <v>8849</v>
      </c>
      <c r="C81" s="3944"/>
      <c r="D81" s="4274" t="s">
        <v>8582</v>
      </c>
      <c r="E81" s="3937">
        <v>13877.66</v>
      </c>
      <c r="F81" s="3833">
        <v>11461.4</v>
      </c>
      <c r="G81" s="1153" t="s">
        <v>5005</v>
      </c>
      <c r="H81" s="2399"/>
      <c r="K81" s="642"/>
      <c r="L81" s="642"/>
    </row>
    <row ht="48" r="82" spans="1:12" x14ac:dyDescent="0.2">
      <c r="A82" s="1076">
        <v>77</v>
      </c>
      <c r="B82" s="793" t="s">
        <v>7138</v>
      </c>
      <c r="C82" s="815"/>
      <c r="D82" s="1164" t="s">
        <v>8583</v>
      </c>
      <c r="E82" s="3833">
        <v>574.67000000000007</v>
      </c>
      <c r="F82" s="3833">
        <v>574.67000000000007</v>
      </c>
      <c r="G82" s="1153" t="s">
        <v>5006</v>
      </c>
      <c r="H82" s="2399"/>
      <c r="K82" s="642"/>
      <c r="L82" s="642"/>
    </row>
    <row ht="48" r="83" spans="1:12" x14ac:dyDescent="0.2">
      <c r="A83" s="1076">
        <v>78</v>
      </c>
      <c r="B83" s="3011" t="s">
        <v>7098</v>
      </c>
      <c r="C83" s="815" t="s">
        <v>1503</v>
      </c>
      <c r="D83" s="1164" t="s">
        <v>8584</v>
      </c>
      <c r="E83" s="3833">
        <v>2492.5</v>
      </c>
      <c r="F83" s="3833">
        <v>2492.5</v>
      </c>
      <c r="G83" s="1153" t="s">
        <v>5005</v>
      </c>
      <c r="H83" s="2399"/>
      <c r="K83" s="642"/>
      <c r="L83" s="642"/>
    </row>
    <row ht="48" r="84" spans="1:12" x14ac:dyDescent="0.2">
      <c r="A84" s="1076">
        <v>79</v>
      </c>
      <c r="B84" s="793" t="s">
        <v>7419</v>
      </c>
      <c r="C84" s="815"/>
      <c r="D84" s="1164" t="s">
        <v>8585</v>
      </c>
      <c r="E84" s="3833">
        <v>29911.599999999999</v>
      </c>
      <c r="F84" s="3833">
        <v>29911.599999999999</v>
      </c>
      <c r="G84" s="1153" t="s">
        <v>5005</v>
      </c>
      <c r="H84" s="2399"/>
      <c r="K84" s="642"/>
      <c r="L84" s="642"/>
    </row>
    <row ht="48" r="85" spans="1:12" x14ac:dyDescent="0.2">
      <c r="A85" s="1076">
        <v>80</v>
      </c>
      <c r="B85" s="793" t="s">
        <v>7139</v>
      </c>
      <c r="C85" s="815"/>
      <c r="D85" s="1164" t="s">
        <v>8586</v>
      </c>
      <c r="E85" s="3833">
        <v>339863.72</v>
      </c>
      <c r="F85" s="3833">
        <v>339863.72</v>
      </c>
      <c r="G85" s="1153" t="s">
        <v>5005</v>
      </c>
      <c r="H85" s="2399"/>
      <c r="K85" s="642"/>
      <c r="L85" s="642"/>
    </row>
    <row ht="36" r="86" spans="1:12" x14ac:dyDescent="0.2">
      <c r="A86" s="1076">
        <v>81</v>
      </c>
      <c r="B86" s="793" t="s">
        <v>7099</v>
      </c>
      <c r="C86" s="815"/>
      <c r="D86" s="1164" t="s">
        <v>8587</v>
      </c>
      <c r="E86" s="3833">
        <v>101.35000000000002</v>
      </c>
      <c r="F86" s="3833">
        <v>101.35000000000002</v>
      </c>
      <c r="G86" s="1153" t="s">
        <v>5005</v>
      </c>
      <c r="H86" s="2399"/>
      <c r="K86" s="642"/>
      <c r="L86" s="642"/>
    </row>
    <row ht="60" r="87" spans="1:12" x14ac:dyDescent="0.2">
      <c r="A87" s="1076">
        <v>82</v>
      </c>
      <c r="B87" s="793" t="s">
        <v>7100</v>
      </c>
      <c r="C87" s="815"/>
      <c r="D87" s="1164" t="s">
        <v>8588</v>
      </c>
      <c r="E87" s="3833">
        <v>8615.5499999999993</v>
      </c>
      <c r="F87" s="3833">
        <v>8615.5499999999993</v>
      </c>
      <c r="G87" s="1153" t="s">
        <v>5005</v>
      </c>
      <c r="H87" s="2399"/>
      <c r="K87" s="642"/>
      <c r="L87" s="642"/>
    </row>
    <row ht="60" r="88" spans="1:12" x14ac:dyDescent="0.2">
      <c r="A88" s="1076">
        <v>83</v>
      </c>
      <c r="B88" s="793" t="s">
        <v>8398</v>
      </c>
      <c r="C88" s="815"/>
      <c r="D88" s="1164" t="s">
        <v>8589</v>
      </c>
      <c r="E88" s="3833">
        <v>15471.042799999999</v>
      </c>
      <c r="F88" s="3833">
        <v>15471.042799999999</v>
      </c>
      <c r="G88" s="1153" t="s">
        <v>5006</v>
      </c>
      <c r="H88" s="2399"/>
      <c r="K88" s="642"/>
      <c r="L88" s="642"/>
    </row>
    <row ht="48" r="89" spans="1:12" x14ac:dyDescent="0.2">
      <c r="A89" s="1076">
        <v>84</v>
      </c>
      <c r="B89" s="793" t="s">
        <v>7140</v>
      </c>
      <c r="C89" s="815"/>
      <c r="D89" s="1164" t="s">
        <v>8590</v>
      </c>
      <c r="E89" s="3833">
        <v>67276.289999999994</v>
      </c>
      <c r="F89" s="3833">
        <v>67276.289999999994</v>
      </c>
      <c r="G89" s="1153" t="s">
        <v>5006</v>
      </c>
      <c r="H89" s="2399"/>
      <c r="K89" s="642"/>
      <c r="L89" s="642"/>
    </row>
    <row ht="48" r="90" spans="1:12" x14ac:dyDescent="0.2">
      <c r="A90" s="1076">
        <v>85</v>
      </c>
      <c r="B90" s="793" t="s">
        <v>7141</v>
      </c>
      <c r="C90" s="815"/>
      <c r="D90" s="1164" t="s">
        <v>8591</v>
      </c>
      <c r="E90" s="3833">
        <v>-704.45</v>
      </c>
      <c r="F90" s="3833">
        <v>-704.45</v>
      </c>
      <c r="G90" s="1153" t="s">
        <v>5005</v>
      </c>
      <c r="H90" s="2399"/>
      <c r="K90" s="642"/>
      <c r="L90" s="642"/>
    </row>
    <row ht="48" r="91" spans="1:12" x14ac:dyDescent="0.2">
      <c r="A91" s="1076">
        <v>86</v>
      </c>
      <c r="B91" s="793" t="s">
        <v>7418</v>
      </c>
      <c r="C91" s="815"/>
      <c r="D91" s="1164" t="s">
        <v>8592</v>
      </c>
      <c r="E91" s="3833">
        <v>48749.700000000004</v>
      </c>
      <c r="F91" s="3833">
        <v>48749.700000000004</v>
      </c>
      <c r="G91" s="1153" t="s">
        <v>5005</v>
      </c>
      <c r="H91" s="2399"/>
      <c r="K91" s="642"/>
      <c r="L91" s="642"/>
    </row>
    <row ht="36" r="92" spans="1:12" x14ac:dyDescent="0.2">
      <c r="A92" s="1076">
        <v>87</v>
      </c>
      <c r="B92" s="793" t="s">
        <v>7101</v>
      </c>
      <c r="C92" s="815"/>
      <c r="D92" s="1164" t="s">
        <v>8593</v>
      </c>
      <c r="E92" s="3833">
        <v>-172.81000000000131</v>
      </c>
      <c r="F92" s="3833">
        <v>-172.79999999999927</v>
      </c>
      <c r="G92" s="1153" t="s">
        <v>5005</v>
      </c>
      <c r="H92" s="2399"/>
      <c r="K92" s="642"/>
      <c r="L92" s="642"/>
    </row>
    <row ht="48" r="93" spans="1:12" x14ac:dyDescent="0.2">
      <c r="A93" s="1076">
        <v>88</v>
      </c>
      <c r="B93" s="793" t="s">
        <v>7102</v>
      </c>
      <c r="C93" s="815"/>
      <c r="D93" s="1164" t="s">
        <v>8594</v>
      </c>
      <c r="E93" s="3833">
        <v>1287.1999999999998</v>
      </c>
      <c r="F93" s="3833">
        <v>1287.1999999999998</v>
      </c>
      <c r="G93" s="1153" t="s">
        <v>5005</v>
      </c>
      <c r="H93" s="2399"/>
      <c r="K93" s="642"/>
      <c r="L93" s="642"/>
    </row>
    <row ht="48" r="94" spans="1:12" x14ac:dyDescent="0.2">
      <c r="A94" s="1076">
        <v>89</v>
      </c>
      <c r="B94" s="793" t="s">
        <v>7103</v>
      </c>
      <c r="C94" s="815"/>
      <c r="D94" s="1164" t="s">
        <v>8595</v>
      </c>
      <c r="E94" s="3833">
        <v>-1170</v>
      </c>
      <c r="F94" s="3833">
        <v>-1170</v>
      </c>
      <c r="G94" s="1153" t="s">
        <v>5005</v>
      </c>
      <c r="H94" s="2399"/>
      <c r="K94" s="642"/>
      <c r="L94" s="642"/>
    </row>
    <row ht="48" r="95" spans="1:12" x14ac:dyDescent="0.2">
      <c r="A95" s="1076">
        <v>90</v>
      </c>
      <c r="B95" s="793" t="s">
        <v>7104</v>
      </c>
      <c r="C95" s="815"/>
      <c r="D95" s="1164" t="s">
        <v>8596</v>
      </c>
      <c r="E95" s="3833">
        <v>53209.189999999995</v>
      </c>
      <c r="F95" s="3833">
        <v>53209.200000000004</v>
      </c>
      <c r="G95" s="1153" t="s">
        <v>5005</v>
      </c>
      <c r="H95" s="2399"/>
      <c r="K95" s="642"/>
      <c r="L95" s="642"/>
    </row>
    <row ht="48" r="96" spans="1:12" x14ac:dyDescent="0.2">
      <c r="A96" s="1076">
        <v>91</v>
      </c>
      <c r="B96" s="3943" t="s">
        <v>8789</v>
      </c>
      <c r="C96" s="3944"/>
      <c r="D96" s="4275" t="s">
        <v>8597</v>
      </c>
      <c r="E96" s="3937">
        <v>-492.28999999999996</v>
      </c>
      <c r="F96" s="3833">
        <v>-492.29</v>
      </c>
      <c r="G96" s="1153" t="s">
        <v>5005</v>
      </c>
      <c r="H96" s="2399" t="s">
        <v>8388</v>
      </c>
      <c r="K96" s="642"/>
      <c r="L96" s="642"/>
    </row>
    <row ht="48" r="97" spans="1:12" x14ac:dyDescent="0.2">
      <c r="A97" s="1076">
        <v>92</v>
      </c>
      <c r="B97" s="793" t="s">
        <v>7142</v>
      </c>
      <c r="C97" s="815"/>
      <c r="D97" s="1164" t="s">
        <v>8598</v>
      </c>
      <c r="E97" s="3833">
        <v>358207.04000000004</v>
      </c>
      <c r="F97" s="3833">
        <v>358207.04000000004</v>
      </c>
      <c r="G97" s="1153" t="s">
        <v>5005</v>
      </c>
      <c r="H97" s="2399"/>
      <c r="K97" s="642"/>
      <c r="L97" s="642"/>
    </row>
    <row ht="48" r="98" spans="1:12" x14ac:dyDescent="0.2">
      <c r="A98" s="1076">
        <v>93</v>
      </c>
      <c r="B98" s="793" t="s">
        <v>7143</v>
      </c>
      <c r="C98" s="815"/>
      <c r="D98" s="1164" t="s">
        <v>8599</v>
      </c>
      <c r="E98" s="3833">
        <v>355989.17000000004</v>
      </c>
      <c r="F98" s="3833">
        <v>355989.17000000004</v>
      </c>
      <c r="G98" s="1153" t="s">
        <v>5005</v>
      </c>
      <c r="H98" s="3734"/>
      <c r="K98" s="642"/>
      <c r="L98" s="642"/>
    </row>
    <row ht="60" r="99" spans="1:12" x14ac:dyDescent="0.2">
      <c r="A99" s="1076">
        <v>94</v>
      </c>
      <c r="B99" s="793" t="s">
        <v>7144</v>
      </c>
      <c r="C99" s="815"/>
      <c r="D99" s="1164" t="s">
        <v>8600</v>
      </c>
      <c r="E99" s="3833">
        <v>37869.849999999991</v>
      </c>
      <c r="F99" s="3833">
        <v>37869.849999999991</v>
      </c>
      <c r="G99" s="1153" t="s">
        <v>5006</v>
      </c>
      <c r="H99" s="2399"/>
      <c r="K99" s="642"/>
      <c r="L99" s="642"/>
    </row>
    <row ht="48" r="100" spans="1:12" x14ac:dyDescent="0.2">
      <c r="A100" s="1076">
        <v>95</v>
      </c>
      <c r="B100" s="793" t="s">
        <v>7145</v>
      </c>
      <c r="C100" s="815"/>
      <c r="D100" s="1164" t="s">
        <v>8601</v>
      </c>
      <c r="E100" s="3833">
        <v>56381.760000000002</v>
      </c>
      <c r="F100" s="3833">
        <v>56381.760000000002</v>
      </c>
      <c r="G100" s="1153" t="s">
        <v>5005</v>
      </c>
      <c r="H100" s="2399"/>
      <c r="K100" s="642"/>
      <c r="L100" s="642"/>
    </row>
    <row ht="60" r="101" spans="1:12" x14ac:dyDescent="0.2">
      <c r="A101" s="1076">
        <v>96</v>
      </c>
      <c r="B101" s="793" t="s">
        <v>7417</v>
      </c>
      <c r="C101" s="815"/>
      <c r="D101" s="1164" t="s">
        <v>8602</v>
      </c>
      <c r="E101" s="3833">
        <v>67110.81</v>
      </c>
      <c r="F101" s="3833">
        <v>65350.729999999996</v>
      </c>
      <c r="G101" s="1153" t="s">
        <v>5005</v>
      </c>
      <c r="H101" s="2399"/>
      <c r="K101" s="642"/>
      <c r="L101" s="642"/>
    </row>
    <row ht="48" r="102" spans="1:12" x14ac:dyDescent="0.2">
      <c r="A102" s="1076">
        <v>97</v>
      </c>
      <c r="B102" s="793" t="s">
        <v>7146</v>
      </c>
      <c r="C102" s="815"/>
      <c r="D102" s="1164" t="s">
        <v>8603</v>
      </c>
      <c r="E102" s="3833">
        <v>16291.592799999999</v>
      </c>
      <c r="F102" s="3833">
        <v>16291.592799999999</v>
      </c>
      <c r="G102" s="1153" t="s">
        <v>5005</v>
      </c>
      <c r="H102" s="2399"/>
      <c r="K102" s="642"/>
      <c r="L102" s="642"/>
    </row>
    <row ht="48" r="103" spans="1:12" x14ac:dyDescent="0.2">
      <c r="A103" s="1076">
        <v>98</v>
      </c>
      <c r="B103" s="793" t="s">
        <v>7147</v>
      </c>
      <c r="C103" s="815"/>
      <c r="D103" s="1164" t="s">
        <v>8604</v>
      </c>
      <c r="E103" s="3833">
        <v>-67.120000000002619</v>
      </c>
      <c r="F103" s="3833">
        <v>-67.120000000002619</v>
      </c>
      <c r="G103" s="1153" t="s">
        <v>5005</v>
      </c>
      <c r="H103" s="2399"/>
      <c r="K103" s="642"/>
      <c r="L103" s="642"/>
    </row>
    <row ht="48" r="104" spans="1:12" x14ac:dyDescent="0.2">
      <c r="A104" s="1076">
        <v>99</v>
      </c>
      <c r="B104" s="793" t="s">
        <v>7105</v>
      </c>
      <c r="C104" s="815"/>
      <c r="D104" s="1164" t="s">
        <v>8605</v>
      </c>
      <c r="E104" s="3833">
        <v>11488.939999999999</v>
      </c>
      <c r="F104" s="3833">
        <v>11488.939999999999</v>
      </c>
      <c r="G104" s="1153" t="s">
        <v>5005</v>
      </c>
      <c r="H104" s="2399"/>
      <c r="K104" s="642"/>
      <c r="L104" s="642"/>
    </row>
    <row ht="48" r="105" spans="1:12" x14ac:dyDescent="0.2">
      <c r="A105" s="1076">
        <v>100</v>
      </c>
      <c r="B105" s="793" t="s">
        <v>7148</v>
      </c>
      <c r="C105" s="815"/>
      <c r="D105" s="1164" t="s">
        <v>8606</v>
      </c>
      <c r="E105" s="3833">
        <v>92245.249999999985</v>
      </c>
      <c r="F105" s="3833">
        <v>92245.249999999985</v>
      </c>
      <c r="G105" s="1153" t="s">
        <v>5005</v>
      </c>
      <c r="H105" s="2399"/>
      <c r="K105" s="642"/>
      <c r="L105" s="642"/>
    </row>
    <row ht="60" r="106" spans="1:12" x14ac:dyDescent="0.2">
      <c r="A106" s="1076">
        <v>101</v>
      </c>
      <c r="B106" s="793" t="s">
        <v>7149</v>
      </c>
      <c r="C106" s="815"/>
      <c r="D106" s="1164" t="s">
        <v>8607</v>
      </c>
      <c r="E106" s="3833">
        <v>97751.33</v>
      </c>
      <c r="F106" s="3833">
        <v>97751.33</v>
      </c>
      <c r="G106" s="1153" t="s">
        <v>5005</v>
      </c>
      <c r="H106" s="2399"/>
      <c r="K106" s="642"/>
      <c r="L106" s="642"/>
    </row>
    <row ht="48" r="107" spans="1:12" x14ac:dyDescent="0.2">
      <c r="A107" s="1076">
        <v>102</v>
      </c>
      <c r="B107" s="793" t="s">
        <v>7150</v>
      </c>
      <c r="C107" s="815"/>
      <c r="D107" s="1164" t="s">
        <v>8608</v>
      </c>
      <c r="E107" s="3833">
        <v>-100076.33</v>
      </c>
      <c r="F107" s="3833">
        <v>-126974.83</v>
      </c>
      <c r="G107" s="1153" t="s">
        <v>5005</v>
      </c>
      <c r="H107" s="2399" t="s">
        <v>8388</v>
      </c>
      <c r="K107" s="642"/>
      <c r="L107" s="642"/>
    </row>
    <row ht="48" r="108" spans="1:12" x14ac:dyDescent="0.2">
      <c r="A108" s="1076">
        <v>103</v>
      </c>
      <c r="B108" s="793" t="s">
        <v>7106</v>
      </c>
      <c r="C108" s="815"/>
      <c r="D108" s="1164" t="s">
        <v>8609</v>
      </c>
      <c r="E108" s="3833">
        <v>51192.36</v>
      </c>
      <c r="F108" s="3833">
        <v>51192.36</v>
      </c>
      <c r="G108" s="1153" t="s">
        <v>5005</v>
      </c>
      <c r="H108" s="2399"/>
      <c r="K108" s="642"/>
      <c r="L108" s="642"/>
    </row>
    <row ht="48" r="109" spans="1:12" x14ac:dyDescent="0.2">
      <c r="A109" s="1076">
        <v>104</v>
      </c>
      <c r="B109" s="793" t="s">
        <v>7107</v>
      </c>
      <c r="C109" s="815"/>
      <c r="D109" s="1164" t="s">
        <v>8610</v>
      </c>
      <c r="E109" s="3833">
        <v>8144.3099999999995</v>
      </c>
      <c r="F109" s="3833">
        <v>8144.32</v>
      </c>
      <c r="G109" s="1153" t="s">
        <v>5005</v>
      </c>
      <c r="H109" s="2399"/>
      <c r="K109" s="642"/>
      <c r="L109" s="642"/>
    </row>
    <row ht="48" r="110" spans="1:12" x14ac:dyDescent="0.2">
      <c r="A110" s="1076">
        <v>105</v>
      </c>
      <c r="B110" s="793" t="s">
        <v>7151</v>
      </c>
      <c r="C110" s="815"/>
      <c r="D110" s="1164" t="s">
        <v>8611</v>
      </c>
      <c r="E110" s="3833">
        <v>523.90999999999985</v>
      </c>
      <c r="F110" s="3833">
        <v>523.90999999999985</v>
      </c>
      <c r="G110" s="1153" t="s">
        <v>5005</v>
      </c>
      <c r="H110" s="2399"/>
      <c r="K110" s="642"/>
      <c r="L110" s="642"/>
    </row>
    <row ht="48" r="111" spans="1:12" x14ac:dyDescent="0.2">
      <c r="A111" s="1076">
        <v>106</v>
      </c>
      <c r="B111" s="793" t="s">
        <v>7108</v>
      </c>
      <c r="C111" s="815"/>
      <c r="D111" s="1164" t="s">
        <v>8612</v>
      </c>
      <c r="E111" s="3833">
        <v>2306.5499999999984</v>
      </c>
      <c r="F111" s="3833">
        <v>2306.5499999999984</v>
      </c>
      <c r="G111" s="1153" t="s">
        <v>5005</v>
      </c>
      <c r="H111" s="2399"/>
      <c r="K111" s="642"/>
      <c r="L111" s="642"/>
    </row>
    <row ht="48" r="112" spans="1:12" x14ac:dyDescent="0.2">
      <c r="A112" s="1076">
        <v>107</v>
      </c>
      <c r="B112" s="793" t="s">
        <v>7152</v>
      </c>
      <c r="C112" s="815"/>
      <c r="D112" s="1164" t="s">
        <v>8613</v>
      </c>
      <c r="E112" s="3833">
        <v>9684.77</v>
      </c>
      <c r="F112" s="3833">
        <v>9684.77</v>
      </c>
      <c r="G112" s="1153" t="s">
        <v>5005</v>
      </c>
      <c r="H112" s="2399"/>
      <c r="K112" s="642"/>
      <c r="L112" s="642"/>
    </row>
    <row ht="48" r="113" spans="1:12" x14ac:dyDescent="0.2">
      <c r="A113" s="1076">
        <v>108</v>
      </c>
      <c r="B113" s="793" t="s">
        <v>7153</v>
      </c>
      <c r="C113" s="815"/>
      <c r="D113" s="1164" t="s">
        <v>8614</v>
      </c>
      <c r="E113" s="3833">
        <v>-3888.6671999999999</v>
      </c>
      <c r="F113" s="3833">
        <v>-3888.6671999999999</v>
      </c>
      <c r="G113" s="1153" t="s">
        <v>5006</v>
      </c>
      <c r="H113" s="2399"/>
      <c r="K113" s="642"/>
      <c r="L113" s="642"/>
    </row>
    <row ht="60" r="114" spans="1:12" x14ac:dyDescent="0.2">
      <c r="A114" s="1076">
        <v>109</v>
      </c>
      <c r="B114" s="793" t="s">
        <v>7154</v>
      </c>
      <c r="C114" s="815"/>
      <c r="D114" s="1164" t="s">
        <v>8615</v>
      </c>
      <c r="E114" s="3833">
        <v>-130.20000000000005</v>
      </c>
      <c r="F114" s="3833">
        <v>-130.20000000000005</v>
      </c>
      <c r="G114" s="1153" t="s">
        <v>5005</v>
      </c>
      <c r="H114" s="2399"/>
      <c r="K114" s="642"/>
      <c r="L114" s="642"/>
    </row>
    <row ht="48" r="115" spans="1:12" x14ac:dyDescent="0.2">
      <c r="A115" s="1076">
        <v>110</v>
      </c>
      <c r="B115" s="793" t="s">
        <v>7109</v>
      </c>
      <c r="C115" s="815"/>
      <c r="D115" s="1164" t="s">
        <v>8616</v>
      </c>
      <c r="E115" s="3833">
        <v>109197.40000000001</v>
      </c>
      <c r="F115" s="3833">
        <v>109197.40000000001</v>
      </c>
      <c r="G115" s="1153" t="s">
        <v>5006</v>
      </c>
      <c r="H115" s="2399"/>
      <c r="K115" s="642"/>
      <c r="L115" s="642"/>
    </row>
    <row ht="48" r="116" spans="1:12" x14ac:dyDescent="0.2">
      <c r="A116" s="1076">
        <v>111</v>
      </c>
      <c r="B116" s="793" t="s">
        <v>7110</v>
      </c>
      <c r="C116" s="815"/>
      <c r="D116" s="1164" t="s">
        <v>8617</v>
      </c>
      <c r="E116" s="3833">
        <v>-2160.0199999999968</v>
      </c>
      <c r="F116" s="3833">
        <v>-2160.0199999999968</v>
      </c>
      <c r="G116" s="1153" t="s">
        <v>5006</v>
      </c>
      <c r="H116" s="2399"/>
      <c r="K116" s="642"/>
      <c r="L116" s="642"/>
    </row>
    <row ht="48" r="117" spans="1:12" x14ac:dyDescent="0.2">
      <c r="A117" s="1076">
        <v>112</v>
      </c>
      <c r="B117" s="793" t="s">
        <v>7155</v>
      </c>
      <c r="C117" s="815"/>
      <c r="D117" s="1164" t="s">
        <v>8618</v>
      </c>
      <c r="E117" s="3833">
        <v>24200.9</v>
      </c>
      <c r="F117" s="3833">
        <v>24200.9</v>
      </c>
      <c r="G117" s="1153" t="s">
        <v>5005</v>
      </c>
      <c r="H117" s="2399"/>
      <c r="K117" s="642"/>
      <c r="L117" s="642"/>
    </row>
    <row ht="60" r="118" spans="1:12" x14ac:dyDescent="0.2">
      <c r="A118" s="1076">
        <v>113</v>
      </c>
      <c r="B118" s="793" t="s">
        <v>7156</v>
      </c>
      <c r="C118" s="815"/>
      <c r="D118" s="1164" t="s">
        <v>8619</v>
      </c>
      <c r="E118" s="3833">
        <v>42843.789999999994</v>
      </c>
      <c r="F118" s="3833">
        <v>42843.789999999994</v>
      </c>
      <c r="G118" s="1153" t="s">
        <v>5006</v>
      </c>
      <c r="H118" s="2399"/>
      <c r="K118" s="642"/>
    </row>
    <row ht="48" r="119" spans="1:12" x14ac:dyDescent="0.2">
      <c r="A119" s="1076">
        <v>114</v>
      </c>
      <c r="B119" s="793" t="s">
        <v>7111</v>
      </c>
      <c r="C119" s="815"/>
      <c r="D119" s="1164" t="s">
        <v>8620</v>
      </c>
      <c r="E119" s="3833">
        <v>3826.87</v>
      </c>
      <c r="F119" s="3833">
        <v>3826.87</v>
      </c>
      <c r="G119" s="1153" t="s">
        <v>5005</v>
      </c>
      <c r="H119" s="2399"/>
      <c r="K119" s="642"/>
    </row>
    <row ht="48" r="120" spans="1:12" x14ac:dyDescent="0.2">
      <c r="A120" s="1076">
        <v>115</v>
      </c>
      <c r="B120" s="793" t="s">
        <v>7112</v>
      </c>
      <c r="C120" s="815"/>
      <c r="D120" s="1164" t="s">
        <v>8621</v>
      </c>
      <c r="E120" s="3833">
        <v>11850</v>
      </c>
      <c r="F120" s="3833">
        <v>11850</v>
      </c>
      <c r="G120" s="1153" t="s">
        <v>5005</v>
      </c>
      <c r="H120" s="2399"/>
    </row>
    <row ht="48" r="121" spans="1:12" x14ac:dyDescent="0.2">
      <c r="A121" s="1076">
        <v>116</v>
      </c>
      <c r="B121" s="793" t="s">
        <v>7190</v>
      </c>
      <c r="C121" s="815"/>
      <c r="D121" s="1164" t="s">
        <v>8622</v>
      </c>
      <c r="E121" s="3833">
        <v>-1219.8500000000004</v>
      </c>
      <c r="F121" s="3833">
        <v>-1219.8500000000004</v>
      </c>
      <c r="G121" s="1153" t="s">
        <v>5006</v>
      </c>
      <c r="H121" s="2399"/>
    </row>
    <row ht="48" r="122" spans="1:12" x14ac:dyDescent="0.2">
      <c r="A122" s="1076">
        <v>117</v>
      </c>
      <c r="B122" s="793" t="s">
        <v>7191</v>
      </c>
      <c r="C122" s="815"/>
      <c r="D122" s="1164" t="s">
        <v>8623</v>
      </c>
      <c r="E122" s="3833">
        <v>26112.53</v>
      </c>
      <c r="F122" s="3833">
        <v>26112.53</v>
      </c>
      <c r="G122" s="1153" t="s">
        <v>5006</v>
      </c>
      <c r="H122" s="2399"/>
    </row>
    <row ht="48" r="123" spans="1:12" x14ac:dyDescent="0.2">
      <c r="A123" s="1076">
        <v>118</v>
      </c>
      <c r="B123" s="793" t="s">
        <v>7192</v>
      </c>
      <c r="C123" s="815"/>
      <c r="D123" s="1164" t="s">
        <v>8624</v>
      </c>
      <c r="E123" s="3833">
        <v>21899.829999999994</v>
      </c>
      <c r="F123" s="3833">
        <v>21899.829999999994</v>
      </c>
      <c r="G123" s="1153" t="s">
        <v>5006</v>
      </c>
      <c r="H123" s="2399"/>
    </row>
    <row ht="48" r="124" spans="1:12" x14ac:dyDescent="0.2">
      <c r="A124" s="1076">
        <v>119</v>
      </c>
      <c r="B124" s="793" t="s">
        <v>7193</v>
      </c>
      <c r="C124" s="815"/>
      <c r="D124" s="1164" t="s">
        <v>8625</v>
      </c>
      <c r="E124" s="3833">
        <v>59919.75</v>
      </c>
      <c r="F124" s="3833">
        <v>59919.75</v>
      </c>
      <c r="G124" s="1153" t="s">
        <v>5006</v>
      </c>
      <c r="H124" s="2399"/>
    </row>
    <row ht="48" r="125" spans="1:12" x14ac:dyDescent="0.2">
      <c r="A125" s="1076">
        <v>120</v>
      </c>
      <c r="B125" s="793" t="s">
        <v>7161</v>
      </c>
      <c r="C125" s="815"/>
      <c r="D125" s="1164" t="s">
        <v>8626</v>
      </c>
      <c r="E125" s="3833">
        <v>21767.35</v>
      </c>
      <c r="F125" s="3833">
        <v>21767.35</v>
      </c>
      <c r="G125" s="1153" t="s">
        <v>5006</v>
      </c>
      <c r="H125" s="2399"/>
    </row>
    <row ht="48" r="126" spans="1:12" x14ac:dyDescent="0.2">
      <c r="A126" s="1076">
        <v>121</v>
      </c>
      <c r="B126" s="3011" t="s">
        <v>7194</v>
      </c>
      <c r="C126" s="815"/>
      <c r="D126" s="1164" t="s">
        <v>8627</v>
      </c>
      <c r="E126" s="3833">
        <v>843.5</v>
      </c>
      <c r="F126" s="3833">
        <v>843.5</v>
      </c>
      <c r="G126" s="1153" t="s">
        <v>5005</v>
      </c>
      <c r="H126" s="2399"/>
    </row>
    <row ht="48" r="127" spans="1:12" x14ac:dyDescent="0.2">
      <c r="A127" s="1076">
        <v>122</v>
      </c>
      <c r="B127" s="793" t="s">
        <v>7162</v>
      </c>
      <c r="C127" s="815"/>
      <c r="D127" s="1164" t="s">
        <v>8628</v>
      </c>
      <c r="E127" s="3833">
        <v>10664.400000000001</v>
      </c>
      <c r="F127" s="3833">
        <v>10664.400000000001</v>
      </c>
      <c r="G127" s="1153" t="s">
        <v>5005</v>
      </c>
      <c r="H127" s="2399"/>
    </row>
    <row ht="48" r="128" spans="1:12" x14ac:dyDescent="0.2">
      <c r="A128" s="1076">
        <v>123</v>
      </c>
      <c r="B128" s="793" t="s">
        <v>7337</v>
      </c>
      <c r="C128" s="815"/>
      <c r="D128" s="1164" t="s">
        <v>8629</v>
      </c>
      <c r="E128" s="3833">
        <v>-3515</v>
      </c>
      <c r="F128" s="3833">
        <v>-3515</v>
      </c>
      <c r="G128" s="1153" t="s">
        <v>5005</v>
      </c>
      <c r="H128" s="2399"/>
    </row>
    <row ht="48" r="129" spans="1:8" x14ac:dyDescent="0.2">
      <c r="A129" s="1076">
        <v>124</v>
      </c>
      <c r="B129" s="793" t="s">
        <v>7195</v>
      </c>
      <c r="C129" s="815"/>
      <c r="D129" s="1164" t="s">
        <v>8630</v>
      </c>
      <c r="E129" s="3833">
        <v>0</v>
      </c>
      <c r="F129" s="3833">
        <v>0</v>
      </c>
      <c r="G129" s="1153" t="s">
        <v>5005</v>
      </c>
      <c r="H129" s="2399"/>
    </row>
    <row ht="48" r="130" spans="1:8" x14ac:dyDescent="0.2">
      <c r="A130" s="1076">
        <v>125</v>
      </c>
      <c r="B130" s="793" t="s">
        <v>7196</v>
      </c>
      <c r="C130" s="815"/>
      <c r="D130" s="1164" t="s">
        <v>8631</v>
      </c>
      <c r="E130" s="3833">
        <v>-91.25</v>
      </c>
      <c r="F130" s="3833">
        <v>-91.25</v>
      </c>
      <c r="G130" s="1153" t="s">
        <v>5005</v>
      </c>
      <c r="H130" s="2399"/>
    </row>
    <row ht="48" r="131" spans="1:8" x14ac:dyDescent="0.2">
      <c r="A131" s="1076">
        <v>126</v>
      </c>
      <c r="B131" s="793" t="s">
        <v>7163</v>
      </c>
      <c r="C131" s="815"/>
      <c r="D131" s="1164" t="s">
        <v>8632</v>
      </c>
      <c r="E131" s="3833">
        <v>-1351.5</v>
      </c>
      <c r="F131" s="3833">
        <v>-1351.5</v>
      </c>
      <c r="G131" s="1153" t="s">
        <v>5005</v>
      </c>
      <c r="H131" s="2399"/>
    </row>
    <row ht="48" r="132" spans="1:8" x14ac:dyDescent="0.2">
      <c r="A132" s="1076">
        <v>127</v>
      </c>
      <c r="B132" s="793" t="s">
        <v>7164</v>
      </c>
      <c r="C132" s="815"/>
      <c r="D132" s="1164" t="s">
        <v>8633</v>
      </c>
      <c r="E132" s="3833">
        <v>398.6</v>
      </c>
      <c r="F132" s="3833">
        <v>148.60000000000002</v>
      </c>
      <c r="G132" s="1153" t="s">
        <v>5006</v>
      </c>
      <c r="H132" s="2399"/>
    </row>
    <row ht="48" r="133" spans="1:8" x14ac:dyDescent="0.2">
      <c r="A133" s="1076">
        <v>128</v>
      </c>
      <c r="B133" s="793" t="s">
        <v>7197</v>
      </c>
      <c r="C133" s="815"/>
      <c r="D133" s="1164" t="s">
        <v>8634</v>
      </c>
      <c r="E133" s="3833">
        <v>-102.64999999999998</v>
      </c>
      <c r="F133" s="3833">
        <v>-102.64999999999998</v>
      </c>
      <c r="G133" s="1153" t="s">
        <v>5006</v>
      </c>
      <c r="H133" s="2399"/>
    </row>
    <row ht="48" r="134" spans="1:8" x14ac:dyDescent="0.2">
      <c r="A134" s="1076">
        <v>129</v>
      </c>
      <c r="B134" s="793" t="s">
        <v>7165</v>
      </c>
      <c r="C134" s="815"/>
      <c r="D134" s="1164" t="s">
        <v>8635</v>
      </c>
      <c r="E134" s="3833">
        <v>314610.24</v>
      </c>
      <c r="F134" s="3833">
        <v>314610.24</v>
      </c>
      <c r="G134" s="1153" t="s">
        <v>5006</v>
      </c>
      <c r="H134" s="2399"/>
    </row>
    <row ht="48" r="135" spans="1:8" x14ac:dyDescent="0.2">
      <c r="A135" s="1076">
        <v>130</v>
      </c>
      <c r="B135" s="793" t="s">
        <v>7166</v>
      </c>
      <c r="C135" s="815"/>
      <c r="D135" s="1164" t="s">
        <v>8636</v>
      </c>
      <c r="E135" s="3833">
        <v>15125.4</v>
      </c>
      <c r="F135" s="3833">
        <v>15125.4</v>
      </c>
      <c r="G135" s="1153" t="s">
        <v>5005</v>
      </c>
      <c r="H135" s="2399"/>
    </row>
    <row ht="60" r="136" spans="1:8" x14ac:dyDescent="0.2">
      <c r="A136" s="1076">
        <v>131</v>
      </c>
      <c r="B136" s="793" t="s">
        <v>7167</v>
      </c>
      <c r="C136" s="815"/>
      <c r="D136" s="1164" t="s">
        <v>8637</v>
      </c>
      <c r="E136" s="3833">
        <v>12245.600000000002</v>
      </c>
      <c r="F136" s="3833">
        <v>12245.600000000002</v>
      </c>
      <c r="G136" s="1153" t="s">
        <v>5005</v>
      </c>
      <c r="H136" s="2399"/>
    </row>
    <row ht="48" r="137" spans="1:8" x14ac:dyDescent="0.2">
      <c r="A137" s="1076">
        <v>132</v>
      </c>
      <c r="B137" s="793" t="s">
        <v>7198</v>
      </c>
      <c r="C137" s="815"/>
      <c r="D137" s="1164" t="s">
        <v>8638</v>
      </c>
      <c r="E137" s="3833">
        <v>1016.1100000000001</v>
      </c>
      <c r="F137" s="3833">
        <v>1016.1100000000001</v>
      </c>
      <c r="G137" s="1153" t="s">
        <v>5005</v>
      </c>
      <c r="H137" s="2399"/>
    </row>
    <row ht="48" r="138" spans="1:8" x14ac:dyDescent="0.2">
      <c r="A138" s="1076">
        <v>133</v>
      </c>
      <c r="B138" s="793" t="s">
        <v>7168</v>
      </c>
      <c r="C138" s="815"/>
      <c r="D138" s="1164" t="s">
        <v>8639</v>
      </c>
      <c r="E138" s="3833">
        <v>18096</v>
      </c>
      <c r="F138" s="3833">
        <v>18096</v>
      </c>
      <c r="G138" s="1153" t="s">
        <v>5005</v>
      </c>
      <c r="H138" s="2399"/>
    </row>
    <row ht="48" r="139" spans="1:8" x14ac:dyDescent="0.2">
      <c r="A139" s="1076">
        <v>134</v>
      </c>
      <c r="B139" s="793" t="s">
        <v>7199</v>
      </c>
      <c r="C139" s="815"/>
      <c r="D139" s="1164" t="s">
        <v>8640</v>
      </c>
      <c r="E139" s="3833">
        <v>11751.369999999999</v>
      </c>
      <c r="F139" s="3833">
        <v>10065.91</v>
      </c>
      <c r="G139" s="1153" t="s">
        <v>5005</v>
      </c>
      <c r="H139" s="2399"/>
    </row>
    <row ht="48" r="140" spans="1:8" x14ac:dyDescent="0.2">
      <c r="A140" s="1076">
        <v>135</v>
      </c>
      <c r="B140" s="793" t="s">
        <v>7169</v>
      </c>
      <c r="C140" s="815"/>
      <c r="D140" s="1164" t="s">
        <v>8641</v>
      </c>
      <c r="E140" s="3833">
        <v>38973.800000000003</v>
      </c>
      <c r="F140" s="3833">
        <v>38973.800000000003</v>
      </c>
      <c r="G140" s="1153" t="s">
        <v>5005</v>
      </c>
      <c r="H140" s="2399"/>
    </row>
    <row ht="48" r="141" spans="1:8" x14ac:dyDescent="0.2">
      <c r="A141" s="1076">
        <v>136</v>
      </c>
      <c r="B141" s="793" t="s">
        <v>7170</v>
      </c>
      <c r="C141" s="815"/>
      <c r="D141" s="1164" t="s">
        <v>8642</v>
      </c>
      <c r="E141" s="3833">
        <v>1410</v>
      </c>
      <c r="F141" s="3833">
        <v>1410</v>
      </c>
      <c r="G141" s="1153" t="s">
        <v>5005</v>
      </c>
      <c r="H141" s="2399"/>
    </row>
    <row ht="48" r="142" spans="1:8" x14ac:dyDescent="0.2">
      <c r="A142" s="1076">
        <v>137</v>
      </c>
      <c r="B142" s="793" t="s">
        <v>7171</v>
      </c>
      <c r="C142" s="815"/>
      <c r="D142" s="1164" t="s">
        <v>8643</v>
      </c>
      <c r="E142" s="3833">
        <v>95</v>
      </c>
      <c r="F142" s="3833">
        <v>95</v>
      </c>
      <c r="G142" s="1153" t="s">
        <v>5005</v>
      </c>
      <c r="H142" s="2399"/>
    </row>
    <row ht="36" r="143" spans="1:8" x14ac:dyDescent="0.2">
      <c r="A143" s="1076">
        <v>138</v>
      </c>
      <c r="B143" s="3943" t="s">
        <v>8794</v>
      </c>
      <c r="C143" s="3944"/>
      <c r="D143" s="4274" t="s">
        <v>8793</v>
      </c>
      <c r="E143" s="3937">
        <v>88510.1</v>
      </c>
      <c r="F143" s="3833">
        <v>95896.110000000015</v>
      </c>
      <c r="G143" s="1153" t="s">
        <v>5005</v>
      </c>
      <c r="H143" s="2399" t="s">
        <v>8388</v>
      </c>
    </row>
    <row ht="48" r="144" spans="1:8" x14ac:dyDescent="0.2">
      <c r="A144" s="1076">
        <v>139</v>
      </c>
      <c r="B144" s="793" t="s">
        <v>7172</v>
      </c>
      <c r="C144" s="815"/>
      <c r="D144" s="1164" t="s">
        <v>8644</v>
      </c>
      <c r="E144" s="3833">
        <v>36284.479999999996</v>
      </c>
      <c r="F144" s="3833">
        <v>36284.479999999996</v>
      </c>
      <c r="G144" s="1153" t="s">
        <v>5005</v>
      </c>
      <c r="H144" s="2399"/>
    </row>
    <row ht="48" r="145" spans="1:8" x14ac:dyDescent="0.2">
      <c r="A145" s="1076">
        <v>140</v>
      </c>
      <c r="B145" s="793" t="s">
        <v>7200</v>
      </c>
      <c r="C145" s="815"/>
      <c r="D145" s="1164" t="s">
        <v>8645</v>
      </c>
      <c r="E145" s="3833">
        <v>4289.92</v>
      </c>
      <c r="F145" s="3833">
        <v>6858.92</v>
      </c>
      <c r="G145" s="1153" t="s">
        <v>5005</v>
      </c>
      <c r="H145" s="2399"/>
    </row>
    <row ht="48" r="146" spans="1:8" x14ac:dyDescent="0.2">
      <c r="A146" s="1076">
        <v>141</v>
      </c>
      <c r="B146" s="793" t="s">
        <v>7201</v>
      </c>
      <c r="C146" s="815"/>
      <c r="D146" s="1164" t="s">
        <v>8646</v>
      </c>
      <c r="E146" s="3833">
        <v>204609.29</v>
      </c>
      <c r="F146" s="3833">
        <v>204609.29</v>
      </c>
      <c r="G146" s="1153" t="s">
        <v>5005</v>
      </c>
      <c r="H146" s="2399"/>
    </row>
    <row ht="48" r="147" spans="1:8" x14ac:dyDescent="0.2">
      <c r="A147" s="1076">
        <v>142</v>
      </c>
      <c r="B147" s="793" t="s">
        <v>7173</v>
      </c>
      <c r="C147" s="815"/>
      <c r="D147" s="1164" t="s">
        <v>8647</v>
      </c>
      <c r="E147" s="3833">
        <v>48451.14</v>
      </c>
      <c r="F147" s="3833">
        <v>48451.14</v>
      </c>
      <c r="G147" s="1153" t="s">
        <v>5005</v>
      </c>
      <c r="H147" s="2399"/>
    </row>
    <row ht="48" r="148" spans="1:8" x14ac:dyDescent="0.2">
      <c r="A148" s="1076">
        <v>143</v>
      </c>
      <c r="B148" s="793" t="s">
        <v>7202</v>
      </c>
      <c r="C148" s="815"/>
      <c r="D148" s="1164" t="s">
        <v>8648</v>
      </c>
      <c r="E148" s="3833">
        <v>-358.5</v>
      </c>
      <c r="F148" s="3833">
        <v>-358.5</v>
      </c>
      <c r="G148" s="1153" t="s">
        <v>5006</v>
      </c>
      <c r="H148" s="2399"/>
    </row>
    <row ht="48" r="149" spans="1:8" x14ac:dyDescent="0.2">
      <c r="A149" s="1076">
        <v>144</v>
      </c>
      <c r="B149" s="793" t="s">
        <v>7174</v>
      </c>
      <c r="C149" s="815"/>
      <c r="D149" s="1164" t="s">
        <v>8649</v>
      </c>
      <c r="E149" s="3833">
        <v>19487.989999999998</v>
      </c>
      <c r="F149" s="3833">
        <v>19487.989999999998</v>
      </c>
      <c r="G149" s="1153" t="s">
        <v>5006</v>
      </c>
      <c r="H149" s="2399"/>
    </row>
    <row ht="36" r="150" spans="1:8" x14ac:dyDescent="0.2">
      <c r="A150" s="1076">
        <v>145</v>
      </c>
      <c r="B150" s="793" t="s">
        <v>7175</v>
      </c>
      <c r="C150" s="815"/>
      <c r="D150" s="1164" t="s">
        <v>8650</v>
      </c>
      <c r="E150" s="3833">
        <v>3675.49</v>
      </c>
      <c r="F150" s="3833">
        <v>3675.49</v>
      </c>
      <c r="G150" s="1153" t="s">
        <v>5006</v>
      </c>
      <c r="H150" s="2399"/>
    </row>
    <row ht="48" r="151" spans="1:8" x14ac:dyDescent="0.2">
      <c r="A151" s="1076">
        <v>146</v>
      </c>
      <c r="B151" s="793" t="s">
        <v>7176</v>
      </c>
      <c r="C151" s="815"/>
      <c r="D151" s="1164" t="s">
        <v>8651</v>
      </c>
      <c r="E151" s="3833">
        <v>5366.41</v>
      </c>
      <c r="F151" s="3833">
        <v>5366.41</v>
      </c>
      <c r="G151" s="1153" t="s">
        <v>5006</v>
      </c>
      <c r="H151" s="2399"/>
    </row>
    <row ht="48" r="152" spans="1:8" x14ac:dyDescent="0.2">
      <c r="A152" s="1076">
        <v>147</v>
      </c>
      <c r="B152" s="793" t="s">
        <v>7177</v>
      </c>
      <c r="C152" s="815"/>
      <c r="D152" s="1164" t="s">
        <v>8652</v>
      </c>
      <c r="E152" s="3833">
        <v>2480.56</v>
      </c>
      <c r="F152" s="3833">
        <v>2480.5700000000002</v>
      </c>
      <c r="G152" s="1153" t="s">
        <v>5006</v>
      </c>
      <c r="H152" s="2399"/>
    </row>
    <row ht="48" r="153" spans="1:8" x14ac:dyDescent="0.2">
      <c r="A153" s="1076">
        <v>148</v>
      </c>
      <c r="B153" s="793" t="s">
        <v>7178</v>
      </c>
      <c r="C153" s="815"/>
      <c r="D153" s="1164" t="s">
        <v>8653</v>
      </c>
      <c r="E153" s="3833">
        <v>4515</v>
      </c>
      <c r="F153" s="3833">
        <v>4515</v>
      </c>
      <c r="G153" s="1153" t="s">
        <v>5006</v>
      </c>
      <c r="H153" s="2399"/>
    </row>
    <row ht="48" r="154" spans="1:8" x14ac:dyDescent="0.2">
      <c r="A154" s="1076">
        <v>149</v>
      </c>
      <c r="B154" s="793" t="s">
        <v>8801</v>
      </c>
      <c r="C154" s="815"/>
      <c r="D154" s="1164" t="s">
        <v>8654</v>
      </c>
      <c r="E154" s="3833">
        <v>-4527.119999999999</v>
      </c>
      <c r="F154" s="3833">
        <v>-4527.119999999999</v>
      </c>
      <c r="G154" s="1153" t="s">
        <v>5006</v>
      </c>
      <c r="H154" s="2399"/>
    </row>
    <row ht="48" r="155" spans="1:8" x14ac:dyDescent="0.2">
      <c r="A155" s="1076">
        <v>150</v>
      </c>
      <c r="B155" s="793" t="s">
        <v>8802</v>
      </c>
      <c r="C155" s="815"/>
      <c r="D155" s="1164" t="s">
        <v>8655</v>
      </c>
      <c r="E155" s="3833">
        <v>5755.1200000000008</v>
      </c>
      <c r="F155" s="3833">
        <v>5755.1200000000008</v>
      </c>
      <c r="G155" s="1153" t="s">
        <v>5006</v>
      </c>
      <c r="H155" s="2399"/>
    </row>
    <row ht="48" r="156" spans="1:8" x14ac:dyDescent="0.2">
      <c r="A156" s="1076">
        <v>151</v>
      </c>
      <c r="B156" s="793" t="s">
        <v>8803</v>
      </c>
      <c r="C156" s="815"/>
      <c r="D156" s="1164" t="s">
        <v>8656</v>
      </c>
      <c r="E156" s="3833">
        <v>36954.699999999997</v>
      </c>
      <c r="F156" s="3833">
        <v>36954.699999999997</v>
      </c>
      <c r="G156" s="1153" t="s">
        <v>5006</v>
      </c>
      <c r="H156" s="2399"/>
    </row>
    <row ht="48" r="157" spans="1:8" x14ac:dyDescent="0.2">
      <c r="A157" s="1076">
        <v>152</v>
      </c>
      <c r="B157" s="793" t="s">
        <v>8804</v>
      </c>
      <c r="C157" s="815"/>
      <c r="D157" s="1164" t="s">
        <v>8657</v>
      </c>
      <c r="E157" s="3833">
        <v>1417.1999999999998</v>
      </c>
      <c r="F157" s="3833">
        <v>1417.1999999999998</v>
      </c>
      <c r="G157" s="1153" t="s">
        <v>5006</v>
      </c>
      <c r="H157" s="2399"/>
    </row>
    <row ht="48" r="158" spans="1:8" x14ac:dyDescent="0.2">
      <c r="A158" s="1076">
        <v>153</v>
      </c>
      <c r="B158" s="793" t="s">
        <v>8805</v>
      </c>
      <c r="C158" s="815"/>
      <c r="D158" s="1164" t="s">
        <v>8658</v>
      </c>
      <c r="E158" s="3833">
        <v>53913.25</v>
      </c>
      <c r="F158" s="3833">
        <v>53913.25</v>
      </c>
      <c r="G158" s="1153" t="s">
        <v>5006</v>
      </c>
      <c r="H158" s="2399"/>
    </row>
    <row ht="48" r="159" spans="1:8" x14ac:dyDescent="0.2">
      <c r="A159" s="1076">
        <v>154</v>
      </c>
      <c r="B159" s="3012" t="s">
        <v>7179</v>
      </c>
      <c r="C159" s="820"/>
      <c r="D159" s="1164" t="s">
        <v>8659</v>
      </c>
      <c r="E159" s="3833">
        <v>2435.7600000000002</v>
      </c>
      <c r="F159" s="3833">
        <v>2435.7600000000002</v>
      </c>
      <c r="G159" s="1153" t="s">
        <v>5005</v>
      </c>
      <c r="H159" s="2399"/>
    </row>
    <row ht="48" r="160" spans="1:8" x14ac:dyDescent="0.2">
      <c r="A160" s="1076">
        <v>155</v>
      </c>
      <c r="B160" s="3006" t="s">
        <v>7203</v>
      </c>
      <c r="C160" s="817"/>
      <c r="D160" s="1166" t="s">
        <v>8660</v>
      </c>
      <c r="E160" s="3833">
        <v>11939.059999999998</v>
      </c>
      <c r="F160" s="3833">
        <v>11939.07</v>
      </c>
      <c r="G160" s="1153" t="s">
        <v>5005</v>
      </c>
      <c r="H160" s="2399"/>
    </row>
    <row ht="48" r="161" spans="1:8" x14ac:dyDescent="0.2">
      <c r="A161" s="1076">
        <v>156</v>
      </c>
      <c r="B161" s="3013" t="s">
        <v>7204</v>
      </c>
      <c r="C161" s="818"/>
      <c r="D161" s="1167" t="s">
        <v>8661</v>
      </c>
      <c r="E161" s="3833">
        <v>12567.969999999998</v>
      </c>
      <c r="F161" s="3833">
        <v>12567.98</v>
      </c>
      <c r="G161" s="1153" t="s">
        <v>5005</v>
      </c>
      <c r="H161" s="2399"/>
    </row>
    <row ht="48" r="162" spans="1:8" x14ac:dyDescent="0.2">
      <c r="A162" s="1076">
        <v>157</v>
      </c>
      <c r="B162" s="3006" t="s">
        <v>7205</v>
      </c>
      <c r="C162" s="819"/>
      <c r="D162" s="1167" t="s">
        <v>8662</v>
      </c>
      <c r="E162" s="3833">
        <v>11922.75</v>
      </c>
      <c r="F162" s="3833">
        <v>11922.75</v>
      </c>
      <c r="G162" s="1153" t="s">
        <v>5005</v>
      </c>
      <c r="H162" s="2399"/>
    </row>
    <row ht="48" r="163" spans="1:8" x14ac:dyDescent="0.2">
      <c r="A163" s="1076">
        <v>158</v>
      </c>
      <c r="B163" s="3006" t="s">
        <v>7206</v>
      </c>
      <c r="C163" s="819"/>
      <c r="D163" s="1167" t="s">
        <v>8663</v>
      </c>
      <c r="E163" s="3833">
        <v>31412.67</v>
      </c>
      <c r="F163" s="3833">
        <v>31412.67</v>
      </c>
      <c r="G163" s="1153" t="s">
        <v>5005</v>
      </c>
      <c r="H163" s="2399"/>
    </row>
    <row ht="48" r="164" spans="1:8" x14ac:dyDescent="0.2">
      <c r="A164" s="1076">
        <v>159</v>
      </c>
      <c r="B164" s="3006" t="s">
        <v>7207</v>
      </c>
      <c r="C164" s="817"/>
      <c r="D164" s="1167" t="s">
        <v>8664</v>
      </c>
      <c r="E164" s="3852">
        <v>1872.75</v>
      </c>
      <c r="F164" s="3852">
        <v>1872.75</v>
      </c>
      <c r="G164" s="1153" t="s">
        <v>5005</v>
      </c>
      <c r="H164" s="2399"/>
    </row>
    <row ht="48" r="165" spans="1:8" x14ac:dyDescent="0.2">
      <c r="A165" s="1076">
        <v>160</v>
      </c>
      <c r="B165" s="3006" t="s">
        <v>7208</v>
      </c>
      <c r="C165" s="817"/>
      <c r="D165" s="1167" t="s">
        <v>8665</v>
      </c>
      <c r="E165" s="3833">
        <v>65083.839999999997</v>
      </c>
      <c r="F165" s="3833">
        <v>65083.839999999997</v>
      </c>
      <c r="G165" s="1153" t="s">
        <v>5005</v>
      </c>
      <c r="H165" s="2399"/>
    </row>
    <row ht="48" r="166" spans="1:8" x14ac:dyDescent="0.2">
      <c r="A166" s="1076">
        <v>161</v>
      </c>
      <c r="B166" s="3006" t="s">
        <v>7180</v>
      </c>
      <c r="C166" s="817"/>
      <c r="D166" s="1167" t="s">
        <v>8666</v>
      </c>
      <c r="E166" s="3833">
        <v>3925</v>
      </c>
      <c r="F166" s="3833">
        <v>3925</v>
      </c>
      <c r="G166" s="1153" t="s">
        <v>5005</v>
      </c>
      <c r="H166" s="2399"/>
    </row>
    <row ht="48" r="167" spans="1:8" x14ac:dyDescent="0.2">
      <c r="A167" s="1076">
        <v>162</v>
      </c>
      <c r="B167" s="4121" t="s">
        <v>8807</v>
      </c>
      <c r="C167" s="4122"/>
      <c r="D167" s="4273" t="s">
        <v>8667</v>
      </c>
      <c r="E167" s="3937">
        <v>4075</v>
      </c>
      <c r="F167" s="3833">
        <v>4075</v>
      </c>
      <c r="G167" s="1153" t="s">
        <v>5005</v>
      </c>
      <c r="H167" s="2399"/>
    </row>
    <row ht="48" r="168" spans="1:8" x14ac:dyDescent="0.2">
      <c r="A168" s="1076">
        <v>163</v>
      </c>
      <c r="B168" s="3006" t="s">
        <v>7209</v>
      </c>
      <c r="C168" s="817"/>
      <c r="D168" s="1167" t="s">
        <v>8668</v>
      </c>
      <c r="E168" s="3833">
        <v>85720.37</v>
      </c>
      <c r="F168" s="3833">
        <v>85720.37</v>
      </c>
      <c r="G168" s="1153" t="s">
        <v>5005</v>
      </c>
      <c r="H168" s="2399"/>
    </row>
    <row ht="36" r="169" spans="1:8" x14ac:dyDescent="0.2">
      <c r="A169" s="1076">
        <v>164</v>
      </c>
      <c r="B169" s="3006" t="s">
        <v>7181</v>
      </c>
      <c r="C169" s="817"/>
      <c r="D169" s="1167" t="s">
        <v>8669</v>
      </c>
      <c r="E169" s="3833">
        <v>96</v>
      </c>
      <c r="F169" s="3833">
        <v>96</v>
      </c>
      <c r="G169" s="1153" t="s">
        <v>5005</v>
      </c>
      <c r="H169" s="2399"/>
    </row>
    <row ht="48" r="170" spans="1:8" x14ac:dyDescent="0.2">
      <c r="A170" s="1076">
        <v>165</v>
      </c>
      <c r="B170" s="3006" t="s">
        <v>7182</v>
      </c>
      <c r="C170" s="817"/>
      <c r="D170" s="1167" t="s">
        <v>8670</v>
      </c>
      <c r="E170" s="3833">
        <v>1100</v>
      </c>
      <c r="F170" s="3833">
        <v>1100</v>
      </c>
      <c r="G170" s="1153" t="s">
        <v>5005</v>
      </c>
      <c r="H170" s="2399"/>
    </row>
    <row ht="48" r="171" spans="1:8" x14ac:dyDescent="0.2">
      <c r="A171" s="1076">
        <v>166</v>
      </c>
      <c r="B171" s="3006" t="s">
        <v>7183</v>
      </c>
      <c r="C171" s="817"/>
      <c r="D171" s="1167" t="s">
        <v>8671</v>
      </c>
      <c r="E171" s="3833">
        <v>12970</v>
      </c>
      <c r="F171" s="3833">
        <v>12970</v>
      </c>
      <c r="G171" s="1153" t="s">
        <v>5005</v>
      </c>
      <c r="H171" s="2399"/>
    </row>
    <row ht="48" r="172" spans="1:8" x14ac:dyDescent="0.2">
      <c r="A172" s="1076">
        <v>167</v>
      </c>
      <c r="B172" s="3006" t="s">
        <v>7184</v>
      </c>
      <c r="C172" s="817"/>
      <c r="D172" s="1167" t="s">
        <v>8672</v>
      </c>
      <c r="E172" s="3833">
        <v>13134.36</v>
      </c>
      <c r="F172" s="3833">
        <v>13134.369999999999</v>
      </c>
      <c r="G172" s="1153" t="s">
        <v>5005</v>
      </c>
      <c r="H172" s="2399"/>
    </row>
    <row ht="48" r="173" spans="1:8" x14ac:dyDescent="0.2">
      <c r="A173" s="1076">
        <v>168</v>
      </c>
      <c r="B173" s="4121" t="s">
        <v>8525</v>
      </c>
      <c r="C173" s="4122"/>
      <c r="D173" s="4273" t="s">
        <v>8673</v>
      </c>
      <c r="E173" s="3937">
        <v>57115.78</v>
      </c>
      <c r="F173" s="3833">
        <v>61940.36</v>
      </c>
      <c r="G173" s="1153" t="s">
        <v>5005</v>
      </c>
      <c r="H173" s="2399" t="s">
        <v>8388</v>
      </c>
    </row>
    <row ht="48" r="174" spans="1:8" x14ac:dyDescent="0.2">
      <c r="A174" s="1076">
        <v>169</v>
      </c>
      <c r="B174" s="3006" t="s">
        <v>7210</v>
      </c>
      <c r="C174" s="817"/>
      <c r="D174" s="1167" t="s">
        <v>8674</v>
      </c>
      <c r="E174" s="3833">
        <v>222.94999999999982</v>
      </c>
      <c r="F174" s="3833">
        <v>222.94999999999982</v>
      </c>
      <c r="G174" s="1153" t="s">
        <v>5005</v>
      </c>
      <c r="H174" s="2399"/>
    </row>
    <row ht="48" r="175" spans="1:8" x14ac:dyDescent="0.2">
      <c r="A175" s="1076">
        <v>170</v>
      </c>
      <c r="B175" s="3006" t="s">
        <v>7185</v>
      </c>
      <c r="C175" s="817"/>
      <c r="D175" s="1167" t="s">
        <v>8675</v>
      </c>
      <c r="E175" s="3833">
        <v>10800</v>
      </c>
      <c r="F175" s="3833">
        <v>10800</v>
      </c>
      <c r="G175" s="1153" t="s">
        <v>5005</v>
      </c>
      <c r="H175" s="2399"/>
    </row>
    <row ht="36" r="176" spans="1:8" x14ac:dyDescent="0.2">
      <c r="A176" s="1076">
        <v>171</v>
      </c>
      <c r="B176" s="3932" t="s">
        <v>8519</v>
      </c>
      <c r="C176" s="4108"/>
      <c r="D176" s="4273" t="s">
        <v>8676</v>
      </c>
      <c r="E176" s="3937">
        <v>-624.20000000000005</v>
      </c>
      <c r="F176" s="3833">
        <v>-624.20000000000005</v>
      </c>
      <c r="G176" s="1153" t="s">
        <v>5005</v>
      </c>
      <c r="H176" s="2399" t="s">
        <v>8388</v>
      </c>
    </row>
    <row ht="48" r="177" spans="1:8" x14ac:dyDescent="0.2">
      <c r="A177" s="1076">
        <v>172</v>
      </c>
      <c r="B177" s="3014" t="s">
        <v>7211</v>
      </c>
      <c r="C177" s="845"/>
      <c r="D177" s="1167" t="s">
        <v>8677</v>
      </c>
      <c r="E177" s="3833">
        <v>4161.82</v>
      </c>
      <c r="F177" s="3833">
        <v>4161.82</v>
      </c>
      <c r="G177" s="1153" t="s">
        <v>5006</v>
      </c>
      <c r="H177" s="2399"/>
    </row>
    <row ht="48" r="178" spans="1:8" x14ac:dyDescent="0.2">
      <c r="A178" s="1076">
        <v>173</v>
      </c>
      <c r="B178" s="3006" t="s">
        <v>7212</v>
      </c>
      <c r="C178" s="817"/>
      <c r="D178" s="1167" t="s">
        <v>8678</v>
      </c>
      <c r="E178" s="3833">
        <v>4137.37</v>
      </c>
      <c r="F178" s="3833">
        <v>4830.2199999999993</v>
      </c>
      <c r="G178" s="1153" t="s">
        <v>5006</v>
      </c>
      <c r="H178" s="2399"/>
    </row>
    <row ht="48" r="179" spans="1:8" x14ac:dyDescent="0.2">
      <c r="A179" s="1076">
        <v>174</v>
      </c>
      <c r="B179" s="3006" t="s">
        <v>7213</v>
      </c>
      <c r="C179" s="817"/>
      <c r="D179" s="1167" t="s">
        <v>8679</v>
      </c>
      <c r="E179" s="3833">
        <v>19376.500000000004</v>
      </c>
      <c r="F179" s="3833">
        <v>19405.750000000004</v>
      </c>
      <c r="G179" s="1153" t="s">
        <v>5006</v>
      </c>
      <c r="H179" s="2399"/>
    </row>
    <row ht="48" r="180" spans="1:8" x14ac:dyDescent="0.2">
      <c r="A180" s="1076">
        <v>175</v>
      </c>
      <c r="B180" s="3006" t="s">
        <v>7214</v>
      </c>
      <c r="C180" s="817"/>
      <c r="D180" s="1167" t="s">
        <v>8680</v>
      </c>
      <c r="E180" s="3852">
        <v>-1753.69</v>
      </c>
      <c r="F180" s="3852">
        <v>-1753.69</v>
      </c>
      <c r="G180" s="1153" t="s">
        <v>5006</v>
      </c>
      <c r="H180" s="2399"/>
    </row>
    <row ht="48" r="181" spans="1:8" x14ac:dyDescent="0.2">
      <c r="A181" s="1076">
        <v>176</v>
      </c>
      <c r="B181" s="3006" t="s">
        <v>7215</v>
      </c>
      <c r="C181" s="817"/>
      <c r="D181" s="1167" t="s">
        <v>8681</v>
      </c>
      <c r="E181" s="3852">
        <v>74749.600000000006</v>
      </c>
      <c r="F181" s="3852">
        <v>74749.600000000006</v>
      </c>
      <c r="G181" s="1153" t="s">
        <v>5005</v>
      </c>
      <c r="H181" s="2399"/>
    </row>
    <row ht="48" r="182" spans="1:8" x14ac:dyDescent="0.2">
      <c r="A182" s="1076">
        <v>177</v>
      </c>
      <c r="B182" s="3015" t="s">
        <v>7216</v>
      </c>
      <c r="C182" s="844"/>
      <c r="D182" s="1167" t="s">
        <v>8682</v>
      </c>
      <c r="E182" s="3833">
        <v>-1400</v>
      </c>
      <c r="F182" s="3833">
        <v>-1400</v>
      </c>
      <c r="G182" s="1153" t="s">
        <v>5005</v>
      </c>
      <c r="H182" s="2399"/>
    </row>
    <row ht="48" r="183" spans="1:8" x14ac:dyDescent="0.2">
      <c r="A183" s="1076">
        <v>178</v>
      </c>
      <c r="B183" s="3006" t="s">
        <v>7217</v>
      </c>
      <c r="C183" s="817"/>
      <c r="D183" s="1167" t="s">
        <v>8683</v>
      </c>
      <c r="E183" s="3833">
        <v>-1400</v>
      </c>
      <c r="F183" s="3833">
        <v>-1400</v>
      </c>
      <c r="G183" s="1153" t="s">
        <v>5005</v>
      </c>
      <c r="H183" s="2399"/>
    </row>
    <row ht="48" r="184" spans="1:8" x14ac:dyDescent="0.2">
      <c r="A184" s="1076">
        <v>179</v>
      </c>
      <c r="B184" s="3006" t="s">
        <v>7218</v>
      </c>
      <c r="C184" s="817"/>
      <c r="D184" s="1167" t="s">
        <v>8684</v>
      </c>
      <c r="E184" s="3833">
        <v>-1390.1</v>
      </c>
      <c r="F184" s="3833">
        <v>-1390.1</v>
      </c>
      <c r="G184" s="1153" t="s">
        <v>5005</v>
      </c>
      <c r="H184" s="2399"/>
    </row>
    <row ht="48" r="185" spans="1:8" x14ac:dyDescent="0.2">
      <c r="A185" s="1076">
        <v>180</v>
      </c>
      <c r="B185" s="3006" t="s">
        <v>7219</v>
      </c>
      <c r="C185" s="817"/>
      <c r="D185" s="1167" t="s">
        <v>8685</v>
      </c>
      <c r="E185" s="3833">
        <v>-1073.5999999999999</v>
      </c>
      <c r="F185" s="3833">
        <v>-1073.5999999999999</v>
      </c>
      <c r="G185" s="1153" t="s">
        <v>5005</v>
      </c>
      <c r="H185" s="2399"/>
    </row>
    <row ht="48" r="186" spans="1:8" x14ac:dyDescent="0.2">
      <c r="A186" s="1076">
        <v>181</v>
      </c>
      <c r="B186" s="793" t="s">
        <v>7220</v>
      </c>
      <c r="C186" s="815"/>
      <c r="D186" s="1167" t="s">
        <v>8686</v>
      </c>
      <c r="E186" s="3833">
        <v>6915.7999999999993</v>
      </c>
      <c r="F186" s="3833">
        <v>6915.7999999999993</v>
      </c>
      <c r="G186" s="1153" t="s">
        <v>5005</v>
      </c>
      <c r="H186" s="2399"/>
    </row>
    <row ht="48" r="187" spans="1:8" x14ac:dyDescent="0.2">
      <c r="A187" s="1076">
        <v>182</v>
      </c>
      <c r="B187" s="793" t="s">
        <v>7186</v>
      </c>
      <c r="C187" s="815"/>
      <c r="D187" s="1167" t="s">
        <v>8687</v>
      </c>
      <c r="E187" s="3833">
        <v>2281</v>
      </c>
      <c r="F187" s="3833">
        <v>2281</v>
      </c>
      <c r="G187" s="1153" t="s">
        <v>5005</v>
      </c>
      <c r="H187" s="2399"/>
    </row>
    <row ht="48" r="188" spans="1:8" x14ac:dyDescent="0.2">
      <c r="A188" s="1076">
        <v>183</v>
      </c>
      <c r="B188" s="3006" t="s">
        <v>7221</v>
      </c>
      <c r="C188" s="817"/>
      <c r="D188" s="1167" t="s">
        <v>8688</v>
      </c>
      <c r="E188" s="3833">
        <v>4581.8500000000004</v>
      </c>
      <c r="F188" s="3833">
        <v>4581.8500000000004</v>
      </c>
      <c r="G188" s="1153" t="s">
        <v>5005</v>
      </c>
      <c r="H188" s="2399"/>
    </row>
    <row ht="48" r="189" spans="1:8" x14ac:dyDescent="0.2">
      <c r="A189" s="1076">
        <v>184</v>
      </c>
      <c r="B189" s="3015" t="s">
        <v>7222</v>
      </c>
      <c r="C189" s="844"/>
      <c r="D189" s="1167" t="s">
        <v>8689</v>
      </c>
      <c r="E189" s="3833">
        <v>24915</v>
      </c>
      <c r="F189" s="3833">
        <v>24915</v>
      </c>
      <c r="G189" s="1153" t="s">
        <v>5005</v>
      </c>
      <c r="H189" s="2399"/>
    </row>
    <row ht="48" r="190" spans="1:8" x14ac:dyDescent="0.2">
      <c r="A190" s="1076">
        <v>185</v>
      </c>
      <c r="B190" s="793" t="s">
        <v>7223</v>
      </c>
      <c r="C190" s="815"/>
      <c r="D190" s="1166" t="s">
        <v>8690</v>
      </c>
      <c r="E190" s="3833">
        <v>16928.7</v>
      </c>
      <c r="F190" s="3833">
        <v>16928.7</v>
      </c>
      <c r="G190" s="1153" t="s">
        <v>5006</v>
      </c>
      <c r="H190" s="2399"/>
    </row>
    <row ht="48" r="191" spans="1:8" x14ac:dyDescent="0.2">
      <c r="A191" s="1076">
        <v>186</v>
      </c>
      <c r="B191" s="793" t="s">
        <v>7224</v>
      </c>
      <c r="C191" s="815"/>
      <c r="D191" s="1166" t="s">
        <v>8691</v>
      </c>
      <c r="E191" s="3833">
        <v>-1337.19</v>
      </c>
      <c r="F191" s="3833">
        <v>-1337.19</v>
      </c>
      <c r="G191" s="1153" t="s">
        <v>5005</v>
      </c>
      <c r="H191" s="2399"/>
    </row>
    <row ht="48" r="192" spans="1:8" x14ac:dyDescent="0.2">
      <c r="A192" s="1076">
        <v>187</v>
      </c>
      <c r="B192" s="793" t="s">
        <v>7187</v>
      </c>
      <c r="C192" s="815"/>
      <c r="D192" s="1166" t="s">
        <v>8692</v>
      </c>
      <c r="E192" s="3833">
        <v>30676.699999999997</v>
      </c>
      <c r="F192" s="3833">
        <v>30676.699999999997</v>
      </c>
      <c r="G192" s="1153" t="s">
        <v>5005</v>
      </c>
      <c r="H192" s="2399"/>
    </row>
    <row ht="60" r="193" spans="1:8" x14ac:dyDescent="0.2">
      <c r="A193" s="1076">
        <v>188</v>
      </c>
      <c r="B193" s="3011" t="s">
        <v>7225</v>
      </c>
      <c r="C193" s="858"/>
      <c r="D193" s="1166" t="s">
        <v>8693</v>
      </c>
      <c r="E193" s="3833">
        <v>181914.8</v>
      </c>
      <c r="F193" s="3833">
        <v>181914.8</v>
      </c>
      <c r="G193" s="1153" t="s">
        <v>5005</v>
      </c>
      <c r="H193" s="2399"/>
    </row>
    <row ht="24" r="194" spans="1:8" x14ac:dyDescent="0.2">
      <c r="A194" s="1076">
        <v>189</v>
      </c>
      <c r="B194" s="3006" t="s">
        <v>7188</v>
      </c>
      <c r="C194" s="819"/>
      <c r="D194" s="1227" t="s">
        <v>8694</v>
      </c>
      <c r="E194" s="3833">
        <v>5953</v>
      </c>
      <c r="F194" s="3833">
        <v>5953</v>
      </c>
      <c r="G194" s="1153" t="s">
        <v>5005</v>
      </c>
      <c r="H194" s="2399"/>
    </row>
    <row ht="48" r="195" spans="1:8" x14ac:dyDescent="0.2">
      <c r="A195" s="1076">
        <v>190</v>
      </c>
      <c r="B195" s="3006" t="s">
        <v>7226</v>
      </c>
      <c r="C195" s="819"/>
      <c r="D195" s="1166" t="s">
        <v>8695</v>
      </c>
      <c r="E195" s="3833">
        <v>17023.592799999999</v>
      </c>
      <c r="F195" s="3833">
        <v>17023.592799999999</v>
      </c>
      <c r="G195" s="1153" t="s">
        <v>5005</v>
      </c>
      <c r="H195" s="2399"/>
    </row>
    <row ht="48" r="196" spans="1:8" x14ac:dyDescent="0.2">
      <c r="A196" s="1076">
        <v>191</v>
      </c>
      <c r="B196" s="3006" t="s">
        <v>7227</v>
      </c>
      <c r="C196" s="819"/>
      <c r="D196" s="1166" t="s">
        <v>8696</v>
      </c>
      <c r="E196" s="3833">
        <v>14023.592799999999</v>
      </c>
      <c r="F196" s="3833">
        <v>14023.592799999999</v>
      </c>
      <c r="G196" s="1153" t="s">
        <v>5005</v>
      </c>
      <c r="H196" s="2399"/>
    </row>
    <row ht="24" r="197" spans="1:8" x14ac:dyDescent="0.2">
      <c r="A197" s="1076">
        <v>192</v>
      </c>
      <c r="B197" s="3006" t="s">
        <v>7228</v>
      </c>
      <c r="C197" s="819"/>
      <c r="D197" s="1227" t="s">
        <v>8697</v>
      </c>
      <c r="E197" s="3851">
        <v>3442.5699999999997</v>
      </c>
      <c r="F197" s="3851">
        <v>3442.5699999999997</v>
      </c>
      <c r="G197" s="1153" t="s">
        <v>5005</v>
      </c>
      <c r="H197" s="2399"/>
    </row>
    <row ht="24" r="198" spans="1:8" x14ac:dyDescent="0.2">
      <c r="A198" s="1076">
        <v>193</v>
      </c>
      <c r="B198" s="3006" t="s">
        <v>7229</v>
      </c>
      <c r="C198" s="819"/>
      <c r="D198" s="1227" t="s">
        <v>8698</v>
      </c>
      <c r="E198" s="3851">
        <v>14185.82</v>
      </c>
      <c r="F198" s="3851">
        <v>12114.100000000002</v>
      </c>
      <c r="G198" s="1153" t="s">
        <v>5005</v>
      </c>
      <c r="H198" s="2399"/>
    </row>
    <row ht="24" r="199" spans="1:8" x14ac:dyDescent="0.2">
      <c r="A199" s="1076">
        <v>194</v>
      </c>
      <c r="B199" s="3006" t="s">
        <v>7230</v>
      </c>
      <c r="C199" s="819"/>
      <c r="D199" s="1227" t="s">
        <v>8699</v>
      </c>
      <c r="E199" s="3833">
        <v>2010.8500000000004</v>
      </c>
      <c r="F199" s="3833">
        <v>2010.8500000000004</v>
      </c>
      <c r="G199" s="1153" t="s">
        <v>5005</v>
      </c>
      <c r="H199" s="2399"/>
    </row>
    <row ht="24" r="200" spans="1:8" x14ac:dyDescent="0.2">
      <c r="A200" s="1076">
        <v>195</v>
      </c>
      <c r="B200" s="3006" t="s">
        <v>7189</v>
      </c>
      <c r="C200" s="819"/>
      <c r="D200" s="1227" t="s">
        <v>8700</v>
      </c>
      <c r="E200" s="3833">
        <v>3728.119999999999</v>
      </c>
      <c r="F200" s="3833">
        <v>3033.4400000000005</v>
      </c>
      <c r="G200" s="1153" t="s">
        <v>5005</v>
      </c>
      <c r="H200" s="2399"/>
    </row>
    <row ht="24" r="201" spans="1:8" x14ac:dyDescent="0.2">
      <c r="A201" s="1076">
        <v>196</v>
      </c>
      <c r="B201" s="3006" t="s">
        <v>7231</v>
      </c>
      <c r="C201" s="819"/>
      <c r="D201" s="1227" t="s">
        <v>8701</v>
      </c>
      <c r="E201" s="3833">
        <v>462.85000000000036</v>
      </c>
      <c r="F201" s="3833">
        <v>462.85000000000036</v>
      </c>
      <c r="G201" s="1153" t="s">
        <v>5005</v>
      </c>
      <c r="H201" s="2399"/>
    </row>
    <row ht="48" r="202" spans="1:8" x14ac:dyDescent="0.2">
      <c r="A202" s="1076">
        <v>197</v>
      </c>
      <c r="B202" s="793" t="s">
        <v>7232</v>
      </c>
      <c r="C202" s="815"/>
      <c r="D202" s="1166" t="s">
        <v>8702</v>
      </c>
      <c r="E202" s="3833">
        <v>318257.37</v>
      </c>
      <c r="F202" s="3833">
        <v>318257.37</v>
      </c>
      <c r="G202" s="1153" t="s">
        <v>5005</v>
      </c>
      <c r="H202" s="2399"/>
    </row>
    <row ht="48" r="203" spans="1:8" x14ac:dyDescent="0.2">
      <c r="A203" s="1076">
        <v>198</v>
      </c>
      <c r="B203" s="793" t="s">
        <v>7336</v>
      </c>
      <c r="C203" s="815"/>
      <c r="D203" s="1166" t="s">
        <v>8703</v>
      </c>
      <c r="E203" s="3833">
        <v>-570.54</v>
      </c>
      <c r="F203" s="3833">
        <v>-570.54</v>
      </c>
      <c r="G203" s="1153" t="s">
        <v>5005</v>
      </c>
      <c r="H203" s="2399"/>
    </row>
    <row ht="60" r="204" spans="1:8" x14ac:dyDescent="0.2">
      <c r="A204" s="1076">
        <v>199</v>
      </c>
      <c r="B204" s="3943" t="s">
        <v>8476</v>
      </c>
      <c r="C204" s="3944"/>
      <c r="D204" s="4272" t="s">
        <v>8704</v>
      </c>
      <c r="E204" s="3937">
        <v>1491.1</v>
      </c>
      <c r="F204" s="3833">
        <v>4516.1000000000004</v>
      </c>
      <c r="G204" s="1153" t="s">
        <v>5005</v>
      </c>
      <c r="H204" s="2399" t="s">
        <v>8388</v>
      </c>
    </row>
    <row ht="48" r="205" spans="1:8" x14ac:dyDescent="0.2">
      <c r="A205" s="1076">
        <v>200</v>
      </c>
      <c r="B205" s="793" t="s">
        <v>7338</v>
      </c>
      <c r="C205" s="815"/>
      <c r="D205" s="1166" t="s">
        <v>8705</v>
      </c>
      <c r="E205" s="3833">
        <v>-4368.6000000000004</v>
      </c>
      <c r="F205" s="3833">
        <v>-4368.6000000000004</v>
      </c>
      <c r="G205" s="1153" t="s">
        <v>5005</v>
      </c>
      <c r="H205" s="2399"/>
    </row>
    <row ht="60" r="206" spans="1:8" x14ac:dyDescent="0.2">
      <c r="A206" s="1076">
        <v>201</v>
      </c>
      <c r="B206" s="3006" t="s">
        <v>7340</v>
      </c>
      <c r="C206" s="819"/>
      <c r="D206" s="1166" t="s">
        <v>8706</v>
      </c>
      <c r="E206" s="3833">
        <v>84232.34</v>
      </c>
      <c r="F206" s="3833">
        <v>81936.62</v>
      </c>
      <c r="G206" s="1153" t="s">
        <v>5006</v>
      </c>
      <c r="H206" s="2399"/>
    </row>
    <row ht="60" r="207" spans="1:8" x14ac:dyDescent="0.2">
      <c r="A207" s="1076">
        <v>202</v>
      </c>
      <c r="B207" s="3006" t="s">
        <v>7233</v>
      </c>
      <c r="C207" s="819"/>
      <c r="D207" s="1166" t="s">
        <v>8707</v>
      </c>
      <c r="E207" s="3833">
        <v>14986</v>
      </c>
      <c r="F207" s="3833">
        <v>14986</v>
      </c>
      <c r="G207" s="1153" t="s">
        <v>5005</v>
      </c>
      <c r="H207" s="2399"/>
    </row>
    <row ht="48" r="208" spans="1:8" x14ac:dyDescent="0.2">
      <c r="A208" s="1076">
        <v>203</v>
      </c>
      <c r="B208" s="3006" t="s">
        <v>7234</v>
      </c>
      <c r="C208" s="819"/>
      <c r="D208" s="1166" t="s">
        <v>8708</v>
      </c>
      <c r="E208" s="3833">
        <v>6313.2</v>
      </c>
      <c r="F208" s="3833">
        <v>6313.2</v>
      </c>
      <c r="G208" s="1153" t="s">
        <v>5005</v>
      </c>
      <c r="H208" s="2399"/>
    </row>
    <row ht="60" r="209" spans="1:8" x14ac:dyDescent="0.2">
      <c r="A209" s="1076">
        <v>204</v>
      </c>
      <c r="B209" s="3006" t="s">
        <v>7235</v>
      </c>
      <c r="C209" s="819"/>
      <c r="D209" s="1166" t="s">
        <v>8709</v>
      </c>
      <c r="E209" s="3833">
        <v>-1159.6500000000015</v>
      </c>
      <c r="F209" s="3833">
        <v>-1159.6500000000015</v>
      </c>
      <c r="G209" s="1153" t="s">
        <v>5005</v>
      </c>
      <c r="H209" s="2399"/>
    </row>
    <row ht="60" r="210" spans="1:8" x14ac:dyDescent="0.2">
      <c r="A210" s="1076">
        <v>205</v>
      </c>
      <c r="B210" s="3006" t="s">
        <v>7238</v>
      </c>
      <c r="C210" s="819"/>
      <c r="D210" s="1166" t="s">
        <v>8710</v>
      </c>
      <c r="E210" s="3833">
        <v>51656</v>
      </c>
      <c r="F210" s="3833">
        <v>51656</v>
      </c>
      <c r="G210" s="1153" t="s">
        <v>5006</v>
      </c>
      <c r="H210" s="2399"/>
    </row>
    <row ht="60" r="211" spans="1:8" x14ac:dyDescent="0.2">
      <c r="A211" s="1076">
        <v>206</v>
      </c>
      <c r="B211" s="3006" t="s">
        <v>7239</v>
      </c>
      <c r="C211" s="819"/>
      <c r="D211" s="1166" t="s">
        <v>8711</v>
      </c>
      <c r="E211" s="3833">
        <v>33124.01999999999</v>
      </c>
      <c r="F211" s="3833">
        <v>35712.01999999999</v>
      </c>
      <c r="G211" s="1153" t="s">
        <v>5005</v>
      </c>
      <c r="H211" s="2399"/>
    </row>
    <row ht="48" r="212" spans="1:8" x14ac:dyDescent="0.2">
      <c r="A212" s="1076">
        <v>207</v>
      </c>
      <c r="B212" s="3006" t="s">
        <v>7240</v>
      </c>
      <c r="C212" s="819"/>
      <c r="D212" s="1166" t="s">
        <v>8712</v>
      </c>
      <c r="E212" s="3833">
        <v>31323.16</v>
      </c>
      <c r="F212" s="3833">
        <v>31323.16</v>
      </c>
      <c r="G212" s="1153" t="s">
        <v>5005</v>
      </c>
      <c r="H212" s="2399"/>
    </row>
    <row ht="48" r="213" spans="1:8" x14ac:dyDescent="0.2">
      <c r="A213" s="1076">
        <v>208</v>
      </c>
      <c r="B213" s="3006" t="s">
        <v>7241</v>
      </c>
      <c r="C213" s="819"/>
      <c r="D213" s="1166" t="s">
        <v>8713</v>
      </c>
      <c r="E213" s="3833">
        <v>0</v>
      </c>
      <c r="F213" s="3833">
        <v>0</v>
      </c>
      <c r="G213" s="1153" t="s">
        <v>5006</v>
      </c>
      <c r="H213" s="2399"/>
    </row>
    <row ht="36" r="214" spans="1:8" x14ac:dyDescent="0.2">
      <c r="A214" s="1076">
        <v>209</v>
      </c>
      <c r="B214" s="3007" t="s">
        <v>7243</v>
      </c>
      <c r="C214" s="819"/>
      <c r="D214" s="1166" t="s">
        <v>8714</v>
      </c>
      <c r="E214" s="3833">
        <v>163054.12</v>
      </c>
      <c r="F214" s="3833">
        <v>163054.12</v>
      </c>
      <c r="G214" s="1153" t="s">
        <v>5005</v>
      </c>
      <c r="H214" s="2399"/>
    </row>
    <row ht="60" r="215" spans="1:8" x14ac:dyDescent="0.2">
      <c r="A215" s="1076">
        <v>210</v>
      </c>
      <c r="B215" s="3006" t="s">
        <v>7244</v>
      </c>
      <c r="C215" s="819"/>
      <c r="D215" s="1166" t="s">
        <v>8715</v>
      </c>
      <c r="E215" s="3833">
        <v>37722.400000000001</v>
      </c>
      <c r="F215" s="3833">
        <v>37722.400000000001</v>
      </c>
      <c r="G215" s="1153" t="s">
        <v>5006</v>
      </c>
      <c r="H215" s="2399"/>
    </row>
    <row ht="60" r="216" spans="1:8" x14ac:dyDescent="0.2">
      <c r="A216" s="1076">
        <v>211</v>
      </c>
      <c r="B216" s="3006" t="s">
        <v>7245</v>
      </c>
      <c r="C216" s="819"/>
      <c r="D216" s="1166" t="s">
        <v>8716</v>
      </c>
      <c r="E216" s="3833">
        <v>51736.5</v>
      </c>
      <c r="F216" s="3833">
        <v>51736.5</v>
      </c>
      <c r="G216" s="1153" t="s">
        <v>5006</v>
      </c>
      <c r="H216" s="2399"/>
    </row>
    <row ht="48" r="217" spans="1:8" x14ac:dyDescent="0.2">
      <c r="A217" s="1076">
        <v>212</v>
      </c>
      <c r="B217" s="3006" t="s">
        <v>7246</v>
      </c>
      <c r="C217" s="819"/>
      <c r="D217" s="1166" t="s">
        <v>8717</v>
      </c>
      <c r="E217" s="3833">
        <v>-20.25</v>
      </c>
      <c r="F217" s="3833">
        <v>-20.25</v>
      </c>
      <c r="G217" s="1153" t="s">
        <v>5005</v>
      </c>
      <c r="H217" s="2399"/>
    </row>
    <row ht="48" r="218" spans="1:8" x14ac:dyDescent="0.2">
      <c r="A218" s="1076">
        <v>213</v>
      </c>
      <c r="B218" s="3006" t="s">
        <v>7247</v>
      </c>
      <c r="C218" s="819"/>
      <c r="D218" s="1166" t="s">
        <v>8718</v>
      </c>
      <c r="E218" s="3833">
        <v>67300</v>
      </c>
      <c r="F218" s="3833">
        <v>67300</v>
      </c>
      <c r="G218" s="1153" t="s">
        <v>5006</v>
      </c>
      <c r="H218" s="2399"/>
    </row>
    <row ht="48" r="219" spans="1:8" x14ac:dyDescent="0.2">
      <c r="A219" s="1076">
        <v>214</v>
      </c>
      <c r="B219" s="3006" t="s">
        <v>7251</v>
      </c>
      <c r="C219" s="817"/>
      <c r="D219" s="1167" t="s">
        <v>8719</v>
      </c>
      <c r="E219" s="3833">
        <v>24463.550000000003</v>
      </c>
      <c r="F219" s="3833">
        <v>24463.550000000003</v>
      </c>
      <c r="G219" s="1153" t="s">
        <v>5006</v>
      </c>
      <c r="H219" s="2399"/>
    </row>
    <row ht="60" r="220" spans="1:8" x14ac:dyDescent="0.2">
      <c r="A220" s="1076">
        <v>215</v>
      </c>
      <c r="B220" s="3016" t="s">
        <v>7248</v>
      </c>
      <c r="C220" s="819"/>
      <c r="D220" s="1166" t="s">
        <v>8720</v>
      </c>
      <c r="E220" s="3833">
        <v>49824.2</v>
      </c>
      <c r="F220" s="3833">
        <v>49824.2</v>
      </c>
      <c r="G220" s="1163" t="s">
        <v>5006</v>
      </c>
      <c r="H220" s="2399" t="s">
        <v>6351</v>
      </c>
    </row>
    <row ht="72" r="221" spans="1:8" x14ac:dyDescent="0.2">
      <c r="A221" s="1076">
        <v>216</v>
      </c>
      <c r="B221" s="3016" t="s">
        <v>7249</v>
      </c>
      <c r="C221" s="819"/>
      <c r="D221" s="1166" t="s">
        <v>8721</v>
      </c>
      <c r="E221" s="3833">
        <v>79824.2</v>
      </c>
      <c r="F221" s="3833">
        <v>79824.2</v>
      </c>
      <c r="G221" s="1163" t="s">
        <v>5006</v>
      </c>
      <c r="H221" s="2399" t="s">
        <v>6352</v>
      </c>
    </row>
    <row ht="60" r="222" spans="1:8" x14ac:dyDescent="0.2">
      <c r="A222" s="1076">
        <v>217</v>
      </c>
      <c r="B222" s="3016" t="s">
        <v>7250</v>
      </c>
      <c r="C222" s="819"/>
      <c r="D222" s="1166" t="s">
        <v>8722</v>
      </c>
      <c r="E222" s="3833">
        <v>16131.300000000003</v>
      </c>
      <c r="F222" s="3833">
        <v>16131.300000000003</v>
      </c>
      <c r="G222" s="1163" t="s">
        <v>5006</v>
      </c>
      <c r="H222" s="3734"/>
    </row>
    <row ht="48" r="223" spans="1:8" x14ac:dyDescent="0.2">
      <c r="A223" s="1076">
        <v>218</v>
      </c>
      <c r="B223" s="3016" t="s">
        <v>7255</v>
      </c>
      <c r="C223" s="819"/>
      <c r="D223" s="1166" t="s">
        <v>8723</v>
      </c>
      <c r="E223" s="3833">
        <v>0</v>
      </c>
      <c r="F223" s="3833">
        <v>0</v>
      </c>
      <c r="G223" s="1163" t="s">
        <v>5006</v>
      </c>
      <c r="H223" s="2399"/>
    </row>
    <row ht="48" r="224" spans="1:8" x14ac:dyDescent="0.2">
      <c r="A224" s="1076">
        <v>219</v>
      </c>
      <c r="B224" s="3016" t="s">
        <v>7281</v>
      </c>
      <c r="C224" s="819"/>
      <c r="D224" s="1166" t="s">
        <v>8724</v>
      </c>
      <c r="E224" s="3833">
        <v>2765.21</v>
      </c>
      <c r="F224" s="3833">
        <v>2765.2200000000003</v>
      </c>
      <c r="G224" s="1153" t="s">
        <v>5005</v>
      </c>
      <c r="H224" s="2399"/>
    </row>
    <row ht="48" r="225" spans="1:8" x14ac:dyDescent="0.2">
      <c r="A225" s="1076">
        <v>220</v>
      </c>
      <c r="B225" s="3016" t="s">
        <v>7256</v>
      </c>
      <c r="C225" s="819"/>
      <c r="D225" s="1166" t="s">
        <v>8725</v>
      </c>
      <c r="E225" s="3833">
        <v>2900.8</v>
      </c>
      <c r="F225" s="3833">
        <v>2900.8</v>
      </c>
      <c r="G225" s="1153" t="s">
        <v>5006</v>
      </c>
      <c r="H225" s="2399"/>
    </row>
    <row ht="36" r="226" spans="1:8" x14ac:dyDescent="0.2">
      <c r="A226" s="1076">
        <v>221</v>
      </c>
      <c r="B226" s="3016" t="s">
        <v>7257</v>
      </c>
      <c r="C226" s="819"/>
      <c r="D226" s="1166" t="s">
        <v>8726</v>
      </c>
      <c r="E226" s="3833">
        <v>0</v>
      </c>
      <c r="F226" s="3833">
        <v>0</v>
      </c>
      <c r="G226" s="1153" t="s">
        <v>5005</v>
      </c>
      <c r="H226" s="2399"/>
    </row>
    <row ht="48" r="227" spans="1:8" x14ac:dyDescent="0.2">
      <c r="A227" s="1076">
        <v>222</v>
      </c>
      <c r="B227" s="3016" t="s">
        <v>7258</v>
      </c>
      <c r="C227" s="819"/>
      <c r="D227" s="1164" t="s">
        <v>8727</v>
      </c>
      <c r="E227" s="3833">
        <v>5505.1200000000008</v>
      </c>
      <c r="F227" s="3833">
        <v>5505.1200000000008</v>
      </c>
      <c r="G227" s="1153" t="s">
        <v>5006</v>
      </c>
      <c r="H227" s="2399"/>
    </row>
    <row ht="48" r="228" spans="1:8" x14ac:dyDescent="0.2">
      <c r="A228" s="1076">
        <v>223</v>
      </c>
      <c r="B228" s="2112" t="s">
        <v>7252</v>
      </c>
      <c r="C228" s="819"/>
      <c r="D228" s="1166" t="s">
        <v>8728</v>
      </c>
      <c r="E228" s="3833">
        <v>4122.9399999999996</v>
      </c>
      <c r="F228" s="3833">
        <v>4122.9399999999996</v>
      </c>
      <c r="G228" s="1153" t="s">
        <v>5005</v>
      </c>
      <c r="H228" s="2399"/>
    </row>
    <row ht="36" r="229" spans="1:8" x14ac:dyDescent="0.2">
      <c r="A229" s="1076">
        <v>224</v>
      </c>
      <c r="B229" s="2112" t="s">
        <v>7253</v>
      </c>
      <c r="C229" s="819"/>
      <c r="D229" s="1166" t="s">
        <v>8729</v>
      </c>
      <c r="E229" s="3833">
        <v>22226.17</v>
      </c>
      <c r="F229" s="3833">
        <v>22226.17</v>
      </c>
      <c r="G229" s="1153" t="s">
        <v>5005</v>
      </c>
      <c r="H229" s="2399"/>
    </row>
    <row ht="48" r="230" spans="1:8" x14ac:dyDescent="0.2">
      <c r="A230" s="1076">
        <v>225</v>
      </c>
      <c r="B230" s="2112" t="s">
        <v>7254</v>
      </c>
      <c r="C230" s="819"/>
      <c r="D230" s="1166" t="s">
        <v>8730</v>
      </c>
      <c r="E230" s="3833">
        <v>5566.87</v>
      </c>
      <c r="F230" s="3833">
        <v>5566.87</v>
      </c>
      <c r="G230" s="1153" t="s">
        <v>5006</v>
      </c>
      <c r="H230" s="2399"/>
    </row>
    <row ht="48" r="231" spans="1:8" x14ac:dyDescent="0.2">
      <c r="A231" s="1076">
        <v>226</v>
      </c>
      <c r="B231" s="3934" t="s">
        <v>7259</v>
      </c>
      <c r="C231" s="4122"/>
      <c r="D231" s="4272" t="s">
        <v>8731</v>
      </c>
      <c r="E231" s="3937">
        <v>183632.14</v>
      </c>
      <c r="F231" s="3833">
        <v>183632.14</v>
      </c>
      <c r="G231" s="1153" t="s">
        <v>5006</v>
      </c>
      <c r="H231" s="2399" t="s">
        <v>8388</v>
      </c>
    </row>
    <row ht="36" r="232" spans="1:8" x14ac:dyDescent="0.2">
      <c r="A232" s="1076">
        <v>227</v>
      </c>
      <c r="B232" s="2112" t="s">
        <v>7260</v>
      </c>
      <c r="C232" s="2113"/>
      <c r="D232" s="2114" t="s">
        <v>8732</v>
      </c>
      <c r="E232" s="3833">
        <v>1220.3199999999997</v>
      </c>
      <c r="F232" s="3833">
        <v>1220.3199999999997</v>
      </c>
      <c r="G232" s="2111" t="s">
        <v>5005</v>
      </c>
      <c r="H232" s="2399"/>
    </row>
    <row ht="36" r="233" spans="1:8" x14ac:dyDescent="0.2">
      <c r="A233" s="1076">
        <v>228</v>
      </c>
      <c r="B233" s="2112" t="s">
        <v>7261</v>
      </c>
      <c r="C233" s="2113"/>
      <c r="D233" s="2114" t="s">
        <v>8733</v>
      </c>
      <c r="E233" s="3833">
        <v>8360.2000000000007</v>
      </c>
      <c r="F233" s="3833">
        <v>8360.2000000000007</v>
      </c>
      <c r="G233" s="2111" t="s">
        <v>5005</v>
      </c>
      <c r="H233" s="2399"/>
    </row>
    <row ht="36" r="234" spans="1:8" x14ac:dyDescent="0.2">
      <c r="A234" s="1076">
        <v>229</v>
      </c>
      <c r="B234" s="2112" t="s">
        <v>7262</v>
      </c>
      <c r="C234" s="2113"/>
      <c r="D234" s="2114" t="s">
        <v>8734</v>
      </c>
      <c r="E234" s="3833">
        <v>14827.57</v>
      </c>
      <c r="F234" s="3833">
        <v>14827.57</v>
      </c>
      <c r="G234" s="2111" t="s">
        <v>5005</v>
      </c>
      <c r="H234" s="2399"/>
    </row>
    <row ht="36" r="235" spans="1:8" x14ac:dyDescent="0.2">
      <c r="A235" s="1076">
        <v>230</v>
      </c>
      <c r="B235" s="2112" t="s">
        <v>7263</v>
      </c>
      <c r="C235" s="2113"/>
      <c r="D235" s="2114" t="s">
        <v>8735</v>
      </c>
      <c r="E235" s="3833">
        <v>-57.75</v>
      </c>
      <c r="F235" s="3833">
        <v>-57.75</v>
      </c>
      <c r="G235" s="2111" t="s">
        <v>5005</v>
      </c>
      <c r="H235" s="2399"/>
    </row>
    <row ht="36" r="236" spans="1:8" x14ac:dyDescent="0.2">
      <c r="A236" s="1076">
        <v>231</v>
      </c>
      <c r="B236" s="2112" t="s">
        <v>7264</v>
      </c>
      <c r="C236" s="2113"/>
      <c r="D236" s="2114" t="s">
        <v>8736</v>
      </c>
      <c r="E236" s="3833">
        <v>18916.46</v>
      </c>
      <c r="F236" s="3833">
        <v>18916.46</v>
      </c>
      <c r="G236" s="2111" t="s">
        <v>5005</v>
      </c>
      <c r="H236" s="2399"/>
    </row>
    <row ht="36" r="237" spans="1:8" x14ac:dyDescent="0.2">
      <c r="A237" s="1076">
        <v>232</v>
      </c>
      <c r="B237" s="2112" t="s">
        <v>7265</v>
      </c>
      <c r="C237" s="2113"/>
      <c r="D237" s="2114" t="s">
        <v>8737</v>
      </c>
      <c r="E237" s="3833">
        <v>-914.40000000000055</v>
      </c>
      <c r="F237" s="3833">
        <v>-864.40000000000055</v>
      </c>
      <c r="G237" s="2111" t="s">
        <v>5005</v>
      </c>
      <c r="H237" s="2399"/>
    </row>
    <row ht="36" r="238" spans="1:8" x14ac:dyDescent="0.2">
      <c r="A238" s="1076">
        <v>233</v>
      </c>
      <c r="B238" s="2112" t="s">
        <v>7266</v>
      </c>
      <c r="C238" s="2113"/>
      <c r="D238" s="2114" t="s">
        <v>8738</v>
      </c>
      <c r="E238" s="3833">
        <v>6188.37</v>
      </c>
      <c r="F238" s="3833">
        <v>6188.37</v>
      </c>
      <c r="G238" s="2111" t="s">
        <v>5005</v>
      </c>
      <c r="H238" s="2399"/>
    </row>
    <row ht="36" r="239" spans="1:8" x14ac:dyDescent="0.2">
      <c r="A239" s="1076">
        <v>234</v>
      </c>
      <c r="B239" s="2112" t="s">
        <v>7267</v>
      </c>
      <c r="C239" s="2113"/>
      <c r="D239" s="2114" t="s">
        <v>8739</v>
      </c>
      <c r="E239" s="3833">
        <v>-861.27999999999975</v>
      </c>
      <c r="F239" s="3833">
        <v>-861.27999999999975</v>
      </c>
      <c r="G239" s="2111" t="s">
        <v>5005</v>
      </c>
      <c r="H239" s="2399"/>
    </row>
    <row ht="36" r="240" spans="1:8" x14ac:dyDescent="0.2">
      <c r="A240" s="1076">
        <v>235</v>
      </c>
      <c r="B240" s="2112" t="s">
        <v>7087</v>
      </c>
      <c r="C240" s="2113"/>
      <c r="D240" s="2114" t="s">
        <v>8740</v>
      </c>
      <c r="E240" s="3833">
        <v>9077.7799999999988</v>
      </c>
      <c r="F240" s="3833">
        <v>9077.7799999999988</v>
      </c>
      <c r="G240" s="2111" t="s">
        <v>5005</v>
      </c>
      <c r="H240" s="2399"/>
    </row>
    <row ht="48" r="241" spans="1:8" x14ac:dyDescent="0.2">
      <c r="A241" s="1076">
        <v>236</v>
      </c>
      <c r="B241" s="2112" t="s">
        <v>7268</v>
      </c>
      <c r="C241" s="2113"/>
      <c r="D241" s="2114" t="s">
        <v>8741</v>
      </c>
      <c r="E241" s="3833">
        <v>71271.37999999999</v>
      </c>
      <c r="F241" s="3833">
        <v>71271.37999999999</v>
      </c>
      <c r="G241" s="2111" t="s">
        <v>5005</v>
      </c>
      <c r="H241" s="2399"/>
    </row>
    <row ht="36" r="242" spans="1:8" x14ac:dyDescent="0.2">
      <c r="A242" s="1076">
        <v>237</v>
      </c>
      <c r="B242" s="2112" t="s">
        <v>7269</v>
      </c>
      <c r="C242" s="2113"/>
      <c r="D242" s="2114" t="s">
        <v>8742</v>
      </c>
      <c r="E242" s="3833">
        <v>15842.619999999999</v>
      </c>
      <c r="F242" s="3833">
        <v>15842.619999999999</v>
      </c>
      <c r="G242" s="2111" t="s">
        <v>5005</v>
      </c>
      <c r="H242" s="2399"/>
    </row>
    <row ht="48" r="243" spans="1:8" x14ac:dyDescent="0.2">
      <c r="A243" s="1076">
        <v>238</v>
      </c>
      <c r="B243" s="2112" t="s">
        <v>7282</v>
      </c>
      <c r="C243" s="2113"/>
      <c r="D243" s="2114" t="s">
        <v>8743</v>
      </c>
      <c r="E243" s="3833">
        <v>21964.07</v>
      </c>
      <c r="F243" s="3833">
        <v>21964.07</v>
      </c>
      <c r="G243" s="2111" t="s">
        <v>5005</v>
      </c>
      <c r="H243" s="2399"/>
    </row>
    <row ht="48" r="244" spans="1:8" x14ac:dyDescent="0.2">
      <c r="A244" s="1076">
        <v>239</v>
      </c>
      <c r="B244" s="2112" t="s">
        <v>7270</v>
      </c>
      <c r="C244" s="2113"/>
      <c r="D244" s="2114" t="s">
        <v>8744</v>
      </c>
      <c r="E244" s="3833">
        <v>3300</v>
      </c>
      <c r="F244" s="3833">
        <v>3300</v>
      </c>
      <c r="G244" s="2111" t="s">
        <v>5005</v>
      </c>
      <c r="H244" s="2399"/>
    </row>
    <row ht="48" r="245" spans="1:8" x14ac:dyDescent="0.2">
      <c r="A245" s="1076">
        <v>240</v>
      </c>
      <c r="B245" s="2112" t="s">
        <v>7271</v>
      </c>
      <c r="C245" s="2113"/>
      <c r="D245" s="2114" t="s">
        <v>8745</v>
      </c>
      <c r="E245" s="3833">
        <v>5000</v>
      </c>
      <c r="F245" s="3833">
        <v>5000</v>
      </c>
      <c r="G245" s="2111" t="s">
        <v>5005</v>
      </c>
      <c r="H245" s="2399"/>
    </row>
    <row ht="48" r="246" spans="1:8" x14ac:dyDescent="0.2">
      <c r="A246" s="1076">
        <v>241</v>
      </c>
      <c r="B246" s="2112" t="s">
        <v>7272</v>
      </c>
      <c r="C246" s="2113"/>
      <c r="D246" s="2114" t="s">
        <v>8746</v>
      </c>
      <c r="E246" s="3833">
        <v>7702.2400000000016</v>
      </c>
      <c r="F246" s="3833">
        <v>7702.2400000000016</v>
      </c>
      <c r="G246" s="2111" t="s">
        <v>5005</v>
      </c>
      <c r="H246" s="2399"/>
    </row>
    <row ht="36" r="247" spans="1:8" x14ac:dyDescent="0.2">
      <c r="A247" s="1076">
        <v>242</v>
      </c>
      <c r="B247" s="2112" t="s">
        <v>7273</v>
      </c>
      <c r="C247" s="2113"/>
      <c r="D247" s="2114" t="s">
        <v>8747</v>
      </c>
      <c r="E247" s="3833">
        <v>900</v>
      </c>
      <c r="F247" s="3833">
        <v>900</v>
      </c>
      <c r="G247" s="2111" t="s">
        <v>5005</v>
      </c>
      <c r="H247" s="2399"/>
    </row>
    <row ht="36" r="248" spans="1:8" x14ac:dyDescent="0.2">
      <c r="A248" s="1076">
        <v>243</v>
      </c>
      <c r="B248" s="2112" t="s">
        <v>7274</v>
      </c>
      <c r="C248" s="2113"/>
      <c r="D248" s="2114" t="s">
        <v>8748</v>
      </c>
      <c r="E248" s="3833">
        <v>4090</v>
      </c>
      <c r="F248" s="3833">
        <v>4090</v>
      </c>
      <c r="G248" s="2111" t="s">
        <v>5005</v>
      </c>
      <c r="H248" s="2399"/>
    </row>
    <row ht="36" r="249" spans="1:8" x14ac:dyDescent="0.2">
      <c r="A249" s="1076">
        <v>244</v>
      </c>
      <c r="B249" s="2112" t="s">
        <v>7275</v>
      </c>
      <c r="C249" s="2113"/>
      <c r="D249" s="2114" t="s">
        <v>8749</v>
      </c>
      <c r="E249" s="3833">
        <v>-5189.6000000000004</v>
      </c>
      <c r="F249" s="3833">
        <v>-5189.6000000000004</v>
      </c>
      <c r="G249" s="2111" t="s">
        <v>5005</v>
      </c>
      <c r="H249" s="2399"/>
    </row>
    <row ht="60" r="250" spans="1:8" x14ac:dyDescent="0.2">
      <c r="A250" s="1076">
        <v>245</v>
      </c>
      <c r="B250" s="2112" t="s">
        <v>7276</v>
      </c>
      <c r="C250" s="2113"/>
      <c r="D250" s="2114" t="s">
        <v>8750</v>
      </c>
      <c r="E250" s="3833">
        <v>8324.4</v>
      </c>
      <c r="F250" s="3833">
        <v>8324.4</v>
      </c>
      <c r="G250" s="2111" t="s">
        <v>5005</v>
      </c>
      <c r="H250" s="2399"/>
    </row>
    <row ht="24" r="251" spans="1:8" x14ac:dyDescent="0.2">
      <c r="A251" s="1076">
        <v>246</v>
      </c>
      <c r="B251" s="3932" t="s">
        <v>8395</v>
      </c>
      <c r="C251" s="3933"/>
      <c r="D251" s="3936" t="s">
        <v>8751</v>
      </c>
      <c r="E251" s="3937">
        <v>27168.739999999998</v>
      </c>
      <c r="F251" s="3937">
        <v>24456.500000000004</v>
      </c>
      <c r="G251" s="3937" t="s">
        <v>5006</v>
      </c>
      <c r="H251" s="3640" t="s">
        <v>8389</v>
      </c>
    </row>
    <row ht="24" r="252" spans="1:8" x14ac:dyDescent="0.2">
      <c r="A252" s="1076">
        <v>247</v>
      </c>
      <c r="B252" s="3932" t="s">
        <v>8396</v>
      </c>
      <c r="C252" s="3933"/>
      <c r="D252" s="3936" t="s">
        <v>8752</v>
      </c>
      <c r="E252" s="3937">
        <v>34776</v>
      </c>
      <c r="F252" s="3937">
        <v>35583</v>
      </c>
      <c r="G252" s="3937" t="s">
        <v>5006</v>
      </c>
      <c r="H252" s="3640" t="s">
        <v>8389</v>
      </c>
    </row>
    <row ht="24" r="253" spans="1:8" x14ac:dyDescent="0.2">
      <c r="A253" s="1076">
        <v>248</v>
      </c>
      <c r="B253" s="3934" t="s">
        <v>8471</v>
      </c>
      <c r="C253" s="3935"/>
      <c r="D253" s="3938" t="s">
        <v>8753</v>
      </c>
      <c r="E253" s="3939">
        <v>2318.1999999999998</v>
      </c>
      <c r="F253" s="3939">
        <v>-1039.3999999999987</v>
      </c>
      <c r="G253" s="3939" t="s">
        <v>5006</v>
      </c>
      <c r="H253" s="3640" t="s">
        <v>8389</v>
      </c>
    </row>
    <row ht="36" r="254" spans="1:8" x14ac:dyDescent="0.2">
      <c r="A254" s="1076">
        <v>249</v>
      </c>
      <c r="B254" s="3992" t="s">
        <v>8889</v>
      </c>
      <c r="C254" s="3993"/>
      <c r="D254" s="3994" t="s">
        <v>8754</v>
      </c>
      <c r="E254" s="3995">
        <v>49231.549999999988</v>
      </c>
      <c r="F254" s="3995">
        <v>48434.349999999991</v>
      </c>
      <c r="G254" s="3995" t="s">
        <v>5005</v>
      </c>
      <c r="H254" s="3845" t="s">
        <v>8389</v>
      </c>
    </row>
    <row ht="36" r="255" spans="1:8" x14ac:dyDescent="0.2">
      <c r="A255" s="1076">
        <v>250</v>
      </c>
      <c r="B255" s="3992" t="s">
        <v>8890</v>
      </c>
      <c r="C255" s="3993"/>
      <c r="D255" s="3994" t="s">
        <v>8755</v>
      </c>
      <c r="E255" s="3995">
        <v>107730.91999999998</v>
      </c>
      <c r="F255" s="3995">
        <v>95193.75</v>
      </c>
      <c r="G255" s="3995" t="s">
        <v>5006</v>
      </c>
      <c r="H255" s="3845" t="s">
        <v>8389</v>
      </c>
    </row>
    <row ht="24" r="256" spans="1:8" x14ac:dyDescent="0.2">
      <c r="A256" s="1076">
        <v>251</v>
      </c>
      <c r="B256" s="3992" t="s">
        <v>8891</v>
      </c>
      <c r="C256" s="3993"/>
      <c r="D256" s="3994" t="s">
        <v>8756</v>
      </c>
      <c r="E256" s="3995">
        <v>26196.120000000003</v>
      </c>
      <c r="F256" s="3995">
        <v>2402.5</v>
      </c>
      <c r="G256" s="3995" t="s">
        <v>5005</v>
      </c>
      <c r="H256" s="3845" t="s">
        <v>8389</v>
      </c>
    </row>
    <row ht="24" r="257" spans="1:8" x14ac:dyDescent="0.2">
      <c r="A257" s="1076">
        <v>252</v>
      </c>
      <c r="B257" s="3992" t="s">
        <v>8889</v>
      </c>
      <c r="C257" s="3993"/>
      <c r="D257" s="3994" t="s">
        <v>8757</v>
      </c>
      <c r="E257" s="3995">
        <v>176949.40000000002</v>
      </c>
      <c r="F257" s="3995">
        <v>1232.2</v>
      </c>
      <c r="G257" s="3995" t="s">
        <v>5006</v>
      </c>
      <c r="H257" s="3845" t="s">
        <v>8389</v>
      </c>
    </row>
    <row ht="24" r="258" spans="1:8" x14ac:dyDescent="0.2">
      <c r="A258" s="1076">
        <v>253</v>
      </c>
      <c r="B258" s="3992" t="s">
        <v>8892</v>
      </c>
      <c r="C258" s="3993"/>
      <c r="D258" s="3994" t="s">
        <v>8758</v>
      </c>
      <c r="E258" s="3995">
        <v>1323.46</v>
      </c>
      <c r="F258" s="3995">
        <v>160.60000000000002</v>
      </c>
      <c r="G258" s="3995" t="s">
        <v>5006</v>
      </c>
      <c r="H258" s="3845" t="s">
        <v>8389</v>
      </c>
    </row>
    <row ht="36" r="259" spans="1:8" x14ac:dyDescent="0.2">
      <c r="A259" s="1076">
        <v>254</v>
      </c>
      <c r="B259" s="3992" t="s">
        <v>8891</v>
      </c>
      <c r="C259" s="3993"/>
      <c r="D259" s="3994" t="s">
        <v>8759</v>
      </c>
      <c r="E259" s="3995">
        <v>191590.44</v>
      </c>
      <c r="F259" s="3995">
        <v>6426.2</v>
      </c>
      <c r="G259" s="3995" t="s">
        <v>5006</v>
      </c>
      <c r="H259" s="3845" t="s">
        <v>8389</v>
      </c>
    </row>
    <row ht="48" r="260" spans="1:8" x14ac:dyDescent="0.2">
      <c r="A260" s="1076">
        <v>255</v>
      </c>
      <c r="B260" s="3992" t="s">
        <v>8891</v>
      </c>
      <c r="C260" s="3993"/>
      <c r="D260" s="3994" t="s">
        <v>8760</v>
      </c>
      <c r="E260" s="3995">
        <v>6082.4</v>
      </c>
      <c r="F260" s="3995">
        <v>4889.7999999999993</v>
      </c>
      <c r="G260" s="3995" t="s">
        <v>5006</v>
      </c>
      <c r="H260" s="3845" t="s">
        <v>8389</v>
      </c>
    </row>
    <row ht="48" r="261" spans="1:8" x14ac:dyDescent="0.2">
      <c r="A261" s="1076">
        <v>256</v>
      </c>
      <c r="B261" s="3992" t="s">
        <v>8888</v>
      </c>
      <c r="C261" s="3993"/>
      <c r="D261" s="3994" t="s">
        <v>8761</v>
      </c>
      <c r="E261" s="3995">
        <v>9327.39</v>
      </c>
      <c r="F261" s="3995">
        <v>-3558.65</v>
      </c>
      <c r="G261" s="3995" t="s">
        <v>5006</v>
      </c>
      <c r="H261" s="3845" t="s">
        <v>8389</v>
      </c>
    </row>
    <row ht="24" r="262" spans="1:8" x14ac:dyDescent="0.2">
      <c r="A262" s="1076">
        <v>257</v>
      </c>
      <c r="B262" s="3992" t="s">
        <v>8893</v>
      </c>
      <c r="C262" s="3993"/>
      <c r="D262" s="3994" t="s">
        <v>8887</v>
      </c>
      <c r="E262" s="3995">
        <v>3694.5299999999997</v>
      </c>
      <c r="F262" s="3995">
        <v>-3005.6000000000004</v>
      </c>
      <c r="G262" s="3995" t="s">
        <v>5006</v>
      </c>
      <c r="H262" s="3845" t="s">
        <v>8389</v>
      </c>
    </row>
    <row ht="48" r="263" spans="1:8" x14ac:dyDescent="0.2">
      <c r="A263" s="1076">
        <v>258</v>
      </c>
      <c r="B263" s="3992" t="s">
        <v>8893</v>
      </c>
      <c r="C263" s="3993"/>
      <c r="D263" s="3994" t="s">
        <v>8762</v>
      </c>
      <c r="E263" s="3995">
        <v>51420.2</v>
      </c>
      <c r="F263" s="3995">
        <v>20604.599999999999</v>
      </c>
      <c r="G263" s="3995" t="s">
        <v>5006</v>
      </c>
      <c r="H263" s="3845" t="s">
        <v>8389</v>
      </c>
    </row>
    <row ht="24" r="264" spans="1:8" x14ac:dyDescent="0.2">
      <c r="A264" s="1076">
        <v>259</v>
      </c>
      <c r="B264" s="3934" t="s">
        <v>8813</v>
      </c>
      <c r="C264" s="3935"/>
      <c r="D264" s="3938" t="s">
        <v>8814</v>
      </c>
      <c r="E264" s="3937">
        <v>2250</v>
      </c>
      <c r="F264" s="3937">
        <v>1398</v>
      </c>
      <c r="G264" s="3939" t="s">
        <v>5006</v>
      </c>
      <c r="H264" s="3640" t="s">
        <v>8389</v>
      </c>
    </row>
    <row ht="24" r="265" spans="1:8" x14ac:dyDescent="0.2">
      <c r="A265" s="1076">
        <v>260</v>
      </c>
      <c r="B265" s="3934" t="s">
        <v>8815</v>
      </c>
      <c r="C265" s="3935"/>
      <c r="D265" s="3938" t="s">
        <v>8816</v>
      </c>
      <c r="E265" s="3937">
        <v>2441</v>
      </c>
      <c r="F265" s="3937">
        <v>1653.5</v>
      </c>
      <c r="G265" s="3939" t="s">
        <v>5006</v>
      </c>
      <c r="H265" s="3640" t="s">
        <v>8389</v>
      </c>
    </row>
    <row ht="36" r="266" spans="1:8" x14ac:dyDescent="0.2">
      <c r="A266" s="1076">
        <v>261</v>
      </c>
      <c r="B266" s="3934" t="s">
        <v>8818</v>
      </c>
      <c r="C266" s="3935"/>
      <c r="D266" s="3938" t="s">
        <v>8822</v>
      </c>
      <c r="E266" s="3937">
        <v>24462.75</v>
      </c>
      <c r="F266" s="3937">
        <v>22474.75</v>
      </c>
      <c r="G266" s="3939" t="s">
        <v>5005</v>
      </c>
      <c r="H266" s="3640" t="s">
        <v>8389</v>
      </c>
    </row>
    <row ht="24" r="267" spans="1:8" x14ac:dyDescent="0.2">
      <c r="A267" s="1076">
        <v>262</v>
      </c>
      <c r="B267" s="3934" t="s">
        <v>8826</v>
      </c>
      <c r="C267" s="3935"/>
      <c r="D267" s="3938" t="s">
        <v>8824</v>
      </c>
      <c r="E267" s="3937">
        <v>-7353.75</v>
      </c>
      <c r="F267" s="3937">
        <v>-7281</v>
      </c>
      <c r="G267" s="3939" t="s">
        <v>5005</v>
      </c>
      <c r="H267" s="3640" t="s">
        <v>8389</v>
      </c>
    </row>
  </sheetData>
  <phoneticPr fontId="67" type="noConversion"/>
  <pageMargins bottom="0.19685039370078741" footer="0" header="0" left="0.19685039370078741" right="0.19685039370078741" top="0.19685039370078741"/>
  <pageSetup orientation="portrait" paperSize="8" r:id="rId1"/>
  <headerFooter alignWithMargins="0"/>
  <drawing r:id="rId2"/>
  <legacyDrawing r:id="rId3"/>
  <mc:AlternateContent>
    <mc:Choice Requires="x14">
      <controls>
        <mc:AlternateContent>
          <mc:Choice Requires="x14">
            <control name="Button 1" r:id="rId4" shapeId="45057">
              <controlPr autoFill="0" autoPict="0" defaultSize="0" macro="[0]!Replay_test_case" print="0">
                <anchor moveWithCells="1" sizeWithCells="1">
                  <from>
                    <xdr:col>3</xdr:col>
                    <xdr:colOff>142875</xdr:colOff>
                    <xdr:row>1</xdr:row>
                    <xdr:rowOff>38100</xdr:rowOff>
                  </from>
                  <to>
                    <xdr:col>3</xdr:col>
                    <xdr:colOff>1933575</xdr:colOff>
                    <xdr:row>3</xdr:row>
                    <xdr:rowOff>114300</xdr:rowOff>
                  </to>
                </anchor>
              </controlPr>
            </control>
          </mc:Choice>
        </mc:AlternateContent>
        <mc:AlternateContent>
          <mc:Choice Requires="x14">
            <control name="Button 3" r:id="rId5" shapeId="45059">
              <controlPr autoFill="0" autoPict="0" defaultSize="0" macro="[0]!reset_test_selection" print="0">
                <anchor moveWithCells="1">
                  <from>
                    <xdr:col>3</xdr:col>
                    <xdr:colOff>2038350</xdr:colOff>
                    <xdr:row>1</xdr:row>
                    <xdr:rowOff>57150</xdr:rowOff>
                  </from>
                  <to>
                    <xdr:col>4</xdr:col>
                    <xdr:colOff>609600</xdr:colOff>
                    <xdr:row>3</xdr:row>
                    <xdr:rowOff>47625</xdr:rowOff>
                  </to>
                </anchor>
              </controlPr>
            </control>
          </mc:Choice>
        </mc:AlternateContent>
        <mc:AlternateContent>
          <mc:Choice Requires="x14">
            <control name="Button 4" r:id="rId6" shapeId="45060">
              <controlPr autoFill="0" autoPict="0" defaultSize="0" macro="[0]!Show_hide_components" print="0">
                <anchor moveWithCells="1">
                  <from>
                    <xdr:col>1</xdr:col>
                    <xdr:colOff>1590675</xdr:colOff>
                    <xdr:row>2</xdr:row>
                    <xdr:rowOff>190500</xdr:rowOff>
                  </from>
                  <to>
                    <xdr:col>1</xdr:col>
                    <xdr:colOff>3371850</xdr:colOff>
                    <xdr:row>4</xdr:row>
                    <xdr:rowOff>142875</xdr:rowOff>
                  </to>
                </anchor>
              </controlPr>
            </control>
          </mc:Choice>
        </mc:AlternateContent>
      </controls>
    </mc:Choice>
  </mc:AlternateContent>
</worksheet>
</file>

<file path=xl/worksheets/sheet6.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xmlns:xr="http://schemas.microsoft.com/office/spreadsheetml/2014/revision" xmlns:xr2="http://schemas.microsoft.com/office/spreadsheetml/2015/revision2" xmlns:xr3="http://schemas.microsoft.com/office/spreadsheetml/2016/revision3" mc:Ignorable="x14ac xr xr2 xr3" xr:uid="{00000000-0001-0000-0500-000000000000}">
  <sheetPr codeName="Sheet61"/>
  <dimension ref="A1:N34"/>
  <sheetViews>
    <sheetView showGridLines="0" topLeftCell="B1" workbookViewId="0" zoomScaleNormal="100">
      <selection activeCell="G41" sqref="G41"/>
    </sheetView>
  </sheetViews>
  <sheetFormatPr defaultColWidth="9.140625" defaultRowHeight="12" x14ac:dyDescent="0.2"/>
  <cols>
    <col min="1" max="1" customWidth="true" hidden="true" style="181" width="6.28515625" collapsed="true"/>
    <col min="2" max="2" customWidth="true" style="181" width="2.5703125" collapsed="true"/>
    <col min="3" max="4" customWidth="true" style="181" width="21.5703125" collapsed="true"/>
    <col min="5" max="6" customWidth="true" style="181" width="12.42578125" collapsed="true"/>
    <col min="7" max="7" customWidth="true" style="181" width="18.28515625" collapsed="true"/>
    <col min="8" max="8" customWidth="true" style="181" width="12.42578125" collapsed="true"/>
    <col min="9" max="19" customWidth="true" style="181" width="10.7109375" collapsed="true"/>
    <col min="20" max="16384" style="181" width="9.140625" collapsed="true"/>
  </cols>
  <sheetData>
    <row customHeight="1" ht="12" r="1" spans="1:13" x14ac:dyDescent="0.2">
      <c r="A1" s="181" t="s">
        <v>654</v>
      </c>
      <c r="B1" s="139"/>
      <c r="C1" s="139"/>
      <c r="D1" s="569" t="s">
        <v>2878</v>
      </c>
      <c r="E1" s="139"/>
      <c r="F1" s="139"/>
      <c r="G1" s="139"/>
      <c r="H1" s="139"/>
      <c r="I1" s="139"/>
      <c r="J1" s="139"/>
      <c r="K1" s="139"/>
      <c r="L1" s="139"/>
      <c r="M1" s="139"/>
    </row>
    <row customHeight="1" ht="12" r="2" spans="1:13" x14ac:dyDescent="0.2">
      <c r="A2" s="181">
        <v>1</v>
      </c>
      <c r="B2" s="139"/>
      <c r="C2" s="600" t="s">
        <v>653</v>
      </c>
      <c r="D2" s="601"/>
      <c r="E2" s="601"/>
      <c r="F2" s="601"/>
      <c r="G2" s="601"/>
      <c r="H2" s="601"/>
      <c r="I2" s="602"/>
      <c r="J2" s="139"/>
      <c r="K2" s="139"/>
      <c r="L2" s="139"/>
      <c r="M2" s="139"/>
    </row>
    <row customHeight="1" ht="12" r="3" spans="1:13" x14ac:dyDescent="0.2">
      <c r="A3" s="181">
        <v>2</v>
      </c>
      <c r="B3" s="139"/>
      <c r="C3" s="605"/>
      <c r="D3" s="203"/>
      <c r="E3" s="203"/>
      <c r="F3" s="203"/>
      <c r="G3" s="203"/>
      <c r="H3" s="203"/>
      <c r="I3" s="604"/>
      <c r="J3" s="139"/>
      <c r="K3" s="139"/>
      <c r="L3" s="139"/>
      <c r="M3" s="139"/>
    </row>
    <row customHeight="1" ht="12" r="4" spans="1:13" x14ac:dyDescent="0.2">
      <c r="A4" s="181">
        <v>3</v>
      </c>
      <c r="B4" s="139"/>
      <c r="C4" s="922" t="s">
        <v>2409</v>
      </c>
      <c r="D4" s="203"/>
      <c r="E4" s="603" t="s">
        <v>2295</v>
      </c>
      <c r="F4" s="341">
        <v>3</v>
      </c>
      <c r="G4" s="603" t="str">
        <f>'REL(2)'!C43&amp;" ("&amp;FIN&amp;'REL(2)'!C45&amp;")"</f>
        <v>Tax refunded (FIN1)</v>
      </c>
      <c r="H4" s="579">
        <v>600</v>
      </c>
      <c r="I4" s="604"/>
      <c r="J4" s="139"/>
      <c r="K4" s="139"/>
      <c r="L4" s="139"/>
      <c r="M4" s="139"/>
    </row>
    <row customHeight="1" ht="12" r="5" spans="1:13" x14ac:dyDescent="0.2">
      <c r="A5" s="181">
        <v>4</v>
      </c>
      <c r="B5" s="139"/>
      <c r="C5" s="605"/>
      <c r="D5" s="203"/>
      <c r="E5" s="203"/>
      <c r="F5" s="203"/>
      <c r="G5" s="203"/>
      <c r="H5" s="203"/>
      <c r="I5" s="604"/>
      <c r="J5" s="139"/>
      <c r="K5" s="139"/>
      <c r="L5" s="139"/>
      <c r="M5" s="139"/>
    </row>
    <row customHeight="1" ht="12" r="6" spans="1:13" x14ac:dyDescent="0.2">
      <c r="A6" s="181">
        <v>5</v>
      </c>
      <c r="B6" s="139"/>
      <c r="C6" s="606" t="s">
        <v>53</v>
      </c>
      <c r="D6" s="203"/>
      <c r="E6" s="203"/>
      <c r="F6" s="203"/>
      <c r="G6" s="203"/>
      <c r="H6" s="203"/>
      <c r="I6" s="604"/>
      <c r="J6" s="139"/>
      <c r="K6" s="139"/>
      <c r="L6" s="139"/>
      <c r="M6" s="139"/>
    </row>
    <row customHeight="1" ht="12" r="7" spans="1:13" x14ac:dyDescent="0.2">
      <c r="A7" s="181">
        <v>6</v>
      </c>
      <c r="B7" s="139"/>
      <c r="C7" s="599" t="s">
        <v>1188</v>
      </c>
      <c r="D7" s="203"/>
      <c r="E7" s="603" t="s">
        <v>2849</v>
      </c>
      <c r="F7" s="203"/>
      <c r="G7" s="603" t="s">
        <v>2850</v>
      </c>
      <c r="H7" s="203"/>
      <c r="I7" s="604"/>
      <c r="J7" s="139"/>
      <c r="K7" s="139"/>
      <c r="L7" s="139"/>
      <c r="M7" s="139"/>
    </row>
    <row customHeight="1" ht="12" r="8" spans="1:13" x14ac:dyDescent="0.2">
      <c r="A8" s="181">
        <v>7</v>
      </c>
      <c r="B8" s="139"/>
      <c r="C8" s="590" t="str">
        <f>C0!C10&amp;" ("&amp;C0!C11&amp;" to "&amp;C0!C17&amp;")"</f>
        <v>INC-A (INC1 to INC7)</v>
      </c>
      <c r="D8" s="203"/>
      <c r="E8" s="583" t="str">
        <f>C0!C19&amp;" ("&amp;C0!C20&amp;" to "&amp;C0!C27&amp;")"</f>
        <v>INC-B (INC8 to INC15)</v>
      </c>
      <c r="F8" s="203"/>
      <c r="G8" s="583" t="str">
        <f>C0!C30&amp;" ("&amp;C0!C31&amp;" to "&amp;C0!C35&amp;")"</f>
        <v>INC-C (INC17 to INC21)</v>
      </c>
      <c r="H8" s="203"/>
      <c r="I8" s="604"/>
      <c r="J8" s="139"/>
      <c r="K8" s="139"/>
      <c r="L8" s="139"/>
      <c r="M8" s="139"/>
    </row>
    <row customHeight="1" ht="12" r="9" spans="1:13" x14ac:dyDescent="0.2">
      <c r="A9" s="181">
        <v>8</v>
      </c>
      <c r="B9" s="139"/>
      <c r="C9" s="605"/>
      <c r="D9" s="203"/>
      <c r="E9" s="603"/>
      <c r="F9" s="203"/>
      <c r="G9" s="603"/>
      <c r="H9" s="203"/>
      <c r="I9" s="604"/>
      <c r="J9" s="139"/>
      <c r="K9" s="139"/>
      <c r="L9" s="139"/>
      <c r="M9" s="139"/>
    </row>
    <row customHeight="1" ht="12" r="10" spans="1:13" x14ac:dyDescent="0.2">
      <c r="A10" s="181">
        <v>9</v>
      </c>
      <c r="B10" s="139"/>
      <c r="C10" s="606" t="s">
        <v>2852</v>
      </c>
      <c r="D10" s="203"/>
      <c r="E10" s="603"/>
      <c r="F10" s="203"/>
      <c r="G10" s="603"/>
      <c r="H10" s="203"/>
      <c r="I10" s="604"/>
      <c r="J10" s="139"/>
      <c r="K10" s="139"/>
      <c r="L10" s="139"/>
      <c r="M10" s="139"/>
    </row>
    <row customHeight="1" ht="12" r="11" spans="1:13" x14ac:dyDescent="0.2">
      <c r="A11" s="181">
        <v>10</v>
      </c>
      <c r="B11" s="139"/>
      <c r="C11" s="599" t="s">
        <v>1070</v>
      </c>
      <c r="D11" s="203"/>
      <c r="E11" s="603" t="s">
        <v>1071</v>
      </c>
      <c r="F11" s="203"/>
      <c r="G11" s="603" t="s">
        <v>3413</v>
      </c>
      <c r="H11" s="203"/>
      <c r="I11" s="604"/>
      <c r="J11" s="139"/>
      <c r="K11" s="139"/>
      <c r="L11" s="139"/>
      <c r="M11" s="139"/>
    </row>
    <row customHeight="1" ht="12" r="12" spans="1:13" x14ac:dyDescent="0.2">
      <c r="A12" s="181">
        <v>11</v>
      </c>
      <c r="B12" s="139"/>
      <c r="C12" s="590" t="str">
        <f>C0!C37&amp;" ("&amp;C0!C38&amp;" to "&amp;C0!C41&amp;")"</f>
        <v>REL-A (REL1 to REL4)</v>
      </c>
      <c r="D12" s="203"/>
      <c r="E12" s="583" t="str">
        <f>C0!C43&amp;" ("&amp;C0!C44&amp;" to "&amp;C0!C49&amp;")"</f>
        <v>REL-B (REL5 to REL10)</v>
      </c>
      <c r="F12" s="203"/>
      <c r="G12" s="583" t="str">
        <f>C0!C53&amp;" ("&amp;C0!C54&amp;" to "&amp;C0!C57&amp;")"</f>
        <v>REL-C (REL13 to REL16)</v>
      </c>
      <c r="H12" s="203"/>
      <c r="I12" s="604"/>
      <c r="J12" s="571" t="str">
        <f>" Components are currently "&amp;IF(A34,"visible","hidden")</f>
        <v xml:space="preserve"> Components are currently hidden</v>
      </c>
      <c r="K12" s="139"/>
      <c r="L12" s="139"/>
      <c r="M12" s="139"/>
    </row>
    <row customHeight="1" ht="12" r="13" spans="1:13" x14ac:dyDescent="0.2">
      <c r="A13" s="181">
        <v>12</v>
      </c>
      <c r="B13" s="139"/>
      <c r="C13" s="605"/>
      <c r="D13" s="203"/>
      <c r="E13" s="603"/>
      <c r="F13" s="203"/>
      <c r="G13" s="603"/>
      <c r="H13" s="203"/>
      <c r="I13" s="604"/>
      <c r="J13" s="139"/>
      <c r="K13" s="139"/>
      <c r="L13" s="139"/>
      <c r="M13" s="139"/>
    </row>
    <row customHeight="1" ht="12" r="14" spans="1:13" x14ac:dyDescent="0.2">
      <c r="A14" s="181">
        <v>13</v>
      </c>
      <c r="B14" s="139"/>
      <c r="C14" s="606" t="s">
        <v>2846</v>
      </c>
      <c r="D14" s="203"/>
      <c r="E14" s="1497" t="s">
        <v>2991</v>
      </c>
      <c r="F14" s="203"/>
      <c r="G14" s="989" t="s">
        <v>4226</v>
      </c>
      <c r="H14" s="203"/>
      <c r="I14" s="604"/>
      <c r="J14" s="139"/>
      <c r="K14" s="139"/>
      <c r="L14" s="139"/>
      <c r="M14" s="139"/>
    </row>
    <row customHeight="1" ht="12" r="15" spans="1:13" x14ac:dyDescent="0.2">
      <c r="A15" s="181">
        <v>14</v>
      </c>
      <c r="B15" s="139"/>
      <c r="C15" s="599" t="s">
        <v>2846</v>
      </c>
      <c r="D15" s="203"/>
      <c r="E15" s="603" t="s">
        <v>2273</v>
      </c>
      <c r="F15" s="203"/>
      <c r="G15" s="567" t="s">
        <v>4245</v>
      </c>
      <c r="H15" s="203"/>
      <c r="I15" s="604"/>
      <c r="J15" s="139"/>
      <c r="K15" s="139"/>
      <c r="L15" s="139"/>
      <c r="M15" s="139"/>
    </row>
    <row customHeight="1" ht="12" r="16" spans="1:13" x14ac:dyDescent="0.2">
      <c r="A16" s="181">
        <v>15</v>
      </c>
      <c r="B16" s="139"/>
      <c r="C16" s="590" t="str">
        <f>C0!C59&amp;" ("&amp;C0!C63&amp;" to "&amp;C0!C60&amp;")"</f>
        <v>SLR (SLR2 to SLR1)</v>
      </c>
      <c r="D16" s="203"/>
      <c r="E16" s="583" t="str">
        <f>C0!C66&amp;" ("&amp;C0!C67&amp;" to "&amp;C0!C69&amp;")"</f>
        <v>CBC (CBC1 to CBC3)</v>
      </c>
      <c r="F16" s="203"/>
      <c r="G16" s="583" t="str">
        <f>C0!C71&amp;" ("&amp;C0!C72&amp;" to "&amp;C0!C77&amp;")"</f>
        <v>MAT (MAT1-5 to MAT5)</v>
      </c>
      <c r="H16" s="203"/>
      <c r="I16" s="604"/>
      <c r="J16" s="139"/>
      <c r="K16" s="139"/>
      <c r="L16" s="139"/>
      <c r="M16" s="139"/>
    </row>
    <row customHeight="1" ht="12" r="17" spans="1:13" x14ac:dyDescent="0.2">
      <c r="A17" s="181">
        <v>16</v>
      </c>
      <c r="B17" s="139"/>
      <c r="C17" s="607"/>
      <c r="D17" s="608"/>
      <c r="E17" s="608"/>
      <c r="F17" s="608"/>
      <c r="G17" s="608"/>
      <c r="H17" s="608"/>
      <c r="I17" s="609"/>
      <c r="J17" s="139"/>
      <c r="K17" s="139"/>
      <c r="L17" s="139"/>
      <c r="M17" s="139"/>
    </row>
    <row customHeight="1" ht="12" r="18" spans="1:13" x14ac:dyDescent="0.2">
      <c r="A18" s="181">
        <v>17</v>
      </c>
      <c r="B18" s="139"/>
      <c r="C18" s="139"/>
      <c r="D18" s="139"/>
      <c r="E18" s="139"/>
      <c r="F18" s="139"/>
      <c r="G18" s="139"/>
      <c r="H18" s="139"/>
      <c r="I18" s="139"/>
      <c r="J18" s="139"/>
      <c r="K18" s="139"/>
      <c r="L18" s="139"/>
      <c r="M18" s="139"/>
    </row>
    <row customHeight="1" ht="12" r="19" spans="1:13" x14ac:dyDescent="0.2">
      <c r="A19" s="181">
        <v>18</v>
      </c>
      <c r="B19" s="139"/>
      <c r="C19" s="600" t="s">
        <v>2482</v>
      </c>
      <c r="D19" s="601"/>
      <c r="E19" s="601"/>
      <c r="F19" s="601"/>
      <c r="G19" s="601"/>
      <c r="H19" s="601"/>
      <c r="I19" s="602"/>
      <c r="J19" s="139"/>
      <c r="K19" s="139"/>
      <c r="L19" s="139"/>
      <c r="M19" s="139"/>
    </row>
    <row customHeight="1" ht="12" r="20" spans="1:13" x14ac:dyDescent="0.2">
      <c r="A20" s="181">
        <v>19</v>
      </c>
      <c r="B20" s="139"/>
      <c r="C20" s="599" t="s">
        <v>3323</v>
      </c>
      <c r="D20" s="203"/>
      <c r="E20" s="603" t="s">
        <v>3324</v>
      </c>
      <c r="F20" s="203"/>
      <c r="G20" s="603" t="s">
        <v>3325</v>
      </c>
      <c r="H20" s="203"/>
      <c r="I20" s="604"/>
      <c r="J20" s="139"/>
      <c r="K20" s="139"/>
      <c r="L20" s="139"/>
      <c r="M20" s="139"/>
    </row>
    <row customHeight="1" ht="12" r="21" spans="1:13" x14ac:dyDescent="0.2">
      <c r="A21" s="181">
        <v>20</v>
      </c>
      <c r="B21" s="139"/>
      <c r="C21" s="590" t="str">
        <f>'C1'!C3&amp;" ("&amp;'C1'!C4&amp;" to "&amp;'C1'!C6&amp;")"</f>
        <v>AOI-A (AOI1 to AOI3)</v>
      </c>
      <c r="D21" s="203"/>
      <c r="E21" s="583" t="str">
        <f>'C1'!C9&amp;" ("&amp;'C1'!C10&amp;" to "&amp;'C1'!C17&amp;")"</f>
        <v>AOI-B (AOI4 to AOI11)</v>
      </c>
      <c r="F21" s="203"/>
      <c r="G21" s="583" t="str">
        <f>'C1'!C20&amp;" ("&amp;'C1'!C21&amp;" to "&amp;'C1'!C25&amp;")"</f>
        <v>AOI-C (AOI12 to AOI15)</v>
      </c>
      <c r="H21" s="203"/>
      <c r="I21" s="604"/>
      <c r="J21" s="139"/>
      <c r="K21" s="139"/>
      <c r="L21" s="139"/>
      <c r="M21" s="139"/>
    </row>
    <row customHeight="1" ht="12" r="22" spans="1:13" x14ac:dyDescent="0.2">
      <c r="B22" s="139"/>
      <c r="C22" s="605"/>
      <c r="D22" s="203"/>
      <c r="E22" s="203"/>
      <c r="F22" s="203"/>
      <c r="G22" s="203"/>
      <c r="H22" s="203"/>
      <c r="I22" s="604"/>
      <c r="J22" s="139"/>
      <c r="K22" s="139"/>
      <c r="L22" s="139"/>
      <c r="M22" s="139"/>
    </row>
    <row customHeight="1" ht="12" r="23" spans="1:13" x14ac:dyDescent="0.2">
      <c r="A23" s="34" t="s">
        <v>2715</v>
      </c>
      <c r="B23" s="139"/>
      <c r="C23" s="599" t="str">
        <f>'C1'!C27</f>
        <v>Share schemes</v>
      </c>
      <c r="D23" s="203"/>
      <c r="E23" s="603" t="str">
        <f>'C1'!C31</f>
        <v>Lump Sums</v>
      </c>
      <c r="F23" s="203"/>
      <c r="G23" s="603" t="str">
        <f>'C1'!C42</f>
        <v>Other deductions</v>
      </c>
      <c r="H23" s="203"/>
      <c r="I23" s="604"/>
      <c r="J23" s="139"/>
      <c r="K23" s="139"/>
      <c r="L23" s="139"/>
      <c r="M23" s="139"/>
    </row>
    <row customHeight="1" ht="12" r="24" spans="1:13" x14ac:dyDescent="0.2">
      <c r="A24" s="1148">
        <v>5</v>
      </c>
      <c r="B24" s="139"/>
      <c r="C24" s="590" t="str">
        <f>'C1'!C28&amp;" ("&amp;'C1'!C29&amp;")"</f>
        <v>ASE-A (ASE1)</v>
      </c>
      <c r="D24" s="203"/>
      <c r="E24" s="583" t="str">
        <f>'C1'!C32&amp;" ("&amp;'C1'!C33&amp;" to "&amp;'C1'!C40&amp;")"</f>
        <v>ASE-B (ASE3 to ASE10)</v>
      </c>
      <c r="F24" s="203"/>
      <c r="G24" s="583" t="str">
        <f>'C1'!C43&amp;" ("&amp;'C1'!C44&amp;" to "&amp;'C1'!C48&amp;")"</f>
        <v>ASE-C (ASE11 to ASE15)</v>
      </c>
      <c r="H24" s="203"/>
      <c r="I24" s="604"/>
      <c r="J24" s="139"/>
      <c r="K24" s="139"/>
      <c r="L24" s="139"/>
      <c r="M24" s="139"/>
    </row>
    <row customHeight="1" ht="12" r="25" spans="1:13" x14ac:dyDescent="0.2">
      <c r="A25" s="1149" t="str">
        <f>"03/06/"&amp;MCA_year-1</f>
        <v>03/06/1934</v>
      </c>
      <c r="B25" s="139"/>
      <c r="C25" s="605"/>
      <c r="D25" s="203"/>
      <c r="E25" s="203"/>
      <c r="F25" s="203"/>
      <c r="G25" s="203"/>
      <c r="H25" s="203"/>
      <c r="I25" s="604"/>
      <c r="J25" s="139"/>
      <c r="K25" s="139"/>
      <c r="L25" s="139"/>
      <c r="M25" s="139"/>
    </row>
    <row customHeight="1" ht="12" r="26" spans="1:13" x14ac:dyDescent="0.2">
      <c r="A26" s="1149" t="str">
        <f>"22/02/"&amp;MCA_year+1</f>
        <v>22/02/1936</v>
      </c>
      <c r="B26" s="139"/>
      <c r="C26" s="599" t="str">
        <f>AOR!C3</f>
        <v>Other tax reliefs</v>
      </c>
      <c r="D26" s="203"/>
      <c r="E26" s="610" t="str">
        <f>MCA!C2</f>
        <v>Married couple's allowance</v>
      </c>
      <c r="F26" s="203"/>
      <c r="G26" s="203" t="str">
        <f>AIL!C3</f>
        <v>Other Income Tax losses</v>
      </c>
      <c r="H26" s="203"/>
      <c r="I26" s="604"/>
      <c r="J26" s="139"/>
      <c r="K26" s="139"/>
      <c r="L26" s="139"/>
      <c r="M26" s="139"/>
    </row>
    <row customHeight="1" ht="12" r="27" spans="1:13" x14ac:dyDescent="0.2">
      <c r="A27" s="1149" t="str">
        <f>"05/03/"&amp;Tax_year_end-75</f>
        <v>05/03/1945</v>
      </c>
      <c r="B27" s="139"/>
      <c r="C27" s="590" t="str">
        <f>'C1'!C50&amp;" ("&amp;'C1'!C51&amp;" to "&amp;'C1'!C59&amp;")"</f>
        <v>AOR (AOR1 to AOR9)</v>
      </c>
      <c r="D27" s="203"/>
      <c r="E27" s="583" t="str">
        <f>'C1'!C74&amp;" ("&amp;'C1'!C75&amp;" to "&amp;'C1'!C85&amp;")"</f>
        <v>MCA (MCA1 to MCA11)</v>
      </c>
      <c r="F27" s="203"/>
      <c r="G27" s="583" t="str">
        <f>'C1'!C87&amp;" ("&amp;'C1'!C88&amp;" to "&amp;'C1'!C110&amp;")"</f>
        <v>AIL (AIL1 to AIL21)</v>
      </c>
      <c r="H27" s="203"/>
      <c r="I27" s="604"/>
      <c r="J27" s="139"/>
      <c r="K27" s="139"/>
      <c r="L27" s="139"/>
      <c r="M27" s="139"/>
    </row>
    <row customHeight="1" ht="12" r="28" spans="1:13" x14ac:dyDescent="0.2">
      <c r="A28" s="1149" t="str">
        <f>"03/01/"&amp;Tax_year_end-63</f>
        <v>03/01/1957</v>
      </c>
      <c r="B28" s="139"/>
      <c r="C28" s="607"/>
      <c r="D28" s="608"/>
      <c r="E28" s="608"/>
      <c r="F28" s="608"/>
      <c r="G28" s="608"/>
      <c r="H28" s="608"/>
      <c r="I28" s="609"/>
      <c r="J28" s="139"/>
      <c r="K28" s="139"/>
      <c r="L28" s="139"/>
      <c r="M28" s="139"/>
    </row>
    <row customHeight="1" ht="12" r="29" spans="1:13" x14ac:dyDescent="0.2">
      <c r="A29" s="1149" t="str">
        <f>"17/11/"&amp;Tax_year_end-40</f>
        <v>17/11/1980</v>
      </c>
      <c r="B29" s="139"/>
      <c r="C29" s="139"/>
      <c r="D29" s="139"/>
      <c r="E29" s="139"/>
      <c r="F29" s="139"/>
      <c r="G29" s="139"/>
      <c r="H29" s="139"/>
      <c r="I29" s="139"/>
      <c r="J29" s="139"/>
      <c r="K29" s="139"/>
      <c r="L29" s="139"/>
      <c r="M29" s="139"/>
    </row>
    <row customHeight="1" ht="12" r="30" spans="1:13" x14ac:dyDescent="0.2">
      <c r="A30" s="1267" t="str">
        <f>"02/05/"&amp;Tax_year_end-15</f>
        <v>02/05/2005</v>
      </c>
      <c r="B30" s="139"/>
      <c r="C30" s="139"/>
      <c r="D30" s="139"/>
      <c r="E30" s="139"/>
      <c r="F30" s="139"/>
      <c r="G30" s="139"/>
      <c r="H30" s="139"/>
      <c r="I30" s="139"/>
      <c r="J30" s="139"/>
      <c r="K30" s="139"/>
      <c r="L30" s="139"/>
      <c r="M30" s="139"/>
    </row>
    <row customHeight="1" ht="12" r="31" spans="1:13" x14ac:dyDescent="0.2">
      <c r="A31" s="1150" t="s">
        <v>2713</v>
      </c>
      <c r="B31" s="139"/>
      <c r="C31" s="139"/>
      <c r="D31" s="139"/>
      <c r="E31" s="139"/>
      <c r="F31" s="139"/>
      <c r="G31" s="139"/>
      <c r="H31" s="139"/>
      <c r="I31" s="139"/>
      <c r="J31" s="139"/>
      <c r="K31" s="139"/>
      <c r="L31" s="139"/>
      <c r="M31" s="139"/>
    </row>
    <row customHeight="1" ht="12" r="32" spans="1:13" x14ac:dyDescent="0.2">
      <c r="A32" s="1266" t="str">
        <f>IF(A24=1,A25,IF(A24=2,A26,IF(A24=3,A27,IF(A24=4,A28,IF(A24=5,A29,IF(A24=6,A30,A31))))))</f>
        <v>17/11/1980</v>
      </c>
      <c r="B32" s="139"/>
      <c r="C32" s="139"/>
      <c r="D32" s="139"/>
      <c r="E32" s="139"/>
      <c r="F32" s="139"/>
      <c r="G32" s="139"/>
      <c r="H32" s="139"/>
      <c r="I32" s="139"/>
      <c r="J32" s="139"/>
      <c r="K32" s="139"/>
      <c r="L32" s="139"/>
      <c r="M32" s="139"/>
    </row>
    <row customHeight="1" ht="12" r="33" spans="1:13" x14ac:dyDescent="0.2">
      <c r="A33" s="34" t="s">
        <v>5113</v>
      </c>
      <c r="B33" s="139"/>
      <c r="C33" s="139"/>
      <c r="D33" s="139"/>
      <c r="E33" s="139"/>
      <c r="F33" s="139"/>
      <c r="G33" s="139"/>
      <c r="H33" s="139"/>
      <c r="I33" s="139"/>
      <c r="J33" s="139"/>
      <c r="K33" s="139"/>
      <c r="L33" s="139"/>
      <c r="M33" s="139"/>
    </row>
    <row customHeight="1" ht="12" r="34" spans="1:13" x14ac:dyDescent="0.2">
      <c r="A34" s="552" t="b">
        <v>0</v>
      </c>
      <c r="B34" s="139"/>
      <c r="C34" s="139"/>
      <c r="D34" s="139"/>
      <c r="E34" s="139"/>
      <c r="F34" s="139"/>
      <c r="G34" s="139"/>
      <c r="H34" s="139"/>
      <c r="I34" s="139"/>
      <c r="J34" s="139"/>
      <c r="K34" s="139"/>
      <c r="L34" s="139"/>
      <c r="M34" s="139"/>
    </row>
  </sheetData>
  <sheetProtection objects="1" scenarios="1" sheet="1"/>
  <phoneticPr fontId="67" type="noConversion"/>
  <pageMargins bottom="0.196850393700787" footer="0" header="0" left="0.196850393700787" right="0.196850393700787" top="0.196850393700787"/>
  <pageSetup horizontalDpi="1200" orientation="landscape" paperSize="9" r:id="rId1" verticalDpi="1200"/>
  <headerFooter alignWithMargins="0"/>
  <drawing r:id="rId2"/>
  <legacyDrawing r:id="rId3"/>
  <mc:AlternateContent>
    <mc:Choice Requires="x14">
      <controls>
        <mc:AlternateContent>
          <mc:Choice Requires="x14">
            <control name="Button 18" r:id="rId4" shapeId="43026">
              <controlPr autoFill="0" autoPict="0" defaultSize="0" macro="[0]!test_this_case" print="0">
                <anchor moveWithCells="1">
                  <from>
                    <xdr:col>9</xdr:col>
                    <xdr:colOff>104775</xdr:colOff>
                    <xdr:row>13</xdr:row>
                    <xdr:rowOff>19050</xdr:rowOff>
                  </from>
                  <to>
                    <xdr:col>11</xdr:col>
                    <xdr:colOff>352425</xdr:colOff>
                    <xdr:row>15</xdr:row>
                    <xdr:rowOff>95250</xdr:rowOff>
                  </to>
                </anchor>
              </controlPr>
            </control>
          </mc:Choice>
        </mc:AlternateContent>
        <mc:AlternateContent>
          <mc:Choice Requires="x14">
            <control name="Button 19" r:id="rId5" shapeId="43027">
              <controlPr autoFill="0" autoPict="0" defaultSize="0" macro="[0]!reset_test_selection" print="0">
                <anchor moveWithCells="1">
                  <from>
                    <xdr:col>9</xdr:col>
                    <xdr:colOff>104775</xdr:colOff>
                    <xdr:row>22</xdr:row>
                    <xdr:rowOff>9525</xdr:rowOff>
                  </from>
                  <to>
                    <xdr:col>11</xdr:col>
                    <xdr:colOff>371475</xdr:colOff>
                    <xdr:row>24</xdr:row>
                    <xdr:rowOff>38100</xdr:rowOff>
                  </to>
                </anchor>
              </controlPr>
            </control>
          </mc:Choice>
        </mc:AlternateContent>
        <mc:AlternateContent>
          <mc:Choice Requires="x14">
            <control name="Button 20" r:id="rId6" shapeId="43028">
              <controlPr autoFill="0" autoPict="0" defaultSize="0" macro="[0]!Show_hide_components" print="0">
                <anchor moveWithCells="1">
                  <from>
                    <xdr:col>9</xdr:col>
                    <xdr:colOff>76200</xdr:colOff>
                    <xdr:row>8</xdr:row>
                    <xdr:rowOff>114300</xdr:rowOff>
                  </from>
                  <to>
                    <xdr:col>11</xdr:col>
                    <xdr:colOff>323850</xdr:colOff>
                    <xdr:row>10</xdr:row>
                    <xdr:rowOff>104775</xdr:rowOff>
                  </to>
                </anchor>
              </controlPr>
            </control>
          </mc:Choice>
        </mc:AlternateContent>
        <mc:AlternateContent>
          <mc:Choice Requires="x14">
            <control name="Button 21" r:id="rId7" shapeId="43029">
              <controlPr autoFill="0" autoPict="0" defaultSize="0" macro="[0]!go_more_select" print="0">
                <anchor moveWithCells="1">
                  <from>
                    <xdr:col>9</xdr:col>
                    <xdr:colOff>85725</xdr:colOff>
                    <xdr:row>5</xdr:row>
                    <xdr:rowOff>28575</xdr:rowOff>
                  </from>
                  <to>
                    <xdr:col>11</xdr:col>
                    <xdr:colOff>323850</xdr:colOff>
                    <xdr:row>6</xdr:row>
                    <xdr:rowOff>142875</xdr:rowOff>
                  </to>
                </anchor>
              </controlPr>
            </control>
          </mc:Choice>
        </mc:AlternateContent>
        <mc:AlternateContent>
          <mc:Choice Requires="x14">
            <control name="Button 22" r:id="rId8" shapeId="43030">
              <controlPr autoFill="0" autoPict="0" defaultSize="0" macro="[0]!record_settings" print="0">
                <anchor moveWithCells="1" sizeWithCells="1">
                  <from>
                    <xdr:col>9</xdr:col>
                    <xdr:colOff>104775</xdr:colOff>
                    <xdr:row>17</xdr:row>
                    <xdr:rowOff>104775</xdr:rowOff>
                  </from>
                  <to>
                    <xdr:col>11</xdr:col>
                    <xdr:colOff>361950</xdr:colOff>
                    <xdr:row>20</xdr:row>
                    <xdr:rowOff>38100</xdr:rowOff>
                  </to>
                </anchor>
              </controlPr>
            </control>
          </mc:Choice>
        </mc:AlternateContent>
        <mc:AlternateContent>
          <mc:Choice Requires="x14">
            <control name="Drop Down 23" r:id="rId9" shapeId="43031">
              <controlPr autoLine="0" autoPict="0" defaultSize="0">
                <anchor moveWithCells="1">
                  <from>
                    <xdr:col>3</xdr:col>
                    <xdr:colOff>0</xdr:colOff>
                    <xdr:row>3</xdr:row>
                    <xdr:rowOff>9525</xdr:rowOff>
                  </from>
                  <to>
                    <xdr:col>3</xdr:col>
                    <xdr:colOff>914400</xdr:colOff>
                    <xdr:row>4</xdr:row>
                    <xdr:rowOff>57150</xdr:rowOff>
                  </to>
                </anchor>
              </controlPr>
            </control>
          </mc:Choice>
        </mc:AlternateContent>
        <mc:AlternateContent>
          <mc:Choice Requires="x14">
            <control name="Drop Down 24" r:id="rId10" shapeId="43032">
              <controlPr autoLine="0" autoPict="0" defaultSize="0">
                <anchor moveWithCells="1">
                  <from>
                    <xdr:col>3</xdr:col>
                    <xdr:colOff>57150</xdr:colOff>
                    <xdr:row>14</xdr:row>
                    <xdr:rowOff>38100</xdr:rowOff>
                  </from>
                  <to>
                    <xdr:col>3</xdr:col>
                    <xdr:colOff>533400</xdr:colOff>
                    <xdr:row>15</xdr:row>
                    <xdr:rowOff>85725</xdr:rowOff>
                  </to>
                </anchor>
              </controlPr>
            </control>
          </mc:Choice>
        </mc:AlternateContent>
        <mc:AlternateContent>
          <mc:Choice Requires="x14">
            <control name="Drop Down 25" r:id="rId11" shapeId="43033">
              <controlPr autoLine="0" autoPict="0" defaultSize="0">
                <anchor moveWithCells="1">
                  <from>
                    <xdr:col>3</xdr:col>
                    <xdr:colOff>57150</xdr:colOff>
                    <xdr:row>6</xdr:row>
                    <xdr:rowOff>28575</xdr:rowOff>
                  </from>
                  <to>
                    <xdr:col>3</xdr:col>
                    <xdr:colOff>533400</xdr:colOff>
                    <xdr:row>7</xdr:row>
                    <xdr:rowOff>76200</xdr:rowOff>
                  </to>
                </anchor>
              </controlPr>
            </control>
          </mc:Choice>
        </mc:AlternateContent>
        <mc:AlternateContent>
          <mc:Choice Requires="x14">
            <control name="Drop Down 26" r:id="rId12" shapeId="43034">
              <controlPr autoLine="0" autoPict="0" defaultSize="0">
                <anchor moveWithCells="1">
                  <from>
                    <xdr:col>5</xdr:col>
                    <xdr:colOff>38100</xdr:colOff>
                    <xdr:row>6</xdr:row>
                    <xdr:rowOff>47625</xdr:rowOff>
                  </from>
                  <to>
                    <xdr:col>5</xdr:col>
                    <xdr:colOff>514350</xdr:colOff>
                    <xdr:row>7</xdr:row>
                    <xdr:rowOff>95250</xdr:rowOff>
                  </to>
                </anchor>
              </controlPr>
            </control>
          </mc:Choice>
        </mc:AlternateContent>
        <mc:AlternateContent>
          <mc:Choice Requires="x14">
            <control name="Drop Down 27" r:id="rId13" shapeId="43035">
              <controlPr autoLine="0" autoPict="0" defaultSize="0">
                <anchor moveWithCells="1">
                  <from>
                    <xdr:col>7</xdr:col>
                    <xdr:colOff>57150</xdr:colOff>
                    <xdr:row>6</xdr:row>
                    <xdr:rowOff>57150</xdr:rowOff>
                  </from>
                  <to>
                    <xdr:col>7</xdr:col>
                    <xdr:colOff>533400</xdr:colOff>
                    <xdr:row>7</xdr:row>
                    <xdr:rowOff>104775</xdr:rowOff>
                  </to>
                </anchor>
              </controlPr>
            </control>
          </mc:Choice>
        </mc:AlternateContent>
        <mc:AlternateContent>
          <mc:Choice Requires="x14">
            <control name="Drop Down 28" r:id="rId14" shapeId="43036">
              <controlPr autoLine="0" autoPict="0" defaultSize="0">
                <anchor moveWithCells="1">
                  <from>
                    <xdr:col>3</xdr:col>
                    <xdr:colOff>76200</xdr:colOff>
                    <xdr:row>10</xdr:row>
                    <xdr:rowOff>38100</xdr:rowOff>
                  </from>
                  <to>
                    <xdr:col>3</xdr:col>
                    <xdr:colOff>552450</xdr:colOff>
                    <xdr:row>11</xdr:row>
                    <xdr:rowOff>85725</xdr:rowOff>
                  </to>
                </anchor>
              </controlPr>
            </control>
          </mc:Choice>
        </mc:AlternateContent>
        <mc:AlternateContent>
          <mc:Choice Requires="x14">
            <control name="Drop Down 29" r:id="rId15" shapeId="43037">
              <controlPr autoLine="0" autoPict="0" defaultSize="0">
                <anchor moveWithCells="1">
                  <from>
                    <xdr:col>5</xdr:col>
                    <xdr:colOff>47625</xdr:colOff>
                    <xdr:row>10</xdr:row>
                    <xdr:rowOff>47625</xdr:rowOff>
                  </from>
                  <to>
                    <xdr:col>5</xdr:col>
                    <xdr:colOff>523875</xdr:colOff>
                    <xdr:row>11</xdr:row>
                    <xdr:rowOff>95250</xdr:rowOff>
                  </to>
                </anchor>
              </controlPr>
            </control>
          </mc:Choice>
        </mc:AlternateContent>
        <mc:AlternateContent>
          <mc:Choice Requires="x14">
            <control name="Drop Down 30" r:id="rId16" shapeId="43038">
              <controlPr autoLine="0" autoPict="0" defaultSize="0">
                <anchor moveWithCells="1">
                  <from>
                    <xdr:col>7</xdr:col>
                    <xdr:colOff>66675</xdr:colOff>
                    <xdr:row>10</xdr:row>
                    <xdr:rowOff>38100</xdr:rowOff>
                  </from>
                  <to>
                    <xdr:col>7</xdr:col>
                    <xdr:colOff>542925</xdr:colOff>
                    <xdr:row>11</xdr:row>
                    <xdr:rowOff>85725</xdr:rowOff>
                  </to>
                </anchor>
              </controlPr>
            </control>
          </mc:Choice>
        </mc:AlternateContent>
        <mc:AlternateContent>
          <mc:Choice Requires="x14">
            <control name="Drop Down 31" r:id="rId17" shapeId="43039">
              <controlPr autoLine="0" autoPict="0" defaultSize="0">
                <anchor moveWithCells="1">
                  <from>
                    <xdr:col>3</xdr:col>
                    <xdr:colOff>76200</xdr:colOff>
                    <xdr:row>19</xdr:row>
                    <xdr:rowOff>57150</xdr:rowOff>
                  </from>
                  <to>
                    <xdr:col>3</xdr:col>
                    <xdr:colOff>552450</xdr:colOff>
                    <xdr:row>20</xdr:row>
                    <xdr:rowOff>104775</xdr:rowOff>
                  </to>
                </anchor>
              </controlPr>
            </control>
          </mc:Choice>
        </mc:AlternateContent>
        <mc:AlternateContent>
          <mc:Choice Requires="x14">
            <control name="Drop Down 32" r:id="rId18" shapeId="43040">
              <controlPr autoLine="0" autoPict="0" defaultSize="0">
                <anchor moveWithCells="1">
                  <from>
                    <xdr:col>5</xdr:col>
                    <xdr:colOff>57150</xdr:colOff>
                    <xdr:row>19</xdr:row>
                    <xdr:rowOff>57150</xdr:rowOff>
                  </from>
                  <to>
                    <xdr:col>5</xdr:col>
                    <xdr:colOff>533400</xdr:colOff>
                    <xdr:row>20</xdr:row>
                    <xdr:rowOff>104775</xdr:rowOff>
                  </to>
                </anchor>
              </controlPr>
            </control>
          </mc:Choice>
        </mc:AlternateContent>
        <mc:AlternateContent>
          <mc:Choice Requires="x14">
            <control name="Drop Down 33" r:id="rId19" shapeId="43041">
              <controlPr autoLine="0" autoPict="0" defaultSize="0">
                <anchor moveWithCells="1">
                  <from>
                    <xdr:col>7</xdr:col>
                    <xdr:colOff>66675</xdr:colOff>
                    <xdr:row>19</xdr:row>
                    <xdr:rowOff>28575</xdr:rowOff>
                  </from>
                  <to>
                    <xdr:col>7</xdr:col>
                    <xdr:colOff>542925</xdr:colOff>
                    <xdr:row>20</xdr:row>
                    <xdr:rowOff>76200</xdr:rowOff>
                  </to>
                </anchor>
              </controlPr>
            </control>
          </mc:Choice>
        </mc:AlternateContent>
        <mc:AlternateContent>
          <mc:Choice Requires="x14">
            <control name="Drop Down 34" r:id="rId20" shapeId="43042">
              <controlPr autoLine="0" autoPict="0" defaultSize="0">
                <anchor moveWithCells="1">
                  <from>
                    <xdr:col>3</xdr:col>
                    <xdr:colOff>85725</xdr:colOff>
                    <xdr:row>22</xdr:row>
                    <xdr:rowOff>47625</xdr:rowOff>
                  </from>
                  <to>
                    <xdr:col>3</xdr:col>
                    <xdr:colOff>561975</xdr:colOff>
                    <xdr:row>23</xdr:row>
                    <xdr:rowOff>95250</xdr:rowOff>
                  </to>
                </anchor>
              </controlPr>
            </control>
          </mc:Choice>
        </mc:AlternateContent>
        <mc:AlternateContent>
          <mc:Choice Requires="x14">
            <control name="Drop Down 35" r:id="rId21" shapeId="43043">
              <controlPr autoLine="0" autoPict="0" defaultSize="0">
                <anchor moveWithCells="1">
                  <from>
                    <xdr:col>5</xdr:col>
                    <xdr:colOff>47625</xdr:colOff>
                    <xdr:row>22</xdr:row>
                    <xdr:rowOff>28575</xdr:rowOff>
                  </from>
                  <to>
                    <xdr:col>5</xdr:col>
                    <xdr:colOff>523875</xdr:colOff>
                    <xdr:row>23</xdr:row>
                    <xdr:rowOff>76200</xdr:rowOff>
                  </to>
                </anchor>
              </controlPr>
            </control>
          </mc:Choice>
        </mc:AlternateContent>
        <mc:AlternateContent>
          <mc:Choice Requires="x14">
            <control name="Drop Down 36" r:id="rId22" shapeId="43044">
              <controlPr autoLine="0" autoPict="0" defaultSize="0">
                <anchor moveWithCells="1">
                  <from>
                    <xdr:col>7</xdr:col>
                    <xdr:colOff>76200</xdr:colOff>
                    <xdr:row>22</xdr:row>
                    <xdr:rowOff>47625</xdr:rowOff>
                  </from>
                  <to>
                    <xdr:col>7</xdr:col>
                    <xdr:colOff>552450</xdr:colOff>
                    <xdr:row>23</xdr:row>
                    <xdr:rowOff>95250</xdr:rowOff>
                  </to>
                </anchor>
              </controlPr>
            </control>
          </mc:Choice>
        </mc:AlternateContent>
        <mc:AlternateContent>
          <mc:Choice Requires="x14">
            <control name="Drop Down 37" r:id="rId23" shapeId="43045">
              <controlPr autoLine="0" autoPict="0" defaultSize="0">
                <anchor moveWithCells="1">
                  <from>
                    <xdr:col>3</xdr:col>
                    <xdr:colOff>85725</xdr:colOff>
                    <xdr:row>25</xdr:row>
                    <xdr:rowOff>19050</xdr:rowOff>
                  </from>
                  <to>
                    <xdr:col>3</xdr:col>
                    <xdr:colOff>561975</xdr:colOff>
                    <xdr:row>26</xdr:row>
                    <xdr:rowOff>66675</xdr:rowOff>
                  </to>
                </anchor>
              </controlPr>
            </control>
          </mc:Choice>
        </mc:AlternateContent>
        <mc:AlternateContent>
          <mc:Choice Requires="x14">
            <control name="Drop Down 38" r:id="rId24" shapeId="43046">
              <controlPr autoLine="0" autoPict="0" defaultSize="0">
                <anchor moveWithCells="1">
                  <from>
                    <xdr:col>5</xdr:col>
                    <xdr:colOff>57150</xdr:colOff>
                    <xdr:row>25</xdr:row>
                    <xdr:rowOff>38100</xdr:rowOff>
                  </from>
                  <to>
                    <xdr:col>5</xdr:col>
                    <xdr:colOff>533400</xdr:colOff>
                    <xdr:row>26</xdr:row>
                    <xdr:rowOff>85725</xdr:rowOff>
                  </to>
                </anchor>
              </controlPr>
            </control>
          </mc:Choice>
        </mc:AlternateContent>
        <mc:AlternateContent>
          <mc:Choice Requires="x14">
            <control name="Drop Down 39" r:id="rId25" shapeId="43047">
              <controlPr autoLine="0" autoPict="0" defaultSize="0">
                <anchor moveWithCells="1">
                  <from>
                    <xdr:col>7</xdr:col>
                    <xdr:colOff>85725</xdr:colOff>
                    <xdr:row>25</xdr:row>
                    <xdr:rowOff>38100</xdr:rowOff>
                  </from>
                  <to>
                    <xdr:col>7</xdr:col>
                    <xdr:colOff>561975</xdr:colOff>
                    <xdr:row>26</xdr:row>
                    <xdr:rowOff>85725</xdr:rowOff>
                  </to>
                </anchor>
              </controlPr>
            </control>
          </mc:Choice>
        </mc:AlternateContent>
        <mc:AlternateContent>
          <mc:Choice Requires="x14">
            <control name="Drop Down 43" r:id="rId26" shapeId="43051">
              <controlPr autoLine="0" autoPict="0" defaultSize="0">
                <anchor moveWithCells="1">
                  <from>
                    <xdr:col>5</xdr:col>
                    <xdr:colOff>66675</xdr:colOff>
                    <xdr:row>14</xdr:row>
                    <xdr:rowOff>28575</xdr:rowOff>
                  </from>
                  <to>
                    <xdr:col>5</xdr:col>
                    <xdr:colOff>542925</xdr:colOff>
                    <xdr:row>15</xdr:row>
                    <xdr:rowOff>76200</xdr:rowOff>
                  </to>
                </anchor>
              </controlPr>
            </control>
          </mc:Choice>
        </mc:AlternateContent>
        <mc:AlternateContent>
          <mc:Choice Requires="x14">
            <control name="Drop Down 45" r:id="rId27" shapeId="43053">
              <controlPr autoLine="0" autoPict="0" defaultSize="0">
                <anchor moveWithCells="1">
                  <from>
                    <xdr:col>7</xdr:col>
                    <xdr:colOff>47625</xdr:colOff>
                    <xdr:row>14</xdr:row>
                    <xdr:rowOff>19050</xdr:rowOff>
                  </from>
                  <to>
                    <xdr:col>7</xdr:col>
                    <xdr:colOff>523875</xdr:colOff>
                    <xdr:row>15</xdr:row>
                    <xdr:rowOff>66675</xdr:rowOff>
                  </to>
                </anchor>
              </controlPr>
            </control>
          </mc:Choice>
        </mc:AlternateContent>
      </controls>
    </mc:Choice>
  </mc:AlternateContent>
</worksheet>
</file>

<file path=xl/worksheets/sheet7.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xmlns:xr="http://schemas.microsoft.com/office/spreadsheetml/2014/revision" xmlns:xr2="http://schemas.microsoft.com/office/spreadsheetml/2015/revision2" xmlns:xr3="http://schemas.microsoft.com/office/spreadsheetml/2016/revision3" mc:Ignorable="x14ac xr xr2 xr3" xr:uid="{00000000-0001-0000-0600-000000000000}">
  <sheetPr codeName="Sheet72"/>
  <dimension ref="A1:O41"/>
  <sheetViews>
    <sheetView showGridLines="0" showRowColHeaders="0" topLeftCell="B1" workbookViewId="0">
      <selection activeCell="K8" sqref="K8"/>
    </sheetView>
  </sheetViews>
  <sheetFormatPr defaultColWidth="9.140625" defaultRowHeight="12" x14ac:dyDescent="0.2"/>
  <cols>
    <col min="1" max="1" customWidth="true" hidden="true" style="34" width="14.0" collapsed="true"/>
    <col min="2" max="2" customWidth="true" style="34" width="1.42578125" collapsed="true"/>
    <col min="3" max="3" customWidth="true" style="35" width="22.28515625" collapsed="true"/>
    <col min="4" max="4" customWidth="true" style="35" width="10.7109375" collapsed="true"/>
    <col min="5" max="5" customWidth="true" style="35" width="16.7109375" collapsed="true"/>
    <col min="6" max="6" customWidth="true" style="35" width="9.42578125" collapsed="true"/>
    <col min="7" max="7" customWidth="true" style="35" width="6.28515625" collapsed="true"/>
    <col min="8" max="8" customWidth="true" style="35" width="13.85546875" collapsed="true"/>
    <col min="9" max="9" customWidth="true" style="35" width="8.85546875" collapsed="true"/>
    <col min="10" max="10" customWidth="true" style="35" width="2.0" collapsed="true"/>
    <col min="11" max="11" customWidth="true" style="35" width="21.0" collapsed="true"/>
    <col min="12" max="12" customWidth="true" style="35" width="12.0" collapsed="true"/>
    <col min="13" max="13" customWidth="true" style="35" width="3.42578125" collapsed="true"/>
    <col min="14" max="14" customWidth="true" style="35" width="32.28515625" collapsed="true"/>
    <col min="15" max="16384" style="34" width="9.140625" collapsed="true"/>
  </cols>
  <sheetData>
    <row customHeight="1" ht="12" r="1" spans="1:14" x14ac:dyDescent="0.2">
      <c r="A1" s="34" t="s">
        <v>654</v>
      </c>
      <c r="B1" s="63"/>
      <c r="C1" s="63"/>
      <c r="D1" s="63"/>
      <c r="E1" s="568" t="s">
        <v>2879</v>
      </c>
      <c r="F1" s="63"/>
      <c r="G1" s="63"/>
      <c r="H1" s="63"/>
      <c r="I1" s="63"/>
      <c r="J1" s="63"/>
      <c r="K1" s="63"/>
      <c r="L1" s="63"/>
      <c r="M1" s="63"/>
      <c r="N1" s="63"/>
    </row>
    <row customHeight="1" ht="12" r="2" spans="1:14" x14ac:dyDescent="0.2">
      <c r="A2" s="34">
        <v>1</v>
      </c>
      <c r="B2" s="63"/>
      <c r="C2" s="63"/>
      <c r="D2" s="63"/>
      <c r="E2" s="63"/>
      <c r="F2" s="63"/>
      <c r="G2" s="63"/>
      <c r="H2" s="63"/>
      <c r="I2" s="63"/>
      <c r="J2" s="63"/>
      <c r="K2" s="63"/>
      <c r="L2" s="63"/>
      <c r="M2" s="63"/>
      <c r="N2" s="63"/>
    </row>
    <row customHeight="1" ht="12" r="3" spans="1:14" x14ac:dyDescent="0.2">
      <c r="A3" s="34">
        <v>2</v>
      </c>
      <c r="B3" s="63"/>
      <c r="C3" s="600" t="s">
        <v>2074</v>
      </c>
      <c r="D3" s="586"/>
      <c r="E3" s="586"/>
      <c r="F3" s="586"/>
      <c r="G3" s="586"/>
      <c r="H3" s="586"/>
      <c r="I3" s="587"/>
      <c r="J3" s="63"/>
      <c r="K3" s="63"/>
      <c r="L3" s="598"/>
      <c r="M3" s="63"/>
      <c r="N3" s="63"/>
    </row>
    <row customHeight="1" ht="12" r="4" spans="1:14" x14ac:dyDescent="0.2">
      <c r="A4" s="34">
        <v>3</v>
      </c>
      <c r="B4" s="63"/>
      <c r="C4" s="588" t="s">
        <v>55</v>
      </c>
      <c r="D4" s="63"/>
      <c r="E4" s="567" t="s">
        <v>56</v>
      </c>
      <c r="F4" s="63"/>
      <c r="G4" s="63"/>
      <c r="H4" s="567" t="s">
        <v>2909</v>
      </c>
      <c r="I4" s="589"/>
      <c r="J4" s="63"/>
      <c r="K4" s="598"/>
      <c r="L4" s="598"/>
      <c r="M4" s="63"/>
      <c r="N4" s="63"/>
    </row>
    <row customHeight="1" ht="12" r="5" spans="1:14" x14ac:dyDescent="0.2">
      <c r="A5" s="34">
        <v>4</v>
      </c>
      <c r="B5" s="63"/>
      <c r="C5" s="595" t="str">
        <f>'C2'!B2</f>
        <v>selected 3</v>
      </c>
      <c r="D5" s="63"/>
      <c r="E5" s="582" t="s">
        <v>3741</v>
      </c>
      <c r="F5" s="63"/>
      <c r="G5" s="63"/>
      <c r="H5" s="567" t="s">
        <v>2910</v>
      </c>
      <c r="I5" s="589"/>
      <c r="J5" s="63"/>
      <c r="K5" s="63"/>
      <c r="L5" s="598"/>
      <c r="M5" s="63"/>
      <c r="N5" s="63"/>
    </row>
    <row customHeight="1" ht="12" r="6" spans="1:14" x14ac:dyDescent="0.2">
      <c r="A6" s="34">
        <v>5</v>
      </c>
      <c r="B6" s="63"/>
      <c r="C6" s="596" t="str">
        <f>"("&amp;'C2'!C3&amp;" to "&amp;'C2'!C24&amp;")"</f>
        <v>(EMP1 to EMP20)</v>
      </c>
      <c r="D6" s="593"/>
      <c r="E6" s="597" t="str">
        <f>"("&amp;'C2'!C3&amp;" to "&amp;'C2'!C24&amp;")"</f>
        <v>(EMP1 to EMP20)</v>
      </c>
      <c r="F6" s="593"/>
      <c r="G6" s="593"/>
      <c r="H6" s="597" t="str">
        <f>"("&amp;'C2'!C51&amp;" to "&amp;'C2'!C89&amp;")"</f>
        <v>(MOR1 to MOR39)</v>
      </c>
      <c r="I6" s="594"/>
      <c r="J6" s="63"/>
      <c r="K6" s="63"/>
      <c r="L6" s="598"/>
      <c r="M6" s="63"/>
      <c r="N6" s="63"/>
    </row>
    <row customHeight="1" ht="12" r="7" spans="1:14" x14ac:dyDescent="0.2">
      <c r="A7" s="34">
        <v>6</v>
      </c>
      <c r="B7" s="63"/>
      <c r="C7" s="583"/>
      <c r="D7" s="63"/>
      <c r="E7" s="582"/>
      <c r="F7" s="63"/>
      <c r="G7" s="63"/>
      <c r="H7" s="582"/>
      <c r="I7" s="63"/>
      <c r="J7" s="63"/>
      <c r="K7" s="63"/>
      <c r="L7" s="63"/>
      <c r="M7" s="63"/>
      <c r="N7" s="63"/>
    </row>
    <row customHeight="1" ht="12" r="8" spans="1:14" x14ac:dyDescent="0.2">
      <c r="A8" s="34">
        <v>7</v>
      </c>
      <c r="B8" s="63"/>
      <c r="C8" s="600" t="s">
        <v>4010</v>
      </c>
      <c r="D8" s="586"/>
      <c r="E8" s="586"/>
      <c r="F8" s="586"/>
      <c r="G8" s="586"/>
      <c r="H8" s="586"/>
      <c r="I8" s="587"/>
      <c r="J8" s="63"/>
      <c r="K8" s="63"/>
      <c r="L8" s="63"/>
      <c r="M8" s="63"/>
      <c r="N8" s="63"/>
    </row>
    <row customHeight="1" ht="12" r="9" spans="1:14" x14ac:dyDescent="0.2">
      <c r="A9" s="34">
        <v>8</v>
      </c>
      <c r="B9" s="63"/>
      <c r="C9" s="588" t="s">
        <v>2077</v>
      </c>
      <c r="D9" s="63"/>
      <c r="E9" s="567" t="s">
        <v>3664</v>
      </c>
      <c r="F9" s="63"/>
      <c r="G9" s="63"/>
      <c r="H9" s="567" t="s">
        <v>3295</v>
      </c>
      <c r="I9" s="589"/>
      <c r="J9" s="63"/>
      <c r="K9" s="923" t="str">
        <f>"Components are currently "&amp;IF(Selector!A34,"visible","hidden")</f>
        <v>Components are currently hidden</v>
      </c>
      <c r="L9" s="63"/>
      <c r="M9" s="63"/>
      <c r="N9" s="63"/>
    </row>
    <row customHeight="1" ht="12" r="10" spans="1:14" x14ac:dyDescent="0.2">
      <c r="A10" s="34">
        <v>9</v>
      </c>
      <c r="B10" s="63"/>
      <c r="C10" s="590" t="str">
        <f>"("&amp;'C3'!C3&amp;" to "&amp;'C3'!C42&amp;")"</f>
        <v>(SSE1 to SSE38)</v>
      </c>
      <c r="D10" s="63"/>
      <c r="E10" s="583" t="str">
        <f>"("&amp;'C3'!C45&amp;" to "&amp;'C3'!C149&amp;")"</f>
        <v>(FSE1 to FSE103)</v>
      </c>
      <c r="F10" s="63"/>
      <c r="G10" s="63"/>
      <c r="H10" s="583"/>
      <c r="I10" s="589"/>
      <c r="J10" s="63"/>
      <c r="K10" s="498"/>
      <c r="L10" s="63"/>
      <c r="M10" s="63"/>
      <c r="N10" s="63"/>
    </row>
    <row customHeight="1" ht="12" r="11" spans="1:14" x14ac:dyDescent="0.2">
      <c r="A11" s="34">
        <v>10</v>
      </c>
      <c r="B11" s="63"/>
      <c r="C11" s="591"/>
      <c r="D11" s="63"/>
      <c r="E11" s="63"/>
      <c r="F11" s="63"/>
      <c r="G11" s="63"/>
      <c r="H11" s="63"/>
      <c r="I11" s="589"/>
      <c r="J11" s="63"/>
      <c r="K11" s="570"/>
      <c r="L11" s="63"/>
      <c r="M11" s="63"/>
      <c r="N11" s="63"/>
    </row>
    <row customHeight="1" ht="12" r="12" spans="1:14" x14ac:dyDescent="0.2">
      <c r="A12" s="34">
        <v>11</v>
      </c>
      <c r="B12" s="63"/>
      <c r="C12" s="588" t="s">
        <v>1123</v>
      </c>
      <c r="D12" s="63"/>
      <c r="E12" s="567" t="s">
        <v>3317</v>
      </c>
      <c r="F12" s="63"/>
      <c r="G12" s="63"/>
      <c r="H12" s="567"/>
      <c r="I12" s="589"/>
      <c r="J12" s="63"/>
      <c r="K12" s="570"/>
      <c r="L12" s="63"/>
      <c r="M12" s="63"/>
      <c r="N12" s="63"/>
    </row>
    <row customHeight="1" ht="12" r="13" spans="1:14" x14ac:dyDescent="0.2">
      <c r="A13" s="34">
        <v>12</v>
      </c>
      <c r="B13" s="63"/>
      <c r="C13" s="590" t="str">
        <f>"("&amp;'C4'!C3&amp;" to "&amp;'C4'!C34&amp;")"</f>
        <v>(SPS1 to SPS32)</v>
      </c>
      <c r="D13" s="63"/>
      <c r="E13" s="583" t="str">
        <f>"("&amp;'C4'!C37&amp;" to "&amp;'C4'!C122&amp;")"</f>
        <v>(FPS1 to FPS80)</v>
      </c>
      <c r="F13" s="63"/>
      <c r="G13" s="63"/>
      <c r="H13" s="63"/>
      <c r="I13" s="589"/>
      <c r="J13" s="63"/>
      <c r="K13" s="63"/>
      <c r="L13" s="63"/>
      <c r="M13" s="63"/>
      <c r="N13" s="63"/>
    </row>
    <row customHeight="1" ht="12" r="14" spans="1:14" x14ac:dyDescent="0.2">
      <c r="A14" s="34">
        <v>13</v>
      </c>
      <c r="B14" s="63"/>
      <c r="C14" s="592"/>
      <c r="D14" s="593"/>
      <c r="E14" s="593"/>
      <c r="F14" s="593"/>
      <c r="G14" s="593"/>
      <c r="H14" s="593"/>
      <c r="I14" s="594"/>
      <c r="J14" s="63"/>
      <c r="K14" s="63"/>
      <c r="L14" s="63"/>
      <c r="M14" s="63"/>
      <c r="N14" s="63"/>
    </row>
    <row customHeight="1" ht="12" r="15" spans="1:14" x14ac:dyDescent="0.2">
      <c r="A15" s="34">
        <v>14</v>
      </c>
      <c r="B15" s="63"/>
      <c r="C15" s="63"/>
      <c r="D15" s="63"/>
      <c r="E15" s="63"/>
      <c r="F15" s="63"/>
      <c r="G15" s="63"/>
      <c r="H15" s="63"/>
      <c r="I15" s="63"/>
      <c r="J15" s="63"/>
      <c r="K15" s="63"/>
      <c r="L15" s="63"/>
      <c r="M15" s="63"/>
      <c r="N15" s="63"/>
    </row>
    <row customHeight="1" ht="12" r="16" spans="1:14" x14ac:dyDescent="0.2">
      <c r="A16" s="34">
        <v>15</v>
      </c>
      <c r="B16" s="63"/>
      <c r="C16" s="567" t="s">
        <v>640</v>
      </c>
      <c r="D16" s="63"/>
      <c r="E16" s="603" t="s">
        <v>1370</v>
      </c>
      <c r="F16" s="63"/>
      <c r="G16" s="63"/>
      <c r="H16" s="567" t="s">
        <v>1315</v>
      </c>
      <c r="I16" s="63"/>
      <c r="J16" s="63"/>
      <c r="K16" s="63"/>
      <c r="L16" s="63"/>
      <c r="M16" s="63"/>
      <c r="N16" s="63"/>
    </row>
    <row customHeight="1" ht="12" r="17" spans="1:14" x14ac:dyDescent="0.2">
      <c r="A17" s="34">
        <v>16</v>
      </c>
      <c r="B17" s="63"/>
      <c r="C17" s="611" t="str">
        <f>"("&amp;'C5'!C2&amp;" to "&amp;'C5'!C70&amp;")"</f>
        <v>(PRO1 to PRO45)</v>
      </c>
      <c r="D17" s="63"/>
      <c r="E17" s="583" t="str">
        <f>"("&amp;'C6'!C2&amp;" to "&amp;'C6'!C136&amp;")"</f>
        <v>(FOR1 to FOR46)</v>
      </c>
      <c r="F17" s="63"/>
      <c r="G17" s="63"/>
      <c r="H17" s="583" t="str">
        <f>"("&amp;'C7'!C2&amp;" to "&amp;'C7'!C28&amp;")"</f>
        <v>(TRU1 to TRU26)</v>
      </c>
      <c r="I17" s="63"/>
      <c r="J17" s="63"/>
      <c r="K17" s="63"/>
      <c r="L17" s="63"/>
      <c r="M17" s="63"/>
      <c r="N17" s="63"/>
    </row>
    <row customHeight="1" ht="12" r="18" spans="1:14" x14ac:dyDescent="0.2">
      <c r="A18" s="34">
        <v>17</v>
      </c>
      <c r="B18" s="63"/>
      <c r="C18" s="63"/>
      <c r="D18" s="63"/>
      <c r="E18" s="63"/>
      <c r="F18" s="63"/>
      <c r="G18" s="63"/>
      <c r="H18" s="63"/>
      <c r="I18" s="63"/>
      <c r="J18" s="63"/>
      <c r="K18" s="63"/>
      <c r="L18" s="63"/>
      <c r="M18" s="63"/>
      <c r="N18" s="63"/>
    </row>
    <row customHeight="1" ht="12" r="19" spans="1:14" x14ac:dyDescent="0.2">
      <c r="A19" s="34">
        <v>18</v>
      </c>
      <c r="B19" s="63"/>
      <c r="C19" s="567" t="s">
        <v>965</v>
      </c>
      <c r="D19" s="63"/>
      <c r="E19" s="567" t="s">
        <v>847</v>
      </c>
      <c r="F19" s="63"/>
      <c r="G19" s="63"/>
      <c r="H19" s="567" t="s">
        <v>3878</v>
      </c>
      <c r="I19" s="63"/>
      <c r="J19" s="63"/>
      <c r="K19" s="63"/>
      <c r="L19" s="63"/>
      <c r="M19" s="63"/>
      <c r="N19" s="63"/>
    </row>
    <row customHeight="1" ht="12" r="20" spans="1:14" x14ac:dyDescent="0.2">
      <c r="A20" s="33" t="s">
        <v>1102</v>
      </c>
      <c r="B20" s="63"/>
      <c r="C20" s="583" t="str">
        <f>"("&amp;'C8C9C10'!C3&amp;" to "&amp;'C8C9C10'!C61&amp;")"</f>
        <v>(CGT1 to CGT54)</v>
      </c>
      <c r="D20" s="63"/>
      <c r="E20" s="583" t="str">
        <f>"("&amp;'C8C9C10'!C64&amp;" to "&amp;'C8C9C10'!C107&amp;")"</f>
        <v>(NRD1 to NRD40)</v>
      </c>
      <c r="F20" s="63"/>
      <c r="G20" s="63"/>
      <c r="H20" s="583" t="str">
        <f>"("&amp;'C8C9C10'!C118&amp;" to "&amp;'C8C9C10'!C128&amp;")"</f>
        <v>(CAL7 to CAL17)</v>
      </c>
      <c r="I20" s="63"/>
      <c r="J20" s="63"/>
      <c r="K20" s="63"/>
      <c r="L20" s="63"/>
      <c r="M20" s="63"/>
      <c r="N20" s="63"/>
    </row>
    <row customHeight="1" ht="12" r="21" spans="1:14" x14ac:dyDescent="0.2">
      <c r="A21" s="12" t="b">
        <v>0</v>
      </c>
      <c r="B21" s="63"/>
      <c r="C21" s="63"/>
      <c r="D21" s="63"/>
      <c r="E21" s="63"/>
      <c r="F21" s="63"/>
      <c r="G21" s="63"/>
      <c r="H21" s="63"/>
      <c r="I21" s="63"/>
      <c r="J21" s="63"/>
      <c r="K21" s="63"/>
      <c r="L21" s="63"/>
      <c r="M21" s="63"/>
      <c r="N21" s="63"/>
    </row>
    <row customHeight="1" ht="12" r="22" spans="1:14" x14ac:dyDescent="0.2">
      <c r="A22" s="994" t="s">
        <v>4288</v>
      </c>
      <c r="B22" s="63"/>
      <c r="C22" s="63"/>
      <c r="D22" s="63"/>
      <c r="E22" s="567" t="s">
        <v>4566</v>
      </c>
      <c r="F22" s="63"/>
      <c r="G22" s="63"/>
      <c r="H22" s="567" t="s">
        <v>4567</v>
      </c>
      <c r="I22" s="63"/>
      <c r="J22" s="63"/>
      <c r="K22" s="63"/>
      <c r="L22" s="63"/>
      <c r="M22" s="63"/>
      <c r="N22" s="63"/>
    </row>
    <row customHeight="1" ht="12" r="23" spans="1:14" x14ac:dyDescent="0.2">
      <c r="A23" s="99" t="b">
        <v>0</v>
      </c>
      <c r="B23" s="63"/>
      <c r="C23" s="63"/>
      <c r="D23" s="63"/>
      <c r="E23" s="583"/>
      <c r="F23" s="63"/>
      <c r="G23" s="63"/>
      <c r="H23" s="583"/>
      <c r="I23" s="63"/>
      <c r="J23" s="63"/>
      <c r="K23" s="63"/>
      <c r="L23" s="63"/>
      <c r="M23" s="63"/>
      <c r="N23" s="63"/>
    </row>
    <row customHeight="1" ht="12" r="24" spans="1:14" x14ac:dyDescent="0.2">
      <c r="A24" s="34" t="s">
        <v>1852</v>
      </c>
      <c r="B24" s="63"/>
      <c r="C24" s="63"/>
      <c r="D24" s="63"/>
      <c r="E24" s="63"/>
      <c r="F24" s="63"/>
      <c r="G24" s="63"/>
      <c r="H24" s="63"/>
      <c r="I24" s="63"/>
      <c r="J24" s="63"/>
      <c r="K24" s="63"/>
      <c r="L24" s="63"/>
      <c r="M24" s="63"/>
      <c r="N24" s="63"/>
    </row>
    <row customHeight="1" ht="12" r="25" spans="1:14" x14ac:dyDescent="0.2">
      <c r="A25" s="99" t="b">
        <v>0</v>
      </c>
      <c r="B25" s="63"/>
      <c r="C25" s="63"/>
      <c r="D25" s="63"/>
      <c r="E25" s="63"/>
      <c r="F25" s="63"/>
      <c r="G25" s="63"/>
      <c r="H25" s="63"/>
      <c r="I25" s="63"/>
      <c r="J25" s="63"/>
      <c r="K25" s="63"/>
      <c r="L25" s="63"/>
      <c r="M25" s="63"/>
      <c r="N25" s="63"/>
    </row>
    <row customHeight="1" ht="12" r="26" spans="1:14" x14ac:dyDescent="0.2">
      <c r="B26" s="63"/>
      <c r="C26" s="63"/>
      <c r="D26" s="63"/>
      <c r="E26" s="63"/>
      <c r="F26" s="63"/>
      <c r="G26" s="63"/>
      <c r="H26" s="63"/>
      <c r="I26" s="63"/>
      <c r="J26" s="63"/>
      <c r="K26" s="63"/>
      <c r="L26" s="63"/>
      <c r="M26" s="63"/>
      <c r="N26" s="63"/>
    </row>
    <row customHeight="1" ht="14.25" r="27" spans="1:14" x14ac:dyDescent="0.2">
      <c r="B27" s="63"/>
      <c r="C27" s="63"/>
      <c r="D27" s="63"/>
      <c r="E27" s="63"/>
      <c r="F27" s="63"/>
      <c r="G27" s="63"/>
      <c r="H27" s="63"/>
      <c r="I27" s="63"/>
      <c r="J27" s="63"/>
      <c r="K27" s="63"/>
      <c r="L27" s="63"/>
      <c r="M27" s="63"/>
      <c r="N27" s="63"/>
    </row>
    <row customHeight="1" ht="8.1" r="28" spans="1:14" x14ac:dyDescent="0.2">
      <c r="B28" s="63"/>
      <c r="C28" s="63"/>
      <c r="D28" s="63"/>
      <c r="E28" s="63"/>
      <c r="F28" s="63"/>
      <c r="G28" s="63"/>
      <c r="H28" s="63"/>
      <c r="I28" s="63"/>
      <c r="J28" s="63"/>
      <c r="K28" s="63"/>
      <c r="L28" s="63"/>
      <c r="M28" s="63"/>
      <c r="N28" s="63"/>
    </row>
    <row customHeight="1" ht="12" r="29" spans="1:14" x14ac:dyDescent="0.2">
      <c r="B29" s="63"/>
      <c r="C29" s="63"/>
      <c r="D29" s="63"/>
      <c r="E29" s="63"/>
      <c r="F29" s="63"/>
      <c r="G29" s="63"/>
      <c r="H29" s="63"/>
      <c r="I29" s="63"/>
      <c r="J29" s="63"/>
      <c r="K29" s="63"/>
      <c r="L29" s="63"/>
      <c r="M29" s="63"/>
      <c r="N29" s="63"/>
    </row>
    <row customHeight="1" ht="12" r="30" spans="1:14" x14ac:dyDescent="0.2">
      <c r="B30" s="63"/>
      <c r="C30" s="63"/>
      <c r="D30" s="63"/>
      <c r="E30" s="63"/>
      <c r="F30" s="63"/>
      <c r="G30" s="63"/>
      <c r="H30" s="63"/>
      <c r="I30" s="63"/>
      <c r="J30" s="63"/>
      <c r="K30" s="63"/>
      <c r="L30" s="63"/>
      <c r="M30" s="63"/>
      <c r="N30" s="63"/>
    </row>
    <row customHeight="1" ht="12" r="31" spans="1:14" x14ac:dyDescent="0.2">
      <c r="B31" s="63"/>
      <c r="C31" s="63"/>
      <c r="D31" s="63"/>
      <c r="E31" s="63"/>
      <c r="F31" s="63"/>
      <c r="G31" s="63"/>
      <c r="H31" s="63"/>
      <c r="I31" s="63"/>
      <c r="J31" s="63"/>
      <c r="K31" s="63"/>
      <c r="L31" s="63"/>
      <c r="M31" s="63"/>
      <c r="N31" s="63"/>
    </row>
    <row customHeight="1" ht="12" r="32" spans="1:14" x14ac:dyDescent="0.2">
      <c r="B32" s="63"/>
      <c r="C32" s="63"/>
      <c r="D32" s="63"/>
      <c r="E32" s="63"/>
      <c r="F32" s="63"/>
      <c r="G32" s="63"/>
      <c r="H32" s="63"/>
      <c r="I32" s="63"/>
      <c r="J32" s="63"/>
      <c r="K32" s="63"/>
      <c r="L32" s="63"/>
      <c r="M32" s="63"/>
      <c r="N32" s="63"/>
    </row>
    <row customHeight="1" ht="12" r="33" spans="2:14" x14ac:dyDescent="0.2">
      <c r="B33" s="63"/>
      <c r="C33" s="63"/>
      <c r="D33" s="63"/>
      <c r="E33" s="63"/>
      <c r="F33" s="63"/>
      <c r="G33" s="63"/>
      <c r="H33" s="63"/>
      <c r="I33" s="63"/>
      <c r="J33" s="63"/>
      <c r="K33" s="63"/>
      <c r="L33" s="63"/>
      <c r="M33" s="63"/>
      <c r="N33" s="63"/>
    </row>
    <row customHeight="1" ht="12" r="34" spans="2:14" x14ac:dyDescent="0.2">
      <c r="C34" s="34"/>
      <c r="D34" s="34"/>
      <c r="E34" s="34"/>
      <c r="F34" s="34"/>
      <c r="G34" s="34"/>
      <c r="H34" s="34"/>
      <c r="I34" s="34"/>
      <c r="J34" s="34"/>
      <c r="K34" s="34"/>
      <c r="L34" s="34"/>
      <c r="M34" s="34"/>
      <c r="N34" s="34"/>
    </row>
    <row customHeight="1" ht="12" r="35" spans="2:14" x14ac:dyDescent="0.2">
      <c r="C35" s="34"/>
      <c r="D35" s="34"/>
      <c r="E35" s="34"/>
      <c r="F35" s="34"/>
      <c r="G35" s="34"/>
      <c r="H35" s="34"/>
      <c r="I35" s="34"/>
      <c r="J35" s="34"/>
      <c r="K35" s="34"/>
      <c r="L35" s="34"/>
      <c r="M35" s="34"/>
      <c r="N35" s="34"/>
    </row>
    <row r="36" spans="2:14" x14ac:dyDescent="0.2">
      <c r="C36" s="34"/>
      <c r="D36" s="34"/>
      <c r="E36" s="34"/>
      <c r="F36" s="34"/>
      <c r="G36" s="34"/>
      <c r="H36" s="34"/>
      <c r="I36" s="34"/>
      <c r="J36" s="34"/>
      <c r="K36" s="34"/>
      <c r="L36" s="34"/>
      <c r="M36" s="34"/>
      <c r="N36" s="34"/>
    </row>
    <row r="37" spans="2:14" x14ac:dyDescent="0.2">
      <c r="C37" s="34"/>
      <c r="D37" s="34"/>
      <c r="E37" s="34"/>
      <c r="F37" s="34"/>
      <c r="G37" s="34"/>
      <c r="H37" s="34"/>
      <c r="I37" s="34"/>
      <c r="J37" s="34"/>
      <c r="K37" s="34"/>
      <c r="L37" s="34"/>
      <c r="M37" s="34"/>
      <c r="N37" s="34"/>
    </row>
    <row r="38" spans="2:14" x14ac:dyDescent="0.2">
      <c r="C38" s="34"/>
      <c r="D38" s="34"/>
      <c r="E38" s="34"/>
      <c r="F38" s="34"/>
      <c r="G38" s="34"/>
      <c r="H38" s="34"/>
      <c r="I38" s="34"/>
      <c r="J38" s="34"/>
      <c r="K38" s="34"/>
      <c r="L38" s="34"/>
      <c r="M38" s="34"/>
      <c r="N38" s="34"/>
    </row>
    <row r="39" spans="2:14" x14ac:dyDescent="0.2">
      <c r="C39" s="34"/>
      <c r="D39" s="34"/>
      <c r="E39" s="34"/>
      <c r="F39" s="34"/>
      <c r="G39" s="34"/>
      <c r="H39" s="34"/>
      <c r="I39" s="34"/>
      <c r="J39" s="34"/>
      <c r="K39" s="34"/>
      <c r="L39" s="34"/>
      <c r="M39" s="34"/>
      <c r="N39" s="34"/>
    </row>
    <row r="40" spans="2:14" x14ac:dyDescent="0.2">
      <c r="C40" s="34"/>
      <c r="D40" s="34"/>
      <c r="E40" s="34"/>
      <c r="F40" s="34"/>
      <c r="G40" s="34"/>
      <c r="H40" s="34"/>
      <c r="I40" s="34"/>
      <c r="J40" s="34"/>
      <c r="K40" s="34"/>
      <c r="L40" s="34"/>
      <c r="M40" s="34"/>
      <c r="N40" s="34"/>
    </row>
    <row r="41" spans="2:14" x14ac:dyDescent="0.2">
      <c r="C41" s="34"/>
      <c r="D41" s="34"/>
      <c r="E41" s="34"/>
      <c r="F41" s="34"/>
      <c r="G41" s="34"/>
      <c r="H41" s="34"/>
      <c r="I41" s="34"/>
      <c r="J41" s="34"/>
      <c r="K41" s="34"/>
      <c r="L41" s="34"/>
      <c r="M41" s="34"/>
      <c r="N41" s="34"/>
    </row>
  </sheetData>
  <sheetProtection objects="1" scenarios="1" sheet="1"/>
  <phoneticPr fontId="67" type="noConversion"/>
  <pageMargins bottom="1" footer="0.5" header="0.5" left="0.75" right="0.75" top="1"/>
  <pageSetup horizontalDpi="1200" orientation="portrait" paperSize="9" r:id="rId1" verticalDpi="1200"/>
  <headerFooter alignWithMargins="0"/>
  <drawing r:id="rId2"/>
  <legacyDrawing r:id="rId3"/>
  <mc:AlternateContent>
    <mc:Choice Requires="x14">
      <controls>
        <mc:AlternateContent>
          <mc:Choice Requires="x14">
            <control name="Check Box 20" r:id="rId4" shapeId="44052">
              <controlPr autoFill="0" autoLine="0" autoPict="0" defaultSize="0">
                <anchor moveWithCells="1">
                  <from>
                    <xdr:col>8</xdr:col>
                    <xdr:colOff>161925</xdr:colOff>
                    <xdr:row>10</xdr:row>
                    <xdr:rowOff>85725</xdr:rowOff>
                  </from>
                  <to>
                    <xdr:col>8</xdr:col>
                    <xdr:colOff>466725</xdr:colOff>
                    <xdr:row>12</xdr:row>
                    <xdr:rowOff>0</xdr:rowOff>
                  </to>
                </anchor>
              </controlPr>
            </control>
          </mc:Choice>
        </mc:AlternateContent>
        <mc:AlternateContent>
          <mc:Choice Requires="x14">
            <control name="Button 24" r:id="rId5" shapeId="44056">
              <controlPr autoFill="0" autoPict="0" defaultSize="0" macro="[0]!record_settings" print="0">
                <anchor moveWithCells="1" sizeWithCells="1">
                  <from>
                    <xdr:col>10</xdr:col>
                    <xdr:colOff>9525</xdr:colOff>
                    <xdr:row>14</xdr:row>
                    <xdr:rowOff>66675</xdr:rowOff>
                  </from>
                  <to>
                    <xdr:col>11</xdr:col>
                    <xdr:colOff>409575</xdr:colOff>
                    <xdr:row>16</xdr:row>
                    <xdr:rowOff>133350</xdr:rowOff>
                  </to>
                </anchor>
              </controlPr>
            </control>
          </mc:Choice>
        </mc:AlternateContent>
        <mc:AlternateContent>
          <mc:Choice Requires="x14">
            <control name="Button 25" r:id="rId6" shapeId="44057">
              <controlPr autoFill="0" autoPict="0" defaultSize="0" macro="[0]!Show_hide_components" print="0">
                <anchor moveWithCells="1">
                  <from>
                    <xdr:col>10</xdr:col>
                    <xdr:colOff>9525</xdr:colOff>
                    <xdr:row>5</xdr:row>
                    <xdr:rowOff>95250</xdr:rowOff>
                  </from>
                  <to>
                    <xdr:col>11</xdr:col>
                    <xdr:colOff>400050</xdr:colOff>
                    <xdr:row>7</xdr:row>
                    <xdr:rowOff>85725</xdr:rowOff>
                  </to>
                </anchor>
              </controlPr>
            </control>
          </mc:Choice>
        </mc:AlternateContent>
        <mc:AlternateContent>
          <mc:Choice Requires="x14">
            <control name="Button 26" r:id="rId7" shapeId="44058">
              <controlPr autoFill="0" autoPict="0" defaultSize="0" macro="[0]!reset_test_selection" print="0">
                <anchor moveWithCells="1">
                  <from>
                    <xdr:col>10</xdr:col>
                    <xdr:colOff>19050</xdr:colOff>
                    <xdr:row>18</xdr:row>
                    <xdr:rowOff>85725</xdr:rowOff>
                  </from>
                  <to>
                    <xdr:col>11</xdr:col>
                    <xdr:colOff>409575</xdr:colOff>
                    <xdr:row>20</xdr:row>
                    <xdr:rowOff>114300</xdr:rowOff>
                  </to>
                </anchor>
              </controlPr>
            </control>
          </mc:Choice>
        </mc:AlternateContent>
        <mc:AlternateContent>
          <mc:Choice Requires="x14">
            <control name="Button 27" r:id="rId8" shapeId="44059">
              <controlPr autoFill="0" autoPict="0" defaultSize="0" macro="[0]!go_select" print="0">
                <anchor moveWithCells="1">
                  <from>
                    <xdr:col>9</xdr:col>
                    <xdr:colOff>123825</xdr:colOff>
                    <xdr:row>2</xdr:row>
                    <xdr:rowOff>0</xdr:rowOff>
                  </from>
                  <to>
                    <xdr:col>11</xdr:col>
                    <xdr:colOff>390525</xdr:colOff>
                    <xdr:row>3</xdr:row>
                    <xdr:rowOff>123825</xdr:rowOff>
                  </to>
                </anchor>
              </controlPr>
            </control>
          </mc:Choice>
        </mc:AlternateContent>
        <mc:AlternateContent>
          <mc:Choice Requires="x14">
            <control name="Button 28" r:id="rId9" shapeId="44060">
              <controlPr autoFill="0" autoPict="0" defaultSize="0" macro="[0]!test_this_case" print="0">
                <anchor moveWithCells="1">
                  <from>
                    <xdr:col>10</xdr:col>
                    <xdr:colOff>19050</xdr:colOff>
                    <xdr:row>10</xdr:row>
                    <xdr:rowOff>9525</xdr:rowOff>
                  </from>
                  <to>
                    <xdr:col>11</xdr:col>
                    <xdr:colOff>400050</xdr:colOff>
                    <xdr:row>12</xdr:row>
                    <xdr:rowOff>85725</xdr:rowOff>
                  </to>
                </anchor>
              </controlPr>
            </control>
          </mc:Choice>
        </mc:AlternateContent>
        <mc:AlternateContent>
          <mc:Choice Requires="x14">
            <control name="Drop Down 30" r:id="rId10" shapeId="44062">
              <controlPr autoLine="0" autoPict="0" defaultSize="0">
                <anchor moveWithCells="1">
                  <from>
                    <xdr:col>3</xdr:col>
                    <xdr:colOff>28575</xdr:colOff>
                    <xdr:row>3</xdr:row>
                    <xdr:rowOff>66675</xdr:rowOff>
                  </from>
                  <to>
                    <xdr:col>3</xdr:col>
                    <xdr:colOff>504825</xdr:colOff>
                    <xdr:row>4</xdr:row>
                    <xdr:rowOff>114300</xdr:rowOff>
                  </to>
                </anchor>
              </controlPr>
            </control>
          </mc:Choice>
        </mc:AlternateContent>
        <mc:AlternateContent>
          <mc:Choice Requires="x14">
            <control name="Drop Down 31" r:id="rId11" shapeId="44063">
              <controlPr autoLine="0" autoPict="0" defaultSize="0">
                <anchor moveWithCells="1">
                  <from>
                    <xdr:col>5</xdr:col>
                    <xdr:colOff>57150</xdr:colOff>
                    <xdr:row>3</xdr:row>
                    <xdr:rowOff>47625</xdr:rowOff>
                  </from>
                  <to>
                    <xdr:col>5</xdr:col>
                    <xdr:colOff>533400</xdr:colOff>
                    <xdr:row>4</xdr:row>
                    <xdr:rowOff>95250</xdr:rowOff>
                  </to>
                </anchor>
              </controlPr>
            </control>
          </mc:Choice>
        </mc:AlternateContent>
        <mc:AlternateContent>
          <mc:Choice Requires="x14">
            <control name="Drop Down 32" r:id="rId12" shapeId="44064">
              <controlPr autoLine="0" autoPict="0" defaultSize="0">
                <anchor moveWithCells="1">
                  <from>
                    <xdr:col>8</xdr:col>
                    <xdr:colOff>28575</xdr:colOff>
                    <xdr:row>3</xdr:row>
                    <xdr:rowOff>47625</xdr:rowOff>
                  </from>
                  <to>
                    <xdr:col>8</xdr:col>
                    <xdr:colOff>504825</xdr:colOff>
                    <xdr:row>4</xdr:row>
                    <xdr:rowOff>95250</xdr:rowOff>
                  </to>
                </anchor>
              </controlPr>
            </control>
          </mc:Choice>
        </mc:AlternateContent>
        <mc:AlternateContent>
          <mc:Choice Requires="x14">
            <control name="Drop Down 33" r:id="rId13" shapeId="44065">
              <controlPr autoLine="0" autoPict="0" defaultSize="0">
                <anchor moveWithCells="1">
                  <from>
                    <xdr:col>3</xdr:col>
                    <xdr:colOff>28575</xdr:colOff>
                    <xdr:row>8</xdr:row>
                    <xdr:rowOff>47625</xdr:rowOff>
                  </from>
                  <to>
                    <xdr:col>3</xdr:col>
                    <xdr:colOff>504825</xdr:colOff>
                    <xdr:row>9</xdr:row>
                    <xdr:rowOff>95250</xdr:rowOff>
                  </to>
                </anchor>
              </controlPr>
            </control>
          </mc:Choice>
        </mc:AlternateContent>
        <mc:AlternateContent>
          <mc:Choice Requires="x14">
            <control name="Drop Down 34" r:id="rId14" shapeId="44066">
              <controlPr autoLine="0" autoPict="0" defaultSize="0">
                <anchor moveWithCells="1">
                  <from>
                    <xdr:col>5</xdr:col>
                    <xdr:colOff>47625</xdr:colOff>
                    <xdr:row>8</xdr:row>
                    <xdr:rowOff>57150</xdr:rowOff>
                  </from>
                  <to>
                    <xdr:col>5</xdr:col>
                    <xdr:colOff>523875</xdr:colOff>
                    <xdr:row>9</xdr:row>
                    <xdr:rowOff>104775</xdr:rowOff>
                  </to>
                </anchor>
              </controlPr>
            </control>
          </mc:Choice>
        </mc:AlternateContent>
        <mc:AlternateContent>
          <mc:Choice Requires="x14">
            <control name="Drop Down 35" r:id="rId15" shapeId="44067">
              <controlPr autoLine="0" autoPict="0" defaultSize="0">
                <anchor moveWithCells="1">
                  <from>
                    <xdr:col>8</xdr:col>
                    <xdr:colOff>28575</xdr:colOff>
                    <xdr:row>8</xdr:row>
                    <xdr:rowOff>38100</xdr:rowOff>
                  </from>
                  <to>
                    <xdr:col>8</xdr:col>
                    <xdr:colOff>504825</xdr:colOff>
                    <xdr:row>9</xdr:row>
                    <xdr:rowOff>85725</xdr:rowOff>
                  </to>
                </anchor>
              </controlPr>
            </control>
          </mc:Choice>
        </mc:AlternateContent>
        <mc:AlternateContent>
          <mc:Choice Requires="x14">
            <control name="Drop Down 36" r:id="rId16" shapeId="44068">
              <controlPr autoLine="0" autoPict="0" defaultSize="0">
                <anchor moveWithCells="1">
                  <from>
                    <xdr:col>3</xdr:col>
                    <xdr:colOff>28575</xdr:colOff>
                    <xdr:row>11</xdr:row>
                    <xdr:rowOff>38100</xdr:rowOff>
                  </from>
                  <to>
                    <xdr:col>3</xdr:col>
                    <xdr:colOff>504825</xdr:colOff>
                    <xdr:row>12</xdr:row>
                    <xdr:rowOff>85725</xdr:rowOff>
                  </to>
                </anchor>
              </controlPr>
            </control>
          </mc:Choice>
        </mc:AlternateContent>
        <mc:AlternateContent>
          <mc:Choice Requires="x14">
            <control name="Drop Down 37" r:id="rId17" shapeId="44069">
              <controlPr autoLine="0" autoPict="0" defaultSize="0">
                <anchor moveWithCells="1">
                  <from>
                    <xdr:col>5</xdr:col>
                    <xdr:colOff>47625</xdr:colOff>
                    <xdr:row>11</xdr:row>
                    <xdr:rowOff>28575</xdr:rowOff>
                  </from>
                  <to>
                    <xdr:col>5</xdr:col>
                    <xdr:colOff>523875</xdr:colOff>
                    <xdr:row>12</xdr:row>
                    <xdr:rowOff>76200</xdr:rowOff>
                  </to>
                </anchor>
              </controlPr>
            </control>
          </mc:Choice>
        </mc:AlternateContent>
        <mc:AlternateContent>
          <mc:Choice Requires="x14">
            <control name="Drop Down 38" r:id="rId18" shapeId="44070">
              <controlPr autoLine="0" autoPict="0" defaultSize="0">
                <anchor moveWithCells="1">
                  <from>
                    <xdr:col>3</xdr:col>
                    <xdr:colOff>28575</xdr:colOff>
                    <xdr:row>15</xdr:row>
                    <xdr:rowOff>28575</xdr:rowOff>
                  </from>
                  <to>
                    <xdr:col>3</xdr:col>
                    <xdr:colOff>504825</xdr:colOff>
                    <xdr:row>16</xdr:row>
                    <xdr:rowOff>76200</xdr:rowOff>
                  </to>
                </anchor>
              </controlPr>
            </control>
          </mc:Choice>
        </mc:AlternateContent>
        <mc:AlternateContent>
          <mc:Choice Requires="x14">
            <control name="Drop Down 39" r:id="rId19" shapeId="44071">
              <controlPr autoLine="0" autoPict="0" defaultSize="0">
                <anchor moveWithCells="1">
                  <from>
                    <xdr:col>5</xdr:col>
                    <xdr:colOff>47625</xdr:colOff>
                    <xdr:row>15</xdr:row>
                    <xdr:rowOff>28575</xdr:rowOff>
                  </from>
                  <to>
                    <xdr:col>5</xdr:col>
                    <xdr:colOff>523875</xdr:colOff>
                    <xdr:row>16</xdr:row>
                    <xdr:rowOff>76200</xdr:rowOff>
                  </to>
                </anchor>
              </controlPr>
            </control>
          </mc:Choice>
        </mc:AlternateContent>
        <mc:AlternateContent>
          <mc:Choice Requires="x14">
            <control name="Drop Down 40" r:id="rId20" shapeId="44072">
              <controlPr autoLine="0" autoPict="0" defaultSize="0">
                <anchor moveWithCells="1">
                  <from>
                    <xdr:col>8</xdr:col>
                    <xdr:colOff>28575</xdr:colOff>
                    <xdr:row>15</xdr:row>
                    <xdr:rowOff>28575</xdr:rowOff>
                  </from>
                  <to>
                    <xdr:col>8</xdr:col>
                    <xdr:colOff>504825</xdr:colOff>
                    <xdr:row>16</xdr:row>
                    <xdr:rowOff>76200</xdr:rowOff>
                  </to>
                </anchor>
              </controlPr>
            </control>
          </mc:Choice>
        </mc:AlternateContent>
        <mc:AlternateContent>
          <mc:Choice Requires="x14">
            <control name="Drop Down 41" r:id="rId21" shapeId="44073">
              <controlPr autoLine="0" autoPict="0" defaultSize="0">
                <anchor moveWithCells="1">
                  <from>
                    <xdr:col>3</xdr:col>
                    <xdr:colOff>28575</xdr:colOff>
                    <xdr:row>18</xdr:row>
                    <xdr:rowOff>57150</xdr:rowOff>
                  </from>
                  <to>
                    <xdr:col>3</xdr:col>
                    <xdr:colOff>504825</xdr:colOff>
                    <xdr:row>19</xdr:row>
                    <xdr:rowOff>104775</xdr:rowOff>
                  </to>
                </anchor>
              </controlPr>
            </control>
          </mc:Choice>
        </mc:AlternateContent>
        <mc:AlternateContent>
          <mc:Choice Requires="x14">
            <control name="Drop Down 42" r:id="rId22" shapeId="44074">
              <controlPr autoLine="0" autoPict="0" defaultSize="0">
                <anchor moveWithCells="1">
                  <from>
                    <xdr:col>5</xdr:col>
                    <xdr:colOff>47625</xdr:colOff>
                    <xdr:row>18</xdr:row>
                    <xdr:rowOff>47625</xdr:rowOff>
                  </from>
                  <to>
                    <xdr:col>5</xdr:col>
                    <xdr:colOff>523875</xdr:colOff>
                    <xdr:row>19</xdr:row>
                    <xdr:rowOff>95250</xdr:rowOff>
                  </to>
                </anchor>
              </controlPr>
            </control>
          </mc:Choice>
        </mc:AlternateContent>
        <mc:AlternateContent>
          <mc:Choice Requires="x14">
            <control name="Drop Down 47" r:id="rId23" shapeId="44079">
              <controlPr autoLine="0" autoPict="0" defaultSize="0">
                <anchor moveWithCells="1">
                  <from>
                    <xdr:col>8</xdr:col>
                    <xdr:colOff>28575</xdr:colOff>
                    <xdr:row>18</xdr:row>
                    <xdr:rowOff>47625</xdr:rowOff>
                  </from>
                  <to>
                    <xdr:col>8</xdr:col>
                    <xdr:colOff>504825</xdr:colOff>
                    <xdr:row>19</xdr:row>
                    <xdr:rowOff>95250</xdr:rowOff>
                  </to>
                </anchor>
              </controlPr>
            </control>
          </mc:Choice>
        </mc:AlternateContent>
        <mc:AlternateContent>
          <mc:Choice Requires="x14">
            <control name="Check Box 48" r:id="rId24" shapeId="44080">
              <controlPr autoFill="0" autoLine="0" autoPict="0" defaultSize="0">
                <anchor moveWithCells="1">
                  <from>
                    <xdr:col>8</xdr:col>
                    <xdr:colOff>161925</xdr:colOff>
                    <xdr:row>12</xdr:row>
                    <xdr:rowOff>28575</xdr:rowOff>
                  </from>
                  <to>
                    <xdr:col>8</xdr:col>
                    <xdr:colOff>466725</xdr:colOff>
                    <xdr:row>13</xdr:row>
                    <xdr:rowOff>95250</xdr:rowOff>
                  </to>
                </anchor>
              </controlPr>
            </control>
          </mc:Choice>
        </mc:AlternateContent>
        <mc:AlternateContent>
          <mc:Choice Requires="x14">
            <control name="Drop Down 49" r:id="rId25" shapeId="44081">
              <controlPr autoLine="0" autoPict="0" defaultSize="0">
                <anchor moveWithCells="1">
                  <from>
                    <xdr:col>5</xdr:col>
                    <xdr:colOff>47625</xdr:colOff>
                    <xdr:row>21</xdr:row>
                    <xdr:rowOff>38100</xdr:rowOff>
                  </from>
                  <to>
                    <xdr:col>5</xdr:col>
                    <xdr:colOff>523875</xdr:colOff>
                    <xdr:row>22</xdr:row>
                    <xdr:rowOff>85725</xdr:rowOff>
                  </to>
                </anchor>
              </controlPr>
            </control>
          </mc:Choice>
        </mc:AlternateContent>
        <mc:AlternateContent>
          <mc:Choice Requires="x14">
            <control name="Drop Down 50" r:id="rId26" shapeId="44082">
              <controlPr autoLine="0" autoPict="0" defaultSize="0">
                <anchor moveWithCells="1">
                  <from>
                    <xdr:col>8</xdr:col>
                    <xdr:colOff>38100</xdr:colOff>
                    <xdr:row>21</xdr:row>
                    <xdr:rowOff>47625</xdr:rowOff>
                  </from>
                  <to>
                    <xdr:col>8</xdr:col>
                    <xdr:colOff>514350</xdr:colOff>
                    <xdr:row>22</xdr:row>
                    <xdr:rowOff>95250</xdr:rowOff>
                  </to>
                </anchor>
              </controlPr>
            </control>
          </mc:Choice>
        </mc:AlternateContent>
      </controls>
    </mc:Choice>
  </mc:AlternateContent>
</worksheet>
</file>

<file path=xl/worksheets/sheet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1">
    <tabColor rgb="FFFFC000"/>
  </sheetPr>
  <dimension ref="A1:BK90"/>
  <sheetViews>
    <sheetView showGridLines="0" workbookViewId="0" zoomScaleNormal="100">
      <selection activeCell="B7" sqref="B7"/>
    </sheetView>
  </sheetViews>
  <sheetFormatPr defaultColWidth="9.140625" defaultRowHeight="12" x14ac:dyDescent="0.2"/>
  <cols>
    <col min="1" max="1" customWidth="true" style="547" width="7.0" collapsed="true"/>
    <col min="2" max="2" customWidth="true" style="546" width="11.42578125" collapsed="true"/>
    <col min="3" max="3" customWidth="true" style="546" width="2.42578125" collapsed="true"/>
    <col min="4" max="4" customWidth="true" style="546" width="5.5703125" collapsed="true"/>
    <col min="5" max="5" customWidth="true" style="546" width="11.85546875" collapsed="true"/>
    <col min="6" max="6" customWidth="true" style="546" width="2.7109375" collapsed="true"/>
    <col min="7" max="7" customWidth="true" style="546" width="5.28515625" collapsed="true"/>
    <col min="8" max="8" customWidth="true" style="546" width="12.0" collapsed="true"/>
    <col min="9" max="9" customWidth="true" style="546" width="2.42578125" collapsed="true"/>
    <col min="10" max="10" customWidth="true" style="546" width="4.85546875" collapsed="true"/>
    <col min="11" max="11" customWidth="true" style="546" width="12.5703125" collapsed="true"/>
    <col min="12" max="12" customWidth="true" style="546" width="2.28515625" collapsed="true"/>
    <col min="13" max="13" customWidth="true" style="547" width="7.5703125" collapsed="true"/>
    <col min="14" max="14" customWidth="true" style="546" width="12.7109375" collapsed="true"/>
    <col min="15" max="15" customWidth="true" style="546" width="2.42578125" collapsed="true"/>
    <col min="16" max="16" customWidth="true" style="546" width="8.0" collapsed="true"/>
    <col min="17" max="17" customWidth="true" style="546" width="11.5703125" collapsed="true"/>
    <col min="18" max="18" customWidth="true" style="546" width="2.7109375" collapsed="true"/>
    <col min="19" max="19" customWidth="true" style="546" width="4.7109375" collapsed="true"/>
    <col min="20" max="20" customWidth="true" style="546" width="11.0" collapsed="true"/>
    <col min="21" max="21" customWidth="true" style="546" width="3.140625" collapsed="true"/>
    <col min="22" max="22" customWidth="true" style="546" width="4.7109375" collapsed="true"/>
    <col min="23" max="23" customWidth="true" style="546" width="11.85546875" collapsed="true"/>
    <col min="24" max="24" customWidth="true" style="546" width="2.85546875" collapsed="true"/>
    <col min="25" max="25" customWidth="true" style="546" width="5.28515625" collapsed="true"/>
    <col min="26" max="26" customWidth="true" style="546" width="12.85546875" collapsed="true"/>
    <col min="27" max="27" customWidth="true" style="546" width="3.42578125" collapsed="true"/>
    <col min="28" max="28" customWidth="true" style="123" width="4.28515625" collapsed="true"/>
    <col min="29" max="29" customWidth="true" style="123" width="11.0" collapsed="true"/>
    <col min="30" max="30" customWidth="true" style="123" width="2.7109375" collapsed="true"/>
    <col min="31" max="31" customWidth="true" style="123" width="4.140625" collapsed="true"/>
    <col min="32" max="32" customWidth="true" style="123" width="12.0" collapsed="true"/>
    <col min="33" max="33" customWidth="true" style="123" width="2.7109375" collapsed="true"/>
    <col min="34" max="34" customWidth="true" style="123" width="4.7109375" collapsed="true"/>
    <col min="35" max="35" customWidth="true" style="123" width="11.85546875" collapsed="true"/>
    <col min="36" max="36" customWidth="true" style="123" width="2.7109375" collapsed="true"/>
    <col min="37" max="37" customWidth="true" style="123" width="4.28515625" collapsed="true"/>
    <col min="38" max="38" customWidth="true" style="123" width="13.5703125" collapsed="true"/>
    <col min="39" max="39" customWidth="true" style="123" width="1.7109375" collapsed="true"/>
    <col min="40" max="40" customWidth="true" style="123" width="4.5703125" collapsed="true"/>
    <col min="41" max="41" customWidth="true" style="123" width="12.28515625" collapsed="true"/>
    <col min="42" max="42" customWidth="true" style="123" width="2.7109375" collapsed="true"/>
    <col min="43" max="43" customWidth="true" style="123" width="4.140625" collapsed="true"/>
    <col min="44" max="44" customWidth="true" style="123" width="11.85546875" collapsed="true"/>
    <col min="45" max="45" customWidth="true" style="123" width="2.7109375" collapsed="true"/>
    <col min="46" max="46" customWidth="true" style="123" width="6.28515625" collapsed="true"/>
    <col min="47" max="47" customWidth="true" style="123" width="11.28515625" collapsed="true"/>
    <col min="48" max="48" customWidth="true" style="123" width="2.140625" collapsed="true"/>
    <col min="49" max="49" customWidth="true" style="123" width="6.28515625" collapsed="true"/>
    <col min="50" max="50" customWidth="true" style="123" width="11.0" collapsed="true"/>
    <col min="51" max="51" customWidth="true" style="123" width="2.140625" collapsed="true"/>
    <col min="52" max="52" customWidth="true" style="123" width="4.28515625" collapsed="true"/>
    <col min="53" max="53" customWidth="true" style="123" width="12.28515625" collapsed="true"/>
    <col min="54" max="54" customWidth="true" style="123" width="2.5703125" collapsed="true"/>
    <col min="55" max="55" customWidth="true" style="123" width="4.42578125" collapsed="true"/>
    <col min="56" max="56" customWidth="true" style="123" width="10.28515625" collapsed="true"/>
    <col min="57" max="57" customWidth="true" style="123" width="2.7109375" collapsed="true"/>
    <col min="58" max="58" customWidth="true" style="123" width="5.140625" collapsed="true"/>
    <col min="59" max="59" customWidth="true" style="123" width="11.5703125" collapsed="true"/>
    <col min="60" max="60" customWidth="true" style="123" width="2.0" collapsed="true"/>
    <col min="61" max="61" customWidth="true" style="547" width="14.5703125" collapsed="true"/>
    <col min="62" max="62" customWidth="true" style="123" width="13.5703125" collapsed="true"/>
    <col min="63" max="63" customWidth="true" style="123" width="3.5703125" collapsed="true"/>
    <col min="64" max="64" customWidth="true" style="123" width="6.7109375" collapsed="true"/>
    <col min="65" max="65" customWidth="true" style="123" width="13.28515625" collapsed="true"/>
    <col min="66" max="16384" style="123" width="9.140625" collapsed="true"/>
  </cols>
  <sheetData>
    <row r="1" spans="1:62" x14ac:dyDescent="0.2">
      <c r="A1" s="562"/>
      <c r="B1" s="98" t="str">
        <f>IF(Selector!F4="","","Test case "&amp;Selector!F4)</f>
        <v>Test case 3</v>
      </c>
      <c r="C1" s="98"/>
      <c r="D1" s="98"/>
      <c r="E1" s="98"/>
      <c r="F1" s="98"/>
      <c r="G1" s="562"/>
      <c r="H1" s="98"/>
      <c r="I1" s="98"/>
      <c r="J1" s="562"/>
      <c r="K1" s="98"/>
      <c r="L1" s="98"/>
      <c r="M1" s="562"/>
      <c r="N1" s="98"/>
      <c r="O1" s="98"/>
      <c r="P1" s="98"/>
      <c r="Q1" s="98"/>
      <c r="R1" s="98"/>
      <c r="S1" s="98"/>
      <c r="T1" s="98"/>
      <c r="U1" s="98"/>
      <c r="V1" s="562"/>
      <c r="W1" s="98"/>
      <c r="X1" s="98"/>
      <c r="Y1" s="98"/>
      <c r="Z1" s="98"/>
      <c r="AA1" s="98"/>
      <c r="AB1" s="98"/>
      <c r="AC1" s="98"/>
      <c r="AD1" s="98"/>
      <c r="AE1" s="98"/>
      <c r="AF1" s="98"/>
      <c r="AG1" s="98"/>
      <c r="AH1" s="98"/>
      <c r="AI1" s="98"/>
      <c r="AJ1" s="98"/>
      <c r="AK1" s="98"/>
      <c r="AL1" s="98"/>
      <c r="AM1" s="98"/>
      <c r="AN1" s="98"/>
      <c r="AO1" s="98"/>
      <c r="AP1" s="98"/>
      <c r="AQ1" s="562"/>
      <c r="AR1" s="98"/>
      <c r="AS1" s="98"/>
      <c r="AT1" s="98"/>
      <c r="AU1" s="98"/>
      <c r="AV1" s="98"/>
      <c r="AW1" s="98"/>
      <c r="AX1" s="98"/>
      <c r="AY1" s="98"/>
      <c r="AZ1" s="98"/>
      <c r="BA1" s="98"/>
      <c r="BB1" s="98"/>
      <c r="BC1" s="98"/>
      <c r="BD1" s="98"/>
      <c r="BE1" s="98"/>
      <c r="BF1" s="98"/>
      <c r="BG1" s="98"/>
      <c r="BH1" s="98"/>
      <c r="BI1" s="562"/>
      <c r="BJ1" s="98"/>
    </row>
    <row r="2" spans="1:62" x14ac:dyDescent="0.2">
      <c r="A2" s="1635"/>
      <c r="B2" s="1636"/>
      <c r="C2" s="1637" t="s">
        <v>2239</v>
      </c>
      <c r="D2" s="1638"/>
      <c r="E2" s="1639"/>
      <c r="F2" s="98"/>
      <c r="G2" s="1635"/>
      <c r="H2" s="1636"/>
      <c r="I2" s="1637" t="s">
        <v>2240</v>
      </c>
      <c r="J2" s="1638"/>
      <c r="K2" s="1639"/>
      <c r="L2" s="98"/>
      <c r="M2" s="1635"/>
      <c r="N2" s="1640" t="s">
        <v>2241</v>
      </c>
      <c r="O2" s="98"/>
      <c r="P2" s="1635"/>
      <c r="Q2" s="1640" t="s">
        <v>2628</v>
      </c>
      <c r="R2" s="98"/>
      <c r="S2" s="1635"/>
      <c r="T2" s="1640" t="s">
        <v>3742</v>
      </c>
      <c r="U2" s="98"/>
      <c r="V2" s="1635"/>
      <c r="W2" s="1636"/>
      <c r="X2" s="1647" t="s">
        <v>2242</v>
      </c>
      <c r="Y2" s="1637"/>
      <c r="Z2" s="1648"/>
      <c r="AA2" s="98"/>
      <c r="AB2" s="1635"/>
      <c r="AC2" s="1636"/>
      <c r="AD2" s="1637" t="s">
        <v>2627</v>
      </c>
      <c r="AE2" s="1636"/>
      <c r="AF2" s="1639"/>
      <c r="AG2" s="98"/>
      <c r="AH2" s="1635"/>
      <c r="AI2" s="1640" t="s">
        <v>2629</v>
      </c>
      <c r="AJ2" s="98"/>
      <c r="AK2" s="1635"/>
      <c r="AL2" s="1638"/>
      <c r="AM2" s="1637" t="s">
        <v>2630</v>
      </c>
      <c r="AN2" s="1638"/>
      <c r="AO2" s="1640"/>
      <c r="AP2" s="98"/>
      <c r="AQ2" s="1635"/>
      <c r="AR2" s="1640" t="s">
        <v>2243</v>
      </c>
      <c r="AS2" s="98"/>
      <c r="AT2" s="1635"/>
      <c r="AU2" s="1636"/>
      <c r="AV2" s="1640" t="s">
        <v>3743</v>
      </c>
      <c r="AW2" s="1635"/>
      <c r="AX2" s="1640"/>
      <c r="AY2" s="98"/>
      <c r="AZ2" s="1635"/>
      <c r="BA2" s="1640" t="s">
        <v>3744</v>
      </c>
      <c r="BB2" s="98"/>
      <c r="BC2" s="1635"/>
      <c r="BD2" s="1640" t="s">
        <v>2625</v>
      </c>
      <c r="BE2" s="98"/>
      <c r="BF2" s="1635"/>
      <c r="BG2" s="1640" t="s">
        <v>2626</v>
      </c>
      <c r="BH2" s="98"/>
      <c r="BI2" s="1635"/>
      <c r="BJ2" s="1640" t="s">
        <v>2244</v>
      </c>
    </row>
    <row ht="12.75" r="3" spans="1:62" thickBot="1" x14ac:dyDescent="0.25">
      <c r="A3" s="965" t="s">
        <v>650</v>
      </c>
      <c r="B3" s="123"/>
      <c r="C3" s="123"/>
      <c r="D3" s="566" t="s">
        <v>2851</v>
      </c>
      <c r="E3" s="966" t="str">
        <f>"Selected  = "&amp;REL_A_IND-1&amp;"/"&amp;REL_B_IND-1&amp;"/"&amp;REL_C_IND-1</f>
        <v>Selected  = 3/3/3</v>
      </c>
      <c r="F3" s="123"/>
      <c r="G3" s="965" t="s">
        <v>3322</v>
      </c>
      <c r="H3" s="966" t="str">
        <f>"Selected  = "&amp;AOI_A_IND-1&amp;"/"&amp;AOI_B_IND-1&amp;"/"&amp;AOI_C_IND-1</f>
        <v>Selected  = 0/0/0</v>
      </c>
      <c r="I3" s="123"/>
      <c r="J3" s="965" t="s">
        <v>614</v>
      </c>
      <c r="K3" s="966" t="str">
        <f>"Selected  = "&amp;MCA_IND-1</f>
        <v>Selected  = 0</v>
      </c>
      <c r="L3" s="123"/>
      <c r="M3" s="965" t="s">
        <v>3740</v>
      </c>
      <c r="N3" s="1214" t="str">
        <f>"Selected  = "&amp;EMP_A_IND-1</f>
        <v>Selected  = 3</v>
      </c>
      <c r="O3" s="123"/>
      <c r="P3" s="965" t="s">
        <v>2075</v>
      </c>
      <c r="Q3" s="1214" t="str">
        <f>"Selected  = "&amp;MOR_IND-1</f>
        <v>Selected  = 0</v>
      </c>
      <c r="R3" s="123"/>
      <c r="S3" s="965" t="s">
        <v>2076</v>
      </c>
      <c r="T3" s="1214" t="str">
        <f>"Selected  = "&amp;SE_A_IND-1</f>
        <v>Selected  = 0</v>
      </c>
      <c r="U3" s="123"/>
      <c r="V3" s="965" t="s">
        <v>3663</v>
      </c>
      <c r="W3" s="1214" t="str">
        <f>"Selected  = "&amp;SE_B_IND-1</f>
        <v>Selected  = 3</v>
      </c>
      <c r="X3" s="123"/>
      <c r="Y3" s="965" t="s">
        <v>3663</v>
      </c>
      <c r="Z3" s="1214" t="str">
        <f>"Selected  = "&amp;SE_B_IND-1</f>
        <v>Selected  = 3</v>
      </c>
      <c r="AA3" s="123"/>
      <c r="AB3" s="965" t="s">
        <v>3665</v>
      </c>
      <c r="AC3" s="1214" t="str">
        <f>"Selected  = "&amp;LUN_IND-1</f>
        <v>Selected  = 0</v>
      </c>
      <c r="AE3" s="965" t="s">
        <v>3665</v>
      </c>
      <c r="AF3" s="1214" t="str">
        <f>"Selected  = "&amp;LUN_IND-1</f>
        <v>Selected  = 0</v>
      </c>
      <c r="AH3" s="965" t="s">
        <v>2261</v>
      </c>
      <c r="AI3" s="1214" t="str">
        <f>"Selected  = "&amp;PS_A_IND-1</f>
        <v>Selected  = 0</v>
      </c>
      <c r="AK3" s="965" t="s">
        <v>3316</v>
      </c>
      <c r="AL3" s="1214" t="str">
        <f>"Selected  = "&amp;PS_B_IND-1</f>
        <v>Selected  = 0</v>
      </c>
      <c r="AM3" s="1214"/>
      <c r="AN3" s="965" t="s">
        <v>3316</v>
      </c>
      <c r="AO3" s="1214" t="str">
        <f>"Selected  = "&amp;PS_B_IND-1</f>
        <v>Selected  = 0</v>
      </c>
      <c r="AQ3" s="965" t="s">
        <v>3318</v>
      </c>
      <c r="AR3" s="1214" t="str">
        <f>"Selected  = "&amp;PRO_IND-1</f>
        <v>Selected  = 0</v>
      </c>
      <c r="AT3" s="965" t="s">
        <v>3319</v>
      </c>
      <c r="AU3" s="1214" t="str">
        <f>"Selected  = "&amp;FOR_IND-1</f>
        <v>Selected  = 0</v>
      </c>
      <c r="AW3" s="965" t="s">
        <v>3319</v>
      </c>
      <c r="AX3" s="1214" t="str">
        <f>"Selected  = "&amp;FOR_IND-1</f>
        <v>Selected  = 0</v>
      </c>
      <c r="AZ3" s="965" t="s">
        <v>3320</v>
      </c>
      <c r="BA3" s="1214" t="str">
        <f>"Selected  = "&amp;TRU_IND-1</f>
        <v>Selected  = 0</v>
      </c>
      <c r="BC3" s="965" t="s">
        <v>2768</v>
      </c>
      <c r="BD3" s="1214" t="str">
        <f>"Selected  = "&amp;CGT_IND-1</f>
        <v>Selected  = 0</v>
      </c>
      <c r="BF3" s="965" t="s">
        <v>3321</v>
      </c>
      <c r="BG3" s="1214" t="str">
        <f>"Selected  = "&amp;NRD_IND-1</f>
        <v>Selected  = 0</v>
      </c>
      <c r="BH3" s="98"/>
      <c r="BI3" s="562" t="s">
        <v>568</v>
      </c>
      <c r="BJ3" s="573" t="str">
        <f>"Selected  = "&amp;CAL_IND-1</f>
        <v>Selected  = 3</v>
      </c>
    </row>
    <row ht="12.75" r="4" spans="1:62" thickBot="1" x14ac:dyDescent="0.25">
      <c r="A4" s="1631" t="s">
        <v>952</v>
      </c>
      <c r="B4" s="1641" t="str">
        <f>Selector!A32</f>
        <v>17/11/1980</v>
      </c>
      <c r="C4" s="123"/>
      <c r="D4" s="563" t="s">
        <v>952</v>
      </c>
      <c r="E4" s="1653">
        <f>IF(C0!B38&lt;&gt;"",C0!B38,"")</f>
        <v>1000</v>
      </c>
      <c r="F4" s="123"/>
      <c r="G4" s="563" t="s">
        <v>952</v>
      </c>
      <c r="H4" s="1633" t="str">
        <f>IF('C1'!B4&lt;&gt;"",'C1'!B4,"")</f>
        <v/>
      </c>
      <c r="I4" s="123"/>
      <c r="J4" s="563" t="s">
        <v>952</v>
      </c>
      <c r="K4" s="1633" t="str">
        <f>IF('C1'!B75&lt;&gt;0,'C1'!B75,"")</f>
        <v/>
      </c>
      <c r="L4" s="123"/>
      <c r="M4" s="563" t="s">
        <v>952</v>
      </c>
      <c r="N4" s="1633">
        <f>IF('C2'!B3&lt;&gt;0,'C2'!B3,"")</f>
        <v>33254</v>
      </c>
      <c r="O4" s="123"/>
      <c r="P4" s="563" t="s">
        <v>952</v>
      </c>
      <c r="Q4" s="1633" t="str">
        <f>IF('C2'!B51&lt;&gt;0,'C2'!B51,"")</f>
        <v/>
      </c>
      <c r="R4" s="123"/>
      <c r="S4" s="563" t="s">
        <v>952</v>
      </c>
      <c r="T4" s="1633" t="str">
        <f>IF('C3'!B3&lt;&gt;0,'C3'!B3,"")</f>
        <v/>
      </c>
      <c r="U4" s="123"/>
      <c r="V4" s="563" t="s">
        <v>952</v>
      </c>
      <c r="W4" s="1633" t="str">
        <f>IF('C3'!B45&lt;&gt;0,'C3'!B45,"")</f>
        <v>Trade5</v>
      </c>
      <c r="X4" s="123"/>
      <c r="Y4" s="4047" t="s">
        <v>2799</v>
      </c>
      <c r="Z4" s="4048" t="str">
        <f>IF('C3'!B98&lt;&gt;0,'C3'!B98,"")</f>
        <v/>
      </c>
      <c r="AA4" s="123"/>
      <c r="AB4" s="563" t="s">
        <v>952</v>
      </c>
      <c r="AC4" s="1633" t="str">
        <f>IF('C3'!B152&lt;&gt;0,'C3'!B152,"")</f>
        <v/>
      </c>
      <c r="AE4" s="563" t="s">
        <v>2865</v>
      </c>
      <c r="AF4" s="1633" t="str">
        <f>IF('C3'!B202&lt;&gt;0,'C3'!B202,"")</f>
        <v/>
      </c>
      <c r="AH4" s="563" t="s">
        <v>952</v>
      </c>
      <c r="AI4" s="1649" t="str">
        <f>IF('C4'!B3&lt;&gt;0,'C4'!B3,"")</f>
        <v/>
      </c>
      <c r="AK4" s="563" t="s">
        <v>952</v>
      </c>
      <c r="AL4" s="1650" t="str">
        <f>IF('C4'!B37&lt;&gt;0,'C4'!B37,"")</f>
        <v/>
      </c>
      <c r="AM4" s="584"/>
      <c r="AN4" s="563" t="s">
        <v>2868</v>
      </c>
      <c r="AO4" s="1653" t="str">
        <f>IF('C4'!B91&lt;&gt;0,'C4'!B91,"")</f>
        <v/>
      </c>
      <c r="AQ4" s="563" t="s">
        <v>952</v>
      </c>
      <c r="AR4" s="1634" t="str">
        <f>IF('C5'!B2&lt;&gt;0,'C5'!B2,"")</f>
        <v/>
      </c>
      <c r="AT4" s="1651">
        <v>1</v>
      </c>
      <c r="AU4" s="1633" t="str">
        <f>IF('C6'!B2&lt;&gt;0,'C6'!B2,"")</f>
        <v/>
      </c>
      <c r="AW4" s="1654">
        <v>13.1</v>
      </c>
      <c r="AX4" s="1633" t="str">
        <f>IF('C6'!B74&lt;&gt;0,'C6'!B74,"")</f>
        <v/>
      </c>
      <c r="AZ4" s="563" t="s">
        <v>952</v>
      </c>
      <c r="BA4" s="1633" t="str">
        <f>IF('C7'!B2&lt;&gt;0,'C7'!B2,"")</f>
        <v/>
      </c>
      <c r="BC4" s="563" t="s">
        <v>952</v>
      </c>
      <c r="BD4" s="1633" t="str">
        <f>IF('C8C9C10'!B3&lt;&gt;0,'C8C9C10'!B3,"")</f>
        <v/>
      </c>
      <c r="BF4" s="563" t="s">
        <v>952</v>
      </c>
      <c r="BG4" s="1649" t="str">
        <f>IF('C8C9C10'!B64&lt;&gt;"",'C8C9C10'!B64,"")</f>
        <v/>
      </c>
      <c r="BI4" s="563" t="s">
        <v>952</v>
      </c>
      <c r="BJ4" s="1633">
        <f>IF(box_18_3&lt;0,"",box_18_3)</f>
        <v>12908.429999999998</v>
      </c>
    </row>
    <row ht="12.75" r="5" spans="1:62" thickBot="1" x14ac:dyDescent="0.25">
      <c r="A5" s="1631" t="s">
        <v>2247</v>
      </c>
      <c r="B5" s="1641"/>
      <c r="C5" s="123"/>
      <c r="D5" s="1632" t="s">
        <v>2247</v>
      </c>
      <c r="E5" s="1653">
        <f>IF(C0!B39&lt;&gt;"",C0!B39,"")</f>
        <v>1200</v>
      </c>
      <c r="F5" s="123"/>
      <c r="G5" s="1632" t="s">
        <v>2247</v>
      </c>
      <c r="H5" s="1633" t="str">
        <f>IF('C1'!B5&lt;&gt;"",'C1'!B5,"")</f>
        <v/>
      </c>
      <c r="I5" s="123"/>
      <c r="J5" s="1632" t="s">
        <v>2247</v>
      </c>
      <c r="K5" s="1633" t="str">
        <f>IF('C1'!B76&lt;&gt;0,'C1'!B76,"")</f>
        <v/>
      </c>
      <c r="L5" s="123"/>
      <c r="M5" s="1632" t="s">
        <v>2247</v>
      </c>
      <c r="N5" s="1633">
        <f>IF('C2'!B4&lt;&gt;0,'C2'!B4,"")</f>
        <v>2000</v>
      </c>
      <c r="O5" s="123"/>
      <c r="P5" s="1632" t="s">
        <v>2247</v>
      </c>
      <c r="Q5" s="1633" t="str">
        <f>IF('C2'!B52&lt;&gt;0,'C2'!B52,"")</f>
        <v/>
      </c>
      <c r="R5" s="123"/>
      <c r="S5" s="1632" t="s">
        <v>2247</v>
      </c>
      <c r="T5" s="1633" t="str">
        <f>IF('C3'!B4&lt;&gt;0,'C3'!B4,"")</f>
        <v/>
      </c>
      <c r="U5" s="123"/>
      <c r="V5" s="1632" t="s">
        <v>2247</v>
      </c>
      <c r="W5" s="1633" t="str">
        <f>IF('C3'!B46&lt;&gt;0,'C3'!B46,"")</f>
        <v>trader</v>
      </c>
      <c r="X5" s="123"/>
      <c r="Y5" s="4046" t="s">
        <v>2802</v>
      </c>
      <c r="Z5" s="4049" t="str">
        <f>IF('C3'!B99&lt;&gt;0,'C3'!B99,"")</f>
        <v/>
      </c>
      <c r="AA5" s="123"/>
      <c r="AB5" s="1632" t="s">
        <v>2247</v>
      </c>
      <c r="AC5" s="1633" t="str">
        <f>IF('C3'!B153&lt;&gt;0,'C3'!B153,"")</f>
        <v/>
      </c>
      <c r="AE5" s="1632" t="s">
        <v>2868</v>
      </c>
      <c r="AF5" s="1633" t="str">
        <f>IF('C3'!B203&lt;&gt;0,'C3'!B203,"")</f>
        <v/>
      </c>
      <c r="AH5" s="1632" t="s">
        <v>2247</v>
      </c>
      <c r="AI5" s="1649" t="str">
        <f>IF('C4'!B4&lt;&gt;0,'C4'!B4,"")</f>
        <v/>
      </c>
      <c r="AK5" s="1632" t="s">
        <v>2247</v>
      </c>
      <c r="AL5" s="1650" t="str">
        <f>IF('C4'!B38&lt;&gt;0,'C4'!B38,"")</f>
        <v/>
      </c>
      <c r="AM5" s="584"/>
      <c r="AN5" s="1632" t="s">
        <v>2799</v>
      </c>
      <c r="AO5" s="1653" t="str">
        <f>IF('C4'!B92&lt;&gt;0,'C4'!B92,"")</f>
        <v/>
      </c>
      <c r="AQ5" s="1632" t="s">
        <v>2247</v>
      </c>
      <c r="AR5" s="1649" t="str">
        <f>IF('C5'!B3&lt;&gt;"",'C5'!B3,"")</f>
        <v/>
      </c>
      <c r="AT5" s="1652">
        <v>2</v>
      </c>
      <c r="AU5" s="1633" t="str">
        <f>IF('C6'!B3&lt;&gt;0,'C6'!B3,"")</f>
        <v/>
      </c>
      <c r="AW5" s="1654">
        <v>13.2</v>
      </c>
      <c r="AX5" s="1633" t="str">
        <f>IF('C6'!B75&lt;&gt;0,'C6'!B75,"")</f>
        <v/>
      </c>
      <c r="AZ5" s="1632" t="s">
        <v>2247</v>
      </c>
      <c r="BA5" s="1633" t="str">
        <f>IF('C7'!B3&lt;&gt;0,'C7'!B3,"")</f>
        <v/>
      </c>
      <c r="BC5" s="1632" t="s">
        <v>2247</v>
      </c>
      <c r="BD5" s="1633" t="str">
        <f>IF('C8C9C10'!B4&lt;&gt;0,'C8C9C10'!B4,"")</f>
        <v/>
      </c>
      <c r="BF5" s="1632" t="s">
        <v>2247</v>
      </c>
      <c r="BG5" s="1649" t="str">
        <f>IF('C8C9C10'!B65&lt;&gt;"",'C8C9C10'!B65,"")</f>
        <v/>
      </c>
      <c r="BI5" s="1632" t="s">
        <v>2247</v>
      </c>
      <c r="BJ5" s="1633" t="str">
        <f>IF(box_18_3&lt;0,-1*box_18_3,"")</f>
        <v/>
      </c>
    </row>
    <row ht="12.75" r="6" spans="1:62" thickBot="1" x14ac:dyDescent="0.25">
      <c r="A6" s="1631" t="s">
        <v>2250</v>
      </c>
      <c r="B6" s="1642"/>
      <c r="C6" s="123"/>
      <c r="D6" s="1632" t="s">
        <v>2250</v>
      </c>
      <c r="E6" s="1653" t="str">
        <f>IF(C0!B40&lt;&gt;"",C0!B40,"")</f>
        <v/>
      </c>
      <c r="F6" s="123"/>
      <c r="G6" s="565" t="s">
        <v>2250</v>
      </c>
      <c r="H6" s="1633" t="str">
        <f>IF('C1'!B6&lt;&gt;"",'C1'!B6,"")</f>
        <v/>
      </c>
      <c r="I6" s="123"/>
      <c r="J6" s="1632" t="s">
        <v>2250</v>
      </c>
      <c r="K6" s="1633" t="str">
        <f>IF('C1'!B77&lt;&gt;0,'C1'!B77,"")</f>
        <v/>
      </c>
      <c r="L6" s="123"/>
      <c r="M6" s="1632" t="s">
        <v>2250</v>
      </c>
      <c r="N6" s="1633" t="str">
        <f>IF('C2'!B5&lt;&gt;0,'C2'!B5,"")</f>
        <v/>
      </c>
      <c r="O6" s="123"/>
      <c r="P6" s="1632" t="s">
        <v>2250</v>
      </c>
      <c r="Q6" s="1633" t="str">
        <f>IF('C2'!B53&lt;&gt;0,'C2'!B53,"")</f>
        <v/>
      </c>
      <c r="R6" s="123"/>
      <c r="S6" s="1632" t="s">
        <v>2250</v>
      </c>
      <c r="T6" s="1633" t="str">
        <f>IF('C3'!B5&lt;&gt;0,'C3'!B5,"")</f>
        <v/>
      </c>
      <c r="U6" s="123"/>
      <c r="V6" s="1632" t="s">
        <v>2250</v>
      </c>
      <c r="W6" s="1633" t="str">
        <f>IF('C3'!B47&lt;&gt;0,'C3'!B47,"")</f>
        <v/>
      </c>
      <c r="X6" s="123"/>
      <c r="Y6" s="1632" t="s">
        <v>2805</v>
      </c>
      <c r="Z6" s="1633" t="str">
        <f>IF('C3'!B100&lt;&gt;0,'C3'!B100,"")</f>
        <v/>
      </c>
      <c r="AA6" s="123"/>
      <c r="AB6" s="1632" t="s">
        <v>2250</v>
      </c>
      <c r="AC6" s="1633" t="str">
        <f>IF('C3'!B154&lt;&gt;0,'C3'!B154,"")</f>
        <v/>
      </c>
      <c r="AE6" s="1632" t="s">
        <v>2799</v>
      </c>
      <c r="AF6" s="1633" t="str">
        <f>IF('C3'!B204&lt;&gt;0,'C3'!B204,"")</f>
        <v/>
      </c>
      <c r="AH6" s="1632" t="s">
        <v>2250</v>
      </c>
      <c r="AI6" s="1653" t="str">
        <f>IF('C4'!B5&lt;&gt;0,'C4'!B5,"")</f>
        <v/>
      </c>
      <c r="AK6" s="1632" t="s">
        <v>2250</v>
      </c>
      <c r="AL6" s="1661" t="str">
        <f>IF('C4'!B39&lt;&gt;0,'C4'!B39,"")</f>
        <v/>
      </c>
      <c r="AM6" s="585"/>
      <c r="AN6" s="1632" t="s">
        <v>2802</v>
      </c>
      <c r="AO6" s="1653" t="str">
        <f>IF('C4'!B93&lt;&gt;0,'C4'!B93,"")</f>
        <v/>
      </c>
      <c r="AQ6" s="1632" t="s">
        <v>2250</v>
      </c>
      <c r="AR6" s="1649" t="str">
        <f>IF('C5'!B4&lt;&gt;"",'C5'!B4,"")</f>
        <v/>
      </c>
      <c r="AT6" s="1652" t="s">
        <v>4076</v>
      </c>
      <c r="AU6" s="1633" t="str">
        <f>IF('C6'!B4&lt;&gt;0,'C6'!B4,"")</f>
        <v/>
      </c>
      <c r="AW6" s="1651">
        <v>14</v>
      </c>
      <c r="AX6" s="1633" t="str">
        <f>IF('C6'!B76&lt;&gt;0,'C6'!B76,"")</f>
        <v/>
      </c>
      <c r="AZ6" s="1632" t="s">
        <v>2250</v>
      </c>
      <c r="BA6" s="1633" t="str">
        <f>IF('C7'!B4&lt;&gt;0,'C7'!B4,"")</f>
        <v/>
      </c>
      <c r="BC6" s="1632" t="s">
        <v>2250</v>
      </c>
      <c r="BD6" s="1634" t="str">
        <f>IF('C8C9C10'!B5&lt;&gt;0,'C8C9C10'!B5,"")</f>
        <v/>
      </c>
      <c r="BF6" s="1632" t="s">
        <v>2250</v>
      </c>
      <c r="BG6" s="1649" t="str">
        <f>IF('C8C9C10'!B66&lt;&gt;"",'C8C9C10'!B66,"")</f>
        <v/>
      </c>
      <c r="BI6" s="1632" t="s">
        <v>2250</v>
      </c>
      <c r="BJ6" s="4066" t="str">
        <f>IF(AND(C0!B60="Y",'Tax due (c12)'!G30&gt;0),'Tax due (c12)'!G30,"")</f>
        <v/>
      </c>
    </row>
    <row ht="12.75" r="7" spans="1:62" thickBot="1" x14ac:dyDescent="0.25">
      <c r="A7" s="1631" t="s">
        <v>2253</v>
      </c>
      <c r="B7" s="1642"/>
      <c r="C7" s="123"/>
      <c r="D7" s="565" t="s">
        <v>2253</v>
      </c>
      <c r="E7" s="1653" t="str">
        <f>IF(C0!B41&lt;&gt;"",C0!B41,"")</f>
        <v/>
      </c>
      <c r="F7" s="123"/>
      <c r="G7" s="563" t="s">
        <v>2253</v>
      </c>
      <c r="H7" s="1633" t="str">
        <f>IF('C1'!B10&lt;&gt;"",'C1'!B10,"")</f>
        <v/>
      </c>
      <c r="I7" s="123"/>
      <c r="J7" s="1632" t="s">
        <v>2253</v>
      </c>
      <c r="K7" s="1633" t="str">
        <f>IF('C1'!B78&lt;&gt;0,'C1'!B78,"")</f>
        <v/>
      </c>
      <c r="L7" s="123"/>
      <c r="M7" s="1632" t="s">
        <v>2253</v>
      </c>
      <c r="N7" s="1633" t="str">
        <f>IF('C2'!B6&lt;&gt;0,'C2'!B6,"")</f>
        <v>326/429</v>
      </c>
      <c r="O7" s="123"/>
      <c r="P7" s="1632" t="s">
        <v>2253</v>
      </c>
      <c r="Q7" s="1633" t="str">
        <f>IF('C2'!B54&lt;&gt;0,'C2'!B54,"")</f>
        <v/>
      </c>
      <c r="R7" s="123"/>
      <c r="S7" s="1632" t="s">
        <v>2253</v>
      </c>
      <c r="T7" s="1633" t="str">
        <f>IF('C3'!B6&lt;&gt;0,'C3'!B6,"")</f>
        <v/>
      </c>
      <c r="U7" s="123"/>
      <c r="V7" s="1632" t="s">
        <v>2253</v>
      </c>
      <c r="W7" s="1633" t="str">
        <f>IF('C3'!B48&lt;&gt;0,'C3'!B48,"")</f>
        <v/>
      </c>
      <c r="X7" s="123"/>
      <c r="Y7" s="1632" t="s">
        <v>2276</v>
      </c>
      <c r="Z7" s="1633" t="str">
        <f>IF('C3'!B101&lt;&gt;0,'C3'!B101,"")</f>
        <v/>
      </c>
      <c r="AA7" s="123"/>
      <c r="AB7" s="1632" t="s">
        <v>2253</v>
      </c>
      <c r="AC7" s="1633" t="str">
        <f>IF('C3'!B155&lt;&gt;0,'C3'!B155,"")</f>
        <v/>
      </c>
      <c r="AE7" s="1632" t="s">
        <v>2802</v>
      </c>
      <c r="AF7" s="1633" t="str">
        <f>IF('C3'!B205&lt;&gt;0,'C3'!B205,"")</f>
        <v/>
      </c>
      <c r="AH7" s="1632" t="s">
        <v>2253</v>
      </c>
      <c r="AI7" s="1653" t="str">
        <f>IF('C4'!B6&lt;&gt;0,'C4'!B6,"")</f>
        <v/>
      </c>
      <c r="AK7" s="1632" t="s">
        <v>2253</v>
      </c>
      <c r="AL7" s="1661" t="str">
        <f>IF('C4'!B40&lt;&gt;0,'C4'!B40,"")</f>
        <v/>
      </c>
      <c r="AM7" s="585"/>
      <c r="AN7" s="1632" t="s">
        <v>2805</v>
      </c>
      <c r="AO7" s="1653" t="str">
        <f>IF('C4'!B94&lt;&gt;0,'C4'!B94,"")</f>
        <v/>
      </c>
      <c r="AQ7" s="1632" t="s">
        <v>2253</v>
      </c>
      <c r="AR7" s="1649" t="str">
        <f>IF('C5'!B5&lt;&gt;"",'C5'!B5,"")</f>
        <v/>
      </c>
      <c r="AT7" s="1652" t="s">
        <v>4077</v>
      </c>
      <c r="AU7" s="1633" t="str">
        <f>IF('C6'!B5&lt;&gt;0,'C6'!B5,"")</f>
        <v/>
      </c>
      <c r="AW7" s="1652">
        <v>14.1</v>
      </c>
      <c r="AX7" s="1633" t="str">
        <f>IF('C6'!B77&lt;&gt;0,'C6'!B77,"")</f>
        <v/>
      </c>
      <c r="AZ7" s="1632" t="s">
        <v>2253</v>
      </c>
      <c r="BA7" s="1633" t="str">
        <f>IF('C7'!B5&lt;&gt;0,'C7'!B5,"")</f>
        <v/>
      </c>
      <c r="BC7" s="1632" t="s">
        <v>2253</v>
      </c>
      <c r="BD7" s="1633" t="str">
        <f>IF(CGT_IND-1&gt;0,'C8C9C10'!B6,"")</f>
        <v/>
      </c>
      <c r="BF7" s="1632" t="s">
        <v>6118</v>
      </c>
      <c r="BG7" s="1649" t="str">
        <f>IF('C8C9C10'!B67&lt;&gt;"",'C8C9C10'!B67,"")</f>
        <v/>
      </c>
      <c r="BI7" s="3164" t="s">
        <v>6118</v>
      </c>
      <c r="BJ7" s="4066" t="str">
        <f>IF(AND(C0!B60="Y",'Tax due (c12)'!G33&gt;0),'Tax due (c12)'!G33,"")</f>
        <v/>
      </c>
    </row>
    <row ht="12.75" r="8" spans="1:62" thickBot="1" x14ac:dyDescent="0.25">
      <c r="A8" s="1813" t="s">
        <v>5887</v>
      </c>
      <c r="B8" s="1642">
        <f>IF(C0!B8&lt;&gt;"",C0!B8,"")</f>
        <v>2</v>
      </c>
      <c r="C8" s="123"/>
      <c r="D8" s="563" t="s">
        <v>2256</v>
      </c>
      <c r="E8" s="1653">
        <f>IF(C0!B44&lt;&gt;"",C0!B44,"")</f>
        <v>500</v>
      </c>
      <c r="F8" s="123"/>
      <c r="G8" s="1632" t="s">
        <v>2256</v>
      </c>
      <c r="H8" s="1634" t="str">
        <f>IF('C1'!B11&lt;&gt;"",'C1'!B11,"")</f>
        <v/>
      </c>
      <c r="I8" s="123"/>
      <c r="J8" s="1632" t="s">
        <v>2256</v>
      </c>
      <c r="K8" s="1633" t="str">
        <f>IF('C1'!B79&lt;&gt;0,'C1'!B79,"")</f>
        <v/>
      </c>
      <c r="L8" s="123"/>
      <c r="M8" s="1632" t="s">
        <v>2256</v>
      </c>
      <c r="N8" s="1633" t="str">
        <f>IF('C2'!B7&lt;&gt;0,'C2'!B7,"")</f>
        <v/>
      </c>
      <c r="O8" s="123"/>
      <c r="P8" s="1632" t="s">
        <v>2256</v>
      </c>
      <c r="Q8" s="1633" t="str">
        <f>IF('C2'!B55&lt;&gt;0,'C2'!B55,"")</f>
        <v/>
      </c>
      <c r="R8" s="123"/>
      <c r="S8" s="1632" t="s">
        <v>2256</v>
      </c>
      <c r="T8" s="1633" t="str">
        <f>IF('C3'!B7&lt;&gt;0,'C3'!B7,"")</f>
        <v/>
      </c>
      <c r="U8" s="123"/>
      <c r="V8" s="1632" t="s">
        <v>2256</v>
      </c>
      <c r="W8" s="1633" t="str">
        <f>IF('C3'!B49&lt;&gt;0,'C3'!B49,"")</f>
        <v/>
      </c>
      <c r="X8" s="123"/>
      <c r="Y8" s="1632" t="s">
        <v>1776</v>
      </c>
      <c r="Z8" s="1633" t="str">
        <f>IF('C3'!B102&lt;&gt;0,'C3'!B102,"")</f>
        <v/>
      </c>
      <c r="AA8" s="123"/>
      <c r="AB8" s="1632" t="s">
        <v>2256</v>
      </c>
      <c r="AC8" s="1633" t="str">
        <f>IF('C3'!B156&lt;&gt;0,'C3'!B156,"")</f>
        <v/>
      </c>
      <c r="AE8" s="1632" t="s">
        <v>2805</v>
      </c>
      <c r="AF8" s="1633" t="str">
        <f>IF('C3'!B206&lt;&gt;0,'C3'!B206,"")</f>
        <v/>
      </c>
      <c r="AH8" s="1632" t="s">
        <v>2256</v>
      </c>
      <c r="AI8" s="1653" t="str">
        <f>IF('C4'!B7&lt;&gt;0,'C4'!B7,"")</f>
        <v/>
      </c>
      <c r="AK8" s="1632" t="s">
        <v>2256</v>
      </c>
      <c r="AL8" s="1650" t="str">
        <f>IF('C4'!B41&lt;&gt;0,'C4'!B41,"")</f>
        <v/>
      </c>
      <c r="AM8" s="585"/>
      <c r="AN8" s="1632" t="s">
        <v>2276</v>
      </c>
      <c r="AO8" s="1653" t="str">
        <f>IF('C4'!B95&lt;&gt;"",'C4'!B95,"")</f>
        <v/>
      </c>
      <c r="AQ8" s="1632" t="s">
        <v>2256</v>
      </c>
      <c r="AR8" s="1653" t="str">
        <f>IF('C5'!B6&lt;&gt;0,'C5'!B6,"")</f>
        <v/>
      </c>
      <c r="AT8" s="1652" t="s">
        <v>4078</v>
      </c>
      <c r="AU8" s="1633" t="str">
        <f>IF('C6'!B6&lt;&gt;0,'C6'!B6,"")</f>
        <v/>
      </c>
      <c r="AW8" s="1652">
        <v>14.2</v>
      </c>
      <c r="AX8" s="1633" t="str">
        <f>IF('C6'!B78&lt;&gt;"",'C6'!B78,"")</f>
        <v/>
      </c>
      <c r="AZ8" s="1632" t="s">
        <v>2256</v>
      </c>
      <c r="BA8" s="1633" t="str">
        <f>IF('C7'!B6&lt;&gt;0,'C7'!B6,"")</f>
        <v/>
      </c>
      <c r="BC8" s="1632" t="s">
        <v>2256</v>
      </c>
      <c r="BD8" s="1633" t="str">
        <f>IF('C8C9C10'!B7&lt;&gt;0,'C8C9C10'!B7,"")</f>
        <v/>
      </c>
      <c r="BF8" s="1632" t="s">
        <v>2253</v>
      </c>
      <c r="BG8" s="1649" t="str">
        <f>IF('C8C9C10'!B68&lt;&gt;"",'C8C9C10'!B68,"")</f>
        <v/>
      </c>
      <c r="BI8" s="1632" t="s">
        <v>2253</v>
      </c>
      <c r="BJ8" s="1633">
        <f>'Tax due (c12)'!G8</f>
        <v>500.22</v>
      </c>
    </row>
    <row r="9" spans="1:62" x14ac:dyDescent="0.2">
      <c r="C9" s="123"/>
      <c r="D9" s="1632" t="s">
        <v>2259</v>
      </c>
      <c r="E9" s="1653" t="str">
        <f>IF(C0!B45&lt;&gt;"",C0!B45,"")</f>
        <v/>
      </c>
      <c r="F9" s="123"/>
      <c r="G9" s="1632" t="s">
        <v>2259</v>
      </c>
      <c r="H9" s="1633" t="str">
        <f>IF('C1'!B12&lt;&gt;"",'C1'!B12,"")</f>
        <v/>
      </c>
      <c r="I9" s="123"/>
      <c r="J9" s="1632" t="s">
        <v>2259</v>
      </c>
      <c r="K9" s="1633" t="str">
        <f>IF('C1'!B80&lt;&gt;0,'C1'!B80,"")</f>
        <v/>
      </c>
      <c r="L9" s="123"/>
      <c r="M9" s="1632" t="s">
        <v>2259</v>
      </c>
      <c r="N9" s="1633" t="str">
        <f>IF('C2'!B8&lt;&gt;0,'C2'!B8,"")</f>
        <v>N</v>
      </c>
      <c r="O9" s="123"/>
      <c r="P9" s="1632" t="s">
        <v>2259</v>
      </c>
      <c r="Q9" s="1633" t="str">
        <f>IF('C2'!B56&lt;&gt;0,'C2'!B56,"")</f>
        <v/>
      </c>
      <c r="R9" s="123"/>
      <c r="S9" s="1632" t="s">
        <v>2259</v>
      </c>
      <c r="T9" s="1633" t="str">
        <f>IF('C3'!B8&lt;&gt;0,'C3'!B8,"")</f>
        <v/>
      </c>
      <c r="U9" s="123"/>
      <c r="V9" s="1632" t="s">
        <v>2259</v>
      </c>
      <c r="W9" s="1633" t="str">
        <f>IF('C3'!B50&lt;&gt;0,'C3'!B50,"")</f>
        <v/>
      </c>
      <c r="X9" s="123"/>
      <c r="Y9" s="2269" t="s">
        <v>1778</v>
      </c>
      <c r="Z9" s="3072"/>
      <c r="AA9" s="123"/>
      <c r="AB9" s="1632" t="s">
        <v>2259</v>
      </c>
      <c r="AC9" s="1633" t="str">
        <f>IF('C3'!B157&lt;&gt;0,'C3'!B157,"")</f>
        <v/>
      </c>
      <c r="AE9" s="1632" t="s">
        <v>2276</v>
      </c>
      <c r="AF9" s="1633" t="str">
        <f>IF('C3'!B207&lt;&gt;0,'C3'!B207,"")</f>
        <v/>
      </c>
      <c r="AH9" s="1632" t="s">
        <v>2259</v>
      </c>
      <c r="AI9" s="1653" t="str">
        <f>IF('C4'!B8&lt;&gt;0,'C4'!B8,"")</f>
        <v/>
      </c>
      <c r="AK9" s="1632" t="s">
        <v>2259</v>
      </c>
      <c r="AL9" s="1661" t="str">
        <f>IF('C4'!B42&lt;&gt;0,'C4'!B42,"")</f>
        <v/>
      </c>
      <c r="AN9" s="1632" t="s">
        <v>1776</v>
      </c>
      <c r="AO9" s="1653" t="str">
        <f>IF('C4'!B96&lt;&gt;0,'C4'!B96,"")</f>
        <v/>
      </c>
      <c r="AQ9" s="1632" t="s">
        <v>6573</v>
      </c>
      <c r="AR9" s="1653" t="str">
        <f>IF('C5'!B7&lt;&gt;0,'C5'!B7,"")</f>
        <v/>
      </c>
      <c r="AT9" s="1652" t="s">
        <v>4079</v>
      </c>
      <c r="AU9" s="1633" t="str">
        <f>IF('C6'!B7&lt;&gt;0,'C6'!B7,"")</f>
        <v/>
      </c>
      <c r="AW9" s="1652">
        <v>15</v>
      </c>
      <c r="AX9" s="1634" t="str">
        <f>IF('C6'!B79&lt;&gt;0,'C6'!B79,"")</f>
        <v/>
      </c>
      <c r="AZ9" s="1632" t="s">
        <v>2259</v>
      </c>
      <c r="BA9" s="1633" t="str">
        <f>IF('C7'!B7&lt;&gt;0,'C7'!B7,"")</f>
        <v/>
      </c>
      <c r="BC9" s="1632" t="s">
        <v>2259</v>
      </c>
      <c r="BD9" s="1633" t="str">
        <f>IF('C8C9C10'!B8&lt;&gt;0,'C8C9C10'!B8,"")</f>
        <v/>
      </c>
      <c r="BF9" s="1632" t="s">
        <v>2256</v>
      </c>
      <c r="BG9" s="1649" t="str">
        <f>IF('C8C9C10'!B69&lt;&gt;"",'C8C9C10'!B69,"")</f>
        <v/>
      </c>
      <c r="BI9" s="1632" t="s">
        <v>4552</v>
      </c>
      <c r="BJ9" s="1633">
        <f>'Tax due (c12)'!G16</f>
        <v>117</v>
      </c>
    </row>
    <row ht="12.75" r="10" spans="1:62" thickBot="1" x14ac:dyDescent="0.25">
      <c r="A10" s="564" t="s">
        <v>2847</v>
      </c>
      <c r="B10" s="966" t="str">
        <f>"Selected  = "&amp;INC_A_IND-1&amp;"/"&amp;INC_B_IND-1&amp;"/"&amp;INC_C_IND-1</f>
        <v>Selected  = 3/3/3</v>
      </c>
      <c r="C10" s="123"/>
      <c r="D10" s="1632" t="s">
        <v>3933</v>
      </c>
      <c r="E10" s="1653" t="str">
        <f>IF(C0!B46&lt;&gt;"",C0!B46,"")</f>
        <v/>
      </c>
      <c r="F10" s="123"/>
      <c r="G10" s="1632" t="s">
        <v>3933</v>
      </c>
      <c r="H10" s="1634" t="str">
        <f>IF('C1'!B13&lt;&gt;"",'C1'!B13,"")</f>
        <v/>
      </c>
      <c r="I10" s="123"/>
      <c r="J10" s="1632" t="s">
        <v>3933</v>
      </c>
      <c r="K10" s="1633" t="str">
        <f>IF('C1'!B81&lt;&gt;0,'C1'!B81,"")</f>
        <v/>
      </c>
      <c r="L10" s="123"/>
      <c r="M10" s="1632" t="s">
        <v>1715</v>
      </c>
      <c r="N10" s="1633" t="str">
        <f>IF('C2'!B9&lt;&gt;0,'C2'!B9,"")</f>
        <v/>
      </c>
      <c r="O10" s="123"/>
      <c r="P10" s="1632" t="s">
        <v>3933</v>
      </c>
      <c r="Q10" s="1633" t="str">
        <f>IF('C2'!B57&lt;&gt;0,'C2'!B57,"")</f>
        <v/>
      </c>
      <c r="R10" s="123"/>
      <c r="S10" s="1632" t="s">
        <v>3933</v>
      </c>
      <c r="T10" s="1633" t="str">
        <f>IF('C3'!B9&lt;&gt;0,'C3'!B9,"")</f>
        <v/>
      </c>
      <c r="U10" s="123"/>
      <c r="V10" s="1632" t="s">
        <v>3933</v>
      </c>
      <c r="W10" s="1633" t="str">
        <f>IF('C3'!B51&lt;&gt;0,'C3'!B51,"")</f>
        <v/>
      </c>
      <c r="X10" s="123"/>
      <c r="Y10" s="1632" t="s">
        <v>1781</v>
      </c>
      <c r="Z10" s="1633" t="str">
        <f>IF('C3'!B104&lt;&gt;0,'C3'!B104,"")</f>
        <v/>
      </c>
      <c r="AA10" s="123"/>
      <c r="AB10" s="2269" t="s">
        <v>3933</v>
      </c>
      <c r="AC10" s="2270"/>
      <c r="AE10" s="1632" t="s">
        <v>1776</v>
      </c>
      <c r="AF10" s="1633" t="str">
        <f>IF('C3'!B208&lt;&gt;0,'C3'!B208,"")</f>
        <v/>
      </c>
      <c r="AH10" s="1632" t="s">
        <v>3933</v>
      </c>
      <c r="AI10" s="1653" t="str">
        <f>IF('C4'!B9&lt;&gt;0,'C4'!B9,"")</f>
        <v/>
      </c>
      <c r="AK10" s="1632" t="s">
        <v>3933</v>
      </c>
      <c r="AL10" s="1661" t="str">
        <f>IF('C4'!B43&lt;&gt;0,'C4'!B43,"")</f>
        <v/>
      </c>
      <c r="AN10" s="1632" t="s">
        <v>1778</v>
      </c>
      <c r="AO10" s="1653" t="str">
        <f>IF('C4'!B97&lt;&gt;"",'C4'!B97,"")</f>
        <v/>
      </c>
      <c r="AQ10" s="1632" t="s">
        <v>6574</v>
      </c>
      <c r="AR10" s="1653" t="str">
        <f>IF('C5'!B8&lt;&gt;"",'C5'!B8,"")</f>
        <v/>
      </c>
      <c r="AT10" s="1652" t="s">
        <v>4080</v>
      </c>
      <c r="AU10" s="1633" t="str">
        <f>IF('C6'!B8&lt;&gt;0,'C6'!B8,"")</f>
        <v/>
      </c>
      <c r="AW10" s="1652">
        <v>16</v>
      </c>
      <c r="AX10" s="1633" t="str">
        <f>IF('C6'!B80&lt;&gt;0,'C6'!B80,"")</f>
        <v/>
      </c>
      <c r="AZ10" s="1632" t="s">
        <v>3933</v>
      </c>
      <c r="BA10" s="1633" t="str">
        <f>IF('C7'!B8&lt;&gt;0,'C7'!B8,"")</f>
        <v/>
      </c>
      <c r="BC10" s="1632" t="s">
        <v>3933</v>
      </c>
      <c r="BD10" s="1633" t="str">
        <f>IF('C8C9C10'!B9&lt;&gt;0,'C8C9C10'!B9,"")</f>
        <v/>
      </c>
      <c r="BF10" s="1632" t="s">
        <v>2259</v>
      </c>
      <c r="BG10" s="1662" t="str">
        <f>IF('C8C9C10'!B70&lt;&gt;"",'C8C9C10'!B70,"")</f>
        <v/>
      </c>
      <c r="BI10" s="1632" t="s">
        <v>2256</v>
      </c>
      <c r="BJ10" s="1633" t="str">
        <f>IF('Tax due (c12)'!G64&gt;0,'Tax due (c12)'!G64,"")</f>
        <v/>
      </c>
    </row>
    <row r="11" spans="1:62" x14ac:dyDescent="0.2">
      <c r="A11" s="563" t="s">
        <v>952</v>
      </c>
      <c r="B11" s="1633" t="str">
        <f>IF(C0!B11&lt;&gt;"",C0!B11,"")</f>
        <v/>
      </c>
      <c r="C11" s="123"/>
      <c r="D11" s="1632" t="s">
        <v>3936</v>
      </c>
      <c r="E11" s="1653" t="str">
        <f>IF(C0!B47&lt;&gt;"",C0!B47,"")</f>
        <v/>
      </c>
      <c r="F11" s="123"/>
      <c r="G11" s="1632" t="s">
        <v>3936</v>
      </c>
      <c r="H11" s="1633" t="str">
        <f>IF('C1'!B14&lt;&gt;"",'C1'!B14,"")</f>
        <v/>
      </c>
      <c r="I11" s="123"/>
      <c r="J11" s="1632" t="s">
        <v>3936</v>
      </c>
      <c r="K11" s="1633" t="str">
        <f>IF('C1'!B82&lt;&gt;0,'C1'!B82,"")</f>
        <v/>
      </c>
      <c r="L11" s="123"/>
      <c r="M11" s="4461" t="s">
        <v>3933</v>
      </c>
      <c r="N11" s="1633" t="str">
        <f>IF('C2'!B10&lt;&gt;0,'C2'!B10,"")</f>
        <v>N</v>
      </c>
      <c r="O11" s="123"/>
      <c r="P11" s="1632" t="s">
        <v>3936</v>
      </c>
      <c r="Q11" s="1633" t="str">
        <f>IF('C2'!B58&lt;&gt;0,'C2'!B58,"")</f>
        <v/>
      </c>
      <c r="R11" s="123"/>
      <c r="S11" s="1632" t="s">
        <v>3936</v>
      </c>
      <c r="T11" s="1633" t="str">
        <f>IF('C3'!B10&lt;&gt;0,'C3'!B10,"")</f>
        <v/>
      </c>
      <c r="U11" s="123"/>
      <c r="V11" s="1632" t="s">
        <v>3936</v>
      </c>
      <c r="W11" s="1633" t="str">
        <f>IF('C3'!B52&lt;&gt;0,'C3'!B52,"")</f>
        <v>06/04/2019</v>
      </c>
      <c r="X11" s="123"/>
      <c r="Y11" s="1632" t="s">
        <v>40</v>
      </c>
      <c r="Z11" s="1633" t="str">
        <f>IF('C3'!B105&lt;&gt;0,'C3'!B105,"")</f>
        <v/>
      </c>
      <c r="AA11" s="123"/>
      <c r="AB11" s="1632" t="s">
        <v>3936</v>
      </c>
      <c r="AC11" s="1633" t="str">
        <f>IF('C3'!B159&lt;&gt;0,'C3'!B159,"")</f>
        <v/>
      </c>
      <c r="AE11" s="1632" t="s">
        <v>1778</v>
      </c>
      <c r="AF11" s="1633" t="str">
        <f>IF('C3'!B209&lt;&gt;0,'C3'!B209,"")</f>
        <v/>
      </c>
      <c r="AH11" s="1632" t="s">
        <v>3936</v>
      </c>
      <c r="AI11" s="1653" t="str">
        <f>IF('C4'!B10&lt;&gt;0,'C4'!B10,"")</f>
        <v/>
      </c>
      <c r="AK11" s="1632" t="s">
        <v>3936</v>
      </c>
      <c r="AL11" s="1663" t="str">
        <f>IF('C4'!B44&lt;&gt;"",'C4'!B44,"")</f>
        <v/>
      </c>
      <c r="AN11" s="1632" t="s">
        <v>1781</v>
      </c>
      <c r="AO11" s="1653" t="str">
        <f>IF('C4'!B98&lt;&gt;0,'C4'!B98,"")</f>
        <v/>
      </c>
      <c r="AQ11" s="1632" t="s">
        <v>2259</v>
      </c>
      <c r="AR11" s="1653" t="str">
        <f>IF('C5'!B9&lt;&gt;0,'C5'!B9,"")</f>
        <v/>
      </c>
      <c r="AT11" s="1652" t="s">
        <v>4081</v>
      </c>
      <c r="AU11" s="1633" t="str">
        <f>IF('C6'!B9&lt;&gt;0,'C6'!B9,"")</f>
        <v/>
      </c>
      <c r="AW11" s="1652">
        <v>17</v>
      </c>
      <c r="AX11" s="1633" t="str">
        <f>IF('C6'!B81&lt;&gt;0,'C6'!B81,"")</f>
        <v/>
      </c>
      <c r="AZ11" s="1632" t="s">
        <v>3936</v>
      </c>
      <c r="BA11" s="1633" t="str">
        <f>IF('C7'!B9&lt;&gt;0,'C7'!B9,"")</f>
        <v/>
      </c>
      <c r="BC11" s="1632" t="s">
        <v>3936</v>
      </c>
      <c r="BD11" s="1649" t="str">
        <f>IF('C8C9C10'!B10&lt;&gt;0,'C8C9C10'!B10,"")</f>
        <v/>
      </c>
      <c r="BF11" s="1632" t="s">
        <v>3933</v>
      </c>
      <c r="BG11" s="1649" t="str">
        <f>IF('C8C9C10'!B71&lt;&gt;"",'C8C9C10'!B71,"")</f>
        <v/>
      </c>
      <c r="BI11" s="1632" t="s">
        <v>2259</v>
      </c>
      <c r="BJ11" s="1633" t="str">
        <f>IF('Tax due (c12)'!G39&gt;0,'Tax due (c12)'!G39,"")</f>
        <v/>
      </c>
    </row>
    <row r="12" spans="1:62" x14ac:dyDescent="0.2">
      <c r="A12" s="1632" t="s">
        <v>2247</v>
      </c>
      <c r="B12" s="1633">
        <f>IF(C0!B12&lt;&gt;"",C0!B12,"")</f>
        <v>3678</v>
      </c>
      <c r="C12" s="123"/>
      <c r="D12" s="1632" t="s">
        <v>2864</v>
      </c>
      <c r="E12" s="1653" t="str">
        <f>IF(C0!B48&lt;&gt;"",C0!B48,"")</f>
        <v/>
      </c>
      <c r="F12" s="123"/>
      <c r="G12" s="1632" t="s">
        <v>2864</v>
      </c>
      <c r="H12" s="1634" t="str">
        <f>IF('C1'!B15&lt;&gt;"",'C1'!B15,"")</f>
        <v/>
      </c>
      <c r="I12" s="123"/>
      <c r="J12" s="1632" t="s">
        <v>2864</v>
      </c>
      <c r="K12" s="1633" t="str">
        <f>IF('C1'!B83&lt;&gt;0,'C1'!B83,"")</f>
        <v/>
      </c>
      <c r="L12" s="123"/>
      <c r="M12" s="4463" t="s">
        <v>3936</v>
      </c>
      <c r="N12" s="3264" t="s">
        <v>6437</v>
      </c>
      <c r="O12" s="123"/>
      <c r="P12" s="1632" t="s">
        <v>2864</v>
      </c>
      <c r="Q12" s="1633" t="str">
        <f>IF('C2'!B59&lt;&gt;0,'C2'!B59,"")</f>
        <v/>
      </c>
      <c r="R12" s="123"/>
      <c r="S12" s="1632" t="s">
        <v>2864</v>
      </c>
      <c r="T12" s="1633" t="str">
        <f>IF('C3'!B11&lt;&gt;0,'C3'!B11,"")</f>
        <v/>
      </c>
      <c r="U12" s="123"/>
      <c r="V12" s="1632" t="s">
        <v>2864</v>
      </c>
      <c r="W12" s="1633" t="str">
        <f>IF('C3'!B53&lt;&gt;0,'C3'!B53,"")</f>
        <v>30/12/2019</v>
      </c>
      <c r="X12" s="123"/>
      <c r="Y12" s="1632" t="s">
        <v>42</v>
      </c>
      <c r="Z12" s="1633" t="str">
        <f>IF('C3'!B106&lt;&gt;0,'C3'!B106,"")</f>
        <v/>
      </c>
      <c r="AA12" s="123"/>
      <c r="AB12" s="1632" t="s">
        <v>2864</v>
      </c>
      <c r="AC12" s="1633" t="str">
        <f>IF('C3'!B160&lt;&gt;0,'C3'!B160,"")</f>
        <v/>
      </c>
      <c r="AE12" s="1632" t="s">
        <v>1781</v>
      </c>
      <c r="AF12" s="1633" t="str">
        <f>IF('C3'!B210&lt;&gt;0,'C3'!B210,"")</f>
        <v/>
      </c>
      <c r="AH12" s="1632" t="s">
        <v>2864</v>
      </c>
      <c r="AI12" s="1653" t="str">
        <f>IF('C4'!B11&lt;&gt;0,'C4'!B11,"")</f>
        <v/>
      </c>
      <c r="AK12" s="1632" t="s">
        <v>2864</v>
      </c>
      <c r="AL12" s="1663" t="str">
        <f>IF('C4'!B45&lt;&gt;"",'C4'!B45,"")</f>
        <v/>
      </c>
      <c r="AN12" s="1632" t="s">
        <v>40</v>
      </c>
      <c r="AO12" s="1653" t="str">
        <f>IF('C4'!B99&lt;&gt;0,'C4'!B99,"")</f>
        <v/>
      </c>
      <c r="AQ12" s="1632" t="s">
        <v>3933</v>
      </c>
      <c r="AR12" s="1653" t="str">
        <f>IF('C5'!B10&lt;&gt;0,'C5'!B10,"")</f>
        <v/>
      </c>
      <c r="AT12" s="1652" t="s">
        <v>4082</v>
      </c>
      <c r="AU12" s="1633" t="str">
        <f>IF('C6'!B10&lt;&gt;0,'C6'!B10,"")</f>
        <v/>
      </c>
      <c r="AW12" s="1652">
        <v>18</v>
      </c>
      <c r="AX12" s="1633" t="str">
        <f>IF('C6'!B82&lt;&gt;0,'C6'!B82,"")</f>
        <v/>
      </c>
      <c r="AZ12" s="1632" t="s">
        <v>2864</v>
      </c>
      <c r="BA12" s="1633" t="str">
        <f>IF('C7'!B10&lt;&gt;0,'C7'!B10,"")</f>
        <v/>
      </c>
      <c r="BC12" s="4064" t="s">
        <v>2864</v>
      </c>
      <c r="BD12" s="4065" t="s">
        <v>6437</v>
      </c>
      <c r="BF12" s="1632" t="s">
        <v>3936</v>
      </c>
      <c r="BG12" s="1649" t="str">
        <f>IF('C8C9C10'!B72&lt;&gt;"",'C8C9C10'!B72,"")</f>
        <v/>
      </c>
      <c r="BI12" s="1632" t="s">
        <v>3933</v>
      </c>
      <c r="BJ12" s="1633">
        <f>IF('C8C9C10'!B118&lt;&gt;0,'C8C9C10'!B118,"")</f>
        <v>2999</v>
      </c>
    </row>
    <row ht="12.75" r="13" spans="1:62" thickBot="1" x14ac:dyDescent="0.25">
      <c r="A13" s="1632" t="s">
        <v>2250</v>
      </c>
      <c r="B13" s="1633" t="str">
        <f>IF(C0!B13&lt;&gt;"",C0!B13,"")</f>
        <v/>
      </c>
      <c r="C13" s="123"/>
      <c r="D13" s="1632" t="s">
        <v>2867</v>
      </c>
      <c r="E13" s="1653" t="str">
        <f>IF(C0!B49&lt;&gt;"",C0!B49,"")</f>
        <v/>
      </c>
      <c r="F13" s="123"/>
      <c r="G13" s="1632" t="s">
        <v>2867</v>
      </c>
      <c r="H13" s="1633" t="str">
        <f>IF('C1'!B16&lt;&gt;"",'C1'!B16,"")</f>
        <v/>
      </c>
      <c r="I13" s="123"/>
      <c r="J13" s="1632" t="s">
        <v>2867</v>
      </c>
      <c r="K13" s="1633" t="str">
        <f>IF('C1'!B84&lt;&gt;0,'C1'!B84,"")</f>
        <v/>
      </c>
      <c r="L13" s="123"/>
      <c r="M13" s="4462" t="s">
        <v>7714</v>
      </c>
      <c r="N13" s="1633" t="str">
        <f>IF('C2'!B12&lt;&gt;0,'C2'!B12,"")</f>
        <v/>
      </c>
      <c r="O13" s="123"/>
      <c r="P13" s="1632" t="s">
        <v>2867</v>
      </c>
      <c r="Q13" s="1633" t="str">
        <f>IF('C2'!B60&lt;&gt;0,'C2'!B60,"")</f>
        <v/>
      </c>
      <c r="R13" s="123"/>
      <c r="S13" s="1632" t="s">
        <v>2867</v>
      </c>
      <c r="T13" s="1633" t="str">
        <f>IF('C3'!B12&lt;&gt;0,'C3'!B12,"")</f>
        <v/>
      </c>
      <c r="U13" s="123"/>
      <c r="V13" s="1632" t="s">
        <v>2867</v>
      </c>
      <c r="W13" s="1633" t="str">
        <f>IF('C3'!B54&lt;&gt;0,'C3'!B54,"")</f>
        <v>N</v>
      </c>
      <c r="X13" s="123"/>
      <c r="Y13" s="1632" t="s">
        <v>44</v>
      </c>
      <c r="Z13" s="1633" t="str">
        <f>IF('C3'!B107&lt;&gt;0,'C3'!B107,"")</f>
        <v/>
      </c>
      <c r="AA13" s="123"/>
      <c r="AB13" s="2269" t="s">
        <v>2867</v>
      </c>
      <c r="AC13" s="2270"/>
      <c r="AE13" s="1632" t="s">
        <v>40</v>
      </c>
      <c r="AF13" s="1633" t="str">
        <f>IF('C3'!B211&lt;&gt;0,'C3'!B211,"")</f>
        <v/>
      </c>
      <c r="AH13" s="1632" t="s">
        <v>2867</v>
      </c>
      <c r="AI13" s="1653" t="str">
        <f>IF('C4'!B12&lt;&gt;0,'C4'!B12,"")</f>
        <v/>
      </c>
      <c r="AK13" s="1632" t="s">
        <v>2867</v>
      </c>
      <c r="AL13" s="1663" t="str">
        <f>IF('C4'!B46&lt;&gt;0,'C4'!B46,"")</f>
        <v/>
      </c>
      <c r="AN13" s="1632" t="s">
        <v>42</v>
      </c>
      <c r="AO13" s="1653" t="str">
        <f>IF('C4'!B100&lt;&gt;0,'C4'!B100,"")</f>
        <v/>
      </c>
      <c r="AQ13" s="1632" t="s">
        <v>3936</v>
      </c>
      <c r="AR13" s="1653" t="str">
        <f>IF('C5'!B11&lt;&gt;0,'C5'!B11,"")</f>
        <v/>
      </c>
      <c r="AT13" s="1652" t="s">
        <v>4083</v>
      </c>
      <c r="AU13" s="1633" t="str">
        <f>IF('C6'!B11&lt;&gt;0,'C6'!B11,"")</f>
        <v/>
      </c>
      <c r="AW13" s="1652">
        <v>19</v>
      </c>
      <c r="AX13" s="1633" t="str">
        <f>IF('C6'!B83&lt;&gt;0,'C6'!B83,"")</f>
        <v/>
      </c>
      <c r="AZ13" s="1632" t="s">
        <v>2867</v>
      </c>
      <c r="BA13" s="1633" t="str">
        <f>IF('C7'!B11&lt;&gt;0,'C7'!B11,"")</f>
        <v/>
      </c>
      <c r="BC13" s="4064" t="s">
        <v>2867</v>
      </c>
      <c r="BD13" s="4065" t="s">
        <v>6437</v>
      </c>
      <c r="BF13" s="1632" t="s">
        <v>2864</v>
      </c>
      <c r="BG13" s="1649" t="str">
        <f>IF('C8C9C10'!B73&lt;&gt;"",'C8C9C10'!B73,"")</f>
        <v/>
      </c>
      <c r="BI13" s="1632" t="s">
        <v>3936</v>
      </c>
      <c r="BJ13" s="1633" t="str">
        <f>IF('C8C9C10'!B119&lt;&gt;0,'C8C9C10'!B119,"")</f>
        <v/>
      </c>
    </row>
    <row ht="12.75" r="14" spans="1:62" thickBot="1" x14ac:dyDescent="0.25">
      <c r="A14" s="563" t="s">
        <v>2253</v>
      </c>
      <c r="B14" s="1633" t="str">
        <f>IF(C0!B14&lt;&gt;"",C0!B14,"")</f>
        <v/>
      </c>
      <c r="C14" s="123"/>
      <c r="D14" s="1632" t="s">
        <v>2798</v>
      </c>
      <c r="E14" s="1653" t="str">
        <f>IF(C0!B50&lt;&gt;"",C0!B50,"")</f>
        <v/>
      </c>
      <c r="F14" s="123"/>
      <c r="G14" s="565" t="s">
        <v>2798</v>
      </c>
      <c r="H14" s="1633" t="str">
        <f>IF('C1'!B17&lt;&gt;"",'C1'!B17,"")</f>
        <v/>
      </c>
      <c r="I14" s="123"/>
      <c r="J14" s="565" t="s">
        <v>2798</v>
      </c>
      <c r="K14" s="1633" t="str">
        <f>IF('C1'!B85&lt;&gt;0,'C1'!B85,"")</f>
        <v/>
      </c>
      <c r="L14" s="123"/>
      <c r="M14" s="1632" t="s">
        <v>2864</v>
      </c>
      <c r="N14" s="1633" t="str">
        <f>IF('C2'!B13&lt;&gt;0,'C2'!B13,"")</f>
        <v/>
      </c>
      <c r="O14" s="123"/>
      <c r="P14" s="1632" t="s">
        <v>2798</v>
      </c>
      <c r="Q14" s="1633" t="str">
        <f>IF('C2'!B61&lt;&gt;0,'C2'!B61,"")</f>
        <v/>
      </c>
      <c r="R14" s="123"/>
      <c r="S14" s="1632" t="s">
        <v>6598</v>
      </c>
      <c r="T14" s="1633" t="str">
        <f>IF('C3'!B13&lt;&gt;0,'C3'!B13,"")</f>
        <v/>
      </c>
      <c r="U14" s="123"/>
      <c r="V14" s="1632" t="s">
        <v>2798</v>
      </c>
      <c r="W14" s="1633" t="str">
        <f>IF('C3'!B55&lt;&gt;0,'C3'!B55,"")</f>
        <v>N</v>
      </c>
      <c r="X14" s="123"/>
      <c r="Y14" s="1632" t="s">
        <v>46</v>
      </c>
      <c r="Z14" s="1633" t="str">
        <f>IF('C3'!B108&lt;&gt;0,'C3'!B108,"")</f>
        <v/>
      </c>
      <c r="AA14" s="123"/>
      <c r="AB14" s="1632" t="s">
        <v>2798</v>
      </c>
      <c r="AC14" s="1633" t="str">
        <f>IF('C3'!B162&lt;&gt;0,'C3'!B162,"")</f>
        <v/>
      </c>
      <c r="AE14" s="1632" t="s">
        <v>42</v>
      </c>
      <c r="AF14" s="1633" t="str">
        <f>IF('C3'!B212&lt;&gt;0,'C3'!B212,"")</f>
        <v/>
      </c>
      <c r="AH14" s="1632" t="s">
        <v>2798</v>
      </c>
      <c r="AI14" s="1653" t="str">
        <f>IF('C4'!B13&lt;&gt;0,'C4'!B13,"")</f>
        <v/>
      </c>
      <c r="AK14" s="1632" t="s">
        <v>2798</v>
      </c>
      <c r="AL14" s="1663" t="str">
        <f>IF('C4'!B47&lt;&gt;"",'C4'!B47,"")</f>
        <v/>
      </c>
      <c r="AN14" s="1632" t="s">
        <v>44</v>
      </c>
      <c r="AO14" s="1653" t="str">
        <f>IF('C4'!B101&lt;&gt;0,'C4'!B101,"")</f>
        <v/>
      </c>
      <c r="AQ14" s="1632" t="s">
        <v>2864</v>
      </c>
      <c r="AR14" s="1653" t="str">
        <f>IF('C5'!B12&lt;&gt;0,'C5'!B12,"")</f>
        <v/>
      </c>
      <c r="AT14" s="1652" t="s">
        <v>4084</v>
      </c>
      <c r="AU14" s="1633" t="str">
        <f>IF('C6'!B12&lt;&gt;0,'C6'!B12,"")</f>
        <v/>
      </c>
      <c r="AW14" s="1652">
        <v>20</v>
      </c>
      <c r="AX14" s="1633" t="str">
        <f>IF('C6'!B84&lt;&gt;0,'C6'!B84,"")</f>
        <v/>
      </c>
      <c r="AZ14" s="1632" t="s">
        <v>2798</v>
      </c>
      <c r="BA14" s="1633" t="str">
        <f>IF('C7'!B12&lt;&gt;0,'C7'!B12,"")</f>
        <v/>
      </c>
      <c r="BC14" s="1632" t="s">
        <v>2798</v>
      </c>
      <c r="BD14" s="1633" t="str">
        <f>IF('C8C9C10'!B13&lt;&gt;0,'C8C9C10'!B13,"")</f>
        <v/>
      </c>
      <c r="BF14" s="1632" t="s">
        <v>2867</v>
      </c>
      <c r="BG14" s="1634" t="str">
        <f>IF('C8C9C10'!B74&lt;&gt;"",'C8C9C10'!B74,"")</f>
        <v/>
      </c>
      <c r="BI14" s="1632" t="s">
        <v>2864</v>
      </c>
      <c r="BJ14" s="1633" t="str">
        <f>IF('C8C9C10'!B120&lt;&gt;0,'C8C9C10'!B120,"")</f>
        <v/>
      </c>
    </row>
    <row ht="12.75" r="15" spans="1:62" thickBot="1" x14ac:dyDescent="0.25">
      <c r="A15" s="1632" t="s">
        <v>2256</v>
      </c>
      <c r="B15" s="1633">
        <f>IF(C0!B15&lt;&gt;"",C0!B15,"")</f>
        <v>12750</v>
      </c>
      <c r="C15" s="123"/>
      <c r="D15" s="565" t="s">
        <v>2801</v>
      </c>
      <c r="E15" s="1653" t="str">
        <f>IF(C0!B51&lt;&gt;"",C0!B51,"")</f>
        <v/>
      </c>
      <c r="F15" s="123"/>
      <c r="G15" s="563" t="s">
        <v>2801</v>
      </c>
      <c r="H15" s="1633" t="str">
        <f>IF('C1'!B21&lt;&gt;"",'C1'!B21,"")</f>
        <v/>
      </c>
      <c r="I15" s="123"/>
      <c r="J15" s="123"/>
      <c r="K15" s="123"/>
      <c r="L15" s="123"/>
      <c r="M15" s="1632" t="s">
        <v>2867</v>
      </c>
      <c r="N15" s="1633" t="str">
        <f>IF('C2'!B14&lt;&gt;0,'C2'!B14,"")</f>
        <v/>
      </c>
      <c r="O15" s="123"/>
      <c r="P15" s="1632" t="s">
        <v>2801</v>
      </c>
      <c r="Q15" s="1633" t="str">
        <f>IF('C2'!B62&lt;&gt;0,'C2'!B62,"")</f>
        <v/>
      </c>
      <c r="R15" s="123"/>
      <c r="S15" s="1632" t="s">
        <v>2798</v>
      </c>
      <c r="T15" s="1633" t="str">
        <f>IF('C3'!B14&lt;&gt;0,'C3'!B14,"")</f>
        <v/>
      </c>
      <c r="U15" s="123"/>
      <c r="V15" s="1632" t="s">
        <v>2801</v>
      </c>
      <c r="W15" s="1633" t="str">
        <f>IF('C3'!B56&lt;&gt;0,'C3'!B56,"")</f>
        <v>N</v>
      </c>
      <c r="X15" s="123"/>
      <c r="Y15" s="1632" t="s">
        <v>48</v>
      </c>
      <c r="Z15" s="1633">
        <f>IF('C3'!B109&lt;&gt;0,'C3'!B109,"")</f>
        <v>14900</v>
      </c>
      <c r="AA15" s="123"/>
      <c r="AB15" s="1632" t="s">
        <v>2801</v>
      </c>
      <c r="AC15" s="1633" t="str">
        <f>IF('C3'!B163&lt;&gt;0,'C3'!B163,"")</f>
        <v/>
      </c>
      <c r="AE15" s="1632" t="s">
        <v>44</v>
      </c>
      <c r="AF15" s="1633" t="str">
        <f>IF('C3'!B213&lt;&gt;0,'C3'!B213,"")</f>
        <v/>
      </c>
      <c r="AH15" s="1632" t="s">
        <v>2801</v>
      </c>
      <c r="AI15" s="1653" t="str">
        <f>IF('C4'!B14&lt;&gt;0,'C4'!B14,"")</f>
        <v/>
      </c>
      <c r="AK15" s="1632" t="s">
        <v>2801</v>
      </c>
      <c r="AL15" s="1663" t="str">
        <f>IF('C4'!B48&lt;&gt;0,'C4'!B48,"")</f>
        <v/>
      </c>
      <c r="AN15" s="1632" t="s">
        <v>46</v>
      </c>
      <c r="AO15" s="1653" t="str">
        <f>IF('C4'!B102&lt;&gt;0,'C4'!B102,"")</f>
        <v/>
      </c>
      <c r="AQ15" s="1632" t="s">
        <v>2867</v>
      </c>
      <c r="AR15" s="1653" t="str">
        <f>IF('C5'!B13&lt;&gt;0,'C5'!B13,"")</f>
        <v/>
      </c>
      <c r="AT15" s="1652" t="s">
        <v>4085</v>
      </c>
      <c r="AU15" s="1633" t="str">
        <f>IF('C6'!B13&lt;&gt;0,'C6'!B13,"")</f>
        <v/>
      </c>
      <c r="AW15" s="1652">
        <v>21</v>
      </c>
      <c r="AX15" s="1633" t="str">
        <f>IF('C6'!B85&lt;&gt;0,'C6'!B85,"")</f>
        <v/>
      </c>
      <c r="AZ15" s="1632" t="s">
        <v>2801</v>
      </c>
      <c r="BA15" s="1633" t="str">
        <f>IF('C7'!B13&lt;&gt;0,'C7'!B13,"")</f>
        <v/>
      </c>
      <c r="BC15" s="1632" t="s">
        <v>2801</v>
      </c>
      <c r="BD15" s="1633" t="str">
        <f>IF('C8C9C10'!B14&lt;&gt;0,'C8C9C10'!B14,"")</f>
        <v/>
      </c>
      <c r="BF15" s="1632" t="s">
        <v>2798</v>
      </c>
      <c r="BG15" s="1634" t="str">
        <f>IF('C8C9C10'!B75&lt;&gt;"",'C8C9C10'!B75,"")</f>
        <v/>
      </c>
      <c r="BI15" s="1632" t="s">
        <v>2867</v>
      </c>
      <c r="BJ15" s="1633" t="str">
        <f>IF('C8C9C10'!B121&lt;&gt;0,'C8C9C10'!B121,"")</f>
        <v/>
      </c>
    </row>
    <row ht="12.75" r="16" spans="1:62" thickBot="1" x14ac:dyDescent="0.25">
      <c r="A16" s="1632" t="s">
        <v>2259</v>
      </c>
      <c r="B16" s="1633" t="str">
        <f>IF(C0!B16&lt;&gt;"",C0!B16,"")</f>
        <v/>
      </c>
      <c r="C16" s="123"/>
      <c r="D16" s="563" t="s">
        <v>2804</v>
      </c>
      <c r="E16" s="1649" t="str">
        <f>IF(C0!B54&lt;&gt;"",C0!B54,"")</f>
        <v/>
      </c>
      <c r="F16" s="123"/>
      <c r="G16" s="1632" t="s">
        <v>2804</v>
      </c>
      <c r="H16" s="1633" t="str">
        <f>IF('C1'!B22&lt;&gt;"",'C1'!B22,"")</f>
        <v/>
      </c>
      <c r="I16" s="123"/>
      <c r="J16" s="965" t="s">
        <v>3832</v>
      </c>
      <c r="K16" s="966" t="str">
        <f>"Selected  = "&amp;AIL_IND-1</f>
        <v>Selected  = 0</v>
      </c>
      <c r="L16" s="123"/>
      <c r="M16" s="1632" t="s">
        <v>2798</v>
      </c>
      <c r="N16" s="1633" t="str">
        <f>IF('C2'!B15&lt;&gt;0,'C2'!B15,"")</f>
        <v/>
      </c>
      <c r="O16" s="123"/>
      <c r="P16" s="1632" t="s">
        <v>2804</v>
      </c>
      <c r="Q16" s="1633" t="str">
        <f>IF('C2'!B63&lt;&gt;0,'C2'!B63,"")</f>
        <v/>
      </c>
      <c r="R16" s="123"/>
      <c r="S16" s="1632" t="s">
        <v>2801</v>
      </c>
      <c r="T16" s="1633" t="str">
        <f>IF('C3'!B15&lt;&gt;0,'C3'!B15,"")</f>
        <v/>
      </c>
      <c r="U16" s="123"/>
      <c r="V16" s="1632" t="s">
        <v>2804</v>
      </c>
      <c r="W16" s="1633" t="str">
        <f>IF('C3'!B57&lt;&gt;0,'C3'!B57,"")</f>
        <v>N</v>
      </c>
      <c r="X16" s="123"/>
      <c r="Y16" s="1632" t="s">
        <v>1796</v>
      </c>
      <c r="Z16" s="1633" t="str">
        <f>IF('C3'!B110&lt;&gt;0,'C3'!B110,"")</f>
        <v/>
      </c>
      <c r="AA16" s="123"/>
      <c r="AB16" s="1632" t="s">
        <v>2804</v>
      </c>
      <c r="AC16" s="1633" t="str">
        <f>IF('C3'!B164&lt;&gt;0,'C3'!B164,"")</f>
        <v/>
      </c>
      <c r="AE16" s="1632" t="s">
        <v>46</v>
      </c>
      <c r="AF16" s="1633" t="str">
        <f>IF('C3'!B214&lt;&gt;0,'C3'!B214,"")</f>
        <v/>
      </c>
      <c r="AH16" s="1632" t="s">
        <v>2804</v>
      </c>
      <c r="AI16" s="1653" t="str">
        <f>IF('C4'!B15&lt;&gt;0,'C4'!B15,"")</f>
        <v/>
      </c>
      <c r="AK16" s="1632" t="s">
        <v>2804</v>
      </c>
      <c r="AL16" s="1663" t="str">
        <f>IF('C4'!B49&lt;&gt;0,'C4'!B49,"")</f>
        <v/>
      </c>
      <c r="AN16" s="1632" t="s">
        <v>6556</v>
      </c>
      <c r="AO16" s="1653" t="str">
        <f>IF('C4'!B103&lt;&gt;0,'C4'!B103,"")</f>
        <v/>
      </c>
      <c r="AQ16" s="1632" t="s">
        <v>2798</v>
      </c>
      <c r="AR16" s="1653" t="str">
        <f>IF('C5'!B14&lt;&gt;0,'C5'!B14,"")</f>
        <v/>
      </c>
      <c r="AT16" s="1652" t="s">
        <v>4086</v>
      </c>
      <c r="AU16" s="1633" t="str">
        <f>IF('C6'!B14&lt;&gt;0,'C6'!B14,"")</f>
        <v/>
      </c>
      <c r="AW16" s="1652">
        <v>22</v>
      </c>
      <c r="AX16" s="1633" t="str">
        <f>IF('C6'!B86&lt;&gt;0,'C6'!B86,"")</f>
        <v/>
      </c>
      <c r="AZ16" s="1632" t="s">
        <v>2804</v>
      </c>
      <c r="BA16" s="1633" t="str">
        <f>IF('C7'!B14&lt;&gt;0,'C7'!B14,"")</f>
        <v/>
      </c>
      <c r="BC16" s="1632" t="s">
        <v>2804</v>
      </c>
      <c r="BD16" s="1633" t="str">
        <f>IF('C8C9C10'!B15&lt;&gt;0,'C8C9C10'!B15,"")</f>
        <v/>
      </c>
      <c r="BF16" s="1632" t="s">
        <v>2801</v>
      </c>
      <c r="BG16" s="1634" t="str">
        <f>IF('C8C9C10'!B76&lt;&gt;"",'C8C9C10'!B76,"")</f>
        <v/>
      </c>
      <c r="BI16" s="1632" t="s">
        <v>2798</v>
      </c>
      <c r="BJ16" s="1633" t="str">
        <f>IF('C8C9C10'!B122&lt;&gt;0,'C8C9C10'!B122,"")</f>
        <v/>
      </c>
    </row>
    <row r="17" spans="1:62" x14ac:dyDescent="0.2">
      <c r="A17" s="563" t="s">
        <v>3933</v>
      </c>
      <c r="B17" s="1633" t="str">
        <f>IF(C0!B17&lt;&gt;"",C0!B17,"")</f>
        <v/>
      </c>
      <c r="C17" s="123"/>
      <c r="D17" s="1632" t="s">
        <v>851</v>
      </c>
      <c r="E17" s="1649" t="str">
        <f>IF(C0!B55&lt;&gt;"",C0!B55,"")</f>
        <v/>
      </c>
      <c r="F17" s="123"/>
      <c r="G17" s="4043" t="s">
        <v>8492</v>
      </c>
      <c r="H17" s="4044" t="str">
        <f>IF('C1'!B23&lt;&gt;"",'C1'!B23,"")</f>
        <v/>
      </c>
      <c r="I17" s="123"/>
      <c r="J17" s="563" t="s">
        <v>952</v>
      </c>
      <c r="K17" s="1633" t="str">
        <f>IF('C1'!B88&lt;&gt;0,'C1'!B88,"")</f>
        <v/>
      </c>
      <c r="L17" s="123"/>
      <c r="M17" s="1632" t="s">
        <v>2801</v>
      </c>
      <c r="N17" s="1633" t="str">
        <f>IF('C2'!B16&lt;&gt;0,'C2'!B16,"")</f>
        <v/>
      </c>
      <c r="O17" s="123"/>
      <c r="P17" s="1632" t="s">
        <v>851</v>
      </c>
      <c r="Q17" s="1633" t="str">
        <f>IF('C2'!B64&lt;&gt;0,'C2'!B64,"")</f>
        <v/>
      </c>
      <c r="R17" s="123"/>
      <c r="S17" s="1632" t="s">
        <v>2804</v>
      </c>
      <c r="T17" s="1633" t="str">
        <f>IF('C3'!B16&lt;&gt;0,'C3'!B16,"")</f>
        <v/>
      </c>
      <c r="U17" s="123"/>
      <c r="V17" s="1632" t="s">
        <v>851</v>
      </c>
      <c r="W17" s="1633" t="str">
        <f>IF('C3'!B58&lt;&gt;0,'C3'!B58,"")</f>
        <v>N</v>
      </c>
      <c r="X17" s="123"/>
      <c r="Y17" s="1632" t="s">
        <v>1798</v>
      </c>
      <c r="Z17" s="1633" t="str">
        <f>IF('C3'!B111&lt;&gt;0,'C3'!B111,"")</f>
        <v>06/04/2019</v>
      </c>
      <c r="AA17" s="123"/>
      <c r="AB17" s="1632" t="s">
        <v>851</v>
      </c>
      <c r="AC17" s="1633" t="str">
        <f>IF('C3'!B165&lt;&gt;0,'C3'!B165,"")</f>
        <v/>
      </c>
      <c r="AE17" s="1632" t="s">
        <v>48</v>
      </c>
      <c r="AF17" s="1633" t="str">
        <f>IF('C3'!B215&lt;&gt;0,'C3'!B215,"")</f>
        <v/>
      </c>
      <c r="AH17" s="1632" t="s">
        <v>851</v>
      </c>
      <c r="AI17" s="1653" t="str">
        <f>IF('C4'!B16&lt;&gt;0,'C4'!B16,"")</f>
        <v/>
      </c>
      <c r="AK17" s="1632" t="s">
        <v>851</v>
      </c>
      <c r="AL17" s="1663" t="str">
        <f>IF('C4'!B50&lt;&gt;"",'C4'!B50,"")</f>
        <v/>
      </c>
      <c r="AN17" s="1632" t="s">
        <v>7415</v>
      </c>
      <c r="AO17" s="1653" t="str">
        <f>IF('C4'!B104&lt;&gt;0,'C4'!B104,"")</f>
        <v/>
      </c>
      <c r="AQ17" s="4046" t="s">
        <v>6492</v>
      </c>
      <c r="AR17" s="4057" t="str">
        <f>IF('C5'!B15&lt;&gt;0,'C5'!B15,"")</f>
        <v/>
      </c>
      <c r="AT17" s="1652" t="s">
        <v>4087</v>
      </c>
      <c r="AU17" s="1633" t="str">
        <f>IF('C6'!B15&lt;&gt;0,'C6'!B15,"")</f>
        <v/>
      </c>
      <c r="AW17" s="4060">
        <v>22.1</v>
      </c>
      <c r="AX17" s="4061" t="str">
        <f>IF('C6'!B87&lt;&gt;0,'C6'!B87,"")</f>
        <v/>
      </c>
      <c r="AZ17" s="1632" t="s">
        <v>851</v>
      </c>
      <c r="BA17" s="1633" t="str">
        <f>IF('C7'!B15&lt;&gt;0,'C7'!B15,"")</f>
        <v/>
      </c>
      <c r="BC17" s="1632" t="s">
        <v>851</v>
      </c>
      <c r="BD17" s="1634" t="str">
        <f>IF('C8C9C10'!B16&lt;&gt;0,'C8C9C10'!B16,"")</f>
        <v/>
      </c>
      <c r="BF17" s="1632" t="s">
        <v>2804</v>
      </c>
      <c r="BG17" s="1634" t="str">
        <f>IF('C8C9C10'!B77&lt;&gt;"",'C8C9C10'!B77,"")</f>
        <v/>
      </c>
      <c r="BI17" s="1632" t="s">
        <v>2801</v>
      </c>
      <c r="BJ17" s="1633" t="str">
        <f>IF('C8C9C10'!B123&lt;&gt;0,'C8C9C10'!B123,"")</f>
        <v/>
      </c>
    </row>
    <row ht="12.75" r="18" spans="1:62" thickBot="1" x14ac:dyDescent="0.25">
      <c r="A18" s="1632" t="s">
        <v>3936</v>
      </c>
      <c r="B18" s="1633" t="str">
        <f>IF(C0!B20&lt;&gt;"",C0!B20,"")</f>
        <v/>
      </c>
      <c r="C18" s="123"/>
      <c r="D18" s="1632" t="s">
        <v>2278</v>
      </c>
      <c r="E18" s="1649" t="str">
        <f>IF(C0!B56&lt;&gt;"",C0!B56,"")</f>
        <v/>
      </c>
      <c r="F18" s="123"/>
      <c r="G18" s="1632" t="s">
        <v>851</v>
      </c>
      <c r="H18" s="1633" t="str">
        <f>IF('C1'!B24&lt;&gt;"",'C1'!B24,"")</f>
        <v/>
      </c>
      <c r="I18" s="123"/>
      <c r="J18" s="1632" t="s">
        <v>2247</v>
      </c>
      <c r="K18" s="1633" t="str">
        <f>IF('C1'!B89&lt;&gt;0,'C1'!B89,"")</f>
        <v/>
      </c>
      <c r="L18" s="123"/>
      <c r="M18" s="1632" t="s">
        <v>2804</v>
      </c>
      <c r="N18" s="1633" t="str">
        <f>IF('C2'!B17&lt;&gt;0,'C2'!B17,"")</f>
        <v/>
      </c>
      <c r="O18" s="123"/>
      <c r="P18" s="1632" t="s">
        <v>2278</v>
      </c>
      <c r="Q18" s="1633" t="str">
        <f>IF('C2'!B65&lt;&gt;0,'C2'!B65,"")</f>
        <v/>
      </c>
      <c r="R18" s="123"/>
      <c r="S18" s="1632" t="s">
        <v>851</v>
      </c>
      <c r="T18" s="1633" t="str">
        <f>IF('C3'!B17&lt;&gt;0,'C3'!B17,"")</f>
        <v/>
      </c>
      <c r="U18" s="123"/>
      <c r="V18" s="1632" t="s">
        <v>2278</v>
      </c>
      <c r="W18" s="1633">
        <f>IF('C3'!B59&lt;&gt;0,'C3'!B59,"")</f>
        <v>74900</v>
      </c>
      <c r="X18" s="123"/>
      <c r="Y18" s="1632" t="s">
        <v>1800</v>
      </c>
      <c r="Z18" s="1633" t="str">
        <f>IF('C3'!B112&lt;&gt;0,'C3'!B112,"")</f>
        <v>05/04/2020</v>
      </c>
      <c r="AA18" s="123"/>
      <c r="AB18" s="1632" t="s">
        <v>2278</v>
      </c>
      <c r="AC18" s="1633" t="str">
        <f>IF('C3'!B166&lt;&gt;0,'C3'!B166,"")</f>
        <v/>
      </c>
      <c r="AE18" s="1632" t="s">
        <v>1796</v>
      </c>
      <c r="AF18" s="1633" t="str">
        <f>IF('C3'!B216&lt;&gt;0,'C3'!B216,"")</f>
        <v/>
      </c>
      <c r="AH18" s="1632" t="s">
        <v>2278</v>
      </c>
      <c r="AI18" s="1653" t="str">
        <f>IF('C4'!B17&lt;&gt;0,'C4'!B17,"")</f>
        <v/>
      </c>
      <c r="AK18" s="1632" t="s">
        <v>2278</v>
      </c>
      <c r="AL18" s="1663" t="str">
        <f>IF('C4'!B51&lt;&gt;"",'C4'!B51,"")</f>
        <v/>
      </c>
      <c r="AN18" s="565" t="s">
        <v>6447</v>
      </c>
      <c r="AO18" s="1653" t="str">
        <f>IF('C4'!B105&lt;&gt;0,'C4'!B105,"")</f>
        <v/>
      </c>
      <c r="AQ18" s="1632" t="s">
        <v>2801</v>
      </c>
      <c r="AR18" s="1653" t="str">
        <f>IF('C5'!B16&lt;&gt;0,'C5'!B16,"")</f>
        <v/>
      </c>
      <c r="AT18" s="1652">
        <v>3</v>
      </c>
      <c r="AU18" s="1633" t="str">
        <f>IF('C6'!B16&lt;&gt;0,'C6'!B16,"")</f>
        <v/>
      </c>
      <c r="AW18" s="4062">
        <v>22.2</v>
      </c>
      <c r="AX18" s="4063" t="str">
        <f>IF('C6'!B88&lt;&gt;0,'C6'!B88,"")</f>
        <v/>
      </c>
      <c r="AZ18" s="1632" t="s">
        <v>2278</v>
      </c>
      <c r="BA18" s="1633" t="str">
        <f>IF('C7'!B16&lt;&gt;0,'C7'!B16,"")</f>
        <v/>
      </c>
      <c r="BC18" s="1632" t="s">
        <v>2278</v>
      </c>
      <c r="BD18" s="1633" t="str">
        <f>IF('C8C9C10'!B17&lt;&gt;0,'C8C9C10'!B17,"")</f>
        <v/>
      </c>
      <c r="BF18" s="1632" t="s">
        <v>851</v>
      </c>
      <c r="BG18" s="1634" t="str">
        <f>IF('C8C9C10'!B78&lt;&gt;"",'C8C9C10'!B78,"")</f>
        <v/>
      </c>
      <c r="BI18" s="1632" t="s">
        <v>2804</v>
      </c>
      <c r="BJ18" s="1633" t="str">
        <f>IF('C8C9C10'!B124&lt;&gt;0,'C8C9C10'!B124,"")</f>
        <v/>
      </c>
    </row>
    <row ht="12.75" r="19" spans="1:62" thickBot="1" x14ac:dyDescent="0.25">
      <c r="A19" s="1632" t="s">
        <v>2864</v>
      </c>
      <c r="B19" s="1633" t="str">
        <f>IF(C0!B21&lt;&gt;"",C0!B21,"")</f>
        <v/>
      </c>
      <c r="C19" s="123"/>
      <c r="D19" s="565" t="s">
        <v>1777</v>
      </c>
      <c r="E19" s="1649" t="str">
        <f>IF(C0!B57&lt;&gt;"",C0!B57,"")</f>
        <v/>
      </c>
      <c r="F19" s="123"/>
      <c r="G19" s="565" t="s">
        <v>2278</v>
      </c>
      <c r="H19" s="1633" t="str">
        <f>IF('C1'!B25&lt;&gt;"",'C1'!B25,"")</f>
        <v/>
      </c>
      <c r="I19" s="123"/>
      <c r="J19" s="1632" t="s">
        <v>2250</v>
      </c>
      <c r="K19" s="1633" t="str">
        <f>IF('C1'!B90&lt;&gt;0,'C1'!B90,"")</f>
        <v/>
      </c>
      <c r="L19" s="123"/>
      <c r="M19" s="1632" t="s">
        <v>851</v>
      </c>
      <c r="N19" s="1633" t="str">
        <f>IF('C2'!B18&lt;&gt;0,'C2'!B18,"")</f>
        <v/>
      </c>
      <c r="O19" s="123"/>
      <c r="P19" s="1632" t="s">
        <v>1777</v>
      </c>
      <c r="Q19" s="1633" t="str">
        <f>IF('C2'!B66&lt;&gt;0,'C2'!B66,"")</f>
        <v/>
      </c>
      <c r="R19" s="123"/>
      <c r="S19" s="1632" t="s">
        <v>2278</v>
      </c>
      <c r="T19" s="1633" t="str">
        <f>IF('C3'!B18&lt;&gt;0,'C3'!B18,"")</f>
        <v/>
      </c>
      <c r="U19" s="123"/>
      <c r="V19" s="1632" t="s">
        <v>1777</v>
      </c>
      <c r="W19" s="1633" t="str">
        <f>IF('C3'!B60&lt;&gt;0,'C3'!B60,"")</f>
        <v/>
      </c>
      <c r="X19" s="123"/>
      <c r="Y19" s="1632" t="s">
        <v>1802</v>
      </c>
      <c r="Z19" s="1633">
        <f>IF('C3'!B113&lt;&gt;0,'C3'!B113,"")</f>
        <v>-1010</v>
      </c>
      <c r="AA19" s="123"/>
      <c r="AB19" s="1632" t="s">
        <v>1777</v>
      </c>
      <c r="AC19" s="1633" t="str">
        <f>IF('C3'!B167&lt;&gt;0,'C3'!B167,"")</f>
        <v/>
      </c>
      <c r="AE19" s="565" t="s">
        <v>1798</v>
      </c>
      <c r="AF19" s="1633" t="str">
        <f>IF('C3'!B217&lt;&gt;0,'C3'!B217,"")</f>
        <v/>
      </c>
      <c r="AH19" s="1632" t="s">
        <v>1777</v>
      </c>
      <c r="AI19" s="1653" t="str">
        <f>IF('C4'!B18&lt;&gt;0,'C4'!B18,"")</f>
        <v/>
      </c>
      <c r="AK19" s="1632" t="s">
        <v>1777</v>
      </c>
      <c r="AL19" s="1663" t="str">
        <f>IF('C4'!B52&lt;&gt;"",'C4'!B52,"")</f>
        <v/>
      </c>
      <c r="AN19" s="1632" t="s">
        <v>48</v>
      </c>
      <c r="AO19" s="1653" t="str">
        <f>IF('C4'!B106&lt;&gt;0,'C4'!B106,"")</f>
        <v/>
      </c>
      <c r="AQ19" s="1632" t="s">
        <v>2804</v>
      </c>
      <c r="AR19" s="1653" t="str">
        <f>IF('C5'!B17&lt;&gt;0,'C5'!B17,"")</f>
        <v/>
      </c>
      <c r="AT19" s="1652">
        <v>4</v>
      </c>
      <c r="AU19" s="1633" t="str">
        <f>IF('C6'!B17&lt;&gt;0,'C6'!B17,"")</f>
        <v/>
      </c>
      <c r="AW19" s="1652">
        <v>23</v>
      </c>
      <c r="AX19" s="1633" t="str">
        <f>IF('C6'!B89&lt;&gt;0,'C6'!B89,"")</f>
        <v/>
      </c>
      <c r="AZ19" s="1632" t="s">
        <v>1777</v>
      </c>
      <c r="BA19" s="1633" t="str">
        <f>IF('C7'!B17&lt;&gt;0,'C7'!B17,"")</f>
        <v/>
      </c>
      <c r="BC19" s="1632" t="s">
        <v>1777</v>
      </c>
      <c r="BD19" s="1633" t="str">
        <f>IF('C8C9C10'!B18&lt;&gt;0,'C8C9C10'!B18,"")</f>
        <v/>
      </c>
      <c r="BF19" s="1632" t="s">
        <v>2278</v>
      </c>
      <c r="BG19" s="1649" t="str">
        <f>IF('C8C9C10'!B79&lt;&gt;"",'C8C9C10'!B79,"")</f>
        <v/>
      </c>
      <c r="BI19" s="1632" t="s">
        <v>851</v>
      </c>
      <c r="BJ19" s="1633" t="str">
        <f>IF('C8C9C10'!B125&lt;&gt;0,'C8C9C10'!B125,"")</f>
        <v/>
      </c>
    </row>
    <row r="20" spans="1:62" x14ac:dyDescent="0.2">
      <c r="A20" s="563" t="s">
        <v>2867</v>
      </c>
      <c r="B20" s="1633" t="str">
        <f>IF(C0!B22&lt;&gt;"",C0!B22,"")</f>
        <v/>
      </c>
      <c r="C20" s="123"/>
      <c r="F20" s="123"/>
      <c r="G20" s="965"/>
      <c r="H20" s="123"/>
      <c r="I20" s="123"/>
      <c r="J20" s="1632" t="s">
        <v>2253</v>
      </c>
      <c r="K20" s="1633" t="str">
        <f>IF('C1'!B91&lt;&gt;0,'C1'!B91,"")</f>
        <v/>
      </c>
      <c r="L20" s="123"/>
      <c r="M20" s="1632" t="s">
        <v>2278</v>
      </c>
      <c r="N20" s="1633" t="str">
        <f>IF('C2'!B19&lt;&gt;0,'C2'!B19,"")</f>
        <v/>
      </c>
      <c r="O20" s="123"/>
      <c r="P20" s="1632" t="s">
        <v>1780</v>
      </c>
      <c r="Q20" s="1633" t="str">
        <f>IF('C2'!B67&lt;&gt;0,'C2'!B67,"")</f>
        <v/>
      </c>
      <c r="R20" s="123"/>
      <c r="S20" s="1632" t="s">
        <v>1777</v>
      </c>
      <c r="T20" s="1633" t="str">
        <f>IF('C3'!B19&lt;&gt;0,'C3'!B19,"")</f>
        <v/>
      </c>
      <c r="U20" s="123"/>
      <c r="V20" s="1632" t="s">
        <v>6599</v>
      </c>
      <c r="W20" s="1633" t="str">
        <f>IF('C3'!B61&lt;&gt;0,'C3'!B61,"")</f>
        <v/>
      </c>
      <c r="X20" s="123"/>
      <c r="Y20" s="1632" t="s">
        <v>1804</v>
      </c>
      <c r="Z20" s="1633" t="str">
        <f>IF('C3'!B114&lt;&gt;0,'C3'!B114,"")</f>
        <v/>
      </c>
      <c r="AA20" s="123"/>
      <c r="AB20" s="1632" t="s">
        <v>1780</v>
      </c>
      <c r="AC20" s="1633" t="str">
        <f>IF('C3'!B168&lt;&gt;0,'C3'!B168,"")</f>
        <v/>
      </c>
      <c r="AH20" s="1632" t="s">
        <v>1780</v>
      </c>
      <c r="AI20" s="1653" t="str">
        <f>IF('C4'!B19&lt;&gt;0,'C4'!B19,"")</f>
        <v/>
      </c>
      <c r="AK20" s="1632" t="s">
        <v>1780</v>
      </c>
      <c r="AL20" s="1663" t="str">
        <f>IF('C4'!B53&lt;&gt;0,'C4'!B53,"")</f>
        <v/>
      </c>
      <c r="AN20" s="1632" t="s">
        <v>1796</v>
      </c>
      <c r="AO20" s="1653" t="str">
        <f>IF('C4'!B107&lt;&gt;0,'C4'!B107,"")</f>
        <v/>
      </c>
      <c r="AQ20" s="1632" t="s">
        <v>851</v>
      </c>
      <c r="AR20" s="1653" t="str">
        <f>IF('C5'!B18&lt;&gt;0,'C5'!B18,"")</f>
        <v/>
      </c>
      <c r="AT20" s="1652" t="s">
        <v>4076</v>
      </c>
      <c r="AU20" s="1633" t="str">
        <f>IF('C6'!B18&lt;&gt;0,'C6'!B18,"")</f>
        <v/>
      </c>
      <c r="AW20" s="1652">
        <v>24</v>
      </c>
      <c r="AX20" s="1633" t="str">
        <f>IF('C6'!B90&lt;&gt;0,'C6'!B90,"")</f>
        <v/>
      </c>
      <c r="AZ20" s="1632" t="s">
        <v>1780</v>
      </c>
      <c r="BA20" s="1633" t="str">
        <f>IF('C7'!B18&lt;&gt;0,'C7'!B18,"")</f>
        <v/>
      </c>
      <c r="BC20" s="1632" t="s">
        <v>1780</v>
      </c>
      <c r="BD20" s="1633" t="str">
        <f>IF('C8C9C10'!B19&lt;&gt;0,'C8C9C10'!B19,"")</f>
        <v/>
      </c>
      <c r="BF20" s="1632" t="s">
        <v>1777</v>
      </c>
      <c r="BG20" s="1649" t="str">
        <f>IF('C8C9C10'!B80&lt;&gt;"",'C8C9C10'!B80,"")</f>
        <v/>
      </c>
      <c r="BI20" s="1632" t="s">
        <v>2278</v>
      </c>
      <c r="BJ20" s="1633" t="str">
        <f>IF('C8C9C10'!B126&lt;&gt;0,'C8C9C10'!B126,"")</f>
        <v/>
      </c>
    </row>
    <row ht="12.75" r="21" spans="1:62" thickBot="1" x14ac:dyDescent="0.25">
      <c r="A21" s="1632" t="s">
        <v>2798</v>
      </c>
      <c r="B21" s="1633" t="str">
        <f>IF(C0!B23&lt;&gt;"",C0!B23,"")</f>
        <v/>
      </c>
      <c r="C21" s="123"/>
      <c r="D21" s="965" t="s">
        <v>908</v>
      </c>
      <c r="E21" s="966"/>
      <c r="F21" s="123"/>
      <c r="G21" s="965" t="s">
        <v>6</v>
      </c>
      <c r="H21" s="966" t="str">
        <f>"Selected  = "&amp;ASE_A_IND-1&amp;"/"&amp;ASE_B_IND-1&amp;"/"&amp;ASE_C_IND-1</f>
        <v>Selected  = 0/0/0</v>
      </c>
      <c r="I21" s="123"/>
      <c r="J21" s="1632" t="s">
        <v>2256</v>
      </c>
      <c r="K21" s="1633" t="str">
        <f>IF('C1'!B92&lt;&gt;0,'C1'!B92,"")</f>
        <v/>
      </c>
      <c r="L21" s="123"/>
      <c r="M21" s="1632" t="s">
        <v>1777</v>
      </c>
      <c r="N21" s="1633" t="str">
        <f>IF('C2'!B20&lt;&gt;0,'C2'!B20,"")</f>
        <v/>
      </c>
      <c r="O21" s="123"/>
      <c r="P21" s="1632" t="s">
        <v>1783</v>
      </c>
      <c r="Q21" s="1633" t="str">
        <f>IF('C2'!B68&lt;&gt;0,'C2'!B68,"")</f>
        <v/>
      </c>
      <c r="R21" s="123"/>
      <c r="S21" s="1632" t="s">
        <v>1780</v>
      </c>
      <c r="T21" s="1633" t="str">
        <f>IF('C3'!B20&lt;&gt;0,'C3'!B20,"")</f>
        <v/>
      </c>
      <c r="U21" s="123"/>
      <c r="V21" s="1632" t="s">
        <v>1780</v>
      </c>
      <c r="W21" s="1633">
        <f>IF('C3'!B62&lt;&gt;0,'C3'!B62,"")</f>
        <v>25000</v>
      </c>
      <c r="X21" s="123"/>
      <c r="Y21" s="1632" t="s">
        <v>1806</v>
      </c>
      <c r="Z21" s="1633" t="str">
        <f>IF('C3'!B115&lt;&gt;0,'C3'!B115,"")</f>
        <v/>
      </c>
      <c r="AA21" s="123"/>
      <c r="AB21" s="1632" t="s">
        <v>1783</v>
      </c>
      <c r="AC21" s="1633" t="str">
        <f>IF('C3'!B169&lt;&gt;0,'C3'!B169,"")</f>
        <v/>
      </c>
      <c r="AH21" s="1632" t="s">
        <v>1783</v>
      </c>
      <c r="AI21" s="1653" t="str">
        <f>IF('C4'!B20&lt;&gt;0,'C4'!B20,"")</f>
        <v/>
      </c>
      <c r="AK21" s="1632" t="s">
        <v>1783</v>
      </c>
      <c r="AL21" s="1663" t="str">
        <f>IF('C4'!B54&lt;&gt;"",'C4'!B54,"")</f>
        <v/>
      </c>
      <c r="AN21" s="1632" t="s">
        <v>1798</v>
      </c>
      <c r="AO21" s="1653" t="str">
        <f>IF('C4'!B108&lt;&gt;0,'C4'!B108,"")</f>
        <v/>
      </c>
      <c r="AQ21" s="1632" t="s">
        <v>2278</v>
      </c>
      <c r="AR21" s="1653" t="str">
        <f>IF('C5'!B19&lt;&gt;0,'C5'!B19,"")</f>
        <v/>
      </c>
      <c r="AT21" s="1652" t="s">
        <v>4077</v>
      </c>
      <c r="AU21" s="1633" t="str">
        <f>IF('C6'!B19&lt;&gt;0,'C6'!B19,"")</f>
        <v/>
      </c>
      <c r="AW21" s="1652">
        <v>24.1</v>
      </c>
      <c r="AX21" s="1633" t="str">
        <f>IF('C6'!B91&lt;&gt;0,'C6'!B91,"")</f>
        <v/>
      </c>
      <c r="AZ21" s="1632" t="s">
        <v>1783</v>
      </c>
      <c r="BA21" s="1633" t="str">
        <f>IF('C7'!B19&lt;&gt;0,'C7'!B19,"")</f>
        <v/>
      </c>
      <c r="BC21" s="1632" t="s">
        <v>1783</v>
      </c>
      <c r="BD21" s="1653" t="str">
        <f>IF('C8C9C10'!B20&lt;&gt;0,'C8C9C10'!B20,"")</f>
        <v/>
      </c>
      <c r="BF21" s="1632" t="s">
        <v>1780</v>
      </c>
      <c r="BG21" s="1649" t="str">
        <f>IF('C8C9C10'!B81&lt;&gt;"",'C8C9C10'!B81,"")</f>
        <v/>
      </c>
      <c r="BI21" s="1632" t="s">
        <v>1777</v>
      </c>
      <c r="BJ21" s="1633" t="str">
        <f>IF('C8C9C10'!B127&lt;&gt;0,'C8C9C10'!B127,"")</f>
        <v/>
      </c>
    </row>
    <row ht="12.75" r="22" spans="1:62" thickBot="1" x14ac:dyDescent="0.25">
      <c r="A22" s="1632" t="s">
        <v>2801</v>
      </c>
      <c r="B22" s="1633" t="str">
        <f>IF(C0!B24&lt;&gt;"",C0!B24,"")</f>
        <v/>
      </c>
      <c r="C22" s="123"/>
      <c r="D22" s="1631" t="s">
        <v>952</v>
      </c>
      <c r="E22" s="1643">
        <f>IF(Selector!$H$4&lt;&gt;"",Selector!$H$4,"")</f>
        <v>600</v>
      </c>
      <c r="F22" s="123"/>
      <c r="G22" s="563" t="s">
        <v>952</v>
      </c>
      <c r="H22" s="1633" t="str">
        <f>IF('C1'!B29&lt;&gt;0,'C1'!B29,"")</f>
        <v/>
      </c>
      <c r="I22" s="123"/>
      <c r="J22" s="1632" t="s">
        <v>2259</v>
      </c>
      <c r="K22" s="1633" t="str">
        <f>IF('C1'!B93&lt;&gt;0,'C1'!B93,"")</f>
        <v/>
      </c>
      <c r="L22" s="123"/>
      <c r="M22" s="1632" t="s">
        <v>1780</v>
      </c>
      <c r="N22" s="1633" t="str">
        <f>IF('C2'!B21&lt;&gt;0,'C2'!B21,"")</f>
        <v/>
      </c>
      <c r="O22" s="123"/>
      <c r="P22" s="1632" t="s">
        <v>41</v>
      </c>
      <c r="Q22" s="1633" t="str">
        <f>IF('C2'!B69&lt;&gt;0,'C2'!B69,"")</f>
        <v/>
      </c>
      <c r="R22" s="123"/>
      <c r="S22" s="1632" t="s">
        <v>1783</v>
      </c>
      <c r="T22" s="1633" t="str">
        <f>IF('C3'!B21&lt;&gt;0,'C3'!B21,"")</f>
        <v/>
      </c>
      <c r="U22" s="123"/>
      <c r="V22" s="1632" t="s">
        <v>1783</v>
      </c>
      <c r="W22" s="1633" t="str">
        <f>IF('C3'!B63&lt;&gt;0,'C3'!B63,"")</f>
        <v/>
      </c>
      <c r="X22" s="123"/>
      <c r="Y22" s="1632" t="s">
        <v>1808</v>
      </c>
      <c r="Z22" s="1633" t="str">
        <f>IF('C3'!B116&lt;&gt;0,'C3'!B116,"")</f>
        <v/>
      </c>
      <c r="AA22" s="123"/>
      <c r="AB22" s="2269" t="s">
        <v>41</v>
      </c>
      <c r="AC22" s="2270"/>
      <c r="AH22" s="1632" t="s">
        <v>41</v>
      </c>
      <c r="AI22" s="1653" t="str">
        <f>IF('C4'!B21&lt;&gt;0,'C4'!B21,"")</f>
        <v/>
      </c>
      <c r="AK22" s="1632" t="s">
        <v>41</v>
      </c>
      <c r="AL22" s="1663" t="str">
        <f>IF('C4'!B55&lt;&gt;0,'C4'!B55,"")</f>
        <v/>
      </c>
      <c r="AN22" s="1632" t="s">
        <v>1800</v>
      </c>
      <c r="AO22" s="1653" t="str">
        <f>IF('C4'!B109&lt;&gt;0,'C4'!B109,"")</f>
        <v/>
      </c>
      <c r="AQ22" s="1632" t="s">
        <v>1777</v>
      </c>
      <c r="AR22" s="1653" t="str">
        <f>IF('C5'!B20&lt;&gt;0,'C5'!B20,"")</f>
        <v/>
      </c>
      <c r="AT22" s="1652" t="s">
        <v>4078</v>
      </c>
      <c r="AU22" s="1633" t="str">
        <f>IF('C6'!B20&lt;&gt;0,'C6'!B20,"")</f>
        <v/>
      </c>
      <c r="AW22" s="1652">
        <v>24.2</v>
      </c>
      <c r="AX22" s="1633" t="str">
        <f>IF('C6'!B92&lt;&gt;0,'C6'!B92,"")</f>
        <v/>
      </c>
      <c r="AZ22" s="1632" t="s">
        <v>41</v>
      </c>
      <c r="BA22" s="1633" t="str">
        <f>IF('C7'!B20&lt;&gt;0,'C7'!B20,"")</f>
        <v/>
      </c>
      <c r="BC22" s="1632" t="s">
        <v>41</v>
      </c>
      <c r="BD22" s="1633" t="str">
        <f>IF('C8C9C10'!B21&lt;&gt;0,'C8C9C10'!B21,"")</f>
        <v/>
      </c>
      <c r="BF22" s="1632" t="s">
        <v>1783</v>
      </c>
      <c r="BG22" s="1649" t="str">
        <f>IF('C8C9C10'!B82&lt;&gt;"",'C8C9C10'!B82,"")</f>
        <v/>
      </c>
      <c r="BI22" s="565" t="s">
        <v>1780</v>
      </c>
      <c r="BJ22" s="1633"/>
    </row>
    <row ht="12.75" r="23" spans="1:62" thickBot="1" x14ac:dyDescent="0.25">
      <c r="A23" s="563" t="s">
        <v>2804</v>
      </c>
      <c r="B23" s="1633" t="str">
        <f>IF(C0!B25&lt;&gt;"",C0!B25,"")</f>
        <v/>
      </c>
      <c r="C23" s="123"/>
      <c r="D23" s="1631" t="s">
        <v>2247</v>
      </c>
      <c r="E23" s="1644" t="s">
        <v>1189</v>
      </c>
      <c r="F23" s="123"/>
      <c r="G23" s="2269" t="s">
        <v>2247</v>
      </c>
      <c r="I23" s="123"/>
      <c r="J23" s="1632" t="s">
        <v>3933</v>
      </c>
      <c r="K23" s="1633" t="str">
        <f>IF('C1'!B94&lt;&gt;0,'C1'!B94,"")</f>
        <v/>
      </c>
      <c r="L23" s="123"/>
      <c r="M23" s="1632" t="s">
        <v>1783</v>
      </c>
      <c r="N23" s="1633" t="str">
        <f>IF('C2'!B22&lt;&gt;0,'C2'!B22,"")</f>
        <v/>
      </c>
      <c r="O23" s="123"/>
      <c r="P23" s="1632" t="s">
        <v>43</v>
      </c>
      <c r="Q23" s="1633" t="str">
        <f>IF('C2'!B70&lt;&gt;0,'C2'!B70,"")</f>
        <v/>
      </c>
      <c r="R23" s="123"/>
      <c r="S23" s="1632" t="s">
        <v>41</v>
      </c>
      <c r="T23" s="1633" t="str">
        <f>IF('C3'!B22&lt;&gt;0,'C3'!B22,"")</f>
        <v/>
      </c>
      <c r="U23" s="123"/>
      <c r="V23" s="1632" t="s">
        <v>41</v>
      </c>
      <c r="W23" s="1633">
        <f>IF('C3'!B64&lt;&gt;0,'C3'!B64,"")</f>
        <v>2000</v>
      </c>
      <c r="X23" s="123"/>
      <c r="Y23" s="1632" t="s">
        <v>1810</v>
      </c>
      <c r="Z23" s="1633" t="str">
        <f>IF('C3'!B117&lt;&gt;0,'C3'!B117,"")</f>
        <v/>
      </c>
      <c r="AA23" s="123"/>
      <c r="AB23" s="1632" t="s">
        <v>43</v>
      </c>
      <c r="AC23" s="1633" t="str">
        <f>IF('C3'!B171&lt;&gt;0,'C3'!B171,"")</f>
        <v/>
      </c>
      <c r="AH23" s="1632" t="s">
        <v>43</v>
      </c>
      <c r="AI23" s="1653" t="str">
        <f>IF('C4'!B22&lt;&gt;0,'C4'!B22,"")</f>
        <v/>
      </c>
      <c r="AK23" s="1632" t="s">
        <v>43</v>
      </c>
      <c r="AL23" s="1663" t="str">
        <f>IF('C4'!B56&lt;&gt;"",'C4'!B56,"")</f>
        <v/>
      </c>
      <c r="AN23" s="1632" t="s">
        <v>1802</v>
      </c>
      <c r="AO23" s="1653" t="str">
        <f>IF('C4'!B110&lt;&gt;0,'C4'!B110,"")</f>
        <v/>
      </c>
      <c r="AQ23" s="1632" t="s">
        <v>1780</v>
      </c>
      <c r="AR23" s="1653" t="str">
        <f>IF('C5'!B21&lt;&gt;0,'C5'!B21,"")</f>
        <v/>
      </c>
      <c r="AT23" s="1652" t="s">
        <v>4088</v>
      </c>
      <c r="AU23" s="1633" t="str">
        <f>IF('C6'!B21&lt;&gt;0,'C6'!B21,"")</f>
        <v/>
      </c>
      <c r="AW23" s="1652" t="s">
        <v>4076</v>
      </c>
      <c r="AX23" s="1633" t="str">
        <f>IF('C6'!B93&lt;&gt;0,'C6'!B93,"")</f>
        <v/>
      </c>
      <c r="AZ23" s="1632" t="s">
        <v>43</v>
      </c>
      <c r="BA23" s="1633" t="str">
        <f>IF('C7'!B21&lt;&gt;0,'C7'!B21,"")</f>
        <v/>
      </c>
      <c r="BC23" s="1632" t="s">
        <v>43</v>
      </c>
      <c r="BD23" s="1649" t="str">
        <f>IF('C8C9C10'!B22&lt;&gt;0,'C8C9C10'!B22,"")</f>
        <v/>
      </c>
      <c r="BF23" s="1632" t="s">
        <v>41</v>
      </c>
      <c r="BG23" s="1649" t="str">
        <f>IF('C8C9C10'!B83&lt;&gt;"",'C8C9C10'!B83,"")</f>
        <v/>
      </c>
      <c r="BI23" s="965"/>
    </row>
    <row r="24" spans="1:62" x14ac:dyDescent="0.2">
      <c r="A24" s="1632" t="s">
        <v>851</v>
      </c>
      <c r="B24" s="1633" t="str">
        <f>IF(C0!B26&lt;&gt;"",C0!B26,"")</f>
        <v/>
      </c>
      <c r="C24" s="123"/>
      <c r="D24" s="1631" t="s">
        <v>2250</v>
      </c>
      <c r="E24" s="1644" t="s">
        <v>1189</v>
      </c>
      <c r="F24" s="123"/>
      <c r="G24" s="563" t="s">
        <v>2250</v>
      </c>
      <c r="H24" s="1633" t="str">
        <f>IF('C1'!B33&lt;&gt;0,'C1'!B33,"")</f>
        <v/>
      </c>
      <c r="I24" s="123"/>
      <c r="J24" s="1632" t="s">
        <v>3936</v>
      </c>
      <c r="K24" s="1633" t="str">
        <f>IF('C1'!B95&lt;&gt;0,'C1'!B95,"")</f>
        <v/>
      </c>
      <c r="L24" s="123"/>
      <c r="M24" s="1632" t="s">
        <v>41</v>
      </c>
      <c r="N24" s="1633" t="str">
        <f>IF('C2'!B23&lt;&gt;0,'C2'!B23,"")</f>
        <v/>
      </c>
      <c r="O24" s="123"/>
      <c r="P24" s="1632" t="s">
        <v>45</v>
      </c>
      <c r="Q24" s="1633" t="str">
        <f>IF('C2'!B71&lt;&gt;0,'C2'!B71,"")</f>
        <v/>
      </c>
      <c r="R24" s="123"/>
      <c r="S24" s="1632" t="s">
        <v>43</v>
      </c>
      <c r="T24" s="1633" t="str">
        <f>IF('C3'!B23&lt;&gt;0,'C3'!B23,"")</f>
        <v/>
      </c>
      <c r="U24" s="123"/>
      <c r="V24" s="1632" t="s">
        <v>43</v>
      </c>
      <c r="W24" s="1633">
        <f>IF('C3'!B65&lt;&gt;0,'C3'!B65,"")</f>
        <v>12000</v>
      </c>
      <c r="X24" s="123"/>
      <c r="Y24" s="1632" t="s">
        <v>1812</v>
      </c>
      <c r="Z24" s="1633">
        <f>IF('C3'!B118&lt;&gt;0,'C3'!B118,"")</f>
        <v>13890</v>
      </c>
      <c r="AA24" s="123"/>
      <c r="AB24" s="1632" t="s">
        <v>45</v>
      </c>
      <c r="AC24" s="1633" t="str">
        <f>IF('C3'!B172&lt;&gt;0,'C3'!B172,"")</f>
        <v/>
      </c>
      <c r="AH24" s="1632" t="s">
        <v>45</v>
      </c>
      <c r="AI24" s="1653" t="str">
        <f>IF('C4'!B23&lt;&gt;0,'C4'!B23,"")</f>
        <v/>
      </c>
      <c r="AK24" s="1632" t="s">
        <v>45</v>
      </c>
      <c r="AL24" s="1663" t="str">
        <f>IF('C4'!B57&lt;&gt;"",'C4'!B57,"")</f>
        <v/>
      </c>
      <c r="AN24" s="1632" t="s">
        <v>1804</v>
      </c>
      <c r="AO24" s="1653" t="str">
        <f>IF('C4'!B111&lt;&gt;0,'C4'!B111,"")</f>
        <v/>
      </c>
      <c r="AQ24" s="1632" t="s">
        <v>1783</v>
      </c>
      <c r="AR24" s="1653" t="str">
        <f>IF('C5'!B22&lt;&gt;0,'C5'!B22,"")</f>
        <v/>
      </c>
      <c r="AT24" s="1652" t="s">
        <v>4080</v>
      </c>
      <c r="AU24" s="1633" t="str">
        <f>IF('C6'!B22&lt;&gt;0,'C6'!B22,"")</f>
        <v/>
      </c>
      <c r="AW24" s="1652" t="s">
        <v>4114</v>
      </c>
      <c r="AX24" s="1633" t="str">
        <f>IF('C6'!B94&lt;&gt;0,'C6'!B94,"")</f>
        <v/>
      </c>
      <c r="AZ24" s="2269" t="s">
        <v>45</v>
      </c>
      <c r="BA24" s="1634" t="s">
        <v>6437</v>
      </c>
      <c r="BC24" s="1632" t="s">
        <v>45</v>
      </c>
      <c r="BD24" s="1633" t="str">
        <f>IF('C8C9C10'!B23&lt;&gt;0,'C8C9C10'!B23,"")</f>
        <v/>
      </c>
      <c r="BF24" s="1632" t="s">
        <v>43</v>
      </c>
      <c r="BG24" s="1653" t="str">
        <f>IF('C8C9C10'!B84&lt;&gt;"",'C8C9C10'!B84,"")</f>
        <v/>
      </c>
      <c r="BI24" s="1635"/>
      <c r="BJ24" s="1640" t="s">
        <v>4560</v>
      </c>
    </row>
    <row ht="12.75" r="25" spans="1:62" thickBot="1" x14ac:dyDescent="0.25">
      <c r="A25" s="1632" t="s">
        <v>2278</v>
      </c>
      <c r="B25" s="1633" t="str">
        <f>IF(C0!B27&lt;&gt;"",C0!B27,"")</f>
        <v/>
      </c>
      <c r="C25" s="123"/>
      <c r="D25" s="1631" t="s">
        <v>2253</v>
      </c>
      <c r="E25" s="1633"/>
      <c r="F25" s="123"/>
      <c r="G25" s="1632" t="s">
        <v>2253</v>
      </c>
      <c r="H25" s="1633" t="str">
        <f>IF('C1'!B34&lt;&gt;0,'C1'!B34,"")</f>
        <v/>
      </c>
      <c r="I25" s="123"/>
      <c r="J25" s="1632" t="s">
        <v>2864</v>
      </c>
      <c r="K25" s="1633" t="str">
        <f>IF('C1'!B96&lt;&gt;0,'C1'!B96,"")</f>
        <v/>
      </c>
      <c r="L25" s="123"/>
      <c r="M25" s="565" t="s">
        <v>43</v>
      </c>
      <c r="N25" s="1633" t="str">
        <f>IF('C2'!B24&lt;&gt;0,'C2'!B24,"")</f>
        <v/>
      </c>
      <c r="O25" s="123"/>
      <c r="P25" s="1632" t="s">
        <v>47</v>
      </c>
      <c r="Q25" s="1633" t="str">
        <f>IF('C2'!B72&lt;&gt;0,'C2'!B72,"")</f>
        <v/>
      </c>
      <c r="S25" s="1632" t="s">
        <v>45</v>
      </c>
      <c r="T25" s="1633" t="str">
        <f>IF('C3'!B24&lt;&gt;0,'C3'!B24,"")</f>
        <v/>
      </c>
      <c r="U25" s="123"/>
      <c r="V25" s="1632" t="s">
        <v>45</v>
      </c>
      <c r="W25" s="1633">
        <f>IF('C3'!B66&lt;&gt;0,'C3'!B66,"")</f>
        <v>10800</v>
      </c>
      <c r="X25" s="123"/>
      <c r="Y25" s="1632" t="s">
        <v>1814</v>
      </c>
      <c r="Z25" s="1633" t="str">
        <f>IF('C3'!B119&lt;&gt;0,'C3'!B119,"")</f>
        <v/>
      </c>
      <c r="AA25" s="123"/>
      <c r="AB25" s="1632" t="s">
        <v>47</v>
      </c>
      <c r="AC25" s="1633" t="str">
        <f>IF('C3'!B173&lt;&gt;0,'C3'!B173,"")</f>
        <v/>
      </c>
      <c r="AH25" s="1632" t="s">
        <v>47</v>
      </c>
      <c r="AI25" s="1653" t="str">
        <f>IF('C4'!B24&lt;&gt;0,'C4'!B24,"")</f>
        <v/>
      </c>
      <c r="AK25" s="1632" t="s">
        <v>47</v>
      </c>
      <c r="AL25" s="1663" t="str">
        <f>IF('C4'!B58&lt;&gt;0,'C4'!B58,"")</f>
        <v/>
      </c>
      <c r="AN25" s="1632" t="s">
        <v>1806</v>
      </c>
      <c r="AO25" s="1653" t="str">
        <f>IF('C4'!B112&lt;&gt;0,'C4'!B112,"")</f>
        <v/>
      </c>
      <c r="AQ25" s="1632" t="s">
        <v>41</v>
      </c>
      <c r="AR25" s="1653" t="str">
        <f>IF('C5'!B23&lt;&gt;0,'C5'!B23,"")</f>
        <v/>
      </c>
      <c r="AT25" s="1652" t="s">
        <v>4089</v>
      </c>
      <c r="AU25" s="1633" t="str">
        <f>IF('C6'!B23&lt;&gt;0,'C6'!B23,"")</f>
        <v/>
      </c>
      <c r="AW25" s="1652" t="s">
        <v>4115</v>
      </c>
      <c r="AX25" s="1633" t="str">
        <f>IF('C6'!B95&lt;&gt;0,'C6'!B95,"")</f>
        <v/>
      </c>
      <c r="AZ25" s="1632" t="s">
        <v>47</v>
      </c>
      <c r="BA25" s="1633" t="str">
        <f>IF('C7'!B23&lt;&gt;0,'C7'!B23,"")</f>
        <v/>
      </c>
      <c r="BC25" s="1632" t="s">
        <v>47</v>
      </c>
      <c r="BD25" s="1633" t="str">
        <f>IF('C8C9C10'!B24&lt;&gt;0,'C8C9C10'!B24,"")</f>
        <v/>
      </c>
      <c r="BF25" s="1632" t="s">
        <v>45</v>
      </c>
      <c r="BG25" s="1653" t="str">
        <f>IF('C8C9C10'!B85&lt;&gt;"",'C8C9C10'!B85,"")</f>
        <v/>
      </c>
      <c r="BI25" s="547" t="s">
        <v>4264</v>
      </c>
      <c r="BJ25" s="123" t="str">
        <f>"Selected  = "&amp;NI2_IND-1</f>
        <v>Selected  = 10</v>
      </c>
    </row>
    <row r="26" spans="1:62" x14ac:dyDescent="0.2">
      <c r="A26" s="563" t="s">
        <v>1777</v>
      </c>
      <c r="B26" s="1633" t="str">
        <f>IF(C0!B28&lt;&gt;"",C0!B28,"")</f>
        <v/>
      </c>
      <c r="C26" s="123"/>
      <c r="D26" s="1631" t="s">
        <v>2256</v>
      </c>
      <c r="E26" s="1633"/>
      <c r="F26" s="123"/>
      <c r="G26" s="1632" t="s">
        <v>2256</v>
      </c>
      <c r="H26" s="1633" t="str">
        <f>IF('C1'!B35&lt;&gt;0,'C1'!B35,"")</f>
        <v/>
      </c>
      <c r="I26" s="123"/>
      <c r="J26" s="1632" t="s">
        <v>2867</v>
      </c>
      <c r="K26" s="1633" t="str">
        <f>IF('C1'!B97&lt;&gt;0,'C1'!B97,"")</f>
        <v/>
      </c>
      <c r="L26" s="123"/>
      <c r="O26" s="123"/>
      <c r="P26" s="1632" t="s">
        <v>49</v>
      </c>
      <c r="Q26" s="1633" t="str">
        <f>IF('C2'!B73&lt;&gt;0,'C2'!B73,"")</f>
        <v/>
      </c>
      <c r="S26" s="1632" t="s">
        <v>47</v>
      </c>
      <c r="T26" s="1633" t="str">
        <f>IF('C3'!B25&lt;&gt;0,'C3'!B25,"")</f>
        <v/>
      </c>
      <c r="U26" s="123"/>
      <c r="V26" s="1632" t="s">
        <v>47</v>
      </c>
      <c r="W26" s="1633" t="str">
        <f>IF('C3'!B67&lt;&gt;0,'C3'!B67,"")</f>
        <v/>
      </c>
      <c r="X26" s="123"/>
      <c r="Y26" s="1632" t="s">
        <v>1816</v>
      </c>
      <c r="Z26" s="1633">
        <f>IF('C3'!B120&lt;&gt;0,'C3'!B120,"")</f>
        <v>300</v>
      </c>
      <c r="AA26" s="123"/>
      <c r="AB26" s="1632" t="s">
        <v>49</v>
      </c>
      <c r="AC26" s="1633" t="str">
        <f>IF('C3'!B174&lt;&gt;0,'C3'!B174,"")</f>
        <v/>
      </c>
      <c r="AH26" s="1632" t="s">
        <v>49</v>
      </c>
      <c r="AI26" s="1653" t="str">
        <f>IF('C4'!B25&lt;&gt;0,'C4'!B25,"")</f>
        <v/>
      </c>
      <c r="AK26" s="1632" t="s">
        <v>49</v>
      </c>
      <c r="AL26" s="1663" t="str">
        <f>IF('C4'!B59&lt;&gt;0,'C4'!B59,"")</f>
        <v/>
      </c>
      <c r="AN26" s="1632" t="s">
        <v>1808</v>
      </c>
      <c r="AO26" s="1653" t="str">
        <f>IF('C4'!B113&lt;&gt;0,'C4'!B113,"")</f>
        <v/>
      </c>
      <c r="AQ26" s="1632" t="s">
        <v>2256</v>
      </c>
      <c r="AR26" s="1653" t="str">
        <f>IF('C5'!B24&lt;&gt;0,'C5'!B24,"")</f>
        <v/>
      </c>
      <c r="AT26" s="1652" t="s">
        <v>4082</v>
      </c>
      <c r="AU26" s="1633" t="str">
        <f>IF('C6'!B24&lt;&gt;0,'C6'!B24,"")</f>
        <v/>
      </c>
      <c r="AW26" s="1652" t="s">
        <v>4116</v>
      </c>
      <c r="AX26" s="1633" t="str">
        <f>IF('C6'!B96&lt;&gt;0,'C6'!B96,"")</f>
        <v/>
      </c>
      <c r="AZ26" s="1632" t="s">
        <v>49</v>
      </c>
      <c r="BA26" s="1633" t="str">
        <f>IF('C7'!B24&lt;&gt;0,'C7'!B24,"")</f>
        <v/>
      </c>
      <c r="BC26" s="1632" t="s">
        <v>49</v>
      </c>
      <c r="BD26" s="1634" t="str">
        <f>IF('C8C9C10'!B25&lt;&gt;0,'C8C9C10'!B25,"")</f>
        <v/>
      </c>
      <c r="BF26" s="1632" t="s">
        <v>47</v>
      </c>
      <c r="BG26" s="1653" t="str">
        <f>IF('C8C9C10'!B86&lt;&gt;"",'C8C9C10'!B86,"")</f>
        <v/>
      </c>
      <c r="BI26" s="563" t="s">
        <v>4444</v>
      </c>
      <c r="BJ26" s="1633">
        <f>IF('C8C9C10'!B131="","",'C8C9C10'!B131)</f>
        <v>117</v>
      </c>
    </row>
    <row ht="12.75" r="27" spans="1:62" thickBot="1" x14ac:dyDescent="0.25">
      <c r="A27" s="1632" t="s">
        <v>1780</v>
      </c>
      <c r="B27" s="1633" t="str">
        <f>IF(C0!B31&lt;&gt;"",C0!B31,"")</f>
        <v/>
      </c>
      <c r="C27" s="123"/>
      <c r="D27" s="1631" t="s">
        <v>2259</v>
      </c>
      <c r="E27" s="1633"/>
      <c r="F27" s="123"/>
      <c r="G27" s="1632" t="s">
        <v>2259</v>
      </c>
      <c r="H27" s="1633" t="str">
        <f>IF('C1'!B36&lt;&gt;0,'C1'!B36,"")</f>
        <v/>
      </c>
      <c r="I27" s="123"/>
      <c r="J27" s="1632" t="s">
        <v>2798</v>
      </c>
      <c r="K27" s="1633" t="str">
        <f>IF('C1'!B98&lt;&gt;0,'C1'!B98,"")</f>
        <v/>
      </c>
      <c r="L27" s="123"/>
      <c r="M27" s="1645"/>
      <c r="N27" s="1646" t="s">
        <v>2241</v>
      </c>
      <c r="O27" s="123"/>
      <c r="P27" s="1632" t="s">
        <v>1797</v>
      </c>
      <c r="Q27" s="1633" t="str">
        <f>IF('C2'!B74&lt;&gt;0,'C2'!B74,"")</f>
        <v/>
      </c>
      <c r="R27" s="123"/>
      <c r="S27" s="1632" t="s">
        <v>49</v>
      </c>
      <c r="T27" s="1633" t="str">
        <f>IF('C3'!B26&lt;&gt;0,'C3'!B26,"")</f>
        <v/>
      </c>
      <c r="U27" s="123"/>
      <c r="V27" s="1632" t="s">
        <v>49</v>
      </c>
      <c r="W27" s="1633" t="str">
        <f>IF('C3'!B68&lt;&gt;0,'C3'!B68,"")</f>
        <v/>
      </c>
      <c r="X27" s="123"/>
      <c r="Y27" s="3389" t="s">
        <v>7715</v>
      </c>
      <c r="Z27" s="1633" t="str">
        <f>IF('C3'!B121&lt;&gt;0,'C3'!B121,"")</f>
        <v/>
      </c>
      <c r="AA27" s="123"/>
      <c r="AB27" s="1632" t="s">
        <v>1797</v>
      </c>
      <c r="AC27" s="1633" t="str">
        <f>IF('C3'!B175&lt;&gt;0,'C3'!B175,"")</f>
        <v/>
      </c>
      <c r="AH27" s="1632" t="s">
        <v>1797</v>
      </c>
      <c r="AI27" s="1653" t="str">
        <f>IF('C4'!B26&lt;&gt;0,'C4'!B26,"")</f>
        <v/>
      </c>
      <c r="AK27" s="1632" t="s">
        <v>1797</v>
      </c>
      <c r="AL27" s="1663" t="str">
        <f>IF('C4'!B60&lt;&gt;"",'C4'!B60,"")</f>
        <v/>
      </c>
      <c r="AN27" s="1632" t="s">
        <v>1810</v>
      </c>
      <c r="AO27" s="1653" t="str">
        <f>IF('C4'!B114&lt;&gt;0,'C4'!B114,"")</f>
        <v/>
      </c>
      <c r="AQ27" s="1632" t="s">
        <v>6573</v>
      </c>
      <c r="AR27" s="1653" t="str">
        <f>IF('C5'!B25&lt;&gt;0,'C5'!B25,"")</f>
        <v/>
      </c>
      <c r="AT27" s="1652" t="s">
        <v>4083</v>
      </c>
      <c r="AU27" s="1633" t="str">
        <f>IF('C6'!B25&lt;&gt;0,'C6'!B25,"")</f>
        <v/>
      </c>
      <c r="AW27" s="1652" t="s">
        <v>4080</v>
      </c>
      <c r="AX27" s="1633" t="str">
        <f>IF('C6'!B97&lt;&gt;0,'C6'!B97,"")</f>
        <v/>
      </c>
      <c r="AZ27" s="1632" t="s">
        <v>1797</v>
      </c>
      <c r="BA27" s="1633" t="str">
        <f>IF('C7'!B25&lt;&gt;0,'C7'!B25,"")</f>
        <v/>
      </c>
      <c r="BC27" s="1632" t="s">
        <v>1797</v>
      </c>
      <c r="BD27" s="1653" t="str">
        <f>IF('C8C9C10'!B26&lt;&gt;0,'C8C9C10'!B26,"")</f>
        <v/>
      </c>
      <c r="BF27" s="1632" t="s">
        <v>49</v>
      </c>
      <c r="BG27" s="1649" t="str">
        <f>IF('C8C9C10'!B87&lt;&gt;"",'C8C9C10'!B87,"")</f>
        <v/>
      </c>
      <c r="BI27" s="565" t="s">
        <v>4963</v>
      </c>
      <c r="BJ27" s="1634">
        <f>IF('C8C9C10'!B132="","",'C8C9C10'!B132)</f>
        <v>2</v>
      </c>
    </row>
    <row ht="12.75" r="28" spans="1:62" thickBot="1" x14ac:dyDescent="0.25">
      <c r="A28" s="1632" t="s">
        <v>1783</v>
      </c>
      <c r="B28" s="1633" t="str">
        <f>IF(C0!B32&lt;&gt;"",C0!B32,"")</f>
        <v/>
      </c>
      <c r="C28" s="123"/>
      <c r="D28" s="1631" t="s">
        <v>3933</v>
      </c>
      <c r="E28" s="1633"/>
      <c r="F28" s="123"/>
      <c r="G28" s="1632" t="s">
        <v>3933</v>
      </c>
      <c r="H28" s="1633" t="str">
        <f>IF('C1'!B37&lt;&gt;0,'C1'!B37,"")</f>
        <v/>
      </c>
      <c r="I28" s="123"/>
      <c r="J28" s="1632" t="s">
        <v>6492</v>
      </c>
      <c r="K28" s="1633" t="str">
        <f>IF('C1'!B99&lt;&gt;0,'C1'!B99,"")</f>
        <v/>
      </c>
      <c r="L28" s="123"/>
      <c r="M28" s="965" t="s">
        <v>3741</v>
      </c>
      <c r="N28" s="1214" t="str">
        <f>"Selected  = "&amp;EMP_B_IND-1</f>
        <v>Selected  = 0</v>
      </c>
      <c r="O28" s="123"/>
      <c r="P28" s="1632" t="s">
        <v>1799</v>
      </c>
      <c r="Q28" s="1633" t="str">
        <f>IF('C2'!B75&lt;&gt;0,'C2'!B75,"")</f>
        <v/>
      </c>
      <c r="R28" s="123"/>
      <c r="S28" s="1632" t="s">
        <v>1797</v>
      </c>
      <c r="T28" s="1633" t="str">
        <f>IF('C3'!B27&lt;&gt;0,'C3'!B27,"")</f>
        <v/>
      </c>
      <c r="U28" s="123"/>
      <c r="V28" s="1632" t="s">
        <v>1797</v>
      </c>
      <c r="W28" s="1633">
        <f>IF('C3'!B69&lt;&gt;0,'C3'!B69,"")</f>
        <v>1400</v>
      </c>
      <c r="X28" s="123"/>
      <c r="Y28" s="1632" t="s">
        <v>1818</v>
      </c>
      <c r="Z28" s="1633">
        <f>IF('C3'!B122&lt;&gt;0,'C3'!B122,"")</f>
        <v>14190</v>
      </c>
      <c r="AA28" s="123"/>
      <c r="AB28" s="1632" t="s">
        <v>1799</v>
      </c>
      <c r="AC28" s="1633" t="str">
        <f>IF('C3'!B176&lt;&gt;0,'C3'!B176,"")</f>
        <v/>
      </c>
      <c r="AH28" s="1632" t="s">
        <v>1799</v>
      </c>
      <c r="AI28" s="1653" t="str">
        <f>IF('C4'!B27&lt;&gt;0,'C4'!B27,"")</f>
        <v/>
      </c>
      <c r="AK28" s="1632" t="s">
        <v>1799</v>
      </c>
      <c r="AL28" s="1650" t="str">
        <f>IF('C4'!B61&lt;&gt;0,'C4'!B61,"")</f>
        <v/>
      </c>
      <c r="AN28" s="1632" t="s">
        <v>1812</v>
      </c>
      <c r="AO28" s="1653" t="str">
        <f>IF('C4'!B115&lt;&gt;0,'C4'!B115,"")</f>
        <v/>
      </c>
      <c r="AQ28" s="1632" t="s">
        <v>6574</v>
      </c>
      <c r="AR28" s="1653" t="str">
        <f>IF('C5'!B26&lt;&gt;"",'C5'!B26,"")</f>
        <v/>
      </c>
      <c r="AT28" s="1652" t="s">
        <v>4084</v>
      </c>
      <c r="AU28" s="1633" t="str">
        <f>IF('C6'!B26&lt;&gt;0,'C6'!B26,"")</f>
        <v/>
      </c>
      <c r="AW28" s="1652" t="s">
        <v>4117</v>
      </c>
      <c r="AX28" s="1633" t="str">
        <f>IF('C6'!B98&lt;&gt;0,'C6'!B98,"")</f>
        <v/>
      </c>
      <c r="AZ28" s="565" t="s">
        <v>1799</v>
      </c>
      <c r="BA28" s="1633" t="str">
        <f>IF('C7'!B26&lt;&gt;0,'C7'!B26,"")</f>
        <v/>
      </c>
      <c r="BC28" s="1632" t="s">
        <v>1799</v>
      </c>
      <c r="BD28" s="1633" t="str">
        <f>IF('C8C9C10'!B27&lt;&gt;0,'C8C9C10'!B27,"")</f>
        <v/>
      </c>
      <c r="BF28" s="1632" t="s">
        <v>6591</v>
      </c>
      <c r="BG28" s="1653" t="str">
        <f>IF('C8C9C10'!B88&lt;&gt;"",'C8C9C10'!B88,"")</f>
        <v/>
      </c>
    </row>
    <row ht="12.75" r="29" spans="1:62" thickBot="1" x14ac:dyDescent="0.25">
      <c r="A29" s="563" t="s">
        <v>41</v>
      </c>
      <c r="B29" s="1633" t="str">
        <f>IF(C0!B33&lt;&gt;"",C0!B33,"")</f>
        <v/>
      </c>
      <c r="C29" s="123"/>
      <c r="D29" s="1631" t="s">
        <v>3936</v>
      </c>
      <c r="E29" s="1633"/>
      <c r="F29" s="123"/>
      <c r="G29" s="1632" t="s">
        <v>3936</v>
      </c>
      <c r="H29" s="1633" t="str">
        <f>IF('C1'!B38&lt;&gt;0,'C1'!B38,"")</f>
        <v/>
      </c>
      <c r="I29" s="123"/>
      <c r="J29" s="1632" t="s">
        <v>6493</v>
      </c>
      <c r="K29" s="1633" t="str">
        <f>IF('C1'!B100&lt;&gt;0,'C1'!B100,"")</f>
        <v/>
      </c>
      <c r="L29" s="123"/>
      <c r="M29" s="563" t="s">
        <v>952</v>
      </c>
      <c r="N29" s="1633" t="str">
        <f>IF('C2'!B27&lt;&gt;0,'C2'!B27,"")</f>
        <v/>
      </c>
      <c r="O29" s="123"/>
      <c r="P29" s="1632" t="s">
        <v>1801</v>
      </c>
      <c r="Q29" s="1633" t="str">
        <f>IF('C2'!B76&lt;&gt;0,'C2'!B76,"")</f>
        <v/>
      </c>
      <c r="R29" s="123"/>
      <c r="S29" s="1632" t="s">
        <v>1799</v>
      </c>
      <c r="T29" s="1633" t="str">
        <f>IF('C3'!B28&lt;&gt;0,'C3'!B28,"")</f>
        <v/>
      </c>
      <c r="U29" s="123"/>
      <c r="V29" s="1632" t="s">
        <v>1799</v>
      </c>
      <c r="W29" s="1633">
        <f>IF('C3'!B70&lt;&gt;0,'C3'!B70,"")</f>
        <v>5800</v>
      </c>
      <c r="X29" s="123"/>
      <c r="Y29" s="1632" t="s">
        <v>1820</v>
      </c>
      <c r="Z29" s="1633" t="str">
        <f>IF('C3'!B123&lt;&gt;0,'C3'!B123,"")</f>
        <v/>
      </c>
      <c r="AA29" s="123"/>
      <c r="AB29" s="1632" t="s">
        <v>1801</v>
      </c>
      <c r="AC29" s="1633" t="str">
        <f>IF('C3'!B177&lt;&gt;0,'C3'!B177,"")</f>
        <v/>
      </c>
      <c r="AH29" s="1632" t="s">
        <v>1801</v>
      </c>
      <c r="AI29" s="1653" t="str">
        <f>IF('C4'!B28&lt;&gt;0,'C4'!B28,"")</f>
        <v/>
      </c>
      <c r="AK29" s="1632" t="s">
        <v>1801</v>
      </c>
      <c r="AL29" s="1650" t="str">
        <f>IF('C4'!B62&lt;&gt;0,'C4'!B62,"")</f>
        <v/>
      </c>
      <c r="AN29" s="1632" t="s">
        <v>1814</v>
      </c>
      <c r="AO29" s="1653" t="str">
        <f>IF('C4'!B116&lt;&gt;0,'C4'!B116,"")</f>
        <v/>
      </c>
      <c r="AQ29" s="1632" t="s">
        <v>2259</v>
      </c>
      <c r="AR29" s="1653" t="str">
        <f>IF('C5'!B27&lt;&gt;0,'C5'!B27,"")</f>
        <v/>
      </c>
      <c r="AT29" s="1652" t="s">
        <v>4090</v>
      </c>
      <c r="AU29" s="1633" t="str">
        <f>IF('C6'!B27&lt;&gt;0,'C6'!B27,"")</f>
        <v/>
      </c>
      <c r="AW29" s="1652">
        <v>25</v>
      </c>
      <c r="AX29" s="1633" t="str">
        <f>IF('C6'!B99&lt;&gt;0,'C6'!B99,"")</f>
        <v/>
      </c>
      <c r="AZ29" s="565" t="s">
        <v>7416</v>
      </c>
      <c r="BA29" s="1633" t="str">
        <f>IF('C7'!B27&lt;&gt;0,'C7'!B27,"")</f>
        <v/>
      </c>
      <c r="BC29" s="1632" t="s">
        <v>1801</v>
      </c>
      <c r="BD29" s="1633" t="str">
        <f>IF('C8C9C10'!B28&lt;&gt;0,'C8C9C10'!B28,"")</f>
        <v/>
      </c>
      <c r="BF29" s="1632" t="s">
        <v>6592</v>
      </c>
      <c r="BG29" s="1653" t="str">
        <f>IF('C8C9C10'!B89&lt;&gt;"",'C8C9C10'!B89,"")</f>
        <v/>
      </c>
      <c r="BI29" s="1635"/>
      <c r="BJ29" s="1640" t="s">
        <v>4560</v>
      </c>
    </row>
    <row ht="12.75" r="30" spans="1:62" thickBot="1" x14ac:dyDescent="0.25">
      <c r="A30" s="1632" t="s">
        <v>43</v>
      </c>
      <c r="B30" s="1633" t="str">
        <f>IF(C0!B34&lt;&gt;"",C0!B34,"")</f>
        <v/>
      </c>
      <c r="C30" s="123"/>
      <c r="D30" s="1631" t="s">
        <v>2864</v>
      </c>
      <c r="E30" s="1644" t="s">
        <v>1189</v>
      </c>
      <c r="F30" s="123"/>
      <c r="G30" s="1632" t="s">
        <v>2864</v>
      </c>
      <c r="H30" s="1633" t="str">
        <f>IF('C1'!B39&lt;&gt;0,'C1'!B39,"")</f>
        <v/>
      </c>
      <c r="I30" s="123"/>
      <c r="J30" s="1632" t="s">
        <v>2801</v>
      </c>
      <c r="K30" s="1649" t="str">
        <f>IF('C1'!B101&lt;&gt;0,'C1'!B101,"")</f>
        <v/>
      </c>
      <c r="L30" s="123"/>
      <c r="M30" s="1632" t="s">
        <v>2247</v>
      </c>
      <c r="N30" s="1633" t="str">
        <f>IF('C2'!B28&lt;&gt;0,'C2'!B28,"")</f>
        <v/>
      </c>
      <c r="O30" s="123"/>
      <c r="P30" s="1632" t="s">
        <v>1803</v>
      </c>
      <c r="Q30" s="1633" t="str">
        <f>IF('C2'!B77&lt;&gt;0,'C2'!B77,"")</f>
        <v/>
      </c>
      <c r="R30" s="123"/>
      <c r="S30" s="4047" t="s">
        <v>7416</v>
      </c>
      <c r="T30" s="4048" t="str">
        <f>IF('C3'!B29&lt;&gt;0,'C3'!B29,"")</f>
        <v/>
      </c>
      <c r="U30" s="123"/>
      <c r="V30" s="1632" t="s">
        <v>1801</v>
      </c>
      <c r="W30" s="1633">
        <f>IF('C3'!B71&lt;&gt;0,'C3'!B71,"")</f>
        <v>1500</v>
      </c>
      <c r="X30" s="123"/>
      <c r="Y30" s="1632" t="s">
        <v>1822</v>
      </c>
      <c r="Z30" s="1633" t="str">
        <f>IF('C3'!B124&lt;&gt;0,'C3'!B124,"")</f>
        <v/>
      </c>
      <c r="AA30" s="123"/>
      <c r="AB30" s="1632" t="s">
        <v>1803</v>
      </c>
      <c r="AC30" s="1633" t="str">
        <f>IF('C3'!B178&lt;&gt;0,'C3'!B178,"")</f>
        <v/>
      </c>
      <c r="AH30" s="1632" t="s">
        <v>1803</v>
      </c>
      <c r="AI30" s="1653" t="str">
        <f>IF('C4'!B29&lt;&gt;0,'C4'!B29,"")</f>
        <v/>
      </c>
      <c r="AK30" s="1632" t="s">
        <v>1803</v>
      </c>
      <c r="AL30" s="1663" t="str">
        <f>IF('C4'!B63&lt;&gt;0,'C4'!B63,"")</f>
        <v/>
      </c>
      <c r="AN30" s="1632" t="s">
        <v>1816</v>
      </c>
      <c r="AO30" s="1653" t="str">
        <f>IF('C4'!B117&lt;&gt;0,'C4'!B117,"")</f>
        <v/>
      </c>
      <c r="AQ30" s="1632" t="s">
        <v>3933</v>
      </c>
      <c r="AR30" s="1653" t="str">
        <f>IF('C5'!B28&lt;&gt;0,'C5'!B28,"")</f>
        <v/>
      </c>
      <c r="AT30" s="1652" t="s">
        <v>4086</v>
      </c>
      <c r="AU30" s="1633" t="str">
        <f>IF('C6'!B28&lt;&gt;0,'C6'!B28,"")</f>
        <v/>
      </c>
      <c r="AW30" s="1652">
        <v>26</v>
      </c>
      <c r="AX30" s="1633" t="str">
        <f>IF('C6'!B100&lt;&gt;0,'C6'!B100,"")</f>
        <v/>
      </c>
      <c r="BC30" s="1632" t="s">
        <v>1803</v>
      </c>
      <c r="BD30" s="1633" t="str">
        <f>IF('C8C9C10'!B29&lt;&gt;0,'C8C9C10'!B29,"")</f>
        <v/>
      </c>
      <c r="BF30" s="1632" t="s">
        <v>6593</v>
      </c>
      <c r="BG30" s="3115" t="str">
        <f>IF('C8C9C10'!B90&lt;&gt;"",'C8C9C10'!B90,"")</f>
        <v/>
      </c>
      <c r="BI30" s="547" t="s">
        <v>6355</v>
      </c>
      <c r="BJ30" s="123" t="str">
        <f>"Selected  = "&amp;NI1_IND-1</f>
        <v>Selected  = 3</v>
      </c>
    </row>
    <row ht="12.75" r="31" spans="1:62" thickBot="1" x14ac:dyDescent="0.25">
      <c r="A31" s="1632" t="s">
        <v>45</v>
      </c>
      <c r="B31" s="1649" t="str">
        <f>IF(C0!B35&lt;&gt;"",C0!B35,"")</f>
        <v/>
      </c>
      <c r="C31" s="123"/>
      <c r="D31" s="1631" t="s">
        <v>2867</v>
      </c>
      <c r="E31" s="1644" t="s">
        <v>1189</v>
      </c>
      <c r="F31" s="123"/>
      <c r="G31" s="565" t="s">
        <v>2867</v>
      </c>
      <c r="H31" s="1633" t="str">
        <f>IF('C1'!B40&lt;&gt;0,'C1'!B40,"")</f>
        <v/>
      </c>
      <c r="I31" s="123"/>
      <c r="J31" s="1632" t="s">
        <v>2804</v>
      </c>
      <c r="K31" s="1633" t="str">
        <f>IF('C1'!B102&lt;&gt;0,'C1'!B102,"")</f>
        <v/>
      </c>
      <c r="L31" s="123"/>
      <c r="M31" s="1632" t="s">
        <v>2250</v>
      </c>
      <c r="N31" s="1633" t="str">
        <f>IF('C2'!B29&lt;&gt;0,'C2'!B29,"")</f>
        <v/>
      </c>
      <c r="O31" s="123"/>
      <c r="P31" s="1632" t="s">
        <v>1805</v>
      </c>
      <c r="Q31" s="1633" t="str">
        <f>IF('C2'!B78&lt;&gt;0,'C2'!B78,"")</f>
        <v/>
      </c>
      <c r="R31" s="123"/>
      <c r="S31" s="1632" t="s">
        <v>1801</v>
      </c>
      <c r="T31" s="1633" t="str">
        <f>IF('C3'!B30&lt;&gt;0,'C3'!B30,"")</f>
        <v/>
      </c>
      <c r="U31" s="123"/>
      <c r="V31" s="1632" t="s">
        <v>1803</v>
      </c>
      <c r="W31" s="1633" t="str">
        <f>IF('C3'!B72&lt;&gt;0,'C3'!B72,"")</f>
        <v/>
      </c>
      <c r="X31" s="123"/>
      <c r="Y31" s="1632" t="s">
        <v>1824</v>
      </c>
      <c r="Z31" s="1633" t="str">
        <f>IF('C3'!B125&lt;&gt;0,'C3'!B125,"")</f>
        <v/>
      </c>
      <c r="AA31" s="123"/>
      <c r="AB31" s="1632" t="s">
        <v>1805</v>
      </c>
      <c r="AC31" s="1633" t="str">
        <f>IF('C3'!B179&lt;&gt;0,'C3'!B179,"")</f>
        <v/>
      </c>
      <c r="AH31" s="1632" t="s">
        <v>1805</v>
      </c>
      <c r="AI31" s="1653" t="str">
        <f>IF('C4'!B30&lt;&gt;0,'C4'!B30,"")</f>
        <v/>
      </c>
      <c r="AK31" s="1632" t="s">
        <v>1805</v>
      </c>
      <c r="AL31" s="1663" t="str">
        <f>IF('C4'!B64&lt;&gt;0,'C4'!B64,"")</f>
        <v/>
      </c>
      <c r="AN31" s="1632" t="s">
        <v>1818</v>
      </c>
      <c r="AO31" s="1653" t="str">
        <f>IF('C4'!B118&lt;&gt;0,'C4'!B118,"")</f>
        <v/>
      </c>
      <c r="AQ31" s="1632" t="s">
        <v>3936</v>
      </c>
      <c r="AR31" s="1653" t="str">
        <f>IF('C5'!B29&lt;&gt;0,'C5'!B29,"")</f>
        <v/>
      </c>
      <c r="AT31" s="1652" t="s">
        <v>4091</v>
      </c>
      <c r="AU31" s="1633" t="str">
        <f>IF('C6'!B29&lt;&gt;0,'C6'!B29,"")</f>
        <v/>
      </c>
      <c r="AW31" s="1652">
        <v>27</v>
      </c>
      <c r="AX31" s="1633" t="str">
        <f>IF('C6'!B101&lt;&gt;0,'C6'!B101,"")</f>
        <v/>
      </c>
      <c r="BC31" s="1632" t="s">
        <v>1805</v>
      </c>
      <c r="BD31" s="1649" t="str">
        <f>IF('C8C9C10'!B30&lt;&gt;0,'C8C9C10'!B30,"")</f>
        <v/>
      </c>
      <c r="BF31" s="1632" t="s">
        <v>1797</v>
      </c>
      <c r="BG31" s="1649" t="str">
        <f>IF('C8C9C10'!B91&lt;&gt;"",'C8C9C10'!B91,"")</f>
        <v/>
      </c>
      <c r="BI31" s="1841" t="s">
        <v>6452</v>
      </c>
      <c r="BJ31" s="1633">
        <f>IF('C2'!B94="",0,'C2'!B94)+IF('C2'!B97="",0,'C2'!B97)</f>
        <v>24622</v>
      </c>
    </row>
    <row ht="12.75" r="32" spans="1:62" thickBot="1" x14ac:dyDescent="0.25">
      <c r="C32" s="123"/>
      <c r="D32" s="1664" t="s">
        <v>2798</v>
      </c>
      <c r="E32" s="1644" t="s">
        <v>1189</v>
      </c>
      <c r="F32" s="123"/>
      <c r="G32" s="563" t="s">
        <v>2798</v>
      </c>
      <c r="H32" s="1633" t="str">
        <f>IF('C1'!B44&lt;&gt;0,'C1'!B44,"")</f>
        <v/>
      </c>
      <c r="I32" s="123"/>
      <c r="J32" s="1632" t="s">
        <v>851</v>
      </c>
      <c r="K32" s="1633" t="str">
        <f>IF('C1'!B103&lt;&gt;0,'C1'!B103,"")</f>
        <v/>
      </c>
      <c r="L32" s="123"/>
      <c r="M32" s="1632" t="s">
        <v>2253</v>
      </c>
      <c r="N32" s="1633" t="str">
        <f>IF('C2'!B30&lt;&gt;0,'C2'!B30,"")</f>
        <v/>
      </c>
      <c r="O32" s="123"/>
      <c r="P32" s="1632" t="s">
        <v>1807</v>
      </c>
      <c r="Q32" s="1633" t="str">
        <f>IF('C2'!B79&lt;&gt;0,'C2'!B79,"")</f>
        <v/>
      </c>
      <c r="R32" s="123"/>
      <c r="S32" s="1632" t="s">
        <v>1803</v>
      </c>
      <c r="T32" s="1633" t="str">
        <f>IF('C3'!B31&lt;&gt;0,'C3'!B31,"")</f>
        <v/>
      </c>
      <c r="U32" s="123"/>
      <c r="V32" s="1632" t="s">
        <v>1805</v>
      </c>
      <c r="W32" s="1633" t="str">
        <f>IF('C3'!B73&lt;&gt;0,'C3'!B73,"")</f>
        <v/>
      </c>
      <c r="X32" s="123"/>
      <c r="Y32" s="1632" t="s">
        <v>1826</v>
      </c>
      <c r="Z32" s="1633" t="str">
        <f>IF('C3'!B126&lt;&gt;0,'C3'!B126,"")</f>
        <v/>
      </c>
      <c r="AA32" s="123"/>
      <c r="AB32" s="1632" t="s">
        <v>1807</v>
      </c>
      <c r="AC32" s="1633" t="str">
        <f>IF('C3'!B180&lt;&gt;0,'C3'!B180,"")</f>
        <v/>
      </c>
      <c r="AH32" s="2269" t="s">
        <v>1807</v>
      </c>
      <c r="AI32" s="1653"/>
      <c r="AK32" s="1632" t="s">
        <v>1807</v>
      </c>
      <c r="AL32" s="1663" t="str">
        <f>IF('C4'!B65&lt;&gt;"",'C4'!B65,"")</f>
        <v/>
      </c>
      <c r="AN32" s="1632" t="s">
        <v>1820</v>
      </c>
      <c r="AO32" s="1653" t="str">
        <f>IF('C4'!B119&lt;&gt;0,'C4'!B119,"")</f>
        <v/>
      </c>
      <c r="AQ32" s="1632" t="s">
        <v>2864</v>
      </c>
      <c r="AR32" s="1653" t="str">
        <f>IF('C5'!B30&lt;&gt;0,'C5'!B30,"")</f>
        <v/>
      </c>
      <c r="AT32" s="1652" t="s">
        <v>4092</v>
      </c>
      <c r="AU32" s="1633" t="str">
        <f>IF('C6'!B30&lt;&gt;0,'C6'!B30,"")</f>
        <v/>
      </c>
      <c r="AW32" s="1652">
        <v>28</v>
      </c>
      <c r="AX32" s="1633" t="str">
        <f>IF('C6'!B102&lt;&gt;0,'C6'!B102,"")</f>
        <v/>
      </c>
      <c r="BC32" s="1632" t="s">
        <v>1807</v>
      </c>
      <c r="BD32" s="1633" t="str">
        <f>IF('C8C9C10'!B31&lt;&gt;0,'C8C9C10'!B31,"")</f>
        <v/>
      </c>
      <c r="BF32" s="1632" t="s">
        <v>1799</v>
      </c>
      <c r="BG32" s="1662" t="str">
        <f>IF('C8C9C10'!B92&lt;&gt;"",'C8C9C10'!B92,"")</f>
        <v/>
      </c>
      <c r="BI32" s="1842"/>
      <c r="BJ32" s="1633"/>
    </row>
    <row r="33" spans="1:62" x14ac:dyDescent="0.2">
      <c r="A33" s="965" t="s">
        <v>2845</v>
      </c>
      <c r="B33" s="966" t="str">
        <f>"Selected  = "&amp;SLR_ind-1</f>
        <v>Selected  = 3</v>
      </c>
      <c r="C33" s="123"/>
      <c r="D33" s="1664" t="s">
        <v>2801</v>
      </c>
      <c r="E33" s="1633"/>
      <c r="F33" s="123"/>
      <c r="G33" s="1632" t="s">
        <v>2801</v>
      </c>
      <c r="H33" s="1633" t="str">
        <f>IF('C1'!B45&lt;&gt;0,'C1'!B45,"")</f>
        <v/>
      </c>
      <c r="I33" s="123"/>
      <c r="J33" s="1632" t="s">
        <v>2278</v>
      </c>
      <c r="K33" s="1633" t="str">
        <f>IF('C1'!B104&lt;&gt;0,'C1'!B104,"")</f>
        <v/>
      </c>
      <c r="L33" s="123"/>
      <c r="M33" s="1632" t="s">
        <v>2256</v>
      </c>
      <c r="N33" s="1633" t="str">
        <f>IF('C2'!B31&lt;&gt;0,'C2'!B31,"")</f>
        <v/>
      </c>
      <c r="O33" s="123"/>
      <c r="P33" s="1632" t="s">
        <v>1809</v>
      </c>
      <c r="Q33" s="1633" t="str">
        <f>IF('C2'!B80&lt;&gt;0,'C2'!B80,"")</f>
        <v/>
      </c>
      <c r="R33" s="123"/>
      <c r="S33" s="1632" t="s">
        <v>1805</v>
      </c>
      <c r="T33" s="1633" t="str">
        <f>IF('C3'!B32&lt;&gt;0,'C3'!B32,"")</f>
        <v/>
      </c>
      <c r="U33" s="123"/>
      <c r="V33" s="1632" t="s">
        <v>1807</v>
      </c>
      <c r="W33" s="1633" t="str">
        <f>IF('C3'!B74&lt;&gt;0,'C3'!B74,"")</f>
        <v/>
      </c>
      <c r="X33" s="123"/>
      <c r="Y33" s="1632" t="s">
        <v>1828</v>
      </c>
      <c r="Z33" s="1633" t="str">
        <f>IF('C3'!B127&lt;&gt;0,'C3'!B127,"")</f>
        <v/>
      </c>
      <c r="AA33" s="123"/>
      <c r="AB33" s="1632" t="s">
        <v>1809</v>
      </c>
      <c r="AC33" s="1633" t="str">
        <f>IF('C3'!B181&lt;&gt;0,'C3'!B181,"")</f>
        <v/>
      </c>
      <c r="AH33" s="1632" t="s">
        <v>1809</v>
      </c>
      <c r="AI33" s="1653" t="str">
        <f>IF('C4'!B32&lt;&gt;0,'C4'!B32,"")</f>
        <v/>
      </c>
      <c r="AK33" s="1632" t="s">
        <v>1809</v>
      </c>
      <c r="AL33" s="1663" t="str">
        <f>IF('C4'!B66&lt;&gt;"",'C4'!B66,"")</f>
        <v/>
      </c>
      <c r="AN33" s="1632" t="s">
        <v>1822</v>
      </c>
      <c r="AO33" s="1653" t="str">
        <f>IF('C4'!B120&lt;&gt;0,'C4'!B120,"")</f>
        <v/>
      </c>
      <c r="AQ33" s="1632" t="s">
        <v>2867</v>
      </c>
      <c r="AR33" s="1653" t="str">
        <f>IF('C5'!B31&lt;&gt;0,'C5'!B31,"")</f>
        <v/>
      </c>
      <c r="AT33" s="1652" t="s">
        <v>4093</v>
      </c>
      <c r="AU33" s="1633" t="str">
        <f>IF('C6'!B31&lt;&gt;0,'C6'!B31,"")</f>
        <v/>
      </c>
      <c r="AW33" s="1652">
        <v>29</v>
      </c>
      <c r="AX33" s="1633" t="str">
        <f>IF('C6'!B103&lt;&gt;0,'C6'!B103,"")</f>
        <v/>
      </c>
      <c r="BC33" s="1632" t="s">
        <v>1809</v>
      </c>
      <c r="BD33" s="1633" t="str">
        <f>IF('C8C9C10'!B32&lt;&gt;0,'C8C9C10'!B32,"")</f>
        <v/>
      </c>
      <c r="BF33" s="1632" t="s">
        <v>1801</v>
      </c>
      <c r="BG33" s="1649" t="str">
        <f>IF('C8C9C10'!B93&lt;&gt;"",'C8C9C10'!B93,"")</f>
        <v/>
      </c>
      <c r="BI33" s="1919"/>
    </row>
    <row r="34" spans="1:62" x14ac:dyDescent="0.2">
      <c r="A34" s="1631" t="s">
        <v>952</v>
      </c>
      <c r="B34" s="1634" t="str">
        <f>IF(C0!B60&lt;&gt;"",C0!B60,"")</f>
        <v/>
      </c>
      <c r="C34" s="123"/>
      <c r="D34" s="1664" t="s">
        <v>2804</v>
      </c>
      <c r="E34" s="1633"/>
      <c r="F34" s="123"/>
      <c r="G34" s="1632" t="s">
        <v>2804</v>
      </c>
      <c r="H34" s="1633" t="str">
        <f>IF('C1'!B46&lt;&gt;0,'C1'!B46,"")</f>
        <v/>
      </c>
      <c r="I34" s="123"/>
      <c r="J34" s="1632" t="s">
        <v>1777</v>
      </c>
      <c r="K34" s="1633" t="str">
        <f>IF('C1'!B105&lt;&gt;0,'C1'!B105,"")</f>
        <v/>
      </c>
      <c r="L34" s="123"/>
      <c r="M34" s="1632" t="s">
        <v>2259</v>
      </c>
      <c r="N34" s="1633" t="str">
        <f>IF('C2'!B32&lt;&gt;0,'C2'!B32,"")</f>
        <v/>
      </c>
      <c r="O34" s="123"/>
      <c r="P34" s="1632" t="s">
        <v>1811</v>
      </c>
      <c r="Q34" s="1633" t="str">
        <f>IF('C2'!B81&lt;&gt;0,'C2'!B81,"")</f>
        <v/>
      </c>
      <c r="R34" s="123"/>
      <c r="S34" s="1632" t="s">
        <v>1807</v>
      </c>
      <c r="T34" s="1633" t="str">
        <f>IF('C3'!B33&lt;&gt;0,'C3'!B33,"")</f>
        <v/>
      </c>
      <c r="U34" s="123"/>
      <c r="V34" s="1632" t="s">
        <v>1809</v>
      </c>
      <c r="W34" s="1633">
        <f>IF('C3'!B75&lt;&gt;0,'C3'!B75,"")</f>
        <v>1500</v>
      </c>
      <c r="X34" s="123"/>
      <c r="Y34" s="1632" t="s">
        <v>1830</v>
      </c>
      <c r="Z34" s="1633" t="str">
        <f>IF('C3'!B128&lt;&gt;0,'C3'!B128,"")</f>
        <v/>
      </c>
      <c r="AA34" s="123"/>
      <c r="AB34" s="1632" t="s">
        <v>1811</v>
      </c>
      <c r="AC34" s="1633" t="str">
        <f>IF('C3'!B182&lt;&gt;0,'C3'!B182,"")</f>
        <v/>
      </c>
      <c r="AH34" s="1632" t="s">
        <v>1811</v>
      </c>
      <c r="AI34" s="1653" t="str">
        <f>IF('C4'!B33&lt;&gt;0,'C4'!B33,"")</f>
        <v/>
      </c>
      <c r="AK34" s="1632" t="s">
        <v>1811</v>
      </c>
      <c r="AL34" s="1663" t="str">
        <f>IF('C4'!B67&lt;&gt;0,'C4'!B67,"")</f>
        <v/>
      </c>
      <c r="AN34" s="1632" t="s">
        <v>1824</v>
      </c>
      <c r="AO34" s="1653" t="str">
        <f>IF('C4'!B121&lt;&gt;0,'C4'!B121,"")</f>
        <v/>
      </c>
      <c r="AQ34" s="1632" t="s">
        <v>2798</v>
      </c>
      <c r="AR34" s="1653" t="str">
        <f>IF('C5'!B32&lt;&gt;0,'C5'!B32,"")</f>
        <v/>
      </c>
      <c r="AT34" s="1652" t="s">
        <v>4094</v>
      </c>
      <c r="AU34" s="1633" t="str">
        <f>IF('C6'!B32&lt;&gt;0,'C6'!B32,"")</f>
        <v/>
      </c>
      <c r="AW34" s="1652">
        <v>30</v>
      </c>
      <c r="AX34" s="1633" t="str">
        <f>IF('C6'!B104&lt;&gt;0,'C6'!B104,"")</f>
        <v/>
      </c>
      <c r="BC34" s="1632" t="s">
        <v>1811</v>
      </c>
      <c r="BD34" s="1634" t="str">
        <f>IF('C8C9C10'!B33&lt;&gt;0,'C8C9C10'!B33,"")</f>
        <v/>
      </c>
      <c r="BF34" s="1632" t="s">
        <v>1803</v>
      </c>
      <c r="BG34" s="1662" t="str">
        <f>IF('C8C9C10'!B94&lt;&gt;"",'C8C9C10'!B94,"")</f>
        <v/>
      </c>
      <c r="BI34" s="1919"/>
    </row>
    <row ht="12.75" r="35" spans="1:62" thickBot="1" x14ac:dyDescent="0.25">
      <c r="A35" s="1918" t="s">
        <v>5906</v>
      </c>
      <c r="B35" s="1634" t="str">
        <f>IF(C0!B61&lt;&gt;"",C0!B61,"")</f>
        <v/>
      </c>
      <c r="C35" s="123"/>
      <c r="D35" s="1664" t="s">
        <v>851</v>
      </c>
      <c r="E35" s="1633"/>
      <c r="F35" s="123"/>
      <c r="G35" s="565" t="s">
        <v>851</v>
      </c>
      <c r="H35" s="1633" t="str">
        <f>IF('C1'!B47&lt;&gt;0,'C1'!B47,"")</f>
        <v/>
      </c>
      <c r="I35" s="123"/>
      <c r="J35" s="2269" t="s">
        <v>1780</v>
      </c>
      <c r="K35" s="1633"/>
      <c r="L35" s="123"/>
      <c r="M35" s="1632" t="s">
        <v>1715</v>
      </c>
      <c r="N35" s="1633" t="str">
        <f>IF('C2'!B33&lt;&gt;0,'C2'!B33,"")</f>
        <v/>
      </c>
      <c r="O35" s="123"/>
      <c r="P35" s="1632" t="s">
        <v>1813</v>
      </c>
      <c r="Q35" s="1633" t="str">
        <f>IF('C2'!B82&lt;&gt;0,'C2'!B82,"")</f>
        <v/>
      </c>
      <c r="R35" s="123"/>
      <c r="S35" s="1632" t="s">
        <v>1809</v>
      </c>
      <c r="T35" s="1633" t="str">
        <f>IF('C3'!B34&lt;&gt;0,'C3'!B34,"")</f>
        <v/>
      </c>
      <c r="U35" s="123"/>
      <c r="V35" s="1632" t="s">
        <v>1811</v>
      </c>
      <c r="W35" s="1633">
        <f>IF('C3'!B76&lt;&gt;0,'C3'!B76,"")</f>
        <v>60000</v>
      </c>
      <c r="X35" s="123"/>
      <c r="Y35" s="1632" t="s">
        <v>2370</v>
      </c>
      <c r="Z35" s="1633" t="str">
        <f>IF('C3'!B129&lt;&gt;0,'C3'!B129,"")</f>
        <v/>
      </c>
      <c r="AA35" s="123"/>
      <c r="AB35" s="1632" t="s">
        <v>1813</v>
      </c>
      <c r="AC35" s="1633" t="str">
        <f>IF('C3'!B183&lt;&gt;0,'C3'!B183,"")</f>
        <v/>
      </c>
      <c r="AH35" s="565" t="s">
        <v>1813</v>
      </c>
      <c r="AI35" s="1653" t="str">
        <f>IF('C4'!B34&lt;&gt;0,'C4'!B34,"")</f>
        <v/>
      </c>
      <c r="AK35" s="1632" t="s">
        <v>1813</v>
      </c>
      <c r="AL35" s="1663" t="str">
        <f>IF('C4'!B68&lt;&gt;"",'C4'!B68,"")</f>
        <v/>
      </c>
      <c r="AN35" s="565" t="s">
        <v>1826</v>
      </c>
      <c r="AO35" s="1653" t="str">
        <f>IF('C4'!B122&lt;&gt;0,'C4'!B122,"")</f>
        <v/>
      </c>
      <c r="AQ35" s="4046" t="s">
        <v>6492</v>
      </c>
      <c r="AR35" s="4057" t="str">
        <f>IF('C5'!B33&lt;&gt;0,'C5'!B33,"")</f>
        <v/>
      </c>
      <c r="AT35" s="1652" t="s">
        <v>4095</v>
      </c>
      <c r="AU35" s="1633" t="str">
        <f>IF('C6'!B33&lt;&gt;0,'C6'!B33,"")</f>
        <v/>
      </c>
      <c r="AW35" s="1652">
        <v>31</v>
      </c>
      <c r="AX35" s="1633" t="str">
        <f>IF('C6'!B105&lt;&gt;0,'C6'!B105,"")</f>
        <v/>
      </c>
      <c r="BC35" s="1632" t="s">
        <v>1813</v>
      </c>
      <c r="BD35" s="1633" t="str">
        <f>IF('C8C9C10'!B34&lt;&gt;0,'C8C9C10'!B34,"")</f>
        <v/>
      </c>
      <c r="BF35" s="1632" t="s">
        <v>1805</v>
      </c>
      <c r="BG35" s="1649" t="str">
        <f>IF('C8C9C10'!B95&lt;&gt;"",'C8C9C10'!B95,"")</f>
        <v/>
      </c>
      <c r="BI35" s="965"/>
    </row>
    <row ht="12.75" r="36" spans="1:62" thickBot="1" x14ac:dyDescent="0.25">
      <c r="A36" s="3263" t="s">
        <v>5906</v>
      </c>
      <c r="B36" s="3264" t="str">
        <f>IF(C0!B62&lt;&gt;"",C0!B62,"")</f>
        <v/>
      </c>
      <c r="C36" s="123"/>
      <c r="D36" s="1664" t="s">
        <v>2278</v>
      </c>
      <c r="E36" s="1633"/>
      <c r="F36" s="123"/>
      <c r="G36" s="565" t="s">
        <v>2278</v>
      </c>
      <c r="H36" s="1633" t="str">
        <f>IF('C1'!B48&lt;&gt;0,'C1'!B48,"")</f>
        <v/>
      </c>
      <c r="I36" s="123"/>
      <c r="J36" s="1632" t="s">
        <v>1783</v>
      </c>
      <c r="K36" s="1633" t="str">
        <f>IF('C1'!B107&lt;&gt;0,'C1'!B107,"")</f>
        <v/>
      </c>
      <c r="L36" s="123"/>
      <c r="M36" s="1632" t="s">
        <v>3933</v>
      </c>
      <c r="N36" s="1633" t="str">
        <f>IF('C2'!B34&lt;&gt;0,'C2'!B34,"")</f>
        <v/>
      </c>
      <c r="O36" s="123"/>
      <c r="P36" s="1632" t="s">
        <v>1815</v>
      </c>
      <c r="Q36" s="1633" t="str">
        <f>IF('C2'!B83&lt;&gt;0,'C2'!B83,"")</f>
        <v/>
      </c>
      <c r="R36" s="123"/>
      <c r="S36" s="1632" t="s">
        <v>1811</v>
      </c>
      <c r="T36" s="1633" t="str">
        <f>IF('C3'!B35&lt;&gt;0,'C3'!B35,"")</f>
        <v/>
      </c>
      <c r="U36" s="123"/>
      <c r="V36" s="1632" t="s">
        <v>1813</v>
      </c>
      <c r="W36" s="1633" t="str">
        <f>IF('C3'!B77&lt;&gt;0,'C3'!B77,"")</f>
        <v/>
      </c>
      <c r="X36" s="123"/>
      <c r="Y36" s="1632" t="s">
        <v>3110</v>
      </c>
      <c r="Z36" s="1633" t="str">
        <f>IF('C3'!B130&lt;&gt;0,'C3'!B130,"")</f>
        <v/>
      </c>
      <c r="AA36" s="123"/>
      <c r="AB36" s="1632" t="s">
        <v>1815</v>
      </c>
      <c r="AC36" s="1633" t="str">
        <f>IF('C3'!B184&lt;&gt;0,'C3'!B184,"")</f>
        <v/>
      </c>
      <c r="AK36" s="1632" t="s">
        <v>1815</v>
      </c>
      <c r="AL36" s="1663" t="str">
        <f>IF('C4'!B69&lt;&gt;0,'C4'!B69,"")</f>
        <v/>
      </c>
      <c r="AQ36" s="1632" t="s">
        <v>2801</v>
      </c>
      <c r="AR36" s="1653" t="str">
        <f>IF('C5'!B34&lt;&gt;0,'C5'!B34,"")</f>
        <v/>
      </c>
      <c r="AT36" s="1652" t="s">
        <v>4096</v>
      </c>
      <c r="AU36" s="1633" t="str">
        <f>IF('C6'!B34&lt;&gt;0,'C6'!B34,"")</f>
        <v/>
      </c>
      <c r="AW36" s="1652">
        <v>32</v>
      </c>
      <c r="AX36" s="1633" t="str">
        <f>IF('C6'!B106&lt;&gt;0,'C6'!B106,"")</f>
        <v/>
      </c>
      <c r="BC36" s="1632" t="s">
        <v>1815</v>
      </c>
      <c r="BD36" s="1633" t="str">
        <f>IF('C8C9C10'!B35&lt;&gt;0,'C8C9C10'!B35,"")</f>
        <v/>
      </c>
      <c r="BF36" s="1632" t="s">
        <v>1807</v>
      </c>
      <c r="BG36" s="1649" t="str">
        <f>IF('C8C9C10'!B96&lt;&gt;"",'C8C9C10'!B96,"")</f>
        <v/>
      </c>
      <c r="BI36" s="965"/>
    </row>
    <row r="37" spans="1:62" x14ac:dyDescent="0.2">
      <c r="A37" s="1664" t="s">
        <v>2247</v>
      </c>
      <c r="B37" s="1653" t="str">
        <f>IF(C0!B63&lt;&gt;"",C0!B63,"")</f>
        <v/>
      </c>
      <c r="C37" s="123"/>
      <c r="D37" s="1664" t="s">
        <v>1777</v>
      </c>
      <c r="E37" s="1633"/>
      <c r="F37" s="123"/>
      <c r="I37" s="123"/>
      <c r="J37" s="1632" t="s">
        <v>41</v>
      </c>
      <c r="K37" s="1633" t="str">
        <f>IF('C1'!B108&lt;&gt;0,'C1'!B108,"")</f>
        <v/>
      </c>
      <c r="L37" s="123"/>
      <c r="M37" s="4463" t="s">
        <v>3936</v>
      </c>
      <c r="N37" s="3264" t="s">
        <v>6437</v>
      </c>
      <c r="O37" s="123"/>
      <c r="P37" s="1632" t="s">
        <v>1817</v>
      </c>
      <c r="Q37" s="1633" t="str">
        <f>IF('C2'!B84&lt;&gt;0,'C2'!B84,"")</f>
        <v/>
      </c>
      <c r="R37" s="123"/>
      <c r="S37" s="1632" t="s">
        <v>1813</v>
      </c>
      <c r="T37" s="1633" t="str">
        <f>IF('C3'!B36&lt;&gt;0,'C3'!B36,"")</f>
        <v/>
      </c>
      <c r="U37" s="123"/>
      <c r="V37" s="1632" t="s">
        <v>1815</v>
      </c>
      <c r="W37" s="1633" t="str">
        <f>IF('C3'!B78&lt;&gt;0,'C3'!B78,"")</f>
        <v/>
      </c>
      <c r="X37" s="123"/>
      <c r="Y37" s="1632" t="s">
        <v>2246</v>
      </c>
      <c r="Z37" s="1633" t="str">
        <f>IF('C3'!B131&lt;&gt;0,'C3'!B131,"")</f>
        <v/>
      </c>
      <c r="AA37" s="123"/>
      <c r="AB37" s="1632" t="s">
        <v>1817</v>
      </c>
      <c r="AC37" s="1633" t="str">
        <f>IF('C3'!B185&lt;&gt;0,'C3'!B185,"")</f>
        <v/>
      </c>
      <c r="AK37" s="1632" t="s">
        <v>1817</v>
      </c>
      <c r="AL37" s="1663" t="str">
        <f>IF('C4'!B70&lt;&gt;"",'C4'!B70,"")</f>
        <v/>
      </c>
      <c r="AQ37" s="1632" t="s">
        <v>2804</v>
      </c>
      <c r="AR37" s="1653" t="str">
        <f>IF('C5'!B35&lt;&gt;0,'C5'!B35,"")</f>
        <v/>
      </c>
      <c r="AT37" s="1652" t="s">
        <v>4097</v>
      </c>
      <c r="AU37" s="1633" t="str">
        <f>IF('C6'!B35&lt;&gt;0,'C6'!B35,"")</f>
        <v/>
      </c>
      <c r="AW37" s="1652" t="s">
        <v>4076</v>
      </c>
      <c r="AX37" s="1633" t="str">
        <f>IF('C6'!B107&lt;&gt;0,'C6'!B107,"")</f>
        <v/>
      </c>
      <c r="BC37" s="1632" t="s">
        <v>1817</v>
      </c>
      <c r="BD37" s="1633" t="str">
        <f>IF('C8C9C10'!B36&lt;&gt;0,'C8C9C10'!B36,"")</f>
        <v/>
      </c>
      <c r="BF37" s="1632" t="s">
        <v>1809</v>
      </c>
      <c r="BG37" s="1649" t="str">
        <f>IF('C8C9C10'!B97&lt;&gt;"",'C8C9C10'!B97,"")</f>
        <v/>
      </c>
      <c r="BI37" s="965"/>
    </row>
    <row ht="12.75" r="38" spans="1:62" thickBot="1" x14ac:dyDescent="0.25">
      <c r="A38" s="1664" t="s">
        <v>2250</v>
      </c>
      <c r="B38" s="1649" t="str">
        <f>IF(C0!B64&lt;&gt;"",C0!B64,"")</f>
        <v/>
      </c>
      <c r="C38" s="123"/>
      <c r="D38" s="1664" t="s">
        <v>1780</v>
      </c>
      <c r="E38" s="1633"/>
      <c r="F38" s="123"/>
      <c r="G38" s="965" t="s">
        <v>3830</v>
      </c>
      <c r="H38" s="966" t="str">
        <f>"Selected  = "&amp;AOR_IND-1</f>
        <v>Selected  = 0</v>
      </c>
      <c r="I38" s="123"/>
      <c r="J38" s="1632" t="s">
        <v>43</v>
      </c>
      <c r="K38" s="1633" t="str">
        <f>IF('C1'!B109&lt;&gt;0,'C1'!B109,"")</f>
        <v/>
      </c>
      <c r="L38" s="123"/>
      <c r="M38" s="3389" t="s">
        <v>7714</v>
      </c>
      <c r="N38" s="1633" t="str">
        <f>IF('C2'!B36&lt;&gt;0,'C2'!B36,"")</f>
        <v/>
      </c>
      <c r="O38" s="123"/>
      <c r="P38" s="1632" t="s">
        <v>1819</v>
      </c>
      <c r="Q38" s="1633" t="str">
        <f>IF('C2'!B85&lt;&gt;0,'C2'!B85,"")</f>
        <v/>
      </c>
      <c r="R38" s="123"/>
      <c r="S38" s="1632" t="s">
        <v>1815</v>
      </c>
      <c r="T38" s="1633" t="str">
        <f>IF('C3'!B37&lt;&gt;0,'C3'!B37,"")</f>
        <v/>
      </c>
      <c r="U38" s="123"/>
      <c r="V38" s="1632" t="s">
        <v>1817</v>
      </c>
      <c r="W38" s="1633" t="str">
        <f>IF('C3'!B79&lt;&gt;0,'C3'!B79,"")</f>
        <v/>
      </c>
      <c r="X38" s="123"/>
      <c r="Y38" s="1632" t="s">
        <v>2249</v>
      </c>
      <c r="Z38" s="1633" t="str">
        <f>IF('C3'!B132&lt;&gt;0,'C3'!B132,"")</f>
        <v/>
      </c>
      <c r="AA38" s="123"/>
      <c r="AB38" s="1632" t="s">
        <v>1819</v>
      </c>
      <c r="AC38" s="1633" t="str">
        <f>IF('C3'!B186&lt;&gt;0,'C3'!B186,"")</f>
        <v/>
      </c>
      <c r="AK38" s="1632" t="s">
        <v>1819</v>
      </c>
      <c r="AL38" s="1663" t="str">
        <f>IF('C4'!B71&lt;&gt;"",'C4'!B71,"")</f>
        <v/>
      </c>
      <c r="AQ38" s="1632" t="s">
        <v>851</v>
      </c>
      <c r="AR38" s="1653" t="str">
        <f>IF('C5'!B36&lt;&gt;0,'C5'!B36,"")</f>
        <v/>
      </c>
      <c r="AT38" s="1652" t="s">
        <v>4098</v>
      </c>
      <c r="AU38" s="1633" t="str">
        <f>IF('C6'!B36&lt;&gt;0,'C6'!B36,"")</f>
        <v/>
      </c>
      <c r="AW38" s="1652" t="s">
        <v>4078</v>
      </c>
      <c r="AX38" s="1633" t="str">
        <f>IF('C6'!B108&lt;&gt;0,'C6'!B108,"")</f>
        <v/>
      </c>
      <c r="BC38" s="1632" t="s">
        <v>1819</v>
      </c>
      <c r="BD38" s="1633" t="str">
        <f>IF('C8C9C10'!B37&lt;&gt;0,'C8C9C10'!B37,"")</f>
        <v/>
      </c>
      <c r="BF38" s="1632" t="s">
        <v>1811</v>
      </c>
      <c r="BG38" s="1649" t="str">
        <f>IF('C8C9C10'!B98&lt;&gt;"",'C8C9C10'!B98,"")</f>
        <v/>
      </c>
      <c r="BI38" s="965"/>
    </row>
    <row r="39" spans="1:62" x14ac:dyDescent="0.2">
      <c r="C39" s="123"/>
      <c r="D39" s="1664" t="s">
        <v>1783</v>
      </c>
      <c r="E39" s="1633"/>
      <c r="F39" s="123"/>
      <c r="G39" s="563" t="s">
        <v>952</v>
      </c>
      <c r="H39" s="1633" t="str">
        <f>IF('C1'!B51&lt;&gt;0,'C1'!B51,"")</f>
        <v/>
      </c>
      <c r="I39" s="123"/>
      <c r="J39" s="1632" t="s">
        <v>45</v>
      </c>
      <c r="K39" s="1633" t="str">
        <f>IF('C1'!B110&lt;&gt;0,'C1'!B110,"")</f>
        <v/>
      </c>
      <c r="L39" s="123"/>
      <c r="M39" s="1632" t="s">
        <v>2864</v>
      </c>
      <c r="N39" s="1633" t="str">
        <f>IF('C2'!B37&lt;&gt;0,'C2'!B37,"")</f>
        <v/>
      </c>
      <c r="O39" s="123"/>
      <c r="P39" s="1632" t="s">
        <v>1821</v>
      </c>
      <c r="Q39" s="1633" t="str">
        <f>IF('C2'!B86&lt;&gt;0,'C2'!B86,"")</f>
        <v/>
      </c>
      <c r="R39" s="123"/>
      <c r="S39" s="1632" t="s">
        <v>1817</v>
      </c>
      <c r="T39" s="1633" t="str">
        <f>IF('C3'!B38&lt;&gt;0,'C3'!B38,"")</f>
        <v/>
      </c>
      <c r="U39" s="123"/>
      <c r="V39" s="1632" t="s">
        <v>1819</v>
      </c>
      <c r="W39" s="1633" t="str">
        <f>IF('C3'!B80&lt;&gt;0,'C3'!B80,"")</f>
        <v/>
      </c>
      <c r="X39" s="123"/>
      <c r="Y39" s="1632" t="s">
        <v>2252</v>
      </c>
      <c r="Z39" s="1633" t="str">
        <f>IF('C3'!B133&lt;&gt;0,'C3'!B133,"")</f>
        <v/>
      </c>
      <c r="AA39" s="123"/>
      <c r="AB39" s="1632" t="s">
        <v>1821</v>
      </c>
      <c r="AC39" s="1633" t="str">
        <f>IF('C3'!B187&lt;&gt;0,'C3'!B187,"")</f>
        <v/>
      </c>
      <c r="AK39" s="1632" t="s">
        <v>1821</v>
      </c>
      <c r="AL39" s="1663" t="str">
        <f>IF('C4'!B72&lt;&gt;"",'C4'!B72,"")</f>
        <v/>
      </c>
      <c r="AQ39" s="1632" t="s">
        <v>2278</v>
      </c>
      <c r="AR39" s="1653" t="str">
        <f>IF('C5'!B37&lt;&gt;0,'C5'!B37,"")</f>
        <v/>
      </c>
      <c r="AT39" s="1652" t="s">
        <v>4099</v>
      </c>
      <c r="AU39" s="1633" t="str">
        <f>IF('C6'!B37&lt;&gt;0,'C6'!B37,"")</f>
        <v/>
      </c>
      <c r="AW39" s="1652" t="s">
        <v>4080</v>
      </c>
      <c r="AX39" s="1633" t="str">
        <f>IF('C6'!B109&lt;&gt;0,'C6'!B109,"")</f>
        <v/>
      </c>
      <c r="BC39" s="1632" t="s">
        <v>1821</v>
      </c>
      <c r="BD39" s="1649" t="str">
        <f>IF('C8C9C10'!B38&lt;&gt;0,'C8C9C10'!B38,"")</f>
        <v/>
      </c>
      <c r="BF39" s="1632" t="s">
        <v>1813</v>
      </c>
      <c r="BG39" s="1649" t="str">
        <f>IF('C8C9C10'!B99&lt;&gt;"",'C8C9C10'!B99,"")</f>
        <v/>
      </c>
      <c r="BI39" s="965"/>
    </row>
    <row r="40" spans="1:62" x14ac:dyDescent="0.2">
      <c r="A40" s="965" t="s">
        <v>3023</v>
      </c>
      <c r="B40" s="966" t="str">
        <f>"Selected  = "&amp;CBC_Ind-1</f>
        <v>Selected  = 3</v>
      </c>
      <c r="C40" s="123"/>
      <c r="D40" s="1664" t="s">
        <v>41</v>
      </c>
      <c r="E40" s="1633" t="s">
        <v>7396</v>
      </c>
      <c r="F40" s="123"/>
      <c r="G40" s="1632" t="s">
        <v>2247</v>
      </c>
      <c r="H40" s="1633" t="str">
        <f>IF('C1'!B52&lt;&gt;0,'C1'!B52,"")</f>
        <v/>
      </c>
      <c r="I40" s="123"/>
      <c r="J40" s="1632" t="s">
        <v>47</v>
      </c>
      <c r="K40" s="1633" t="str">
        <f>IF('C1'!B111&lt;&gt;0,'C1'!B111,"")</f>
        <v/>
      </c>
      <c r="L40" s="123"/>
      <c r="M40" s="1632" t="s">
        <v>2867</v>
      </c>
      <c r="N40" s="1633" t="str">
        <f>IF('C2'!B38&lt;&gt;0,'C2'!B38,"")</f>
        <v/>
      </c>
      <c r="O40" s="123"/>
      <c r="P40" s="1632" t="s">
        <v>1823</v>
      </c>
      <c r="Q40" s="1633" t="str">
        <f>IF('C2'!B87&lt;&gt;0,'C2'!B87,"")</f>
        <v/>
      </c>
      <c r="R40" s="123"/>
      <c r="S40" s="1632" t="s">
        <v>1819</v>
      </c>
      <c r="T40" s="1633" t="str">
        <f>IF('C3'!B39&lt;&gt;0,'C3'!B39,"")</f>
        <v/>
      </c>
      <c r="U40" s="123"/>
      <c r="V40" s="1632" t="s">
        <v>1821</v>
      </c>
      <c r="W40" s="1633" t="str">
        <f>IF('C3'!B81&lt;&gt;0,'C3'!B81,"")</f>
        <v/>
      </c>
      <c r="X40" s="123"/>
      <c r="Y40" s="1632" t="s">
        <v>2255</v>
      </c>
      <c r="Z40" s="1633" t="str">
        <f>IF('C3'!B134&lt;&gt;0,'C3'!B134,"")</f>
        <v/>
      </c>
      <c r="AA40" s="123"/>
      <c r="AB40" s="1632" t="s">
        <v>1823</v>
      </c>
      <c r="AC40" s="1633" t="str">
        <f>IF('C3'!B188&lt;&gt;0,'C3'!B188,"")</f>
        <v/>
      </c>
      <c r="AK40" s="1632" t="s">
        <v>1823</v>
      </c>
      <c r="AL40" s="1663" t="str">
        <f>IF('C4'!B73&lt;&gt;"",'C4'!B73,"")</f>
        <v/>
      </c>
      <c r="AQ40" s="1632" t="s">
        <v>1777</v>
      </c>
      <c r="AR40" s="1653" t="str">
        <f>IF('C5'!B38&lt;&gt;0,'C5'!B38,"")</f>
        <v/>
      </c>
      <c r="AT40" s="1652" t="s">
        <v>4100</v>
      </c>
      <c r="AU40" s="1633" t="str">
        <f>IF('C6'!B38&lt;&gt;0,'C6'!B38,"")</f>
        <v/>
      </c>
      <c r="AW40" s="1652" t="s">
        <v>4118</v>
      </c>
      <c r="AX40" s="1633" t="str">
        <f>IF('C6'!B110&lt;&gt;0,'C6'!B110,"")</f>
        <v/>
      </c>
      <c r="BC40" s="1632" t="s">
        <v>1823</v>
      </c>
      <c r="BD40" s="1633" t="str">
        <f>IF('C8C9C10'!B39&lt;&gt;0,'C8C9C10'!B39,"")</f>
        <v/>
      </c>
      <c r="BF40" s="1632" t="s">
        <v>1815</v>
      </c>
      <c r="BG40" s="1649" t="str">
        <f>IF('C8C9C10'!B100&lt;&gt;"",'C8C9C10'!B100,"")</f>
        <v/>
      </c>
      <c r="BI40" s="965"/>
    </row>
    <row r="41" spans="1:62" x14ac:dyDescent="0.2">
      <c r="A41" s="1664" t="s">
        <v>952</v>
      </c>
      <c r="B41" s="1653" t="str">
        <f>IF(C0!B67&lt;&gt;"",C0!B67,"")</f>
        <v/>
      </c>
      <c r="C41" s="123"/>
      <c r="D41" s="1664" t="s">
        <v>43</v>
      </c>
      <c r="E41" s="1633"/>
      <c r="F41" s="123"/>
      <c r="G41" s="1632" t="s">
        <v>2250</v>
      </c>
      <c r="H41" s="1633" t="str">
        <f>IF('C1'!B53&lt;&gt;0,'C1'!B53,"")</f>
        <v/>
      </c>
      <c r="I41" s="123"/>
      <c r="J41" s="1632" t="s">
        <v>49</v>
      </c>
      <c r="K41" s="1634" t="str">
        <f>IF('C1'!B112&lt;&gt;0,'C1'!B112,"")</f>
        <v/>
      </c>
      <c r="L41" s="123"/>
      <c r="M41" s="1632" t="s">
        <v>2798</v>
      </c>
      <c r="N41" s="1633" t="str">
        <f>IF('C2'!B39&lt;&gt;0,'C2'!B39,"")</f>
        <v/>
      </c>
      <c r="O41" s="123"/>
      <c r="P41" s="1632" t="s">
        <v>1825</v>
      </c>
      <c r="Q41" s="1633" t="str">
        <f>IF('C2'!B88&lt;&gt;0,'C2'!B88,"")</f>
        <v/>
      </c>
      <c r="R41" s="123"/>
      <c r="S41" s="1632" t="s">
        <v>1821</v>
      </c>
      <c r="T41" s="1633" t="str">
        <f>IF('C3'!B40&lt;&gt;0,'C3'!B40,"")</f>
        <v/>
      </c>
      <c r="U41" s="123"/>
      <c r="V41" s="1632" t="s">
        <v>1823</v>
      </c>
      <c r="W41" s="1633" t="str">
        <f>IF('C3'!B82&lt;&gt;0,'C3'!B82,"")</f>
        <v/>
      </c>
      <c r="X41" s="123"/>
      <c r="Y41" s="1632" t="s">
        <v>2258</v>
      </c>
      <c r="Z41" s="1633" t="str">
        <f>IF('C3'!B135&lt;&gt;0,'C3'!B135,"")</f>
        <v/>
      </c>
      <c r="AA41" s="123"/>
      <c r="AB41" s="1632" t="s">
        <v>1825</v>
      </c>
      <c r="AC41" s="1633" t="str">
        <f>IF('C3'!B189&lt;&gt;0,'C3'!B189,"")</f>
        <v/>
      </c>
      <c r="AK41" s="1632" t="s">
        <v>1825</v>
      </c>
      <c r="AL41" s="1663" t="str">
        <f>IF('C4'!B74&lt;&gt;0,'C4'!B74,"")</f>
        <v/>
      </c>
      <c r="AQ41" s="1632" t="s">
        <v>1780</v>
      </c>
      <c r="AR41" s="1653" t="str">
        <f>IF('C5'!B39&lt;&gt;0,'C5'!B39,"")</f>
        <v/>
      </c>
      <c r="AT41" s="1652" t="s">
        <v>4101</v>
      </c>
      <c r="AU41" s="1633" t="str">
        <f>IF('C6'!B39&lt;&gt;0,'C6'!B39,"")</f>
        <v/>
      </c>
      <c r="AW41" s="1652" t="s">
        <v>4082</v>
      </c>
      <c r="AX41" s="1633" t="str">
        <f>IF('C6'!B111&lt;&gt;0,'C6'!B111,"")</f>
        <v/>
      </c>
      <c r="BC41" s="1632" t="s">
        <v>1825</v>
      </c>
      <c r="BD41" s="1633" t="str">
        <f>IF('C8C9C10'!B40&lt;&gt;0,'C8C9C10'!B40,"")</f>
        <v/>
      </c>
      <c r="BF41" s="1632" t="s">
        <v>1817</v>
      </c>
      <c r="BG41" s="1653" t="str">
        <f>IF('C8C9C10'!B101&lt;&gt;"",'C8C9C10'!B101,"")</f>
        <v/>
      </c>
      <c r="BI41" s="965"/>
    </row>
    <row ht="12.75" r="42" spans="1:62" thickBot="1" x14ac:dyDescent="0.25">
      <c r="A42" s="1664" t="s">
        <v>2247</v>
      </c>
      <c r="B42" s="1634" t="str">
        <f>IF(C0!B68&lt;&gt;"",C0!B68,"")</f>
        <v/>
      </c>
      <c r="C42" s="123"/>
      <c r="D42" s="1664" t="s">
        <v>45</v>
      </c>
      <c r="E42" s="1633"/>
      <c r="F42" s="123"/>
      <c r="G42" s="1632" t="s">
        <v>2253</v>
      </c>
      <c r="H42" s="1633" t="str">
        <f>IF('C1'!B54&lt;&gt;0,'C1'!B54,"")</f>
        <v/>
      </c>
      <c r="I42" s="123"/>
      <c r="J42" s="565" t="s">
        <v>1797</v>
      </c>
      <c r="K42" s="1634" t="str">
        <f>IF('C1'!B113&lt;&gt;0,'C1'!B113,"")</f>
        <v/>
      </c>
      <c r="L42" s="123"/>
      <c r="M42" s="1632" t="s">
        <v>2801</v>
      </c>
      <c r="N42" s="1633" t="str">
        <f>IF('C2'!B40&lt;&gt;0,'C2'!B40,"")</f>
        <v/>
      </c>
      <c r="O42" s="123"/>
      <c r="P42" s="565" t="s">
        <v>1827</v>
      </c>
      <c r="Q42" s="1633" t="str">
        <f>IF('C2'!B89&lt;&gt;0,'C2'!B89,"")</f>
        <v/>
      </c>
      <c r="R42" s="123"/>
      <c r="S42" s="1632" t="s">
        <v>1823</v>
      </c>
      <c r="T42" s="1633" t="str">
        <f>IF('C3'!B41&lt;&gt;0,'C3'!B41,"")</f>
        <v/>
      </c>
      <c r="U42" s="123"/>
      <c r="V42" s="1632" t="s">
        <v>1825</v>
      </c>
      <c r="W42" s="1633" t="str">
        <f>IF('C3'!B83&lt;&gt;0,'C3'!B83,"")</f>
        <v/>
      </c>
      <c r="X42" s="123"/>
      <c r="Y42" s="1632" t="s">
        <v>3932</v>
      </c>
      <c r="Z42" s="1633" t="str">
        <f>IF('C3'!B136&lt;&gt;0,'C3'!B136,"")</f>
        <v/>
      </c>
      <c r="AA42" s="123"/>
      <c r="AB42" s="1632" t="s">
        <v>1827</v>
      </c>
      <c r="AC42" s="1633" t="str">
        <f>IF('C3'!B190&lt;&gt;0,'C3'!B190,"")</f>
        <v/>
      </c>
      <c r="AK42" s="1632" t="s">
        <v>1827</v>
      </c>
      <c r="AL42" s="1663" t="str">
        <f>IF('C4'!B75&lt;&gt;0,'C4'!B75,"")</f>
        <v/>
      </c>
      <c r="AQ42" s="1632" t="s">
        <v>1783</v>
      </c>
      <c r="AR42" s="1649" t="str">
        <f>IF('C5'!B40&lt;&gt;"",'C5'!B40,"")</f>
        <v/>
      </c>
      <c r="AT42" s="1652" t="s">
        <v>4102</v>
      </c>
      <c r="AU42" s="1633" t="str">
        <f>IF('C6'!B40&lt;&gt;0,'C6'!B40,"")</f>
        <v/>
      </c>
      <c r="AW42" s="1652" t="s">
        <v>4084</v>
      </c>
      <c r="AX42" s="1633" t="str">
        <f>IF('C6'!B112&lt;&gt;0,'C6'!B112,"")</f>
        <v/>
      </c>
      <c r="BC42" s="1632" t="s">
        <v>1827</v>
      </c>
      <c r="BD42" s="1633" t="str">
        <f>IF('C8C9C10'!B41&lt;&gt;0,'C8C9C10'!B41,"")</f>
        <v/>
      </c>
      <c r="BF42" s="1632" t="s">
        <v>1819</v>
      </c>
      <c r="BG42" s="1653" t="str">
        <f>IF('C8C9C10'!B102&lt;&gt;"",'C8C9C10'!B102,"")</f>
        <v/>
      </c>
      <c r="BI42" s="965"/>
    </row>
    <row ht="12.75" r="43" spans="1:62" thickBot="1" x14ac:dyDescent="0.25">
      <c r="A43" s="1664" t="s">
        <v>2250</v>
      </c>
      <c r="B43" s="1662" t="str">
        <f>IF(C0!B69&lt;&gt;"",C0!B69,"")</f>
        <v/>
      </c>
      <c r="C43" s="123"/>
      <c r="D43" s="1664" t="s">
        <v>47</v>
      </c>
      <c r="E43" s="1644" t="s">
        <v>572</v>
      </c>
      <c r="F43" s="123"/>
      <c r="G43" s="1632" t="s">
        <v>2256</v>
      </c>
      <c r="H43" s="1633" t="str">
        <f>IF('C1'!B55&lt;&gt;0,'C1'!B55,"")</f>
        <v/>
      </c>
      <c r="I43" s="123"/>
      <c r="J43" s="123"/>
      <c r="K43" s="123"/>
      <c r="L43" s="123"/>
      <c r="M43" s="1632" t="s">
        <v>2804</v>
      </c>
      <c r="N43" s="1633" t="str">
        <f>IF('C2'!B41&lt;&gt;0,'C2'!B41,"")</f>
        <v/>
      </c>
      <c r="O43" s="123"/>
      <c r="P43" s="565" t="s">
        <v>6615</v>
      </c>
      <c r="Q43" s="1633">
        <f>IF('C2'!B97="","",'C2'!B97)</f>
        <v>0</v>
      </c>
      <c r="R43" s="123"/>
      <c r="S43" s="565" t="s">
        <v>1825</v>
      </c>
      <c r="T43" s="1633" t="str">
        <f>IF('C3'!B42&lt;&gt;0,'C3'!B42,"")</f>
        <v/>
      </c>
      <c r="U43" s="123"/>
      <c r="V43" s="1632" t="s">
        <v>1827</v>
      </c>
      <c r="W43" s="1633" t="str">
        <f>IF('C3'!B84&lt;&gt;0,'C3'!B84,"")</f>
        <v/>
      </c>
      <c r="X43" s="123"/>
      <c r="Y43" s="1632" t="s">
        <v>3935</v>
      </c>
      <c r="Z43" s="1633" t="str">
        <f>IF('C3'!B137&lt;&gt;0,'C3'!B137,"")</f>
        <v/>
      </c>
      <c r="AA43" s="123"/>
      <c r="AB43" s="1632" t="s">
        <v>1829</v>
      </c>
      <c r="AC43" s="1633" t="str">
        <f>IF('C3'!B191&lt;&gt;0,'C3'!B191,"")</f>
        <v/>
      </c>
      <c r="AK43" s="1632" t="s">
        <v>1829</v>
      </c>
      <c r="AL43" s="1663" t="str">
        <f>IF('C4'!B76&lt;&gt;"",'C4'!B76,"")</f>
        <v/>
      </c>
      <c r="AQ43" s="1632" t="s">
        <v>41</v>
      </c>
      <c r="AR43" s="1649" t="str">
        <f>IF('C5'!B41&lt;&gt;"",'C5'!B41,"")</f>
        <v/>
      </c>
      <c r="AT43" s="1652" t="s">
        <v>4103</v>
      </c>
      <c r="AU43" s="1633" t="str">
        <f>IF('C6'!B41&lt;&gt;0,'C6'!B41,"")</f>
        <v/>
      </c>
      <c r="AW43" s="1652" t="s">
        <v>4086</v>
      </c>
      <c r="AX43" s="1633" t="str">
        <f>IF('C6'!B113&lt;&gt;0,'C6'!B113,"")</f>
        <v/>
      </c>
      <c r="BC43" s="1632" t="s">
        <v>1829</v>
      </c>
      <c r="BD43" s="1633" t="str">
        <f>IF('C8C9C10'!B42&lt;&gt;0,'C8C9C10'!B42,"")</f>
        <v/>
      </c>
      <c r="BF43" s="1632" t="s">
        <v>1821</v>
      </c>
      <c r="BG43" s="1653" t="str">
        <f>IF('C8C9C10'!B103&lt;&gt;"",'C8C9C10'!B103,"")</f>
        <v/>
      </c>
      <c r="BI43" s="965"/>
    </row>
    <row r="44" spans="1:62" x14ac:dyDescent="0.2">
      <c r="C44" s="123"/>
      <c r="D44" s="1664" t="s">
        <v>49</v>
      </c>
      <c r="E44" s="1633"/>
      <c r="F44" s="123"/>
      <c r="G44" s="1632" t="s">
        <v>2259</v>
      </c>
      <c r="H44" s="1633" t="str">
        <f>IF('C1'!B56&lt;&gt;0,'C1'!B56,"")</f>
        <v/>
      </c>
      <c r="I44" s="123"/>
      <c r="J44" s="123"/>
      <c r="K44" s="123"/>
      <c r="L44" s="123"/>
      <c r="M44" s="1632" t="s">
        <v>851</v>
      </c>
      <c r="N44" s="1633" t="str">
        <f>IF('C2'!B42&lt;&gt;0,'C2'!B42,"")</f>
        <v/>
      </c>
      <c r="O44" s="123"/>
      <c r="R44" s="123"/>
      <c r="S44" s="123"/>
      <c r="T44" s="123"/>
      <c r="U44" s="123"/>
      <c r="V44" s="1632" t="s">
        <v>1829</v>
      </c>
      <c r="W44" s="1633" t="str">
        <f>IF('C3'!B85&lt;&gt;0,'C3'!B85,"")</f>
        <v/>
      </c>
      <c r="X44" s="123"/>
      <c r="Y44" s="1632" t="s">
        <v>2863</v>
      </c>
      <c r="Z44" s="1633" t="str">
        <f>IF('C3'!B138&lt;&gt;0,'C3'!B138,"")</f>
        <v/>
      </c>
      <c r="AA44" s="123"/>
      <c r="AB44" s="1632" t="s">
        <v>1831</v>
      </c>
      <c r="AC44" s="1633" t="str">
        <f>IF('C3'!B192&lt;&gt;0,'C3'!B192,"")</f>
        <v/>
      </c>
      <c r="AK44" s="1632" t="s">
        <v>1831</v>
      </c>
      <c r="AL44" s="1663" t="str">
        <f>IF('C4'!B77&lt;&gt;"",'C4'!B77,"")</f>
        <v/>
      </c>
      <c r="AQ44" s="1632" t="s">
        <v>43</v>
      </c>
      <c r="AR44" s="1653" t="str">
        <f>IF('C5'!B42&lt;&gt;0,'C5'!B42,"")</f>
        <v/>
      </c>
      <c r="AT44" s="1652" t="s">
        <v>4104</v>
      </c>
      <c r="AU44" s="1633" t="str">
        <f>IF('C6'!B42&lt;&gt;0,'C6'!B42,"")</f>
        <v/>
      </c>
      <c r="AW44" s="1652" t="s">
        <v>4119</v>
      </c>
      <c r="AX44" s="1633" t="str">
        <f>IF('C6'!B114&lt;&gt;0,'C6'!B114,"")</f>
        <v/>
      </c>
      <c r="BC44" s="1632" t="s">
        <v>1831</v>
      </c>
      <c r="BD44" s="1633" t="str">
        <f>IF('C8C9C10'!B43&lt;&gt;0,'C8C9C10'!B43,"")</f>
        <v/>
      </c>
      <c r="BF44" s="1632" t="s">
        <v>1823</v>
      </c>
      <c r="BG44" s="1649" t="str">
        <f>IF('C8C9C10'!B104&lt;&gt;"",'C8C9C10'!B104,"")</f>
        <v/>
      </c>
      <c r="BI44" s="965"/>
    </row>
    <row ht="12.75" r="45" spans="1:62" thickBot="1" x14ac:dyDescent="0.25">
      <c r="A45" s="965" t="s">
        <v>4225</v>
      </c>
      <c r="B45" s="966"/>
      <c r="C45" s="123"/>
      <c r="D45" s="1664" t="s">
        <v>1797</v>
      </c>
      <c r="E45" s="1633"/>
      <c r="F45" s="123"/>
      <c r="G45" s="1632" t="s">
        <v>3933</v>
      </c>
      <c r="H45" s="1633" t="str">
        <f>IF('C1'!B57&lt;&gt;0,'C1'!B57,"")</f>
        <v/>
      </c>
      <c r="I45" s="123"/>
      <c r="J45" s="123"/>
      <c r="K45" s="123"/>
      <c r="L45" s="123"/>
      <c r="M45" s="1632" t="s">
        <v>2278</v>
      </c>
      <c r="N45" s="1633" t="str">
        <f>IF('C2'!B43&lt;&gt;0,'C2'!B43,"")</f>
        <v/>
      </c>
      <c r="O45" s="123"/>
      <c r="P45" s="123"/>
      <c r="Q45" s="123"/>
      <c r="R45" s="123"/>
      <c r="S45" s="123"/>
      <c r="T45" s="123"/>
      <c r="U45" s="123"/>
      <c r="V45" s="1632" t="s">
        <v>1831</v>
      </c>
      <c r="W45" s="1633" t="str">
        <f>IF('C3'!B86&lt;&gt;0,'C3'!B86,"")</f>
        <v/>
      </c>
      <c r="X45" s="123"/>
      <c r="Y45" s="1632" t="s">
        <v>2866</v>
      </c>
      <c r="Z45" s="1633" t="str">
        <f>IF('C3'!B139&lt;&gt;0,'C3'!B139,"")</f>
        <v/>
      </c>
      <c r="AA45" s="123"/>
      <c r="AB45" s="1632" t="s">
        <v>3109</v>
      </c>
      <c r="AC45" s="1633" t="str">
        <f>IF('C3'!B193&lt;&gt;0,'C3'!B193,"")</f>
        <v/>
      </c>
      <c r="AK45" s="1632" t="s">
        <v>6557</v>
      </c>
      <c r="AL45" s="1663" t="str">
        <f>IF('C4'!B78&lt;&gt;"",'C4'!B78,"")</f>
        <v/>
      </c>
      <c r="AQ45" s="1632" t="s">
        <v>6576</v>
      </c>
      <c r="AR45" s="1663" t="str">
        <f>IF('C5'!B43&lt;&gt;0,'C5'!B43,"")</f>
        <v/>
      </c>
      <c r="AT45" s="1652" t="s">
        <v>4105</v>
      </c>
      <c r="AU45" s="1633" t="str">
        <f>IF('C6'!B43&lt;&gt;0,'C6'!B43,"")</f>
        <v/>
      </c>
      <c r="AW45" s="1652" t="s">
        <v>4092</v>
      </c>
      <c r="AX45" s="1633" t="str">
        <f>IF('C6'!B115&lt;&gt;0,'C6'!B115,"")</f>
        <v/>
      </c>
      <c r="BC45" s="1632" t="s">
        <v>3109</v>
      </c>
      <c r="BD45" s="1633" t="str">
        <f>IF('C8C9C10'!B44&lt;&gt;0,'C8C9C10'!B44,"")</f>
        <v/>
      </c>
      <c r="BF45" s="1632" t="s">
        <v>1825</v>
      </c>
      <c r="BG45" s="1653" t="str">
        <f>IF('C8C9C10'!B105&lt;&gt;"",'C8C9C10'!B105,"")</f>
        <v/>
      </c>
      <c r="BI45" s="965"/>
    </row>
    <row r="46" spans="1:62" x14ac:dyDescent="0.2">
      <c r="A46" s="563" t="s">
        <v>4244</v>
      </c>
      <c r="B46" s="1649" t="str">
        <f>IF(C0!B72&lt;&gt;"",C0!B72,"")</f>
        <v/>
      </c>
      <c r="C46" s="123"/>
      <c r="D46" s="1664" t="s">
        <v>1799</v>
      </c>
      <c r="E46" s="1633"/>
      <c r="F46" s="123"/>
      <c r="G46" s="1632" t="s">
        <v>3936</v>
      </c>
      <c r="H46" s="1633" t="str">
        <f>IF('C1'!B58&lt;&gt;0,'C1'!B58,"")</f>
        <v/>
      </c>
      <c r="I46" s="123"/>
      <c r="J46" s="965"/>
      <c r="K46" s="123"/>
      <c r="L46" s="123"/>
      <c r="M46" s="1632" t="s">
        <v>1777</v>
      </c>
      <c r="N46" s="1633" t="str">
        <f>IF('C2'!B44&lt;&gt;0,'C2'!B44,"")</f>
        <v/>
      </c>
      <c r="O46" s="123"/>
      <c r="P46" s="123"/>
      <c r="Q46" s="123"/>
      <c r="R46" s="123"/>
      <c r="S46" s="123"/>
      <c r="T46" s="123"/>
      <c r="U46" s="123"/>
      <c r="V46" s="1632" t="s">
        <v>3109</v>
      </c>
      <c r="W46" s="1633" t="str">
        <f>IF('C3'!B87&lt;&gt;0,'C3'!B87,"")</f>
        <v/>
      </c>
      <c r="X46" s="123"/>
      <c r="Y46" s="1632" t="s">
        <v>3895</v>
      </c>
      <c r="Z46" s="1633" t="str">
        <f>IF('C3'!B140&lt;&gt;0,'C3'!B140,"")</f>
        <v/>
      </c>
      <c r="AA46" s="123"/>
      <c r="AB46" s="1632" t="s">
        <v>2245</v>
      </c>
      <c r="AC46" s="1633" t="str">
        <f>IF('C3'!B194&lt;&gt;0,'C3'!B194,"")</f>
        <v/>
      </c>
      <c r="AK46" s="1632" t="s">
        <v>7414</v>
      </c>
      <c r="AL46" s="1663" t="str">
        <f>IF('C4'!B79&lt;&gt;"",'C4'!B79,"")</f>
        <v/>
      </c>
      <c r="AQ46" s="1632" t="s">
        <v>6575</v>
      </c>
      <c r="AR46" s="1663" t="str">
        <f>IF('C5'!B44&lt;&gt;"",'C5'!B44,"")</f>
        <v/>
      </c>
      <c r="AT46" s="1652" t="s">
        <v>4106</v>
      </c>
      <c r="AU46" s="1633" t="str">
        <f>IF('C6'!B44&lt;&gt;0,'C6'!B44,"")</f>
        <v/>
      </c>
      <c r="AW46" s="1652" t="s">
        <v>4094</v>
      </c>
      <c r="AX46" s="1633" t="str">
        <f>IF('C6'!B116&lt;&gt;0,'C6'!B116,"")</f>
        <v/>
      </c>
      <c r="BC46" s="1632" t="s">
        <v>2245</v>
      </c>
      <c r="BD46" s="1633" t="str">
        <f>IF('C8C9C10'!B45&lt;&gt;0,'C8C9C10'!B45,"")</f>
        <v/>
      </c>
      <c r="BF46" s="1632" t="s">
        <v>1827</v>
      </c>
      <c r="BG46" s="1649" t="str">
        <f>IF('C8C9C10'!B106&lt;&gt;"",'C8C9C10'!B106,"")</f>
        <v/>
      </c>
      <c r="BH46" s="98"/>
      <c r="BI46" s="562"/>
      <c r="BJ46" s="98"/>
    </row>
    <row ht="12.75" r="47" spans="1:62" thickBot="1" x14ac:dyDescent="0.25">
      <c r="A47" s="1632" t="s">
        <v>952</v>
      </c>
      <c r="B47" s="1649" t="str">
        <f>IF(C0!B73&lt;&gt;"",C0!B73,"")</f>
        <v/>
      </c>
      <c r="C47" s="123"/>
      <c r="D47" s="1664" t="s">
        <v>1801</v>
      </c>
      <c r="E47" s="1633"/>
      <c r="F47" s="123"/>
      <c r="G47" s="1632" t="s">
        <v>2864</v>
      </c>
      <c r="H47" s="1633" t="str">
        <f>IF('C1'!B59&lt;&gt;0,'C1'!B59,"")</f>
        <v/>
      </c>
      <c r="I47" s="123"/>
      <c r="J47" s="965"/>
      <c r="K47" s="123"/>
      <c r="L47" s="123"/>
      <c r="M47" s="1632" t="s">
        <v>1780</v>
      </c>
      <c r="N47" s="1633" t="str">
        <f>IF('C2'!B45&lt;&gt;0,'C2'!B45,"")</f>
        <v/>
      </c>
      <c r="O47" s="123"/>
      <c r="P47" s="123"/>
      <c r="Q47" s="123"/>
      <c r="R47" s="123"/>
      <c r="S47" s="123"/>
      <c r="T47" s="123"/>
      <c r="U47" s="123"/>
      <c r="V47" s="1632" t="s">
        <v>2245</v>
      </c>
      <c r="W47" s="1633" t="str">
        <f>IF('C3'!B88&lt;&gt;0,'C3'!B88,"")</f>
        <v/>
      </c>
      <c r="X47" s="123"/>
      <c r="Y47" s="1632" t="s">
        <v>2800</v>
      </c>
      <c r="Z47" s="1633">
        <f>IF('C3'!B141&lt;&gt;0,'C3'!B141,"")</f>
        <v>2600</v>
      </c>
      <c r="AA47" s="123"/>
      <c r="AB47" s="1632" t="s">
        <v>2248</v>
      </c>
      <c r="AC47" s="1633" t="str">
        <f>IF('C3'!B195&lt;&gt;0,'C3'!B195,"")</f>
        <v/>
      </c>
      <c r="AK47" s="565" t="s">
        <v>6446</v>
      </c>
      <c r="AL47" s="1653" t="str">
        <f>IF('C4'!B80&lt;&gt;0,'C4'!B80,"")</f>
        <v/>
      </c>
      <c r="AQ47" s="1632" t="s">
        <v>45</v>
      </c>
      <c r="AR47" s="1653" t="str">
        <f>IF('C5'!B45&lt;&gt;0,'C5'!B45,"")</f>
        <v/>
      </c>
      <c r="AT47" s="1652" t="s">
        <v>4107</v>
      </c>
      <c r="AU47" s="1633" t="str">
        <f>IF('C6'!B45&lt;&gt;0,'C6'!B45,"")</f>
        <v/>
      </c>
      <c r="AW47" s="1652" t="s">
        <v>4096</v>
      </c>
      <c r="AX47" s="1633" t="str">
        <f>IF('C6'!B117&lt;&gt;0,'C6'!B117,"")</f>
        <v/>
      </c>
      <c r="BC47" s="1632" t="s">
        <v>2248</v>
      </c>
      <c r="BD47" s="1633" t="str">
        <f>IF('C8C9C10'!B46&lt;&gt;0,'C8C9C10'!B46,"")</f>
        <v/>
      </c>
      <c r="BF47" s="565" t="s">
        <v>1829</v>
      </c>
      <c r="BG47" s="1649" t="str">
        <f>IF('C8C9C10'!B107&lt;&gt;"",'C8C9C10'!B107,"")</f>
        <v/>
      </c>
      <c r="BH47" s="98"/>
      <c r="BI47" s="562"/>
      <c r="BJ47" s="98"/>
    </row>
    <row r="48" spans="1:62" x14ac:dyDescent="0.2">
      <c r="A48" s="1632" t="s">
        <v>2247</v>
      </c>
      <c r="B48" s="1649" t="str">
        <f>IF(C0!B74&lt;&gt;"",C0!B74,"")</f>
        <v/>
      </c>
      <c r="G48" s="1632" t="s">
        <v>2867</v>
      </c>
      <c r="H48" s="1633" t="str">
        <f>IF('C1'!B60&lt;&gt;0,'C1'!B60,"")</f>
        <v/>
      </c>
      <c r="M48" s="1632" t="s">
        <v>1783</v>
      </c>
      <c r="N48" s="1633" t="str">
        <f>IF('C2'!B46&lt;&gt;0,'C2'!B46,"")</f>
        <v/>
      </c>
      <c r="V48" s="1632" t="s">
        <v>2248</v>
      </c>
      <c r="W48" s="1633" t="str">
        <f>IF('C3'!B89&lt;&gt;0,'C3'!B89,"")</f>
        <v/>
      </c>
      <c r="X48" s="123"/>
      <c r="Y48" s="1632" t="s">
        <v>2803</v>
      </c>
      <c r="Z48" s="1633">
        <f>IF('C3'!B142&lt;&gt;0,'C3'!B142,"")</f>
        <v>14900</v>
      </c>
      <c r="AB48" s="1632" t="s">
        <v>2251</v>
      </c>
      <c r="AC48" s="1633" t="str">
        <f>IF('C3'!B196&lt;&gt;0,'C3'!B196,"")</f>
        <v/>
      </c>
      <c r="AK48" s="1632" t="s">
        <v>3109</v>
      </c>
      <c r="AL48" s="1663" t="str">
        <f>IF('C4'!B81&lt;&gt;"",'C4'!B81,"")</f>
        <v/>
      </c>
      <c r="AQ48" s="1632" t="s">
        <v>47</v>
      </c>
      <c r="AR48" s="1653" t="str">
        <f>IF('C5'!B46&lt;&gt;0,'C5'!B46,"")</f>
        <v/>
      </c>
      <c r="AT48" s="1652" t="s">
        <v>4108</v>
      </c>
      <c r="AU48" s="1633" t="str">
        <f>IF('C6'!B46&lt;&gt;0,'C6'!B46,"")</f>
        <v/>
      </c>
      <c r="AW48" s="1652" t="s">
        <v>4120</v>
      </c>
      <c r="AX48" s="1633" t="str">
        <f>IF('C6'!B118&lt;&gt;0,'C6'!B118,"")</f>
        <v/>
      </c>
      <c r="BC48" s="1632" t="s">
        <v>2251</v>
      </c>
      <c r="BD48" s="1633" t="str">
        <f>IF('C8C9C10'!B47&lt;&gt;0,'C8C9C10'!B47,"")</f>
        <v/>
      </c>
    </row>
    <row r="49" spans="1:56" x14ac:dyDescent="0.2">
      <c r="A49" s="1632" t="s">
        <v>2250</v>
      </c>
      <c r="B49" s="1649" t="str">
        <f>IF(C0!B75&lt;&gt;"",C0!B75,"")</f>
        <v/>
      </c>
      <c r="G49" s="1632" t="s">
        <v>2798</v>
      </c>
      <c r="H49" s="1633" t="str">
        <f>IF('C1'!B61&lt;&gt;0,'C1'!B61,"")</f>
        <v/>
      </c>
      <c r="M49" s="1632" t="s">
        <v>41</v>
      </c>
      <c r="N49" s="1633" t="str">
        <f>IF('C2'!B47&lt;&gt;0,'C2'!B47,"")</f>
        <v/>
      </c>
      <c r="V49" s="1632" t="s">
        <v>2251</v>
      </c>
      <c r="W49" s="1633" t="str">
        <f>IF('C3'!B90&lt;&gt;0,'C3'!B90,"")</f>
        <v/>
      </c>
      <c r="X49" s="123"/>
      <c r="Y49" s="1632" t="s">
        <v>2806</v>
      </c>
      <c r="Z49" s="1633" t="str">
        <f>IF('C3'!B143&lt;&gt;0,'C3'!B143,"")</f>
        <v/>
      </c>
      <c r="AB49" s="1632" t="s">
        <v>2254</v>
      </c>
      <c r="AC49" s="1633" t="str">
        <f>IF('C3'!B197&lt;&gt;0,'C3'!B197,"")</f>
        <v/>
      </c>
      <c r="AK49" s="1632" t="s">
        <v>2245</v>
      </c>
      <c r="AL49" s="1663" t="str">
        <f>IF('C4'!B82&lt;&gt;"",'C4'!B82,"")</f>
        <v/>
      </c>
      <c r="AQ49" s="1632" t="s">
        <v>49</v>
      </c>
      <c r="AR49" s="1653" t="str">
        <f>IF('C5'!B47&lt;&gt;0,'C5'!B47,"")</f>
        <v/>
      </c>
      <c r="AT49" s="1652" t="s">
        <v>4109</v>
      </c>
      <c r="AU49" s="1633" t="str">
        <f>IF('C6'!B47&lt;&gt;0,'C6'!B47,"")</f>
        <v/>
      </c>
      <c r="AW49" s="1652" t="s">
        <v>4098</v>
      </c>
      <c r="AX49" s="1633" t="str">
        <f>IF('C6'!B119&lt;&gt;0,'C6'!B119,"")</f>
        <v/>
      </c>
      <c r="BC49" s="1632" t="s">
        <v>2254</v>
      </c>
      <c r="BD49" s="1633" t="str">
        <f>IF('C8C9C10'!B48&lt;&gt;0,'C8C9C10'!B48,"")</f>
        <v/>
      </c>
    </row>
    <row ht="12.75" r="50" spans="1:56" thickBot="1" x14ac:dyDescent="0.25">
      <c r="A50" s="1632" t="s">
        <v>2253</v>
      </c>
      <c r="B50" s="1662" t="str">
        <f>IF(C0!B76&lt;&gt;"",C0!B76,"")</f>
        <v/>
      </c>
      <c r="G50" s="565" t="s">
        <v>2801</v>
      </c>
      <c r="H50" s="1633" t="str">
        <f>IF('C1'!B62&lt;&gt;0,'C1'!B62,"")</f>
        <v/>
      </c>
      <c r="M50" s="565" t="s">
        <v>43</v>
      </c>
      <c r="N50" s="1633" t="str">
        <f>IF('C2'!B48&lt;&gt;0,'C2'!B48,"")</f>
        <v/>
      </c>
      <c r="V50" s="1632" t="s">
        <v>2254</v>
      </c>
      <c r="W50" s="1633" t="str">
        <f>IF('C3'!B91&lt;&gt;0,'C3'!B91,"")</f>
        <v/>
      </c>
      <c r="X50" s="123"/>
      <c r="Y50" s="1632" t="s">
        <v>2277</v>
      </c>
      <c r="Z50" s="1633" t="str">
        <f>IF('C3'!B144&lt;&gt;0,'C3'!B144,"")</f>
        <v/>
      </c>
      <c r="AB50" s="1632" t="s">
        <v>2257</v>
      </c>
      <c r="AC50" s="1633" t="str">
        <f>IF('C3'!B198&lt;&gt;0,'C3'!B198,"")</f>
        <v/>
      </c>
      <c r="AK50" s="1632" t="s">
        <v>2248</v>
      </c>
      <c r="AL50" s="1663" t="str">
        <f>IF('C4'!B83&lt;&gt;"",'C4'!B83,"")</f>
        <v/>
      </c>
      <c r="AQ50" s="1632" t="s">
        <v>1797</v>
      </c>
      <c r="AR50" s="1653" t="str">
        <f>IF('C5'!B48&lt;&gt;0,'C5'!B48,"")</f>
        <v/>
      </c>
      <c r="AT50" s="1652">
        <v>5</v>
      </c>
      <c r="AU50" s="1633" t="str">
        <f>IF('C6'!B48&lt;&gt;0,'C6'!B48,"")</f>
        <v/>
      </c>
      <c r="AW50" s="1652" t="s">
        <v>4100</v>
      </c>
      <c r="AX50" s="1633" t="str">
        <f>IF('C6'!B120&lt;&gt;0,'C6'!B120,"")</f>
        <v/>
      </c>
      <c r="BC50" s="1632" t="s">
        <v>2257</v>
      </c>
      <c r="BD50" s="1633" t="str">
        <f>IF('C8C9C10'!B49&lt;&gt;0,'C8C9C10'!B49,"")</f>
        <v/>
      </c>
    </row>
    <row ht="12.75" r="51" spans="1:56" thickBot="1" x14ac:dyDescent="0.25">
      <c r="A51" s="1632" t="s">
        <v>2256</v>
      </c>
      <c r="B51" s="1662" t="str">
        <f>IF(C0!B77&lt;&gt;"",C0!B77,"")</f>
        <v/>
      </c>
      <c r="M51" s="565" t="s">
        <v>6615</v>
      </c>
      <c r="N51" s="1633">
        <f>IF('C2'!B94="","",'C2'!B94)</f>
        <v>24622</v>
      </c>
      <c r="V51" s="1632" t="s">
        <v>2257</v>
      </c>
      <c r="W51" s="1633">
        <f>IF('C3'!B92&lt;&gt;0,'C3'!B92,"")</f>
        <v>14900</v>
      </c>
      <c r="X51" s="123"/>
      <c r="Y51" s="1632" t="s">
        <v>1674</v>
      </c>
      <c r="Z51" s="1633">
        <f>IF('C3'!B145&lt;&gt;0,'C3'!B145,"")</f>
        <v>17500</v>
      </c>
      <c r="AB51" s="1632" t="s">
        <v>2260</v>
      </c>
      <c r="AC51" s="1633" t="str">
        <f>IF('C3'!B199&lt;&gt;0,'C3'!B199,"")</f>
        <v/>
      </c>
      <c r="AK51" s="1632" t="s">
        <v>2251</v>
      </c>
      <c r="AL51" s="1663" t="str">
        <f>IF('C4'!B84&lt;&gt;0,'C4'!B84,"")</f>
        <v/>
      </c>
      <c r="AQ51" s="1632" t="s">
        <v>1799</v>
      </c>
      <c r="AR51" s="1653" t="str">
        <f>IF('C5'!B49&lt;&gt;0,'C5'!B49,"")</f>
        <v/>
      </c>
      <c r="AT51" s="1652">
        <v>6</v>
      </c>
      <c r="AU51" s="1633" t="str">
        <f>IF('C6'!B49&lt;&gt;0,'C6'!B49,"")</f>
        <v/>
      </c>
      <c r="AW51" s="1652" t="s">
        <v>4102</v>
      </c>
      <c r="AX51" s="1633" t="str">
        <f>IF('C6'!B121&lt;&gt;0,'C6'!B121,"")</f>
        <v/>
      </c>
      <c r="BC51" s="1632" t="s">
        <v>2260</v>
      </c>
      <c r="BD51" s="1633" t="str">
        <f>IF('C8C9C10'!B50&lt;&gt;0,'C8C9C10'!B50,"")</f>
        <v/>
      </c>
    </row>
    <row r="52" spans="1:56" x14ac:dyDescent="0.2">
      <c r="A52" s="1916" t="s">
        <v>6353</v>
      </c>
      <c r="B52" s="1649" t="str">
        <f>IF(C0!B78&lt;&gt;"",C0!B78,"")</f>
        <v>N</v>
      </c>
      <c r="V52" s="1632" t="s">
        <v>2260</v>
      </c>
      <c r="W52" s="1633" t="str">
        <f>IF('C3'!B93&lt;&gt;0,'C3'!B93,"")</f>
        <v/>
      </c>
      <c r="X52" s="123"/>
      <c r="Y52" s="1632" t="s">
        <v>1779</v>
      </c>
      <c r="Z52" s="1633" t="str">
        <f>IF('C3'!B146&lt;&gt;0,'C3'!B146,"")</f>
        <v>N</v>
      </c>
      <c r="AB52" s="1632" t="s">
        <v>3934</v>
      </c>
      <c r="AC52" s="1633" t="str">
        <f>IF('C3'!B200&lt;&gt;0,'C3'!B200,"")</f>
        <v/>
      </c>
      <c r="AK52" s="1632" t="s">
        <v>2254</v>
      </c>
      <c r="AL52" s="1663" t="str">
        <f>IF('C4'!B85&lt;&gt;"",'C4'!B85,"")</f>
        <v/>
      </c>
      <c r="AQ52" s="1632" t="s">
        <v>1801</v>
      </c>
      <c r="AR52" s="1653" t="str">
        <f>IF('C5'!B50&lt;&gt;0,'C5'!B50,"")</f>
        <v/>
      </c>
      <c r="AT52" s="2269">
        <v>7</v>
      </c>
      <c r="AU52" s="1633"/>
      <c r="AW52" s="1652" t="s">
        <v>4121</v>
      </c>
      <c r="AX52" s="1633" t="str">
        <f>IF('C6'!B122&lt;&gt;0,'C6'!B122,"")</f>
        <v/>
      </c>
      <c r="BC52" s="1632" t="s">
        <v>3934</v>
      </c>
      <c r="BD52" s="1633" t="str">
        <f>IF('C8C9C10'!B51&lt;&gt;0,'C8C9C10'!B51,"")</f>
        <v/>
      </c>
    </row>
    <row ht="12.75" r="53" spans="1:56" thickBot="1" x14ac:dyDescent="0.25">
      <c r="A53" s="1917" t="s">
        <v>6354</v>
      </c>
      <c r="B53" s="1649" t="str">
        <f>IF(C0!B79&lt;&gt;"",C0!B79,"")</f>
        <v>Y</v>
      </c>
      <c r="V53" s="1632" t="s">
        <v>3934</v>
      </c>
      <c r="W53" s="1633" t="str">
        <f>IF('C3'!B94&lt;&gt;0,'C3'!B94,"")</f>
        <v/>
      </c>
      <c r="X53" s="123"/>
      <c r="Y53" s="1632" t="s">
        <v>1782</v>
      </c>
      <c r="Z53" s="1633" t="str">
        <f>IF('C3'!B147&lt;&gt;0,'C3'!B147,"")</f>
        <v>N</v>
      </c>
      <c r="AB53" s="565" t="s">
        <v>2862</v>
      </c>
      <c r="AC53" s="1633" t="str">
        <f>IF('C3'!B201&lt;&gt;0,'C3'!B201,"")</f>
        <v/>
      </c>
      <c r="AK53" s="1632" t="s">
        <v>2257</v>
      </c>
      <c r="AL53" s="1663" t="str">
        <f>IF('C4'!B86&lt;&gt;"",'C4'!B86,"")</f>
        <v/>
      </c>
      <c r="AQ53" s="1632" t="s">
        <v>1803</v>
      </c>
      <c r="AR53" s="1653" t="str">
        <f>IF('C5'!B51&lt;&gt;0,'C5'!B51,"")</f>
        <v/>
      </c>
      <c r="AT53" s="1652" t="s">
        <v>4076</v>
      </c>
      <c r="AU53" s="1633" t="str">
        <f>IF('C6'!B50&lt;&gt;0,'C6'!B50,"")</f>
        <v/>
      </c>
      <c r="AW53" s="1652">
        <v>33</v>
      </c>
      <c r="AX53" s="1633" t="str">
        <f>IF('C6'!B123&lt;&gt;0,'C6'!B123,"")</f>
        <v/>
      </c>
      <c r="BC53" s="1632" t="s">
        <v>2862</v>
      </c>
      <c r="BD53" s="1633" t="str">
        <f>IF('C8C9C10'!B52&lt;&gt;0,'C8C9C10'!B52,"")</f>
        <v/>
      </c>
    </row>
    <row r="54" spans="1:56" x14ac:dyDescent="0.2">
      <c r="V54" s="1632" t="s">
        <v>2862</v>
      </c>
      <c r="W54" s="1633" t="str">
        <f>IF('C3'!B95&lt;&gt;0,'C3'!B95,"")</f>
        <v/>
      </c>
      <c r="X54" s="123"/>
      <c r="Y54" s="1632" t="s">
        <v>1673</v>
      </c>
      <c r="Z54" s="1633" t="str">
        <f>IF('C3'!B148&lt;&gt;0,'C3'!B148,"")</f>
        <v/>
      </c>
      <c r="AK54" s="1632" t="s">
        <v>2260</v>
      </c>
      <c r="AL54" s="1663" t="str">
        <f>IF('C4'!B87&lt;&gt;"",'C4'!B87,"")</f>
        <v/>
      </c>
      <c r="AQ54" s="1632" t="s">
        <v>1805</v>
      </c>
      <c r="AR54" s="1653" t="str">
        <f>IF('C5'!B52&lt;&gt;0,'C5'!B52,"")</f>
        <v/>
      </c>
      <c r="AT54" s="1652" t="s">
        <v>4077</v>
      </c>
      <c r="AU54" s="1633" t="str">
        <f>IF('C6'!B51&lt;&gt;0,'C6'!B51,"")</f>
        <v/>
      </c>
      <c r="AW54" s="1652">
        <v>34</v>
      </c>
      <c r="AX54" s="1633" t="str">
        <f>IF('C6'!B124&lt;&gt;0,'C6'!B124,"")</f>
        <v/>
      </c>
      <c r="BC54" s="1632" t="s">
        <v>2865</v>
      </c>
      <c r="BD54" s="1633" t="str">
        <f>IF('C8C9C10'!B53&lt;&gt;0,'C8C9C10'!B53,"")</f>
        <v/>
      </c>
    </row>
    <row ht="12.75" r="55" spans="1:56" thickBot="1" x14ac:dyDescent="0.25">
      <c r="V55" s="1632" t="s">
        <v>2865</v>
      </c>
      <c r="W55" s="1633" t="str">
        <f>IF('C3'!B96&lt;&gt;0,'C3'!B96,"")</f>
        <v/>
      </c>
      <c r="X55" s="123"/>
      <c r="Y55" s="565" t="s">
        <v>766</v>
      </c>
      <c r="Z55" s="1633" t="str">
        <f>IF('C3'!B149&lt;&gt;0,'C3'!B149,"")</f>
        <v/>
      </c>
      <c r="AK55" s="1632" t="s">
        <v>3934</v>
      </c>
      <c r="AL55" s="1663" t="str">
        <f>IF('C4'!B88&lt;&gt;0,'C4'!B88,"")</f>
        <v/>
      </c>
      <c r="AQ55" s="1632" t="s">
        <v>1807</v>
      </c>
      <c r="AR55" s="1653" t="str">
        <f>IF('C5'!B53&lt;&gt;0,'C5'!B53,"")</f>
        <v/>
      </c>
      <c r="AT55" s="1652" t="s">
        <v>4078</v>
      </c>
      <c r="AU55" s="1633" t="str">
        <f>IF('C6'!B52&lt;&gt;0,'C6'!B52,"")</f>
        <v/>
      </c>
      <c r="AW55" s="1652">
        <v>35</v>
      </c>
      <c r="AX55" s="1633" t="str">
        <f>IF('C6'!B125&lt;&gt;0,'C6'!B125,"")</f>
        <v/>
      </c>
      <c r="BC55" s="1632" t="s">
        <v>2868</v>
      </c>
      <c r="BD55" s="1633" t="str">
        <f>IF('C8C9C10'!B54&lt;&gt;0,'C8C9C10'!B54,"")</f>
        <v/>
      </c>
    </row>
    <row ht="12.75" r="56" spans="1:56" thickBot="1" x14ac:dyDescent="0.25">
      <c r="V56" s="565" t="s">
        <v>2868</v>
      </c>
      <c r="W56" s="1633" t="str">
        <f>IF('C3'!B97&lt;&gt;0,'C3'!B97,"")</f>
        <v/>
      </c>
      <c r="X56" s="123"/>
      <c r="AK56" s="1632" t="s">
        <v>2862</v>
      </c>
      <c r="AL56" s="1663" t="str">
        <f>IF('C4'!B89&lt;&gt;"",'C4'!B89,"")</f>
        <v/>
      </c>
      <c r="AQ56" s="1632" t="s">
        <v>1809</v>
      </c>
      <c r="AR56" s="1653" t="str">
        <f>IF('C5'!B54&lt;&gt;0,'C5'!B54,"")</f>
        <v/>
      </c>
      <c r="AT56" s="1652" t="s">
        <v>4110</v>
      </c>
      <c r="AU56" s="1633" t="str">
        <f>IF('C6'!B53&lt;&gt;0,'C6'!B53,"")</f>
        <v/>
      </c>
      <c r="AW56" s="1652">
        <v>36</v>
      </c>
      <c r="AX56" s="1633" t="str">
        <f>IF('C6'!B126&lt;&gt;0,'C6'!B126,"")</f>
        <v/>
      </c>
      <c r="BC56" s="3319" t="s">
        <v>7597</v>
      </c>
      <c r="BD56" s="3320" t="str">
        <f>IF('C8C9C10'!B55&lt;&gt;0,'C8C9C10'!B55,"")</f>
        <v/>
      </c>
    </row>
    <row ht="12.75" r="57" spans="1:56" thickBot="1" x14ac:dyDescent="0.25">
      <c r="W57" s="123"/>
      <c r="X57" s="123"/>
      <c r="Z57" s="123"/>
      <c r="AA57" s="123"/>
      <c r="AK57" s="565" t="s">
        <v>2865</v>
      </c>
      <c r="AL57" s="1663" t="str">
        <f>IF('C4'!B90&lt;&gt;0,'C4'!B90,"")</f>
        <v/>
      </c>
      <c r="AQ57" s="1632" t="s">
        <v>1811</v>
      </c>
      <c r="AR57" s="1653" t="str">
        <f>IF('C5'!B55&lt;&gt;0,'C5'!B55,"")</f>
        <v/>
      </c>
      <c r="AT57" s="1652" t="s">
        <v>4080</v>
      </c>
      <c r="AU57" s="1633" t="str">
        <f>IF('C6'!B54&lt;&gt;0,'C6'!B54,"")</f>
        <v/>
      </c>
      <c r="AW57" s="1652">
        <v>37</v>
      </c>
      <c r="AX57" s="1633" t="str">
        <f>IF('C6'!B127&lt;&gt;0,'C6'!B127,"")</f>
        <v/>
      </c>
      <c r="BC57" s="3319" t="s">
        <v>7593</v>
      </c>
      <c r="BD57" s="3320" t="str">
        <f>IF('C8C9C10'!B56&lt;&gt;0,'C8C9C10'!B56,"")</f>
        <v/>
      </c>
    </row>
    <row r="58" spans="1:56" x14ac:dyDescent="0.2">
      <c r="X58" s="123"/>
      <c r="Y58" s="123"/>
      <c r="AQ58" s="1632" t="s">
        <v>1813</v>
      </c>
      <c r="AR58" s="1653" t="str">
        <f>IF('C5'!B56&lt;&gt;0,'C5'!B56,"")</f>
        <v/>
      </c>
      <c r="AT58" s="1652" t="s">
        <v>4111</v>
      </c>
      <c r="AU58" s="1633" t="str">
        <f>IF('C6'!B55&lt;&gt;0,'C6'!B55,"")</f>
        <v/>
      </c>
      <c r="AW58" s="1652">
        <v>38</v>
      </c>
      <c r="AX58" s="1633" t="str">
        <f>IF('C6'!B128&lt;&gt;0,'C6'!B128,"")</f>
        <v/>
      </c>
      <c r="BC58" s="3319" t="s">
        <v>7594</v>
      </c>
      <c r="BD58" s="3320" t="str">
        <f>IF('C8C9C10'!B57&lt;&gt;0,'C8C9C10'!B57,"")</f>
        <v/>
      </c>
    </row>
    <row r="59" spans="1:56" x14ac:dyDescent="0.2">
      <c r="X59" s="123"/>
      <c r="AQ59" s="4060" t="s">
        <v>1815</v>
      </c>
      <c r="AR59" s="4061" t="str">
        <f>IF('C5'!B57&lt;&gt;0,'C5'!B57,"")</f>
        <v/>
      </c>
      <c r="AT59" s="1652">
        <v>8</v>
      </c>
      <c r="AU59" s="1633" t="str">
        <f>IF('C6'!B56&lt;&gt;0,'C6'!B56,"")</f>
        <v/>
      </c>
      <c r="AW59" s="1652">
        <v>39</v>
      </c>
      <c r="AX59" s="1633" t="str">
        <f>IF('C6'!B129&lt;&gt;0,'C6'!B129,"")</f>
        <v/>
      </c>
      <c r="BC59" s="3319" t="s">
        <v>7595</v>
      </c>
      <c r="BD59" s="3320" t="str">
        <f>IF('C8C9C10'!B58&lt;&gt;0,'C8C9C10'!B58,"")</f>
        <v/>
      </c>
    </row>
    <row r="60" spans="1:56" x14ac:dyDescent="0.2">
      <c r="AQ60" s="4062" t="s">
        <v>8500</v>
      </c>
      <c r="AR60" s="4063" t="str">
        <f>IF('C5'!B58&lt;&gt;0,'C5'!B58,"")</f>
        <v/>
      </c>
      <c r="AT60" s="1652">
        <v>9</v>
      </c>
      <c r="AU60" s="1633" t="str">
        <f>IF('C6'!B57&lt;&gt;0,'C6'!B57,"")</f>
        <v/>
      </c>
      <c r="AW60" s="1652">
        <v>40</v>
      </c>
      <c r="AX60" s="1633" t="str">
        <f>IF('C6'!B130&lt;&gt;0,'C6'!B130,"")</f>
        <v/>
      </c>
      <c r="BC60" s="3319" t="s">
        <v>7596</v>
      </c>
      <c r="BD60" s="3320" t="str">
        <f>IF('C8C9C10'!B59&lt;&gt;0,'C8C9C10'!B59,"")</f>
        <v/>
      </c>
    </row>
    <row r="61" spans="1:56" x14ac:dyDescent="0.2">
      <c r="AQ61" s="1632" t="s">
        <v>1817</v>
      </c>
      <c r="AR61" s="1653" t="str">
        <f>IF('C5'!B59&lt;&gt;0,'C5'!B59,"")</f>
        <v/>
      </c>
      <c r="AT61" s="1652" t="s">
        <v>4076</v>
      </c>
      <c r="AU61" s="1633" t="str">
        <f>IF('C6'!B58&lt;&gt;0,'C6'!B58,"")</f>
        <v/>
      </c>
      <c r="AW61" s="1652">
        <v>41</v>
      </c>
      <c r="AX61" s="1633" t="str">
        <f>IF('C6'!B131&lt;&gt;0,'C6'!B131,"")</f>
        <v/>
      </c>
      <c r="BC61" s="1632" t="s">
        <v>2799</v>
      </c>
      <c r="BD61" s="1633" t="str">
        <f>IF('C8C9C10'!B60&lt;&gt;0,'C8C9C10'!B60,"")</f>
        <v/>
      </c>
    </row>
    <row ht="12.75" r="62" spans="1:56" thickBot="1" x14ac:dyDescent="0.25">
      <c r="AQ62" s="1632" t="s">
        <v>1819</v>
      </c>
      <c r="AR62" s="1653" t="str">
        <f>IF('C5'!B60&lt;&gt;0,'C5'!B60,"")</f>
        <v/>
      </c>
      <c r="AT62" s="1652" t="s">
        <v>4077</v>
      </c>
      <c r="AU62" s="1633" t="str">
        <f>IF('C6'!B59&lt;&gt;0,'C6'!B59,"")</f>
        <v/>
      </c>
      <c r="AW62" s="1652">
        <v>42</v>
      </c>
      <c r="AX62" s="1633" t="str">
        <f>IF('C6'!B132&lt;&gt;0,'C6'!B132,"")</f>
        <v/>
      </c>
      <c r="BC62" s="565" t="s">
        <v>2802</v>
      </c>
      <c r="BD62" s="1633" t="str">
        <f>IF('C8C9C10'!B61&lt;&gt;0,'C8C9C10'!B61,"")</f>
        <v/>
      </c>
    </row>
    <row r="63" spans="1:56" x14ac:dyDescent="0.2">
      <c r="AQ63" s="1632" t="s">
        <v>1821</v>
      </c>
      <c r="AR63" s="1653" t="str">
        <f>IF('C5'!B61&lt;&gt;0,'C5'!B61,"")</f>
        <v/>
      </c>
      <c r="AT63" s="1652" t="s">
        <v>4078</v>
      </c>
      <c r="AU63" s="1633" t="str">
        <f>IF('C6'!B60&lt;&gt;0,'C6'!B60,"")</f>
        <v/>
      </c>
      <c r="AW63" s="1652">
        <v>43</v>
      </c>
      <c r="AX63" s="1633" t="str">
        <f>IF('C6'!B133&lt;&gt;0,'C6'!B133,"")</f>
        <v/>
      </c>
    </row>
    <row r="64" spans="1:56" x14ac:dyDescent="0.2">
      <c r="AQ64" s="1632" t="s">
        <v>1823</v>
      </c>
      <c r="AR64" s="1653" t="str">
        <f>IF('C5'!B62&lt;&gt;0,'C5'!B62,"")</f>
        <v/>
      </c>
      <c r="AT64" s="1652" t="s">
        <v>4112</v>
      </c>
      <c r="AU64" s="1633" t="str">
        <f>IF('C6'!B61&lt;&gt;0,'C6'!B61,"")</f>
        <v/>
      </c>
      <c r="AW64" s="1652">
        <v>44</v>
      </c>
      <c r="AX64" s="1634" t="str">
        <f>IF('C6'!B134&lt;&gt;0,'C6'!B134,"")</f>
        <v/>
      </c>
    </row>
    <row r="65" spans="1:62" x14ac:dyDescent="0.2">
      <c r="AQ65" s="1632" t="s">
        <v>1825</v>
      </c>
      <c r="AR65" s="1653" t="str">
        <f>IF('C5'!B63&lt;&gt;0,'C5'!B63,"")</f>
        <v/>
      </c>
      <c r="AT65" s="1652" t="s">
        <v>4080</v>
      </c>
      <c r="AU65" s="1633" t="str">
        <f>IF('C6'!B62&lt;&gt;0,'C6'!B62,"")</f>
        <v/>
      </c>
      <c r="AW65" s="1652">
        <v>45</v>
      </c>
      <c r="AX65" s="1633" t="str">
        <f>IF('C6'!B135&lt;&gt;0,'C6'!B135,"")</f>
        <v/>
      </c>
    </row>
    <row ht="12.75" r="66" spans="1:62" thickBot="1" x14ac:dyDescent="0.25">
      <c r="AQ66" s="1632" t="s">
        <v>1827</v>
      </c>
      <c r="AR66" s="1653" t="str">
        <f>IF('C5'!B64&lt;&gt;0,'C5'!B64,"")</f>
        <v/>
      </c>
      <c r="AT66" s="1652" t="s">
        <v>4113</v>
      </c>
      <c r="AU66" s="1633" t="str">
        <f>IF('C6'!B63&lt;&gt;0,'C6'!B63,"")</f>
        <v/>
      </c>
      <c r="AW66" s="1654">
        <v>46</v>
      </c>
      <c r="AX66" s="1633" t="str">
        <f>IF('C6'!B136&lt;&gt;0,'C6'!B136,"")</f>
        <v/>
      </c>
    </row>
    <row r="67" spans="1:62" x14ac:dyDescent="0.2">
      <c r="AQ67" s="1632" t="s">
        <v>1829</v>
      </c>
      <c r="AR67" s="1653" t="str">
        <f>IF('C5'!B65&lt;&gt;0,'C5'!B65,"")</f>
        <v/>
      </c>
      <c r="AT67" s="1652">
        <v>10</v>
      </c>
      <c r="AU67" s="1633" t="str">
        <f>IF('C6'!B64&lt;&gt;0,'C6'!B64,"")</f>
        <v/>
      </c>
    </row>
    <row r="68" spans="1:62" x14ac:dyDescent="0.2">
      <c r="AQ68" s="1632" t="s">
        <v>1831</v>
      </c>
      <c r="AR68" s="1653" t="str">
        <f>IF('C5'!B66&lt;&gt;0,'C5'!B66,"")</f>
        <v/>
      </c>
      <c r="AT68" s="1652">
        <v>11</v>
      </c>
      <c r="AU68" s="1633" t="str">
        <f>IF('C6'!B65&lt;&gt;0,'C6'!B65,"")</f>
        <v/>
      </c>
    </row>
    <row r="69" spans="1:62" x14ac:dyDescent="0.2">
      <c r="AQ69" s="1632" t="s">
        <v>3109</v>
      </c>
      <c r="AR69" s="1653" t="str">
        <f>IF('C5'!B67&lt;&gt;0,'C5'!B67,"")</f>
        <v/>
      </c>
      <c r="AT69" s="1652" t="s">
        <v>2738</v>
      </c>
      <c r="AU69" s="1633" t="str">
        <f>IF('C6'!B66&lt;&gt;0,'C6'!B66,"")</f>
        <v/>
      </c>
    </row>
    <row ht="12.75" r="70" spans="1:62" thickBot="1" x14ac:dyDescent="0.25">
      <c r="AQ70" s="565" t="s">
        <v>2245</v>
      </c>
      <c r="AR70" s="1653" t="str">
        <f>IF('C5'!B68&lt;&gt;0,'C5'!B68,"")</f>
        <v/>
      </c>
      <c r="AT70" s="1652" t="s">
        <v>2739</v>
      </c>
      <c r="AU70" s="1633" t="str">
        <f>IF('C6'!B67&lt;&gt;0,'C6'!B67,"")</f>
        <v/>
      </c>
    </row>
    <row ht="12.75" r="71" spans="1:62" thickBot="1" x14ac:dyDescent="0.25">
      <c r="AQ71" s="565" t="s">
        <v>2248</v>
      </c>
      <c r="AR71" s="1653" t="str">
        <f>IF('C5'!B69&lt;&gt;0,'C5'!B69,"")</f>
        <v/>
      </c>
      <c r="AT71" s="1652" t="s">
        <v>2740</v>
      </c>
      <c r="AU71" s="1633" t="str">
        <f>IF('C6'!B68&lt;&gt;0,'C6'!B68,"")</f>
        <v/>
      </c>
    </row>
    <row ht="12.75" r="72" spans="1:62" thickBot="1" x14ac:dyDescent="0.25">
      <c r="AQ72" s="565" t="s">
        <v>2251</v>
      </c>
      <c r="AR72" s="1663" t="str">
        <f>IF('C5'!B70&lt;&gt;0,'C5'!B70,"")</f>
        <v/>
      </c>
      <c r="AT72" s="1652" t="s">
        <v>2741</v>
      </c>
      <c r="AU72" s="1633" t="str">
        <f>IF('C6'!B69&lt;&gt;0,'C6'!B69,"")</f>
        <v/>
      </c>
    </row>
    <row r="73" spans="1:62" x14ac:dyDescent="0.2">
      <c r="AT73" s="1652" t="s">
        <v>2742</v>
      </c>
      <c r="AU73" s="1633" t="str">
        <f>IF('C6'!B70&lt;&gt;0,'C6'!B70,"")</f>
        <v/>
      </c>
    </row>
    <row r="74" spans="1:62" x14ac:dyDescent="0.2">
      <c r="AT74" s="1652" t="s">
        <v>2743</v>
      </c>
      <c r="AU74" s="1633" t="str">
        <f>IF('C6'!B71&lt;&gt;0,'C6'!B71,"")</f>
        <v/>
      </c>
    </row>
    <row r="75" spans="1:62" x14ac:dyDescent="0.2">
      <c r="AT75" s="1652">
        <v>12</v>
      </c>
      <c r="AU75" s="1633" t="str">
        <f>IF('C6'!B72&lt;&gt;0,'C6'!B72,"")</f>
        <v/>
      </c>
    </row>
    <row ht="12.75" r="76" spans="1:62" thickBot="1" x14ac:dyDescent="0.25">
      <c r="AT76" s="1654">
        <v>13</v>
      </c>
      <c r="AU76" s="1633" t="str">
        <f>IF('C6'!B73&lt;&gt;0,'C6'!B73,"")</f>
        <v/>
      </c>
    </row>
    <row r="78" spans="1:62" x14ac:dyDescent="0.2">
      <c r="A78" s="2066" t="s">
        <v>6602</v>
      </c>
      <c r="B78" s="2067"/>
      <c r="C78" s="2067"/>
      <c r="D78" s="2067"/>
      <c r="E78" s="2067"/>
      <c r="F78" s="2067"/>
      <c r="G78" s="2067"/>
      <c r="H78" s="2067"/>
      <c r="I78" s="2067"/>
      <c r="J78" s="2067"/>
      <c r="K78" s="2067"/>
      <c r="L78" s="2067"/>
      <c r="M78" s="2066"/>
      <c r="N78" s="2067"/>
      <c r="O78" s="2067"/>
      <c r="P78" s="2067"/>
      <c r="Q78" s="2067"/>
      <c r="R78" s="2067"/>
      <c r="S78" s="2067"/>
      <c r="T78" s="2067"/>
      <c r="U78" s="2067"/>
      <c r="V78" s="2067"/>
      <c r="W78" s="2067"/>
      <c r="X78" s="2067"/>
      <c r="Y78" s="2067"/>
      <c r="Z78" s="2067"/>
      <c r="AA78" s="2067"/>
      <c r="AB78" s="2068"/>
      <c r="AC78" s="2068"/>
      <c r="AD78" s="2068"/>
      <c r="AE78" s="2068"/>
      <c r="AF78" s="2068"/>
      <c r="AG78" s="2068"/>
      <c r="AH78" s="2068"/>
      <c r="AI78" s="2068"/>
      <c r="AJ78" s="2068"/>
      <c r="AK78" s="2068"/>
      <c r="AL78" s="2068"/>
      <c r="AM78" s="2068"/>
      <c r="AN78" s="2068"/>
      <c r="AO78" s="2068"/>
      <c r="AP78" s="2068"/>
      <c r="AQ78" s="2068"/>
      <c r="AR78" s="2068"/>
      <c r="AS78" s="2068"/>
      <c r="AT78" s="2068"/>
      <c r="AU78" s="2068"/>
      <c r="AV78" s="2068"/>
      <c r="AW78" s="2068"/>
      <c r="AX78" s="2068"/>
      <c r="AY78" s="2068"/>
      <c r="AZ78" s="2068"/>
      <c r="BA78" s="2068"/>
      <c r="BB78" s="2068"/>
      <c r="BC78" s="2068"/>
      <c r="BD78" s="2068"/>
      <c r="BE78" s="2068"/>
      <c r="BF78" s="2068"/>
      <c r="BG78" s="2068"/>
      <c r="BH78" s="2068"/>
      <c r="BI78" s="2066"/>
      <c r="BJ78" s="2068"/>
    </row>
    <row r="79" spans="1:62" x14ac:dyDescent="0.2">
      <c r="A79" s="547" t="s">
        <v>6603</v>
      </c>
    </row>
    <row r="80" spans="1:62" x14ac:dyDescent="0.2">
      <c r="A80" s="547" t="s">
        <v>6604</v>
      </c>
    </row>
    <row r="81" spans="1:1" x14ac:dyDescent="0.2">
      <c r="A81" s="547" t="s">
        <v>6605</v>
      </c>
    </row>
    <row r="82" spans="1:1" x14ac:dyDescent="0.2">
      <c r="A82" s="547" t="s">
        <v>6606</v>
      </c>
    </row>
    <row r="83" spans="1:1" x14ac:dyDescent="0.2">
      <c r="A83" s="547" t="s">
        <v>6607</v>
      </c>
    </row>
    <row r="84" spans="1:1" x14ac:dyDescent="0.2">
      <c r="A84" s="547" t="s">
        <v>6608</v>
      </c>
    </row>
    <row r="85" spans="1:1" x14ac:dyDescent="0.2">
      <c r="A85" s="547" t="s">
        <v>6609</v>
      </c>
    </row>
    <row r="86" spans="1:1" x14ac:dyDescent="0.2">
      <c r="A86" s="547" t="s">
        <v>6610</v>
      </c>
    </row>
    <row r="87" spans="1:1" x14ac:dyDescent="0.2">
      <c r="A87" s="547" t="s">
        <v>6609</v>
      </c>
    </row>
    <row r="88" spans="1:1" x14ac:dyDescent="0.2">
      <c r="A88" s="547" t="s">
        <v>6611</v>
      </c>
    </row>
    <row r="89" spans="1:1" x14ac:dyDescent="0.2">
      <c r="A89" s="547" t="s">
        <v>6612</v>
      </c>
    </row>
    <row r="90" spans="1:1" x14ac:dyDescent="0.2">
      <c r="A90" s="547" t="s">
        <v>6613</v>
      </c>
    </row>
  </sheetData>
  <phoneticPr fontId="67" type="noConversion"/>
  <pageMargins bottom="1" footer="0.5" header="0.5" left="0.75" right="0.75" top="1"/>
  <pageSetup orientation="portrait" paperSize="9" r:id="rId1"/>
  <headerFooter alignWithMargins="0"/>
</worksheet>
</file>

<file path=xl/worksheets/sheet9.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8">
    <tabColor rgb="FFFFC000"/>
  </sheetPr>
  <dimension ref="A1:BT168"/>
  <sheetViews>
    <sheetView showGridLines="0" workbookViewId="0" zoomScaleNormal="100">
      <pane activePane="bottomRight" state="frozen" topLeftCell="B35" xSplit="1" ySplit="1"/>
      <selection activeCell="C253" sqref="C253:C254"/>
      <selection activeCell="C253" pane="topRight" sqref="C253:C254"/>
      <selection activeCell="C253" pane="bottomLeft" sqref="C253:C254"/>
      <selection activeCell="C33" pane="bottomRight" sqref="C33"/>
    </sheetView>
  </sheetViews>
  <sheetFormatPr defaultColWidth="9.140625" defaultRowHeight="11.25" x14ac:dyDescent="0.2"/>
  <cols>
    <col min="1" max="1" customWidth="true" style="6" width="11.85546875" collapsed="true"/>
    <col min="2" max="3" customWidth="true" style="6" width="9.28515625" collapsed="true"/>
    <col min="4" max="4" customWidth="true" style="6" width="8.85546875" collapsed="true"/>
    <col min="5" max="5" style="6" width="9.140625" collapsed="true"/>
    <col min="6" max="6" customWidth="true" style="6" width="9.28515625" collapsed="true"/>
    <col min="7" max="7" customWidth="true" style="6" width="9.5703125" collapsed="true"/>
    <col min="8" max="8" customWidth="true" style="6" width="9.28515625" collapsed="true"/>
    <col min="9" max="9" customWidth="true" style="6" width="8.28515625" collapsed="true"/>
    <col min="10" max="10" customWidth="true" style="6" width="7.7109375" collapsed="true"/>
    <col min="11" max="14" customWidth="true" style="6" width="8.140625" collapsed="true"/>
    <col min="15" max="15" customWidth="true" style="6" width="8.85546875" collapsed="true"/>
    <col min="16" max="16" customWidth="true" style="6" width="7.7109375" collapsed="true"/>
    <col min="17" max="17" customWidth="true" style="6" width="8.5703125" collapsed="true"/>
    <col min="18" max="18" customWidth="true" style="6" width="9.7109375" collapsed="true"/>
    <col min="19" max="19" customWidth="true" style="6" width="9.28515625" collapsed="true"/>
    <col min="20" max="20" customWidth="true" style="6" width="10.28515625" collapsed="true"/>
    <col min="21" max="21" customWidth="true" style="6" width="8.7109375" collapsed="true"/>
    <col min="22" max="22" customWidth="true" style="6" width="8.85546875" collapsed="true"/>
    <col min="23" max="23" customWidth="true" style="6" width="8.42578125" collapsed="true"/>
    <col min="24" max="16384" style="6" width="9.140625" collapsed="true"/>
  </cols>
  <sheetData>
    <row r="1" spans="1:71" x14ac:dyDescent="0.2">
      <c r="A1" s="48">
        <v>1</v>
      </c>
      <c r="B1" s="48">
        <v>2</v>
      </c>
      <c r="C1" s="48">
        <v>3</v>
      </c>
      <c r="D1" s="48">
        <v>4</v>
      </c>
      <c r="E1" s="48">
        <v>5</v>
      </c>
      <c r="F1" s="48">
        <v>6</v>
      </c>
      <c r="G1" s="48">
        <v>7</v>
      </c>
      <c r="H1" s="48">
        <v>8</v>
      </c>
      <c r="I1" s="48">
        <v>9</v>
      </c>
      <c r="J1" s="48">
        <v>10</v>
      </c>
      <c r="K1" s="48">
        <v>11</v>
      </c>
      <c r="L1" s="41">
        <v>12</v>
      </c>
      <c r="M1" s="41">
        <v>13</v>
      </c>
      <c r="N1" s="41">
        <v>14</v>
      </c>
      <c r="O1" s="41">
        <v>15</v>
      </c>
      <c r="P1" s="41">
        <v>16</v>
      </c>
      <c r="Q1" s="41">
        <v>17</v>
      </c>
      <c r="R1" s="41">
        <v>18</v>
      </c>
      <c r="S1" s="41">
        <v>19</v>
      </c>
      <c r="T1" s="41">
        <v>20</v>
      </c>
      <c r="U1" s="41">
        <v>21</v>
      </c>
      <c r="V1" s="41">
        <v>22</v>
      </c>
      <c r="W1" s="41">
        <v>23</v>
      </c>
      <c r="X1" s="41">
        <v>24</v>
      </c>
      <c r="Y1" s="41">
        <v>25</v>
      </c>
      <c r="Z1" s="41">
        <v>26</v>
      </c>
      <c r="AA1" s="41">
        <v>27</v>
      </c>
      <c r="AB1" s="41">
        <v>28</v>
      </c>
      <c r="AC1" s="41">
        <v>29</v>
      </c>
      <c r="AD1" s="41">
        <v>30</v>
      </c>
      <c r="AE1" s="41">
        <v>31</v>
      </c>
      <c r="AF1" s="41">
        <v>32</v>
      </c>
      <c r="AG1" s="41">
        <v>33</v>
      </c>
      <c r="AH1" s="41">
        <v>34</v>
      </c>
      <c r="AI1" s="41">
        <v>35</v>
      </c>
      <c r="AJ1" s="41">
        <v>36</v>
      </c>
      <c r="AK1" s="41">
        <v>37</v>
      </c>
      <c r="AL1" s="41">
        <v>38</v>
      </c>
      <c r="AM1" s="41">
        <v>39</v>
      </c>
      <c r="AN1" s="41">
        <v>40</v>
      </c>
      <c r="AO1" s="41">
        <v>41</v>
      </c>
      <c r="AP1" s="41">
        <v>42</v>
      </c>
      <c r="AQ1" s="41">
        <v>43</v>
      </c>
      <c r="AR1" s="41">
        <v>44</v>
      </c>
      <c r="AS1" s="41">
        <v>45</v>
      </c>
      <c r="AT1" s="41">
        <v>46</v>
      </c>
      <c r="AU1" s="41">
        <v>47</v>
      </c>
      <c r="AV1" s="41">
        <v>48</v>
      </c>
      <c r="AW1" s="41">
        <v>49</v>
      </c>
      <c r="AX1" s="41">
        <v>50</v>
      </c>
      <c r="AY1" s="41">
        <v>51</v>
      </c>
      <c r="AZ1" s="41">
        <v>52</v>
      </c>
      <c r="BA1" s="41">
        <v>53</v>
      </c>
      <c r="BB1" s="41">
        <v>54</v>
      </c>
      <c r="BC1" s="41">
        <v>55</v>
      </c>
      <c r="BD1" s="41">
        <v>56</v>
      </c>
      <c r="BE1" s="41">
        <v>57</v>
      </c>
      <c r="BF1" s="41">
        <v>58</v>
      </c>
      <c r="BG1" s="41">
        <v>59</v>
      </c>
      <c r="BH1" s="41">
        <v>60</v>
      </c>
      <c r="BI1" s="41">
        <v>61</v>
      </c>
      <c r="BJ1" s="41">
        <v>62</v>
      </c>
      <c r="BK1" s="41">
        <v>63</v>
      </c>
      <c r="BL1" s="41">
        <v>64</v>
      </c>
      <c r="BM1" s="41">
        <v>65</v>
      </c>
      <c r="BN1" s="41">
        <v>66</v>
      </c>
      <c r="BO1" s="41">
        <v>67</v>
      </c>
      <c r="BP1" s="41">
        <v>68</v>
      </c>
      <c r="BQ1" s="41">
        <v>69</v>
      </c>
      <c r="BR1" s="41">
        <v>70</v>
      </c>
      <c r="BS1" s="41">
        <v>71</v>
      </c>
    </row>
    <row customFormat="1" r="2" s="556" spans="1:71" x14ac:dyDescent="0.2">
      <c r="A2" s="554" t="s">
        <v>900</v>
      </c>
      <c r="B2" s="555" t="b">
        <f>OR(A97&gt;1,A101&gt;1,A105&gt;1,A109&gt;1,A113&gt;1)</f>
        <v>1</v>
      </c>
      <c r="V2" s="557"/>
      <c r="W2" s="557"/>
    </row>
    <row customFormat="1" r="3" s="556" spans="1:71" x14ac:dyDescent="0.2">
      <c r="A3" s="554" t="s">
        <v>3947</v>
      </c>
      <c r="B3" s="555" t="b">
        <f>OR(A85&gt;1,A89&gt;1,A93&gt;1,B16&lt;&gt;"",E16&lt;&gt;"" )</f>
        <v>1</v>
      </c>
      <c r="V3" s="557"/>
      <c r="W3" s="557"/>
    </row>
    <row customFormat="1" r="4" s="556" spans="1:71" x14ac:dyDescent="0.2">
      <c r="A4" s="558" t="s">
        <v>3291</v>
      </c>
      <c r="B4" s="558" t="b">
        <v>0</v>
      </c>
      <c r="M4" s="559"/>
      <c r="N4" s="559"/>
      <c r="O4" s="559"/>
      <c r="P4" s="557"/>
      <c r="Q4" s="557"/>
      <c r="R4" s="557"/>
      <c r="S4" s="557"/>
      <c r="T4" s="557"/>
      <c r="U4" s="557"/>
      <c r="V4" s="557"/>
      <c r="W4" s="557"/>
    </row>
    <row r="5" spans="1:71" x14ac:dyDescent="0.2">
      <c r="A5" s="464">
        <v>4</v>
      </c>
      <c r="B5" s="466" t="str">
        <f>YPD&amp;'INC(1)'!C4</f>
        <v>YPD1</v>
      </c>
      <c r="C5" s="470" t="str">
        <f>YPD&amp;'INC(1)'!C7</f>
        <v>YPDTR</v>
      </c>
      <c r="D5" s="463"/>
      <c r="E5" s="463"/>
      <c r="F5" s="463"/>
      <c r="G5" s="463"/>
      <c r="H5" s="463"/>
      <c r="I5" s="463"/>
      <c r="J5" s="463"/>
      <c r="K5" s="463"/>
      <c r="L5" s="463"/>
      <c r="M5" s="463"/>
      <c r="N5" s="463"/>
      <c r="O5" s="463"/>
      <c r="P5" s="463"/>
      <c r="Q5" s="463"/>
      <c r="R5" s="463"/>
      <c r="S5" s="463"/>
      <c r="T5" s="463"/>
      <c r="U5" s="463"/>
      <c r="V5" s="463"/>
    </row>
    <row r="6" spans="1:71" x14ac:dyDescent="0.2">
      <c r="A6" s="43" t="s">
        <v>3640</v>
      </c>
      <c r="B6" s="10" t="s">
        <v>5062</v>
      </c>
      <c r="C6" s="20" t="s">
        <v>5823</v>
      </c>
      <c r="D6" s="463"/>
      <c r="E6" s="463"/>
      <c r="F6" s="463"/>
      <c r="G6" s="463"/>
      <c r="H6" s="463"/>
      <c r="I6" s="463"/>
      <c r="J6" s="463"/>
      <c r="K6" s="463"/>
      <c r="L6" s="463"/>
      <c r="M6" s="463"/>
      <c r="N6" s="463"/>
      <c r="O6" s="463"/>
      <c r="P6" s="463"/>
      <c r="Q6" s="463"/>
      <c r="R6" s="463"/>
      <c r="S6" s="463"/>
      <c r="T6" s="463"/>
      <c r="U6" s="463"/>
      <c r="V6" s="463"/>
    </row>
    <row r="7" spans="1:71" x14ac:dyDescent="0.2">
      <c r="A7" s="991">
        <v>3</v>
      </c>
      <c r="B7" s="10">
        <v>2</v>
      </c>
      <c r="C7" s="20">
        <v>1</v>
      </c>
      <c r="D7" s="463"/>
      <c r="E7" s="463"/>
      <c r="U7" s="463"/>
      <c r="V7" s="463"/>
    </row>
    <row r="8" spans="1:71" x14ac:dyDescent="0.2">
      <c r="A8" s="45"/>
      <c r="B8" s="11">
        <f>IF(Selector!A24=1,Selector!A24,2)</f>
        <v>2</v>
      </c>
      <c r="C8" s="21">
        <f>C0!B8</f>
        <v>2</v>
      </c>
      <c r="D8" s="463"/>
      <c r="E8" s="463"/>
      <c r="U8" s="463"/>
      <c r="V8" s="463"/>
    </row>
    <row r="9" spans="1:71" x14ac:dyDescent="0.2">
      <c r="A9" s="464">
        <v>4</v>
      </c>
      <c r="B9" s="466" t="str">
        <f>INC&amp;'INC(1)'!C15</f>
        <v>INC1</v>
      </c>
      <c r="C9" s="466" t="str">
        <f>INC&amp;'INC(1)'!C18</f>
        <v>INC2</v>
      </c>
      <c r="D9" s="466" t="str">
        <f>INC&amp;'INC(1)'!C21</f>
        <v>INC3</v>
      </c>
      <c r="E9" s="466" t="str">
        <f>INC&amp;'INC(1)'!I15</f>
        <v>INC4</v>
      </c>
      <c r="F9" s="466" t="str">
        <f>INC&amp;'INC(1)'!I18</f>
        <v>INC5</v>
      </c>
      <c r="G9" s="466" t="str">
        <f>INC&amp;'INC(1)'!I21</f>
        <v>INC6</v>
      </c>
      <c r="U9" s="463"/>
      <c r="V9" s="463"/>
    </row>
    <row r="10" spans="1:71" x14ac:dyDescent="0.2">
      <c r="A10" s="43" t="s">
        <v>3640</v>
      </c>
      <c r="B10" s="465" t="s">
        <v>541</v>
      </c>
      <c r="C10" s="465" t="s">
        <v>7529</v>
      </c>
      <c r="D10" s="465" t="s">
        <v>5830</v>
      </c>
      <c r="E10" s="465" t="s">
        <v>7530</v>
      </c>
      <c r="F10" s="465" t="s">
        <v>7531</v>
      </c>
      <c r="G10" s="465" t="s">
        <v>7532</v>
      </c>
      <c r="U10" s="463"/>
      <c r="V10" s="463"/>
    </row>
    <row r="11" spans="1:71" x14ac:dyDescent="0.2">
      <c r="A11" s="44">
        <v>7</v>
      </c>
      <c r="B11" s="10" t="s">
        <v>667</v>
      </c>
      <c r="C11" s="10" t="s">
        <v>667</v>
      </c>
      <c r="D11" s="10" t="s">
        <v>667</v>
      </c>
      <c r="E11" s="10" t="s">
        <v>667</v>
      </c>
      <c r="F11" s="10" t="s">
        <v>667</v>
      </c>
      <c r="G11" s="10" t="s">
        <v>667</v>
      </c>
      <c r="U11" s="463"/>
      <c r="V11" s="463"/>
    </row>
    <row r="12" spans="1:71" x14ac:dyDescent="0.2">
      <c r="A12" s="45"/>
      <c r="B12" s="11" t="str">
        <f>C0!B11</f>
        <v/>
      </c>
      <c r="C12" s="11">
        <f>C0!B12</f>
        <v>3678</v>
      </c>
      <c r="D12" s="11" t="str">
        <f>C0!B13</f>
        <v/>
      </c>
      <c r="E12" s="11" t="str">
        <f>C0!B14</f>
        <v/>
      </c>
      <c r="F12" s="11">
        <f>C0!B15</f>
        <v>12750</v>
      </c>
      <c r="G12" s="11" t="str">
        <f>C0!B16</f>
        <v/>
      </c>
      <c r="U12" s="463"/>
      <c r="V12" s="463"/>
    </row>
    <row r="13" spans="1:71" x14ac:dyDescent="0.2">
      <c r="A13" s="53">
        <v>4</v>
      </c>
      <c r="B13" s="469" t="str">
        <f>INC&amp;'INC(2)'!C4</f>
        <v>INC8</v>
      </c>
      <c r="C13" s="469" t="str">
        <f>INC&amp;'INC(2)'!C7</f>
        <v>INC9</v>
      </c>
      <c r="D13" s="470" t="str">
        <f>INC&amp;'INC(2)'!C10</f>
        <v>INC10</v>
      </c>
      <c r="E13" s="470" t="str">
        <f>INC&amp;'INC(2)'!C13</f>
        <v>INC11</v>
      </c>
      <c r="F13" s="470" t="str">
        <f>INC&amp;'INC(2)'!G4</f>
        <v>INC12</v>
      </c>
      <c r="G13" s="470" t="str">
        <f>INC&amp;'INC(2)'!G7</f>
        <v>INC13</v>
      </c>
      <c r="H13" s="470" t="str">
        <f>INC&amp;'INC(2)'!G10</f>
        <v>INC14</v>
      </c>
      <c r="I13" s="470" t="str">
        <f>INC&amp;'INC(2)'!G13</f>
        <v>INC15</v>
      </c>
      <c r="J13" s="470" t="str">
        <f>INC&amp;'INC(2)'!G16</f>
        <v>INC16</v>
      </c>
      <c r="U13" s="463"/>
      <c r="V13" s="463"/>
    </row>
    <row r="14" spans="1:71" x14ac:dyDescent="0.2">
      <c r="A14" s="43" t="s">
        <v>2180</v>
      </c>
      <c r="B14" s="471" t="s">
        <v>2181</v>
      </c>
      <c r="C14" s="471" t="s">
        <v>2182</v>
      </c>
      <c r="D14" s="471" t="s">
        <v>2183</v>
      </c>
      <c r="E14" s="471" t="s">
        <v>2184</v>
      </c>
      <c r="F14" s="472" t="s">
        <v>665</v>
      </c>
      <c r="G14" s="471" t="s">
        <v>2783</v>
      </c>
      <c r="H14" s="471" t="s">
        <v>662</v>
      </c>
      <c r="I14" s="471" t="s">
        <v>666</v>
      </c>
      <c r="J14" s="471" t="s">
        <v>629</v>
      </c>
      <c r="O14" s="463"/>
      <c r="P14" s="463"/>
      <c r="Q14" s="463"/>
      <c r="R14" s="463"/>
      <c r="S14" s="463"/>
      <c r="T14" s="463"/>
      <c r="U14" s="463"/>
      <c r="V14" s="463"/>
    </row>
    <row r="15" spans="1:71" x14ac:dyDescent="0.2">
      <c r="A15" s="44">
        <v>10</v>
      </c>
      <c r="B15" s="20" t="s">
        <v>667</v>
      </c>
      <c r="C15" s="20" t="s">
        <v>667</v>
      </c>
      <c r="D15" s="20" t="s">
        <v>667</v>
      </c>
      <c r="E15" s="20" t="s">
        <v>667</v>
      </c>
      <c r="F15" s="20" t="s">
        <v>667</v>
      </c>
      <c r="G15" s="20" t="s">
        <v>667</v>
      </c>
      <c r="H15" s="20" t="s">
        <v>667</v>
      </c>
      <c r="I15" s="20" t="s">
        <v>667</v>
      </c>
      <c r="J15" s="20" t="s">
        <v>667</v>
      </c>
      <c r="O15" s="463"/>
      <c r="P15" s="463"/>
      <c r="Q15" s="463"/>
      <c r="R15" s="463"/>
      <c r="S15" s="463"/>
      <c r="T15" s="463"/>
      <c r="U15" s="463"/>
      <c r="V15" s="463"/>
    </row>
    <row r="16" spans="1:71" x14ac:dyDescent="0.2">
      <c r="A16" s="45"/>
      <c r="B16" s="548" t="str">
        <f>C0!B20</f>
        <v/>
      </c>
      <c r="C16" s="548" t="str">
        <f>C0!B21</f>
        <v/>
      </c>
      <c r="D16" s="549" t="str">
        <f>C0!B22</f>
        <v/>
      </c>
      <c r="E16" s="549" t="str">
        <f>C0!B23</f>
        <v/>
      </c>
      <c r="F16" s="549" t="str">
        <f>C0!B24</f>
        <v/>
      </c>
      <c r="G16" s="549" t="str">
        <f>C0!B25</f>
        <v/>
      </c>
      <c r="H16" s="549" t="str">
        <f>C0!B26</f>
        <v/>
      </c>
      <c r="I16" s="549" t="str">
        <f>C0!B27</f>
        <v/>
      </c>
      <c r="J16" s="549" t="str">
        <f>C0!B28</f>
        <v/>
      </c>
      <c r="O16" s="463"/>
      <c r="P16" s="463"/>
      <c r="Q16" s="463"/>
      <c r="R16" s="463"/>
      <c r="S16" s="463"/>
      <c r="T16" s="463"/>
      <c r="U16" s="463"/>
      <c r="V16" s="463"/>
    </row>
    <row r="17" spans="1:22" x14ac:dyDescent="0.2">
      <c r="A17" s="53">
        <v>4</v>
      </c>
      <c r="B17" s="466" t="str">
        <f>INC&amp;'INC(2)'!C22</f>
        <v>INC17</v>
      </c>
      <c r="C17" s="466" t="str">
        <f>INC&amp;'INC(2)'!C25</f>
        <v>INC18</v>
      </c>
      <c r="D17" s="466" t="str">
        <f>INC&amp;'INC(2)'!C28</f>
        <v>INC19</v>
      </c>
      <c r="E17" s="466" t="str">
        <f>INC&amp;'INC(2)'!G22</f>
        <v>INC20</v>
      </c>
      <c r="G17" s="463"/>
    </row>
    <row r="18" spans="1:22" x14ac:dyDescent="0.2">
      <c r="A18" s="43" t="s">
        <v>2180</v>
      </c>
      <c r="B18" s="10" t="s">
        <v>2186</v>
      </c>
      <c r="C18" s="465" t="s">
        <v>2187</v>
      </c>
      <c r="D18" s="467" t="s">
        <v>2194</v>
      </c>
      <c r="E18" s="465" t="s">
        <v>2193</v>
      </c>
      <c r="G18" s="463"/>
    </row>
    <row r="19" spans="1:22" x14ac:dyDescent="0.2">
      <c r="A19" s="44">
        <v>5</v>
      </c>
      <c r="B19" s="10" t="s">
        <v>667</v>
      </c>
      <c r="C19" s="10" t="s">
        <v>667</v>
      </c>
      <c r="D19" s="10" t="s">
        <v>667</v>
      </c>
      <c r="E19" s="10" t="s">
        <v>667</v>
      </c>
      <c r="G19" s="463"/>
    </row>
    <row r="20" spans="1:22" x14ac:dyDescent="0.2">
      <c r="A20" s="45"/>
      <c r="B20" s="581" t="str">
        <f>C0!B31</f>
        <v/>
      </c>
      <c r="C20" s="475" t="str">
        <f>C0!B32</f>
        <v/>
      </c>
      <c r="D20" s="581" t="str">
        <f>C0!B33</f>
        <v/>
      </c>
      <c r="E20" s="581" t="str">
        <f>C0!B34</f>
        <v/>
      </c>
      <c r="G20" s="463"/>
    </row>
    <row r="21" spans="1:22" x14ac:dyDescent="0.2">
      <c r="A21" s="53">
        <v>4</v>
      </c>
      <c r="B21" s="468" t="str">
        <f>REL&amp;'REL(1)'!C6</f>
        <v>REL1</v>
      </c>
      <c r="C21" s="466" t="str">
        <f>REL&amp;'REL(1)'!C9</f>
        <v>REL2</v>
      </c>
      <c r="D21" s="466" t="str">
        <f>REL&amp;'REL(1)'!H6</f>
        <v>REL3</v>
      </c>
      <c r="E21" s="466" t="str">
        <f>REL&amp;'REL(1)'!H9</f>
        <v>REL4</v>
      </c>
      <c r="U21" s="49"/>
      <c r="V21" s="49"/>
    </row>
    <row r="22" spans="1:22" x14ac:dyDescent="0.2">
      <c r="A22" s="43" t="s">
        <v>2270</v>
      </c>
      <c r="B22" s="465" t="s">
        <v>539</v>
      </c>
      <c r="C22" s="465" t="s">
        <v>1840</v>
      </c>
      <c r="D22" s="465" t="s">
        <v>3840</v>
      </c>
      <c r="E22" s="465" t="s">
        <v>3841</v>
      </c>
      <c r="U22" s="49"/>
      <c r="V22" s="49"/>
    </row>
    <row r="23" spans="1:22" x14ac:dyDescent="0.2">
      <c r="A23" s="44">
        <v>5</v>
      </c>
      <c r="B23" s="10" t="s">
        <v>667</v>
      </c>
      <c r="C23" s="10" t="s">
        <v>667</v>
      </c>
      <c r="D23" s="10" t="s">
        <v>667</v>
      </c>
      <c r="E23" s="10" t="s">
        <v>667</v>
      </c>
      <c r="U23" s="49"/>
      <c r="V23" s="49"/>
    </row>
    <row r="24" spans="1:22" x14ac:dyDescent="0.2">
      <c r="A24" s="45"/>
      <c r="B24" s="11">
        <f>IF(C0!B38=0,"",C0!B38)</f>
        <v>1000</v>
      </c>
      <c r="C24" s="11">
        <f>IF(C0!B39=0,"",C0!B39)</f>
        <v>1200</v>
      </c>
      <c r="D24" s="11" t="str">
        <f>IF(C0!B40=0,"",C0!B40)</f>
        <v/>
      </c>
      <c r="E24" s="11" t="str">
        <f>IF(C0!B41=0,"",C0!B41)</f>
        <v/>
      </c>
      <c r="U24" s="49"/>
      <c r="V24" s="49"/>
    </row>
    <row r="25" spans="1:22" x14ac:dyDescent="0.2">
      <c r="A25" s="53">
        <v>4</v>
      </c>
      <c r="B25" s="466" t="str">
        <f>REL&amp;'REL(1)'!C16</f>
        <v>REL5</v>
      </c>
      <c r="C25" s="466" t="str">
        <f>REL&amp;'REL(1)'!C22</f>
        <v>REL7</v>
      </c>
      <c r="D25" s="466" t="str">
        <f>REL&amp;'REL(1)'!H16</f>
        <v>REL8</v>
      </c>
      <c r="E25" s="466" t="str">
        <f>REL&amp;'REL(1)'!H19</f>
        <v>REL9</v>
      </c>
      <c r="F25" s="466" t="str">
        <f>REL&amp;'REL(1)'!H22</f>
        <v>REL10</v>
      </c>
      <c r="U25" s="49"/>
      <c r="V25" s="49"/>
    </row>
    <row r="26" spans="1:22" x14ac:dyDescent="0.2">
      <c r="A26" s="43" t="s">
        <v>2270</v>
      </c>
      <c r="B26" s="471" t="s">
        <v>2192</v>
      </c>
      <c r="C26" s="471" t="s">
        <v>2186</v>
      </c>
      <c r="D26" s="471" t="s">
        <v>3842</v>
      </c>
      <c r="E26" s="471" t="s">
        <v>3843</v>
      </c>
      <c r="F26" s="471" t="s">
        <v>1876</v>
      </c>
      <c r="U26" s="49"/>
      <c r="V26" s="49"/>
    </row>
    <row r="27" spans="1:22" x14ac:dyDescent="0.2">
      <c r="A27" s="44">
        <v>6</v>
      </c>
      <c r="B27" s="20" t="s">
        <v>667</v>
      </c>
      <c r="C27" s="20" t="s">
        <v>667</v>
      </c>
      <c r="D27" s="20" t="s">
        <v>667</v>
      </c>
      <c r="E27" s="20" t="s">
        <v>667</v>
      </c>
      <c r="F27" s="20" t="s">
        <v>667</v>
      </c>
      <c r="U27" s="49"/>
      <c r="V27" s="49"/>
    </row>
    <row r="28" spans="1:22" x14ac:dyDescent="0.2">
      <c r="A28" s="45"/>
      <c r="B28" s="550">
        <f>IF(C0!B44=0,"",C0!B44)</f>
        <v>500</v>
      </c>
      <c r="C28" s="550" t="str">
        <f>IF(C0!B46=0,"",C0!B46)</f>
        <v/>
      </c>
      <c r="D28" s="550" t="str">
        <f>IF(C0!B47=0,"",C0!B47)</f>
        <v/>
      </c>
      <c r="E28" s="550" t="str">
        <f>IF(C0!B48=0,"",C0!B48)</f>
        <v/>
      </c>
      <c r="F28" s="550" t="str">
        <f>IF(C0!B49=0,"",C0!B49)</f>
        <v/>
      </c>
      <c r="U28" s="49"/>
      <c r="V28" s="49"/>
    </row>
    <row r="29" spans="1:22" x14ac:dyDescent="0.2">
      <c r="A29" s="53">
        <v>4</v>
      </c>
      <c r="B29" s="466" t="str">
        <f>REL&amp;'REL(2)'!C4&amp;" BPR"</f>
        <v>REL13 BPR</v>
      </c>
    </row>
    <row r="30" spans="1:22" x14ac:dyDescent="0.2">
      <c r="A30" s="43" t="s">
        <v>2271</v>
      </c>
      <c r="B30" s="10" t="s">
        <v>3844</v>
      </c>
    </row>
    <row r="31" spans="1:22" x14ac:dyDescent="0.2">
      <c r="A31" s="991">
        <v>2</v>
      </c>
      <c r="B31" s="10" t="b">
        <v>0</v>
      </c>
    </row>
    <row r="32" spans="1:22" x14ac:dyDescent="0.2">
      <c r="A32" s="45"/>
      <c r="B32" s="11" t="b">
        <f>C0!B54="Y"</f>
        <v>0</v>
      </c>
    </row>
    <row r="33" spans="1:22" x14ac:dyDescent="0.2">
      <c r="A33" s="53">
        <v>4</v>
      </c>
      <c r="B33" s="466" t="str">
        <f>SLR&amp;'REL(2)'!C11</f>
        <v>SLR1</v>
      </c>
      <c r="C33" s="470" t="str">
        <f>SLR&amp;'REL(2)'!C13</f>
        <v>SLRPT</v>
      </c>
      <c r="D33" s="466" t="str">
        <f>SLR&amp;'REL(2)'!G11</f>
        <v>SLR2</v>
      </c>
      <c r="E33" s="3166" t="str">
        <f>SLR&amp;'REL(2)'!G15</f>
        <v>SLR3</v>
      </c>
      <c r="F33" s="3166" t="str">
        <f>PGLR&amp;'REL(2)'!C17</f>
        <v>PGLRPT</v>
      </c>
    </row>
    <row r="34" spans="1:22" x14ac:dyDescent="0.2">
      <c r="A34" s="43" t="s">
        <v>2271</v>
      </c>
      <c r="B34" s="20" t="s">
        <v>3845</v>
      </c>
      <c r="C34" s="20" t="s">
        <v>5169</v>
      </c>
      <c r="D34" s="472" t="s">
        <v>663</v>
      </c>
      <c r="E34" s="3167" t="s">
        <v>2784</v>
      </c>
      <c r="F34" s="3167" t="s">
        <v>7544</v>
      </c>
    </row>
    <row r="35" spans="1:22" x14ac:dyDescent="0.2">
      <c r="A35" s="3629">
        <v>6</v>
      </c>
      <c r="B35" s="20" t="b">
        <v>0</v>
      </c>
      <c r="C35" s="20">
        <v>3</v>
      </c>
      <c r="D35" s="10" t="s">
        <v>667</v>
      </c>
      <c r="E35" s="3165" t="s">
        <v>667</v>
      </c>
      <c r="F35" s="3165">
        <v>2</v>
      </c>
    </row>
    <row r="36" spans="1:22" x14ac:dyDescent="0.2">
      <c r="A36" s="45"/>
      <c r="B36" s="1271" t="b">
        <f>C0!B60="Y"</f>
        <v>0</v>
      </c>
      <c r="C36" s="1839" t="str">
        <f>C0!B61</f>
        <v/>
      </c>
      <c r="D36" s="551" t="str">
        <f>C0!B63</f>
        <v/>
      </c>
      <c r="E36" s="3168" t="str">
        <f>C0!B64</f>
        <v/>
      </c>
      <c r="F36" s="3168" t="str">
        <f>C0!B62</f>
        <v/>
      </c>
    </row>
    <row r="37" spans="1:22" x14ac:dyDescent="0.2">
      <c r="A37" s="53">
        <v>4</v>
      </c>
      <c r="B37" s="466" t="str">
        <f>'REL(2)'!K23&amp;'REL(2)'!C25</f>
        <v>CBC1</v>
      </c>
    </row>
    <row r="38" spans="1:22" x14ac:dyDescent="0.2">
      <c r="A38" s="43" t="s">
        <v>2271</v>
      </c>
      <c r="B38" s="3165" t="s">
        <v>2187</v>
      </c>
    </row>
    <row r="39" spans="1:22" x14ac:dyDescent="0.2">
      <c r="A39" s="44">
        <v>2</v>
      </c>
      <c r="B39" s="10" t="s">
        <v>667</v>
      </c>
    </row>
    <row r="40" spans="1:22" x14ac:dyDescent="0.2">
      <c r="A40" s="45"/>
      <c r="B40" s="856" t="str">
        <f>C0!B67</f>
        <v/>
      </c>
    </row>
    <row r="41" spans="1:22" x14ac:dyDescent="0.2">
      <c r="A41" s="53">
        <v>4</v>
      </c>
      <c r="B41" s="470" t="str">
        <f>'REL(2)'!K30&amp;'REL(2)'!C32</f>
        <v>MAT1-5</v>
      </c>
      <c r="C41" s="470" t="str">
        <f>'REL(2)'!K30&amp;'REL(2)'!C38</f>
        <v>MATM_O</v>
      </c>
      <c r="D41" s="470" t="str">
        <f>'REL(2)'!K30&amp;'REL(2)'!G38</f>
        <v>MATM_I</v>
      </c>
    </row>
    <row r="42" spans="1:22" x14ac:dyDescent="0.2">
      <c r="A42" s="1303" t="s">
        <v>2271</v>
      </c>
      <c r="B42" s="20" t="s">
        <v>7545</v>
      </c>
      <c r="C42" s="20" t="s">
        <v>7546</v>
      </c>
      <c r="D42" s="20" t="s">
        <v>7547</v>
      </c>
    </row>
    <row r="43" spans="1:22" x14ac:dyDescent="0.2">
      <c r="A43" s="991">
        <v>4</v>
      </c>
      <c r="B43" s="20" t="b">
        <v>0</v>
      </c>
      <c r="C43" s="20" t="b">
        <v>0</v>
      </c>
      <c r="D43" s="20" t="b">
        <v>0</v>
      </c>
    </row>
    <row r="44" spans="1:22" x14ac:dyDescent="0.2">
      <c r="A44" s="1304"/>
      <c r="B44" s="21" t="b">
        <f>C0!B72="Y"</f>
        <v>0</v>
      </c>
      <c r="C44" s="21" t="b">
        <f>C0!B78="Y"</f>
        <v>0</v>
      </c>
      <c r="D44" s="21" t="b">
        <f>C0!B79="Y"</f>
        <v>1</v>
      </c>
    </row>
    <row r="45" spans="1:22" x14ac:dyDescent="0.2">
      <c r="A45" s="553">
        <v>2</v>
      </c>
      <c r="B45" s="466" t="str">
        <f>FIN&amp;'REL(2)'!C45</f>
        <v>FIN1</v>
      </c>
      <c r="C45" s="556"/>
      <c r="D45" s="463"/>
      <c r="E45" s="463"/>
      <c r="U45" s="463"/>
      <c r="V45" s="463"/>
    </row>
    <row r="46" spans="1:22" x14ac:dyDescent="0.2">
      <c r="A46" s="43" t="s">
        <v>2271</v>
      </c>
      <c r="B46" s="472" t="s">
        <v>7548</v>
      </c>
      <c r="C46" s="556"/>
      <c r="D46" s="463"/>
      <c r="E46" s="463"/>
      <c r="U46" s="463"/>
      <c r="V46" s="463"/>
    </row>
    <row r="47" spans="1:22" x14ac:dyDescent="0.2">
      <c r="A47" s="44">
        <v>2</v>
      </c>
      <c r="B47" s="10" t="s">
        <v>667</v>
      </c>
      <c r="C47" s="556"/>
      <c r="D47" s="463"/>
      <c r="E47" s="463"/>
      <c r="U47" s="463"/>
      <c r="V47" s="463"/>
    </row>
    <row r="48" spans="1:22" x14ac:dyDescent="0.2">
      <c r="A48" s="45"/>
      <c r="B48" s="11">
        <f>IF(Selector!H4="","",Selector!H4)</f>
        <v>600</v>
      </c>
      <c r="C48" s="556"/>
      <c r="D48" s="463"/>
      <c r="E48" s="463"/>
      <c r="U48" s="463"/>
      <c r="V48" s="463"/>
    </row>
    <row r="49" spans="1:9" x14ac:dyDescent="0.2">
      <c r="A49" s="53">
        <v>1</v>
      </c>
      <c r="B49" s="466" t="str">
        <f>AOI&amp;AOI!C5</f>
        <v>AOI2</v>
      </c>
      <c r="C49" s="466" t="str">
        <f>AOI&amp;AOI!G7</f>
        <v>AOI3</v>
      </c>
    </row>
    <row r="50" spans="1:9" x14ac:dyDescent="0.2">
      <c r="A50" s="43" t="s">
        <v>3322</v>
      </c>
      <c r="B50" s="465" t="s">
        <v>2189</v>
      </c>
      <c r="C50" s="10" t="s">
        <v>2783</v>
      </c>
    </row>
    <row r="51" spans="1:9" x14ac:dyDescent="0.2">
      <c r="A51" s="44">
        <v>3</v>
      </c>
      <c r="B51" s="10" t="s">
        <v>667</v>
      </c>
      <c r="C51" s="10" t="s">
        <v>667</v>
      </c>
    </row>
    <row r="52" spans="1:9" x14ac:dyDescent="0.2">
      <c r="A52" s="45"/>
      <c r="B52" s="11" t="str">
        <f>'C1'!B5</f>
        <v/>
      </c>
      <c r="C52" s="11" t="str">
        <f>'C1'!B6</f>
        <v/>
      </c>
    </row>
    <row r="53" spans="1:9" x14ac:dyDescent="0.2">
      <c r="A53" s="53">
        <v>1</v>
      </c>
      <c r="B53" s="466" t="str">
        <f>AOI&amp;AOI!C13</f>
        <v>AOI4</v>
      </c>
      <c r="C53" s="466" t="str">
        <f>AOI&amp;AOI!C16</f>
        <v>AOI5</v>
      </c>
      <c r="D53" s="466" t="str">
        <f>AOI&amp;AOI!C19</f>
        <v>AOI6</v>
      </c>
      <c r="E53" s="466" t="str">
        <f>AOI&amp;AOI!C22</f>
        <v>AOI7</v>
      </c>
      <c r="F53" s="466" t="str">
        <f>AOI&amp;AOI!G13</f>
        <v>AOI8</v>
      </c>
      <c r="G53" s="466" t="str">
        <f>AOI&amp;AOI!G16</f>
        <v>AOI9</v>
      </c>
      <c r="H53" s="466" t="str">
        <f>AOI&amp;AOI!G19</f>
        <v>AOI10</v>
      </c>
      <c r="I53" s="466" t="str">
        <f>AOI&amp;AOI!G22</f>
        <v>AOI11</v>
      </c>
    </row>
    <row r="54" spans="1:9" x14ac:dyDescent="0.2">
      <c r="A54" s="43" t="s">
        <v>3322</v>
      </c>
      <c r="B54" s="465" t="s">
        <v>2184</v>
      </c>
      <c r="C54" s="10" t="s">
        <v>2192</v>
      </c>
      <c r="D54" s="465" t="s">
        <v>2185</v>
      </c>
      <c r="E54" s="10" t="s">
        <v>2186</v>
      </c>
      <c r="F54" s="10" t="s">
        <v>666</v>
      </c>
      <c r="G54" s="10" t="s">
        <v>629</v>
      </c>
      <c r="H54" s="467" t="s">
        <v>2188</v>
      </c>
      <c r="I54" s="10" t="s">
        <v>2193</v>
      </c>
    </row>
    <row r="55" spans="1:9" x14ac:dyDescent="0.2">
      <c r="A55" s="44">
        <v>9</v>
      </c>
      <c r="B55" s="10" t="s">
        <v>667</v>
      </c>
      <c r="C55" s="10" t="s">
        <v>667</v>
      </c>
      <c r="D55" s="10" t="s">
        <v>667</v>
      </c>
      <c r="E55" s="10" t="s">
        <v>667</v>
      </c>
      <c r="F55" s="10" t="s">
        <v>667</v>
      </c>
      <c r="G55" s="10" t="s">
        <v>667</v>
      </c>
      <c r="H55" s="10" t="s">
        <v>667</v>
      </c>
      <c r="I55" s="10" t="s">
        <v>667</v>
      </c>
    </row>
    <row r="56" spans="1:9" x14ac:dyDescent="0.2">
      <c r="A56" s="45"/>
      <c r="B56" s="11" t="str">
        <f>'C1'!B10</f>
        <v/>
      </c>
      <c r="C56" s="11" t="str">
        <f>'C1'!B11</f>
        <v/>
      </c>
      <c r="D56" s="11" t="str">
        <f>'C1'!B12</f>
        <v/>
      </c>
      <c r="E56" s="11" t="str">
        <f>'C1'!B13</f>
        <v/>
      </c>
      <c r="F56" s="11" t="str">
        <f>'C1'!B14</f>
        <v/>
      </c>
      <c r="G56" s="11" t="str">
        <f>'C1'!B15</f>
        <v/>
      </c>
      <c r="H56" s="11" t="str">
        <f>'C1'!B16</f>
        <v/>
      </c>
      <c r="I56" s="11" t="str">
        <f>'C1'!B17</f>
        <v/>
      </c>
    </row>
    <row r="57" spans="1:9" x14ac:dyDescent="0.2">
      <c r="A57" s="53">
        <v>1</v>
      </c>
      <c r="B57" s="468" t="str">
        <f>AOI&amp;AOI!C28</f>
        <v>AOI12</v>
      </c>
      <c r="C57" s="468" t="str">
        <f>AOI&amp;AOI!G28</f>
        <v>AOI13</v>
      </c>
      <c r="D57" s="4072" t="str">
        <f>AOI&amp;AOI!G31</f>
        <v>AOI13.1</v>
      </c>
    </row>
    <row r="58" spans="1:9" x14ac:dyDescent="0.2">
      <c r="A58" s="43" t="s">
        <v>3322</v>
      </c>
      <c r="B58" s="465" t="s">
        <v>2194</v>
      </c>
      <c r="C58" s="465" t="s">
        <v>2195</v>
      </c>
      <c r="D58" s="4073" t="s">
        <v>809</v>
      </c>
    </row>
    <row r="59" spans="1:9" x14ac:dyDescent="0.2">
      <c r="A59" s="4071">
        <v>4</v>
      </c>
      <c r="B59" s="10" t="s">
        <v>667</v>
      </c>
      <c r="C59" s="10" t="s">
        <v>667</v>
      </c>
      <c r="D59" s="4074" t="s">
        <v>667</v>
      </c>
    </row>
    <row r="60" spans="1:9" x14ac:dyDescent="0.2">
      <c r="A60" s="45"/>
      <c r="B60" s="551" t="str">
        <f>'C1'!B21</f>
        <v/>
      </c>
      <c r="C60" s="11" t="str">
        <f>'C1'!B22</f>
        <v/>
      </c>
      <c r="D60" s="551" t="str">
        <f>'C1'!B23</f>
        <v/>
      </c>
    </row>
    <row r="61" spans="1:9" x14ac:dyDescent="0.2">
      <c r="A61" s="53">
        <v>1</v>
      </c>
      <c r="B61" s="470" t="str">
        <f>ASE&amp;ASE!C5</f>
        <v>ASE1</v>
      </c>
    </row>
    <row r="62" spans="1:9" x14ac:dyDescent="0.2">
      <c r="A62" s="43" t="s">
        <v>6</v>
      </c>
      <c r="B62" s="471" t="s">
        <v>2189</v>
      </c>
    </row>
    <row r="63" spans="1:9" x14ac:dyDescent="0.2">
      <c r="A63" s="44">
        <v>2</v>
      </c>
      <c r="B63" s="20" t="s">
        <v>667</v>
      </c>
    </row>
    <row r="64" spans="1:9" x14ac:dyDescent="0.2">
      <c r="A64" s="45"/>
      <c r="B64" s="21" t="str">
        <f>'C1'!B29</f>
        <v/>
      </c>
    </row>
    <row r="65" spans="1:19" x14ac:dyDescent="0.2">
      <c r="A65" s="53">
        <v>1</v>
      </c>
      <c r="B65" s="470" t="str">
        <f>ASE&amp;ASE!C8</f>
        <v>ASE3</v>
      </c>
      <c r="C65" s="470" t="str">
        <f>ASE&amp;ASE!C11</f>
        <v>ASE4</v>
      </c>
      <c r="D65" s="470" t="str">
        <f>ASE&amp;ASE!C14</f>
        <v>ASE5</v>
      </c>
      <c r="E65" s="470" t="str">
        <f>ASE&amp;ASE!C17</f>
        <v>ASE6</v>
      </c>
    </row>
    <row r="66" spans="1:19" x14ac:dyDescent="0.2">
      <c r="A66" s="43" t="s">
        <v>6</v>
      </c>
      <c r="B66" s="473" t="s">
        <v>2190</v>
      </c>
      <c r="C66" s="473" t="s">
        <v>1594</v>
      </c>
      <c r="D66" s="473" t="s">
        <v>1502</v>
      </c>
      <c r="E66" s="473" t="s">
        <v>1595</v>
      </c>
    </row>
    <row r="67" spans="1:19" x14ac:dyDescent="0.2">
      <c r="A67" s="44">
        <v>5</v>
      </c>
      <c r="B67" s="20" t="s">
        <v>667</v>
      </c>
      <c r="C67" s="20" t="s">
        <v>667</v>
      </c>
      <c r="D67" s="20" t="s">
        <v>667</v>
      </c>
      <c r="E67" s="20" t="s">
        <v>667</v>
      </c>
    </row>
    <row r="68" spans="1:19" x14ac:dyDescent="0.2">
      <c r="B68" s="21" t="str">
        <f>'C1'!B33</f>
        <v/>
      </c>
      <c r="C68" s="21" t="str">
        <f>'C1'!B34</f>
        <v/>
      </c>
      <c r="D68" s="21" t="str">
        <f>'C1'!B35</f>
        <v/>
      </c>
      <c r="E68" s="21" t="str">
        <f>'C1'!B36</f>
        <v/>
      </c>
    </row>
    <row r="69" spans="1:19" x14ac:dyDescent="0.2">
      <c r="A69" s="53">
        <v>1</v>
      </c>
      <c r="B69" s="470" t="str">
        <f>ASE&amp;ASE!G11</f>
        <v>ASE11</v>
      </c>
      <c r="C69" s="470" t="str">
        <f>ASE&amp;ASE!G14</f>
        <v>ASE12</v>
      </c>
      <c r="D69" s="470" t="str">
        <f>ASE&amp;ASE!G17</f>
        <v>ASE13</v>
      </c>
      <c r="E69" s="470" t="str">
        <f>ASE&amp;ASE!G20</f>
        <v>ASE15</v>
      </c>
    </row>
    <row r="70" spans="1:19" x14ac:dyDescent="0.2">
      <c r="A70" s="43" t="s">
        <v>6</v>
      </c>
      <c r="B70" s="473" t="s">
        <v>663</v>
      </c>
      <c r="C70" s="474" t="s">
        <v>664</v>
      </c>
      <c r="D70" s="474" t="s">
        <v>1880</v>
      </c>
      <c r="E70" s="474" t="s">
        <v>1596</v>
      </c>
    </row>
    <row r="71" spans="1:19" x14ac:dyDescent="0.2">
      <c r="A71" s="44">
        <v>5</v>
      </c>
      <c r="B71" s="20" t="s">
        <v>667</v>
      </c>
      <c r="C71" s="10" t="s">
        <v>667</v>
      </c>
      <c r="D71" s="10" t="s">
        <v>667</v>
      </c>
      <c r="E71" s="10" t="s">
        <v>667</v>
      </c>
    </row>
    <row r="72" spans="1:19" x14ac:dyDescent="0.2">
      <c r="A72" s="45"/>
      <c r="B72" s="21" t="str">
        <f>'C1'!B44</f>
        <v/>
      </c>
      <c r="C72" s="21" t="str">
        <f>'C1'!B45</f>
        <v/>
      </c>
      <c r="D72" s="21" t="str">
        <f>'C1'!B46</f>
        <v/>
      </c>
      <c r="E72" s="21" t="str">
        <f>'C1'!B48</f>
        <v/>
      </c>
    </row>
    <row r="73" spans="1:19" x14ac:dyDescent="0.2">
      <c r="A73" s="53">
        <v>1</v>
      </c>
      <c r="B73" s="466" t="str">
        <f>AOR&amp;AOR!C5</f>
        <v>AOR1</v>
      </c>
      <c r="C73" s="466" t="str">
        <f>AOR&amp;AOR!C8</f>
        <v>AOR2</v>
      </c>
      <c r="D73" s="466" t="str">
        <f>AOR&amp;AOR!C11</f>
        <v>AOR3</v>
      </c>
      <c r="E73" s="466" t="str">
        <f>AOR&amp;AOR!C14</f>
        <v>AOR4</v>
      </c>
      <c r="F73" s="466" t="str">
        <f>AOR&amp;AOR!C17</f>
        <v>AOR5</v>
      </c>
      <c r="G73" s="466" t="str">
        <f>AOR&amp;AOR!C20</f>
        <v>AOR6</v>
      </c>
      <c r="H73" s="466" t="str">
        <f>AOR&amp;AOR!G5</f>
        <v>AOR7</v>
      </c>
      <c r="I73" s="466" t="str">
        <f>AOR&amp;AOR!G8</f>
        <v>AOR8</v>
      </c>
      <c r="J73" s="466" t="str">
        <f>AOR&amp;AOR!G11</f>
        <v>AOR9</v>
      </c>
      <c r="K73" s="466" t="str">
        <f>AOR&amp;AOR!G14</f>
        <v>AOR10</v>
      </c>
      <c r="L73" s="466" t="str">
        <f>AOR&amp;AOR!G17</f>
        <v>AOR11</v>
      </c>
      <c r="M73" s="470" t="str">
        <f>AOR&amp;AOR!G20</f>
        <v>AOR12</v>
      </c>
    </row>
    <row r="74" spans="1:19" x14ac:dyDescent="0.2">
      <c r="A74" s="43" t="s">
        <v>3830</v>
      </c>
      <c r="B74" s="465" t="s">
        <v>2189</v>
      </c>
      <c r="C74" s="465" t="s">
        <v>2190</v>
      </c>
      <c r="D74" s="465" t="s">
        <v>1594</v>
      </c>
      <c r="E74" s="465" t="s">
        <v>1502</v>
      </c>
      <c r="F74" s="465" t="s">
        <v>1595</v>
      </c>
      <c r="G74" s="465" t="s">
        <v>2191</v>
      </c>
      <c r="H74" s="465" t="s">
        <v>3851</v>
      </c>
      <c r="I74" s="465" t="s">
        <v>661</v>
      </c>
      <c r="J74" s="465" t="s">
        <v>663</v>
      </c>
      <c r="K74" s="465" t="s">
        <v>664</v>
      </c>
      <c r="L74" s="465" t="s">
        <v>1880</v>
      </c>
      <c r="M74" s="471" t="s">
        <v>1596</v>
      </c>
    </row>
    <row r="75" spans="1:19" x14ac:dyDescent="0.2">
      <c r="A75" s="991">
        <v>13</v>
      </c>
      <c r="B75" s="10" t="s">
        <v>667</v>
      </c>
      <c r="C75" s="10" t="s">
        <v>667</v>
      </c>
      <c r="D75" s="10" t="s">
        <v>667</v>
      </c>
      <c r="E75" s="10" t="s">
        <v>667</v>
      </c>
      <c r="F75" s="10" t="s">
        <v>667</v>
      </c>
      <c r="G75" s="10" t="s">
        <v>667</v>
      </c>
      <c r="H75" s="10" t="s">
        <v>667</v>
      </c>
      <c r="I75" s="10" t="s">
        <v>667</v>
      </c>
      <c r="J75" s="10" t="s">
        <v>667</v>
      </c>
      <c r="K75" s="10" t="s">
        <v>667</v>
      </c>
      <c r="L75" s="10" t="s">
        <v>667</v>
      </c>
      <c r="M75" s="20" t="s">
        <v>667</v>
      </c>
    </row>
    <row r="76" spans="1:19" x14ac:dyDescent="0.2">
      <c r="A76" s="45"/>
      <c r="B76" s="11" t="str">
        <f>'C1'!B51</f>
        <v/>
      </c>
      <c r="C76" s="11" t="str">
        <f>'C1'!B52</f>
        <v/>
      </c>
      <c r="D76" s="11" t="str">
        <f>'C1'!B53</f>
        <v/>
      </c>
      <c r="E76" s="11" t="str">
        <f>'C1'!B54</f>
        <v/>
      </c>
      <c r="F76" s="11" t="str">
        <f>'C1'!B55</f>
        <v/>
      </c>
      <c r="G76" s="11" t="str">
        <f>'C1'!B56</f>
        <v/>
      </c>
      <c r="H76" s="11" t="str">
        <f>'C1'!B57</f>
        <v/>
      </c>
      <c r="I76" s="11" t="str">
        <f>'C1'!B58</f>
        <v/>
      </c>
      <c r="J76" s="11" t="str">
        <f>'C1'!B59</f>
        <v/>
      </c>
      <c r="K76" s="11" t="str">
        <f>'C1'!B60</f>
        <v/>
      </c>
      <c r="L76" s="11" t="str">
        <f>'C1'!B61</f>
        <v/>
      </c>
      <c r="M76" s="21" t="str">
        <f>'C1'!B62</f>
        <v/>
      </c>
      <c r="S76" s="4"/>
    </row>
    <row r="77" spans="1:19" x14ac:dyDescent="0.2">
      <c r="A77" s="53">
        <v>1</v>
      </c>
      <c r="B77" s="468" t="str">
        <f>"MCA"&amp;MCA!$C$4</f>
        <v>MCA1</v>
      </c>
      <c r="C77" s="468" t="str">
        <f>"MCA"&amp;MCA!$C$8</f>
        <v>MCA2</v>
      </c>
      <c r="D77" s="468" t="str">
        <f>"MCA"&amp;MCA!$C$12</f>
        <v>MCA3</v>
      </c>
      <c r="E77" s="468" t="str">
        <f>"MCA"&amp;MCA!$C$16</f>
        <v>MCA9</v>
      </c>
    </row>
    <row r="78" spans="1:19" x14ac:dyDescent="0.2">
      <c r="A78" s="43" t="s">
        <v>614</v>
      </c>
      <c r="B78" s="10" t="s">
        <v>1857</v>
      </c>
      <c r="C78" s="10" t="s">
        <v>2731</v>
      </c>
      <c r="D78" s="10" t="s">
        <v>2732</v>
      </c>
      <c r="E78" s="10" t="s">
        <v>2733</v>
      </c>
    </row>
    <row r="79" spans="1:19" x14ac:dyDescent="0.2">
      <c r="A79" s="44">
        <v>5</v>
      </c>
      <c r="B79" s="10">
        <v>1</v>
      </c>
      <c r="C79" s="10">
        <v>2</v>
      </c>
      <c r="D79" s="10">
        <v>1</v>
      </c>
      <c r="E79" s="10">
        <v>1</v>
      </c>
    </row>
    <row r="80" spans="1:19" x14ac:dyDescent="0.2">
      <c r="A80" s="47"/>
      <c r="B80" s="10" t="str">
        <f>IF(MCA_IND&gt;1,HLOOKUP(MCA_IND-1,MCA_CONTROL_RANGE,2),"")</f>
        <v/>
      </c>
      <c r="C80" s="10" t="str">
        <f>IF(MCA_IND&gt;1,HLOOKUP(MCA_IND-1,MCA_CONTROL_RANGE,4),"")</f>
        <v/>
      </c>
      <c r="D80" s="10" t="str">
        <f>IF(MCA_IND&gt;1,HLOOKUP(MCA_IND-1,MCA_CONTROL_RANGE,6),"")</f>
        <v/>
      </c>
      <c r="E80" s="10" t="str">
        <f>IF(MCA_IND&gt;1,HLOOKUP(MCA_IND-1,MCA_CONTROL_RANGE,8),"")</f>
        <v/>
      </c>
    </row>
    <row r="81" spans="1:17" x14ac:dyDescent="0.2">
      <c r="A81" s="53">
        <v>1</v>
      </c>
      <c r="B81" s="909" t="str">
        <f>AIL&amp;AIL!C5</f>
        <v>AIL1</v>
      </c>
      <c r="C81" s="909" t="str">
        <f>AIL&amp;AIL!G5</f>
        <v>AIL6</v>
      </c>
      <c r="D81" s="466" t="str">
        <f>AIL&amp;AIL!C11</f>
        <v>AIL7</v>
      </c>
      <c r="E81" s="466" t="str">
        <f>AIL&amp;AIL!C14</f>
        <v>AIL8</v>
      </c>
      <c r="F81" s="466" t="str">
        <f>AIL&amp;AIL!C17</f>
        <v>AIL9</v>
      </c>
      <c r="G81" s="466" t="str">
        <f>AIL&amp;AIL!C20</f>
        <v>AIL10</v>
      </c>
      <c r="H81" s="466" t="str">
        <f>AIL&amp;AIL!C23</f>
        <v>AIL11</v>
      </c>
      <c r="I81" s="470" t="str">
        <f>AIL&amp;AIL!C26</f>
        <v>AIL11.1</v>
      </c>
      <c r="J81" s="470" t="str">
        <f>AIL&amp;AIL!C29</f>
        <v>AIL11.2</v>
      </c>
      <c r="K81" s="466" t="str">
        <f>AIL&amp;AIL!G11</f>
        <v>AIL13</v>
      </c>
      <c r="L81" s="466" t="str">
        <f>AIL&amp;AIL!G14</f>
        <v>AIL14</v>
      </c>
      <c r="M81" s="466" t="str">
        <f>AIL&amp;AIL!G17</f>
        <v>AIL15</v>
      </c>
      <c r="N81" s="466" t="str">
        <f>AIL&amp;AIL!G20</f>
        <v>AIL16</v>
      </c>
      <c r="O81" s="470" t="str">
        <f>AIL&amp;AIL!G23</f>
        <v>AIL18</v>
      </c>
      <c r="P81" s="470" t="str">
        <f>AIL&amp;AIL!C35</f>
        <v>AIL21</v>
      </c>
      <c r="Q81" s="470" t="str">
        <f>AIL&amp;AIL!G35</f>
        <v>AIL22</v>
      </c>
    </row>
    <row r="82" spans="1:17" x14ac:dyDescent="0.2">
      <c r="A82" s="43" t="s">
        <v>3832</v>
      </c>
      <c r="B82" s="910" t="s">
        <v>2189</v>
      </c>
      <c r="C82" s="910" t="s">
        <v>3851</v>
      </c>
      <c r="D82" s="10" t="s">
        <v>1594</v>
      </c>
      <c r="E82" s="10" t="s">
        <v>1502</v>
      </c>
      <c r="F82" s="10" t="s">
        <v>1595</v>
      </c>
      <c r="G82" s="10" t="s">
        <v>2191</v>
      </c>
      <c r="H82" s="10" t="s">
        <v>1597</v>
      </c>
      <c r="I82" s="20" t="s">
        <v>3408</v>
      </c>
      <c r="J82" s="20" t="s">
        <v>6316</v>
      </c>
      <c r="K82" s="615" t="s">
        <v>663</v>
      </c>
      <c r="L82" s="10" t="s">
        <v>664</v>
      </c>
      <c r="M82" s="10" t="s">
        <v>1880</v>
      </c>
      <c r="N82" s="10" t="s">
        <v>1596</v>
      </c>
      <c r="O82" s="20" t="s">
        <v>1321</v>
      </c>
      <c r="P82" s="20" t="s">
        <v>6892</v>
      </c>
      <c r="Q82" s="20" t="s">
        <v>6318</v>
      </c>
    </row>
    <row r="83" spans="1:17" x14ac:dyDescent="0.2">
      <c r="A83" s="991">
        <v>17</v>
      </c>
      <c r="B83" s="910" t="s">
        <v>667</v>
      </c>
      <c r="C83" s="910" t="s">
        <v>667</v>
      </c>
      <c r="D83" s="10" t="s">
        <v>667</v>
      </c>
      <c r="E83" s="10" t="s">
        <v>667</v>
      </c>
      <c r="F83" s="10" t="s">
        <v>667</v>
      </c>
      <c r="G83" s="10" t="s">
        <v>667</v>
      </c>
      <c r="H83" s="20" t="s">
        <v>667</v>
      </c>
      <c r="I83" s="20" t="s">
        <v>667</v>
      </c>
      <c r="J83" s="20" t="s">
        <v>667</v>
      </c>
      <c r="K83" s="10" t="s">
        <v>667</v>
      </c>
      <c r="L83" s="10" t="s">
        <v>667</v>
      </c>
      <c r="M83" s="10" t="s">
        <v>667</v>
      </c>
      <c r="N83" s="10" t="s">
        <v>667</v>
      </c>
      <c r="O83" s="20" t="s">
        <v>667</v>
      </c>
      <c r="P83" s="20" t="s">
        <v>667</v>
      </c>
      <c r="Q83" s="20" t="s">
        <v>667</v>
      </c>
    </row>
    <row r="84" spans="1:17" x14ac:dyDescent="0.2">
      <c r="A84" s="47"/>
      <c r="B84" s="910" t="str">
        <f>'C1'!B88</f>
        <v/>
      </c>
      <c r="C84" s="911" t="str">
        <f>'C1'!B93</f>
        <v/>
      </c>
      <c r="D84" s="11" t="str">
        <f>'C1'!B94</f>
        <v/>
      </c>
      <c r="E84" s="11" t="str">
        <f>'C1'!B95</f>
        <v/>
      </c>
      <c r="F84" s="11" t="str">
        <f>'C1'!B96</f>
        <v/>
      </c>
      <c r="G84" s="11" t="str">
        <f>'C1'!B97</f>
        <v/>
      </c>
      <c r="H84" s="21" t="str">
        <f>'C1'!B98</f>
        <v/>
      </c>
      <c r="I84" s="21" t="str">
        <f>'C1'!B99</f>
        <v/>
      </c>
      <c r="J84" s="21" t="str">
        <f>'C1'!B100</f>
        <v/>
      </c>
      <c r="K84" s="11" t="str">
        <f>'C1'!B102</f>
        <v/>
      </c>
      <c r="L84" s="11" t="str">
        <f>'C1'!B103</f>
        <v/>
      </c>
      <c r="M84" s="11" t="str">
        <f>'C1'!B104</f>
        <v/>
      </c>
      <c r="N84" s="11" t="str">
        <f>'C1'!B105</f>
        <v/>
      </c>
      <c r="O84" s="21" t="str">
        <f>'C1'!B107</f>
        <v/>
      </c>
      <c r="P84" s="21" t="str">
        <f>'C1'!B110</f>
        <v/>
      </c>
      <c r="Q84" s="21" t="str">
        <f>'C1'!B111</f>
        <v/>
      </c>
    </row>
    <row r="85" spans="1:17" x14ac:dyDescent="0.2">
      <c r="A85" s="53">
        <v>4</v>
      </c>
      <c r="B85" s="466" t="str">
        <f>EMP&amp;EMP!C4</f>
        <v>EMP1</v>
      </c>
      <c r="C85" s="468" t="str">
        <f>EMP&amp;EMP!C7</f>
        <v>EMP2</v>
      </c>
      <c r="D85" s="466" t="str">
        <f>EMP&amp;EMP!C10</f>
        <v>EMP3</v>
      </c>
      <c r="E85" s="4415" t="str">
        <f>EMP&amp;EMP!G11</f>
        <v>EMP</v>
      </c>
      <c r="F85" s="466" t="str">
        <f>EMP&amp;EMP!C16</f>
        <v>EMP9</v>
      </c>
      <c r="G85" s="466" t="str">
        <f>EMP&amp;EMP!C19</f>
        <v>EMP10</v>
      </c>
      <c r="H85" s="466" t="str">
        <f>EMP&amp;EMP!C22</f>
        <v>EMP11</v>
      </c>
      <c r="I85" s="466" t="str">
        <f>EMP&amp;EMP!C25</f>
        <v>EMP12</v>
      </c>
      <c r="J85" s="466" t="str">
        <f>EMP&amp;EMP!G16</f>
        <v>EMP13</v>
      </c>
      <c r="K85" s="466" t="str">
        <f>EMP&amp;EMP!G19</f>
        <v>EMP14</v>
      </c>
      <c r="L85" s="466" t="str">
        <f>EMP&amp;EMP!G22</f>
        <v>EMP15</v>
      </c>
      <c r="M85" s="466" t="str">
        <f>EMP&amp;EMP!G25</f>
        <v>EMP16</v>
      </c>
      <c r="N85" s="466" t="str">
        <f>EMP&amp;EMP!C30</f>
        <v>EMP17</v>
      </c>
      <c r="O85" s="466" t="str">
        <f>EMP&amp;EMP!C33</f>
        <v>EMP18</v>
      </c>
      <c r="P85" s="466" t="str">
        <f>EMP&amp;EMP!G30</f>
        <v>EMP19</v>
      </c>
      <c r="Q85" s="466" t="str">
        <f>EMP&amp;EMP!G33</f>
        <v>EMP20</v>
      </c>
    </row>
    <row r="86" spans="1:17" x14ac:dyDescent="0.2">
      <c r="A86" s="43" t="s">
        <v>3768</v>
      </c>
      <c r="B86" s="465" t="s">
        <v>2181</v>
      </c>
      <c r="C86" s="467" t="s">
        <v>2182</v>
      </c>
      <c r="D86" s="465" t="s">
        <v>2183</v>
      </c>
      <c r="E86" s="10" t="s">
        <v>788</v>
      </c>
      <c r="F86" s="465" t="s">
        <v>2192</v>
      </c>
      <c r="G86" s="465" t="s">
        <v>2185</v>
      </c>
      <c r="H86" s="465" t="s">
        <v>2186</v>
      </c>
      <c r="I86" s="465" t="s">
        <v>2187</v>
      </c>
      <c r="J86" s="465" t="s">
        <v>629</v>
      </c>
      <c r="K86" s="465" t="s">
        <v>2188</v>
      </c>
      <c r="L86" s="465" t="s">
        <v>2193</v>
      </c>
      <c r="M86" s="465" t="s">
        <v>789</v>
      </c>
      <c r="N86" s="465" t="s">
        <v>790</v>
      </c>
      <c r="O86" s="465" t="s">
        <v>791</v>
      </c>
      <c r="P86" s="465" t="s">
        <v>792</v>
      </c>
      <c r="Q86" s="465" t="s">
        <v>793</v>
      </c>
    </row>
    <row r="87" spans="1:17" x14ac:dyDescent="0.2">
      <c r="A87" s="44">
        <v>17</v>
      </c>
      <c r="B87" s="10" t="s">
        <v>667</v>
      </c>
      <c r="C87" s="10" t="s">
        <v>667</v>
      </c>
      <c r="D87" s="10" t="s">
        <v>667</v>
      </c>
      <c r="E87" s="10" t="s">
        <v>667</v>
      </c>
      <c r="F87" s="10" t="s">
        <v>667</v>
      </c>
      <c r="G87" s="10" t="s">
        <v>667</v>
      </c>
      <c r="H87" s="10" t="s">
        <v>667</v>
      </c>
      <c r="I87" s="10" t="s">
        <v>667</v>
      </c>
      <c r="J87" s="10" t="s">
        <v>667</v>
      </c>
      <c r="K87" s="10" t="s">
        <v>667</v>
      </c>
      <c r="L87" s="10" t="s">
        <v>667</v>
      </c>
      <c r="M87" s="10" t="s">
        <v>667</v>
      </c>
      <c r="N87" s="10" t="s">
        <v>667</v>
      </c>
      <c r="O87" s="10" t="s">
        <v>667</v>
      </c>
      <c r="P87" s="10" t="s">
        <v>667</v>
      </c>
      <c r="Q87" s="10" t="s">
        <v>667</v>
      </c>
    </row>
    <row r="88" spans="1:17" x14ac:dyDescent="0.2">
      <c r="A88" s="45"/>
      <c r="B88" s="581">
        <f>'C2'!B3</f>
        <v>33254</v>
      </c>
      <c r="C88" s="581">
        <f>'C2'!B4</f>
        <v>2000</v>
      </c>
      <c r="D88" s="581" t="str">
        <f>'C2'!B5</f>
        <v/>
      </c>
      <c r="E88" s="581"/>
      <c r="F88" s="581" t="str">
        <f>'C2'!B13</f>
        <v/>
      </c>
      <c r="G88" s="581" t="str">
        <f>'C2'!B14</f>
        <v/>
      </c>
      <c r="H88" s="581" t="str">
        <f>'C2'!B15</f>
        <v/>
      </c>
      <c r="I88" s="581" t="str">
        <f>'C2'!B16</f>
        <v/>
      </c>
      <c r="J88" s="581" t="str">
        <f>'C2'!B17</f>
        <v/>
      </c>
      <c r="K88" s="581" t="str">
        <f>'C2'!B18</f>
        <v/>
      </c>
      <c r="L88" s="581" t="str">
        <f>'C2'!B19</f>
        <v/>
      </c>
      <c r="M88" s="581" t="str">
        <f>'C2'!B20</f>
        <v/>
      </c>
      <c r="N88" s="581" t="str">
        <f>'C2'!B21</f>
        <v/>
      </c>
      <c r="O88" s="581" t="str">
        <f>'C2'!B22</f>
        <v/>
      </c>
      <c r="P88" s="581" t="str">
        <f>'C2'!B23</f>
        <v/>
      </c>
      <c r="Q88" s="581" t="str">
        <f>'C2'!B24</f>
        <v/>
      </c>
    </row>
    <row r="89" spans="1:17" x14ac:dyDescent="0.2">
      <c r="A89" s="53">
        <v>1</v>
      </c>
      <c r="B89" s="466" t="str">
        <f>EMP&amp;EMP!K4</f>
        <v>EMP1</v>
      </c>
      <c r="C89" s="466" t="str">
        <f>EMP&amp;EMP!K7</f>
        <v>EMP2</v>
      </c>
      <c r="D89" s="466" t="str">
        <f>EMP&amp;EMP!K10</f>
        <v>EMP3</v>
      </c>
      <c r="E89" s="4415" t="str">
        <f>EMP&amp;EMP!O11</f>
        <v>EMP</v>
      </c>
      <c r="F89" s="466" t="str">
        <f>EMP&amp;EMP!K16</f>
        <v>EMP9</v>
      </c>
      <c r="G89" s="466" t="str">
        <f>EMP&amp;EMP!K19</f>
        <v>EMP10</v>
      </c>
      <c r="H89" s="466" t="str">
        <f>EMP&amp;EMP!K22</f>
        <v>EMP11</v>
      </c>
      <c r="I89" s="466" t="str">
        <f>EMP&amp;EMP!K25</f>
        <v>EMP12</v>
      </c>
      <c r="J89" s="466" t="str">
        <f>EMP&amp;EMP!O16</f>
        <v>EMP13</v>
      </c>
      <c r="K89" s="466" t="str">
        <f>EMP&amp;EMP!O19</f>
        <v>EMP14</v>
      </c>
      <c r="L89" s="466" t="str">
        <f>EMP&amp;EMP!O22</f>
        <v>EMP15</v>
      </c>
      <c r="M89" s="466" t="str">
        <f>EMP&amp;EMP!O25</f>
        <v>EMP16</v>
      </c>
      <c r="N89" s="466" t="str">
        <f>EMP&amp;EMP!K30</f>
        <v>EMP17</v>
      </c>
      <c r="O89" s="466" t="str">
        <f>EMP&amp;EMP!K33</f>
        <v>EMP18</v>
      </c>
      <c r="P89" s="466" t="str">
        <f>EMP&amp;EMP!O30</f>
        <v>EMP19</v>
      </c>
      <c r="Q89" s="466" t="str">
        <f>EMP&amp;EMP!O33</f>
        <v>EMP20</v>
      </c>
    </row>
    <row r="90" spans="1:17" x14ac:dyDescent="0.2">
      <c r="A90" s="43" t="s">
        <v>3768</v>
      </c>
      <c r="B90" s="474" t="s">
        <v>617</v>
      </c>
      <c r="C90" s="474" t="s">
        <v>620</v>
      </c>
      <c r="D90" s="474" t="s">
        <v>623</v>
      </c>
      <c r="E90" s="474" t="s">
        <v>794</v>
      </c>
      <c r="F90" s="474" t="s">
        <v>886</v>
      </c>
      <c r="G90" s="474" t="s">
        <v>889</v>
      </c>
      <c r="H90" s="474" t="s">
        <v>2549</v>
      </c>
      <c r="I90" s="474" t="s">
        <v>2552</v>
      </c>
      <c r="J90" s="474" t="s">
        <v>795</v>
      </c>
      <c r="K90" s="474" t="s">
        <v>796</v>
      </c>
      <c r="L90" s="474" t="s">
        <v>797</v>
      </c>
      <c r="M90" s="474" t="s">
        <v>798</v>
      </c>
      <c r="N90" s="474" t="s">
        <v>59</v>
      </c>
      <c r="O90" s="474" t="s">
        <v>62</v>
      </c>
      <c r="P90" s="474" t="s">
        <v>799</v>
      </c>
      <c r="Q90" s="474" t="s">
        <v>800</v>
      </c>
    </row>
    <row r="91" spans="1:17" x14ac:dyDescent="0.2">
      <c r="A91" s="44">
        <v>17</v>
      </c>
      <c r="B91" s="10" t="s">
        <v>667</v>
      </c>
      <c r="C91" s="10" t="s">
        <v>667</v>
      </c>
      <c r="D91" s="10" t="s">
        <v>667</v>
      </c>
      <c r="E91" s="10" t="s">
        <v>667</v>
      </c>
      <c r="F91" s="10" t="s">
        <v>667</v>
      </c>
      <c r="G91" s="10" t="s">
        <v>667</v>
      </c>
      <c r="H91" s="10" t="s">
        <v>667</v>
      </c>
      <c r="I91" s="10" t="s">
        <v>667</v>
      </c>
      <c r="J91" s="10" t="s">
        <v>667</v>
      </c>
      <c r="K91" s="10" t="s">
        <v>667</v>
      </c>
      <c r="L91" s="10" t="s">
        <v>667</v>
      </c>
      <c r="M91" s="10" t="s">
        <v>667</v>
      </c>
      <c r="N91" s="10" t="s">
        <v>667</v>
      </c>
      <c r="O91" s="10" t="s">
        <v>667</v>
      </c>
      <c r="P91" s="10" t="s">
        <v>667</v>
      </c>
      <c r="Q91" s="10" t="s">
        <v>667</v>
      </c>
    </row>
    <row r="92" spans="1:17" x14ac:dyDescent="0.2">
      <c r="A92" s="45"/>
      <c r="B92" s="581" t="str">
        <f>'C2'!B27</f>
        <v/>
      </c>
      <c r="C92" s="581" t="str">
        <f>'C2'!B28</f>
        <v/>
      </c>
      <c r="D92" s="581" t="str">
        <f>'C2'!B29</f>
        <v/>
      </c>
      <c r="E92" s="581"/>
      <c r="F92" s="581" t="str">
        <f>'C2'!B37</f>
        <v/>
      </c>
      <c r="G92" s="581" t="str">
        <f>'C2'!B38</f>
        <v/>
      </c>
      <c r="H92" s="581" t="str">
        <f>'C2'!B39</f>
        <v/>
      </c>
      <c r="I92" s="581" t="str">
        <f>'C2'!B40</f>
        <v/>
      </c>
      <c r="J92" s="581" t="str">
        <f>'C2'!B41</f>
        <v/>
      </c>
      <c r="K92" s="581" t="str">
        <f>'C2'!B42</f>
        <v/>
      </c>
      <c r="L92" s="581" t="str">
        <f>'C2'!B43</f>
        <v/>
      </c>
      <c r="M92" s="581" t="str">
        <f>'C2'!B44</f>
        <v/>
      </c>
      <c r="N92" s="581" t="str">
        <f>'C2'!B45</f>
        <v/>
      </c>
      <c r="O92" s="581" t="str">
        <f>'C2'!B46</f>
        <v/>
      </c>
      <c r="P92" s="581" t="str">
        <f>'C2'!B47</f>
        <v/>
      </c>
      <c r="Q92" s="581" t="str">
        <f>'C2'!B48</f>
        <v/>
      </c>
    </row>
    <row r="93" spans="1:17" x14ac:dyDescent="0.2">
      <c r="A93" s="53">
        <v>1</v>
      </c>
      <c r="B93" s="466" t="str">
        <f>MOR&amp;MOR!C8</f>
        <v>MOR6</v>
      </c>
      <c r="C93" s="466" t="str">
        <f>MOR&amp;MOR!C19</f>
        <v>MOR38</v>
      </c>
      <c r="D93" s="466" t="str">
        <f>MOR&amp;MOR!G11</f>
        <v>MOR17</v>
      </c>
      <c r="E93" s="466" t="str">
        <f>MOR&amp;MOR!G15</f>
        <v>MOR19</v>
      </c>
      <c r="F93" s="466" t="str">
        <f>MOR&amp;MOR!G19</f>
        <v>MOR39</v>
      </c>
    </row>
    <row r="94" spans="1:17" x14ac:dyDescent="0.2">
      <c r="A94" s="43" t="s">
        <v>2075</v>
      </c>
      <c r="B94" s="465" t="s">
        <v>2190</v>
      </c>
      <c r="C94" s="474" t="s">
        <v>2185</v>
      </c>
      <c r="D94" s="474" t="s">
        <v>663</v>
      </c>
      <c r="E94" s="474" t="s">
        <v>2784</v>
      </c>
      <c r="F94" s="474" t="s">
        <v>2188</v>
      </c>
    </row>
    <row r="95" spans="1:17" x14ac:dyDescent="0.2">
      <c r="A95" s="44">
        <v>6</v>
      </c>
      <c r="B95" s="10" t="s">
        <v>667</v>
      </c>
      <c r="C95" s="10" t="s">
        <v>667</v>
      </c>
      <c r="D95" s="10" t="s">
        <v>667</v>
      </c>
      <c r="E95" s="10" t="s">
        <v>667</v>
      </c>
      <c r="F95" s="10" t="s">
        <v>667</v>
      </c>
    </row>
    <row r="96" spans="1:17" x14ac:dyDescent="0.2">
      <c r="A96" s="47"/>
      <c r="B96" s="467" t="str">
        <f>'C2'!B56</f>
        <v/>
      </c>
      <c r="C96" s="467" t="str">
        <f>'C2'!B88</f>
        <v/>
      </c>
      <c r="D96" s="467" t="str">
        <f>'C2'!B67</f>
        <v/>
      </c>
      <c r="E96" s="551" t="str">
        <f>'C2'!B69</f>
        <v/>
      </c>
      <c r="F96" s="551" t="str">
        <f>'C2'!B89</f>
        <v/>
      </c>
    </row>
    <row r="97" spans="1:26" x14ac:dyDescent="0.2">
      <c r="A97" s="53">
        <v>1</v>
      </c>
      <c r="B97" s="1305" t="str">
        <f>SSE&amp;SE!C5</f>
        <v>SSE29</v>
      </c>
      <c r="C97" s="1305" t="str">
        <f>SSE&amp;SE!C8</f>
        <v>SSE31</v>
      </c>
      <c r="D97" s="1305" t="str">
        <f>SSE&amp;SE!C11</f>
        <v>SSE33</v>
      </c>
      <c r="E97" s="1306" t="str">
        <f>SSE&amp;SE!C14</f>
        <v>SSE36</v>
      </c>
      <c r="F97" s="1305" t="str">
        <f>SSE&amp;SE!C17</f>
        <v>SSE37</v>
      </c>
      <c r="G97" s="1305" t="str">
        <f>SSE&amp;SE!C20</f>
        <v>SSE38</v>
      </c>
      <c r="H97" s="4"/>
      <c r="I97" s="4"/>
      <c r="J97" s="4"/>
      <c r="K97" s="4"/>
      <c r="L97" s="4"/>
      <c r="M97" s="4"/>
      <c r="N97" s="4"/>
      <c r="O97" s="4"/>
      <c r="P97" s="4"/>
      <c r="Q97" s="4"/>
      <c r="R97" s="4"/>
      <c r="S97" s="4"/>
      <c r="T97" s="4"/>
      <c r="U97" s="4"/>
      <c r="V97" s="4"/>
    </row>
    <row r="98" spans="1:26" x14ac:dyDescent="0.2">
      <c r="A98" s="43" t="s">
        <v>801</v>
      </c>
      <c r="B98" s="471" t="s">
        <v>2189</v>
      </c>
      <c r="C98" s="471" t="s">
        <v>2190</v>
      </c>
      <c r="D98" s="20" t="s">
        <v>1594</v>
      </c>
      <c r="E98" s="20" t="s">
        <v>889</v>
      </c>
      <c r="F98" s="20" t="s">
        <v>2547</v>
      </c>
      <c r="G98" s="473" t="s">
        <v>2191</v>
      </c>
      <c r="H98" s="4"/>
      <c r="I98" s="4"/>
      <c r="J98" s="4"/>
      <c r="K98" s="4"/>
      <c r="L98" s="4"/>
      <c r="M98" s="4"/>
      <c r="N98" s="4"/>
      <c r="O98" s="4"/>
      <c r="P98" s="4"/>
      <c r="Q98" s="4"/>
      <c r="R98" s="4"/>
      <c r="S98" s="4"/>
      <c r="T98" s="4"/>
      <c r="U98" s="4"/>
      <c r="V98" s="4"/>
    </row>
    <row r="99" spans="1:26" x14ac:dyDescent="0.2">
      <c r="A99" s="991">
        <v>7</v>
      </c>
      <c r="B99" s="20" t="s">
        <v>667</v>
      </c>
      <c r="C99" s="20" t="s">
        <v>667</v>
      </c>
      <c r="D99" s="20" t="s">
        <v>667</v>
      </c>
      <c r="E99" s="20" t="b">
        <v>0</v>
      </c>
      <c r="F99" s="20" t="b">
        <v>0</v>
      </c>
      <c r="G99" s="20" t="s">
        <v>667</v>
      </c>
      <c r="H99" s="4"/>
      <c r="I99" s="4"/>
      <c r="J99" s="4"/>
      <c r="K99" s="4"/>
      <c r="L99" s="4"/>
      <c r="M99" s="4"/>
      <c r="N99" s="4"/>
      <c r="O99" s="4"/>
      <c r="P99" s="4"/>
      <c r="Q99" s="4"/>
      <c r="R99" s="4"/>
      <c r="S99" s="4"/>
      <c r="T99" s="4"/>
      <c r="U99" s="4"/>
      <c r="V99" s="4"/>
    </row>
    <row r="100" spans="1:26" x14ac:dyDescent="0.2">
      <c r="A100" s="47"/>
      <c r="B100" s="20" t="str">
        <f>'C3'!B33</f>
        <v/>
      </c>
      <c r="C100" s="20" t="str">
        <f>'C3'!B35</f>
        <v/>
      </c>
      <c r="D100" s="20" t="str">
        <f>'C3'!B37</f>
        <v/>
      </c>
      <c r="E100" s="20" t="b">
        <f>'C3'!B40="Y"</f>
        <v>0</v>
      </c>
      <c r="F100" s="20" t="b">
        <f>'C3'!B41="Y"</f>
        <v>0</v>
      </c>
      <c r="G100" s="20" t="str">
        <f>'C3'!B42</f>
        <v/>
      </c>
      <c r="H100" s="4"/>
      <c r="I100" s="4"/>
      <c r="J100" s="4"/>
      <c r="K100" s="4"/>
      <c r="L100" s="4"/>
      <c r="M100" s="4"/>
      <c r="N100" s="4"/>
      <c r="O100" s="4"/>
      <c r="P100" s="4"/>
      <c r="Q100" s="4"/>
      <c r="R100" s="4"/>
      <c r="S100" s="4"/>
      <c r="T100" s="4"/>
      <c r="U100" s="4"/>
      <c r="V100" s="4"/>
    </row>
    <row r="101" spans="1:26" x14ac:dyDescent="0.2">
      <c r="A101" s="53">
        <v>4</v>
      </c>
      <c r="B101" s="2237" t="str">
        <f>FSE&amp;SE!G5</f>
        <v>FSE54</v>
      </c>
      <c r="C101" s="470" t="str">
        <f>FSE&amp;SE!G8</f>
        <v>FSE69</v>
      </c>
      <c r="D101" s="470" t="str">
        <f>FSE&amp;SE!G11</f>
        <v>FSE74</v>
      </c>
      <c r="E101" s="470" t="str">
        <f>FSE&amp;SE!G14</f>
        <v>FSE76</v>
      </c>
      <c r="F101" s="470" t="str">
        <f>FSE&amp;SE!G17</f>
        <v>FSE78</v>
      </c>
      <c r="G101" s="470" t="str">
        <f>FSE&amp;SE!G20</f>
        <v>FSE81</v>
      </c>
      <c r="H101" s="470" t="str">
        <f>FSE&amp;SE!G23</f>
        <v>FSE82</v>
      </c>
      <c r="I101" s="19" t="str">
        <f>FSE&amp;SE!G26</f>
        <v>FSE100</v>
      </c>
      <c r="J101" s="470" t="str">
        <f>FSE&amp;SE!G29</f>
        <v>FSE101</v>
      </c>
      <c r="K101" s="470" t="str">
        <f>FSE&amp;SE!G32</f>
        <v>FSE102</v>
      </c>
      <c r="L101" s="4"/>
      <c r="M101" s="4"/>
      <c r="N101" s="4"/>
      <c r="O101" s="4"/>
      <c r="P101" s="4"/>
      <c r="Q101" s="4"/>
      <c r="R101" s="4"/>
      <c r="S101" s="4"/>
      <c r="T101" s="4"/>
      <c r="U101" s="4"/>
      <c r="V101" s="4"/>
    </row>
    <row r="102" spans="1:26" x14ac:dyDescent="0.2">
      <c r="A102" s="43" t="s">
        <v>801</v>
      </c>
      <c r="B102" s="3073" t="s">
        <v>3851</v>
      </c>
      <c r="C102" s="473" t="s">
        <v>661</v>
      </c>
      <c r="D102" s="473" t="s">
        <v>663</v>
      </c>
      <c r="E102" s="473" t="s">
        <v>664</v>
      </c>
      <c r="F102" s="473" t="s">
        <v>1880</v>
      </c>
      <c r="G102" s="473" t="s">
        <v>1596</v>
      </c>
      <c r="H102" s="473" t="s">
        <v>1321</v>
      </c>
      <c r="I102" s="473" t="s">
        <v>4211</v>
      </c>
      <c r="J102" s="473" t="s">
        <v>4210</v>
      </c>
      <c r="K102" s="473" t="s">
        <v>2608</v>
      </c>
      <c r="L102" s="4"/>
      <c r="M102" s="4"/>
      <c r="N102" s="4"/>
      <c r="O102" s="4"/>
      <c r="P102" s="4"/>
      <c r="Q102" s="4"/>
      <c r="R102" s="4"/>
      <c r="S102" s="4"/>
      <c r="T102" s="4"/>
      <c r="U102" s="4"/>
      <c r="V102" s="4"/>
    </row>
    <row r="103" spans="1:26" x14ac:dyDescent="0.2">
      <c r="A103" s="991">
        <v>11</v>
      </c>
      <c r="B103" s="2238" t="s">
        <v>667</v>
      </c>
      <c r="C103" s="20" t="s">
        <v>667</v>
      </c>
      <c r="D103" s="20" t="s">
        <v>667</v>
      </c>
      <c r="E103" s="20" t="s">
        <v>667</v>
      </c>
      <c r="F103" s="20" t="s">
        <v>667</v>
      </c>
      <c r="G103" s="20" t="s">
        <v>667</v>
      </c>
      <c r="H103" s="20" t="s">
        <v>667</v>
      </c>
      <c r="I103" s="20" t="b">
        <v>0</v>
      </c>
      <c r="J103" s="20" t="b">
        <v>0</v>
      </c>
      <c r="K103" s="20" t="s">
        <v>667</v>
      </c>
      <c r="L103" s="4"/>
      <c r="M103" s="4"/>
      <c r="N103" s="4"/>
      <c r="O103" s="4"/>
      <c r="P103" s="4"/>
      <c r="Q103" s="4"/>
      <c r="R103" s="4"/>
      <c r="S103" s="4"/>
      <c r="T103" s="4"/>
      <c r="U103" s="4"/>
      <c r="V103" s="4"/>
    </row>
    <row r="104" spans="1:26" x14ac:dyDescent="0.2">
      <c r="A104" s="45"/>
      <c r="B104" s="2246"/>
      <c r="C104" s="21" t="str">
        <f>'C3'!B114</f>
        <v/>
      </c>
      <c r="D104" s="21" t="str">
        <f>'C3'!B119</f>
        <v/>
      </c>
      <c r="E104" s="21">
        <f>'C3'!B122</f>
        <v>14190</v>
      </c>
      <c r="F104" s="21" t="str">
        <f>'C3'!B124</f>
        <v/>
      </c>
      <c r="G104" s="21" t="str">
        <f>'C3'!B127</f>
        <v/>
      </c>
      <c r="H104" s="21" t="str">
        <f>'C3'!B128</f>
        <v/>
      </c>
      <c r="I104" s="20" t="b">
        <f>'C3'!B146="Y"</f>
        <v>0</v>
      </c>
      <c r="J104" s="20" t="b">
        <f>'C3'!B147="Y"</f>
        <v>0</v>
      </c>
      <c r="K104" s="549" t="str">
        <f>'C3'!B148</f>
        <v/>
      </c>
      <c r="L104" s="4"/>
      <c r="M104" s="4"/>
      <c r="N104" s="4"/>
      <c r="O104" s="4"/>
      <c r="P104" s="4"/>
      <c r="Q104" s="4"/>
      <c r="R104" s="4"/>
      <c r="S104" s="4"/>
      <c r="T104" s="4"/>
      <c r="U104" s="4"/>
      <c r="V104" s="4"/>
      <c r="Z104" s="4"/>
    </row>
    <row r="105" spans="1:26" x14ac:dyDescent="0.2">
      <c r="A105" s="53">
        <v>1</v>
      </c>
      <c r="B105" s="470" t="str">
        <f>LUN&amp;LUN!C4</f>
        <v>LUN4</v>
      </c>
      <c r="C105" s="470" t="str">
        <f>LUN&amp;LUN!C7</f>
        <v>LUN6</v>
      </c>
      <c r="D105" s="2237" t="str">
        <f>LUN&amp;LUN!C10</f>
        <v>LUN7</v>
      </c>
      <c r="E105" s="470" t="str">
        <f>LUN&amp;LUN!C13</f>
        <v>LUN8</v>
      </c>
      <c r="F105" s="470" t="str">
        <f>LUN&amp;LUN!C16</f>
        <v>LUN9</v>
      </c>
      <c r="G105" s="2237" t="str">
        <f>LUN&amp;LUN!C19</f>
        <v>LUN10</v>
      </c>
      <c r="H105" s="470" t="str">
        <f>LUN&amp;LUN!G4</f>
        <v>LUN14</v>
      </c>
      <c r="I105" s="470" t="str">
        <f>LUN&amp;LUN!G7</f>
        <v>LUN15</v>
      </c>
      <c r="J105" s="470" t="str">
        <f>LUN&amp;LUN!G10</f>
        <v>LUN16</v>
      </c>
      <c r="K105" s="470" t="str">
        <f>LUN&amp;LUN!G13</f>
        <v>LUN17</v>
      </c>
      <c r="L105" s="2237" t="str">
        <f>LUN&amp;LUN!G17</f>
        <v>LUN19</v>
      </c>
      <c r="M105" s="19" t="str">
        <f>LUN&amp;LUN!K4</f>
        <v>LUN51</v>
      </c>
      <c r="N105" s="470" t="str">
        <f>LUN&amp;LUN!K7</f>
        <v>LUN52</v>
      </c>
      <c r="O105" s="470" t="str">
        <f>LUN&amp;LUN!K10</f>
        <v>LUN56</v>
      </c>
      <c r="P105" s="19" t="str">
        <f>LUN&amp;LUN!K13</f>
        <v>LUN63</v>
      </c>
      <c r="Q105" s="470" t="str">
        <f>LUN&amp;LUN!K16</f>
        <v>LUN64</v>
      </c>
      <c r="R105" s="470" t="str">
        <f>LUN&amp;LUN!K19</f>
        <v>LUN65</v>
      </c>
      <c r="S105" s="4"/>
      <c r="T105" s="4"/>
      <c r="U105" s="4"/>
      <c r="V105" s="4"/>
    </row>
    <row r="106" spans="1:26" x14ac:dyDescent="0.2">
      <c r="A106" s="43" t="s">
        <v>3665</v>
      </c>
      <c r="B106" s="472" t="s">
        <v>2181</v>
      </c>
      <c r="C106" s="471" t="s">
        <v>2182</v>
      </c>
      <c r="D106" s="2238" t="s">
        <v>2183</v>
      </c>
      <c r="E106" s="471" t="s">
        <v>2184</v>
      </c>
      <c r="F106" s="471" t="s">
        <v>2192</v>
      </c>
      <c r="G106" s="2238" t="s">
        <v>2185</v>
      </c>
      <c r="H106" s="472" t="s">
        <v>665</v>
      </c>
      <c r="I106" s="472" t="s">
        <v>2783</v>
      </c>
      <c r="J106" s="472" t="s">
        <v>662</v>
      </c>
      <c r="K106" s="472" t="s">
        <v>666</v>
      </c>
      <c r="L106" s="2239" t="s">
        <v>1880</v>
      </c>
      <c r="M106" s="20" t="s">
        <v>617</v>
      </c>
      <c r="N106" s="471" t="s">
        <v>620</v>
      </c>
      <c r="O106" s="20" t="s">
        <v>623</v>
      </c>
      <c r="P106" s="20" t="s">
        <v>4213</v>
      </c>
      <c r="Q106" s="20" t="s">
        <v>796</v>
      </c>
      <c r="R106" s="20" t="s">
        <v>889</v>
      </c>
      <c r="S106" s="4"/>
      <c r="T106" s="4"/>
      <c r="U106" s="4"/>
      <c r="V106" s="4"/>
    </row>
    <row r="107" spans="1:26" x14ac:dyDescent="0.2">
      <c r="A107" s="991">
        <v>18</v>
      </c>
      <c r="B107" s="20" t="s">
        <v>667</v>
      </c>
      <c r="C107" s="20" t="s">
        <v>667</v>
      </c>
      <c r="D107" s="3074" t="s">
        <v>667</v>
      </c>
      <c r="E107" s="20" t="s">
        <v>667</v>
      </c>
      <c r="F107" s="20" t="s">
        <v>667</v>
      </c>
      <c r="G107" s="3074" t="s">
        <v>667</v>
      </c>
      <c r="H107" s="20" t="s">
        <v>667</v>
      </c>
      <c r="I107" s="20" t="s">
        <v>667</v>
      </c>
      <c r="J107" s="20" t="s">
        <v>667</v>
      </c>
      <c r="K107" s="20" t="s">
        <v>667</v>
      </c>
      <c r="L107" s="2238" t="s">
        <v>667</v>
      </c>
      <c r="M107" s="20" t="s">
        <v>667</v>
      </c>
      <c r="N107" s="20" t="s">
        <v>667</v>
      </c>
      <c r="O107" s="20" t="s">
        <v>667</v>
      </c>
      <c r="P107" s="20" t="b">
        <v>0</v>
      </c>
      <c r="Q107" s="20" t="b">
        <v>0</v>
      </c>
      <c r="R107" s="20" t="s">
        <v>667</v>
      </c>
      <c r="S107" s="4"/>
      <c r="T107" s="4"/>
      <c r="U107" s="4"/>
      <c r="V107" s="4"/>
    </row>
    <row r="108" spans="1:26" x14ac:dyDescent="0.2">
      <c r="A108" s="47"/>
      <c r="B108" s="20" t="str">
        <f>'C3'!B155</f>
        <v/>
      </c>
      <c r="C108" s="20" t="str">
        <f>'C3'!B157</f>
        <v/>
      </c>
      <c r="D108" s="3075"/>
      <c r="E108" s="20" t="str">
        <f>'C3'!B159</f>
        <v/>
      </c>
      <c r="F108" s="20" t="str">
        <f>'C3'!B160</f>
        <v/>
      </c>
      <c r="G108" s="3075"/>
      <c r="H108" s="20" t="str">
        <f>'C3'!B165</f>
        <v/>
      </c>
      <c r="I108" s="21" t="str">
        <f>'C3'!B166</f>
        <v/>
      </c>
      <c r="J108" s="21" t="str">
        <f>'C3'!B167</f>
        <v/>
      </c>
      <c r="K108" s="21" t="str">
        <f>'C3'!B168</f>
        <v/>
      </c>
      <c r="L108" s="2240"/>
      <c r="M108" s="21" t="str">
        <f>'C3'!B202</f>
        <v/>
      </c>
      <c r="N108" s="21" t="str">
        <f>'C3'!B203</f>
        <v/>
      </c>
      <c r="O108" s="21" t="str">
        <f>'C3'!B207</f>
        <v/>
      </c>
      <c r="P108" s="21" t="b">
        <f>'C3'!B214="Y"</f>
        <v>0</v>
      </c>
      <c r="Q108" s="21" t="b">
        <f>'C3'!B215="Y"</f>
        <v>0</v>
      </c>
      <c r="R108" s="549" t="str">
        <f>'C3'!B216</f>
        <v/>
      </c>
      <c r="S108" s="4"/>
      <c r="T108" s="4"/>
      <c r="U108" s="4"/>
      <c r="V108" s="4"/>
    </row>
    <row r="109" spans="1:26" x14ac:dyDescent="0.2">
      <c r="A109" s="53">
        <v>1</v>
      </c>
      <c r="B109" s="470" t="str">
        <f>SPS&amp;PS!C4</f>
        <v>SPS13</v>
      </c>
      <c r="C109" s="470" t="str">
        <f>SPS&amp;PS!C10</f>
        <v>SPS17</v>
      </c>
      <c r="D109" s="470" t="str">
        <f>SPS&amp;PS!C13</f>
        <v>SPS20</v>
      </c>
      <c r="E109" s="470" t="str">
        <f>SPS&amp;PS!C16</f>
        <v>SPS22</v>
      </c>
      <c r="F109" s="1305" t="str">
        <f>SPS&amp;PS!C19</f>
        <v>SPS25</v>
      </c>
      <c r="G109" s="1305" t="str">
        <f>SPS&amp;PS!C22</f>
        <v>SPS26</v>
      </c>
      <c r="H109" s="470" t="str">
        <f>SPS&amp;PS!C25</f>
        <v>SPS27</v>
      </c>
      <c r="I109" s="470" t="str">
        <f>SPS&amp;PS!C28</f>
        <v>SPS28</v>
      </c>
      <c r="J109" s="469" t="str">
        <f>SPS&amp;PS!C31</f>
        <v>SPS30</v>
      </c>
      <c r="K109" s="469" t="str">
        <f>SPS&amp;PS!C34</f>
        <v>SPS31</v>
      </c>
      <c r="M109" s="4"/>
      <c r="N109" s="4"/>
      <c r="O109" s="4"/>
      <c r="P109" s="4"/>
      <c r="Q109" s="4"/>
      <c r="R109" s="4"/>
      <c r="S109" s="4"/>
      <c r="T109" s="4"/>
      <c r="U109" s="4"/>
      <c r="V109" s="4"/>
    </row>
    <row r="110" spans="1:26" x14ac:dyDescent="0.2">
      <c r="A110" s="43" t="s">
        <v>802</v>
      </c>
      <c r="B110" s="473" t="s">
        <v>2181</v>
      </c>
      <c r="C110" s="473" t="s">
        <v>2183</v>
      </c>
      <c r="D110" s="473" t="s">
        <v>2184</v>
      </c>
      <c r="E110" s="473" t="s">
        <v>2192</v>
      </c>
      <c r="F110" s="20" t="s">
        <v>3394</v>
      </c>
      <c r="G110" s="20" t="s">
        <v>3396</v>
      </c>
      <c r="H110" s="473" t="s">
        <v>2187</v>
      </c>
      <c r="I110" s="473" t="s">
        <v>2194</v>
      </c>
      <c r="J110" s="473" t="s">
        <v>803</v>
      </c>
      <c r="K110" s="473" t="s">
        <v>767</v>
      </c>
      <c r="M110" s="4"/>
      <c r="N110" s="4"/>
      <c r="O110" s="4"/>
      <c r="P110" s="4"/>
      <c r="Q110" s="4"/>
      <c r="R110" s="4"/>
      <c r="S110" s="4"/>
      <c r="T110" s="4"/>
      <c r="U110" s="4"/>
      <c r="V110" s="4"/>
    </row>
    <row r="111" spans="1:26" x14ac:dyDescent="0.2">
      <c r="A111" s="991">
        <v>11</v>
      </c>
      <c r="B111" s="20" t="s">
        <v>667</v>
      </c>
      <c r="C111" s="20" t="s">
        <v>667</v>
      </c>
      <c r="D111" s="20" t="s">
        <v>667</v>
      </c>
      <c r="E111" s="20" t="s">
        <v>667</v>
      </c>
      <c r="F111" s="20" t="b">
        <v>0</v>
      </c>
      <c r="G111" s="20" t="b">
        <v>0</v>
      </c>
      <c r="H111" s="20" t="s">
        <v>667</v>
      </c>
      <c r="I111" s="20" t="s">
        <v>667</v>
      </c>
      <c r="J111" s="20" t="s">
        <v>667</v>
      </c>
      <c r="K111" s="20" t="s">
        <v>667</v>
      </c>
      <c r="M111" s="4"/>
      <c r="N111" s="4"/>
      <c r="O111" s="4"/>
      <c r="P111" s="4"/>
      <c r="Q111" s="4"/>
      <c r="R111" s="4"/>
      <c r="S111" s="4"/>
      <c r="T111" s="4"/>
      <c r="U111" s="4"/>
      <c r="V111" s="4"/>
    </row>
    <row r="112" spans="1:26" x14ac:dyDescent="0.2">
      <c r="A112" s="47"/>
      <c r="B112" s="21" t="str">
        <f>'C4'!B15</f>
        <v/>
      </c>
      <c r="C112" s="21" t="str">
        <f>'C4'!B19</f>
        <v/>
      </c>
      <c r="D112" s="21" t="str">
        <f>'C4'!B22</f>
        <v/>
      </c>
      <c r="E112" s="21" t="str">
        <f>'C4'!B24</f>
        <v/>
      </c>
      <c r="F112" s="20" t="b">
        <f>'C4'!B27="Y"</f>
        <v>0</v>
      </c>
      <c r="G112" s="20" t="b">
        <f>'C4'!B28="Y"</f>
        <v>0</v>
      </c>
      <c r="H112" s="21" t="str">
        <f>'C4'!B29</f>
        <v/>
      </c>
      <c r="I112" s="21" t="str">
        <f>'C4'!B30</f>
        <v/>
      </c>
      <c r="J112" s="21" t="str">
        <f>'C4'!B32</f>
        <v/>
      </c>
      <c r="K112" s="21" t="str">
        <f>'C4'!B33</f>
        <v/>
      </c>
      <c r="M112" s="4"/>
      <c r="N112" s="4"/>
      <c r="O112" s="4"/>
      <c r="P112" s="4"/>
      <c r="Q112" s="4"/>
      <c r="R112" s="4"/>
      <c r="S112" s="4"/>
      <c r="T112" s="4"/>
      <c r="U112" s="4"/>
      <c r="V112" s="4"/>
    </row>
    <row r="113" spans="1:43" x14ac:dyDescent="0.2">
      <c r="A113" s="53">
        <v>1</v>
      </c>
      <c r="B113" s="1307" t="str">
        <f>FPS&amp;PS!G4</f>
        <v>FPS13</v>
      </c>
      <c r="C113" s="1307" t="str">
        <f>FPS&amp;PS!J4</f>
        <v>FPS17</v>
      </c>
      <c r="D113" s="1307" t="str">
        <f>FPS&amp;PS!J7</f>
        <v>FPS20</v>
      </c>
      <c r="E113" s="1307" t="str">
        <f>FPS&amp;PS!G10</f>
        <v>FPS22</v>
      </c>
      <c r="F113" s="1308" t="str">
        <f>FPS&amp;PS!G13</f>
        <v>FPS25</v>
      </c>
      <c r="G113" s="1305" t="str">
        <f>FPS&amp;PS!J13</f>
        <v>FPS26</v>
      </c>
      <c r="H113" s="470" t="str">
        <f>FPS&amp;PS!M13</f>
        <v>FPS27</v>
      </c>
      <c r="I113" s="470" t="str">
        <f>FPS&amp;PS!G16</f>
        <v>FPS35</v>
      </c>
      <c r="J113" s="1306" t="str">
        <f>FPS&amp;PS!G19</f>
        <v>FPS38</v>
      </c>
      <c r="K113" s="470" t="str">
        <f>FPS&amp;PS!J19</f>
        <v>FPS39</v>
      </c>
      <c r="L113" s="470" t="s">
        <v>2234</v>
      </c>
      <c r="M113" s="470" t="s">
        <v>6559</v>
      </c>
      <c r="N113" s="470" t="s">
        <v>6855</v>
      </c>
      <c r="O113" s="1305" t="str">
        <f>FPS&amp;PS!G28</f>
        <v>FPS47</v>
      </c>
      <c r="P113" s="1305" t="str">
        <f>FPS&amp;PS!G31</f>
        <v>FPS58</v>
      </c>
      <c r="Q113" s="2241" t="s">
        <v>705</v>
      </c>
      <c r="R113" s="2241" t="s">
        <v>6558</v>
      </c>
      <c r="S113" s="2241" t="s">
        <v>6856</v>
      </c>
      <c r="T113" s="470" t="str">
        <f>FPS&amp;PS!G40</f>
        <v>FPS70</v>
      </c>
      <c r="U113" s="470" t="str">
        <f>FPS&amp;PS!J46</f>
        <v>FPS73</v>
      </c>
      <c r="V113" s="470" t="str">
        <f>FPS&amp;PS!G43</f>
        <v>FPS76</v>
      </c>
      <c r="W113" s="470" t="str">
        <f>FPS&amp;PS!G46</f>
        <v>FPS77</v>
      </c>
      <c r="X113" s="470" t="str">
        <f>FPS&amp;PS!G49</f>
        <v>FPS78</v>
      </c>
      <c r="Y113" s="470" t="str">
        <f>FPS&amp;PS!J49</f>
        <v>FPS79</v>
      </c>
      <c r="Z113" s="2241" t="str">
        <f>FPS&amp;PS!M25</f>
        <v>FPSAF1</v>
      </c>
      <c r="AA113" s="2241" t="str">
        <f>FPS&amp;PS!M37</f>
        <v>FPSAF2</v>
      </c>
      <c r="AB113" s="4"/>
      <c r="AC113" s="4"/>
    </row>
    <row r="114" spans="1:43" x14ac:dyDescent="0.2">
      <c r="A114" s="43" t="s">
        <v>802</v>
      </c>
      <c r="B114" s="20" t="s">
        <v>665</v>
      </c>
      <c r="C114" s="20" t="s">
        <v>4323</v>
      </c>
      <c r="D114" s="473" t="s">
        <v>4324</v>
      </c>
      <c r="E114" s="473" t="s">
        <v>662</v>
      </c>
      <c r="F114" s="20" t="s">
        <v>6283</v>
      </c>
      <c r="G114" s="20" t="s">
        <v>3692</v>
      </c>
      <c r="H114" s="20" t="s">
        <v>6284</v>
      </c>
      <c r="I114" s="471" t="s">
        <v>629</v>
      </c>
      <c r="J114" s="20" t="s">
        <v>2188</v>
      </c>
      <c r="K114" s="471" t="s">
        <v>6285</v>
      </c>
      <c r="L114" s="471" t="s">
        <v>2193</v>
      </c>
      <c r="M114" s="471" t="s">
        <v>811</v>
      </c>
      <c r="N114" s="471" t="s">
        <v>6858</v>
      </c>
      <c r="O114" s="20" t="s">
        <v>2195</v>
      </c>
      <c r="P114" s="20" t="s">
        <v>809</v>
      </c>
      <c r="Q114" s="3076" t="s">
        <v>4253</v>
      </c>
      <c r="R114" s="3076" t="s">
        <v>6864</v>
      </c>
      <c r="S114" s="3076" t="s">
        <v>6870</v>
      </c>
      <c r="T114" s="471" t="s">
        <v>4328</v>
      </c>
      <c r="U114" s="471" t="s">
        <v>6865</v>
      </c>
      <c r="V114" s="472" t="s">
        <v>4331</v>
      </c>
      <c r="W114" s="472" t="s">
        <v>6866</v>
      </c>
      <c r="X114" s="472" t="s">
        <v>6867</v>
      </c>
      <c r="Y114" s="471" t="s">
        <v>6868</v>
      </c>
      <c r="Z114" s="3076" t="s">
        <v>4243</v>
      </c>
      <c r="AA114" s="3076" t="s">
        <v>6869</v>
      </c>
      <c r="AB114" s="4"/>
      <c r="AC114" s="4"/>
    </row>
    <row r="115" spans="1:43" x14ac:dyDescent="0.2">
      <c r="A115" s="991">
        <v>27</v>
      </c>
      <c r="B115" s="20" t="s">
        <v>667</v>
      </c>
      <c r="C115" s="20" t="s">
        <v>667</v>
      </c>
      <c r="D115" s="20" t="s">
        <v>667</v>
      </c>
      <c r="E115" s="20" t="s">
        <v>667</v>
      </c>
      <c r="F115" s="20" t="b">
        <v>0</v>
      </c>
      <c r="G115" s="20" t="b">
        <v>0</v>
      </c>
      <c r="H115" s="20" t="s">
        <v>667</v>
      </c>
      <c r="I115" s="20" t="s">
        <v>667</v>
      </c>
      <c r="J115" s="20" t="s">
        <v>667</v>
      </c>
      <c r="K115" s="20" t="s">
        <v>667</v>
      </c>
      <c r="L115" s="20" t="s">
        <v>667</v>
      </c>
      <c r="M115" s="20" t="s">
        <v>667</v>
      </c>
      <c r="N115" s="20" t="s">
        <v>667</v>
      </c>
      <c r="O115" s="20" t="s">
        <v>667</v>
      </c>
      <c r="P115" s="20" t="s">
        <v>667</v>
      </c>
      <c r="Q115" s="1345" t="s">
        <v>667</v>
      </c>
      <c r="R115" s="1345" t="s">
        <v>667</v>
      </c>
      <c r="S115" s="1345" t="s">
        <v>667</v>
      </c>
      <c r="T115" s="20" t="s">
        <v>667</v>
      </c>
      <c r="U115" s="20" t="s">
        <v>667</v>
      </c>
      <c r="V115" s="20" t="s">
        <v>667</v>
      </c>
      <c r="W115" s="20" t="s">
        <v>667</v>
      </c>
      <c r="X115" s="20" t="s">
        <v>667</v>
      </c>
      <c r="Y115" s="20" t="s">
        <v>667</v>
      </c>
      <c r="Z115" s="1345" t="s">
        <v>667</v>
      </c>
      <c r="AA115" s="1345" t="s">
        <v>667</v>
      </c>
      <c r="AB115" s="4"/>
      <c r="AC115" s="4"/>
    </row>
    <row r="116" spans="1:43" x14ac:dyDescent="0.2">
      <c r="A116" s="47"/>
      <c r="B116" s="1309" t="str">
        <f>'C4'!B49</f>
        <v/>
      </c>
      <c r="C116" s="1068" t="str">
        <f>'C4'!B53</f>
        <v/>
      </c>
      <c r="D116" s="1309" t="str">
        <f>'C4'!B56</f>
        <v/>
      </c>
      <c r="E116" s="1309" t="str">
        <f>'C4'!B58</f>
        <v/>
      </c>
      <c r="F116" s="1309" t="b">
        <f>'C4'!B61="Y"</f>
        <v>0</v>
      </c>
      <c r="G116" s="21" t="b">
        <f>'C4'!B62="Y"</f>
        <v>0</v>
      </c>
      <c r="H116" s="21" t="str">
        <f>'C4'!B63</f>
        <v/>
      </c>
      <c r="I116" s="21" t="str">
        <f>'C4'!B71</f>
        <v/>
      </c>
      <c r="J116" s="21" t="str">
        <f>'C4'!B74</f>
        <v/>
      </c>
      <c r="K116" s="21" t="str">
        <f>'C4'!B75</f>
        <v/>
      </c>
      <c r="L116" s="20" t="str">
        <f>'C4'!B77</f>
        <v/>
      </c>
      <c r="M116" s="21" t="str">
        <f>'C4'!B78</f>
        <v/>
      </c>
      <c r="N116" s="21" t="str">
        <f>'C4'!B79</f>
        <v/>
      </c>
      <c r="O116" s="21" t="str">
        <f>'C4'!B86</f>
        <v/>
      </c>
      <c r="P116" s="21" t="str">
        <f>'C4'!B97</f>
        <v/>
      </c>
      <c r="Q116" s="2242" t="str">
        <f>'C4'!B99</f>
        <v/>
      </c>
      <c r="R116" s="2242" t="str">
        <f>'C4'!B103</f>
        <v/>
      </c>
      <c r="S116" s="2242" t="str">
        <f>'C4'!B104</f>
        <v/>
      </c>
      <c r="T116" s="21" t="str">
        <f>'C4'!B112</f>
        <v/>
      </c>
      <c r="U116" s="21" t="str">
        <f>'C4'!B115</f>
        <v/>
      </c>
      <c r="V116" s="549" t="str">
        <f>'C4'!B118</f>
        <v/>
      </c>
      <c r="W116" s="549" t="str">
        <f>'C4'!B119</f>
        <v/>
      </c>
      <c r="X116" s="549" t="str">
        <f>'C4'!B120</f>
        <v/>
      </c>
      <c r="Y116" s="549" t="str">
        <f>'C4'!B121</f>
        <v/>
      </c>
      <c r="Z116" s="2243" t="str">
        <f>'C4'!B80</f>
        <v/>
      </c>
      <c r="AA116" s="2243" t="str">
        <f>'C4'!B105</f>
        <v/>
      </c>
      <c r="AB116" s="4"/>
      <c r="AC116" s="4"/>
    </row>
    <row r="117" spans="1:43" x14ac:dyDescent="0.2">
      <c r="A117" s="1097">
        <v>11</v>
      </c>
      <c r="B117" s="2241" t="s">
        <v>6310</v>
      </c>
      <c r="C117" s="2241" t="s">
        <v>4574</v>
      </c>
      <c r="D117" s="2241" t="s">
        <v>4573</v>
      </c>
      <c r="F117" s="1093"/>
      <c r="G117" s="1093"/>
      <c r="H117" s="1093"/>
      <c r="I117" s="1093"/>
      <c r="J117" s="1093"/>
      <c r="K117" s="1093"/>
      <c r="L117" s="1093"/>
      <c r="M117" s="1093"/>
      <c r="N117" s="1093"/>
      <c r="O117" s="49"/>
      <c r="P117" s="49"/>
      <c r="Q117" s="1090"/>
      <c r="R117" s="1090"/>
      <c r="S117" s="1090"/>
      <c r="T117" s="1090"/>
      <c r="U117" s="1090"/>
      <c r="V117" s="1090"/>
    </row>
    <row r="118" spans="1:43" x14ac:dyDescent="0.2">
      <c r="A118" s="43" t="s">
        <v>4560</v>
      </c>
      <c r="B118" s="471" t="s">
        <v>2182</v>
      </c>
      <c r="C118" s="471" t="s">
        <v>1594</v>
      </c>
      <c r="D118" s="471" t="s">
        <v>6315</v>
      </c>
      <c r="F118" s="1092"/>
      <c r="G118" s="1092"/>
      <c r="H118" s="1092"/>
      <c r="I118" s="1092"/>
      <c r="J118" s="1092"/>
      <c r="K118" s="1092"/>
      <c r="L118" s="1092"/>
      <c r="M118" s="1092"/>
      <c r="N118" s="1092"/>
      <c r="O118" s="49"/>
      <c r="P118" s="49"/>
      <c r="Q118" s="2244"/>
      <c r="R118" s="1090"/>
      <c r="S118" s="1090"/>
      <c r="T118" s="1090"/>
      <c r="U118" s="1090"/>
      <c r="V118" s="1090"/>
    </row>
    <row r="119" spans="1:43" x14ac:dyDescent="0.2">
      <c r="A119" s="991">
        <v>4</v>
      </c>
      <c r="B119" s="20" t="s">
        <v>667</v>
      </c>
      <c r="C119" s="20" t="s">
        <v>667</v>
      </c>
      <c r="D119" s="20">
        <v>2</v>
      </c>
      <c r="F119" s="1092"/>
      <c r="G119" s="1092"/>
      <c r="H119" s="1092"/>
      <c r="I119" s="1092"/>
      <c r="J119" s="1092"/>
      <c r="K119" s="1092"/>
      <c r="L119" s="1092"/>
      <c r="M119" s="1092"/>
      <c r="N119" s="1092"/>
      <c r="O119" s="49"/>
      <c r="P119" s="49"/>
      <c r="Q119" s="1090"/>
      <c r="R119" s="1090"/>
      <c r="S119" s="1090"/>
      <c r="T119" s="1090"/>
      <c r="U119" s="1090"/>
      <c r="V119" s="1090"/>
    </row>
    <row r="120" spans="1:43" x14ac:dyDescent="0.2">
      <c r="A120" s="1098"/>
      <c r="B120" s="3077"/>
      <c r="C120" s="3077">
        <f>'C8C9C10'!B131</f>
        <v>117</v>
      </c>
      <c r="D120" s="3077">
        <f>'C8C9C10'!B132</f>
        <v>2</v>
      </c>
      <c r="F120" s="1092"/>
      <c r="G120" s="1092"/>
      <c r="H120" s="1092"/>
      <c r="I120" s="1092"/>
      <c r="J120" s="1092"/>
      <c r="K120" s="1092"/>
      <c r="L120" s="1092"/>
      <c r="M120" s="1092"/>
      <c r="N120" s="1092"/>
      <c r="O120" s="49"/>
      <c r="P120" s="49"/>
      <c r="Q120" s="1090"/>
      <c r="R120" s="1090"/>
      <c r="S120" s="1090"/>
      <c r="T120" s="1090"/>
      <c r="U120" s="1090"/>
      <c r="V120" s="1090"/>
    </row>
    <row r="121" spans="1:43" x14ac:dyDescent="0.2">
      <c r="A121" s="1097">
        <v>4</v>
      </c>
      <c r="B121" s="2241" t="s">
        <v>5880</v>
      </c>
      <c r="C121" s="2241" t="s">
        <v>5881</v>
      </c>
      <c r="F121" s="1092"/>
      <c r="G121" s="1092"/>
      <c r="H121" s="1092"/>
      <c r="I121" s="1092"/>
      <c r="J121" s="1092"/>
      <c r="K121" s="1092"/>
      <c r="L121" s="1092"/>
      <c r="M121" s="1092"/>
      <c r="N121" s="1092"/>
      <c r="O121" s="49"/>
      <c r="P121" s="49"/>
      <c r="Q121" s="1090"/>
      <c r="R121" s="1090"/>
      <c r="S121" s="1090"/>
      <c r="T121" s="1090"/>
      <c r="U121" s="1090"/>
      <c r="V121" s="1090"/>
    </row>
    <row r="122" spans="1:43" x14ac:dyDescent="0.2">
      <c r="A122" s="43" t="s">
        <v>4560</v>
      </c>
      <c r="B122" s="473" t="s">
        <v>2185</v>
      </c>
      <c r="C122" s="473" t="s">
        <v>3408</v>
      </c>
      <c r="F122" s="1092"/>
      <c r="G122" s="1092"/>
      <c r="H122" s="1092"/>
      <c r="I122" s="1092"/>
      <c r="J122" s="1092"/>
      <c r="K122" s="1092"/>
      <c r="L122" s="1092"/>
      <c r="M122" s="1092"/>
      <c r="N122" s="1092"/>
      <c r="O122" s="49"/>
      <c r="P122" s="49"/>
      <c r="Q122" s="1090"/>
      <c r="R122" s="1090"/>
      <c r="S122" s="1090"/>
      <c r="T122" s="1090"/>
      <c r="U122" s="1090"/>
      <c r="V122" s="1090"/>
    </row>
    <row r="123" spans="1:43" x14ac:dyDescent="0.2">
      <c r="A123" s="991">
        <v>3</v>
      </c>
      <c r="B123" s="10" t="s">
        <v>667</v>
      </c>
      <c r="C123" s="10" t="s">
        <v>667</v>
      </c>
      <c r="F123" s="1092"/>
      <c r="G123" s="1092"/>
      <c r="H123" s="1092"/>
      <c r="I123" s="1092"/>
      <c r="J123" s="1092"/>
      <c r="K123" s="1092"/>
      <c r="L123" s="1092"/>
      <c r="M123" s="1092"/>
      <c r="N123" s="1092"/>
      <c r="O123" s="49"/>
      <c r="P123" s="49"/>
      <c r="Q123" s="1090"/>
      <c r="R123" s="1090"/>
      <c r="S123" s="1090"/>
      <c r="T123" s="1090"/>
      <c r="U123" s="1090"/>
      <c r="V123" s="1090"/>
    </row>
    <row r="124" spans="1:43" x14ac:dyDescent="0.2">
      <c r="A124" s="1098"/>
      <c r="B124" s="472">
        <f>'C2'!B94</f>
        <v>24622</v>
      </c>
      <c r="C124" s="472">
        <f>'C2'!B97</f>
        <v>0</v>
      </c>
      <c r="F124" s="1099"/>
      <c r="G124" s="1092"/>
      <c r="H124" s="1092"/>
      <c r="I124" s="1092"/>
      <c r="J124" s="1092"/>
      <c r="K124" s="1092"/>
      <c r="L124" s="1092"/>
      <c r="M124" s="1092"/>
      <c r="N124" s="1092"/>
      <c r="O124" s="49"/>
      <c r="P124" s="49"/>
      <c r="Q124" s="1090"/>
      <c r="R124" s="1090"/>
      <c r="S124" s="1090"/>
      <c r="T124" s="1090"/>
      <c r="U124" s="1090"/>
      <c r="V124" s="1090"/>
    </row>
    <row r="125" spans="1:43" x14ac:dyDescent="0.2">
      <c r="A125" s="53">
        <v>1</v>
      </c>
      <c r="B125" s="470" t="str">
        <f>PRO&amp;PRO!C7</f>
        <v>PRO13</v>
      </c>
      <c r="C125" s="470" t="str">
        <f>PRO&amp;PRO!C14</f>
        <v>PRO13</v>
      </c>
      <c r="D125" s="470" t="str">
        <f>PRO&amp;PRO!C10</f>
        <v>PRO14</v>
      </c>
      <c r="E125" s="470" t="str">
        <f>PRO&amp;PRO!C17</f>
        <v>PRO14</v>
      </c>
      <c r="F125" s="470" t="str">
        <f>PRO&amp;PRO!G10</f>
        <v>PRO15</v>
      </c>
      <c r="G125" s="470" t="str">
        <f>PRO&amp;PRO!G17</f>
        <v>PRO15</v>
      </c>
      <c r="H125" s="470" t="str">
        <f>PRO&amp;PRO!C21</f>
        <v>PRO21</v>
      </c>
      <c r="I125" s="470" t="str">
        <f>PRO&amp;PRO!G21</f>
        <v>PRO22</v>
      </c>
      <c r="J125" s="2237" t="str">
        <f>PRO&amp;PRO!G24</f>
        <v>PRO33</v>
      </c>
      <c r="K125" s="470" t="str">
        <f>PRO&amp;PRO!G27</f>
        <v>PRO38</v>
      </c>
      <c r="L125" s="470" t="str">
        <f>PRO&amp;PRO!G30</f>
        <v>PRO39</v>
      </c>
      <c r="M125" s="470" t="str">
        <f>PRO&amp;PRO!G33</f>
        <v>PRO40</v>
      </c>
      <c r="N125" s="470" t="str">
        <f>PRO&amp;PRO!G36</f>
        <v>PRO42</v>
      </c>
      <c r="O125" s="470" t="str">
        <f>PRO&amp;PRO!G39</f>
        <v>PRO44</v>
      </c>
      <c r="P125" s="470" t="str">
        <f>PRO&amp;PRO!G42</f>
        <v>PRO45</v>
      </c>
      <c r="Q125" s="4"/>
      <c r="R125" s="4"/>
      <c r="S125" s="4"/>
      <c r="T125" s="4"/>
      <c r="U125" s="4"/>
      <c r="V125" s="4"/>
      <c r="W125" s="4"/>
      <c r="X125" s="4"/>
      <c r="Y125" s="4"/>
      <c r="Z125" s="4"/>
      <c r="AA125" s="4"/>
      <c r="AB125" s="4"/>
      <c r="AC125" s="4"/>
      <c r="AD125" s="4"/>
      <c r="AE125" s="4"/>
      <c r="AF125" s="4"/>
      <c r="AG125" s="4"/>
      <c r="AH125" s="4"/>
      <c r="AI125" s="4"/>
      <c r="AJ125" s="4"/>
      <c r="AK125" s="4"/>
      <c r="AL125" s="4"/>
      <c r="AM125" s="4"/>
      <c r="AN125" s="4"/>
      <c r="AO125" s="4"/>
      <c r="AP125" s="4"/>
      <c r="AQ125" s="4"/>
    </row>
    <row r="126" spans="1:43" x14ac:dyDescent="0.2">
      <c r="A126" s="43" t="s">
        <v>3318</v>
      </c>
      <c r="B126" s="20" t="s">
        <v>2182</v>
      </c>
      <c r="C126" s="20" t="s">
        <v>1502</v>
      </c>
      <c r="D126" s="20" t="s">
        <v>2183</v>
      </c>
      <c r="E126" s="20" t="s">
        <v>1595</v>
      </c>
      <c r="F126" s="471" t="s">
        <v>662</v>
      </c>
      <c r="G126" s="471" t="s">
        <v>1880</v>
      </c>
      <c r="H126" s="471" t="s">
        <v>5830</v>
      </c>
      <c r="I126" s="471" t="s">
        <v>3784</v>
      </c>
      <c r="J126" s="2247" t="s">
        <v>3339</v>
      </c>
      <c r="K126" s="20" t="s">
        <v>3340</v>
      </c>
      <c r="L126" s="20" t="s">
        <v>792</v>
      </c>
      <c r="M126" s="471" t="s">
        <v>793</v>
      </c>
      <c r="N126" s="471" t="s">
        <v>2607</v>
      </c>
      <c r="O126" s="471" t="s">
        <v>6251</v>
      </c>
      <c r="P126" s="471" t="s">
        <v>6877</v>
      </c>
      <c r="Q126" s="4"/>
      <c r="R126" s="4"/>
      <c r="S126" s="4"/>
      <c r="T126" s="4"/>
      <c r="U126" s="4"/>
      <c r="V126" s="4"/>
      <c r="W126" s="4"/>
      <c r="X126" s="4"/>
      <c r="Y126" s="4"/>
      <c r="Z126" s="4"/>
      <c r="AA126" s="4"/>
      <c r="AB126" s="4"/>
      <c r="AC126" s="4"/>
      <c r="AD126" s="4"/>
      <c r="AE126" s="4"/>
      <c r="AF126" s="4"/>
      <c r="AG126" s="4"/>
      <c r="AH126" s="4"/>
      <c r="AI126" s="4"/>
      <c r="AJ126" s="4"/>
      <c r="AK126" s="4"/>
      <c r="AL126" s="4"/>
      <c r="AM126" s="4"/>
      <c r="AN126" s="4"/>
      <c r="AO126" s="4"/>
      <c r="AP126" s="4"/>
      <c r="AQ126" s="4"/>
    </row>
    <row r="127" spans="1:43" x14ac:dyDescent="0.2">
      <c r="A127" s="991">
        <v>16</v>
      </c>
      <c r="B127" s="20" t="s">
        <v>667</v>
      </c>
      <c r="C127" s="20" t="s">
        <v>667</v>
      </c>
      <c r="D127" s="20" t="s">
        <v>667</v>
      </c>
      <c r="E127" s="20" t="s">
        <v>667</v>
      </c>
      <c r="F127" s="20" t="s">
        <v>667</v>
      </c>
      <c r="G127" s="20" t="s">
        <v>667</v>
      </c>
      <c r="H127" s="20" t="s">
        <v>667</v>
      </c>
      <c r="I127" s="20" t="s">
        <v>667</v>
      </c>
      <c r="J127" s="2238" t="s">
        <v>667</v>
      </c>
      <c r="K127" s="1345" t="s">
        <v>667</v>
      </c>
      <c r="L127" s="1345" t="s">
        <v>667</v>
      </c>
      <c r="M127" s="20" t="s">
        <v>667</v>
      </c>
      <c r="N127" s="20" t="s">
        <v>667</v>
      </c>
      <c r="O127" s="20" t="s">
        <v>667</v>
      </c>
      <c r="P127" s="20" t="s">
        <v>667</v>
      </c>
      <c r="Q127" s="4"/>
      <c r="R127" s="4"/>
      <c r="S127" s="4"/>
      <c r="T127" s="4"/>
      <c r="U127" s="4"/>
      <c r="V127" s="4"/>
      <c r="W127" s="4"/>
      <c r="X127" s="4"/>
      <c r="Y127" s="4"/>
      <c r="Z127" s="4"/>
      <c r="AA127" s="4"/>
      <c r="AB127" s="4"/>
      <c r="AC127" s="4"/>
      <c r="AD127" s="4"/>
      <c r="AE127" s="4"/>
      <c r="AF127" s="4"/>
      <c r="AG127" s="4"/>
      <c r="AH127" s="4"/>
      <c r="AI127" s="4"/>
      <c r="AJ127" s="4"/>
      <c r="AK127" s="4"/>
      <c r="AL127" s="4"/>
      <c r="AM127" s="4"/>
      <c r="AN127" s="4"/>
      <c r="AO127" s="4"/>
      <c r="AP127" s="4"/>
      <c r="AQ127" s="4"/>
    </row>
    <row r="128" spans="1:43" x14ac:dyDescent="0.2">
      <c r="A128" s="47"/>
      <c r="B128" s="675" t="str">
        <f>'C5'!B17</f>
        <v/>
      </c>
      <c r="C128" s="675" t="str">
        <f>'C5'!B35</f>
        <v/>
      </c>
      <c r="D128" s="675" t="str">
        <f>'C5'!B18</f>
        <v/>
      </c>
      <c r="E128" s="675" t="str">
        <f>'C5'!B36</f>
        <v/>
      </c>
      <c r="F128" s="20" t="str">
        <f>'C5'!B19</f>
        <v/>
      </c>
      <c r="G128" s="20" t="str">
        <f>'C5'!B37</f>
        <v/>
      </c>
      <c r="H128" s="20" t="str">
        <f>'C5'!B45</f>
        <v/>
      </c>
      <c r="I128" s="675" t="str">
        <f>'C5'!B46</f>
        <v/>
      </c>
      <c r="J128" s="2246"/>
      <c r="K128" s="1309" t="str">
        <f>'C5'!B63</f>
        <v/>
      </c>
      <c r="L128" s="1091" t="str">
        <f>'C5'!B64</f>
        <v/>
      </c>
      <c r="M128" s="20" t="str">
        <f>'C5'!B65</f>
        <v/>
      </c>
      <c r="N128" s="20" t="str">
        <f>'C5'!B67</f>
        <v/>
      </c>
      <c r="O128" s="20" t="str">
        <f>'C5'!B69</f>
        <v/>
      </c>
      <c r="P128" s="21" t="str">
        <f>'C5'!B70</f>
        <v/>
      </c>
      <c r="Q128" s="4"/>
      <c r="R128" s="4"/>
      <c r="S128" s="4"/>
      <c r="T128" s="4"/>
      <c r="U128" s="4"/>
      <c r="V128" s="4"/>
      <c r="W128" s="4"/>
      <c r="X128" s="4"/>
      <c r="Y128" s="4"/>
      <c r="Z128" s="4"/>
      <c r="AA128" s="4"/>
      <c r="AB128" s="4"/>
      <c r="AC128" s="4"/>
      <c r="AD128" s="4"/>
      <c r="AE128" s="4"/>
      <c r="AF128" s="4"/>
      <c r="AG128" s="4"/>
      <c r="AH128" s="4"/>
      <c r="AI128" s="4"/>
      <c r="AJ128" s="4"/>
      <c r="AK128" s="4"/>
      <c r="AL128" s="4"/>
      <c r="AM128" s="4"/>
      <c r="AN128" s="4"/>
      <c r="AO128" s="4"/>
      <c r="AP128" s="4"/>
      <c r="AQ128" s="4"/>
    </row>
    <row r="129" spans="1:71" x14ac:dyDescent="0.2">
      <c r="A129" s="53">
        <v>1</v>
      </c>
      <c r="B129" s="470" t="str">
        <f>FOR&amp;FOR!C10</f>
        <v>FOR2</v>
      </c>
      <c r="C129" s="470" t="str">
        <f>FOR&amp;FOR!C17</f>
        <v>FOR3</v>
      </c>
      <c r="D129" s="470" t="str">
        <f>FOR&amp;FOR!G17</f>
        <v>FOR4</v>
      </c>
      <c r="E129" s="470" t="str">
        <f>FOR&amp;FOR!C20</f>
        <v>FOR5</v>
      </c>
      <c r="F129" s="470" t="str">
        <f>FOR&amp;FOR!G20</f>
        <v>FOR6</v>
      </c>
      <c r="G129" s="470" t="str">
        <f>FOR&amp;FOR!C28</f>
        <v>FOR8</v>
      </c>
      <c r="H129" s="470" t="str">
        <f>FOR&amp;FOR!G28</f>
        <v>FOR9</v>
      </c>
      <c r="I129" s="470" t="str">
        <f>FOR&amp;FOR!C31</f>
        <v>FOR10</v>
      </c>
      <c r="J129" s="470" t="str">
        <f>FOR&amp;FOR!G31</f>
        <v>FOR11</v>
      </c>
      <c r="K129" s="470" t="str">
        <f>FOR&amp;FOR!C34</f>
        <v>FOR12</v>
      </c>
      <c r="L129" s="470" t="str">
        <f>FOR&amp;FOR!G34</f>
        <v>FOR13</v>
      </c>
      <c r="M129" s="2245" t="str">
        <f>FOR&amp;FOR!C38</f>
        <v>FOR13.1</v>
      </c>
      <c r="N129" s="2245" t="str">
        <f>FOR&amp;FOR!G38</f>
        <v>FOR13.2</v>
      </c>
      <c r="O129" s="470" t="s">
        <v>1532</v>
      </c>
      <c r="P129" s="470" t="s">
        <v>6445</v>
      </c>
      <c r="Q129" s="470" t="s">
        <v>6871</v>
      </c>
      <c r="R129" s="1305" t="str">
        <f>FOR&amp;FOR!K10</f>
        <v>FOR26</v>
      </c>
      <c r="S129" s="1305" t="str">
        <f>FOR&amp;FOR!O11</f>
        <v>FOR27</v>
      </c>
      <c r="T129" s="470" t="str">
        <f>FOR&amp;FOR!K15</f>
        <v>FOR29</v>
      </c>
      <c r="U129" s="470" t="str">
        <f>FOR&amp;FOR!O15</f>
        <v>FOR30</v>
      </c>
      <c r="V129" s="470" t="str">
        <f>FOR&amp;FOR!K19</f>
        <v>FOR31</v>
      </c>
      <c r="W129" s="470" t="str">
        <f>FOR&amp;FOR!O19</f>
        <v>FOR32</v>
      </c>
      <c r="X129" s="470" t="str">
        <f>FOR&amp;FOR!K25</f>
        <v>FOR39</v>
      </c>
      <c r="Y129" s="470" t="str">
        <f>FOR&amp;FOR!O25</f>
        <v>FOR40</v>
      </c>
      <c r="Z129" s="470" t="str">
        <f>FOR&amp;FOR!K33</f>
        <v>FOR41</v>
      </c>
      <c r="AA129" s="470" t="str">
        <f>FOR&amp;FOR!K36</f>
        <v>FOR42</v>
      </c>
      <c r="AB129" s="470" t="str">
        <f>FOR&amp;FOR!K39</f>
        <v>FOR43</v>
      </c>
      <c r="AC129" s="470" t="str">
        <f>FOR&amp;FOR!O33</f>
        <v>FOR44</v>
      </c>
      <c r="AD129" s="470" t="str">
        <f>FOR&amp;FOR!O36</f>
        <v>FOR45</v>
      </c>
      <c r="AE129" s="470" t="s">
        <v>3691</v>
      </c>
      <c r="AF129" s="4"/>
      <c r="AG129" s="4"/>
      <c r="AH129" s="4"/>
      <c r="AI129" s="4"/>
      <c r="AJ129" s="4"/>
      <c r="AK129" s="4"/>
      <c r="AL129" s="4"/>
      <c r="AM129" s="4"/>
      <c r="AN129" s="4"/>
      <c r="AO129" s="4"/>
      <c r="AP129" s="4"/>
      <c r="AQ129" s="4"/>
    </row>
    <row r="130" spans="1:71" x14ac:dyDescent="0.2">
      <c r="A130" s="43" t="s">
        <v>3319</v>
      </c>
      <c r="B130" s="472" t="s">
        <v>2183</v>
      </c>
      <c r="C130" s="472" t="s">
        <v>1595</v>
      </c>
      <c r="D130" s="548" t="s">
        <v>1880</v>
      </c>
      <c r="E130" s="472" t="s">
        <v>2191</v>
      </c>
      <c r="F130" s="548" t="s">
        <v>1596</v>
      </c>
      <c r="G130" s="472" t="s">
        <v>2194</v>
      </c>
      <c r="H130" s="472" t="s">
        <v>2195</v>
      </c>
      <c r="I130" s="472" t="s">
        <v>803</v>
      </c>
      <c r="J130" s="472" t="s">
        <v>809</v>
      </c>
      <c r="K130" s="472" t="s">
        <v>767</v>
      </c>
      <c r="L130" s="472" t="s">
        <v>4253</v>
      </c>
      <c r="M130" s="472" t="s">
        <v>6873</v>
      </c>
      <c r="N130" s="472" t="s">
        <v>6874</v>
      </c>
      <c r="O130" s="471" t="s">
        <v>618</v>
      </c>
      <c r="P130" s="471" t="s">
        <v>6280</v>
      </c>
      <c r="Q130" s="471" t="s">
        <v>6872</v>
      </c>
      <c r="R130" s="20" t="s">
        <v>623</v>
      </c>
      <c r="S130" s="20" t="s">
        <v>2606</v>
      </c>
      <c r="T130" s="472" t="s">
        <v>885</v>
      </c>
      <c r="U130" s="472" t="s">
        <v>6875</v>
      </c>
      <c r="V130" s="472" t="s">
        <v>889</v>
      </c>
      <c r="W130" s="472" t="s">
        <v>796</v>
      </c>
      <c r="X130" s="472" t="s">
        <v>2552</v>
      </c>
      <c r="Y130" s="472" t="s">
        <v>798</v>
      </c>
      <c r="Z130" s="548" t="s">
        <v>62</v>
      </c>
      <c r="AA130" s="548" t="s">
        <v>65</v>
      </c>
      <c r="AB130" s="548" t="s">
        <v>68</v>
      </c>
      <c r="AC130" s="20" t="s">
        <v>800</v>
      </c>
      <c r="AD130" s="472" t="s">
        <v>6288</v>
      </c>
      <c r="AE130" s="20" t="s">
        <v>3692</v>
      </c>
      <c r="AF130" s="4"/>
      <c r="AG130" s="4"/>
      <c r="AH130" s="4"/>
      <c r="AI130" s="4"/>
      <c r="AJ130" s="4"/>
      <c r="AK130" s="4"/>
      <c r="AL130" s="4"/>
      <c r="AM130" s="4"/>
      <c r="AN130" s="4"/>
      <c r="AO130" s="4"/>
      <c r="AP130" s="4"/>
      <c r="AQ130" s="4"/>
    </row>
    <row r="131" spans="1:71" x14ac:dyDescent="0.2">
      <c r="A131" s="991">
        <v>31</v>
      </c>
      <c r="B131" s="20" t="s">
        <v>667</v>
      </c>
      <c r="C131" s="20" t="s">
        <v>667</v>
      </c>
      <c r="D131" s="20" t="s">
        <v>667</v>
      </c>
      <c r="E131" s="20" t="s">
        <v>667</v>
      </c>
      <c r="F131" s="20" t="s">
        <v>667</v>
      </c>
      <c r="G131" s="20" t="s">
        <v>667</v>
      </c>
      <c r="H131" s="20" t="s">
        <v>667</v>
      </c>
      <c r="I131" s="20" t="s">
        <v>667</v>
      </c>
      <c r="J131" s="20" t="s">
        <v>667</v>
      </c>
      <c r="K131" s="20" t="s">
        <v>667</v>
      </c>
      <c r="L131" s="20" t="s">
        <v>667</v>
      </c>
      <c r="M131" s="20" t="s">
        <v>667</v>
      </c>
      <c r="N131" s="20" t="s">
        <v>667</v>
      </c>
      <c r="O131" s="20" t="s">
        <v>667</v>
      </c>
      <c r="P131" s="20" t="s">
        <v>667</v>
      </c>
      <c r="Q131" s="20" t="s">
        <v>667</v>
      </c>
      <c r="R131" s="20" t="s">
        <v>667</v>
      </c>
      <c r="S131" s="20" t="s">
        <v>667</v>
      </c>
      <c r="T131" s="20" t="s">
        <v>667</v>
      </c>
      <c r="U131" s="20" t="s">
        <v>667</v>
      </c>
      <c r="V131" s="20" t="s">
        <v>667</v>
      </c>
      <c r="W131" s="20" t="s">
        <v>667</v>
      </c>
      <c r="X131" s="20" t="s">
        <v>667</v>
      </c>
      <c r="Y131" s="20" t="s">
        <v>667</v>
      </c>
      <c r="Z131" s="20" t="s">
        <v>667</v>
      </c>
      <c r="AA131" s="20" t="s">
        <v>667</v>
      </c>
      <c r="AB131" s="20" t="s">
        <v>667</v>
      </c>
      <c r="AC131" s="20" t="s">
        <v>667</v>
      </c>
      <c r="AD131" s="20" t="s">
        <v>667</v>
      </c>
      <c r="AE131" s="1312" t="b">
        <v>0</v>
      </c>
      <c r="AF131" s="4"/>
      <c r="AG131" s="4"/>
      <c r="AH131" s="4"/>
      <c r="AI131" s="4"/>
      <c r="AJ131" s="4"/>
      <c r="AK131" s="4"/>
      <c r="AL131" s="4"/>
      <c r="AM131" s="4"/>
      <c r="AN131" s="4"/>
      <c r="AO131" s="4"/>
      <c r="AP131" s="4"/>
      <c r="AQ131" s="4"/>
    </row>
    <row ht="12" r="132" spans="1:71" thickBot="1" x14ac:dyDescent="0.25">
      <c r="A132" s="47"/>
      <c r="B132" s="21" t="str">
        <f>'C6'!B3</f>
        <v/>
      </c>
      <c r="C132" s="21" t="str">
        <f>'C6'!B16</f>
        <v/>
      </c>
      <c r="D132" s="21" t="str">
        <f>'C6'!B17</f>
        <v/>
      </c>
      <c r="E132" s="21" t="str">
        <f>'C6'!B48</f>
        <v/>
      </c>
      <c r="F132" s="21" t="str">
        <f>'C6'!B49</f>
        <v/>
      </c>
      <c r="G132" s="21" t="str">
        <f>'C6'!B56</f>
        <v/>
      </c>
      <c r="H132" s="21" t="str">
        <f>'C6'!B57</f>
        <v/>
      </c>
      <c r="I132" s="21" t="str">
        <f>'C6'!B64</f>
        <v/>
      </c>
      <c r="J132" s="21" t="str">
        <f>'C6'!B65</f>
        <v/>
      </c>
      <c r="K132" s="21" t="str">
        <f>'C6'!B72</f>
        <v/>
      </c>
      <c r="L132" s="21" t="str">
        <f>'C6'!B73</f>
        <v/>
      </c>
      <c r="M132" s="2959" t="str">
        <f>'C6'!B74</f>
        <v/>
      </c>
      <c r="N132" s="2959" t="str">
        <f>'C6'!B75</f>
        <v/>
      </c>
      <c r="O132" s="20" t="str">
        <f>'C6'!B90</f>
        <v/>
      </c>
      <c r="P132" s="20" t="str">
        <f>'C6'!B91</f>
        <v/>
      </c>
      <c r="Q132" s="20" t="str">
        <f>'C6'!B92</f>
        <v/>
      </c>
      <c r="R132" s="21" t="str">
        <f>'C6'!B100</f>
        <v/>
      </c>
      <c r="S132" s="21" t="str">
        <f>'C6'!B101</f>
        <v/>
      </c>
      <c r="T132" s="21" t="str">
        <f>'C6'!B103</f>
        <v/>
      </c>
      <c r="U132" s="21" t="str">
        <f>'C6'!B104</f>
        <v/>
      </c>
      <c r="V132" s="21" t="str">
        <f>'C6'!B105</f>
        <v/>
      </c>
      <c r="W132" s="21" t="str">
        <f>'C6'!B106</f>
        <v/>
      </c>
      <c r="X132" s="21" t="str">
        <f>'C6'!B129</f>
        <v/>
      </c>
      <c r="Y132" s="21" t="str">
        <f>'C6'!B130</f>
        <v/>
      </c>
      <c r="Z132" s="21" t="str">
        <f>'C6'!B131</f>
        <v/>
      </c>
      <c r="AA132" s="21" t="str">
        <f>'C6'!B132</f>
        <v/>
      </c>
      <c r="AB132" s="21" t="str">
        <f>'C6'!B133</f>
        <v/>
      </c>
      <c r="AC132" s="21" t="str">
        <f>'C6'!B134</f>
        <v/>
      </c>
      <c r="AD132" s="21" t="str">
        <f>'C6'!B135</f>
        <v/>
      </c>
      <c r="AE132" s="675"/>
      <c r="AF132" s="4"/>
      <c r="AG132" s="4"/>
      <c r="AH132" s="4"/>
      <c r="AI132" s="4"/>
      <c r="AJ132" s="4"/>
      <c r="AK132" s="4"/>
      <c r="AL132" s="4"/>
      <c r="AM132" s="4"/>
      <c r="AN132" s="4"/>
      <c r="AO132" s="4"/>
      <c r="AP132" s="4"/>
      <c r="AQ132" s="4"/>
    </row>
    <row r="133" spans="1:71" x14ac:dyDescent="0.2">
      <c r="A133" s="3611">
        <v>1</v>
      </c>
      <c r="B133" s="616" t="s">
        <v>4602</v>
      </c>
      <c r="C133" s="617" t="s">
        <v>1311</v>
      </c>
      <c r="D133" s="617" t="s">
        <v>2016</v>
      </c>
      <c r="E133" s="617" t="s">
        <v>1302</v>
      </c>
      <c r="F133" s="617" t="s">
        <v>1303</v>
      </c>
      <c r="G133" s="618"/>
      <c r="H133" s="619" t="s">
        <v>1304</v>
      </c>
      <c r="I133" s="616" t="s">
        <v>4604</v>
      </c>
      <c r="J133" s="617" t="s">
        <v>1312</v>
      </c>
      <c r="K133" s="617" t="s">
        <v>0</v>
      </c>
      <c r="L133" s="622" t="s">
        <v>1305</v>
      </c>
      <c r="M133" s="617" t="s">
        <v>1306</v>
      </c>
      <c r="N133" s="618"/>
      <c r="O133" s="619" t="s">
        <v>1307</v>
      </c>
      <c r="P133" s="616" t="s">
        <v>4606</v>
      </c>
      <c r="Q133" s="617" t="s">
        <v>1313</v>
      </c>
      <c r="R133" s="617" t="s">
        <v>1</v>
      </c>
      <c r="S133" s="622" t="s">
        <v>1308</v>
      </c>
      <c r="T133" s="617" t="s">
        <v>1309</v>
      </c>
      <c r="U133" s="618"/>
      <c r="V133" s="619" t="s">
        <v>1310</v>
      </c>
      <c r="W133" s="616" t="s">
        <v>4608</v>
      </c>
      <c r="X133" s="617" t="s">
        <v>2164</v>
      </c>
      <c r="Y133" s="617" t="s">
        <v>2447</v>
      </c>
      <c r="Z133" s="622" t="s">
        <v>2165</v>
      </c>
      <c r="AA133" s="617" t="s">
        <v>2166</v>
      </c>
      <c r="AB133" s="618"/>
      <c r="AC133" s="619" t="s">
        <v>2167</v>
      </c>
      <c r="AD133" s="616" t="s">
        <v>4610</v>
      </c>
      <c r="AE133" s="617" t="s">
        <v>2210</v>
      </c>
      <c r="AF133" s="617" t="s">
        <v>2211</v>
      </c>
      <c r="AG133" s="617" t="s">
        <v>2212</v>
      </c>
      <c r="AH133" s="617" t="s">
        <v>2213</v>
      </c>
      <c r="AI133" s="618"/>
      <c r="AJ133" s="619" t="s">
        <v>2214</v>
      </c>
      <c r="AK133" s="616" t="s">
        <v>4612</v>
      </c>
      <c r="AL133" s="617" t="s">
        <v>2216</v>
      </c>
      <c r="AM133" s="617" t="s">
        <v>2217</v>
      </c>
      <c r="AN133" s="622" t="s">
        <v>2218</v>
      </c>
      <c r="AO133" s="617" t="s">
        <v>2219</v>
      </c>
      <c r="AP133" s="618"/>
      <c r="AQ133" s="619" t="s">
        <v>2220</v>
      </c>
      <c r="AR133" s="616" t="s">
        <v>4614</v>
      </c>
      <c r="AS133" s="617" t="s">
        <v>2522</v>
      </c>
      <c r="AT133" s="617" t="s">
        <v>2523</v>
      </c>
      <c r="AU133" s="622" t="s">
        <v>2524</v>
      </c>
      <c r="AV133" s="617" t="s">
        <v>2525</v>
      </c>
      <c r="AW133" s="618"/>
      <c r="AX133" s="619" t="s">
        <v>2526</v>
      </c>
      <c r="AY133" s="616" t="s">
        <v>4616</v>
      </c>
      <c r="AZ133" s="617" t="s">
        <v>2527</v>
      </c>
      <c r="BA133" s="617" t="s">
        <v>2528</v>
      </c>
      <c r="BB133" s="622" t="s">
        <v>2529</v>
      </c>
      <c r="BC133" s="617" t="s">
        <v>2530</v>
      </c>
      <c r="BD133" s="618"/>
      <c r="BE133" s="619" t="s">
        <v>2531</v>
      </c>
      <c r="BF133" s="616" t="s">
        <v>4618</v>
      </c>
      <c r="BG133" s="617" t="s">
        <v>2532</v>
      </c>
      <c r="BH133" s="617" t="s">
        <v>2533</v>
      </c>
      <c r="BI133" s="622" t="s">
        <v>2534</v>
      </c>
      <c r="BJ133" s="617" t="s">
        <v>2535</v>
      </c>
      <c r="BK133" s="618"/>
      <c r="BL133" s="619" t="s">
        <v>2536</v>
      </c>
      <c r="BM133" s="616" t="s">
        <v>4620</v>
      </c>
      <c r="BN133" s="617" t="s">
        <v>2537</v>
      </c>
      <c r="BO133" s="617" t="s">
        <v>2538</v>
      </c>
      <c r="BP133" s="622" t="s">
        <v>2539</v>
      </c>
      <c r="BQ133" s="617" t="s">
        <v>2540</v>
      </c>
      <c r="BR133" s="618"/>
      <c r="BS133" s="619" t="s">
        <v>2541</v>
      </c>
    </row>
    <row r="134" spans="1:71" x14ac:dyDescent="0.2">
      <c r="A134" s="612" t="s">
        <v>3344</v>
      </c>
      <c r="B134" s="620" t="s">
        <v>4603</v>
      </c>
      <c r="C134" s="10" t="s">
        <v>3379</v>
      </c>
      <c r="D134" s="10" t="s">
        <v>794</v>
      </c>
      <c r="E134" s="10" t="s">
        <v>21</v>
      </c>
      <c r="F134" s="10" t="s">
        <v>3841</v>
      </c>
      <c r="G134" s="10" t="s">
        <v>2081</v>
      </c>
      <c r="H134" s="621" t="s">
        <v>73</v>
      </c>
      <c r="I134" s="620" t="s">
        <v>4605</v>
      </c>
      <c r="J134" s="10" t="s">
        <v>3380</v>
      </c>
      <c r="K134" s="10" t="s">
        <v>3381</v>
      </c>
      <c r="L134" s="615" t="s">
        <v>2163</v>
      </c>
      <c r="M134" s="10" t="s">
        <v>75</v>
      </c>
      <c r="N134" s="10" t="s">
        <v>76</v>
      </c>
      <c r="O134" s="621" t="s">
        <v>77</v>
      </c>
      <c r="P134" s="620" t="s">
        <v>4607</v>
      </c>
      <c r="Q134" s="10" t="s">
        <v>3382</v>
      </c>
      <c r="R134" s="10" t="s">
        <v>3383</v>
      </c>
      <c r="S134" s="615" t="s">
        <v>2</v>
      </c>
      <c r="T134" s="10" t="s">
        <v>78</v>
      </c>
      <c r="U134" s="10" t="s">
        <v>79</v>
      </c>
      <c r="V134" s="621" t="s">
        <v>3843</v>
      </c>
      <c r="W134" s="620" t="s">
        <v>4609</v>
      </c>
      <c r="X134" s="10" t="s">
        <v>3384</v>
      </c>
      <c r="Y134" s="10" t="s">
        <v>3385</v>
      </c>
      <c r="Z134" s="615" t="s">
        <v>2448</v>
      </c>
      <c r="AA134" s="10" t="s">
        <v>80</v>
      </c>
      <c r="AB134" s="10" t="s">
        <v>81</v>
      </c>
      <c r="AC134" s="621" t="s">
        <v>82</v>
      </c>
      <c r="AD134" s="620" t="s">
        <v>4611</v>
      </c>
      <c r="AE134" s="10" t="s">
        <v>3386</v>
      </c>
      <c r="AF134" s="10" t="s">
        <v>3387</v>
      </c>
      <c r="AG134" s="10" t="s">
        <v>2215</v>
      </c>
      <c r="AH134" s="10" t="s">
        <v>83</v>
      </c>
      <c r="AI134" s="10" t="s">
        <v>84</v>
      </c>
      <c r="AJ134" s="621" t="s">
        <v>85</v>
      </c>
      <c r="AK134" s="620" t="s">
        <v>4613</v>
      </c>
      <c r="AL134" s="10" t="s">
        <v>3388</v>
      </c>
      <c r="AM134" s="10" t="s">
        <v>3389</v>
      </c>
      <c r="AN134" s="615" t="s">
        <v>2221</v>
      </c>
      <c r="AO134" s="10" t="s">
        <v>86</v>
      </c>
      <c r="AP134" s="10" t="s">
        <v>87</v>
      </c>
      <c r="AQ134" s="621" t="s">
        <v>88</v>
      </c>
      <c r="AR134" s="620" t="s">
        <v>4615</v>
      </c>
      <c r="AS134" s="10" t="s">
        <v>3390</v>
      </c>
      <c r="AT134" s="10" t="s">
        <v>3391</v>
      </c>
      <c r="AU134" s="615" t="s">
        <v>2222</v>
      </c>
      <c r="AV134" s="10" t="s">
        <v>89</v>
      </c>
      <c r="AW134" s="10" t="s">
        <v>90</v>
      </c>
      <c r="AX134" s="621" t="s">
        <v>91</v>
      </c>
      <c r="AY134" s="620" t="s">
        <v>4617</v>
      </c>
      <c r="AZ134" s="10" t="s">
        <v>3392</v>
      </c>
      <c r="BA134" s="10" t="s">
        <v>3393</v>
      </c>
      <c r="BB134" s="615" t="s">
        <v>2223</v>
      </c>
      <c r="BC134" s="10" t="s">
        <v>92</v>
      </c>
      <c r="BD134" s="10" t="s">
        <v>93</v>
      </c>
      <c r="BE134" s="621" t="s">
        <v>94</v>
      </c>
      <c r="BF134" s="620" t="s">
        <v>4619</v>
      </c>
      <c r="BG134" s="10" t="s">
        <v>3394</v>
      </c>
      <c r="BH134" s="10" t="s">
        <v>3395</v>
      </c>
      <c r="BI134" s="615" t="s">
        <v>2542</v>
      </c>
      <c r="BJ134" s="10" t="s">
        <v>95</v>
      </c>
      <c r="BK134" s="10" t="s">
        <v>96</v>
      </c>
      <c r="BL134" s="621" t="s">
        <v>97</v>
      </c>
      <c r="BM134" s="620" t="s">
        <v>4621</v>
      </c>
      <c r="BN134" s="10" t="s">
        <v>3396</v>
      </c>
      <c r="BO134" s="10" t="s">
        <v>3397</v>
      </c>
      <c r="BP134" s="615" t="s">
        <v>3024</v>
      </c>
      <c r="BQ134" s="10" t="s">
        <v>98</v>
      </c>
      <c r="BR134" s="10" t="s">
        <v>99</v>
      </c>
      <c r="BS134" s="621" t="s">
        <v>100</v>
      </c>
    </row>
    <row r="135" spans="1:71" x14ac:dyDescent="0.2">
      <c r="A135" s="613">
        <v>71</v>
      </c>
      <c r="B135" s="620" t="s">
        <v>4601</v>
      </c>
      <c r="C135" s="10">
        <v>1</v>
      </c>
      <c r="D135" s="10">
        <v>1</v>
      </c>
      <c r="E135" s="10" t="s">
        <v>667</v>
      </c>
      <c r="F135" s="10" t="s">
        <v>667</v>
      </c>
      <c r="G135" s="10" t="s">
        <v>667</v>
      </c>
      <c r="H135" s="621" t="s">
        <v>667</v>
      </c>
      <c r="I135" s="620" t="s">
        <v>4601</v>
      </c>
      <c r="J135" s="10">
        <v>1</v>
      </c>
      <c r="K135" s="10">
        <v>1</v>
      </c>
      <c r="L135" s="615" t="s">
        <v>667</v>
      </c>
      <c r="M135" s="10" t="s">
        <v>667</v>
      </c>
      <c r="N135" s="10" t="s">
        <v>667</v>
      </c>
      <c r="O135" s="621" t="s">
        <v>667</v>
      </c>
      <c r="P135" s="620" t="s">
        <v>4601</v>
      </c>
      <c r="Q135" s="10">
        <v>1</v>
      </c>
      <c r="R135" s="10">
        <v>1</v>
      </c>
      <c r="S135" s="615" t="s">
        <v>667</v>
      </c>
      <c r="T135" s="10" t="s">
        <v>667</v>
      </c>
      <c r="U135" s="10" t="s">
        <v>667</v>
      </c>
      <c r="V135" s="621" t="s">
        <v>667</v>
      </c>
      <c r="W135" s="620" t="s">
        <v>4601</v>
      </c>
      <c r="X135" s="10">
        <v>1</v>
      </c>
      <c r="Y135" s="10">
        <v>1</v>
      </c>
      <c r="Z135" s="615" t="s">
        <v>667</v>
      </c>
      <c r="AA135" s="10" t="s">
        <v>667</v>
      </c>
      <c r="AB135" s="10" t="s">
        <v>667</v>
      </c>
      <c r="AC135" s="621" t="s">
        <v>667</v>
      </c>
      <c r="AD135" s="620" t="s">
        <v>4601</v>
      </c>
      <c r="AE135" s="10">
        <v>1</v>
      </c>
      <c r="AF135" s="10">
        <v>1</v>
      </c>
      <c r="AG135" s="10" t="s">
        <v>667</v>
      </c>
      <c r="AH135" s="10" t="s">
        <v>667</v>
      </c>
      <c r="AI135" s="10" t="s">
        <v>667</v>
      </c>
      <c r="AJ135" s="621" t="s">
        <v>667</v>
      </c>
      <c r="AK135" s="620" t="s">
        <v>4601</v>
      </c>
      <c r="AL135" s="10">
        <v>1</v>
      </c>
      <c r="AM135" s="10">
        <v>1</v>
      </c>
      <c r="AN135" s="615" t="s">
        <v>667</v>
      </c>
      <c r="AO135" s="10" t="s">
        <v>667</v>
      </c>
      <c r="AP135" s="10" t="s">
        <v>667</v>
      </c>
      <c r="AQ135" s="621" t="s">
        <v>667</v>
      </c>
      <c r="AR135" s="620" t="s">
        <v>4601</v>
      </c>
      <c r="AS135" s="10">
        <v>1</v>
      </c>
      <c r="AT135" s="10">
        <v>1</v>
      </c>
      <c r="AU135" s="615" t="s">
        <v>667</v>
      </c>
      <c r="AV135" s="10" t="s">
        <v>667</v>
      </c>
      <c r="AW135" s="10" t="s">
        <v>667</v>
      </c>
      <c r="AX135" s="621" t="s">
        <v>667</v>
      </c>
      <c r="AY135" s="620" t="s">
        <v>4601</v>
      </c>
      <c r="AZ135" s="10">
        <v>1</v>
      </c>
      <c r="BA135" s="10">
        <v>1</v>
      </c>
      <c r="BB135" s="615" t="s">
        <v>667</v>
      </c>
      <c r="BC135" s="10" t="s">
        <v>667</v>
      </c>
      <c r="BD135" s="10" t="s">
        <v>667</v>
      </c>
      <c r="BE135" s="621" t="s">
        <v>667</v>
      </c>
      <c r="BF135" s="620" t="s">
        <v>4601</v>
      </c>
      <c r="BG135" s="10">
        <v>1</v>
      </c>
      <c r="BH135" s="10">
        <v>1</v>
      </c>
      <c r="BI135" s="615" t="s">
        <v>667</v>
      </c>
      <c r="BJ135" s="10" t="s">
        <v>667</v>
      </c>
      <c r="BK135" s="10" t="s">
        <v>667</v>
      </c>
      <c r="BL135" s="621" t="s">
        <v>667</v>
      </c>
      <c r="BM135" s="620" t="s">
        <v>4601</v>
      </c>
      <c r="BN135" s="10">
        <v>1</v>
      </c>
      <c r="BO135" s="10">
        <v>1</v>
      </c>
      <c r="BP135" s="615" t="s">
        <v>667</v>
      </c>
      <c r="BQ135" s="10" t="s">
        <v>667</v>
      </c>
      <c r="BR135" s="10" t="s">
        <v>667</v>
      </c>
      <c r="BS135" s="621" t="s">
        <v>667</v>
      </c>
    </row>
    <row ht="12" r="136" spans="1:71" thickBot="1" x14ac:dyDescent="0.25">
      <c r="A136" s="614"/>
      <c r="B136" s="623"/>
      <c r="C136" s="624"/>
      <c r="D136" s="624"/>
      <c r="E136" s="624"/>
      <c r="F136" s="624"/>
      <c r="G136" s="625"/>
      <c r="H136" s="626"/>
      <c r="I136" s="623"/>
      <c r="J136" s="624"/>
      <c r="K136" s="624"/>
      <c r="L136" s="624"/>
      <c r="M136" s="624"/>
      <c r="N136" s="625"/>
      <c r="O136" s="626"/>
      <c r="P136" s="623"/>
      <c r="Q136" s="624"/>
      <c r="R136" s="624"/>
      <c r="S136" s="624"/>
      <c r="T136" s="624"/>
      <c r="U136" s="625"/>
      <c r="V136" s="626"/>
      <c r="W136" s="623"/>
      <c r="X136" s="624"/>
      <c r="Y136" s="624"/>
      <c r="Z136" s="624"/>
      <c r="AA136" s="624"/>
      <c r="AB136" s="625"/>
      <c r="AC136" s="626"/>
      <c r="AD136" s="623"/>
      <c r="AE136" s="624"/>
      <c r="AF136" s="624"/>
      <c r="AG136" s="624"/>
      <c r="AH136" s="624"/>
      <c r="AI136" s="625"/>
      <c r="AJ136" s="626"/>
      <c r="AK136" s="623"/>
      <c r="AL136" s="624"/>
      <c r="AM136" s="624"/>
      <c r="AN136" s="624"/>
      <c r="AO136" s="624"/>
      <c r="AP136" s="625"/>
      <c r="AQ136" s="626"/>
      <c r="AR136" s="623"/>
      <c r="AS136" s="624"/>
      <c r="AT136" s="624"/>
      <c r="AU136" s="624"/>
      <c r="AV136" s="624"/>
      <c r="AW136" s="625"/>
      <c r="AX136" s="626"/>
      <c r="AY136" s="623"/>
      <c r="AZ136" s="624"/>
      <c r="BA136" s="624"/>
      <c r="BB136" s="624"/>
      <c r="BC136" s="624"/>
      <c r="BD136" s="625"/>
      <c r="BE136" s="626"/>
      <c r="BF136" s="623"/>
      <c r="BG136" s="624"/>
      <c r="BH136" s="624"/>
      <c r="BI136" s="624"/>
      <c r="BJ136" s="624"/>
      <c r="BK136" s="625"/>
      <c r="BL136" s="626"/>
      <c r="BM136" s="623"/>
      <c r="BN136" s="624"/>
      <c r="BO136" s="624"/>
      <c r="BP136" s="624"/>
      <c r="BQ136" s="624"/>
      <c r="BR136" s="625"/>
      <c r="BS136" s="626"/>
    </row>
    <row r="137" spans="1:71" x14ac:dyDescent="0.2">
      <c r="A137" s="53">
        <v>1</v>
      </c>
      <c r="B137" s="470" t="str">
        <f>TRU&amp;TRU!C6</f>
        <v>TRU1</v>
      </c>
      <c r="C137" s="470" t="str">
        <f>TRU&amp;TRU!G6</f>
        <v>TRU2</v>
      </c>
      <c r="D137" s="470" t="str">
        <f>TRU&amp;TRU!C11</f>
        <v>TRU3</v>
      </c>
      <c r="E137" s="470" t="str">
        <f>TRU&amp;TRU!C15</f>
        <v>TRU4</v>
      </c>
      <c r="F137" s="470" t="str">
        <f>TRU&amp;TRU!G11</f>
        <v>TRU5</v>
      </c>
      <c r="G137" s="470" t="str">
        <f>TRU&amp;TRU!C20</f>
        <v>TRU7</v>
      </c>
      <c r="H137" s="470" t="str">
        <f>TRU&amp;TRU!C24</f>
        <v>TRU8</v>
      </c>
      <c r="I137" s="470" t="str">
        <f>TRU&amp;TRU!C28</f>
        <v>TRU9</v>
      </c>
      <c r="J137" s="470" t="str">
        <f>TRU&amp;TRU!C32</f>
        <v>TRU10</v>
      </c>
      <c r="K137" s="470" t="str">
        <f>TRU&amp;TRU!G20</f>
        <v>TRU11</v>
      </c>
      <c r="L137" s="470" t="str">
        <f>TRU&amp;TRU!G24</f>
        <v>TRU12</v>
      </c>
      <c r="M137" s="470" t="str">
        <f>TRU&amp;TRU!G28</f>
        <v>TRU13</v>
      </c>
      <c r="N137" s="470" t="str">
        <f>TRU&amp;TRU!G32</f>
        <v>TRU14</v>
      </c>
      <c r="O137" s="470" t="str">
        <f>TRU&amp;TRU!G36</f>
        <v>TRU15</v>
      </c>
      <c r="P137" s="470" t="str">
        <f>TRU&amp;TRU!K6</f>
        <v>TRU16</v>
      </c>
      <c r="Q137" s="470" t="str">
        <f>TRU&amp;TRU!K11</f>
        <v>TRU17</v>
      </c>
      <c r="R137" s="470" t="str">
        <f>TRU&amp;TRU!K15</f>
        <v>TRU18</v>
      </c>
      <c r="S137" s="470" t="str">
        <f>TRU&amp;TRU!O6</f>
        <v>TRU19</v>
      </c>
      <c r="T137" s="470" t="str">
        <f>TRU&amp;TRU!O11</f>
        <v>TRU20</v>
      </c>
      <c r="U137" s="470" t="str">
        <f>TRU&amp;TRU!K20</f>
        <v>TRU22</v>
      </c>
      <c r="V137" s="470" t="str">
        <f>TRU&amp;TRU!O20</f>
        <v>TRU23</v>
      </c>
      <c r="W137" s="470" t="str">
        <f>TRU&amp;TRU!K28</f>
        <v>TRU24</v>
      </c>
      <c r="X137" s="470" t="s">
        <v>1032</v>
      </c>
      <c r="Y137" s="470" t="s">
        <v>6878</v>
      </c>
      <c r="Z137" s="4"/>
      <c r="AA137" s="4"/>
      <c r="AB137" s="4"/>
      <c r="AC137" s="4"/>
      <c r="AD137" s="4"/>
      <c r="AE137" s="4"/>
      <c r="AF137" s="4"/>
      <c r="AG137" s="4"/>
    </row>
    <row r="138" spans="1:71" x14ac:dyDescent="0.2">
      <c r="A138" s="43" t="s">
        <v>3320</v>
      </c>
      <c r="B138" s="471" t="s">
        <v>539</v>
      </c>
      <c r="C138" s="471" t="s">
        <v>540</v>
      </c>
      <c r="D138" s="471" t="s">
        <v>1594</v>
      </c>
      <c r="E138" s="471" t="s">
        <v>541</v>
      </c>
      <c r="F138" s="471" t="s">
        <v>663</v>
      </c>
      <c r="G138" s="471" t="s">
        <v>2191</v>
      </c>
      <c r="H138" s="471" t="s">
        <v>3407</v>
      </c>
      <c r="I138" s="471" t="s">
        <v>2194</v>
      </c>
      <c r="J138" s="471" t="s">
        <v>2605</v>
      </c>
      <c r="K138" s="471" t="s">
        <v>1596</v>
      </c>
      <c r="L138" s="471" t="s">
        <v>3339</v>
      </c>
      <c r="M138" s="471" t="s">
        <v>2195</v>
      </c>
      <c r="N138" s="471" t="s">
        <v>2608</v>
      </c>
      <c r="O138" s="471" t="s">
        <v>2607</v>
      </c>
      <c r="P138" s="471" t="s">
        <v>619</v>
      </c>
      <c r="Q138" s="471" t="s">
        <v>624</v>
      </c>
      <c r="R138" s="471" t="s">
        <v>885</v>
      </c>
      <c r="S138" s="471" t="s">
        <v>812</v>
      </c>
      <c r="T138" s="471" t="s">
        <v>2606</v>
      </c>
      <c r="U138" s="471" t="s">
        <v>2547</v>
      </c>
      <c r="V138" s="471" t="s">
        <v>2609</v>
      </c>
      <c r="W138" s="471" t="s">
        <v>1729</v>
      </c>
      <c r="X138" s="471" t="s">
        <v>61</v>
      </c>
      <c r="Y138" s="471" t="s">
        <v>6879</v>
      </c>
      <c r="Z138" s="4"/>
      <c r="AA138" s="4"/>
      <c r="AB138" s="4"/>
      <c r="AC138" s="4"/>
      <c r="AD138" s="4"/>
      <c r="AE138" s="4"/>
      <c r="AF138" s="4"/>
      <c r="AG138" s="4"/>
    </row>
    <row r="139" spans="1:71" x14ac:dyDescent="0.2">
      <c r="A139" s="991">
        <v>25</v>
      </c>
      <c r="B139" s="20" t="s">
        <v>667</v>
      </c>
      <c r="C139" s="20" t="s">
        <v>667</v>
      </c>
      <c r="D139" s="20" t="s">
        <v>667</v>
      </c>
      <c r="E139" s="20" t="s">
        <v>667</v>
      </c>
      <c r="F139" s="20" t="s">
        <v>667</v>
      </c>
      <c r="G139" s="20" t="s">
        <v>667</v>
      </c>
      <c r="H139" s="20" t="s">
        <v>667</v>
      </c>
      <c r="I139" s="20" t="s">
        <v>667</v>
      </c>
      <c r="J139" s="20" t="s">
        <v>667</v>
      </c>
      <c r="K139" s="20" t="s">
        <v>667</v>
      </c>
      <c r="L139" s="20" t="s">
        <v>667</v>
      </c>
      <c r="M139" s="20" t="s">
        <v>667</v>
      </c>
      <c r="N139" s="20" t="s">
        <v>667</v>
      </c>
      <c r="O139" s="20" t="s">
        <v>667</v>
      </c>
      <c r="P139" s="20" t="s">
        <v>667</v>
      </c>
      <c r="Q139" s="20" t="s">
        <v>667</v>
      </c>
      <c r="R139" s="20" t="s">
        <v>667</v>
      </c>
      <c r="S139" s="20" t="s">
        <v>667</v>
      </c>
      <c r="T139" s="20" t="s">
        <v>667</v>
      </c>
      <c r="U139" s="20" t="s">
        <v>667</v>
      </c>
      <c r="V139" s="20" t="s">
        <v>667</v>
      </c>
      <c r="W139" s="20" t="s">
        <v>667</v>
      </c>
      <c r="X139" s="20" t="s">
        <v>667</v>
      </c>
      <c r="Y139" s="20" t="s">
        <v>667</v>
      </c>
      <c r="Z139" s="4"/>
      <c r="AA139" s="4"/>
      <c r="AB139" s="4"/>
      <c r="AC139" s="4"/>
      <c r="AD139" s="4"/>
      <c r="AE139" s="4"/>
      <c r="AF139" s="4"/>
      <c r="AG139" s="4"/>
    </row>
    <row r="140" spans="1:71" x14ac:dyDescent="0.2">
      <c r="A140" s="47"/>
      <c r="B140" s="675" t="str">
        <f>'C7'!B2</f>
        <v/>
      </c>
      <c r="C140" s="675" t="str">
        <f>'C7'!B3</f>
        <v/>
      </c>
      <c r="D140" s="675" t="str">
        <f>'C7'!B4</f>
        <v/>
      </c>
      <c r="E140" s="675" t="str">
        <f>'C7'!B5</f>
        <v/>
      </c>
      <c r="F140" s="675" t="str">
        <f>'C7'!B6</f>
        <v/>
      </c>
      <c r="G140" s="675" t="str">
        <f>'C7'!B8</f>
        <v/>
      </c>
      <c r="H140" s="675" t="str">
        <f>'C7'!B9</f>
        <v/>
      </c>
      <c r="I140" s="675" t="str">
        <f>'C7'!B10</f>
        <v/>
      </c>
      <c r="J140" s="675" t="str">
        <f>'C7'!B11</f>
        <v/>
      </c>
      <c r="K140" s="675" t="str">
        <f>'C7'!B12</f>
        <v/>
      </c>
      <c r="L140" s="675" t="str">
        <f>'C7'!B13</f>
        <v/>
      </c>
      <c r="M140" s="675" t="str">
        <f>'C7'!B14</f>
        <v/>
      </c>
      <c r="N140" s="675" t="str">
        <f>'C7'!B15</f>
        <v/>
      </c>
      <c r="O140" s="675" t="str">
        <f>'C7'!B16</f>
        <v/>
      </c>
      <c r="P140" s="675" t="str">
        <f>'C7'!B17</f>
        <v/>
      </c>
      <c r="Q140" s="675" t="str">
        <f>'C7'!B18</f>
        <v/>
      </c>
      <c r="R140" s="675" t="str">
        <f>'C7'!B19</f>
        <v/>
      </c>
      <c r="S140" s="675" t="str">
        <f>'C7'!B20</f>
        <v/>
      </c>
      <c r="T140" s="675" t="str">
        <f>'C7'!B21</f>
        <v/>
      </c>
      <c r="U140" s="675" t="str">
        <f>'C7'!B23</f>
        <v/>
      </c>
      <c r="V140" s="675" t="str">
        <f>'C7'!B24</f>
        <v/>
      </c>
      <c r="W140" s="675" t="str">
        <f>'C7'!B25</f>
        <v/>
      </c>
      <c r="X140" s="20" t="str">
        <f>'C7'!B26</f>
        <v/>
      </c>
      <c r="Y140" s="20" t="str">
        <f>'C7'!B27</f>
        <v/>
      </c>
      <c r="Z140" s="4"/>
      <c r="AA140" s="4"/>
      <c r="AB140" s="4"/>
      <c r="AC140" s="4"/>
      <c r="AD140" s="4"/>
      <c r="AE140" s="4"/>
      <c r="AF140" s="4"/>
      <c r="AG140" s="4"/>
    </row>
    <row r="141" spans="1:71" x14ac:dyDescent="0.2">
      <c r="A141" s="53">
        <v>1</v>
      </c>
      <c r="B141" s="470" t="str">
        <f>CGT&amp;CGT!C4</f>
        <v>CGT6</v>
      </c>
      <c r="C141" s="470" t="str">
        <f>CGT&amp;CGT!C7</f>
        <v>CGT7</v>
      </c>
      <c r="D141" s="470" t="str">
        <f>CGT&amp;CGT!G4</f>
        <v>CGT9</v>
      </c>
      <c r="E141" s="470" t="str">
        <f>CGT&amp;CGT!G7</f>
        <v>CGT10</v>
      </c>
      <c r="F141" s="470" t="str">
        <f>CGT&amp;CGT!G10</f>
        <v>CGT12</v>
      </c>
      <c r="G141" s="470" t="str">
        <f>CGT&amp;CGT!C14</f>
        <v>CGT17</v>
      </c>
      <c r="H141" s="470" t="str">
        <f>CGT&amp;CGT!C17</f>
        <v>CGT18</v>
      </c>
      <c r="I141" s="470" t="str">
        <f>CGT&amp;CGT!G14</f>
        <v>CGT19</v>
      </c>
      <c r="J141" s="470" t="str">
        <f>CGT&amp;CGT!G20</f>
        <v>CGT22</v>
      </c>
      <c r="K141" s="470" t="str">
        <f>CGT&amp;CGT!C24</f>
        <v>CGT26</v>
      </c>
      <c r="L141" s="470" t="str">
        <f>CGT&amp;CGT!G24</f>
        <v>CGT27</v>
      </c>
      <c r="M141" s="470" t="str">
        <f>CGT&amp;CGT!G27</f>
        <v>CGT30</v>
      </c>
      <c r="N141" s="470" t="str">
        <f>CGT&amp;CGT!C31</f>
        <v>CGT34</v>
      </c>
      <c r="O141" s="470" t="str">
        <f>CGT&amp;CGT!C34</f>
        <v>CGT35</v>
      </c>
      <c r="P141" s="470" t="str">
        <f>CGT&amp;CGT!G34</f>
        <v>CGT38</v>
      </c>
      <c r="Q141" s="470" t="str">
        <f>CGT&amp;CGT!C37</f>
        <v>CGT41</v>
      </c>
      <c r="R141" s="470" t="str">
        <f>CGT&amp;CGT!C40</f>
        <v>CGT42</v>
      </c>
      <c r="S141" s="470" t="str">
        <f>CGT&amp;CGT!G40</f>
        <v>CGT43</v>
      </c>
      <c r="T141" s="470" t="str">
        <f>CGT&amp;CGT!L4</f>
        <v>CGT45</v>
      </c>
      <c r="U141" s="470" t="str">
        <f>CGT&amp;CGT!P4</f>
        <v>CGT46</v>
      </c>
      <c r="V141" s="470" t="str">
        <f>CGT&amp;CGT!P8</f>
        <v>CGT48</v>
      </c>
      <c r="W141" s="3630" t="str">
        <f>CGT&amp;CGT!P11</f>
        <v>CGT49</v>
      </c>
      <c r="X141" s="470" t="str">
        <f>CGT&amp;CGT!P15</f>
        <v>CGT50</v>
      </c>
      <c r="Y141" s="470" t="str">
        <f>CGT&amp;CGT!L18</f>
        <v>CGT51</v>
      </c>
      <c r="Z141" s="470" t="str">
        <f>CGT&amp;CGT!P18</f>
        <v>CGT52</v>
      </c>
      <c r="AA141" s="3321" t="str">
        <f>CGT&amp;CGT!L26</f>
        <v>CGT52.1</v>
      </c>
      <c r="AB141" s="3321" t="str">
        <f>CGT&amp;CGT!L34</f>
        <v>CGT52.2</v>
      </c>
      <c r="AC141" s="3321" t="str">
        <f>CGT&amp;CGT!P26</f>
        <v>CGT52.3</v>
      </c>
      <c r="AD141" s="3321" t="str">
        <f>CGT&amp;CGT!P30</f>
        <v>CGT52.4</v>
      </c>
      <c r="AE141" s="3321" t="str">
        <f>CGT&amp;CGT!P34</f>
        <v>CGT52.5</v>
      </c>
    </row>
    <row r="142" spans="1:71" x14ac:dyDescent="0.2">
      <c r="A142" s="43" t="s">
        <v>2768</v>
      </c>
      <c r="B142" s="471" t="s">
        <v>2181</v>
      </c>
      <c r="C142" s="471" t="s">
        <v>2182</v>
      </c>
      <c r="D142" s="471" t="s">
        <v>665</v>
      </c>
      <c r="E142" s="471" t="s">
        <v>2783</v>
      </c>
      <c r="F142" s="471" t="s">
        <v>662</v>
      </c>
      <c r="G142" s="471" t="s">
        <v>1502</v>
      </c>
      <c r="H142" s="471" t="s">
        <v>1595</v>
      </c>
      <c r="I142" s="471" t="s">
        <v>664</v>
      </c>
      <c r="J142" s="471" t="s">
        <v>1596</v>
      </c>
      <c r="K142" s="471" t="s">
        <v>3407</v>
      </c>
      <c r="L142" s="471" t="s">
        <v>3339</v>
      </c>
      <c r="M142" s="471" t="s">
        <v>3340</v>
      </c>
      <c r="N142" s="471" t="s">
        <v>803</v>
      </c>
      <c r="O142" s="471" t="s">
        <v>767</v>
      </c>
      <c r="P142" s="471" t="s">
        <v>4253</v>
      </c>
      <c r="Q142" s="471" t="s">
        <v>4252</v>
      </c>
      <c r="R142" s="471" t="s">
        <v>4311</v>
      </c>
      <c r="S142" s="471" t="s">
        <v>4328</v>
      </c>
      <c r="T142" s="471" t="s">
        <v>5360</v>
      </c>
      <c r="U142" s="471" t="s">
        <v>5361</v>
      </c>
      <c r="V142" s="471" t="s">
        <v>674</v>
      </c>
      <c r="W142" s="3631" t="s">
        <v>676</v>
      </c>
      <c r="X142" s="3631" t="s">
        <v>5763</v>
      </c>
      <c r="Y142" s="3631" t="s">
        <v>8284</v>
      </c>
      <c r="Z142" s="3631" t="s">
        <v>8285</v>
      </c>
      <c r="AA142" s="3631" t="s">
        <v>8286</v>
      </c>
      <c r="AB142" s="3631" t="s">
        <v>7399</v>
      </c>
      <c r="AC142" s="3322" t="s">
        <v>7598</v>
      </c>
      <c r="AD142" s="3631" t="s">
        <v>8287</v>
      </c>
      <c r="AE142" s="3631" t="s">
        <v>8288</v>
      </c>
    </row>
    <row r="143" spans="1:71" x14ac:dyDescent="0.2">
      <c r="A143" s="3634">
        <v>31</v>
      </c>
      <c r="B143" s="20" t="s">
        <v>667</v>
      </c>
      <c r="C143" s="20" t="s">
        <v>667</v>
      </c>
      <c r="D143" s="20" t="s">
        <v>667</v>
      </c>
      <c r="E143" s="20" t="s">
        <v>667</v>
      </c>
      <c r="F143" s="20" t="s">
        <v>667</v>
      </c>
      <c r="G143" s="20" t="s">
        <v>667</v>
      </c>
      <c r="H143" s="20" t="s">
        <v>667</v>
      </c>
      <c r="I143" s="20" t="s">
        <v>667</v>
      </c>
      <c r="J143" s="20" t="s">
        <v>667</v>
      </c>
      <c r="K143" s="20" t="s">
        <v>667</v>
      </c>
      <c r="L143" s="20" t="s">
        <v>667</v>
      </c>
      <c r="M143" s="20" t="s">
        <v>667</v>
      </c>
      <c r="N143" s="20" t="s">
        <v>667</v>
      </c>
      <c r="O143" s="20" t="s">
        <v>667</v>
      </c>
      <c r="P143" s="20" t="s">
        <v>667</v>
      </c>
      <c r="Q143" s="20" t="s">
        <v>667</v>
      </c>
      <c r="R143" s="20" t="s">
        <v>667</v>
      </c>
      <c r="S143" s="20" t="s">
        <v>667</v>
      </c>
      <c r="T143" s="20" t="s">
        <v>667</v>
      </c>
      <c r="U143" s="20" t="s">
        <v>667</v>
      </c>
      <c r="V143" s="20" t="s">
        <v>667</v>
      </c>
      <c r="W143" s="3632" t="s">
        <v>667</v>
      </c>
      <c r="X143" s="20" t="s">
        <v>667</v>
      </c>
      <c r="Y143" s="20" t="s">
        <v>667</v>
      </c>
      <c r="Z143" s="20" t="s">
        <v>667</v>
      </c>
      <c r="AA143" s="3323" t="s">
        <v>667</v>
      </c>
      <c r="AB143" s="3323" t="s">
        <v>667</v>
      </c>
      <c r="AC143" s="3323" t="b">
        <v>0</v>
      </c>
      <c r="AD143" s="3323" t="s">
        <v>667</v>
      </c>
      <c r="AE143" s="3323" t="s">
        <v>667</v>
      </c>
    </row>
    <row r="144" spans="1:71" x14ac:dyDescent="0.2">
      <c r="A144" s="47"/>
      <c r="B144" s="675" t="str">
        <f>'C8C9C10'!B8</f>
        <v/>
      </c>
      <c r="C144" s="675" t="str">
        <f>'C8C9C10'!B9</f>
        <v/>
      </c>
      <c r="D144" s="675" t="str">
        <f>'C8C9C10'!B11</f>
        <v/>
      </c>
      <c r="E144" s="675" t="str">
        <f>'C8C9C10'!B12</f>
        <v/>
      </c>
      <c r="F144" s="675" t="str">
        <f>'C8C9C10'!B14</f>
        <v/>
      </c>
      <c r="G144" s="675" t="str">
        <f>'C8C9C10'!B19</f>
        <v/>
      </c>
      <c r="H144" s="675" t="str">
        <f>'C8C9C10'!B20</f>
        <v/>
      </c>
      <c r="I144" s="675" t="str">
        <f>'C8C9C10'!B21</f>
        <v/>
      </c>
      <c r="J144" s="675" t="str">
        <f>'C8C9C10'!B24</f>
        <v/>
      </c>
      <c r="K144" s="675" t="str">
        <f>'C8C9C10'!B28</f>
        <v/>
      </c>
      <c r="L144" s="675" t="str">
        <f>'C8C9C10'!B29</f>
        <v/>
      </c>
      <c r="M144" s="675" t="str">
        <f>'C8C9C10'!B32</f>
        <v/>
      </c>
      <c r="N144" s="675" t="str">
        <f>'C8C9C10'!B36</f>
        <v/>
      </c>
      <c r="O144" s="675" t="str">
        <f>'C8C9C10'!B37</f>
        <v/>
      </c>
      <c r="P144" s="675" t="str">
        <f>'C8C9C10'!B40</f>
        <v/>
      </c>
      <c r="Q144" s="21" t="str">
        <f>'C8C9C10'!B43</f>
        <v/>
      </c>
      <c r="R144" s="21" t="str">
        <f>'C8C9C10'!B44</f>
        <v/>
      </c>
      <c r="S144" s="21" t="str">
        <f>'C8C9C10'!B45</f>
        <v/>
      </c>
      <c r="T144" s="21" t="str">
        <f>'C8C9C10'!B47</f>
        <v/>
      </c>
      <c r="U144" s="21" t="str">
        <f>'C8C9C10'!B48</f>
        <v/>
      </c>
      <c r="V144" s="21" t="str">
        <f>'C8C9C10'!B50</f>
        <v/>
      </c>
      <c r="W144" s="3633" t="str">
        <f>'C8C9C10'!B51</f>
        <v/>
      </c>
      <c r="X144" s="21" t="str">
        <f>'C8C9C10'!B52</f>
        <v/>
      </c>
      <c r="Y144" s="21" t="str">
        <f>'C8C9C10'!B53</f>
        <v/>
      </c>
      <c r="Z144" s="21" t="str">
        <f>'C8C9C10'!B54</f>
        <v/>
      </c>
      <c r="AA144" s="3324" t="str">
        <f>'C8C9C10'!B55</f>
        <v/>
      </c>
      <c r="AB144" s="3324" t="str">
        <f>'C8C9C10'!B56</f>
        <v/>
      </c>
      <c r="AC144" s="3324" t="b">
        <f>'C8C9C10'!B57="Y"</f>
        <v>0</v>
      </c>
      <c r="AD144" s="3324" t="str">
        <f>'C8C9C10'!B58</f>
        <v/>
      </c>
      <c r="AE144" s="3324" t="str">
        <f>'C8C9C10'!B59</f>
        <v/>
      </c>
    </row>
    <row r="145" spans="1:38" x14ac:dyDescent="0.2">
      <c r="A145" s="53">
        <v>1</v>
      </c>
      <c r="B145" s="470" t="str">
        <f>NRD&amp;NRD!C5</f>
        <v>NRD1</v>
      </c>
      <c r="C145" s="470" t="str">
        <f>NRD&amp;NRD!C9</f>
        <v>NRD15</v>
      </c>
      <c r="D145" s="470" t="str">
        <f>NRD&amp;NRD!C12</f>
        <v>NRD16</v>
      </c>
      <c r="E145" s="470" t="str">
        <f>NRD&amp;NRD!D16</f>
        <v>NRD20</v>
      </c>
      <c r="F145" s="470" t="str">
        <f>NRD&amp;NRD!D19</f>
        <v>NRD21</v>
      </c>
      <c r="G145" s="470" t="str">
        <f>NRD&amp;NRD!D22</f>
        <v>NRD22</v>
      </c>
      <c r="H145" s="470" t="s">
        <v>3111</v>
      </c>
      <c r="I145" s="470" t="str">
        <f>NRD&amp;NRD!H5</f>
        <v>NRD28</v>
      </c>
      <c r="J145" s="470" t="str">
        <f>NRD&amp;NRD!H8</f>
        <v>NRD29</v>
      </c>
      <c r="K145" s="470" t="str">
        <f>NRD&amp;NRD!H11</f>
        <v>NRD30</v>
      </c>
      <c r="L145" s="470" t="str">
        <f>NRD&amp;NRD!H14</f>
        <v>NRD31</v>
      </c>
      <c r="M145" s="470" t="str">
        <f>NRD&amp;NRD!H17</f>
        <v>NRD32</v>
      </c>
      <c r="N145" s="1311" t="str">
        <f>NRD&amp;NRD!H20</f>
        <v>NRD33</v>
      </c>
      <c r="O145" s="1311" t="str">
        <f>NRD&amp;NRD!K20</f>
        <v>NRD34</v>
      </c>
      <c r="P145" s="1311" t="str">
        <f>NRD&amp;NRD!H23</f>
        <v>NRD35</v>
      </c>
      <c r="Q145" s="1311" t="str">
        <f>NRD&amp;NRD!K23</f>
        <v>NRD36</v>
      </c>
      <c r="R145" s="4"/>
      <c r="S145" s="4"/>
      <c r="T145" s="4"/>
      <c r="U145" s="4"/>
      <c r="V145" s="4"/>
      <c r="W145" s="4"/>
      <c r="X145" s="4"/>
      <c r="Y145" s="4"/>
    </row>
    <row r="146" spans="1:38" x14ac:dyDescent="0.2">
      <c r="A146" s="43" t="s">
        <v>3321</v>
      </c>
      <c r="B146" s="20" t="s">
        <v>673</v>
      </c>
      <c r="C146" s="20" t="s">
        <v>678</v>
      </c>
      <c r="D146" s="20" t="s">
        <v>674</v>
      </c>
      <c r="E146" s="472" t="s">
        <v>2024</v>
      </c>
      <c r="F146" s="472" t="s">
        <v>2025</v>
      </c>
      <c r="G146" s="472" t="s">
        <v>977</v>
      </c>
      <c r="H146" s="20" t="s">
        <v>3254</v>
      </c>
      <c r="I146" s="20" t="s">
        <v>675</v>
      </c>
      <c r="J146" s="20" t="s">
        <v>2023</v>
      </c>
      <c r="K146" s="20" t="s">
        <v>676</v>
      </c>
      <c r="L146" s="20" t="s">
        <v>677</v>
      </c>
      <c r="M146" s="20" t="s">
        <v>2449</v>
      </c>
      <c r="N146" s="20" t="s">
        <v>4035</v>
      </c>
      <c r="O146" s="20" t="s">
        <v>2547</v>
      </c>
      <c r="P146" s="20" t="s">
        <v>82</v>
      </c>
      <c r="Q146" s="20" t="s">
        <v>2550</v>
      </c>
      <c r="R146" s="4"/>
      <c r="S146" s="4"/>
      <c r="T146" s="4"/>
      <c r="U146" s="4"/>
      <c r="V146" s="4"/>
      <c r="W146" s="4"/>
      <c r="X146" s="4"/>
      <c r="Y146" s="4"/>
    </row>
    <row r="147" spans="1:38" x14ac:dyDescent="0.2">
      <c r="A147" s="991">
        <v>17</v>
      </c>
      <c r="B147" s="20" t="b">
        <v>0</v>
      </c>
      <c r="C147" s="20" t="b">
        <v>0</v>
      </c>
      <c r="D147" s="20" t="b">
        <v>0</v>
      </c>
      <c r="E147" s="20" t="s">
        <v>667</v>
      </c>
      <c r="F147" s="20" t="s">
        <v>667</v>
      </c>
      <c r="G147" s="20" t="s">
        <v>667</v>
      </c>
      <c r="H147" s="20" t="b">
        <v>0</v>
      </c>
      <c r="I147" s="20" t="b">
        <v>0</v>
      </c>
      <c r="J147" s="20" t="b">
        <v>0</v>
      </c>
      <c r="K147" s="20" t="b">
        <v>0</v>
      </c>
      <c r="L147" s="20" t="b">
        <v>0</v>
      </c>
      <c r="M147" s="20" t="b">
        <v>0</v>
      </c>
      <c r="N147" s="20" t="b">
        <v>0</v>
      </c>
      <c r="O147" s="20" t="s">
        <v>667</v>
      </c>
      <c r="P147" s="20" t="s">
        <v>667</v>
      </c>
      <c r="Q147" s="20" t="s">
        <v>667</v>
      </c>
      <c r="R147" s="4"/>
      <c r="S147" s="4"/>
      <c r="T147" s="4"/>
      <c r="U147" s="4"/>
      <c r="V147" s="4"/>
      <c r="W147" s="4"/>
      <c r="X147" s="4"/>
      <c r="Y147" s="4"/>
    </row>
    <row r="148" spans="1:38" x14ac:dyDescent="0.2">
      <c r="A148" s="47"/>
      <c r="B148" s="21" t="b">
        <f>'C8C9C10'!B64="Y"</f>
        <v>0</v>
      </c>
      <c r="C148" s="21" t="b">
        <f>'C8C9C10'!B79="Y"</f>
        <v>0</v>
      </c>
      <c r="D148" s="21" t="b">
        <f>'C8C9C10'!B80="Y"</f>
        <v>0</v>
      </c>
      <c r="E148" s="4" t="str">
        <f>'C8C9C10'!B84</f>
        <v/>
      </c>
      <c r="F148" s="21" t="str">
        <f>'C8C9C10'!B85</f>
        <v/>
      </c>
      <c r="G148" s="21" t="str">
        <f>'C8C9C10'!B86</f>
        <v/>
      </c>
      <c r="H148" s="21" t="b">
        <v>0</v>
      </c>
      <c r="I148" s="21" t="b">
        <f>'C8C9C10'!B95="Y"</f>
        <v>0</v>
      </c>
      <c r="J148" s="21" t="b">
        <f>'C8C9C10'!B96="Y"</f>
        <v>0</v>
      </c>
      <c r="K148" s="21" t="b">
        <f>'C8C9C10'!B97="Y"</f>
        <v>0</v>
      </c>
      <c r="L148" s="21" t="b">
        <f>'C8C9C10'!B98="Y"</f>
        <v>0</v>
      </c>
      <c r="M148" s="21" t="b">
        <f>'C8C9C10'!B99="Y"</f>
        <v>0</v>
      </c>
      <c r="N148" s="21" t="b">
        <f>'C8C9C10'!B100="Y"</f>
        <v>0</v>
      </c>
      <c r="O148" s="21" t="str">
        <f>'C8C9C10'!B101</f>
        <v/>
      </c>
      <c r="P148" s="21" t="str">
        <f>'C8C9C10'!B102</f>
        <v/>
      </c>
      <c r="Q148" s="21" t="str">
        <f>'C8C9C10'!B103</f>
        <v/>
      </c>
      <c r="R148" s="4"/>
      <c r="S148" s="4"/>
      <c r="T148" s="4"/>
      <c r="U148" s="4"/>
      <c r="V148" s="4"/>
      <c r="W148" s="4"/>
      <c r="X148" s="4"/>
      <c r="Y148" s="4"/>
    </row>
    <row r="149" spans="1:38" x14ac:dyDescent="0.2">
      <c r="A149" s="53">
        <v>4</v>
      </c>
      <c r="B149" s="1305" t="str">
        <f>CAL&amp;CAL!C6</f>
        <v>CAL7</v>
      </c>
      <c r="C149" s="1305" t="str">
        <f>CAL&amp;CAL!C9</f>
        <v>CAL8</v>
      </c>
      <c r="D149" s="1305" t="str">
        <f>CAL&amp;CAL!G9</f>
        <v>CAL9</v>
      </c>
      <c r="E149" s="1305" t="str">
        <f>CAL&amp;CAL!C14</f>
        <v>CAL10</v>
      </c>
      <c r="F149" s="1305" t="str">
        <f>CAL&amp;CAL!G14</f>
        <v>CAL11</v>
      </c>
      <c r="G149" s="1305" t="str">
        <f>CAL&amp;CAL!C19</f>
        <v>CAL12</v>
      </c>
      <c r="H149" s="1305" t="str">
        <f>CAL&amp;CAL!G19</f>
        <v>CAL13</v>
      </c>
      <c r="I149" s="1305" t="str">
        <f>CAL&amp;CAL!C22</f>
        <v>CAL14</v>
      </c>
      <c r="J149" s="1305" t="str">
        <f>CAL&amp;CAL!G22</f>
        <v>CAL15</v>
      </c>
      <c r="K149" s="1305" t="str">
        <f>CAL&amp;CAL!G25</f>
        <v>CAL16</v>
      </c>
      <c r="L149" s="4"/>
      <c r="M149" s="4"/>
      <c r="N149" s="1310"/>
      <c r="O149" s="4"/>
      <c r="P149" s="4"/>
      <c r="Q149" s="4"/>
      <c r="R149" s="4"/>
      <c r="S149" s="4"/>
      <c r="T149" s="4"/>
      <c r="U149" s="4"/>
      <c r="V149" s="4"/>
      <c r="W149" s="4"/>
      <c r="X149" s="4"/>
      <c r="Y149" s="4"/>
    </row>
    <row r="150" spans="1:38" x14ac:dyDescent="0.2">
      <c r="A150" s="43" t="s">
        <v>568</v>
      </c>
      <c r="B150" s="472" t="s">
        <v>539</v>
      </c>
      <c r="C150" s="472" t="s">
        <v>1840</v>
      </c>
      <c r="D150" s="472" t="s">
        <v>32</v>
      </c>
      <c r="E150" s="20" t="s">
        <v>2267</v>
      </c>
      <c r="F150" s="472" t="s">
        <v>664</v>
      </c>
      <c r="G150" s="471" t="s">
        <v>2185</v>
      </c>
      <c r="H150" s="471" t="s">
        <v>2188</v>
      </c>
      <c r="I150" s="472" t="s">
        <v>2186</v>
      </c>
      <c r="J150" s="472" t="s">
        <v>2193</v>
      </c>
      <c r="K150" s="472" t="s">
        <v>789</v>
      </c>
      <c r="L150" s="4"/>
      <c r="M150" s="4"/>
      <c r="N150" s="4"/>
      <c r="O150" s="4"/>
      <c r="P150" s="4"/>
      <c r="Q150" s="4"/>
      <c r="R150" s="4"/>
      <c r="S150" s="4"/>
      <c r="T150" s="4"/>
      <c r="U150" s="4"/>
      <c r="V150" s="4"/>
      <c r="W150" s="4"/>
      <c r="X150" s="4"/>
      <c r="Y150" s="4"/>
    </row>
    <row r="151" spans="1:38" x14ac:dyDescent="0.2">
      <c r="A151" s="44">
        <v>11</v>
      </c>
      <c r="B151" s="20" t="s">
        <v>667</v>
      </c>
      <c r="C151" s="20" t="s">
        <v>667</v>
      </c>
      <c r="D151" s="20" t="s">
        <v>667</v>
      </c>
      <c r="E151" s="20" t="b">
        <v>0</v>
      </c>
      <c r="F151" s="20" t="s">
        <v>667</v>
      </c>
      <c r="G151" s="20" t="s">
        <v>667</v>
      </c>
      <c r="H151" s="20" t="s">
        <v>667</v>
      </c>
      <c r="I151" s="20" t="s">
        <v>667</v>
      </c>
      <c r="J151" s="20" t="s">
        <v>667</v>
      </c>
      <c r="K151" s="20" t="s">
        <v>667</v>
      </c>
      <c r="L151" s="4"/>
      <c r="M151" s="4"/>
      <c r="N151" s="4"/>
      <c r="O151" s="4"/>
      <c r="P151" s="4"/>
      <c r="Q151" s="4"/>
      <c r="R151" s="4"/>
      <c r="S151" s="4"/>
      <c r="T151" s="4"/>
      <c r="U151" s="4"/>
      <c r="V151" s="4"/>
      <c r="W151" s="4"/>
      <c r="X151" s="4"/>
      <c r="Y151" s="4"/>
    </row>
    <row ht="12" r="152" spans="1:38" thickBot="1" x14ac:dyDescent="0.25">
      <c r="A152" s="1318"/>
      <c r="B152" s="1319">
        <f>'C8C9C10'!B118</f>
        <v>2999</v>
      </c>
      <c r="C152" s="1319" t="str">
        <f>'C8C9C10'!B119</f>
        <v/>
      </c>
      <c r="D152" s="1319" t="str">
        <f>'C8C9C10'!B120</f>
        <v/>
      </c>
      <c r="E152" s="1319" t="str">
        <f>'C8C9C10'!B121</f>
        <v/>
      </c>
      <c r="F152" s="1319" t="str">
        <f>'C8C9C10'!B122</f>
        <v/>
      </c>
      <c r="G152" s="1319" t="str">
        <f>'C8C9C10'!B123</f>
        <v/>
      </c>
      <c r="H152" s="1319" t="str">
        <f>'C8C9C10'!B124</f>
        <v/>
      </c>
      <c r="I152" s="1319" t="str">
        <f>'C8C9C10'!B125</f>
        <v/>
      </c>
      <c r="J152" s="1319" t="str">
        <f>'C8C9C10'!B126</f>
        <v/>
      </c>
      <c r="K152" s="1319" t="str">
        <f>'C8C9C10'!B127</f>
        <v/>
      </c>
      <c r="L152" s="1320"/>
      <c r="M152" s="1320"/>
      <c r="N152" s="1320"/>
      <c r="O152" s="1320"/>
      <c r="P152" s="1320"/>
      <c r="Q152" s="1320"/>
      <c r="R152" s="1320"/>
      <c r="S152" s="1320"/>
      <c r="T152" s="1320"/>
      <c r="U152" s="1320"/>
      <c r="V152" s="1320"/>
      <c r="W152" s="1320"/>
      <c r="X152" s="1320"/>
      <c r="Y152" s="1320"/>
    </row>
    <row r="153" spans="1:38" x14ac:dyDescent="0.2">
      <c r="A153" s="1317"/>
      <c r="B153" s="1321"/>
      <c r="C153" s="1321"/>
      <c r="D153" s="1321"/>
      <c r="E153" s="1321"/>
      <c r="F153" s="1321"/>
      <c r="G153" s="1321"/>
      <c r="H153" s="1321"/>
      <c r="I153" s="1322" t="s">
        <v>3770</v>
      </c>
      <c r="J153" s="1322" t="s">
        <v>6042</v>
      </c>
      <c r="K153" s="1322" t="s">
        <v>3768</v>
      </c>
      <c r="L153" s="1322" t="s">
        <v>2075</v>
      </c>
      <c r="M153" s="1322" t="s">
        <v>801</v>
      </c>
      <c r="N153" s="1322" t="s">
        <v>3665</v>
      </c>
      <c r="O153" s="1322" t="s">
        <v>802</v>
      </c>
      <c r="P153" s="1322" t="s">
        <v>4560</v>
      </c>
      <c r="Q153" s="1322" t="s">
        <v>3318</v>
      </c>
      <c r="R153" s="1322" t="s">
        <v>3319</v>
      </c>
      <c r="S153" s="3626" t="s">
        <v>3344</v>
      </c>
      <c r="T153" s="1322" t="s">
        <v>3320</v>
      </c>
      <c r="U153" s="1322" t="s">
        <v>2768</v>
      </c>
      <c r="V153" s="1322" t="s">
        <v>3321</v>
      </c>
      <c r="W153" s="1322" t="s">
        <v>568</v>
      </c>
      <c r="X153" s="1322" t="s">
        <v>3322</v>
      </c>
      <c r="Y153" s="1322" t="s">
        <v>6</v>
      </c>
      <c r="Z153" s="1322" t="s">
        <v>3830</v>
      </c>
      <c r="AA153" s="1322" t="s">
        <v>614</v>
      </c>
      <c r="AB153" s="1322" t="s">
        <v>3832</v>
      </c>
    </row>
    <row r="154" spans="1:38" x14ac:dyDescent="0.2">
      <c r="A154" s="3621" t="s">
        <v>2886</v>
      </c>
      <c r="B154" s="1345" t="s">
        <v>1856</v>
      </c>
      <c r="C154" s="1345" t="s">
        <v>2082</v>
      </c>
      <c r="D154" s="1345" t="s">
        <v>2907</v>
      </c>
      <c r="E154" s="1345" t="s">
        <v>2908</v>
      </c>
      <c r="F154" s="1345" t="s">
        <v>7397</v>
      </c>
      <c r="G154" s="1345" t="s">
        <v>5062</v>
      </c>
      <c r="H154" s="1345" t="s">
        <v>91</v>
      </c>
      <c r="I154" s="1345" t="s">
        <v>7398</v>
      </c>
      <c r="J154" s="1345" t="s">
        <v>7399</v>
      </c>
      <c r="K154" s="1345" t="s">
        <v>7400</v>
      </c>
      <c r="L154" s="1345" t="s">
        <v>7401</v>
      </c>
      <c r="M154" s="1345" t="s">
        <v>7402</v>
      </c>
      <c r="N154" s="1345" t="s">
        <v>7403</v>
      </c>
      <c r="O154" s="1345" t="s">
        <v>7404</v>
      </c>
      <c r="P154" s="1345" t="s">
        <v>3845</v>
      </c>
      <c r="Q154" s="1345" t="s">
        <v>812</v>
      </c>
      <c r="R154" s="1345" t="s">
        <v>7405</v>
      </c>
      <c r="S154" s="3627" t="s">
        <v>7405</v>
      </c>
      <c r="T154" s="1345" t="s">
        <v>6872</v>
      </c>
      <c r="U154" s="1345" t="s">
        <v>7406</v>
      </c>
      <c r="V154" s="1345" t="s">
        <v>7407</v>
      </c>
      <c r="W154" s="1345" t="s">
        <v>2606</v>
      </c>
      <c r="X154" s="1345" t="s">
        <v>7408</v>
      </c>
      <c r="Y154" s="20" t="s">
        <v>7409</v>
      </c>
      <c r="Z154" s="20" t="s">
        <v>7410</v>
      </c>
      <c r="AA154" s="20" t="s">
        <v>7411</v>
      </c>
      <c r="AB154" s="20" t="s">
        <v>3379</v>
      </c>
      <c r="AC154" s="4"/>
      <c r="AD154" s="4"/>
      <c r="AE154" s="4"/>
      <c r="AF154" s="4"/>
      <c r="AG154" s="4"/>
      <c r="AH154" s="4"/>
      <c r="AI154" s="4"/>
      <c r="AJ154" s="4"/>
      <c r="AK154" s="4"/>
      <c r="AL154" s="4"/>
    </row>
    <row r="155" spans="1:38" x14ac:dyDescent="0.2">
      <c r="A155" s="3625">
        <v>28</v>
      </c>
      <c r="B155" s="1345" t="s">
        <v>667</v>
      </c>
      <c r="C155" s="1345" t="s">
        <v>667</v>
      </c>
      <c r="D155" s="1345" t="s">
        <v>667</v>
      </c>
      <c r="E155" s="1345" t="s">
        <v>667</v>
      </c>
      <c r="F155" s="1345" t="s">
        <v>667</v>
      </c>
      <c r="G155" s="1345" t="s">
        <v>667</v>
      </c>
      <c r="H155" s="1345" t="s">
        <v>667</v>
      </c>
      <c r="I155" s="1345" t="b">
        <v>0</v>
      </c>
      <c r="J155" s="1345" t="b">
        <v>0</v>
      </c>
      <c r="K155" s="1345" t="b">
        <v>0</v>
      </c>
      <c r="L155" s="1345" t="b">
        <v>0</v>
      </c>
      <c r="M155" s="1345" t="b">
        <v>0</v>
      </c>
      <c r="N155" s="1345" t="b">
        <v>0</v>
      </c>
      <c r="O155" s="1345" t="b">
        <v>0</v>
      </c>
      <c r="P155" s="1345" t="b">
        <v>0</v>
      </c>
      <c r="Q155" s="1345" t="b">
        <v>0</v>
      </c>
      <c r="R155" s="1345" t="b">
        <v>0</v>
      </c>
      <c r="S155" s="3627" t="b">
        <v>0</v>
      </c>
      <c r="T155" s="1345" t="b">
        <v>0</v>
      </c>
      <c r="U155" s="1345" t="b">
        <v>0</v>
      </c>
      <c r="V155" s="1345" t="b">
        <v>0</v>
      </c>
      <c r="W155" s="1345" t="b">
        <v>0</v>
      </c>
      <c r="X155" s="1345" t="b">
        <v>0</v>
      </c>
      <c r="Y155" s="20" t="b">
        <v>0</v>
      </c>
      <c r="Z155" s="20" t="b">
        <v>0</v>
      </c>
      <c r="AA155" s="20" t="b">
        <v>0</v>
      </c>
      <c r="AB155" s="20" t="b">
        <v>0</v>
      </c>
    </row>
    <row r="156" spans="1:38" x14ac:dyDescent="0.2">
      <c r="A156" s="3622"/>
      <c r="B156" s="3623"/>
      <c r="C156" s="3623"/>
      <c r="D156" s="3623"/>
      <c r="E156" s="3623"/>
      <c r="F156" s="3623"/>
      <c r="G156" s="3623"/>
      <c r="H156" s="3623"/>
      <c r="I156" s="3623"/>
      <c r="J156" s="3623"/>
      <c r="K156" s="3624" t="b">
        <f>OR(EMP_A_IND&gt;1, EMP_B_IND&gt;1)</f>
        <v>1</v>
      </c>
      <c r="L156" s="3624" t="b">
        <f>MOR_IND&gt;1</f>
        <v>0</v>
      </c>
      <c r="M156" s="3624" t="b">
        <f>OR(SE_A_IND&gt;1,SE_B_IND&gt;1)</f>
        <v>1</v>
      </c>
      <c r="N156" s="3624" t="b">
        <f>LUN_IND&gt;1</f>
        <v>0</v>
      </c>
      <c r="O156" s="3624" t="b">
        <f>OR(PS_A_IND&gt;1,PS_B_IND&gt;1)</f>
        <v>0</v>
      </c>
      <c r="P156" s="3624" t="b">
        <f>OR(NI2_IND&gt;1,NI1_IND&gt;1)</f>
        <v>1</v>
      </c>
      <c r="Q156" s="3624" t="b">
        <f>PRO_IND&gt;1</f>
        <v>0</v>
      </c>
      <c r="R156" s="3624" t="b">
        <f>FOR_IND&gt;1</f>
        <v>0</v>
      </c>
      <c r="S156" s="3628" t="b">
        <f>TCR_IND&gt;1</f>
        <v>0</v>
      </c>
      <c r="T156" s="3624" t="b">
        <f>TRU_IND&gt;1</f>
        <v>0</v>
      </c>
      <c r="U156" s="3624" t="b">
        <f>CGT_IND&gt;1</f>
        <v>0</v>
      </c>
      <c r="V156" s="3624" t="b">
        <f>NRD_IND&gt;1</f>
        <v>0</v>
      </c>
      <c r="W156" s="3624" t="b">
        <f>CAL_IND&gt;1</f>
        <v>1</v>
      </c>
      <c r="X156" s="3624" t="b">
        <f>OR(AOI_A_IND&gt;1,AOI_B_IND&gt; 1,AOI_C_IND&gt; 1)</f>
        <v>0</v>
      </c>
      <c r="Y156" s="1313" t="b">
        <f>OR(ASE_A_IND&gt;1,ASE_B_IND&gt; 1,ASE_C_IND&gt; 1)</f>
        <v>0</v>
      </c>
      <c r="Z156" s="1313" t="b">
        <f>AOR_IND&gt;1</f>
        <v>0</v>
      </c>
      <c r="AA156" s="1313" t="b">
        <f>MCA_IND&gt;1</f>
        <v>0</v>
      </c>
      <c r="AB156" s="1313" t="b">
        <f>AIL_IND&gt;1</f>
        <v>0</v>
      </c>
    </row>
    <row r="157" spans="1:38" x14ac:dyDescent="0.2">
      <c r="A157" s="3619"/>
      <c r="B157" s="3620" t="s">
        <v>2715</v>
      </c>
      <c r="C157" s="3620" t="s">
        <v>3</v>
      </c>
      <c r="D157" s="3620" t="s">
        <v>2296</v>
      </c>
      <c r="E157" s="3620" t="s">
        <v>652</v>
      </c>
      <c r="K157" s="2"/>
      <c r="L157" s="2"/>
      <c r="M157" s="2"/>
      <c r="N157" s="2"/>
      <c r="O157" s="2"/>
      <c r="P157" s="2"/>
      <c r="T157" s="2"/>
    </row>
    <row r="158" spans="1:38" x14ac:dyDescent="0.2">
      <c r="A158" s="43" t="s">
        <v>2714</v>
      </c>
      <c r="B158" s="10" t="s">
        <v>2791</v>
      </c>
      <c r="C158" s="10" t="s">
        <v>2792</v>
      </c>
      <c r="D158" s="10" t="s">
        <v>641</v>
      </c>
      <c r="E158" s="10" t="s">
        <v>642</v>
      </c>
      <c r="K158" s="2"/>
      <c r="L158" s="2"/>
      <c r="M158" s="2"/>
      <c r="N158" s="2"/>
      <c r="O158" s="2"/>
      <c r="P158" s="2"/>
      <c r="Q158" s="2"/>
      <c r="T158" s="2"/>
    </row>
    <row r="159" spans="1:38" x14ac:dyDescent="0.2">
      <c r="A159" s="44">
        <v>5</v>
      </c>
      <c r="B159" s="10">
        <v>7</v>
      </c>
      <c r="C159" s="10" t="b">
        <v>0</v>
      </c>
      <c r="D159" s="10" t="s">
        <v>667</v>
      </c>
      <c r="E159" s="10" t="s">
        <v>667</v>
      </c>
      <c r="K159" s="2"/>
      <c r="L159" s="2"/>
      <c r="M159" s="2"/>
      <c r="N159" s="2"/>
      <c r="O159" s="2"/>
      <c r="P159" s="2"/>
      <c r="Q159" s="2"/>
      <c r="T159" s="2"/>
    </row>
    <row r="160" spans="1:38" x14ac:dyDescent="0.2">
      <c r="A160" s="46"/>
      <c r="B160" s="46"/>
      <c r="C160" s="46"/>
      <c r="D160" s="46"/>
      <c r="E160" s="46"/>
      <c r="L160" s="2"/>
      <c r="M160" s="2"/>
      <c r="N160" s="2"/>
      <c r="O160" s="2"/>
      <c r="P160" s="2"/>
      <c r="Q160" s="2"/>
    </row>
    <row r="161" spans="1:20" x14ac:dyDescent="0.2">
      <c r="A161" s="42"/>
      <c r="B161" s="466" t="s">
        <v>3026</v>
      </c>
      <c r="C161" s="466" t="s">
        <v>4547</v>
      </c>
      <c r="L161" s="2"/>
      <c r="M161" s="2"/>
      <c r="N161" s="2"/>
      <c r="O161" s="2"/>
      <c r="P161" s="2"/>
      <c r="Q161" s="2"/>
    </row>
    <row r="162" spans="1:20" x14ac:dyDescent="0.2">
      <c r="A162" s="43" t="s">
        <v>3025</v>
      </c>
      <c r="B162" s="10" t="s">
        <v>3027</v>
      </c>
      <c r="C162" s="10" t="s">
        <v>3028</v>
      </c>
      <c r="L162" s="2"/>
      <c r="M162" s="2"/>
      <c r="N162" s="2"/>
      <c r="O162" s="2"/>
      <c r="P162" s="2"/>
      <c r="Q162" s="2"/>
    </row>
    <row r="163" spans="1:20" x14ac:dyDescent="0.2">
      <c r="A163" s="44">
        <v>3</v>
      </c>
      <c r="B163" s="10" t="b">
        <v>0</v>
      </c>
      <c r="C163" s="10" t="b">
        <v>0</v>
      </c>
      <c r="L163" s="2"/>
      <c r="M163" s="2"/>
    </row>
    <row r="164" spans="1:20" x14ac:dyDescent="0.2">
      <c r="A164" s="46"/>
      <c r="B164" s="46"/>
      <c r="C164" s="46"/>
      <c r="L164" s="2"/>
      <c r="Q164" s="2"/>
    </row>
    <row r="165" spans="1:20" x14ac:dyDescent="0.2">
      <c r="P165" s="2"/>
      <c r="Q165" s="2"/>
      <c r="R165" s="2"/>
      <c r="S165" s="2"/>
      <c r="T165" s="2"/>
    </row>
    <row r="166" spans="1:20" x14ac:dyDescent="0.2">
      <c r="M166" s="2"/>
      <c r="N166" s="2"/>
      <c r="O166" s="2"/>
      <c r="P166" s="2"/>
      <c r="Q166" s="2"/>
      <c r="R166" s="2"/>
      <c r="S166" s="2"/>
      <c r="T166" s="2"/>
    </row>
    <row r="167" spans="1:20" x14ac:dyDescent="0.2">
      <c r="R167" s="2"/>
      <c r="S167" s="2"/>
      <c r="T167" s="2"/>
    </row>
    <row r="168" spans="1:20" x14ac:dyDescent="0.2">
      <c r="R168" s="2"/>
      <c r="S168" s="2"/>
      <c r="T168" s="2"/>
    </row>
  </sheetData>
  <phoneticPr fontId="67" type="noConversion"/>
  <pageMargins bottom="0.19685039370078741" footer="0" header="0" left="0.19685039370078741" right="0.19685039370078741" top="0.19685039370078741"/>
  <pageSetup horizontalDpi="4294967292" orientation="landscape" paperSize="9" r:id="rId1" scale="90"/>
  <headerFooter alignWithMargins="0"/>
</worksheet>
</file>

<file path=xl/worksheets/sheet10.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xmlns:xr="http://schemas.microsoft.com/office/spreadsheetml/2014/revision" xmlns:xr2="http://schemas.microsoft.com/office/spreadsheetml/2015/revision2" xmlns:xr3="http://schemas.microsoft.com/office/spreadsheetml/2016/revision3" mc:Ignorable="x14ac xr xr2 xr3" xr:uid="{00000000-0001-0000-0900-000000000000}">
  <sheetPr codeName="Sheet59">
    <tabColor theme="9" tint="0.39997558519241921"/>
  </sheetPr>
  <dimension ref="A1:JK79"/>
  <sheetViews>
    <sheetView showGridLines="0" workbookViewId="0" zoomScaleNormal="100">
      <pane activePane="bottomRight" state="frozen" topLeftCell="E65" xSplit="4" ySplit="1"/>
      <selection activeCell="E1" pane="topRight" sqref="E1"/>
      <selection activeCell="A2" pane="bottomLeft" sqref="A2"/>
      <selection activeCell="F63" pane="bottomRight" sqref="F63"/>
    </sheetView>
  </sheetViews>
  <sheetFormatPr defaultColWidth="9.140625" defaultRowHeight="12" x14ac:dyDescent="0.2"/>
  <cols>
    <col min="1" max="1" bestFit="true" customWidth="true" style="1127" width="3.85546875" collapsed="true"/>
    <col min="2" max="2" bestFit="true" customWidth="true" style="181" width="11.140625" collapsed="true"/>
    <col min="3" max="3" customWidth="true" style="181" width="8.42578125" collapsed="true"/>
    <col min="4" max="4" customWidth="true" style="181" width="38.7109375" collapsed="true"/>
    <col min="5" max="5" bestFit="true" customWidth="true" style="181" width="10.28515625" collapsed="true"/>
    <col min="6" max="6" bestFit="true" customWidth="true" style="181" width="10.140625" collapsed="true"/>
    <col min="7" max="7" customWidth="true" style="181" width="9.7109375" collapsed="true"/>
    <col min="8" max="8" bestFit="true" customWidth="true" style="181" width="9.5703125" collapsed="true"/>
    <col min="9" max="10" bestFit="true" customWidth="true" style="181" width="10.0" collapsed="true"/>
    <col min="11" max="11" bestFit="true" customWidth="true" style="181" width="10.140625" collapsed="true"/>
    <col min="12" max="12" bestFit="true" customWidth="true" style="181" width="11.0" collapsed="true"/>
    <col min="13" max="13" bestFit="true" customWidth="true" style="181" width="9.42578125" collapsed="true"/>
    <col min="14" max="18" bestFit="true" customWidth="true" style="181" width="10.0" collapsed="true"/>
    <col min="19" max="29" customWidth="true" style="181" width="10.0" collapsed="true"/>
    <col min="30" max="34" customWidth="true" style="34" width="10.0" collapsed="true"/>
    <col min="35" max="43" customWidth="true" style="181" width="10.0" collapsed="true"/>
    <col min="44" max="44" bestFit="true" customWidth="true" style="181" width="11.0" collapsed="true"/>
    <col min="45" max="45" bestFit="true" customWidth="true" style="181" width="10.0" collapsed="true"/>
    <col min="46" max="105" customWidth="true" style="181" width="10.0" collapsed="true"/>
    <col min="106" max="106" bestFit="true" customWidth="true" style="181" width="11.0" collapsed="true"/>
    <col min="107" max="171" customWidth="true" style="181" width="10.0" collapsed="true"/>
    <col min="172" max="172" bestFit="true" customWidth="true" style="181" width="11.0" collapsed="true"/>
    <col min="173" max="216" customWidth="true" style="181" width="10.0" collapsed="true"/>
    <col min="217" max="217" bestFit="true" customWidth="true" style="181" width="11.0" collapsed="true"/>
    <col min="218" max="229" customWidth="true" style="181" width="10.0" collapsed="true"/>
    <col min="230" max="230" bestFit="true" customWidth="true" style="181" width="11.0" collapsed="true"/>
    <col min="231" max="233" customWidth="true" style="181" width="10.0" collapsed="true"/>
    <col min="234" max="234" bestFit="true" customWidth="true" style="181" width="11.0" collapsed="true"/>
    <col min="235" max="239" customWidth="true" style="181" width="10.0" collapsed="true"/>
    <col min="240" max="240" bestFit="true" customWidth="true" style="181" width="11.0" collapsed="true"/>
    <col min="241" max="253" customWidth="true" style="181" width="10.0" collapsed="true"/>
    <col min="254" max="254" bestFit="true" customWidth="true" style="181" width="11.0" collapsed="true"/>
    <col min="255" max="260" customWidth="true" style="181" width="10.0" collapsed="true"/>
    <col min="261" max="264" customWidth="true" style="34" width="10.0" collapsed="true"/>
    <col min="265" max="265" bestFit="true" customWidth="true" style="34" width="11.0" collapsed="true"/>
    <col min="266" max="267" customWidth="true" style="34" width="10.0" collapsed="true"/>
    <col min="268" max="268" customWidth="true" style="181" width="2.140625" collapsed="true"/>
    <col min="269" max="269" customWidth="true" style="181" width="77.140625" collapsed="true"/>
    <col min="270" max="270" bestFit="true" customWidth="true" style="121" width="28.85546875" collapsed="true"/>
    <col min="271" max="16384" style="181" width="9.140625" collapsed="true"/>
  </cols>
  <sheetData>
    <row ht="12.75" r="1" spans="1:270" x14ac:dyDescent="0.2">
      <c r="E1" s="544">
        <v>1</v>
      </c>
      <c r="F1" s="544">
        <v>2</v>
      </c>
      <c r="G1" s="544">
        <v>3</v>
      </c>
      <c r="H1" s="544">
        <v>4</v>
      </c>
      <c r="I1" s="544">
        <v>5</v>
      </c>
      <c r="J1" s="544">
        <v>6</v>
      </c>
      <c r="K1" s="544">
        <v>7</v>
      </c>
      <c r="L1" s="544">
        <v>8</v>
      </c>
      <c r="M1" s="544">
        <v>9</v>
      </c>
      <c r="N1" s="544">
        <v>10</v>
      </c>
      <c r="O1" s="544">
        <v>11</v>
      </c>
      <c r="P1" s="544">
        <v>12</v>
      </c>
      <c r="Q1" s="544">
        <v>13</v>
      </c>
      <c r="R1" s="544">
        <v>14</v>
      </c>
      <c r="S1" s="1914">
        <v>15</v>
      </c>
      <c r="T1" s="2023">
        <v>16</v>
      </c>
      <c r="U1" s="1914">
        <v>17</v>
      </c>
      <c r="V1" s="2023">
        <v>18</v>
      </c>
      <c r="W1" s="1914">
        <v>19</v>
      </c>
      <c r="X1" s="2023">
        <v>20</v>
      </c>
      <c r="Y1" s="1914">
        <v>21</v>
      </c>
      <c r="Z1" s="2023">
        <v>22</v>
      </c>
      <c r="AA1" s="2023">
        <v>23</v>
      </c>
      <c r="AB1" s="2023">
        <v>24</v>
      </c>
      <c r="AC1" s="2023">
        <v>25</v>
      </c>
      <c r="AD1" s="2407">
        <v>26</v>
      </c>
      <c r="AE1" s="2407">
        <v>27</v>
      </c>
      <c r="AF1" s="2407">
        <v>28</v>
      </c>
      <c r="AG1" s="2407">
        <v>29</v>
      </c>
      <c r="AH1" s="2407">
        <v>30</v>
      </c>
      <c r="AI1" s="2023">
        <v>31</v>
      </c>
      <c r="AJ1" s="2023">
        <v>32</v>
      </c>
      <c r="AK1" s="2023">
        <v>33</v>
      </c>
      <c r="AL1" s="2023">
        <v>34</v>
      </c>
      <c r="AM1" s="2023">
        <v>35</v>
      </c>
      <c r="AN1" s="2023">
        <v>36</v>
      </c>
      <c r="AO1" s="2023">
        <v>37</v>
      </c>
      <c r="AP1" s="2023">
        <v>38</v>
      </c>
      <c r="AQ1" s="2023">
        <v>39</v>
      </c>
      <c r="AR1" s="2023">
        <v>40</v>
      </c>
      <c r="AS1" s="2023">
        <v>41</v>
      </c>
      <c r="AT1" s="2023">
        <v>42</v>
      </c>
      <c r="AU1" s="2023">
        <v>43</v>
      </c>
      <c r="AV1" s="2023">
        <v>44</v>
      </c>
      <c r="AW1" s="2023">
        <v>45</v>
      </c>
      <c r="AX1" s="2023">
        <v>46</v>
      </c>
      <c r="AY1" s="2023">
        <v>47</v>
      </c>
      <c r="AZ1" s="2023">
        <v>48</v>
      </c>
      <c r="BA1" s="2023">
        <v>49</v>
      </c>
      <c r="BB1" s="2023">
        <v>50</v>
      </c>
      <c r="BC1" s="2023">
        <v>51</v>
      </c>
      <c r="BD1" s="2023">
        <v>52</v>
      </c>
      <c r="BE1" s="2023">
        <v>53</v>
      </c>
      <c r="BF1" s="2023">
        <v>54</v>
      </c>
      <c r="BG1" s="2023">
        <v>55</v>
      </c>
      <c r="BH1" s="2023">
        <v>56</v>
      </c>
      <c r="BI1" s="2023">
        <v>57</v>
      </c>
      <c r="BJ1" s="2023">
        <v>58</v>
      </c>
      <c r="BK1" s="2023">
        <v>59</v>
      </c>
      <c r="BL1" s="2023">
        <v>60</v>
      </c>
      <c r="BM1" s="2023">
        <v>61</v>
      </c>
      <c r="BN1" s="2023">
        <v>62</v>
      </c>
      <c r="BO1" s="2023">
        <v>63</v>
      </c>
      <c r="BP1" s="2023">
        <v>64</v>
      </c>
      <c r="BQ1" s="2023">
        <v>65</v>
      </c>
      <c r="BR1" s="2023">
        <v>66</v>
      </c>
      <c r="BS1" s="2023">
        <v>67</v>
      </c>
      <c r="BT1" s="2023">
        <v>68</v>
      </c>
      <c r="BU1" s="2023">
        <v>69</v>
      </c>
      <c r="BV1" s="2023">
        <v>70</v>
      </c>
      <c r="BW1" s="2023">
        <v>71</v>
      </c>
      <c r="BX1" s="2023">
        <v>72</v>
      </c>
      <c r="BY1" s="2023">
        <v>73</v>
      </c>
      <c r="BZ1" s="2023">
        <v>74</v>
      </c>
      <c r="CA1" s="2023">
        <v>75</v>
      </c>
      <c r="CB1" s="2023">
        <v>76</v>
      </c>
      <c r="CC1" s="2023">
        <v>77</v>
      </c>
      <c r="CD1" s="2023">
        <v>78</v>
      </c>
      <c r="CE1" s="2023">
        <v>79</v>
      </c>
      <c r="CF1" s="2023">
        <v>80</v>
      </c>
      <c r="CG1" s="2023">
        <v>81</v>
      </c>
      <c r="CH1" s="2023">
        <v>82</v>
      </c>
      <c r="CI1" s="2023">
        <v>83</v>
      </c>
      <c r="CJ1" s="2023">
        <v>84</v>
      </c>
      <c r="CK1" s="2023">
        <v>85</v>
      </c>
      <c r="CL1" s="2023">
        <v>86</v>
      </c>
      <c r="CM1" s="2023">
        <v>87</v>
      </c>
      <c r="CN1" s="2023">
        <v>88</v>
      </c>
      <c r="CO1" s="2023">
        <v>89</v>
      </c>
      <c r="CP1" s="2023">
        <v>90</v>
      </c>
      <c r="CQ1" s="2023">
        <v>91</v>
      </c>
      <c r="CR1" s="2023">
        <v>92</v>
      </c>
      <c r="CS1" s="2023">
        <v>93</v>
      </c>
      <c r="CT1" s="2023">
        <v>94</v>
      </c>
      <c r="CU1" s="2023">
        <v>95</v>
      </c>
      <c r="CV1" s="2023">
        <v>96</v>
      </c>
      <c r="CW1" s="2023">
        <v>97</v>
      </c>
      <c r="CX1" s="2023">
        <v>98</v>
      </c>
      <c r="CY1" s="2023">
        <v>99</v>
      </c>
      <c r="CZ1" s="2023">
        <v>100</v>
      </c>
      <c r="DA1" s="2023">
        <v>101</v>
      </c>
      <c r="DB1" s="2023">
        <v>102</v>
      </c>
      <c r="DC1" s="2023">
        <v>103</v>
      </c>
      <c r="DD1" s="2023">
        <v>104</v>
      </c>
      <c r="DE1" s="2023">
        <v>105</v>
      </c>
      <c r="DF1" s="2023">
        <v>106</v>
      </c>
      <c r="DG1" s="2023">
        <v>107</v>
      </c>
      <c r="DH1" s="2023">
        <v>108</v>
      </c>
      <c r="DI1" s="2023">
        <v>109</v>
      </c>
      <c r="DJ1" s="2023">
        <v>110</v>
      </c>
      <c r="DK1" s="2023">
        <v>111</v>
      </c>
      <c r="DL1" s="2023">
        <v>112</v>
      </c>
      <c r="DM1" s="2023">
        <v>113</v>
      </c>
      <c r="DN1" s="2023">
        <v>114</v>
      </c>
      <c r="DO1" s="2023">
        <v>115</v>
      </c>
      <c r="DP1" s="2023">
        <v>116</v>
      </c>
      <c r="DQ1" s="2023">
        <v>117</v>
      </c>
      <c r="DR1" s="2023">
        <v>118</v>
      </c>
      <c r="DS1" s="2023">
        <v>119</v>
      </c>
      <c r="DT1" s="2023">
        <v>120</v>
      </c>
      <c r="DU1" s="2023">
        <v>121</v>
      </c>
      <c r="DV1" s="2023">
        <v>122</v>
      </c>
      <c r="DW1" s="2023">
        <v>123</v>
      </c>
      <c r="DX1" s="2023">
        <v>124</v>
      </c>
      <c r="DY1" s="2023">
        <v>125</v>
      </c>
      <c r="DZ1" s="2023">
        <v>126</v>
      </c>
      <c r="EA1" s="2023">
        <v>127</v>
      </c>
      <c r="EB1" s="2023">
        <v>128</v>
      </c>
      <c r="EC1" s="2023">
        <v>129</v>
      </c>
      <c r="ED1" s="2023">
        <v>130</v>
      </c>
      <c r="EE1" s="2023">
        <v>131</v>
      </c>
      <c r="EF1" s="2023">
        <v>132</v>
      </c>
      <c r="EG1" s="2023">
        <v>133</v>
      </c>
      <c r="EH1" s="2023">
        <v>134</v>
      </c>
      <c r="EI1" s="2023">
        <v>135</v>
      </c>
      <c r="EJ1" s="2023">
        <v>136</v>
      </c>
      <c r="EK1" s="2023">
        <v>137</v>
      </c>
      <c r="EL1" s="2023">
        <v>138</v>
      </c>
      <c r="EM1" s="2023">
        <v>139</v>
      </c>
      <c r="EN1" s="2023">
        <v>140</v>
      </c>
      <c r="EO1" s="2023">
        <v>141</v>
      </c>
      <c r="EP1" s="2023">
        <v>142</v>
      </c>
      <c r="EQ1" s="2023">
        <v>143</v>
      </c>
      <c r="ER1" s="2023">
        <v>144</v>
      </c>
      <c r="ES1" s="2023">
        <v>145</v>
      </c>
      <c r="ET1" s="2023">
        <v>146</v>
      </c>
      <c r="EU1" s="2023">
        <v>147</v>
      </c>
      <c r="EV1" s="2023">
        <v>148</v>
      </c>
      <c r="EW1" s="2023">
        <v>149</v>
      </c>
      <c r="EX1" s="2023">
        <v>150</v>
      </c>
      <c r="EY1" s="2023">
        <v>151</v>
      </c>
      <c r="EZ1" s="2023">
        <v>152</v>
      </c>
      <c r="FA1" s="2023">
        <v>153</v>
      </c>
      <c r="FB1" s="2023">
        <v>154</v>
      </c>
      <c r="FC1" s="2023">
        <v>155</v>
      </c>
      <c r="FD1" s="2023">
        <v>156</v>
      </c>
      <c r="FE1" s="2023">
        <v>157</v>
      </c>
      <c r="FF1" s="2023">
        <v>158</v>
      </c>
      <c r="FG1" s="2023">
        <v>159</v>
      </c>
      <c r="FH1" s="2023">
        <v>160</v>
      </c>
      <c r="FI1" s="2023">
        <v>161</v>
      </c>
      <c r="FJ1" s="2023">
        <v>162</v>
      </c>
      <c r="FK1" s="2023">
        <v>163</v>
      </c>
      <c r="FL1" s="2023">
        <v>164</v>
      </c>
      <c r="FM1" s="2023">
        <v>165</v>
      </c>
      <c r="FN1" s="2023">
        <v>166</v>
      </c>
      <c r="FO1" s="2023">
        <v>167</v>
      </c>
      <c r="FP1" s="2023">
        <v>168</v>
      </c>
      <c r="FQ1" s="2023">
        <v>169</v>
      </c>
      <c r="FR1" s="2023">
        <v>170</v>
      </c>
      <c r="FS1" s="2023">
        <v>171</v>
      </c>
      <c r="FT1" s="2023">
        <v>172</v>
      </c>
      <c r="FU1" s="2023">
        <v>173</v>
      </c>
      <c r="FV1" s="2023">
        <v>174</v>
      </c>
      <c r="FW1" s="2023">
        <v>175</v>
      </c>
      <c r="FX1" s="2023">
        <v>176</v>
      </c>
      <c r="FY1" s="2023">
        <v>177</v>
      </c>
      <c r="FZ1" s="2023">
        <v>178</v>
      </c>
      <c r="GA1" s="2023">
        <v>179</v>
      </c>
      <c r="GB1" s="2023">
        <v>180</v>
      </c>
      <c r="GC1" s="2023">
        <v>181</v>
      </c>
      <c r="GD1" s="2023">
        <v>182</v>
      </c>
      <c r="GE1" s="2023">
        <v>183</v>
      </c>
      <c r="GF1" s="2023">
        <v>184</v>
      </c>
      <c r="GG1" s="2023">
        <v>185</v>
      </c>
      <c r="GH1" s="2023">
        <v>186</v>
      </c>
      <c r="GI1" s="2023">
        <v>187</v>
      </c>
      <c r="GJ1" s="2023">
        <v>188</v>
      </c>
      <c r="GK1" s="2023">
        <v>189</v>
      </c>
      <c r="GL1" s="2023">
        <v>190</v>
      </c>
      <c r="GM1" s="2023">
        <v>191</v>
      </c>
      <c r="GN1" s="2023">
        <v>192</v>
      </c>
      <c r="GO1" s="2023">
        <v>193</v>
      </c>
      <c r="GP1" s="2023">
        <v>194</v>
      </c>
      <c r="GQ1" s="2023">
        <v>195</v>
      </c>
      <c r="GR1" s="2023">
        <v>196</v>
      </c>
      <c r="GS1" s="2023">
        <v>197</v>
      </c>
      <c r="GT1" s="2023">
        <v>198</v>
      </c>
      <c r="GU1" s="2023">
        <v>199</v>
      </c>
      <c r="GV1" s="2023">
        <v>200</v>
      </c>
      <c r="GW1" s="2023">
        <v>201</v>
      </c>
      <c r="GX1" s="2023">
        <v>202</v>
      </c>
      <c r="GY1" s="2023">
        <v>203</v>
      </c>
      <c r="GZ1" s="2023">
        <v>204</v>
      </c>
      <c r="HA1" s="2023">
        <v>205</v>
      </c>
      <c r="HB1" s="2023">
        <v>206</v>
      </c>
      <c r="HC1" s="2023">
        <v>207</v>
      </c>
      <c r="HD1" s="2023">
        <v>208</v>
      </c>
      <c r="HE1" s="2023">
        <v>209</v>
      </c>
      <c r="HF1" s="2023">
        <v>210</v>
      </c>
      <c r="HG1" s="2023">
        <v>211</v>
      </c>
      <c r="HH1" s="2023">
        <v>212</v>
      </c>
      <c r="HI1" s="2023">
        <v>213</v>
      </c>
      <c r="HJ1" s="2023">
        <v>214</v>
      </c>
      <c r="HK1" s="2023">
        <v>215</v>
      </c>
      <c r="HL1" s="2023">
        <v>216</v>
      </c>
      <c r="HM1" s="2023">
        <v>217</v>
      </c>
      <c r="HN1" s="2023">
        <v>218</v>
      </c>
      <c r="HO1" s="2023">
        <v>219</v>
      </c>
      <c r="HP1" s="2023">
        <v>220</v>
      </c>
      <c r="HQ1" s="2023">
        <v>221</v>
      </c>
      <c r="HR1" s="2023">
        <v>222</v>
      </c>
      <c r="HS1" s="2023">
        <v>223</v>
      </c>
      <c r="HT1" s="2023">
        <v>224</v>
      </c>
      <c r="HU1" s="2023">
        <v>225</v>
      </c>
      <c r="HV1" s="2023">
        <v>226</v>
      </c>
      <c r="HW1" s="2023">
        <v>227</v>
      </c>
      <c r="HX1" s="2023">
        <v>228</v>
      </c>
      <c r="HY1" s="2023">
        <v>229</v>
      </c>
      <c r="HZ1" s="2023">
        <v>230</v>
      </c>
      <c r="IA1" s="2023">
        <v>231</v>
      </c>
      <c r="IB1" s="2023">
        <v>232</v>
      </c>
      <c r="IC1" s="2023">
        <v>233</v>
      </c>
      <c r="ID1" s="2023">
        <v>234</v>
      </c>
      <c r="IE1" s="2023">
        <v>235</v>
      </c>
      <c r="IF1" s="2023">
        <v>236</v>
      </c>
      <c r="IG1" s="2023">
        <v>237</v>
      </c>
      <c r="IH1" s="2023">
        <v>238</v>
      </c>
      <c r="II1" s="2023">
        <v>239</v>
      </c>
      <c r="IJ1" s="2023">
        <v>240</v>
      </c>
      <c r="IK1" s="2023">
        <v>241</v>
      </c>
      <c r="IL1" s="2023">
        <v>242</v>
      </c>
      <c r="IM1" s="2023">
        <v>243</v>
      </c>
      <c r="IN1" s="2023">
        <v>244</v>
      </c>
      <c r="IO1" s="2023">
        <v>245</v>
      </c>
      <c r="IP1" s="2023">
        <v>246</v>
      </c>
      <c r="IQ1" s="2023">
        <v>247</v>
      </c>
      <c r="IR1" s="2023">
        <v>248</v>
      </c>
      <c r="IS1" s="2023">
        <v>249</v>
      </c>
      <c r="IT1" s="2023">
        <v>250</v>
      </c>
      <c r="IU1" s="2023">
        <v>251</v>
      </c>
      <c r="IV1" s="2023">
        <v>252</v>
      </c>
      <c r="IW1" s="2023">
        <v>253</v>
      </c>
      <c r="IX1" s="2023">
        <v>254</v>
      </c>
      <c r="IY1" s="2023">
        <v>255</v>
      </c>
      <c r="IZ1" s="2023">
        <v>256</v>
      </c>
      <c r="JA1" s="2023">
        <v>257</v>
      </c>
      <c r="JB1" s="2023">
        <v>258</v>
      </c>
      <c r="JC1" s="2023">
        <v>259</v>
      </c>
      <c r="JD1" s="2023">
        <v>260</v>
      </c>
      <c r="JE1" s="2023">
        <v>261</v>
      </c>
      <c r="JF1" s="2023">
        <v>262</v>
      </c>
      <c r="JG1" s="2023">
        <v>263</v>
      </c>
      <c r="JH1" s="1233"/>
      <c r="JI1" s="1232" t="s">
        <v>5040</v>
      </c>
      <c r="JJ1" s="1685" t="s">
        <v>6104</v>
      </c>
    </row>
    <row ht="13.5" r="2" spans="1:270" thickBot="1" x14ac:dyDescent="0.25">
      <c r="A2" s="1211"/>
      <c r="B2" s="386"/>
      <c r="C2" s="1131" t="s">
        <v>3554</v>
      </c>
      <c r="D2" s="671"/>
      <c r="E2" s="1250"/>
      <c r="F2" s="1250"/>
      <c r="G2" s="1250"/>
      <c r="H2" s="1250"/>
      <c r="I2" s="1250"/>
      <c r="J2" s="693"/>
      <c r="K2" s="693"/>
      <c r="L2" s="693"/>
      <c r="M2" s="693"/>
      <c r="N2" s="693"/>
      <c r="O2" s="693"/>
      <c r="P2" s="693"/>
      <c r="Q2" s="693"/>
      <c r="R2" s="693"/>
      <c r="S2" s="693"/>
      <c r="T2" s="693"/>
      <c r="U2" s="693"/>
      <c r="V2" s="693"/>
      <c r="W2" s="693"/>
      <c r="X2" s="693"/>
      <c r="Y2" s="693"/>
      <c r="Z2" s="693"/>
      <c r="AA2" s="693"/>
      <c r="AB2" s="693"/>
      <c r="AC2" s="693"/>
      <c r="AD2" s="50"/>
      <c r="AE2" s="50"/>
      <c r="AF2" s="50"/>
      <c r="AG2" s="50"/>
      <c r="AH2" s="50"/>
      <c r="AI2" s="693"/>
      <c r="AJ2" s="693"/>
      <c r="AK2" s="693"/>
      <c r="AL2" s="693"/>
      <c r="AM2" s="693"/>
      <c r="AN2" s="693"/>
      <c r="AO2" s="693"/>
      <c r="AP2" s="693"/>
      <c r="AQ2" s="693"/>
      <c r="AR2" s="693"/>
      <c r="AS2" s="693"/>
      <c r="AT2" s="693"/>
      <c r="AU2" s="693"/>
      <c r="AV2" s="693"/>
      <c r="AW2" s="693"/>
      <c r="AX2" s="693"/>
      <c r="AY2" s="693"/>
      <c r="AZ2" s="693"/>
      <c r="BA2" s="693"/>
      <c r="BB2" s="693"/>
      <c r="BC2" s="693"/>
      <c r="BD2" s="693"/>
      <c r="BE2" s="693"/>
      <c r="BF2" s="693"/>
      <c r="BG2" s="693"/>
      <c r="BH2" s="693"/>
      <c r="BI2" s="693"/>
      <c r="BJ2" s="693"/>
      <c r="BK2" s="693"/>
      <c r="BL2" s="693"/>
      <c r="BM2" s="693"/>
      <c r="BN2" s="693"/>
      <c r="BO2" s="693"/>
      <c r="BP2" s="693"/>
      <c r="BQ2" s="693"/>
      <c r="BR2" s="693"/>
      <c r="BS2" s="693"/>
      <c r="BT2" s="693"/>
      <c r="BU2" s="693"/>
      <c r="BV2" s="693"/>
      <c r="BW2" s="693"/>
      <c r="BX2" s="693"/>
      <c r="BY2" s="693"/>
      <c r="BZ2" s="693"/>
      <c r="CA2" s="693"/>
      <c r="CB2" s="693"/>
      <c r="CC2" s="693"/>
      <c r="CD2" s="693"/>
      <c r="CE2" s="693"/>
      <c r="CF2" s="693"/>
      <c r="CG2" s="693"/>
      <c r="CH2" s="693"/>
      <c r="CI2" s="693"/>
      <c r="CJ2" s="693"/>
      <c r="CK2" s="693"/>
      <c r="CL2" s="693"/>
      <c r="CM2" s="693"/>
      <c r="CN2" s="693"/>
      <c r="CO2" s="693"/>
      <c r="CP2" s="693"/>
      <c r="CQ2" s="693"/>
      <c r="CR2" s="693"/>
      <c r="CS2" s="693"/>
      <c r="CT2" s="693"/>
      <c r="CU2" s="693"/>
      <c r="CV2" s="693"/>
      <c r="CW2" s="693"/>
      <c r="CX2" s="693"/>
      <c r="CY2" s="693"/>
      <c r="CZ2" s="693"/>
      <c r="DA2" s="693"/>
      <c r="DB2" s="693"/>
      <c r="DC2" s="693"/>
      <c r="DD2" s="693"/>
      <c r="DE2" s="693"/>
      <c r="DF2" s="693"/>
      <c r="DG2" s="693"/>
      <c r="DH2" s="693"/>
      <c r="DI2" s="693"/>
      <c r="DJ2" s="693"/>
      <c r="DK2" s="693"/>
      <c r="DL2" s="693"/>
      <c r="DM2" s="693"/>
      <c r="DN2" s="693"/>
      <c r="DO2" s="693"/>
      <c r="DP2" s="693"/>
      <c r="DQ2" s="693"/>
      <c r="DR2" s="693"/>
      <c r="DS2" s="693"/>
      <c r="DT2" s="693"/>
      <c r="DU2" s="693"/>
      <c r="DV2" s="693"/>
      <c r="DW2" s="693"/>
      <c r="DX2" s="693"/>
      <c r="DY2" s="693"/>
      <c r="DZ2" s="693"/>
      <c r="EA2" s="693"/>
      <c r="EB2" s="693"/>
      <c r="EC2" s="693"/>
      <c r="ED2" s="693"/>
      <c r="EE2" s="693"/>
      <c r="EF2" s="693"/>
      <c r="EG2" s="693"/>
      <c r="EH2" s="693"/>
      <c r="EI2" s="693"/>
      <c r="EJ2" s="693"/>
      <c r="EK2" s="693"/>
      <c r="EL2" s="693"/>
      <c r="EM2" s="693"/>
      <c r="EN2" s="693"/>
      <c r="EO2" s="693"/>
      <c r="EP2" s="693"/>
      <c r="EQ2" s="693"/>
      <c r="ER2" s="693"/>
      <c r="ES2" s="693"/>
      <c r="ET2" s="693"/>
      <c r="EU2" s="693"/>
      <c r="EV2" s="693"/>
      <c r="EW2" s="693"/>
      <c r="EX2" s="693"/>
      <c r="EY2" s="693"/>
      <c r="EZ2" s="693"/>
      <c r="FA2" s="693"/>
      <c r="FB2" s="693"/>
      <c r="FC2" s="693"/>
      <c r="FD2" s="693"/>
      <c r="FE2" s="693"/>
      <c r="FF2" s="693"/>
      <c r="FG2" s="693"/>
      <c r="FH2" s="693"/>
      <c r="FI2" s="693"/>
      <c r="FJ2" s="693"/>
      <c r="FK2" s="693"/>
      <c r="FL2" s="693"/>
      <c r="FM2" s="693"/>
      <c r="FN2" s="693"/>
      <c r="FO2" s="693"/>
      <c r="FP2" s="693"/>
      <c r="FQ2" s="693"/>
      <c r="FR2" s="693"/>
      <c r="FS2" s="693"/>
      <c r="FT2" s="693"/>
      <c r="FU2" s="693"/>
      <c r="FV2" s="693"/>
      <c r="FW2" s="693"/>
      <c r="FX2" s="693"/>
      <c r="FY2" s="693"/>
      <c r="FZ2" s="693"/>
      <c r="GA2" s="693"/>
      <c r="GB2" s="693"/>
      <c r="GC2" s="693"/>
      <c r="GD2" s="693"/>
      <c r="GE2" s="693"/>
      <c r="GF2" s="693"/>
      <c r="GG2" s="693"/>
      <c r="GH2" s="693"/>
      <c r="GI2" s="693"/>
      <c r="GJ2" s="693"/>
      <c r="GK2" s="693"/>
      <c r="GL2" s="693"/>
      <c r="GM2" s="693"/>
      <c r="GN2" s="693"/>
      <c r="GO2" s="693"/>
      <c r="GP2" s="693"/>
      <c r="GQ2" s="693"/>
      <c r="GR2" s="693"/>
      <c r="GS2" s="693"/>
      <c r="GT2" s="693"/>
      <c r="GU2" s="693"/>
      <c r="GV2" s="693"/>
      <c r="GW2" s="693"/>
      <c r="GX2" s="693"/>
      <c r="GY2" s="693"/>
      <c r="GZ2" s="693"/>
      <c r="HA2" s="693"/>
      <c r="HB2" s="693"/>
      <c r="HC2" s="693"/>
      <c r="HD2" s="693"/>
      <c r="HE2" s="693"/>
      <c r="HF2" s="693"/>
      <c r="HG2" s="693"/>
      <c r="HH2" s="693"/>
      <c r="HI2" s="693"/>
      <c r="HJ2" s="693"/>
      <c r="HK2" s="693"/>
      <c r="HL2" s="693"/>
      <c r="HM2" s="693"/>
      <c r="HN2" s="693"/>
      <c r="HO2" s="693"/>
      <c r="HP2" s="693"/>
      <c r="HQ2" s="693"/>
      <c r="HR2" s="693"/>
      <c r="HS2" s="693"/>
      <c r="HT2" s="693"/>
      <c r="HU2" s="693"/>
      <c r="HV2" s="693"/>
      <c r="HW2" s="693"/>
      <c r="HX2" s="693"/>
      <c r="HY2" s="693"/>
      <c r="HZ2" s="693"/>
      <c r="IA2" s="693"/>
      <c r="IB2" s="693"/>
      <c r="IC2" s="693"/>
      <c r="ID2" s="693"/>
      <c r="IE2" s="693"/>
      <c r="IF2" s="693"/>
      <c r="IG2" s="693"/>
      <c r="IH2" s="693"/>
      <c r="II2" s="693"/>
      <c r="IJ2" s="693"/>
      <c r="IK2" s="693"/>
      <c r="IL2" s="693"/>
      <c r="IM2" s="693"/>
      <c r="IN2" s="693"/>
      <c r="IO2" s="693"/>
      <c r="IP2" s="693"/>
      <c r="IQ2" s="693"/>
      <c r="IR2" s="693"/>
      <c r="IS2" s="693"/>
      <c r="IT2" s="693"/>
      <c r="IU2" s="693"/>
      <c r="IV2" s="693"/>
      <c r="IW2" s="693"/>
      <c r="IX2" s="693"/>
      <c r="IY2" s="693"/>
      <c r="IZ2" s="693"/>
      <c r="JA2" s="50"/>
      <c r="JB2" s="50"/>
      <c r="JC2" s="50"/>
      <c r="JD2" s="50"/>
      <c r="JE2" s="50"/>
      <c r="JF2" s="50"/>
      <c r="JG2" s="50"/>
      <c r="JH2" s="1233"/>
      <c r="JI2" s="1232" t="s">
        <v>5040</v>
      </c>
      <c r="JJ2" s="1685"/>
    </row>
    <row ht="12.75" r="3" spans="1:270" x14ac:dyDescent="0.2">
      <c r="A3" s="1212" t="s">
        <v>4479</v>
      </c>
      <c r="B3" s="1945" t="str">
        <f>"selected "&amp;YPD_IND-1</f>
        <v>selected 3</v>
      </c>
      <c r="C3" s="1251" t="s">
        <v>650</v>
      </c>
      <c r="D3" s="1252"/>
      <c r="E3" s="2026">
        <v>1</v>
      </c>
      <c r="F3" s="2026">
        <v>2</v>
      </c>
      <c r="G3" s="2026">
        <v>3</v>
      </c>
      <c r="H3" s="2026">
        <v>4</v>
      </c>
      <c r="I3" s="2026">
        <v>5</v>
      </c>
      <c r="J3" s="2026">
        <v>6</v>
      </c>
      <c r="K3" s="2026">
        <v>7</v>
      </c>
      <c r="L3" s="2026">
        <v>8</v>
      </c>
      <c r="M3" s="2026">
        <v>9</v>
      </c>
      <c r="N3" s="2026">
        <v>10</v>
      </c>
      <c r="O3" s="2026">
        <v>11</v>
      </c>
      <c r="P3" s="2026">
        <v>12</v>
      </c>
      <c r="Q3" s="2026">
        <v>13</v>
      </c>
      <c r="R3" s="2026">
        <v>14</v>
      </c>
      <c r="S3" s="2026">
        <v>15</v>
      </c>
      <c r="T3" s="2026">
        <v>16</v>
      </c>
      <c r="U3" s="2026">
        <v>17</v>
      </c>
      <c r="V3" s="2026">
        <v>18</v>
      </c>
      <c r="W3" s="2026">
        <v>19</v>
      </c>
      <c r="X3" s="2026">
        <v>20</v>
      </c>
      <c r="Y3" s="2026">
        <v>21</v>
      </c>
      <c r="Z3" s="2026">
        <v>22</v>
      </c>
      <c r="AA3" s="2026">
        <v>23</v>
      </c>
      <c r="AB3" s="2026">
        <v>24</v>
      </c>
      <c r="AC3" s="2026">
        <v>25</v>
      </c>
      <c r="AD3" s="3502">
        <v>26</v>
      </c>
      <c r="AE3" s="3502">
        <v>27</v>
      </c>
      <c r="AF3" s="3502">
        <v>28</v>
      </c>
      <c r="AG3" s="3502">
        <v>29</v>
      </c>
      <c r="AH3" s="3502">
        <v>30</v>
      </c>
      <c r="AI3" s="1134">
        <v>31</v>
      </c>
      <c r="AJ3" s="1134">
        <v>32</v>
      </c>
      <c r="AK3" s="1134">
        <v>33</v>
      </c>
      <c r="AL3" s="1134">
        <v>34</v>
      </c>
      <c r="AM3" s="1134">
        <v>35</v>
      </c>
      <c r="AN3" s="1134">
        <v>36</v>
      </c>
      <c r="AO3" s="1134">
        <v>37</v>
      </c>
      <c r="AP3" s="1134">
        <v>38</v>
      </c>
      <c r="AQ3" s="1134">
        <v>39</v>
      </c>
      <c r="AR3" s="1134">
        <v>40</v>
      </c>
      <c r="AS3" s="1134">
        <v>41</v>
      </c>
      <c r="AT3" s="1134">
        <v>42</v>
      </c>
      <c r="AU3" s="1134">
        <v>43</v>
      </c>
      <c r="AV3" s="1134">
        <v>44</v>
      </c>
      <c r="AW3" s="1134">
        <v>45</v>
      </c>
      <c r="AX3" s="1134">
        <v>46</v>
      </c>
      <c r="AY3" s="1134">
        <v>47</v>
      </c>
      <c r="AZ3" s="1134">
        <v>48</v>
      </c>
      <c r="BA3" s="1134">
        <v>49</v>
      </c>
      <c r="BB3" s="1134">
        <v>50</v>
      </c>
      <c r="BC3" s="1134">
        <v>51</v>
      </c>
      <c r="BD3" s="1134">
        <v>52</v>
      </c>
      <c r="BE3" s="1134">
        <v>53</v>
      </c>
      <c r="BF3" s="1134">
        <v>54</v>
      </c>
      <c r="BG3" s="1134">
        <v>55</v>
      </c>
      <c r="BH3" s="1134">
        <v>56</v>
      </c>
      <c r="BI3" s="1134">
        <v>57</v>
      </c>
      <c r="BJ3" s="1134">
        <v>58</v>
      </c>
      <c r="BK3" s="1134">
        <v>59</v>
      </c>
      <c r="BL3" s="1134">
        <v>60</v>
      </c>
      <c r="BM3" s="1134">
        <v>61</v>
      </c>
      <c r="BN3" s="1134">
        <v>62</v>
      </c>
      <c r="BO3" s="1134">
        <v>63</v>
      </c>
      <c r="BP3" s="1134">
        <v>64</v>
      </c>
      <c r="BQ3" s="1134">
        <v>65</v>
      </c>
      <c r="BR3" s="1134">
        <v>66</v>
      </c>
      <c r="BS3" s="1134">
        <v>67</v>
      </c>
      <c r="BT3" s="1134">
        <v>68</v>
      </c>
      <c r="BU3" s="1134">
        <v>69</v>
      </c>
      <c r="BV3" s="1134">
        <v>70</v>
      </c>
      <c r="BW3" s="1134">
        <v>71</v>
      </c>
      <c r="BX3" s="1134">
        <v>72</v>
      </c>
      <c r="BY3" s="1134">
        <v>73</v>
      </c>
      <c r="BZ3" s="1134">
        <v>74</v>
      </c>
      <c r="CA3" s="1134">
        <v>75</v>
      </c>
      <c r="CB3" s="1134">
        <v>76</v>
      </c>
      <c r="CC3" s="1134">
        <v>77</v>
      </c>
      <c r="CD3" s="1134">
        <v>78</v>
      </c>
      <c r="CE3" s="1134">
        <v>79</v>
      </c>
      <c r="CF3" s="1134">
        <v>80</v>
      </c>
      <c r="CG3" s="1134">
        <v>81</v>
      </c>
      <c r="CH3" s="1134">
        <v>82</v>
      </c>
      <c r="CI3" s="1134">
        <v>83</v>
      </c>
      <c r="CJ3" s="1134">
        <v>84</v>
      </c>
      <c r="CK3" s="1134">
        <v>85</v>
      </c>
      <c r="CL3" s="1134">
        <v>86</v>
      </c>
      <c r="CM3" s="1134">
        <v>87</v>
      </c>
      <c r="CN3" s="1134">
        <v>88</v>
      </c>
      <c r="CO3" s="1134">
        <v>89</v>
      </c>
      <c r="CP3" s="1134">
        <v>90</v>
      </c>
      <c r="CQ3" s="1134">
        <v>91</v>
      </c>
      <c r="CR3" s="1134">
        <v>92</v>
      </c>
      <c r="CS3" s="1134">
        <v>93</v>
      </c>
      <c r="CT3" s="1134">
        <v>94</v>
      </c>
      <c r="CU3" s="1134">
        <v>95</v>
      </c>
      <c r="CV3" s="1134">
        <v>96</v>
      </c>
      <c r="CW3" s="1134">
        <v>97</v>
      </c>
      <c r="CX3" s="1134">
        <v>98</v>
      </c>
      <c r="CY3" s="1134">
        <v>99</v>
      </c>
      <c r="CZ3" s="1134">
        <v>100</v>
      </c>
      <c r="DA3" s="1134">
        <v>101</v>
      </c>
      <c r="DB3" s="1134">
        <v>102</v>
      </c>
      <c r="DC3" s="1134">
        <v>103</v>
      </c>
      <c r="DD3" s="1134">
        <v>104</v>
      </c>
      <c r="DE3" s="1134">
        <v>105</v>
      </c>
      <c r="DF3" s="1134">
        <v>106</v>
      </c>
      <c r="DG3" s="1134">
        <v>107</v>
      </c>
      <c r="DH3" s="1134">
        <v>108</v>
      </c>
      <c r="DI3" s="1134">
        <v>109</v>
      </c>
      <c r="DJ3" s="1134">
        <v>110</v>
      </c>
      <c r="DK3" s="1134">
        <v>111</v>
      </c>
      <c r="DL3" s="1134">
        <v>112</v>
      </c>
      <c r="DM3" s="1134">
        <v>113</v>
      </c>
      <c r="DN3" s="1134">
        <v>114</v>
      </c>
      <c r="DO3" s="1134">
        <v>115</v>
      </c>
      <c r="DP3" s="1134">
        <v>116</v>
      </c>
      <c r="DQ3" s="1134">
        <v>117</v>
      </c>
      <c r="DR3" s="1134">
        <v>118</v>
      </c>
      <c r="DS3" s="1134">
        <v>119</v>
      </c>
      <c r="DT3" s="1134">
        <v>120</v>
      </c>
      <c r="DU3" s="1134">
        <v>121</v>
      </c>
      <c r="DV3" s="1134">
        <v>122</v>
      </c>
      <c r="DW3" s="1134">
        <v>123</v>
      </c>
      <c r="DX3" s="1134">
        <v>124</v>
      </c>
      <c r="DY3" s="1134">
        <v>125</v>
      </c>
      <c r="DZ3" s="1134">
        <v>126</v>
      </c>
      <c r="EA3" s="1134">
        <v>127</v>
      </c>
      <c r="EB3" s="1134">
        <v>128</v>
      </c>
      <c r="EC3" s="1134">
        <v>129</v>
      </c>
      <c r="ED3" s="1134">
        <v>130</v>
      </c>
      <c r="EE3" s="1134">
        <v>131</v>
      </c>
      <c r="EF3" s="1134">
        <v>132</v>
      </c>
      <c r="EG3" s="1134">
        <v>133</v>
      </c>
      <c r="EH3" s="1134">
        <v>134</v>
      </c>
      <c r="EI3" s="1134">
        <v>135</v>
      </c>
      <c r="EJ3" s="1134">
        <v>136</v>
      </c>
      <c r="EK3" s="1134">
        <v>137</v>
      </c>
      <c r="EL3" s="1134">
        <v>138</v>
      </c>
      <c r="EM3" s="1134">
        <v>139</v>
      </c>
      <c r="EN3" s="1134">
        <v>140</v>
      </c>
      <c r="EO3" s="1134">
        <v>141</v>
      </c>
      <c r="EP3" s="1134">
        <v>142</v>
      </c>
      <c r="EQ3" s="1134">
        <v>143</v>
      </c>
      <c r="ER3" s="1134">
        <v>144</v>
      </c>
      <c r="ES3" s="1134">
        <v>145</v>
      </c>
      <c r="ET3" s="1134">
        <v>146</v>
      </c>
      <c r="EU3" s="1134">
        <v>147</v>
      </c>
      <c r="EV3" s="1134">
        <v>148</v>
      </c>
      <c r="EW3" s="1134">
        <v>149</v>
      </c>
      <c r="EX3" s="1134">
        <v>150</v>
      </c>
      <c r="EY3" s="1134">
        <v>151</v>
      </c>
      <c r="EZ3" s="1134">
        <v>152</v>
      </c>
      <c r="FA3" s="1134">
        <v>153</v>
      </c>
      <c r="FB3" s="1134">
        <v>154</v>
      </c>
      <c r="FC3" s="1134">
        <v>155</v>
      </c>
      <c r="FD3" s="1134">
        <v>156</v>
      </c>
      <c r="FE3" s="1134">
        <v>157</v>
      </c>
      <c r="FF3" s="1134">
        <v>158</v>
      </c>
      <c r="FG3" s="1134">
        <v>159</v>
      </c>
      <c r="FH3" s="1134">
        <v>160</v>
      </c>
      <c r="FI3" s="1134">
        <v>161</v>
      </c>
      <c r="FJ3" s="1134">
        <v>162</v>
      </c>
      <c r="FK3" s="1134">
        <v>163</v>
      </c>
      <c r="FL3" s="1134">
        <v>164</v>
      </c>
      <c r="FM3" s="1134">
        <v>165</v>
      </c>
      <c r="FN3" s="1134">
        <v>166</v>
      </c>
      <c r="FO3" s="1134">
        <v>167</v>
      </c>
      <c r="FP3" s="1134">
        <v>168</v>
      </c>
      <c r="FQ3" s="1134">
        <v>169</v>
      </c>
      <c r="FR3" s="1134">
        <v>170</v>
      </c>
      <c r="FS3" s="1134">
        <v>171</v>
      </c>
      <c r="FT3" s="1134">
        <v>172</v>
      </c>
      <c r="FU3" s="1134">
        <v>173</v>
      </c>
      <c r="FV3" s="1134">
        <v>174</v>
      </c>
      <c r="FW3" s="1134">
        <v>175</v>
      </c>
      <c r="FX3" s="1134">
        <v>176</v>
      </c>
      <c r="FY3" s="1134">
        <v>177</v>
      </c>
      <c r="FZ3" s="1134">
        <v>178</v>
      </c>
      <c r="GA3" s="1134">
        <v>179</v>
      </c>
      <c r="GB3" s="1134">
        <v>180</v>
      </c>
      <c r="GC3" s="1134">
        <v>181</v>
      </c>
      <c r="GD3" s="1134">
        <v>182</v>
      </c>
      <c r="GE3" s="1134">
        <v>183</v>
      </c>
      <c r="GF3" s="1134">
        <v>184</v>
      </c>
      <c r="GG3" s="1134">
        <v>185</v>
      </c>
      <c r="GH3" s="1134">
        <v>186</v>
      </c>
      <c r="GI3" s="1134">
        <v>187</v>
      </c>
      <c r="GJ3" s="1134">
        <v>188</v>
      </c>
      <c r="GK3" s="1134">
        <v>189</v>
      </c>
      <c r="GL3" s="1134">
        <v>190</v>
      </c>
      <c r="GM3" s="1134">
        <v>191</v>
      </c>
      <c r="GN3" s="1134">
        <v>192</v>
      </c>
      <c r="GO3" s="1134">
        <v>193</v>
      </c>
      <c r="GP3" s="1134">
        <v>194</v>
      </c>
      <c r="GQ3" s="1134">
        <v>195</v>
      </c>
      <c r="GR3" s="1134">
        <v>196</v>
      </c>
      <c r="GS3" s="1134">
        <v>197</v>
      </c>
      <c r="GT3" s="1134">
        <v>198</v>
      </c>
      <c r="GU3" s="1134">
        <v>199</v>
      </c>
      <c r="GV3" s="1134">
        <v>200</v>
      </c>
      <c r="GW3" s="1134">
        <v>201</v>
      </c>
      <c r="GX3" s="1134">
        <v>202</v>
      </c>
      <c r="GY3" s="1134">
        <v>203</v>
      </c>
      <c r="GZ3" s="1134">
        <v>204</v>
      </c>
      <c r="HA3" s="1134">
        <v>205</v>
      </c>
      <c r="HB3" s="1134">
        <v>206</v>
      </c>
      <c r="HC3" s="1134">
        <v>207</v>
      </c>
      <c r="HD3" s="1134">
        <v>208</v>
      </c>
      <c r="HE3" s="1134">
        <v>209</v>
      </c>
      <c r="HF3" s="1134">
        <v>210</v>
      </c>
      <c r="HG3" s="1134">
        <v>211</v>
      </c>
      <c r="HH3" s="1134">
        <v>212</v>
      </c>
      <c r="HI3" s="1134">
        <v>213</v>
      </c>
      <c r="HJ3" s="1134">
        <v>214</v>
      </c>
      <c r="HK3" s="1134">
        <v>215</v>
      </c>
      <c r="HL3" s="1134">
        <v>216</v>
      </c>
      <c r="HM3" s="1134">
        <v>217</v>
      </c>
      <c r="HN3" s="1134">
        <v>218</v>
      </c>
      <c r="HO3" s="1134">
        <v>219</v>
      </c>
      <c r="HP3" s="1134">
        <v>220</v>
      </c>
      <c r="HQ3" s="1134">
        <v>221</v>
      </c>
      <c r="HR3" s="1134">
        <v>222</v>
      </c>
      <c r="HS3" s="1134">
        <v>223</v>
      </c>
      <c r="HT3" s="1134">
        <v>224</v>
      </c>
      <c r="HU3" s="1134">
        <v>225</v>
      </c>
      <c r="HV3" s="1134">
        <v>226</v>
      </c>
      <c r="HW3" s="1134">
        <v>227</v>
      </c>
      <c r="HX3" s="1134">
        <v>228</v>
      </c>
      <c r="HY3" s="1134">
        <v>229</v>
      </c>
      <c r="HZ3" s="1134">
        <v>230</v>
      </c>
      <c r="IA3" s="1134">
        <v>231</v>
      </c>
      <c r="IB3" s="1134">
        <v>232</v>
      </c>
      <c r="IC3" s="1134">
        <v>233</v>
      </c>
      <c r="ID3" s="1134">
        <v>234</v>
      </c>
      <c r="IE3" s="1134">
        <v>235</v>
      </c>
      <c r="IF3" s="1134">
        <v>236</v>
      </c>
      <c r="IG3" s="1134">
        <v>237</v>
      </c>
      <c r="IH3" s="1134">
        <v>238</v>
      </c>
      <c r="II3" s="1134">
        <v>239</v>
      </c>
      <c r="IJ3" s="1134">
        <v>240</v>
      </c>
      <c r="IK3" s="1134">
        <v>241</v>
      </c>
      <c r="IL3" s="1134">
        <v>242</v>
      </c>
      <c r="IM3" s="1134">
        <v>243</v>
      </c>
      <c r="IN3" s="1134">
        <v>244</v>
      </c>
      <c r="IO3" s="1134">
        <v>245</v>
      </c>
      <c r="IP3" s="1134">
        <v>246</v>
      </c>
      <c r="IQ3" s="1134">
        <v>247</v>
      </c>
      <c r="IR3" s="1134">
        <v>248</v>
      </c>
      <c r="IS3" s="1134">
        <v>249</v>
      </c>
      <c r="IT3" s="1134">
        <v>250</v>
      </c>
      <c r="IU3" s="1134">
        <v>251</v>
      </c>
      <c r="IV3" s="1134">
        <v>252</v>
      </c>
      <c r="IW3" s="1134">
        <v>253</v>
      </c>
      <c r="IX3" s="1134">
        <v>254</v>
      </c>
      <c r="IY3" s="1134">
        <v>255</v>
      </c>
      <c r="IZ3" s="1134">
        <v>256</v>
      </c>
      <c r="JA3" s="1134">
        <v>257</v>
      </c>
      <c r="JB3" s="1134">
        <v>258</v>
      </c>
      <c r="JC3" s="1134">
        <v>259</v>
      </c>
      <c r="JD3" s="1134">
        <v>260</v>
      </c>
      <c r="JE3" s="1134">
        <v>261</v>
      </c>
      <c r="JF3" s="1134">
        <v>262</v>
      </c>
      <c r="JG3" s="2485">
        <v>263</v>
      </c>
      <c r="JH3" s="693"/>
      <c r="JI3" s="1230"/>
      <c r="JJ3" s="1701" t="s">
        <v>6104</v>
      </c>
    </row>
    <row ht="12.75" r="4" spans="1:270" x14ac:dyDescent="0.2">
      <c r="A4" s="1212">
        <v>2</v>
      </c>
      <c r="B4" s="1249" t="str">
        <f>IF(YPD_IND&gt;1,IF(HLOOKUP(YPD_IND-1,YPD_RANGE,A4)="","",HLOOKUP(YPD_IND-1,YPD_RANGE,A4)),"")</f>
        <v/>
      </c>
      <c r="C4" s="1530" t="s">
        <v>4592</v>
      </c>
      <c r="D4" s="672" t="s">
        <v>4596</v>
      </c>
      <c r="E4" s="2347"/>
      <c r="F4" s="2347"/>
      <c r="G4" s="2347"/>
      <c r="H4" s="2347"/>
      <c r="I4" s="2347"/>
      <c r="J4" s="2347"/>
      <c r="K4" s="2347"/>
      <c r="L4" s="2347"/>
      <c r="M4" s="2347"/>
      <c r="N4" s="2347"/>
      <c r="O4" s="2347"/>
      <c r="P4" s="2347"/>
      <c r="Q4" s="2347"/>
      <c r="R4" s="2347"/>
      <c r="S4" s="2347"/>
      <c r="T4" s="2347"/>
      <c r="U4" s="2347"/>
      <c r="V4" s="2347"/>
      <c r="W4" s="2347"/>
      <c r="X4" s="2347"/>
      <c r="Y4" s="2347"/>
      <c r="Z4" s="2347"/>
      <c r="AA4" s="2347"/>
      <c r="AB4" s="2347"/>
      <c r="AC4" s="2347"/>
      <c r="AD4" s="2347"/>
      <c r="AE4" s="2347"/>
      <c r="AF4" s="2347"/>
      <c r="AG4" s="2347"/>
      <c r="AH4" s="2347"/>
      <c r="AI4" s="2347"/>
      <c r="AJ4" s="2347"/>
      <c r="AK4" s="2347"/>
      <c r="AL4" s="2347"/>
      <c r="AM4" s="2347"/>
      <c r="AN4" s="2347"/>
      <c r="AO4" s="2347"/>
      <c r="AP4" s="2347"/>
      <c r="AQ4" s="2347"/>
      <c r="AR4" s="2347"/>
      <c r="AS4" s="2347"/>
      <c r="AT4" s="2347"/>
      <c r="AU4" s="2347"/>
      <c r="AV4" s="2347"/>
      <c r="AW4" s="2347"/>
      <c r="AX4" s="2347"/>
      <c r="AY4" s="2347"/>
      <c r="AZ4" s="2347"/>
      <c r="BA4" s="2347"/>
      <c r="BB4" s="2347"/>
      <c r="BC4" s="2347"/>
      <c r="BD4" s="2347"/>
      <c r="BE4" s="2347"/>
      <c r="BF4" s="2347"/>
      <c r="BG4" s="2347"/>
      <c r="BH4" s="2347"/>
      <c r="BI4" s="2347"/>
      <c r="BJ4" s="2347"/>
      <c r="BK4" s="2347"/>
      <c r="BL4" s="2347"/>
      <c r="BM4" s="2347"/>
      <c r="BN4" s="2347"/>
      <c r="BO4" s="2347"/>
      <c r="BP4" s="2347"/>
      <c r="BQ4" s="2347"/>
      <c r="BR4" s="2347"/>
      <c r="BS4" s="2347"/>
      <c r="BT4" s="2347"/>
      <c r="BU4" s="2347"/>
      <c r="BV4" s="2347"/>
      <c r="BW4" s="2347"/>
      <c r="BX4" s="2347"/>
      <c r="BY4" s="2347"/>
      <c r="BZ4" s="2347"/>
      <c r="CA4" s="2348"/>
      <c r="CB4" s="2347"/>
      <c r="CC4" s="2348"/>
      <c r="CD4" s="2347"/>
      <c r="CE4" s="2348"/>
      <c r="CF4" s="2347"/>
      <c r="CG4" s="2348"/>
      <c r="CH4" s="2347"/>
      <c r="CI4" s="2348"/>
      <c r="CJ4" s="2347"/>
      <c r="CK4" s="2348"/>
      <c r="CL4" s="2347"/>
      <c r="CM4" s="2348"/>
      <c r="CN4" s="2347"/>
      <c r="CO4" s="2348"/>
      <c r="CP4" s="2347"/>
      <c r="CQ4" s="2348"/>
      <c r="CR4" s="2347"/>
      <c r="CS4" s="2348"/>
      <c r="CT4" s="2347"/>
      <c r="CU4" s="2348"/>
      <c r="CV4" s="2347"/>
      <c r="CW4" s="2348"/>
      <c r="CX4" s="2347"/>
      <c r="CY4" s="2348"/>
      <c r="CZ4" s="2347"/>
      <c r="DA4" s="2348"/>
      <c r="DB4" s="2347"/>
      <c r="DC4" s="2348"/>
      <c r="DD4" s="2347"/>
      <c r="DE4" s="2348"/>
      <c r="DF4" s="2347"/>
      <c r="DG4" s="2348"/>
      <c r="DH4" s="2347"/>
      <c r="DI4" s="2348"/>
      <c r="DJ4" s="2347"/>
      <c r="DK4" s="2348"/>
      <c r="DL4" s="2347"/>
      <c r="DM4" s="2348"/>
      <c r="DN4" s="2347"/>
      <c r="DO4" s="2348"/>
      <c r="DP4" s="2347"/>
      <c r="DQ4" s="2348"/>
      <c r="DR4" s="2347"/>
      <c r="DS4" s="2348"/>
      <c r="DT4" s="2347"/>
      <c r="DU4" s="2348"/>
      <c r="DV4" s="2347"/>
      <c r="DW4" s="2348"/>
      <c r="DX4" s="2347"/>
      <c r="DY4" s="2348"/>
      <c r="DZ4" s="2347"/>
      <c r="EA4" s="2348"/>
      <c r="EB4" s="2347"/>
      <c r="EC4" s="2348"/>
      <c r="ED4" s="2347"/>
      <c r="EE4" s="2348"/>
      <c r="EF4" s="2347"/>
      <c r="EG4" s="2348"/>
      <c r="EH4" s="2347"/>
      <c r="EI4" s="2348"/>
      <c r="EJ4" s="2347"/>
      <c r="EK4" s="2348"/>
      <c r="EL4" s="2347"/>
      <c r="EM4" s="2348"/>
      <c r="EN4" s="2347"/>
      <c r="EO4" s="2348"/>
      <c r="EP4" s="2347"/>
      <c r="EQ4" s="2348"/>
      <c r="ER4" s="2347"/>
      <c r="ES4" s="2348"/>
      <c r="ET4" s="2347"/>
      <c r="EU4" s="2348"/>
      <c r="EV4" s="2347"/>
      <c r="EW4" s="2348"/>
      <c r="EX4" s="2347"/>
      <c r="EY4" s="2348"/>
      <c r="EZ4" s="2347"/>
      <c r="FA4" s="2348"/>
      <c r="FB4" s="2347"/>
      <c r="FC4" s="2348"/>
      <c r="FD4" s="2347"/>
      <c r="FE4" s="2348"/>
      <c r="FF4" s="2347"/>
      <c r="FG4" s="2348"/>
      <c r="FH4" s="2347"/>
      <c r="FI4" s="2348"/>
      <c r="FJ4" s="2347"/>
      <c r="FK4" s="2348"/>
      <c r="FL4" s="2347"/>
      <c r="FM4" s="2348"/>
      <c r="FN4" s="2347"/>
      <c r="FO4" s="2348"/>
      <c r="FP4" s="2347"/>
      <c r="FQ4" s="2348"/>
      <c r="FR4" s="2347"/>
      <c r="FS4" s="2348"/>
      <c r="FT4" s="2347"/>
      <c r="FU4" s="2348"/>
      <c r="FV4" s="2347"/>
      <c r="FW4" s="2348"/>
      <c r="FX4" s="2347"/>
      <c r="FY4" s="2348"/>
      <c r="FZ4" s="2347"/>
      <c r="GA4" s="2348"/>
      <c r="GB4" s="2347"/>
      <c r="GC4" s="2348"/>
      <c r="GD4" s="2347"/>
      <c r="GE4" s="2348"/>
      <c r="GF4" s="2347"/>
      <c r="GG4" s="2348"/>
      <c r="GH4" s="2347"/>
      <c r="GI4" s="2348"/>
      <c r="GJ4" s="2347"/>
      <c r="GK4" s="2348"/>
      <c r="GL4" s="2347"/>
      <c r="GM4" s="2348"/>
      <c r="GN4" s="2347"/>
      <c r="GO4" s="2348"/>
      <c r="GP4" s="2347"/>
      <c r="GQ4" s="2348"/>
      <c r="GR4" s="2347"/>
      <c r="GS4" s="2348"/>
      <c r="GT4" s="2347"/>
      <c r="GU4" s="2348"/>
      <c r="GV4" s="2347"/>
      <c r="GW4" s="2348"/>
      <c r="GX4" s="2347"/>
      <c r="GY4" s="2348"/>
      <c r="GZ4" s="2347"/>
      <c r="HA4" s="2348"/>
      <c r="HB4" s="2347"/>
      <c r="HC4" s="2348"/>
      <c r="HD4" s="2347"/>
      <c r="HE4" s="2348"/>
      <c r="HF4" s="2347"/>
      <c r="HG4" s="2348"/>
      <c r="HH4" s="2347"/>
      <c r="HI4" s="2348"/>
      <c r="HJ4" s="2347"/>
      <c r="HK4" s="2348"/>
      <c r="HL4" s="2347"/>
      <c r="HM4" s="2348"/>
      <c r="HN4" s="2347"/>
      <c r="HO4" s="2348"/>
      <c r="HP4" s="2347"/>
      <c r="HQ4" s="2348"/>
      <c r="HR4" s="2347"/>
      <c r="HS4" s="2348"/>
      <c r="HT4" s="2347"/>
      <c r="HU4" s="2348"/>
      <c r="HV4" s="2347"/>
      <c r="HW4" s="2348"/>
      <c r="HX4" s="2347"/>
      <c r="HY4" s="2348"/>
      <c r="HZ4" s="2347"/>
      <c r="IA4" s="2348"/>
      <c r="IB4" s="2347"/>
      <c r="IC4" s="2348"/>
      <c r="ID4" s="2347"/>
      <c r="IE4" s="2348"/>
      <c r="IF4" s="2347"/>
      <c r="IG4" s="2348"/>
      <c r="IH4" s="2347"/>
      <c r="II4" s="2348"/>
      <c r="IJ4" s="2347"/>
      <c r="IK4" s="2348"/>
      <c r="IL4" s="2347"/>
      <c r="IM4" s="2348"/>
      <c r="IN4" s="2347"/>
      <c r="IO4" s="2348"/>
      <c r="IP4" s="2347"/>
      <c r="IQ4" s="2348"/>
      <c r="IR4" s="2348"/>
      <c r="IS4" s="2347"/>
      <c r="IT4" s="2348"/>
      <c r="IU4" s="2347"/>
      <c r="IV4" s="2348"/>
      <c r="IW4" s="2347"/>
      <c r="IX4" s="2348"/>
      <c r="IY4" s="2347"/>
      <c r="IZ4" s="2348"/>
      <c r="JA4" s="2348"/>
      <c r="JB4" s="2348"/>
      <c r="JC4" s="2348"/>
      <c r="JD4" s="2348"/>
      <c r="JE4" s="2348"/>
      <c r="JF4" s="2348"/>
      <c r="JG4" s="3346"/>
      <c r="JH4" s="1233"/>
      <c r="JI4" s="1229" t="s">
        <v>5041</v>
      </c>
      <c r="JJ4" s="1686" t="s">
        <v>6126</v>
      </c>
    </row>
    <row ht="12.75" r="5" spans="1:270" x14ac:dyDescent="0.2">
      <c r="A5" s="1212">
        <v>3</v>
      </c>
      <c r="B5" s="1249" t="str">
        <f>IF(YPD_IND&gt;1,IF(HLOOKUP(YPD_IND-1,YPD_RANGE,A5)="","",HLOOKUP(YPD_IND-1,YPD_RANGE,A5)),"")</f>
        <v/>
      </c>
      <c r="C5" s="1136" t="s">
        <v>4593</v>
      </c>
      <c r="D5" s="672" t="s">
        <v>4597</v>
      </c>
      <c r="E5" s="2347"/>
      <c r="F5" s="2347"/>
      <c r="G5" s="2347"/>
      <c r="H5" s="2347"/>
      <c r="I5" s="2347"/>
      <c r="J5" s="2347"/>
      <c r="K5" s="2347"/>
      <c r="L5" s="2347"/>
      <c r="M5" s="2347"/>
      <c r="N5" s="2347"/>
      <c r="O5" s="2347"/>
      <c r="P5" s="2347"/>
      <c r="Q5" s="2347"/>
      <c r="R5" s="2347"/>
      <c r="S5" s="2347"/>
      <c r="T5" s="2347"/>
      <c r="U5" s="2347"/>
      <c r="V5" s="2347"/>
      <c r="W5" s="2347"/>
      <c r="X5" s="2347"/>
      <c r="Y5" s="2347"/>
      <c r="Z5" s="2347"/>
      <c r="AA5" s="2347"/>
      <c r="AB5" s="2347"/>
      <c r="AC5" s="2347"/>
      <c r="AD5" s="2347"/>
      <c r="AE5" s="2347"/>
      <c r="AF5" s="2347"/>
      <c r="AG5" s="2347"/>
      <c r="AH5" s="2347"/>
      <c r="AI5" s="2347"/>
      <c r="AJ5" s="2347"/>
      <c r="AK5" s="2347"/>
      <c r="AL5" s="2347"/>
      <c r="AM5" s="2347"/>
      <c r="AN5" s="2347"/>
      <c r="AO5" s="2347"/>
      <c r="AP5" s="2347"/>
      <c r="AQ5" s="2347"/>
      <c r="AR5" s="2347"/>
      <c r="AS5" s="2347"/>
      <c r="AT5" s="2347"/>
      <c r="AU5" s="2347"/>
      <c r="AV5" s="2347"/>
      <c r="AW5" s="2347"/>
      <c r="AX5" s="2347"/>
      <c r="AY5" s="2347"/>
      <c r="AZ5" s="2347"/>
      <c r="BA5" s="2347"/>
      <c r="BB5" s="2347"/>
      <c r="BC5" s="2347"/>
      <c r="BD5" s="2347"/>
      <c r="BE5" s="2347"/>
      <c r="BF5" s="2347"/>
      <c r="BG5" s="2347"/>
      <c r="BH5" s="2347"/>
      <c r="BI5" s="2347"/>
      <c r="BJ5" s="2347"/>
      <c r="BK5" s="2347"/>
      <c r="BL5" s="2347"/>
      <c r="BM5" s="2347"/>
      <c r="BN5" s="2347"/>
      <c r="BO5" s="2347"/>
      <c r="BP5" s="2347"/>
      <c r="BQ5" s="2347"/>
      <c r="BR5" s="2347"/>
      <c r="BS5" s="2347"/>
      <c r="BT5" s="2347"/>
      <c r="BU5" s="2347"/>
      <c r="BV5" s="2347"/>
      <c r="BW5" s="2347"/>
      <c r="BX5" s="2347"/>
      <c r="BY5" s="2347"/>
      <c r="BZ5" s="2347"/>
      <c r="CA5" s="2348"/>
      <c r="CB5" s="2347"/>
      <c r="CC5" s="2348"/>
      <c r="CD5" s="2347"/>
      <c r="CE5" s="2348"/>
      <c r="CF5" s="2347"/>
      <c r="CG5" s="2348"/>
      <c r="CH5" s="2347"/>
      <c r="CI5" s="2348"/>
      <c r="CJ5" s="2347"/>
      <c r="CK5" s="2348"/>
      <c r="CL5" s="2347"/>
      <c r="CM5" s="2348"/>
      <c r="CN5" s="2347"/>
      <c r="CO5" s="2348"/>
      <c r="CP5" s="2347"/>
      <c r="CQ5" s="2348"/>
      <c r="CR5" s="2347"/>
      <c r="CS5" s="2348"/>
      <c r="CT5" s="2347"/>
      <c r="CU5" s="2348"/>
      <c r="CV5" s="2347"/>
      <c r="CW5" s="2348"/>
      <c r="CX5" s="2347"/>
      <c r="CY5" s="2348"/>
      <c r="CZ5" s="2347"/>
      <c r="DA5" s="2348"/>
      <c r="DB5" s="2347"/>
      <c r="DC5" s="2348"/>
      <c r="DD5" s="2347"/>
      <c r="DE5" s="2348"/>
      <c r="DF5" s="2347"/>
      <c r="DG5" s="2348"/>
      <c r="DH5" s="2347"/>
      <c r="DI5" s="2348"/>
      <c r="DJ5" s="2347"/>
      <c r="DK5" s="2348"/>
      <c r="DL5" s="2347"/>
      <c r="DM5" s="2348"/>
      <c r="DN5" s="2347"/>
      <c r="DO5" s="2348"/>
      <c r="DP5" s="2347"/>
      <c r="DQ5" s="2348"/>
      <c r="DR5" s="2347"/>
      <c r="DS5" s="2348"/>
      <c r="DT5" s="2347"/>
      <c r="DU5" s="2348"/>
      <c r="DV5" s="2347"/>
      <c r="DW5" s="2348"/>
      <c r="DX5" s="2347"/>
      <c r="DY5" s="2348"/>
      <c r="DZ5" s="2347"/>
      <c r="EA5" s="2348"/>
      <c r="EB5" s="2347"/>
      <c r="EC5" s="2348"/>
      <c r="ED5" s="2347"/>
      <c r="EE5" s="2348"/>
      <c r="EF5" s="2347"/>
      <c r="EG5" s="2348"/>
      <c r="EH5" s="2347"/>
      <c r="EI5" s="2348"/>
      <c r="EJ5" s="2347"/>
      <c r="EK5" s="2348"/>
      <c r="EL5" s="2347"/>
      <c r="EM5" s="2348"/>
      <c r="EN5" s="2347"/>
      <c r="EO5" s="2348"/>
      <c r="EP5" s="2347"/>
      <c r="EQ5" s="2348"/>
      <c r="ER5" s="2347"/>
      <c r="ES5" s="2348"/>
      <c r="ET5" s="2347"/>
      <c r="EU5" s="2348"/>
      <c r="EV5" s="2347"/>
      <c r="EW5" s="2348"/>
      <c r="EX5" s="2347"/>
      <c r="EY5" s="2348"/>
      <c r="EZ5" s="2347"/>
      <c r="FA5" s="2348"/>
      <c r="FB5" s="2347"/>
      <c r="FC5" s="2348"/>
      <c r="FD5" s="2347"/>
      <c r="FE5" s="2348"/>
      <c r="FF5" s="2347"/>
      <c r="FG5" s="2348"/>
      <c r="FH5" s="2347"/>
      <c r="FI5" s="2348"/>
      <c r="FJ5" s="2347"/>
      <c r="FK5" s="2348"/>
      <c r="FL5" s="2347"/>
      <c r="FM5" s="2348"/>
      <c r="FN5" s="2347"/>
      <c r="FO5" s="2348"/>
      <c r="FP5" s="2347"/>
      <c r="FQ5" s="2348"/>
      <c r="FR5" s="2347"/>
      <c r="FS5" s="2348"/>
      <c r="FT5" s="2347"/>
      <c r="FU5" s="2348"/>
      <c r="FV5" s="2347"/>
      <c r="FW5" s="2348"/>
      <c r="FX5" s="2347"/>
      <c r="FY5" s="2348"/>
      <c r="FZ5" s="2347"/>
      <c r="GA5" s="2348"/>
      <c r="GB5" s="2347"/>
      <c r="GC5" s="2348"/>
      <c r="GD5" s="2347"/>
      <c r="GE5" s="2348"/>
      <c r="GF5" s="2347"/>
      <c r="GG5" s="2348"/>
      <c r="GH5" s="2347"/>
      <c r="GI5" s="2348"/>
      <c r="GJ5" s="2347"/>
      <c r="GK5" s="2348"/>
      <c r="GL5" s="2347"/>
      <c r="GM5" s="2348"/>
      <c r="GN5" s="2347"/>
      <c r="GO5" s="2348"/>
      <c r="GP5" s="2347"/>
      <c r="GQ5" s="2348"/>
      <c r="GR5" s="2347"/>
      <c r="GS5" s="2348"/>
      <c r="GT5" s="2347"/>
      <c r="GU5" s="2348"/>
      <c r="GV5" s="2347"/>
      <c r="GW5" s="2348"/>
      <c r="GX5" s="2347"/>
      <c r="GY5" s="2348"/>
      <c r="GZ5" s="2347"/>
      <c r="HA5" s="2348"/>
      <c r="HB5" s="2347"/>
      <c r="HC5" s="2348"/>
      <c r="HD5" s="2347"/>
      <c r="HE5" s="2348"/>
      <c r="HF5" s="2347"/>
      <c r="HG5" s="2348"/>
      <c r="HH5" s="2347"/>
      <c r="HI5" s="2348"/>
      <c r="HJ5" s="2347"/>
      <c r="HK5" s="2348"/>
      <c r="HL5" s="2347"/>
      <c r="HM5" s="2348"/>
      <c r="HN5" s="2347"/>
      <c r="HO5" s="2348"/>
      <c r="HP5" s="2347"/>
      <c r="HQ5" s="2348"/>
      <c r="HR5" s="2347"/>
      <c r="HS5" s="2348"/>
      <c r="HT5" s="2347"/>
      <c r="HU5" s="2348"/>
      <c r="HV5" s="2347"/>
      <c r="HW5" s="2348"/>
      <c r="HX5" s="2347"/>
      <c r="HY5" s="2348"/>
      <c r="HZ5" s="2347"/>
      <c r="IA5" s="2348"/>
      <c r="IB5" s="2347"/>
      <c r="IC5" s="2348"/>
      <c r="ID5" s="2347"/>
      <c r="IE5" s="2348"/>
      <c r="IF5" s="2347"/>
      <c r="IG5" s="2348"/>
      <c r="IH5" s="2347"/>
      <c r="II5" s="2348"/>
      <c r="IJ5" s="2347"/>
      <c r="IK5" s="2348"/>
      <c r="IL5" s="2347"/>
      <c r="IM5" s="2348"/>
      <c r="IN5" s="2347"/>
      <c r="IO5" s="2348"/>
      <c r="IP5" s="2347"/>
      <c r="IQ5" s="2348"/>
      <c r="IR5" s="2348"/>
      <c r="IS5" s="2347"/>
      <c r="IT5" s="2348"/>
      <c r="IU5" s="2347"/>
      <c r="IV5" s="2348"/>
      <c r="IW5" s="2347"/>
      <c r="IX5" s="2348"/>
      <c r="IY5" s="2347"/>
      <c r="IZ5" s="2348"/>
      <c r="JA5" s="2348"/>
      <c r="JB5" s="2348"/>
      <c r="JC5" s="2348"/>
      <c r="JD5" s="2348"/>
      <c r="JE5" s="2348"/>
      <c r="JF5" s="2348"/>
      <c r="JG5" s="3346"/>
      <c r="JH5" s="1233"/>
      <c r="JI5" s="1229" t="s">
        <v>5042</v>
      </c>
      <c r="JJ5" s="1686" t="s">
        <v>6126</v>
      </c>
    </row>
    <row ht="12.75" r="6" spans="1:270" x14ac:dyDescent="0.2">
      <c r="A6" s="1212">
        <v>4</v>
      </c>
      <c r="B6" s="1249" t="str">
        <f>IF(YPD_IND&gt;1,IF(HLOOKUP(YPD_IND-1,YPD_RANGE,A6)="","",HLOOKUP(YPD_IND-1,YPD_RANGE,A6)),"")</f>
        <v/>
      </c>
      <c r="C6" s="1136" t="s">
        <v>4594</v>
      </c>
      <c r="D6" s="672" t="s">
        <v>4598</v>
      </c>
      <c r="E6" s="2347"/>
      <c r="F6" s="2347"/>
      <c r="G6" s="2347"/>
      <c r="H6" s="2347"/>
      <c r="I6" s="2347"/>
      <c r="J6" s="2347"/>
      <c r="K6" s="2347"/>
      <c r="L6" s="2347"/>
      <c r="M6" s="2347"/>
      <c r="N6" s="2347"/>
      <c r="O6" s="2347"/>
      <c r="P6" s="2347"/>
      <c r="Q6" s="2347"/>
      <c r="R6" s="2347"/>
      <c r="S6" s="2347"/>
      <c r="T6" s="2347"/>
      <c r="U6" s="2347"/>
      <c r="V6" s="2347"/>
      <c r="W6" s="2347"/>
      <c r="X6" s="2347"/>
      <c r="Y6" s="2347"/>
      <c r="Z6" s="2347"/>
      <c r="AA6" s="2347"/>
      <c r="AB6" s="2347"/>
      <c r="AC6" s="2347"/>
      <c r="AD6" s="2347"/>
      <c r="AE6" s="2347"/>
      <c r="AF6" s="2347"/>
      <c r="AG6" s="2347"/>
      <c r="AH6" s="2347"/>
      <c r="AI6" s="2347"/>
      <c r="AJ6" s="2347"/>
      <c r="AK6" s="2347"/>
      <c r="AL6" s="2347"/>
      <c r="AM6" s="2347"/>
      <c r="AN6" s="2347"/>
      <c r="AO6" s="2347"/>
      <c r="AP6" s="2347"/>
      <c r="AQ6" s="2347"/>
      <c r="AR6" s="2347"/>
      <c r="AS6" s="2347"/>
      <c r="AT6" s="2347"/>
      <c r="AU6" s="2347"/>
      <c r="AV6" s="2347"/>
      <c r="AW6" s="2347"/>
      <c r="AX6" s="2347"/>
      <c r="AY6" s="2347"/>
      <c r="AZ6" s="2347"/>
      <c r="BA6" s="2347"/>
      <c r="BB6" s="2347"/>
      <c r="BC6" s="2347"/>
      <c r="BD6" s="2347"/>
      <c r="BE6" s="2347"/>
      <c r="BF6" s="2347"/>
      <c r="BG6" s="2347"/>
      <c r="BH6" s="2347"/>
      <c r="BI6" s="2347"/>
      <c r="BJ6" s="2347"/>
      <c r="BK6" s="2347"/>
      <c r="BL6" s="2347"/>
      <c r="BM6" s="2347"/>
      <c r="BN6" s="2347"/>
      <c r="BO6" s="2347"/>
      <c r="BP6" s="2347"/>
      <c r="BQ6" s="2347"/>
      <c r="BR6" s="2347"/>
      <c r="BS6" s="2347"/>
      <c r="BT6" s="2347"/>
      <c r="BU6" s="2347"/>
      <c r="BV6" s="2347"/>
      <c r="BW6" s="2347"/>
      <c r="BX6" s="2347"/>
      <c r="BY6" s="2347"/>
      <c r="BZ6" s="2347"/>
      <c r="CA6" s="2348"/>
      <c r="CB6" s="2347"/>
      <c r="CC6" s="2348"/>
      <c r="CD6" s="2347"/>
      <c r="CE6" s="2348"/>
      <c r="CF6" s="2347"/>
      <c r="CG6" s="2348"/>
      <c r="CH6" s="2347"/>
      <c r="CI6" s="2348"/>
      <c r="CJ6" s="2347"/>
      <c r="CK6" s="2348"/>
      <c r="CL6" s="2347"/>
      <c r="CM6" s="2348"/>
      <c r="CN6" s="2347"/>
      <c r="CO6" s="2348"/>
      <c r="CP6" s="2347"/>
      <c r="CQ6" s="2348"/>
      <c r="CR6" s="2347"/>
      <c r="CS6" s="2348"/>
      <c r="CT6" s="2347"/>
      <c r="CU6" s="2348"/>
      <c r="CV6" s="2347"/>
      <c r="CW6" s="2348"/>
      <c r="CX6" s="2347"/>
      <c r="CY6" s="2348"/>
      <c r="CZ6" s="2347"/>
      <c r="DA6" s="2348"/>
      <c r="DB6" s="2347"/>
      <c r="DC6" s="2348"/>
      <c r="DD6" s="2347"/>
      <c r="DE6" s="2348"/>
      <c r="DF6" s="2347"/>
      <c r="DG6" s="2348"/>
      <c r="DH6" s="2347"/>
      <c r="DI6" s="2348"/>
      <c r="DJ6" s="2347"/>
      <c r="DK6" s="2348"/>
      <c r="DL6" s="2347"/>
      <c r="DM6" s="2348"/>
      <c r="DN6" s="2347"/>
      <c r="DO6" s="2348"/>
      <c r="DP6" s="2347"/>
      <c r="DQ6" s="2348"/>
      <c r="DR6" s="2347"/>
      <c r="DS6" s="2348"/>
      <c r="DT6" s="2347"/>
      <c r="DU6" s="2348"/>
      <c r="DV6" s="2347"/>
      <c r="DW6" s="2348"/>
      <c r="DX6" s="2347"/>
      <c r="DY6" s="2348"/>
      <c r="DZ6" s="2347"/>
      <c r="EA6" s="2348"/>
      <c r="EB6" s="2347"/>
      <c r="EC6" s="2348"/>
      <c r="ED6" s="2347"/>
      <c r="EE6" s="2348"/>
      <c r="EF6" s="2347"/>
      <c r="EG6" s="2348"/>
      <c r="EH6" s="2347"/>
      <c r="EI6" s="2348"/>
      <c r="EJ6" s="2347"/>
      <c r="EK6" s="2348"/>
      <c r="EL6" s="2347"/>
      <c r="EM6" s="2348"/>
      <c r="EN6" s="2347"/>
      <c r="EO6" s="2348"/>
      <c r="EP6" s="2347"/>
      <c r="EQ6" s="2348"/>
      <c r="ER6" s="2347"/>
      <c r="ES6" s="2348"/>
      <c r="ET6" s="2347"/>
      <c r="EU6" s="2348"/>
      <c r="EV6" s="2347"/>
      <c r="EW6" s="2348"/>
      <c r="EX6" s="2347"/>
      <c r="EY6" s="2348"/>
      <c r="EZ6" s="2347"/>
      <c r="FA6" s="2348"/>
      <c r="FB6" s="2347"/>
      <c r="FC6" s="2348"/>
      <c r="FD6" s="2347"/>
      <c r="FE6" s="2348"/>
      <c r="FF6" s="2347"/>
      <c r="FG6" s="2348"/>
      <c r="FH6" s="2347"/>
      <c r="FI6" s="2348"/>
      <c r="FJ6" s="2347"/>
      <c r="FK6" s="2348"/>
      <c r="FL6" s="2347"/>
      <c r="FM6" s="2348"/>
      <c r="FN6" s="2347"/>
      <c r="FO6" s="2348"/>
      <c r="FP6" s="2347"/>
      <c r="FQ6" s="2348"/>
      <c r="FR6" s="2347"/>
      <c r="FS6" s="2348"/>
      <c r="FT6" s="2347"/>
      <c r="FU6" s="2348"/>
      <c r="FV6" s="2347"/>
      <c r="FW6" s="2348"/>
      <c r="FX6" s="2347"/>
      <c r="FY6" s="2348"/>
      <c r="FZ6" s="2347"/>
      <c r="GA6" s="2348"/>
      <c r="GB6" s="2347"/>
      <c r="GC6" s="2348"/>
      <c r="GD6" s="2347"/>
      <c r="GE6" s="2348"/>
      <c r="GF6" s="2347"/>
      <c r="GG6" s="2348"/>
      <c r="GH6" s="2347"/>
      <c r="GI6" s="2348"/>
      <c r="GJ6" s="2347"/>
      <c r="GK6" s="2348"/>
      <c r="GL6" s="2347"/>
      <c r="GM6" s="2348"/>
      <c r="GN6" s="2347"/>
      <c r="GO6" s="2348"/>
      <c r="GP6" s="2347"/>
      <c r="GQ6" s="2348"/>
      <c r="GR6" s="2347"/>
      <c r="GS6" s="2348"/>
      <c r="GT6" s="2347"/>
      <c r="GU6" s="2348"/>
      <c r="GV6" s="2347"/>
      <c r="GW6" s="2348"/>
      <c r="GX6" s="2347"/>
      <c r="GY6" s="2348"/>
      <c r="GZ6" s="2347"/>
      <c r="HA6" s="2348"/>
      <c r="HB6" s="2347"/>
      <c r="HC6" s="2348"/>
      <c r="HD6" s="2347"/>
      <c r="HE6" s="2348"/>
      <c r="HF6" s="2347"/>
      <c r="HG6" s="2348"/>
      <c r="HH6" s="2347"/>
      <c r="HI6" s="2348"/>
      <c r="HJ6" s="2347"/>
      <c r="HK6" s="2348"/>
      <c r="HL6" s="2347"/>
      <c r="HM6" s="2348"/>
      <c r="HN6" s="2347"/>
      <c r="HO6" s="2348"/>
      <c r="HP6" s="2347"/>
      <c r="HQ6" s="2348"/>
      <c r="HR6" s="2347"/>
      <c r="HS6" s="2348"/>
      <c r="HT6" s="2347"/>
      <c r="HU6" s="2348"/>
      <c r="HV6" s="2347"/>
      <c r="HW6" s="2348"/>
      <c r="HX6" s="2347"/>
      <c r="HY6" s="2348"/>
      <c r="HZ6" s="2347"/>
      <c r="IA6" s="2348"/>
      <c r="IB6" s="2347"/>
      <c r="IC6" s="2348"/>
      <c r="ID6" s="2347"/>
      <c r="IE6" s="2348"/>
      <c r="IF6" s="2347"/>
      <c r="IG6" s="2348"/>
      <c r="IH6" s="2347"/>
      <c r="II6" s="2348"/>
      <c r="IJ6" s="2347"/>
      <c r="IK6" s="2348"/>
      <c r="IL6" s="2347"/>
      <c r="IM6" s="2348"/>
      <c r="IN6" s="2347"/>
      <c r="IO6" s="2348"/>
      <c r="IP6" s="2347"/>
      <c r="IQ6" s="2348"/>
      <c r="IR6" s="2348"/>
      <c r="IS6" s="2347"/>
      <c r="IT6" s="2348"/>
      <c r="IU6" s="2347"/>
      <c r="IV6" s="2348"/>
      <c r="IW6" s="2347"/>
      <c r="IX6" s="2348"/>
      <c r="IY6" s="2347"/>
      <c r="IZ6" s="2348"/>
      <c r="JA6" s="2348"/>
      <c r="JB6" s="2348"/>
      <c r="JC6" s="2348"/>
      <c r="JD6" s="2348"/>
      <c r="JE6" s="2348"/>
      <c r="JF6" s="2348"/>
      <c r="JG6" s="3346"/>
      <c r="JH6" s="1233"/>
      <c r="JI6" s="1229" t="s">
        <v>5044</v>
      </c>
      <c r="JJ6" s="1686" t="s">
        <v>6105</v>
      </c>
    </row>
    <row ht="12.75" r="7" spans="1:270" x14ac:dyDescent="0.2">
      <c r="A7" s="1212">
        <v>5</v>
      </c>
      <c r="B7" s="1249" t="str">
        <f>IF(YPD_IND&gt;1,IF(HLOOKUP(YPD_IND-1,YPD_RANGE,A7)="","",HLOOKUP(YPD_IND-1,YPD_RANGE,A7)),"")</f>
        <v/>
      </c>
      <c r="C7" s="1136" t="s">
        <v>4595</v>
      </c>
      <c r="D7" s="672" t="s">
        <v>4599</v>
      </c>
      <c r="E7" s="2347"/>
      <c r="F7" s="2347"/>
      <c r="G7" s="2347"/>
      <c r="H7" s="2347"/>
      <c r="I7" s="2347"/>
      <c r="J7" s="2347"/>
      <c r="K7" s="2347"/>
      <c r="L7" s="2347"/>
      <c r="M7" s="2347"/>
      <c r="N7" s="2347"/>
      <c r="O7" s="2347"/>
      <c r="P7" s="2347"/>
      <c r="Q7" s="2347"/>
      <c r="R7" s="2347"/>
      <c r="S7" s="2347"/>
      <c r="T7" s="2347"/>
      <c r="U7" s="2347"/>
      <c r="V7" s="2347"/>
      <c r="W7" s="2347"/>
      <c r="X7" s="2347"/>
      <c r="Y7" s="2347"/>
      <c r="Z7" s="2347"/>
      <c r="AA7" s="2347"/>
      <c r="AB7" s="2347"/>
      <c r="AC7" s="2347"/>
      <c r="AD7" s="2347"/>
      <c r="AE7" s="2347"/>
      <c r="AF7" s="2347"/>
      <c r="AG7" s="2347"/>
      <c r="AH7" s="2347"/>
      <c r="AI7" s="2347"/>
      <c r="AJ7" s="2347"/>
      <c r="AK7" s="2347"/>
      <c r="AL7" s="2347"/>
      <c r="AM7" s="2347"/>
      <c r="AN7" s="2347"/>
      <c r="AO7" s="2347"/>
      <c r="AP7" s="2347"/>
      <c r="AQ7" s="2347"/>
      <c r="AR7" s="2347"/>
      <c r="AS7" s="2347"/>
      <c r="AT7" s="2347"/>
      <c r="AU7" s="2347"/>
      <c r="AV7" s="2347"/>
      <c r="AW7" s="2347"/>
      <c r="AX7" s="2347"/>
      <c r="AY7" s="2347"/>
      <c r="AZ7" s="2347"/>
      <c r="BA7" s="2347"/>
      <c r="BB7" s="2347"/>
      <c r="BC7" s="2347"/>
      <c r="BD7" s="2347"/>
      <c r="BE7" s="2347"/>
      <c r="BF7" s="2347"/>
      <c r="BG7" s="2347"/>
      <c r="BH7" s="2347"/>
      <c r="BI7" s="2347"/>
      <c r="BJ7" s="2347"/>
      <c r="BK7" s="2347"/>
      <c r="BL7" s="2347"/>
      <c r="BM7" s="2347"/>
      <c r="BN7" s="2347"/>
      <c r="BO7" s="2347"/>
      <c r="BP7" s="2347"/>
      <c r="BQ7" s="2347"/>
      <c r="BR7" s="2347"/>
      <c r="BS7" s="2347"/>
      <c r="BT7" s="2347"/>
      <c r="BU7" s="2347"/>
      <c r="BV7" s="2347"/>
      <c r="BW7" s="2347"/>
      <c r="BX7" s="2347"/>
      <c r="BY7" s="2347"/>
      <c r="BZ7" s="2347"/>
      <c r="CA7" s="2348"/>
      <c r="CB7" s="2347"/>
      <c r="CC7" s="2348"/>
      <c r="CD7" s="2347"/>
      <c r="CE7" s="2348"/>
      <c r="CF7" s="2347"/>
      <c r="CG7" s="2348"/>
      <c r="CH7" s="2347"/>
      <c r="CI7" s="2348"/>
      <c r="CJ7" s="2347"/>
      <c r="CK7" s="2348"/>
      <c r="CL7" s="2347"/>
      <c r="CM7" s="2348"/>
      <c r="CN7" s="2347"/>
      <c r="CO7" s="2348"/>
      <c r="CP7" s="2347"/>
      <c r="CQ7" s="2348"/>
      <c r="CR7" s="2347"/>
      <c r="CS7" s="2348"/>
      <c r="CT7" s="2347"/>
      <c r="CU7" s="2348"/>
      <c r="CV7" s="2347"/>
      <c r="CW7" s="2348"/>
      <c r="CX7" s="2347"/>
      <c r="CY7" s="2348"/>
      <c r="CZ7" s="2347"/>
      <c r="DA7" s="2348"/>
      <c r="DB7" s="2347"/>
      <c r="DC7" s="2348"/>
      <c r="DD7" s="2347"/>
      <c r="DE7" s="2348"/>
      <c r="DF7" s="2347"/>
      <c r="DG7" s="2348"/>
      <c r="DH7" s="2347"/>
      <c r="DI7" s="2348"/>
      <c r="DJ7" s="2347"/>
      <c r="DK7" s="2348"/>
      <c r="DL7" s="2347"/>
      <c r="DM7" s="2348"/>
      <c r="DN7" s="2347"/>
      <c r="DO7" s="2348"/>
      <c r="DP7" s="2347"/>
      <c r="DQ7" s="2348"/>
      <c r="DR7" s="2347"/>
      <c r="DS7" s="2348"/>
      <c r="DT7" s="2347"/>
      <c r="DU7" s="2348"/>
      <c r="DV7" s="2347"/>
      <c r="DW7" s="2348"/>
      <c r="DX7" s="2347"/>
      <c r="DY7" s="2348"/>
      <c r="DZ7" s="2347"/>
      <c r="EA7" s="2348"/>
      <c r="EB7" s="2347"/>
      <c r="EC7" s="2348"/>
      <c r="ED7" s="2347"/>
      <c r="EE7" s="2348"/>
      <c r="EF7" s="2347"/>
      <c r="EG7" s="2348"/>
      <c r="EH7" s="2347"/>
      <c r="EI7" s="2348"/>
      <c r="EJ7" s="2347"/>
      <c r="EK7" s="2348"/>
      <c r="EL7" s="2347"/>
      <c r="EM7" s="2348"/>
      <c r="EN7" s="2347"/>
      <c r="EO7" s="2348"/>
      <c r="EP7" s="2347"/>
      <c r="EQ7" s="2348"/>
      <c r="ER7" s="2347"/>
      <c r="ES7" s="2348"/>
      <c r="ET7" s="2347"/>
      <c r="EU7" s="2348"/>
      <c r="EV7" s="2347"/>
      <c r="EW7" s="2348"/>
      <c r="EX7" s="2347"/>
      <c r="EY7" s="2348"/>
      <c r="EZ7" s="2347"/>
      <c r="FA7" s="2348"/>
      <c r="FB7" s="2347"/>
      <c r="FC7" s="2348"/>
      <c r="FD7" s="2347"/>
      <c r="FE7" s="2348"/>
      <c r="FF7" s="2347"/>
      <c r="FG7" s="2348"/>
      <c r="FH7" s="2347"/>
      <c r="FI7" s="2348"/>
      <c r="FJ7" s="2347"/>
      <c r="FK7" s="2348"/>
      <c r="FL7" s="2347"/>
      <c r="FM7" s="2348"/>
      <c r="FN7" s="2347"/>
      <c r="FO7" s="2348"/>
      <c r="FP7" s="2347"/>
      <c r="FQ7" s="2348"/>
      <c r="FR7" s="2347"/>
      <c r="FS7" s="2348"/>
      <c r="FT7" s="2347"/>
      <c r="FU7" s="2348"/>
      <c r="FV7" s="2347"/>
      <c r="FW7" s="2348"/>
      <c r="FX7" s="2347"/>
      <c r="FY7" s="2348"/>
      <c r="FZ7" s="2347"/>
      <c r="GA7" s="2348"/>
      <c r="GB7" s="2347"/>
      <c r="GC7" s="2348"/>
      <c r="GD7" s="2347"/>
      <c r="GE7" s="2348"/>
      <c r="GF7" s="2347"/>
      <c r="GG7" s="2348"/>
      <c r="GH7" s="2347"/>
      <c r="GI7" s="2348"/>
      <c r="GJ7" s="2347"/>
      <c r="GK7" s="2348"/>
      <c r="GL7" s="2347"/>
      <c r="GM7" s="2348"/>
      <c r="GN7" s="2347"/>
      <c r="GO7" s="2348"/>
      <c r="GP7" s="2347"/>
      <c r="GQ7" s="2348"/>
      <c r="GR7" s="2347"/>
      <c r="GS7" s="2348"/>
      <c r="GT7" s="2347"/>
      <c r="GU7" s="2348"/>
      <c r="GV7" s="2347"/>
      <c r="GW7" s="2348"/>
      <c r="GX7" s="2347"/>
      <c r="GY7" s="2348"/>
      <c r="GZ7" s="2347"/>
      <c r="HA7" s="2348"/>
      <c r="HB7" s="2347"/>
      <c r="HC7" s="2348"/>
      <c r="HD7" s="2347"/>
      <c r="HE7" s="2348"/>
      <c r="HF7" s="2347"/>
      <c r="HG7" s="2348"/>
      <c r="HH7" s="2347"/>
      <c r="HI7" s="2348"/>
      <c r="HJ7" s="2347"/>
      <c r="HK7" s="2348"/>
      <c r="HL7" s="2347"/>
      <c r="HM7" s="2348"/>
      <c r="HN7" s="2347"/>
      <c r="HO7" s="2348"/>
      <c r="HP7" s="2347"/>
      <c r="HQ7" s="2348"/>
      <c r="HR7" s="2347"/>
      <c r="HS7" s="2348"/>
      <c r="HT7" s="2347"/>
      <c r="HU7" s="2348"/>
      <c r="HV7" s="2347"/>
      <c r="HW7" s="2348"/>
      <c r="HX7" s="2347"/>
      <c r="HY7" s="2348"/>
      <c r="HZ7" s="2347"/>
      <c r="IA7" s="2348"/>
      <c r="IB7" s="2347"/>
      <c r="IC7" s="2348"/>
      <c r="ID7" s="2347"/>
      <c r="IE7" s="2348"/>
      <c r="IF7" s="2347"/>
      <c r="IG7" s="2348"/>
      <c r="IH7" s="2347"/>
      <c r="II7" s="2348"/>
      <c r="IJ7" s="2347"/>
      <c r="IK7" s="2348"/>
      <c r="IL7" s="2347"/>
      <c r="IM7" s="2348"/>
      <c r="IN7" s="2347"/>
      <c r="IO7" s="2348"/>
      <c r="IP7" s="2347"/>
      <c r="IQ7" s="2348"/>
      <c r="IR7" s="2348"/>
      <c r="IS7" s="2347"/>
      <c r="IT7" s="2348"/>
      <c r="IU7" s="2347"/>
      <c r="IV7" s="2348"/>
      <c r="IW7" s="2347"/>
      <c r="IX7" s="2348"/>
      <c r="IY7" s="2347"/>
      <c r="IZ7" s="2348"/>
      <c r="JA7" s="2348"/>
      <c r="JB7" s="2348"/>
      <c r="JC7" s="2348"/>
      <c r="JD7" s="2348"/>
      <c r="JE7" s="2348"/>
      <c r="JF7" s="2348"/>
      <c r="JG7" s="3346"/>
      <c r="JH7" s="1233"/>
      <c r="JI7" s="1229" t="s">
        <v>5043</v>
      </c>
      <c r="JJ7" s="1686" t="s">
        <v>6105</v>
      </c>
    </row>
    <row ht="13.5" r="8" spans="1:270" thickBot="1" x14ac:dyDescent="0.25">
      <c r="A8" s="1212">
        <v>6</v>
      </c>
      <c r="B8" s="1249">
        <f>IF(YPD_IND&gt;1,IF(HLOOKUP(YPD_IND-1,YPD_RANGE,A8)="","",HLOOKUP(YPD_IND-1,YPD_RANGE,A8)),"")</f>
        <v>2</v>
      </c>
      <c r="C8" s="1813" t="s">
        <v>6117</v>
      </c>
      <c r="D8" s="1814" t="s">
        <v>5232</v>
      </c>
      <c r="E8" s="2349">
        <v>2</v>
      </c>
      <c r="F8" s="2349">
        <v>1</v>
      </c>
      <c r="G8" s="2349">
        <v>2</v>
      </c>
      <c r="H8" s="3705">
        <v>3</v>
      </c>
      <c r="I8" s="2349">
        <v>2</v>
      </c>
      <c r="J8" s="2349">
        <v>2</v>
      </c>
      <c r="K8" s="2349">
        <v>1</v>
      </c>
      <c r="L8" s="2349">
        <v>1</v>
      </c>
      <c r="M8" s="2349">
        <v>1</v>
      </c>
      <c r="N8" s="2349">
        <v>1</v>
      </c>
      <c r="O8" s="2349">
        <v>2</v>
      </c>
      <c r="P8" s="2349">
        <v>1</v>
      </c>
      <c r="Q8" s="2349">
        <v>1</v>
      </c>
      <c r="R8" s="2349">
        <v>1</v>
      </c>
      <c r="S8" s="2349">
        <v>1</v>
      </c>
      <c r="T8" s="2349">
        <v>2</v>
      </c>
      <c r="U8" s="3705">
        <v>3</v>
      </c>
      <c r="V8" s="2349">
        <v>1</v>
      </c>
      <c r="W8" s="2349">
        <v>1</v>
      </c>
      <c r="X8" s="2349">
        <v>1</v>
      </c>
      <c r="Y8" s="2349">
        <v>1</v>
      </c>
      <c r="Z8" s="2349">
        <v>1</v>
      </c>
      <c r="AA8" s="2349">
        <v>1</v>
      </c>
      <c r="AB8" s="2349">
        <v>2</v>
      </c>
      <c r="AC8" s="2349">
        <v>1</v>
      </c>
      <c r="AD8" s="2349">
        <v>3</v>
      </c>
      <c r="AE8" s="2349">
        <v>2</v>
      </c>
      <c r="AF8" s="2349">
        <v>1</v>
      </c>
      <c r="AG8" s="2349">
        <v>2</v>
      </c>
      <c r="AH8" s="2349">
        <v>3</v>
      </c>
      <c r="AI8" s="2349">
        <v>2</v>
      </c>
      <c r="AJ8" s="2349">
        <v>1</v>
      </c>
      <c r="AK8" s="2349">
        <v>2</v>
      </c>
      <c r="AL8" s="2349">
        <v>2</v>
      </c>
      <c r="AM8" s="2349">
        <v>1</v>
      </c>
      <c r="AN8" s="2349">
        <v>1</v>
      </c>
      <c r="AO8" s="2349">
        <v>2</v>
      </c>
      <c r="AP8" s="2349">
        <v>1</v>
      </c>
      <c r="AQ8" s="2349">
        <v>1</v>
      </c>
      <c r="AR8" s="2349">
        <v>1</v>
      </c>
      <c r="AS8" s="2349">
        <v>1</v>
      </c>
      <c r="AT8" s="2349">
        <v>1</v>
      </c>
      <c r="AU8" s="2349">
        <v>1</v>
      </c>
      <c r="AV8" s="2349">
        <v>1</v>
      </c>
      <c r="AW8" s="2349">
        <v>1</v>
      </c>
      <c r="AX8" s="2349">
        <v>1</v>
      </c>
      <c r="AY8" s="2349">
        <v>1</v>
      </c>
      <c r="AZ8" s="2349">
        <v>1</v>
      </c>
      <c r="BA8" s="2349">
        <v>1</v>
      </c>
      <c r="BB8" s="2349">
        <v>1</v>
      </c>
      <c r="BC8" s="2349">
        <v>1</v>
      </c>
      <c r="BD8" s="2349">
        <v>1</v>
      </c>
      <c r="BE8" s="2349">
        <v>1</v>
      </c>
      <c r="BF8" s="3705">
        <v>2</v>
      </c>
      <c r="BG8" s="2349">
        <v>1</v>
      </c>
      <c r="BH8" s="2349">
        <v>1</v>
      </c>
      <c r="BI8" s="2349">
        <v>1</v>
      </c>
      <c r="BJ8" s="2349">
        <v>1</v>
      </c>
      <c r="BK8" s="2349">
        <v>1</v>
      </c>
      <c r="BL8" s="2349">
        <v>1</v>
      </c>
      <c r="BM8" s="2349">
        <v>1</v>
      </c>
      <c r="BN8" s="2349">
        <v>1</v>
      </c>
      <c r="BO8" s="2349">
        <v>1</v>
      </c>
      <c r="BP8" s="2349">
        <v>1</v>
      </c>
      <c r="BQ8" s="2349">
        <v>1</v>
      </c>
      <c r="BR8" s="2349">
        <v>1</v>
      </c>
      <c r="BS8" s="2349">
        <v>1</v>
      </c>
      <c r="BT8" s="2349">
        <v>1</v>
      </c>
      <c r="BU8" s="2349">
        <v>1</v>
      </c>
      <c r="BV8" s="2349">
        <v>1</v>
      </c>
      <c r="BW8" s="2349">
        <v>1</v>
      </c>
      <c r="BX8" s="2349">
        <v>1</v>
      </c>
      <c r="BY8" s="2349">
        <v>1</v>
      </c>
      <c r="BZ8" s="2349">
        <v>1</v>
      </c>
      <c r="CA8" s="2349">
        <v>1</v>
      </c>
      <c r="CB8" s="2349">
        <v>1</v>
      </c>
      <c r="CC8" s="2349">
        <v>1</v>
      </c>
      <c r="CD8" s="2349">
        <v>1</v>
      </c>
      <c r="CE8" s="2349">
        <v>1</v>
      </c>
      <c r="CF8" s="2349">
        <v>1</v>
      </c>
      <c r="CG8" s="2349">
        <v>1</v>
      </c>
      <c r="CH8" s="2349">
        <v>1</v>
      </c>
      <c r="CI8" s="2349">
        <v>2</v>
      </c>
      <c r="CJ8" s="2349">
        <v>1</v>
      </c>
      <c r="CK8" s="2349">
        <v>1</v>
      </c>
      <c r="CL8" s="2349">
        <v>1</v>
      </c>
      <c r="CM8" s="2349">
        <v>2</v>
      </c>
      <c r="CN8" s="2349">
        <v>1</v>
      </c>
      <c r="CO8" s="2349">
        <v>1</v>
      </c>
      <c r="CP8" s="2349">
        <v>2</v>
      </c>
      <c r="CQ8" s="3705">
        <v>2</v>
      </c>
      <c r="CR8" s="2349">
        <v>2</v>
      </c>
      <c r="CS8" s="2349">
        <v>1</v>
      </c>
      <c r="CT8" s="2349">
        <v>1</v>
      </c>
      <c r="CU8" s="2349">
        <v>1</v>
      </c>
      <c r="CV8" s="2349">
        <v>1</v>
      </c>
      <c r="CW8" s="2349">
        <v>1</v>
      </c>
      <c r="CX8" s="2349">
        <v>1</v>
      </c>
      <c r="CY8" s="2349">
        <v>1</v>
      </c>
      <c r="CZ8" s="2349">
        <v>1</v>
      </c>
      <c r="DA8" s="2349">
        <v>1</v>
      </c>
      <c r="DB8" s="2349">
        <v>1</v>
      </c>
      <c r="DC8" s="2349">
        <v>1</v>
      </c>
      <c r="DD8" s="2349">
        <v>1</v>
      </c>
      <c r="DE8" s="2349">
        <v>1</v>
      </c>
      <c r="DF8" s="2349">
        <v>1</v>
      </c>
      <c r="DG8" s="2349">
        <v>1</v>
      </c>
      <c r="DH8" s="2349">
        <v>1</v>
      </c>
      <c r="DI8" s="2349">
        <v>1</v>
      </c>
      <c r="DJ8" s="2349">
        <v>1</v>
      </c>
      <c r="DK8" s="2349">
        <v>1</v>
      </c>
      <c r="DL8" s="2349">
        <v>1</v>
      </c>
      <c r="DM8" s="2349">
        <v>1</v>
      </c>
      <c r="DN8" s="2349">
        <v>1</v>
      </c>
      <c r="DO8" s="2349">
        <v>1</v>
      </c>
      <c r="DP8" s="2349">
        <v>1</v>
      </c>
      <c r="DQ8" s="2349">
        <v>1</v>
      </c>
      <c r="DR8" s="2349">
        <v>1</v>
      </c>
      <c r="DS8" s="2349">
        <v>1</v>
      </c>
      <c r="DT8" s="2349">
        <v>1</v>
      </c>
      <c r="DU8" s="2349">
        <v>1</v>
      </c>
      <c r="DV8" s="2349">
        <v>1</v>
      </c>
      <c r="DW8" s="2349">
        <v>1</v>
      </c>
      <c r="DX8" s="2349">
        <v>1</v>
      </c>
      <c r="DY8" s="2349">
        <v>1</v>
      </c>
      <c r="DZ8" s="2349">
        <v>1</v>
      </c>
      <c r="EA8" s="2349">
        <v>1</v>
      </c>
      <c r="EB8" s="2349">
        <v>1</v>
      </c>
      <c r="EC8" s="2349">
        <v>1</v>
      </c>
      <c r="ED8" s="2349">
        <v>1</v>
      </c>
      <c r="EE8" s="2349">
        <v>1</v>
      </c>
      <c r="EF8" s="2349">
        <v>1</v>
      </c>
      <c r="EG8" s="2349">
        <v>1</v>
      </c>
      <c r="EH8" s="2349">
        <v>1</v>
      </c>
      <c r="EI8" s="2349">
        <v>1</v>
      </c>
      <c r="EJ8" s="2349">
        <v>1</v>
      </c>
      <c r="EK8" s="2349">
        <v>1</v>
      </c>
      <c r="EL8" s="3705">
        <v>2</v>
      </c>
      <c r="EM8" s="3705">
        <v>2</v>
      </c>
      <c r="EN8" s="3705">
        <v>2</v>
      </c>
      <c r="EO8" s="3705">
        <v>2</v>
      </c>
      <c r="EP8" s="3705">
        <v>2</v>
      </c>
      <c r="EQ8" s="2349">
        <v>1</v>
      </c>
      <c r="ER8" s="3705">
        <v>2</v>
      </c>
      <c r="ES8" s="3705">
        <v>2</v>
      </c>
      <c r="ET8" s="3705">
        <v>2</v>
      </c>
      <c r="EU8" s="3705">
        <v>2</v>
      </c>
      <c r="EV8" s="2349">
        <v>1</v>
      </c>
      <c r="EW8" s="2349">
        <v>1</v>
      </c>
      <c r="EX8" s="2349">
        <v>1</v>
      </c>
      <c r="EY8" s="2349">
        <v>1</v>
      </c>
      <c r="EZ8" s="2349">
        <v>1</v>
      </c>
      <c r="FA8" s="2349">
        <v>1</v>
      </c>
      <c r="FB8" s="3705">
        <v>2</v>
      </c>
      <c r="FC8" s="3705">
        <v>2</v>
      </c>
      <c r="FD8" s="3705">
        <v>2</v>
      </c>
      <c r="FE8" s="2349">
        <v>1</v>
      </c>
      <c r="FF8" s="3705">
        <v>2</v>
      </c>
      <c r="FG8" s="2349">
        <v>1</v>
      </c>
      <c r="FH8" s="3705">
        <v>2</v>
      </c>
      <c r="FI8" s="2349">
        <v>1</v>
      </c>
      <c r="FJ8" s="3705">
        <v>2</v>
      </c>
      <c r="FK8" s="3705">
        <v>2</v>
      </c>
      <c r="FL8" s="2349">
        <v>1</v>
      </c>
      <c r="FM8" s="2349">
        <v>1</v>
      </c>
      <c r="FN8" s="2349">
        <v>1</v>
      </c>
      <c r="FO8" s="2349">
        <v>2</v>
      </c>
      <c r="FP8" s="3647">
        <v>2</v>
      </c>
      <c r="FQ8" s="2349">
        <v>1</v>
      </c>
      <c r="FR8" s="2349">
        <v>1</v>
      </c>
      <c r="FS8" s="2349">
        <v>1</v>
      </c>
      <c r="FT8" s="2349">
        <v>1</v>
      </c>
      <c r="FU8" s="2349">
        <v>1</v>
      </c>
      <c r="FV8" s="2349">
        <v>1</v>
      </c>
      <c r="FW8" s="2349">
        <v>1</v>
      </c>
      <c r="FX8" s="2349">
        <v>1</v>
      </c>
      <c r="FY8" s="2349">
        <v>1</v>
      </c>
      <c r="FZ8" s="2349">
        <v>1</v>
      </c>
      <c r="GA8" s="2349">
        <v>1</v>
      </c>
      <c r="GB8" s="2349">
        <v>1</v>
      </c>
      <c r="GC8" s="2349">
        <v>1</v>
      </c>
      <c r="GD8" s="2349">
        <v>1</v>
      </c>
      <c r="GE8" s="2349">
        <v>1</v>
      </c>
      <c r="GF8" s="2349">
        <v>1</v>
      </c>
      <c r="GG8" s="2349">
        <v>1</v>
      </c>
      <c r="GH8" s="2349">
        <v>1</v>
      </c>
      <c r="GI8" s="2349">
        <v>1</v>
      </c>
      <c r="GJ8" s="2349">
        <v>1</v>
      </c>
      <c r="GK8" s="2349">
        <v>1</v>
      </c>
      <c r="GL8" s="2349">
        <v>1</v>
      </c>
      <c r="GM8" s="2349">
        <v>1</v>
      </c>
      <c r="GN8" s="2349">
        <v>1</v>
      </c>
      <c r="GO8" s="2349">
        <v>1</v>
      </c>
      <c r="GP8" s="2349">
        <v>1</v>
      </c>
      <c r="GQ8" s="2349">
        <v>1</v>
      </c>
      <c r="GR8" s="2349">
        <v>1</v>
      </c>
      <c r="GS8" s="2349">
        <v>1</v>
      </c>
      <c r="GT8" s="2349">
        <v>2</v>
      </c>
      <c r="GU8" s="2349">
        <v>1</v>
      </c>
      <c r="GV8" s="2349">
        <v>2</v>
      </c>
      <c r="GW8" s="2349">
        <v>2</v>
      </c>
      <c r="GX8" s="2349">
        <v>1</v>
      </c>
      <c r="GY8" s="2349">
        <v>1</v>
      </c>
      <c r="GZ8" s="2349">
        <v>1</v>
      </c>
      <c r="HA8" s="2349">
        <v>1</v>
      </c>
      <c r="HB8" s="2349">
        <v>2</v>
      </c>
      <c r="HC8" s="2349">
        <v>1</v>
      </c>
      <c r="HD8" s="2349">
        <v>1</v>
      </c>
      <c r="HE8" s="2349">
        <v>1</v>
      </c>
      <c r="HF8" s="2349">
        <v>1</v>
      </c>
      <c r="HG8" s="2349">
        <v>1</v>
      </c>
      <c r="HH8" s="2349">
        <v>1</v>
      </c>
      <c r="HI8" s="2349">
        <v>1</v>
      </c>
      <c r="HJ8" s="2349">
        <v>2</v>
      </c>
      <c r="HK8" s="2349">
        <v>1</v>
      </c>
      <c r="HL8" s="2349">
        <v>1</v>
      </c>
      <c r="HM8" s="2349">
        <v>1</v>
      </c>
      <c r="HN8" s="2349">
        <v>1</v>
      </c>
      <c r="HO8" s="2349">
        <v>1</v>
      </c>
      <c r="HP8" s="2349">
        <v>1</v>
      </c>
      <c r="HQ8" s="2349">
        <v>1</v>
      </c>
      <c r="HR8" s="2349">
        <v>1</v>
      </c>
      <c r="HS8" s="2349">
        <v>2</v>
      </c>
      <c r="HT8" s="2349">
        <v>2</v>
      </c>
      <c r="HU8" s="2349">
        <v>2</v>
      </c>
      <c r="HV8" s="2349">
        <v>2</v>
      </c>
      <c r="HW8" s="2349">
        <v>1</v>
      </c>
      <c r="HX8" s="2349">
        <v>1</v>
      </c>
      <c r="HY8" s="2349">
        <v>1</v>
      </c>
      <c r="HZ8" s="2349">
        <v>1</v>
      </c>
      <c r="IA8" s="2349">
        <v>1</v>
      </c>
      <c r="IB8" s="2349">
        <v>1</v>
      </c>
      <c r="IC8" s="2349">
        <v>1</v>
      </c>
      <c r="ID8" s="2349">
        <v>1</v>
      </c>
      <c r="IE8" s="2349">
        <v>2</v>
      </c>
      <c r="IF8" s="2349">
        <v>1</v>
      </c>
      <c r="IG8" s="2349">
        <v>1</v>
      </c>
      <c r="IH8" s="2349">
        <v>1</v>
      </c>
      <c r="II8" s="2349">
        <v>1</v>
      </c>
      <c r="IJ8" s="2349">
        <v>1</v>
      </c>
      <c r="IK8" s="2349">
        <v>1</v>
      </c>
      <c r="IL8" s="2349">
        <v>1</v>
      </c>
      <c r="IM8" s="2349">
        <v>2</v>
      </c>
      <c r="IN8" s="2349">
        <v>1</v>
      </c>
      <c r="IO8" s="2349">
        <v>1</v>
      </c>
      <c r="IP8" s="2349">
        <v>1</v>
      </c>
      <c r="IQ8" s="2349">
        <v>1</v>
      </c>
      <c r="IR8" s="3647">
        <v>1</v>
      </c>
      <c r="IS8" s="2349">
        <v>1</v>
      </c>
      <c r="IT8" s="2349">
        <v>1</v>
      </c>
      <c r="IU8" s="2349">
        <v>1</v>
      </c>
      <c r="IV8" s="2349">
        <v>1</v>
      </c>
      <c r="IW8" s="2349">
        <v>1</v>
      </c>
      <c r="IX8" s="2349">
        <v>1</v>
      </c>
      <c r="IY8" s="2349">
        <v>1</v>
      </c>
      <c r="IZ8" s="2349">
        <v>1</v>
      </c>
      <c r="JA8" s="2076">
        <v>1</v>
      </c>
      <c r="JB8" s="2076">
        <v>1</v>
      </c>
      <c r="JC8" s="4254">
        <v>1</v>
      </c>
      <c r="JD8" s="4254">
        <v>1</v>
      </c>
      <c r="JE8" s="4254">
        <v>3</v>
      </c>
      <c r="JF8" s="4254">
        <v>1</v>
      </c>
      <c r="JG8" s="2105">
        <v>1</v>
      </c>
      <c r="JH8" s="693"/>
      <c r="JI8" s="1230"/>
      <c r="JJ8" s="1687" t="s">
        <v>6105</v>
      </c>
    </row>
    <row ht="12.75" r="9" spans="1:270" thickBot="1" x14ac:dyDescent="0.25">
      <c r="A9" s="1211"/>
      <c r="B9" s="386"/>
      <c r="C9" s="1131" t="s">
        <v>911</v>
      </c>
      <c r="D9" s="671"/>
      <c r="E9" s="386"/>
      <c r="F9" s="386"/>
      <c r="G9" s="386"/>
      <c r="H9" s="386"/>
      <c r="I9" s="386"/>
      <c r="BF9" s="34"/>
    </row>
    <row ht="12.75" r="10" spans="1:270" x14ac:dyDescent="0.2">
      <c r="A10" s="1128" t="s">
        <v>4479</v>
      </c>
      <c r="B10" s="1945" t="str">
        <f>"selected "&amp;INC_A_IND-1</f>
        <v>selected 3</v>
      </c>
      <c r="C10" s="1251" t="s">
        <v>3738</v>
      </c>
      <c r="D10" s="1252"/>
      <c r="E10" s="2026">
        <v>1</v>
      </c>
      <c r="F10" s="2026">
        <v>2</v>
      </c>
      <c r="G10" s="2026">
        <v>3</v>
      </c>
      <c r="H10" s="2026">
        <v>4</v>
      </c>
      <c r="I10" s="2026">
        <v>5</v>
      </c>
      <c r="J10" s="2026">
        <v>6</v>
      </c>
      <c r="K10" s="2026">
        <v>7</v>
      </c>
      <c r="L10" s="2026">
        <v>8</v>
      </c>
      <c r="M10" s="2026">
        <v>9</v>
      </c>
      <c r="N10" s="2026">
        <v>10</v>
      </c>
      <c r="O10" s="2026">
        <v>11</v>
      </c>
      <c r="P10" s="2026">
        <v>12</v>
      </c>
      <c r="Q10" s="2026">
        <v>13</v>
      </c>
      <c r="R10" s="2026">
        <v>14</v>
      </c>
      <c r="S10" s="2026">
        <v>15</v>
      </c>
      <c r="T10" s="2026">
        <v>16</v>
      </c>
      <c r="U10" s="2026">
        <v>17</v>
      </c>
      <c r="V10" s="2026">
        <v>18</v>
      </c>
      <c r="W10" s="2026">
        <v>19</v>
      </c>
      <c r="X10" s="2026">
        <v>20</v>
      </c>
      <c r="Y10" s="2026">
        <v>21</v>
      </c>
      <c r="Z10" s="2026">
        <v>22</v>
      </c>
      <c r="AA10" s="2026">
        <v>23</v>
      </c>
      <c r="AB10" s="2026">
        <v>24</v>
      </c>
      <c r="AC10" s="2026">
        <v>25</v>
      </c>
      <c r="AD10" s="3502">
        <v>26</v>
      </c>
      <c r="AE10" s="3502">
        <v>27</v>
      </c>
      <c r="AF10" s="3502">
        <v>28</v>
      </c>
      <c r="AG10" s="3502">
        <v>29</v>
      </c>
      <c r="AH10" s="3502">
        <v>30</v>
      </c>
      <c r="AI10" s="1134">
        <v>31</v>
      </c>
      <c r="AJ10" s="1134">
        <v>32</v>
      </c>
      <c r="AK10" s="1134">
        <v>33</v>
      </c>
      <c r="AL10" s="1134">
        <v>34</v>
      </c>
      <c r="AM10" s="1134">
        <v>35</v>
      </c>
      <c r="AN10" s="1134">
        <v>36</v>
      </c>
      <c r="AO10" s="1134">
        <v>37</v>
      </c>
      <c r="AP10" s="1134">
        <v>38</v>
      </c>
      <c r="AQ10" s="1134">
        <v>39</v>
      </c>
      <c r="AR10" s="1134">
        <v>40</v>
      </c>
      <c r="AS10" s="1134">
        <v>41</v>
      </c>
      <c r="AT10" s="1134">
        <v>42</v>
      </c>
      <c r="AU10" s="1134">
        <v>43</v>
      </c>
      <c r="AV10" s="1134">
        <v>44</v>
      </c>
      <c r="AW10" s="1134">
        <v>45</v>
      </c>
      <c r="AX10" s="1134">
        <v>46</v>
      </c>
      <c r="AY10" s="1134">
        <v>47</v>
      </c>
      <c r="AZ10" s="1134">
        <v>48</v>
      </c>
      <c r="BA10" s="1134">
        <v>49</v>
      </c>
      <c r="BB10" s="1134">
        <v>50</v>
      </c>
      <c r="BC10" s="1134">
        <v>51</v>
      </c>
      <c r="BD10" s="1134">
        <v>52</v>
      </c>
      <c r="BE10" s="1134">
        <v>53</v>
      </c>
      <c r="BF10" s="2026">
        <v>54</v>
      </c>
      <c r="BG10" s="1134">
        <v>55</v>
      </c>
      <c r="BH10" s="1134">
        <v>56</v>
      </c>
      <c r="BI10" s="1134">
        <v>57</v>
      </c>
      <c r="BJ10" s="1134">
        <v>58</v>
      </c>
      <c r="BK10" s="1134">
        <v>59</v>
      </c>
      <c r="BL10" s="1134">
        <v>60</v>
      </c>
      <c r="BM10" s="1134">
        <v>61</v>
      </c>
      <c r="BN10" s="1134">
        <v>62</v>
      </c>
      <c r="BO10" s="1134">
        <v>63</v>
      </c>
      <c r="BP10" s="1134">
        <v>64</v>
      </c>
      <c r="BQ10" s="1134">
        <v>65</v>
      </c>
      <c r="BR10" s="1134">
        <v>66</v>
      </c>
      <c r="BS10" s="1134">
        <v>67</v>
      </c>
      <c r="BT10" s="1134">
        <v>68</v>
      </c>
      <c r="BU10" s="1134">
        <v>69</v>
      </c>
      <c r="BV10" s="1134">
        <v>70</v>
      </c>
      <c r="BW10" s="1134">
        <v>71</v>
      </c>
      <c r="BX10" s="1134">
        <v>72</v>
      </c>
      <c r="BY10" s="1134">
        <v>73</v>
      </c>
      <c r="BZ10" s="1134">
        <v>74</v>
      </c>
      <c r="CA10" s="1134">
        <v>75</v>
      </c>
      <c r="CB10" s="1134">
        <v>76</v>
      </c>
      <c r="CC10" s="1134">
        <v>77</v>
      </c>
      <c r="CD10" s="1134">
        <v>78</v>
      </c>
      <c r="CE10" s="1134">
        <v>79</v>
      </c>
      <c r="CF10" s="1134">
        <v>80</v>
      </c>
      <c r="CG10" s="1134">
        <v>81</v>
      </c>
      <c r="CH10" s="1134">
        <v>82</v>
      </c>
      <c r="CI10" s="1134">
        <v>83</v>
      </c>
      <c r="CJ10" s="1134">
        <v>84</v>
      </c>
      <c r="CK10" s="1134">
        <v>85</v>
      </c>
      <c r="CL10" s="1134">
        <v>86</v>
      </c>
      <c r="CM10" s="1134">
        <v>87</v>
      </c>
      <c r="CN10" s="1134">
        <v>88</v>
      </c>
      <c r="CO10" s="1134">
        <v>89</v>
      </c>
      <c r="CP10" s="1134">
        <v>90</v>
      </c>
      <c r="CQ10" s="1134">
        <v>91</v>
      </c>
      <c r="CR10" s="1134">
        <v>92</v>
      </c>
      <c r="CS10" s="1134">
        <v>93</v>
      </c>
      <c r="CT10" s="1134">
        <v>94</v>
      </c>
      <c r="CU10" s="1134">
        <v>95</v>
      </c>
      <c r="CV10" s="1134">
        <v>96</v>
      </c>
      <c r="CW10" s="1134">
        <v>97</v>
      </c>
      <c r="CX10" s="1134">
        <v>98</v>
      </c>
      <c r="CY10" s="1134">
        <v>99</v>
      </c>
      <c r="CZ10" s="1134">
        <v>100</v>
      </c>
      <c r="DA10" s="1134">
        <v>101</v>
      </c>
      <c r="DB10" s="1134">
        <v>102</v>
      </c>
      <c r="DC10" s="1134">
        <v>103</v>
      </c>
      <c r="DD10" s="1134">
        <v>104</v>
      </c>
      <c r="DE10" s="1134">
        <v>105</v>
      </c>
      <c r="DF10" s="1134">
        <v>106</v>
      </c>
      <c r="DG10" s="1134">
        <v>107</v>
      </c>
      <c r="DH10" s="1134">
        <v>108</v>
      </c>
      <c r="DI10" s="1134">
        <v>109</v>
      </c>
      <c r="DJ10" s="1134">
        <v>110</v>
      </c>
      <c r="DK10" s="1134">
        <v>111</v>
      </c>
      <c r="DL10" s="1134">
        <v>112</v>
      </c>
      <c r="DM10" s="1134">
        <v>113</v>
      </c>
      <c r="DN10" s="1134">
        <v>114</v>
      </c>
      <c r="DO10" s="1134">
        <v>115</v>
      </c>
      <c r="DP10" s="1134">
        <v>116</v>
      </c>
      <c r="DQ10" s="1134">
        <v>117</v>
      </c>
      <c r="DR10" s="1134">
        <v>118</v>
      </c>
      <c r="DS10" s="1134">
        <v>119</v>
      </c>
      <c r="DT10" s="1134">
        <v>120</v>
      </c>
      <c r="DU10" s="1134">
        <v>121</v>
      </c>
      <c r="DV10" s="1134">
        <v>122</v>
      </c>
      <c r="DW10" s="1134">
        <v>123</v>
      </c>
      <c r="DX10" s="1134">
        <v>124</v>
      </c>
      <c r="DY10" s="1134">
        <v>125</v>
      </c>
      <c r="DZ10" s="1134">
        <v>126</v>
      </c>
      <c r="EA10" s="1134">
        <v>127</v>
      </c>
      <c r="EB10" s="1134">
        <v>128</v>
      </c>
      <c r="EC10" s="1134">
        <v>129</v>
      </c>
      <c r="ED10" s="1134">
        <v>130</v>
      </c>
      <c r="EE10" s="1134">
        <v>131</v>
      </c>
      <c r="EF10" s="1134">
        <v>132</v>
      </c>
      <c r="EG10" s="1134">
        <v>133</v>
      </c>
      <c r="EH10" s="1134">
        <v>134</v>
      </c>
      <c r="EI10" s="1134">
        <v>135</v>
      </c>
      <c r="EJ10" s="1134">
        <v>136</v>
      </c>
      <c r="EK10" s="1134">
        <v>137</v>
      </c>
      <c r="EL10" s="1134">
        <v>138</v>
      </c>
      <c r="EM10" s="1134">
        <v>139</v>
      </c>
      <c r="EN10" s="1134">
        <v>140</v>
      </c>
      <c r="EO10" s="1134">
        <v>141</v>
      </c>
      <c r="EP10" s="1134">
        <v>142</v>
      </c>
      <c r="EQ10" s="1134">
        <v>143</v>
      </c>
      <c r="ER10" s="1134">
        <v>144</v>
      </c>
      <c r="ES10" s="1134">
        <v>145</v>
      </c>
      <c r="ET10" s="1134">
        <v>146</v>
      </c>
      <c r="EU10" s="1134">
        <v>147</v>
      </c>
      <c r="EV10" s="1134">
        <v>148</v>
      </c>
      <c r="EW10" s="1134">
        <v>149</v>
      </c>
      <c r="EX10" s="1134">
        <v>150</v>
      </c>
      <c r="EY10" s="1134">
        <v>151</v>
      </c>
      <c r="EZ10" s="1134">
        <v>152</v>
      </c>
      <c r="FA10" s="1134">
        <v>153</v>
      </c>
      <c r="FB10" s="1134">
        <v>154</v>
      </c>
      <c r="FC10" s="1134">
        <v>155</v>
      </c>
      <c r="FD10" s="1134">
        <v>156</v>
      </c>
      <c r="FE10" s="1134">
        <v>157</v>
      </c>
      <c r="FF10" s="1134">
        <v>158</v>
      </c>
      <c r="FG10" s="1134">
        <v>159</v>
      </c>
      <c r="FH10" s="1134">
        <v>160</v>
      </c>
      <c r="FI10" s="1134">
        <v>161</v>
      </c>
      <c r="FJ10" s="1134">
        <v>162</v>
      </c>
      <c r="FK10" s="1134">
        <v>163</v>
      </c>
      <c r="FL10" s="1134">
        <v>164</v>
      </c>
      <c r="FM10" s="1134">
        <v>165</v>
      </c>
      <c r="FN10" s="1134">
        <v>166</v>
      </c>
      <c r="FO10" s="1134">
        <v>167</v>
      </c>
      <c r="FP10" s="1134">
        <v>168</v>
      </c>
      <c r="FQ10" s="1134">
        <v>169</v>
      </c>
      <c r="FR10" s="1134">
        <v>170</v>
      </c>
      <c r="FS10" s="1134">
        <v>171</v>
      </c>
      <c r="FT10" s="1134">
        <v>172</v>
      </c>
      <c r="FU10" s="1134">
        <v>173</v>
      </c>
      <c r="FV10" s="1134">
        <v>174</v>
      </c>
      <c r="FW10" s="1134">
        <v>175</v>
      </c>
      <c r="FX10" s="1134">
        <v>176</v>
      </c>
      <c r="FY10" s="1134">
        <v>177</v>
      </c>
      <c r="FZ10" s="1134">
        <v>178</v>
      </c>
      <c r="GA10" s="1134">
        <v>179</v>
      </c>
      <c r="GB10" s="1134">
        <v>180</v>
      </c>
      <c r="GC10" s="1134">
        <v>181</v>
      </c>
      <c r="GD10" s="1134">
        <v>182</v>
      </c>
      <c r="GE10" s="1134">
        <v>183</v>
      </c>
      <c r="GF10" s="1134">
        <v>184</v>
      </c>
      <c r="GG10" s="1134">
        <v>185</v>
      </c>
      <c r="GH10" s="1134">
        <v>186</v>
      </c>
      <c r="GI10" s="1134">
        <v>187</v>
      </c>
      <c r="GJ10" s="1134">
        <v>188</v>
      </c>
      <c r="GK10" s="1134">
        <v>189</v>
      </c>
      <c r="GL10" s="1134">
        <v>190</v>
      </c>
      <c r="GM10" s="1134">
        <v>191</v>
      </c>
      <c r="GN10" s="1134">
        <v>192</v>
      </c>
      <c r="GO10" s="1134">
        <v>193</v>
      </c>
      <c r="GP10" s="1134">
        <v>194</v>
      </c>
      <c r="GQ10" s="1134">
        <v>195</v>
      </c>
      <c r="GR10" s="1134">
        <v>196</v>
      </c>
      <c r="GS10" s="1134">
        <v>197</v>
      </c>
      <c r="GT10" s="1134">
        <v>198</v>
      </c>
      <c r="GU10" s="1134">
        <v>199</v>
      </c>
      <c r="GV10" s="1134">
        <v>200</v>
      </c>
      <c r="GW10" s="1134">
        <v>201</v>
      </c>
      <c r="GX10" s="1134">
        <v>202</v>
      </c>
      <c r="GY10" s="1134">
        <v>203</v>
      </c>
      <c r="GZ10" s="1134">
        <v>204</v>
      </c>
      <c r="HA10" s="1134">
        <v>205</v>
      </c>
      <c r="HB10" s="1134">
        <v>206</v>
      </c>
      <c r="HC10" s="1134">
        <v>207</v>
      </c>
      <c r="HD10" s="1134">
        <v>208</v>
      </c>
      <c r="HE10" s="1134">
        <v>209</v>
      </c>
      <c r="HF10" s="1134">
        <v>210</v>
      </c>
      <c r="HG10" s="1134">
        <v>211</v>
      </c>
      <c r="HH10" s="1134">
        <v>212</v>
      </c>
      <c r="HI10" s="1134">
        <v>213</v>
      </c>
      <c r="HJ10" s="1134">
        <v>214</v>
      </c>
      <c r="HK10" s="1134">
        <v>215</v>
      </c>
      <c r="HL10" s="1134">
        <v>216</v>
      </c>
      <c r="HM10" s="1134">
        <v>217</v>
      </c>
      <c r="HN10" s="1134">
        <v>218</v>
      </c>
      <c r="HO10" s="1134">
        <v>219</v>
      </c>
      <c r="HP10" s="1134">
        <v>220</v>
      </c>
      <c r="HQ10" s="1134">
        <v>221</v>
      </c>
      <c r="HR10" s="1134">
        <v>222</v>
      </c>
      <c r="HS10" s="1134">
        <v>223</v>
      </c>
      <c r="HT10" s="1134">
        <v>224</v>
      </c>
      <c r="HU10" s="1134">
        <v>225</v>
      </c>
      <c r="HV10" s="1134">
        <v>226</v>
      </c>
      <c r="HW10" s="1134">
        <v>227</v>
      </c>
      <c r="HX10" s="1134">
        <v>228</v>
      </c>
      <c r="HY10" s="1134">
        <v>229</v>
      </c>
      <c r="HZ10" s="1134">
        <v>230</v>
      </c>
      <c r="IA10" s="1134">
        <v>231</v>
      </c>
      <c r="IB10" s="1134">
        <v>232</v>
      </c>
      <c r="IC10" s="1134">
        <v>233</v>
      </c>
      <c r="ID10" s="1134">
        <v>234</v>
      </c>
      <c r="IE10" s="1134">
        <v>235</v>
      </c>
      <c r="IF10" s="1134">
        <v>236</v>
      </c>
      <c r="IG10" s="1134">
        <v>237</v>
      </c>
      <c r="IH10" s="1134">
        <v>238</v>
      </c>
      <c r="II10" s="1134">
        <v>239</v>
      </c>
      <c r="IJ10" s="1134">
        <v>240</v>
      </c>
      <c r="IK10" s="1134">
        <v>241</v>
      </c>
      <c r="IL10" s="1134">
        <v>242</v>
      </c>
      <c r="IM10" s="1134">
        <v>243</v>
      </c>
      <c r="IN10" s="1134">
        <v>244</v>
      </c>
      <c r="IO10" s="1134">
        <v>245</v>
      </c>
      <c r="IP10" s="1134">
        <v>246</v>
      </c>
      <c r="IQ10" s="1134">
        <v>247</v>
      </c>
      <c r="IR10" s="1134">
        <v>248</v>
      </c>
      <c r="IS10" s="1134">
        <v>249</v>
      </c>
      <c r="IT10" s="1134">
        <v>250</v>
      </c>
      <c r="IU10" s="1134">
        <v>251</v>
      </c>
      <c r="IV10" s="1134">
        <v>252</v>
      </c>
      <c r="IW10" s="1134">
        <v>253</v>
      </c>
      <c r="IX10" s="1134">
        <v>254</v>
      </c>
      <c r="IY10" s="1134">
        <v>255</v>
      </c>
      <c r="IZ10" s="1134">
        <v>256</v>
      </c>
      <c r="JA10" s="1134">
        <v>257</v>
      </c>
      <c r="JB10" s="1134">
        <v>258</v>
      </c>
      <c r="JC10" s="1134">
        <v>259</v>
      </c>
      <c r="JD10" s="1134">
        <v>260</v>
      </c>
      <c r="JE10" s="1134">
        <v>261</v>
      </c>
      <c r="JF10" s="1134">
        <v>262</v>
      </c>
      <c r="JG10" s="2485">
        <v>263</v>
      </c>
      <c r="JH10" s="1233"/>
      <c r="JJ10" s="1701" t="s">
        <v>6104</v>
      </c>
    </row>
    <row ht="12.75" r="11" spans="1:270" x14ac:dyDescent="0.2">
      <c r="A11" s="1128">
        <v>2</v>
      </c>
      <c r="B11" s="1254" t="str">
        <f ref="B11:B17" si="0" t="shared">IF(INC_A_IND&gt;1,IF(HLOOKUP(INC_A_IND-1,INC_A_RANGE,A11)="","",HLOOKUP(INC_A_IND-1,INC_A_RANGE,A11)),"")</f>
        <v/>
      </c>
      <c r="C11" s="1530" t="s">
        <v>573</v>
      </c>
      <c r="D11" s="672" t="s">
        <v>4480</v>
      </c>
      <c r="E11" s="2350"/>
      <c r="F11" s="2315"/>
      <c r="G11" s="2315"/>
      <c r="H11" s="2350"/>
      <c r="I11" s="2315"/>
      <c r="J11" s="2315"/>
      <c r="K11" s="2315"/>
      <c r="L11" s="2315"/>
      <c r="M11" s="2315">
        <v>365</v>
      </c>
      <c r="N11" s="2350"/>
      <c r="O11" s="2315"/>
      <c r="P11" s="2350"/>
      <c r="Q11" s="2315"/>
      <c r="R11" s="2315"/>
      <c r="S11" s="2315"/>
      <c r="T11" s="2315"/>
      <c r="U11" s="2315"/>
      <c r="V11" s="2350"/>
      <c r="W11" s="2350"/>
      <c r="X11" s="2350">
        <v>747</v>
      </c>
      <c r="Y11" s="2350"/>
      <c r="Z11" s="2315">
        <v>365</v>
      </c>
      <c r="AA11" s="2315"/>
      <c r="AB11" s="2350">
        <v>21</v>
      </c>
      <c r="AC11" s="2315"/>
      <c r="AD11" s="3503"/>
      <c r="AE11" s="3503"/>
      <c r="AF11" s="3503">
        <v>540</v>
      </c>
      <c r="AG11" s="3503"/>
      <c r="AH11" s="3503">
        <v>12</v>
      </c>
      <c r="AI11" s="2350"/>
      <c r="AJ11" s="2350"/>
      <c r="AK11" s="2315"/>
      <c r="AL11" s="2315"/>
      <c r="AM11" s="2315"/>
      <c r="AN11" s="2315"/>
      <c r="AO11" s="2315"/>
      <c r="AP11" s="2350"/>
      <c r="AQ11" s="2315"/>
      <c r="AR11" s="2315"/>
      <c r="AS11" s="2315">
        <v>22</v>
      </c>
      <c r="AT11" s="2315"/>
      <c r="AU11" s="2315"/>
      <c r="AV11" s="2315"/>
      <c r="AW11" s="2315"/>
      <c r="AX11" s="2315">
        <v>365</v>
      </c>
      <c r="AY11" s="2315"/>
      <c r="AZ11" s="2315"/>
      <c r="BA11" s="2315"/>
      <c r="BB11" s="2315"/>
      <c r="BC11" s="2315"/>
      <c r="BD11" s="2315">
        <v>365</v>
      </c>
      <c r="BE11" s="3706">
        <v>707</v>
      </c>
      <c r="BF11" s="2315"/>
      <c r="BG11" s="2350"/>
      <c r="BH11" s="2350"/>
      <c r="BI11" s="2315"/>
      <c r="BJ11" s="2350"/>
      <c r="BK11" s="3945">
        <v>100800</v>
      </c>
      <c r="BL11" s="2315"/>
      <c r="BM11" s="2315">
        <v>22</v>
      </c>
      <c r="BN11" s="2315"/>
      <c r="BO11" s="2315"/>
      <c r="BP11" s="2350"/>
      <c r="BQ11" s="2315"/>
      <c r="BR11" s="2315"/>
      <c r="BS11" s="2315"/>
      <c r="BT11" s="2315"/>
      <c r="BU11" s="2315"/>
      <c r="BV11" s="2315"/>
      <c r="BW11" s="2315">
        <v>365</v>
      </c>
      <c r="BX11" s="2315"/>
      <c r="BY11" s="2315"/>
      <c r="BZ11" s="2315"/>
      <c r="CA11" s="2315"/>
      <c r="CB11" s="2352"/>
      <c r="CC11" s="2352"/>
      <c r="CD11" s="2352"/>
      <c r="CE11" s="2352"/>
      <c r="CF11" s="2315"/>
      <c r="CG11" s="2315">
        <v>321</v>
      </c>
      <c r="CH11" s="2315"/>
      <c r="CI11" s="2315"/>
      <c r="CJ11" s="2315">
        <v>365</v>
      </c>
      <c r="CK11" s="2315">
        <v>321</v>
      </c>
      <c r="CL11" s="2315"/>
      <c r="CM11" s="2352"/>
      <c r="CN11" s="2352"/>
      <c r="CO11" s="2352"/>
      <c r="CP11" s="2352"/>
      <c r="CQ11" s="2352"/>
      <c r="CR11" s="2315"/>
      <c r="CS11" s="2315"/>
      <c r="CT11" s="2315">
        <v>365</v>
      </c>
      <c r="CU11" s="2352"/>
      <c r="CV11" s="2352"/>
      <c r="CW11" s="2352"/>
      <c r="CX11" s="2352"/>
      <c r="CY11" s="2315"/>
      <c r="CZ11" s="2315"/>
      <c r="DA11" s="2315"/>
      <c r="DB11" s="2315"/>
      <c r="DC11" s="2352"/>
      <c r="DD11" s="2352"/>
      <c r="DE11" s="2315">
        <v>22</v>
      </c>
      <c r="DF11" s="2315">
        <v>321</v>
      </c>
      <c r="DG11" s="2315"/>
      <c r="DH11" s="2352"/>
      <c r="DI11" s="2352"/>
      <c r="DJ11" s="2352"/>
      <c r="DK11" s="2352"/>
      <c r="DL11" s="2315">
        <v>22</v>
      </c>
      <c r="DM11" s="2315">
        <v>365</v>
      </c>
      <c r="DN11" s="2352"/>
      <c r="DO11" s="2352"/>
      <c r="DP11" s="2315">
        <v>321</v>
      </c>
      <c r="DQ11" s="2315">
        <v>22</v>
      </c>
      <c r="DR11" s="2315">
        <v>321</v>
      </c>
      <c r="DS11" s="2315">
        <v>321</v>
      </c>
      <c r="DT11" s="2315"/>
      <c r="DU11" s="2315">
        <v>22</v>
      </c>
      <c r="DV11" s="2352"/>
      <c r="DW11" s="2315"/>
      <c r="DX11" s="2315"/>
      <c r="DY11" s="2315">
        <v>365</v>
      </c>
      <c r="DZ11" s="2352"/>
      <c r="EA11" s="2352"/>
      <c r="EB11" s="2315">
        <v>321</v>
      </c>
      <c r="EC11" s="2315"/>
      <c r="ED11" s="2352"/>
      <c r="EE11" s="2352"/>
      <c r="EF11" s="2315"/>
      <c r="EG11" s="2352"/>
      <c r="EH11" s="2315">
        <v>365</v>
      </c>
      <c r="EI11" s="2352"/>
      <c r="EJ11" s="2352"/>
      <c r="EK11" s="2315"/>
      <c r="EL11" s="3706">
        <v>101</v>
      </c>
      <c r="EM11" s="2352"/>
      <c r="EN11" s="2352"/>
      <c r="EO11" s="2352"/>
      <c r="EP11" s="2352"/>
      <c r="EQ11" s="2315">
        <v>22</v>
      </c>
      <c r="ER11" s="2352"/>
      <c r="ES11" s="2352"/>
      <c r="ET11" s="2352"/>
      <c r="EU11" s="2352"/>
      <c r="EV11" s="2352"/>
      <c r="EW11" s="2352"/>
      <c r="EX11" s="2352"/>
      <c r="EY11" s="2352"/>
      <c r="EZ11" s="2352"/>
      <c r="FA11" s="2315"/>
      <c r="FB11" s="2352"/>
      <c r="FC11" s="2315"/>
      <c r="FD11" s="2315"/>
      <c r="FE11" s="2315">
        <v>321</v>
      </c>
      <c r="FF11" s="2315">
        <v>321</v>
      </c>
      <c r="FG11" s="2315">
        <v>321</v>
      </c>
      <c r="FH11" s="2315">
        <v>321</v>
      </c>
      <c r="FI11" s="2352"/>
      <c r="FJ11" s="2352"/>
      <c r="FK11" s="2352"/>
      <c r="FL11" s="2352"/>
      <c r="FM11" s="2352"/>
      <c r="FN11" s="2352"/>
      <c r="FO11" s="2352"/>
      <c r="FP11" s="3644">
        <v>500</v>
      </c>
      <c r="FQ11" s="2315">
        <v>321</v>
      </c>
      <c r="FR11" s="2352"/>
      <c r="FS11" s="2352"/>
      <c r="FT11" s="2315">
        <v>321</v>
      </c>
      <c r="FU11" s="2315">
        <v>321</v>
      </c>
      <c r="FV11" s="2315">
        <v>321</v>
      </c>
      <c r="FW11" s="2315">
        <v>321</v>
      </c>
      <c r="FX11" s="2315"/>
      <c r="FY11" s="2315"/>
      <c r="FZ11" s="2315"/>
      <c r="GA11" s="2315"/>
      <c r="GB11" s="2315"/>
      <c r="GC11" s="2315"/>
      <c r="GD11" s="2352"/>
      <c r="GE11" s="2315"/>
      <c r="GF11" s="2352"/>
      <c r="GG11" s="2315"/>
      <c r="GH11" s="2315"/>
      <c r="GI11" s="2315"/>
      <c r="GJ11" s="2315">
        <v>321</v>
      </c>
      <c r="GK11" s="2352"/>
      <c r="GL11" s="2352"/>
      <c r="GM11" s="2352"/>
      <c r="GN11" s="2315">
        <v>22</v>
      </c>
      <c r="GO11" s="2315">
        <v>22</v>
      </c>
      <c r="GP11" s="2315"/>
      <c r="GQ11" s="2352"/>
      <c r="GR11" s="2315"/>
      <c r="GS11" s="2315"/>
      <c r="GT11" s="2315"/>
      <c r="GU11" s="2315"/>
      <c r="GV11" s="2352"/>
      <c r="GW11" s="2315"/>
      <c r="GX11" s="2352"/>
      <c r="GY11" s="2315"/>
      <c r="GZ11" s="2315">
        <v>365</v>
      </c>
      <c r="HA11" s="2352"/>
      <c r="HB11" s="2352"/>
      <c r="HC11" s="2352"/>
      <c r="HD11" s="2315">
        <v>321</v>
      </c>
      <c r="HE11" s="2352"/>
      <c r="HF11" s="2315"/>
      <c r="HG11" s="2315"/>
      <c r="HH11" s="2315">
        <v>321</v>
      </c>
      <c r="HI11" s="2352"/>
      <c r="HJ11" s="2352">
        <v>517</v>
      </c>
      <c r="HK11" s="2352"/>
      <c r="HL11" s="2352"/>
      <c r="HM11" s="2352"/>
      <c r="HN11" s="2350"/>
      <c r="HO11" s="2315"/>
      <c r="HP11" s="2315"/>
      <c r="HQ11" s="2315"/>
      <c r="HR11" s="2352"/>
      <c r="HS11" s="2315">
        <v>365</v>
      </c>
      <c r="HT11" s="2350"/>
      <c r="HU11" s="2315"/>
      <c r="HV11" s="2315"/>
      <c r="HW11" s="2350"/>
      <c r="HX11" s="2350"/>
      <c r="HY11" s="2350"/>
      <c r="HZ11" s="2350">
        <v>747</v>
      </c>
      <c r="IA11" s="2350"/>
      <c r="IB11" s="2350">
        <v>21</v>
      </c>
      <c r="IC11" s="2350"/>
      <c r="ID11" s="2350"/>
      <c r="IE11" s="2350"/>
      <c r="IF11" s="2350">
        <v>1898</v>
      </c>
      <c r="IG11" s="2350">
        <v>17111</v>
      </c>
      <c r="IH11" s="2350">
        <v>15624</v>
      </c>
      <c r="II11" s="2351"/>
      <c r="IJ11" s="2351"/>
      <c r="IK11" s="2351"/>
      <c r="IL11" s="2351"/>
      <c r="IM11" s="2352"/>
      <c r="IN11" s="2352"/>
      <c r="IO11" s="2350"/>
      <c r="IP11" s="2352"/>
      <c r="IQ11" s="2352"/>
      <c r="IR11" s="2352"/>
      <c r="IS11" s="2352"/>
      <c r="IT11" s="2352"/>
      <c r="IU11" s="2352"/>
      <c r="IV11" s="2352"/>
      <c r="IW11" s="2352"/>
      <c r="IX11" s="2352"/>
      <c r="IY11" s="2352"/>
      <c r="IZ11" s="2352"/>
      <c r="JA11" s="2352"/>
      <c r="JB11" s="2352"/>
      <c r="JC11" s="2352"/>
      <c r="JD11" s="3503">
        <v>236</v>
      </c>
      <c r="JE11" s="3503">
        <v>101</v>
      </c>
      <c r="JF11" s="2352"/>
      <c r="JG11" s="3745"/>
      <c r="JH11" s="1233"/>
      <c r="JI11" s="1229"/>
      <c r="JJ11" s="1686" t="s">
        <v>6124</v>
      </c>
    </row>
    <row ht="12.75" r="12" spans="1:270" x14ac:dyDescent="0.2">
      <c r="A12" s="1128">
        <v>3</v>
      </c>
      <c r="B12" s="1254">
        <f si="0" t="shared"/>
        <v>3678</v>
      </c>
      <c r="C12" s="1530" t="s">
        <v>574</v>
      </c>
      <c r="D12" s="672" t="s">
        <v>4134</v>
      </c>
      <c r="E12" s="2350">
        <v>18</v>
      </c>
      <c r="F12" s="2315">
        <v>3678</v>
      </c>
      <c r="G12" s="2315">
        <v>3678</v>
      </c>
      <c r="H12" s="2350">
        <v>1579</v>
      </c>
      <c r="I12" s="2315">
        <v>3678</v>
      </c>
      <c r="J12" s="2315">
        <v>21989</v>
      </c>
      <c r="K12" s="2315"/>
      <c r="L12" s="2315"/>
      <c r="M12" s="2315">
        <v>7283</v>
      </c>
      <c r="N12" s="2350">
        <v>21005</v>
      </c>
      <c r="O12" s="2315">
        <v>3678</v>
      </c>
      <c r="P12" s="2314">
        <f>BR_band-2007</f>
        <v>35493</v>
      </c>
      <c r="Q12" s="2315">
        <v>3678</v>
      </c>
      <c r="R12" s="2315"/>
      <c r="S12" s="2315">
        <v>3678</v>
      </c>
      <c r="T12" s="2315">
        <v>3678</v>
      </c>
      <c r="U12" s="2315">
        <v>3678</v>
      </c>
      <c r="V12" s="2350"/>
      <c r="W12" s="2353">
        <f>BR_band-5655</f>
        <v>31845</v>
      </c>
      <c r="X12" s="2314">
        <f>BR_band-7000</f>
        <v>30500</v>
      </c>
      <c r="Y12" s="2353">
        <f>BR_band+2655</f>
        <v>40155</v>
      </c>
      <c r="Z12" s="2315">
        <v>7283</v>
      </c>
      <c r="AA12" s="2315">
        <v>3678</v>
      </c>
      <c r="AB12" s="2350">
        <v>811</v>
      </c>
      <c r="AC12" s="2315">
        <v>3678</v>
      </c>
      <c r="AD12" s="3503">
        <v>45</v>
      </c>
      <c r="AE12" s="3503">
        <v>125</v>
      </c>
      <c r="AF12" s="3503"/>
      <c r="AG12" s="3503">
        <v>525</v>
      </c>
      <c r="AH12" s="3503">
        <v>34</v>
      </c>
      <c r="AI12" s="2350"/>
      <c r="AJ12" s="2350">
        <v>2001</v>
      </c>
      <c r="AK12" s="2315">
        <v>10120</v>
      </c>
      <c r="AL12" s="2315">
        <v>10120</v>
      </c>
      <c r="AM12" s="2315">
        <v>3678</v>
      </c>
      <c r="AN12" s="2315">
        <v>10120</v>
      </c>
      <c r="AO12" s="2315">
        <v>6710.4</v>
      </c>
      <c r="AP12" s="2350"/>
      <c r="AQ12" s="2315">
        <v>6710.4</v>
      </c>
      <c r="AR12" s="2315">
        <v>6710.4</v>
      </c>
      <c r="AS12" s="2315">
        <v>2099.88</v>
      </c>
      <c r="AT12" s="2315">
        <v>3678</v>
      </c>
      <c r="AU12" s="2315">
        <v>3678</v>
      </c>
      <c r="AV12" s="2315"/>
      <c r="AW12" s="2315"/>
      <c r="AX12" s="2315">
        <v>7283</v>
      </c>
      <c r="AY12" s="2315"/>
      <c r="AZ12" s="2315"/>
      <c r="BA12" s="2315"/>
      <c r="BB12" s="2315"/>
      <c r="BC12" s="2315"/>
      <c r="BD12" s="2315">
        <v>7283</v>
      </c>
      <c r="BE12" s="3706">
        <v>5706</v>
      </c>
      <c r="BF12" s="3706">
        <v>11998</v>
      </c>
      <c r="BG12" s="3945">
        <v>1627</v>
      </c>
      <c r="BH12" s="2350"/>
      <c r="BI12" s="3945">
        <v>30000</v>
      </c>
      <c r="BJ12" s="2350"/>
      <c r="BK12" s="3945"/>
      <c r="BL12" s="2315">
        <v>6710.4</v>
      </c>
      <c r="BM12" s="2315">
        <v>2099.88</v>
      </c>
      <c r="BN12" s="2315">
        <v>2225</v>
      </c>
      <c r="BO12" s="2315">
        <v>10120</v>
      </c>
      <c r="BP12" s="2350"/>
      <c r="BQ12" s="2355">
        <v>45500</v>
      </c>
      <c r="BR12" s="2315">
        <v>3678</v>
      </c>
      <c r="BS12" s="2315">
        <v>4598</v>
      </c>
      <c r="BT12" s="2315"/>
      <c r="BU12" s="2315">
        <v>3678</v>
      </c>
      <c r="BV12" s="2315">
        <v>3678</v>
      </c>
      <c r="BW12" s="2315">
        <v>7283</v>
      </c>
      <c r="BX12" s="2315">
        <v>3678</v>
      </c>
      <c r="BY12" s="2315">
        <v>3678</v>
      </c>
      <c r="BZ12" s="2315"/>
      <c r="CA12" s="2315">
        <v>6710.4</v>
      </c>
      <c r="CB12" s="3945">
        <v>24000</v>
      </c>
      <c r="CC12" s="2350"/>
      <c r="CD12" s="2350"/>
      <c r="CE12" s="2350"/>
      <c r="CF12" s="2315">
        <v>10120</v>
      </c>
      <c r="CG12" s="2315">
        <v>1625</v>
      </c>
      <c r="CH12" s="2315"/>
      <c r="CI12" s="2315">
        <v>6710.4</v>
      </c>
      <c r="CJ12" s="2315">
        <v>7283</v>
      </c>
      <c r="CK12" s="2315">
        <v>1625</v>
      </c>
      <c r="CL12" s="2315">
        <v>6710.4</v>
      </c>
      <c r="CM12" s="2350"/>
      <c r="CN12" s="2350"/>
      <c r="CO12" s="2350"/>
      <c r="CP12" s="2350"/>
      <c r="CQ12" s="2350"/>
      <c r="CR12" s="2315">
        <v>10120</v>
      </c>
      <c r="CS12" s="2315">
        <v>10120</v>
      </c>
      <c r="CT12" s="2315">
        <v>7283</v>
      </c>
      <c r="CU12" s="2350"/>
      <c r="CV12" s="2350"/>
      <c r="CW12" s="2350"/>
      <c r="CX12" s="2350"/>
      <c r="CY12" s="2315">
        <v>2225</v>
      </c>
      <c r="CZ12" s="2315"/>
      <c r="DA12" s="2315"/>
      <c r="DB12" s="3706">
        <v>56447</v>
      </c>
      <c r="DC12" s="2350"/>
      <c r="DD12" s="2350"/>
      <c r="DE12" s="2315">
        <v>2099.88</v>
      </c>
      <c r="DF12" s="2315">
        <v>1625</v>
      </c>
      <c r="DG12" s="2315">
        <v>3678</v>
      </c>
      <c r="DH12" s="2350"/>
      <c r="DI12" s="2350"/>
      <c r="DJ12" s="2350"/>
      <c r="DK12" s="2350"/>
      <c r="DL12" s="2315">
        <v>2099.88</v>
      </c>
      <c r="DM12" s="2315">
        <v>7283</v>
      </c>
      <c r="DN12" s="2350"/>
      <c r="DO12" s="2350"/>
      <c r="DP12" s="2315">
        <v>1625</v>
      </c>
      <c r="DQ12" s="2315">
        <v>2099.88</v>
      </c>
      <c r="DR12" s="2315">
        <v>1625</v>
      </c>
      <c r="DS12" s="2315">
        <v>1625</v>
      </c>
      <c r="DT12" s="2315"/>
      <c r="DU12" s="2315">
        <v>2099.88</v>
      </c>
      <c r="DV12" s="2350"/>
      <c r="DW12" s="2315">
        <f>P_A-5851</f>
        <v>6649</v>
      </c>
      <c r="DX12" s="2315">
        <v>4598</v>
      </c>
      <c r="DY12" s="2315">
        <v>7283</v>
      </c>
      <c r="DZ12" s="2350"/>
      <c r="EA12" s="2350"/>
      <c r="EB12" s="2315">
        <v>1625</v>
      </c>
      <c r="EC12" s="2315">
        <v>10120</v>
      </c>
      <c r="ED12" s="2350"/>
      <c r="EE12" s="2350"/>
      <c r="EF12" s="2315">
        <v>4598</v>
      </c>
      <c r="EG12" s="2350"/>
      <c r="EH12" s="2315">
        <v>7283</v>
      </c>
      <c r="EI12" s="2350"/>
      <c r="EJ12" s="2350"/>
      <c r="EK12" s="2315">
        <v>6710.4</v>
      </c>
      <c r="EL12" s="3945">
        <v>23001</v>
      </c>
      <c r="EM12" s="2350"/>
      <c r="EN12" s="2350"/>
      <c r="EO12" s="2350"/>
      <c r="EP12" s="2350"/>
      <c r="EQ12" s="2315">
        <v>2099.88</v>
      </c>
      <c r="ER12" s="2350"/>
      <c r="ES12" s="2350"/>
      <c r="ET12" s="2350"/>
      <c r="EU12" s="2350"/>
      <c r="EV12" s="2350"/>
      <c r="EW12" s="2350"/>
      <c r="EX12" s="2350"/>
      <c r="EY12" s="2350"/>
      <c r="EZ12" s="2350"/>
      <c r="FA12" s="2315">
        <v>6710.4</v>
      </c>
      <c r="FB12" s="2350"/>
      <c r="FC12" s="2315">
        <v>176.8</v>
      </c>
      <c r="FD12" s="2315">
        <v>176.8</v>
      </c>
      <c r="FE12" s="2315">
        <v>1625</v>
      </c>
      <c r="FF12" s="2315">
        <v>1625</v>
      </c>
      <c r="FG12" s="2315">
        <v>1625</v>
      </c>
      <c r="FH12" s="2315">
        <v>1625</v>
      </c>
      <c r="FI12" s="2350"/>
      <c r="FJ12" s="2350"/>
      <c r="FK12" s="2350"/>
      <c r="FL12" s="2350"/>
      <c r="FM12" s="2350"/>
      <c r="FN12" s="2350"/>
      <c r="FO12" s="2350"/>
      <c r="FP12" s="3645">
        <v>145237</v>
      </c>
      <c r="FQ12" s="2315">
        <v>1625</v>
      </c>
      <c r="FR12" s="2350"/>
      <c r="FS12" s="2350"/>
      <c r="FT12" s="2315">
        <v>1625</v>
      </c>
      <c r="FU12" s="2315">
        <v>1625</v>
      </c>
      <c r="FV12" s="2315">
        <v>1625</v>
      </c>
      <c r="FW12" s="2315">
        <v>1625</v>
      </c>
      <c r="FX12" s="2315">
        <v>87000</v>
      </c>
      <c r="FY12" s="2315">
        <v>3678</v>
      </c>
      <c r="FZ12" s="2315">
        <v>3678</v>
      </c>
      <c r="GA12" s="2315">
        <v>3678</v>
      </c>
      <c r="GB12" s="2315">
        <v>3678</v>
      </c>
      <c r="GC12" s="2315">
        <v>176.8</v>
      </c>
      <c r="GD12" s="2350"/>
      <c r="GE12" s="2315">
        <v>3678</v>
      </c>
      <c r="GF12" s="2350"/>
      <c r="GG12" s="2315">
        <v>6710.4</v>
      </c>
      <c r="GH12" s="2315">
        <v>4598</v>
      </c>
      <c r="GI12" s="2315"/>
      <c r="GJ12" s="2315">
        <v>1625</v>
      </c>
      <c r="GK12" s="2350"/>
      <c r="GL12" s="2350"/>
      <c r="GM12" s="2350"/>
      <c r="GN12" s="2315">
        <v>2099.88</v>
      </c>
      <c r="GO12" s="2315">
        <v>2099.88</v>
      </c>
      <c r="GP12" s="2315">
        <v>3678</v>
      </c>
      <c r="GQ12" s="2350"/>
      <c r="GR12" s="2315">
        <v>3678</v>
      </c>
      <c r="GS12" s="2315">
        <v>10120</v>
      </c>
      <c r="GT12" s="2315">
        <v>777</v>
      </c>
      <c r="GU12" s="2315">
        <v>3678</v>
      </c>
      <c r="GV12" s="2350"/>
      <c r="GW12" s="2315">
        <v>3678</v>
      </c>
      <c r="GX12" s="2350"/>
      <c r="GY12" s="2315">
        <v>87000</v>
      </c>
      <c r="GZ12" s="2315">
        <v>7283</v>
      </c>
      <c r="HA12" s="2350"/>
      <c r="HB12" s="2350"/>
      <c r="HC12" s="2350"/>
      <c r="HD12" s="2315">
        <v>1625</v>
      </c>
      <c r="HE12" s="2350"/>
      <c r="HF12" s="2315">
        <v>87000</v>
      </c>
      <c r="HG12" s="2315">
        <v>87000</v>
      </c>
      <c r="HH12" s="2315">
        <v>1625</v>
      </c>
      <c r="HI12" s="2350"/>
      <c r="HJ12" s="2350"/>
      <c r="HK12" s="2350"/>
      <c r="HL12" s="2350"/>
      <c r="HM12" s="2350"/>
      <c r="HN12" s="2350">
        <v>18</v>
      </c>
      <c r="HO12" s="2315">
        <v>176.8</v>
      </c>
      <c r="HP12" s="2315">
        <v>4598</v>
      </c>
      <c r="HQ12" s="2315">
        <v>4598</v>
      </c>
      <c r="HR12" s="2350"/>
      <c r="HS12" s="2315">
        <v>7283</v>
      </c>
      <c r="HT12" s="2350">
        <v>33529</v>
      </c>
      <c r="HU12" s="2315"/>
      <c r="HV12" s="2315">
        <v>10120</v>
      </c>
      <c r="HW12" s="2350">
        <v>14324</v>
      </c>
      <c r="HX12" s="2350">
        <v>21005</v>
      </c>
      <c r="HY12" s="2314">
        <f>BR_band-2007</f>
        <v>35493</v>
      </c>
      <c r="HZ12" s="2314">
        <f>BR_band-7000</f>
        <v>30500</v>
      </c>
      <c r="IA12" s="2353">
        <f>BR_band+2655</f>
        <v>40155</v>
      </c>
      <c r="IB12" s="2350">
        <v>811</v>
      </c>
      <c r="IC12" s="2353">
        <f>BR_band-5655</f>
        <v>31845</v>
      </c>
      <c r="ID12" s="2314">
        <f>P_A-3492</f>
        <v>9008</v>
      </c>
      <c r="IE12" s="2314">
        <f>P_A-7225</f>
        <v>5275</v>
      </c>
      <c r="IF12" s="2350">
        <v>2733</v>
      </c>
      <c r="IG12" s="2350">
        <v>490</v>
      </c>
      <c r="IH12" s="2350">
        <v>2545</v>
      </c>
      <c r="II12" s="2350">
        <v>20000</v>
      </c>
      <c r="IJ12" s="2350">
        <v>10000</v>
      </c>
      <c r="IK12" s="2350">
        <v>21005</v>
      </c>
      <c r="IL12" s="2350">
        <v>20000</v>
      </c>
      <c r="IM12" s="2350">
        <f>BR_band-500</f>
        <v>37000</v>
      </c>
      <c r="IN12" s="2350">
        <v>453</v>
      </c>
      <c r="IO12" s="2350">
        <v>18</v>
      </c>
      <c r="IP12" s="3503">
        <v>67</v>
      </c>
      <c r="IQ12" s="2350"/>
      <c r="IR12" s="3503">
        <v>29</v>
      </c>
      <c r="IS12" s="4014">
        <v>4151</v>
      </c>
      <c r="IT12" s="4014">
        <v>54</v>
      </c>
      <c r="IU12" s="2350"/>
      <c r="IV12" s="4014">
        <v>511</v>
      </c>
      <c r="IW12" s="4014">
        <v>50</v>
      </c>
      <c r="IX12" s="4014">
        <v>6719</v>
      </c>
      <c r="IY12" s="4014">
        <v>160</v>
      </c>
      <c r="IZ12" s="4014">
        <v>251</v>
      </c>
      <c r="JA12" s="4014">
        <v>6</v>
      </c>
      <c r="JB12" s="4014">
        <v>100</v>
      </c>
      <c r="JC12" s="2350"/>
      <c r="JD12" s="2350"/>
      <c r="JE12" s="2350"/>
      <c r="JF12" s="3503">
        <v>430</v>
      </c>
      <c r="JG12" s="3745"/>
      <c r="JH12" s="1233"/>
      <c r="JI12" s="1229"/>
      <c r="JJ12" s="1686" t="s">
        <v>6124</v>
      </c>
    </row>
    <row ht="12.75" r="13" spans="1:270" x14ac:dyDescent="0.2">
      <c r="A13" s="1128">
        <v>4</v>
      </c>
      <c r="B13" s="1254" t="str">
        <f si="0" t="shared"/>
        <v/>
      </c>
      <c r="C13" s="1530" t="s">
        <v>589</v>
      </c>
      <c r="D13" s="672" t="s">
        <v>4303</v>
      </c>
      <c r="E13" s="2350"/>
      <c r="F13" s="2315"/>
      <c r="G13" s="2315"/>
      <c r="H13" s="2350"/>
      <c r="I13" s="2315"/>
      <c r="J13" s="2315"/>
      <c r="K13" s="2315"/>
      <c r="L13" s="2315"/>
      <c r="M13" s="2315"/>
      <c r="N13" s="2350"/>
      <c r="O13" s="2315"/>
      <c r="P13" s="2315"/>
      <c r="Q13" s="2315"/>
      <c r="R13" s="2315"/>
      <c r="S13" s="2315"/>
      <c r="T13" s="2315"/>
      <c r="U13" s="2315"/>
      <c r="V13" s="2350"/>
      <c r="W13" s="2350"/>
      <c r="X13" s="2315"/>
      <c r="Y13" s="2350"/>
      <c r="Z13" s="2315"/>
      <c r="AA13" s="2315"/>
      <c r="AB13" s="2350"/>
      <c r="AC13" s="2315"/>
      <c r="AD13" s="2350"/>
      <c r="AE13" s="2350"/>
      <c r="AF13" s="2350"/>
      <c r="AG13" s="2350"/>
      <c r="AH13" s="2350"/>
      <c r="AI13" s="2350"/>
      <c r="AJ13" s="2350"/>
      <c r="AK13" s="2315"/>
      <c r="AL13" s="2315"/>
      <c r="AM13" s="2315"/>
      <c r="AN13" s="2315"/>
      <c r="AO13" s="2315"/>
      <c r="AP13" s="2350"/>
      <c r="AQ13" s="2315"/>
      <c r="AR13" s="2315"/>
      <c r="AS13" s="2315"/>
      <c r="AT13" s="2315"/>
      <c r="AU13" s="2315"/>
      <c r="AV13" s="2315"/>
      <c r="AW13" s="2315"/>
      <c r="AX13" s="2315"/>
      <c r="AY13" s="2315"/>
      <c r="AZ13" s="2315"/>
      <c r="BA13" s="2315"/>
      <c r="BB13" s="2315"/>
      <c r="BC13" s="2315"/>
      <c r="BD13" s="2315"/>
      <c r="BE13" s="2315"/>
      <c r="BF13" s="2315"/>
      <c r="BG13" s="2350"/>
      <c r="BH13" s="2350"/>
      <c r="BI13" s="2315"/>
      <c r="BJ13" s="2350"/>
      <c r="BK13" s="2315"/>
      <c r="BL13" s="2315"/>
      <c r="BM13" s="2315"/>
      <c r="BN13" s="2315"/>
      <c r="BO13" s="2315"/>
      <c r="BP13" s="2350"/>
      <c r="BQ13" s="2315"/>
      <c r="BR13" s="2315"/>
      <c r="BS13" s="2315"/>
      <c r="BT13" s="2315"/>
      <c r="BU13" s="2315"/>
      <c r="BV13" s="2315"/>
      <c r="BW13" s="2315"/>
      <c r="BX13" s="2315"/>
      <c r="BY13" s="2315"/>
      <c r="BZ13" s="2315"/>
      <c r="CA13" s="2315"/>
      <c r="CB13" s="2350"/>
      <c r="CC13" s="2350"/>
      <c r="CD13" s="2350"/>
      <c r="CE13" s="2350"/>
      <c r="CF13" s="2315"/>
      <c r="CG13" s="2315"/>
      <c r="CH13" s="2315"/>
      <c r="CI13" s="2315"/>
      <c r="CJ13" s="2315"/>
      <c r="CK13" s="2315"/>
      <c r="CL13" s="2315"/>
      <c r="CM13" s="2350"/>
      <c r="CN13" s="2350"/>
      <c r="CO13" s="2350"/>
      <c r="CP13" s="2350"/>
      <c r="CQ13" s="2350"/>
      <c r="CR13" s="2315"/>
      <c r="CS13" s="2315"/>
      <c r="CT13" s="2315"/>
      <c r="CU13" s="2350"/>
      <c r="CV13" s="2350"/>
      <c r="CW13" s="2350"/>
      <c r="CX13" s="2350"/>
      <c r="CY13" s="2315"/>
      <c r="CZ13" s="2315"/>
      <c r="DA13" s="2315"/>
      <c r="DB13" s="2315"/>
      <c r="DC13" s="2350"/>
      <c r="DD13" s="2350"/>
      <c r="DE13" s="2315"/>
      <c r="DF13" s="2315"/>
      <c r="DG13" s="2315"/>
      <c r="DH13" s="2350"/>
      <c r="DI13" s="2350"/>
      <c r="DJ13" s="2350"/>
      <c r="DK13" s="2350"/>
      <c r="DL13" s="2315"/>
      <c r="DM13" s="2315"/>
      <c r="DN13" s="2350"/>
      <c r="DO13" s="2350"/>
      <c r="DP13" s="2315"/>
      <c r="DQ13" s="2315"/>
      <c r="DR13" s="2315"/>
      <c r="DS13" s="2315"/>
      <c r="DT13" s="2315"/>
      <c r="DU13" s="2315"/>
      <c r="DV13" s="2350"/>
      <c r="DW13" s="2315"/>
      <c r="DX13" s="2315"/>
      <c r="DY13" s="2315"/>
      <c r="DZ13" s="2350"/>
      <c r="EA13" s="2350"/>
      <c r="EB13" s="2315"/>
      <c r="EC13" s="2315"/>
      <c r="ED13" s="2350"/>
      <c r="EE13" s="2350"/>
      <c r="EF13" s="2315"/>
      <c r="EG13" s="2350"/>
      <c r="EH13" s="2315"/>
      <c r="EI13" s="2350"/>
      <c r="EJ13" s="2350"/>
      <c r="EK13" s="2315"/>
      <c r="EL13" s="2350"/>
      <c r="EM13" s="2350"/>
      <c r="EN13" s="2350"/>
      <c r="EO13" s="2350"/>
      <c r="EP13" s="2350"/>
      <c r="EQ13" s="2315"/>
      <c r="ER13" s="2350"/>
      <c r="ES13" s="2350"/>
      <c r="ET13" s="2350"/>
      <c r="EU13" s="2350"/>
      <c r="EV13" s="2350"/>
      <c r="EW13" s="2350"/>
      <c r="EX13" s="2350"/>
      <c r="EY13" s="2350"/>
      <c r="EZ13" s="2350"/>
      <c r="FA13" s="2315"/>
      <c r="FB13" s="2350"/>
      <c r="FC13" s="2315">
        <v>200</v>
      </c>
      <c r="FD13" s="2315">
        <v>200</v>
      </c>
      <c r="FE13" s="2315"/>
      <c r="FF13" s="2315"/>
      <c r="FG13" s="2315"/>
      <c r="FH13" s="2315"/>
      <c r="FI13" s="2350"/>
      <c r="FJ13" s="2350"/>
      <c r="FK13" s="2350"/>
      <c r="FL13" s="2350"/>
      <c r="FM13" s="2350"/>
      <c r="FN13" s="2350"/>
      <c r="FO13" s="2350"/>
      <c r="FP13" s="3645">
        <v>988</v>
      </c>
      <c r="FQ13" s="2315"/>
      <c r="FR13" s="2350"/>
      <c r="FS13" s="2350"/>
      <c r="FT13" s="2315"/>
      <c r="FU13" s="2315"/>
      <c r="FV13" s="2315"/>
      <c r="FW13" s="2315"/>
      <c r="FX13" s="2315"/>
      <c r="FY13" s="2315"/>
      <c r="FZ13" s="2315"/>
      <c r="GA13" s="2315"/>
      <c r="GB13" s="2315"/>
      <c r="GC13" s="2315">
        <v>200</v>
      </c>
      <c r="GD13" s="2350"/>
      <c r="GE13" s="2315"/>
      <c r="GF13" s="2350"/>
      <c r="GG13" s="2315"/>
      <c r="GH13" s="2315"/>
      <c r="GI13" s="2315"/>
      <c r="GJ13" s="2315"/>
      <c r="GK13" s="2350"/>
      <c r="GL13" s="2350"/>
      <c r="GM13" s="2350"/>
      <c r="GN13" s="2315"/>
      <c r="GO13" s="2315"/>
      <c r="GP13" s="2315"/>
      <c r="GQ13" s="2350"/>
      <c r="GR13" s="2315"/>
      <c r="GS13" s="2315"/>
      <c r="GT13" s="2315">
        <v>145</v>
      </c>
      <c r="GU13" s="2315"/>
      <c r="GV13" s="2350"/>
      <c r="GW13" s="2315"/>
      <c r="GX13" s="2350"/>
      <c r="GY13" s="2315"/>
      <c r="GZ13" s="2315"/>
      <c r="HA13" s="2350"/>
      <c r="HB13" s="2350"/>
      <c r="HC13" s="2350"/>
      <c r="HD13" s="2315"/>
      <c r="HE13" s="2350"/>
      <c r="HF13" s="2315"/>
      <c r="HG13" s="2315"/>
      <c r="HH13" s="2315"/>
      <c r="HI13" s="2350"/>
      <c r="HJ13" s="2350"/>
      <c r="HK13" s="2350"/>
      <c r="HL13" s="2350"/>
      <c r="HM13" s="2350"/>
      <c r="HN13" s="2350"/>
      <c r="HO13" s="2315">
        <v>200</v>
      </c>
      <c r="HP13" s="2315"/>
      <c r="HQ13" s="2315"/>
      <c r="HR13" s="2350"/>
      <c r="HS13" s="2315"/>
      <c r="HT13" s="2350"/>
      <c r="HU13" s="2315"/>
      <c r="HV13" s="2315"/>
      <c r="HW13" s="2350"/>
      <c r="HX13" s="2350"/>
      <c r="HY13" s="2315"/>
      <c r="HZ13" s="2315"/>
      <c r="IA13" s="2350"/>
      <c r="IB13" s="2350"/>
      <c r="IC13" s="2350"/>
      <c r="ID13" s="2315"/>
      <c r="IE13" s="2315"/>
      <c r="IF13" s="2350"/>
      <c r="IG13" s="2350">
        <v>15</v>
      </c>
      <c r="IH13" s="2350"/>
      <c r="II13" s="2350"/>
      <c r="IJ13" s="2350"/>
      <c r="IK13" s="2350"/>
      <c r="IL13" s="2350"/>
      <c r="IM13" s="2350"/>
      <c r="IN13" s="2350"/>
      <c r="IO13" s="2350"/>
      <c r="IP13" s="2350"/>
      <c r="IQ13" s="2350"/>
      <c r="IR13" s="3503">
        <v>19</v>
      </c>
      <c r="IS13" s="2350"/>
      <c r="IT13" s="3986"/>
      <c r="IU13" s="2350"/>
      <c r="IV13" s="2350"/>
      <c r="IW13" s="3986"/>
      <c r="IX13" s="2350"/>
      <c r="IY13" s="2350"/>
      <c r="IZ13" s="2350"/>
      <c r="JA13" s="2350"/>
      <c r="JB13" s="2350"/>
      <c r="JC13" s="2350"/>
      <c r="JD13" s="2350"/>
      <c r="JE13" s="2350"/>
      <c r="JF13" s="2350"/>
      <c r="JG13" s="3745"/>
      <c r="JH13" s="1233"/>
      <c r="JI13" s="1229" t="s">
        <v>5097</v>
      </c>
      <c r="JJ13" s="1686" t="s">
        <v>6124</v>
      </c>
    </row>
    <row ht="12.75" r="14" spans="1:270" x14ac:dyDescent="0.2">
      <c r="A14" s="1128">
        <v>5</v>
      </c>
      <c r="B14" s="1254" t="str">
        <f si="0" t="shared"/>
        <v/>
      </c>
      <c r="C14" s="1530" t="s">
        <v>590</v>
      </c>
      <c r="D14" s="672" t="s">
        <v>2436</v>
      </c>
      <c r="E14" s="2350"/>
      <c r="F14" s="2315"/>
      <c r="G14" s="2315"/>
      <c r="H14" s="2350">
        <v>8500</v>
      </c>
      <c r="I14" s="2315"/>
      <c r="J14" s="2315">
        <v>4250</v>
      </c>
      <c r="K14" s="2315"/>
      <c r="L14" s="2315"/>
      <c r="M14" s="2315">
        <v>1510</v>
      </c>
      <c r="N14" s="2350">
        <v>16000</v>
      </c>
      <c r="O14" s="2315"/>
      <c r="P14" s="2314">
        <f>DTA+2555</f>
        <v>4555</v>
      </c>
      <c r="Q14" s="2315"/>
      <c r="R14" s="2315"/>
      <c r="S14" s="2315"/>
      <c r="T14" s="2315"/>
      <c r="U14" s="2315"/>
      <c r="V14" s="2350"/>
      <c r="W14" s="2353">
        <f>DTA+4000</f>
        <v>6000</v>
      </c>
      <c r="X14" s="2314">
        <f>BR_band-12000</f>
        <v>25500</v>
      </c>
      <c r="Y14" s="2353">
        <f>DTA+9238</f>
        <v>11238</v>
      </c>
      <c r="Z14" s="2315">
        <v>1510</v>
      </c>
      <c r="AA14" s="2315"/>
      <c r="AB14" s="2350">
        <v>11166</v>
      </c>
      <c r="AC14" s="2315"/>
      <c r="AD14" s="3503">
        <v>997</v>
      </c>
      <c r="AE14" s="3503"/>
      <c r="AF14" s="3503">
        <v>16000</v>
      </c>
      <c r="AG14" s="3503">
        <v>21000</v>
      </c>
      <c r="AH14" s="3503">
        <v>55000</v>
      </c>
      <c r="AI14" s="2350"/>
      <c r="AJ14" s="2350">
        <v>27868</v>
      </c>
      <c r="AK14" s="2315">
        <v>828319.1</v>
      </c>
      <c r="AL14" s="2315">
        <v>828319.1</v>
      </c>
      <c r="AM14" s="2315"/>
      <c r="AN14" s="2315">
        <v>828319.1</v>
      </c>
      <c r="AO14" s="2315">
        <v>5009.93</v>
      </c>
      <c r="AP14" s="2350"/>
      <c r="AQ14" s="2315">
        <v>5009.93</v>
      </c>
      <c r="AR14" s="2315">
        <v>5009.93</v>
      </c>
      <c r="AS14" s="2315"/>
      <c r="AT14" s="2315"/>
      <c r="AU14" s="2315"/>
      <c r="AV14" s="2315"/>
      <c r="AW14" s="2315"/>
      <c r="AX14" s="2315">
        <v>1510</v>
      </c>
      <c r="AY14" s="2315">
        <v>32000</v>
      </c>
      <c r="AZ14" s="2315">
        <v>32000</v>
      </c>
      <c r="BA14" s="2315"/>
      <c r="BB14" s="2315"/>
      <c r="BC14" s="2315"/>
      <c r="BD14" s="2315">
        <v>1510</v>
      </c>
      <c r="BE14" s="3706">
        <v>32139</v>
      </c>
      <c r="BF14" s="2315"/>
      <c r="BG14" s="3945">
        <v>29122</v>
      </c>
      <c r="BH14" s="3945">
        <v>2000</v>
      </c>
      <c r="BI14" s="3945">
        <f>BR_band-6500</f>
        <v>31000</v>
      </c>
      <c r="BJ14" s="2350"/>
      <c r="BK14" s="3945"/>
      <c r="BL14" s="2315">
        <v>5009.93</v>
      </c>
      <c r="BM14" s="2315"/>
      <c r="BN14" s="2315"/>
      <c r="BO14" s="2315">
        <v>828319.1</v>
      </c>
      <c r="BP14" s="2350"/>
      <c r="BQ14" s="2315">
        <v>3678</v>
      </c>
      <c r="BR14" s="2315"/>
      <c r="BS14" s="2315">
        <v>2450</v>
      </c>
      <c r="BT14" s="2315"/>
      <c r="BU14" s="2315"/>
      <c r="BV14" s="2315"/>
      <c r="BW14" s="2315">
        <v>1510</v>
      </c>
      <c r="BX14" s="2315"/>
      <c r="BY14" s="2315"/>
      <c r="BZ14" s="2315"/>
      <c r="CA14" s="2315">
        <v>5009.93</v>
      </c>
      <c r="CB14" s="3945">
        <v>20000</v>
      </c>
      <c r="CC14" s="2350"/>
      <c r="CD14" s="2350"/>
      <c r="CE14" s="2350"/>
      <c r="CF14" s="2315">
        <v>828319.1</v>
      </c>
      <c r="CG14" s="2315">
        <v>128</v>
      </c>
      <c r="CH14" s="2315"/>
      <c r="CI14" s="2315">
        <v>5009.93</v>
      </c>
      <c r="CJ14" s="2315">
        <v>1510</v>
      </c>
      <c r="CK14" s="2315">
        <v>128</v>
      </c>
      <c r="CL14" s="2315">
        <v>5009.93</v>
      </c>
      <c r="CM14" s="2350"/>
      <c r="CN14" s="2350"/>
      <c r="CO14" s="2350"/>
      <c r="CP14" s="2350">
        <v>42769</v>
      </c>
      <c r="CQ14" s="2350"/>
      <c r="CR14" s="2315">
        <v>828319.1</v>
      </c>
      <c r="CS14" s="2315">
        <v>828319.1</v>
      </c>
      <c r="CT14" s="2315">
        <v>1510</v>
      </c>
      <c r="CU14" s="2350"/>
      <c r="CV14" s="2350"/>
      <c r="CW14" s="2350"/>
      <c r="CX14" s="2350"/>
      <c r="CY14" s="2315"/>
      <c r="CZ14" s="2315"/>
      <c r="DA14" s="2315"/>
      <c r="DB14" s="3706">
        <v>77283</v>
      </c>
      <c r="DC14" s="2350"/>
      <c r="DD14" s="2350"/>
      <c r="DE14" s="2315"/>
      <c r="DF14" s="2315">
        <v>128</v>
      </c>
      <c r="DG14" s="2315"/>
      <c r="DH14" s="2350"/>
      <c r="DI14" s="2350"/>
      <c r="DJ14" s="2350"/>
      <c r="DK14" s="2350"/>
      <c r="DL14" s="2315"/>
      <c r="DM14" s="2315">
        <v>1510</v>
      </c>
      <c r="DN14" s="2350"/>
      <c r="DO14" s="2350"/>
      <c r="DP14" s="2315">
        <v>128</v>
      </c>
      <c r="DQ14" s="2315"/>
      <c r="DR14" s="2315">
        <v>128</v>
      </c>
      <c r="DS14" s="2315">
        <v>128</v>
      </c>
      <c r="DT14" s="2315"/>
      <c r="DU14" s="2315"/>
      <c r="DV14" s="2350"/>
      <c r="DW14" s="2315">
        <v>1602</v>
      </c>
      <c r="DX14" s="2315">
        <v>2450</v>
      </c>
      <c r="DY14" s="2315">
        <v>1510</v>
      </c>
      <c r="DZ14" s="2350"/>
      <c r="EA14" s="2350"/>
      <c r="EB14" s="2315">
        <v>128</v>
      </c>
      <c r="EC14" s="2315">
        <v>828319.1</v>
      </c>
      <c r="ED14" s="2350"/>
      <c r="EE14" s="2350"/>
      <c r="EF14" s="2315">
        <v>2450</v>
      </c>
      <c r="EG14" s="2350"/>
      <c r="EH14" s="2315">
        <v>1510</v>
      </c>
      <c r="EI14" s="2350"/>
      <c r="EJ14" s="2350"/>
      <c r="EK14" s="2315">
        <v>5009.93</v>
      </c>
      <c r="EL14" s="3945">
        <v>98000</v>
      </c>
      <c r="EM14" s="2350"/>
      <c r="EN14" s="2350"/>
      <c r="EO14" s="2350"/>
      <c r="EP14" s="2350"/>
      <c r="EQ14" s="2315"/>
      <c r="ER14" s="2350"/>
      <c r="ES14" s="2350"/>
      <c r="ET14" s="2350"/>
      <c r="EU14" s="2350"/>
      <c r="EV14" s="2350"/>
      <c r="EW14" s="2350"/>
      <c r="EX14" s="2350"/>
      <c r="EY14" s="2350"/>
      <c r="EZ14" s="2350"/>
      <c r="FA14" s="2315">
        <v>5009.93</v>
      </c>
      <c r="FB14" s="2350"/>
      <c r="FC14" s="2315"/>
      <c r="FD14" s="2315"/>
      <c r="FE14" s="2315">
        <v>128</v>
      </c>
      <c r="FF14" s="2315">
        <v>128</v>
      </c>
      <c r="FG14" s="2315">
        <v>128</v>
      </c>
      <c r="FH14" s="2315">
        <v>128</v>
      </c>
      <c r="FI14" s="2350"/>
      <c r="FJ14" s="2350"/>
      <c r="FK14" s="2350"/>
      <c r="FL14" s="2350"/>
      <c r="FM14" s="2350"/>
      <c r="FN14" s="2350"/>
      <c r="FO14" s="2350"/>
      <c r="FP14" s="2350"/>
      <c r="FQ14" s="2315">
        <v>128</v>
      </c>
      <c r="FR14" s="2350"/>
      <c r="FS14" s="2350"/>
      <c r="FT14" s="2315">
        <v>128</v>
      </c>
      <c r="FU14" s="2315">
        <v>128</v>
      </c>
      <c r="FV14" s="2315">
        <v>128</v>
      </c>
      <c r="FW14" s="2315">
        <v>128</v>
      </c>
      <c r="FX14" s="2315">
        <v>92000</v>
      </c>
      <c r="FY14" s="2315"/>
      <c r="FZ14" s="2315"/>
      <c r="GA14" s="2315"/>
      <c r="GB14" s="2315"/>
      <c r="GC14" s="2315"/>
      <c r="GD14" s="2350"/>
      <c r="GE14" s="2315"/>
      <c r="GF14" s="2350"/>
      <c r="GG14" s="2315">
        <v>5009.93</v>
      </c>
      <c r="GH14" s="2315">
        <v>2450</v>
      </c>
      <c r="GI14" s="2315"/>
      <c r="GJ14" s="2315">
        <v>128</v>
      </c>
      <c r="GK14" s="2350"/>
      <c r="GL14" s="2350"/>
      <c r="GM14" s="2350"/>
      <c r="GN14" s="2315"/>
      <c r="GO14" s="2315"/>
      <c r="GP14" s="2315"/>
      <c r="GQ14" s="2350"/>
      <c r="GR14" s="2315"/>
      <c r="GS14" s="2315">
        <v>828319.1</v>
      </c>
      <c r="GT14" s="2315">
        <v>12450</v>
      </c>
      <c r="GU14" s="2315"/>
      <c r="GV14" s="2350"/>
      <c r="GW14" s="2315"/>
      <c r="GX14" s="2350"/>
      <c r="GY14" s="2315"/>
      <c r="GZ14" s="2315">
        <v>1510</v>
      </c>
      <c r="HA14" s="2350"/>
      <c r="HB14" s="2350"/>
      <c r="HC14" s="2350"/>
      <c r="HD14" s="2315">
        <v>128</v>
      </c>
      <c r="HE14" s="2350"/>
      <c r="HF14" s="2315"/>
      <c r="HG14" s="2315"/>
      <c r="HH14" s="2315">
        <v>128</v>
      </c>
      <c r="HI14" s="2350"/>
      <c r="HJ14" s="2350"/>
      <c r="HK14" s="2350"/>
      <c r="HL14" s="2350"/>
      <c r="HM14" s="2350"/>
      <c r="HN14" s="2350"/>
      <c r="HO14" s="2315"/>
      <c r="HP14" s="2315">
        <v>2450</v>
      </c>
      <c r="HQ14" s="2315">
        <v>2450</v>
      </c>
      <c r="HR14" s="2350"/>
      <c r="HS14" s="2315">
        <v>1510</v>
      </c>
      <c r="HT14" s="2350">
        <v>57011</v>
      </c>
      <c r="HU14" s="2315">
        <v>32000</v>
      </c>
      <c r="HV14" s="2315">
        <v>828319.1</v>
      </c>
      <c r="HW14" s="2350">
        <v>5999</v>
      </c>
      <c r="HX14" s="2350">
        <v>16000</v>
      </c>
      <c r="HY14" s="2314">
        <f>DTA+2555</f>
        <v>4555</v>
      </c>
      <c r="HZ14" s="2314">
        <f>BR_band-12000</f>
        <v>25500</v>
      </c>
      <c r="IA14" s="2353">
        <f>DTA+9238</f>
        <v>11238</v>
      </c>
      <c r="IB14" s="2350">
        <v>11166</v>
      </c>
      <c r="IC14" s="2353">
        <f>DTA+4000</f>
        <v>6000</v>
      </c>
      <c r="ID14" s="2314">
        <f>DTA+495</f>
        <v>2495</v>
      </c>
      <c r="IE14" s="2314">
        <f>BR_band+11659</f>
        <v>49159</v>
      </c>
      <c r="IF14" s="2350">
        <v>69088</v>
      </c>
      <c r="IG14" s="2350">
        <v>66572</v>
      </c>
      <c r="IH14" s="2350">
        <v>42924</v>
      </c>
      <c r="II14" s="2350"/>
      <c r="IJ14" s="2350">
        <v>10000</v>
      </c>
      <c r="IK14" s="2350">
        <v>16000</v>
      </c>
      <c r="IL14" s="2350">
        <v>10000</v>
      </c>
      <c r="IM14" s="2350"/>
      <c r="IN14" s="2350">
        <v>151</v>
      </c>
      <c r="IO14" s="2350"/>
      <c r="IP14" s="3503">
        <v>2199</v>
      </c>
      <c r="IQ14" s="2350"/>
      <c r="IR14" s="2350"/>
      <c r="IS14" s="2350"/>
      <c r="IT14" s="4014">
        <v>534873</v>
      </c>
      <c r="IU14" s="2350"/>
      <c r="IV14" s="2350"/>
      <c r="IW14" s="4014">
        <v>2735</v>
      </c>
      <c r="IX14" s="4014">
        <v>5078</v>
      </c>
      <c r="IY14" s="4014">
        <v>68</v>
      </c>
      <c r="IZ14" s="4014">
        <v>806</v>
      </c>
      <c r="JA14" s="4014">
        <v>5134</v>
      </c>
      <c r="JB14" s="4014">
        <v>9436</v>
      </c>
      <c r="JC14" s="3503">
        <v>11360</v>
      </c>
      <c r="JD14" s="3503">
        <v>10500</v>
      </c>
      <c r="JE14" s="3503">
        <v>160000</v>
      </c>
      <c r="JF14" s="3503">
        <v>8050</v>
      </c>
      <c r="JG14" s="3745"/>
      <c r="JH14" s="1233"/>
      <c r="JI14" s="1229"/>
      <c r="JJ14" s="1686" t="s">
        <v>6124</v>
      </c>
    </row>
    <row ht="12.75" r="15" spans="1:270" x14ac:dyDescent="0.2">
      <c r="A15" s="1128">
        <v>6</v>
      </c>
      <c r="B15" s="1254">
        <f si="0" t="shared"/>
        <v>12750</v>
      </c>
      <c r="C15" s="1530" t="s">
        <v>591</v>
      </c>
      <c r="D15" s="672" t="s">
        <v>4481</v>
      </c>
      <c r="E15" s="2354"/>
      <c r="F15" s="2355"/>
      <c r="G15" s="2315">
        <v>12750</v>
      </c>
      <c r="H15" s="2350"/>
      <c r="I15" s="2355"/>
      <c r="J15" s="2355"/>
      <c r="K15" s="2355"/>
      <c r="L15" s="2355"/>
      <c r="M15" s="2315"/>
      <c r="N15" s="2350"/>
      <c r="O15" s="2315">
        <v>12750</v>
      </c>
      <c r="P15" s="2350"/>
      <c r="Q15" s="2355"/>
      <c r="R15" s="2355">
        <v>12750</v>
      </c>
      <c r="S15" s="2315">
        <v>12750</v>
      </c>
      <c r="T15" s="2315">
        <v>12750</v>
      </c>
      <c r="U15" s="2315">
        <v>12750</v>
      </c>
      <c r="V15" s="2350"/>
      <c r="W15" s="2350"/>
      <c r="X15" s="2350"/>
      <c r="Y15" s="2350"/>
      <c r="Z15" s="2315"/>
      <c r="AA15" s="2315">
        <v>12750</v>
      </c>
      <c r="AB15" s="2350"/>
      <c r="AC15" s="2315">
        <v>12750</v>
      </c>
      <c r="AD15" s="2350"/>
      <c r="AE15" s="2350"/>
      <c r="AF15" s="2350"/>
      <c r="AG15" s="2350"/>
      <c r="AH15" s="2350"/>
      <c r="AI15" s="2350"/>
      <c r="AJ15" s="2350"/>
      <c r="AK15" s="2355"/>
      <c r="AL15" s="2355"/>
      <c r="AM15" s="2315">
        <v>12750</v>
      </c>
      <c r="AN15" s="2355"/>
      <c r="AO15" s="2355">
        <v>224.47</v>
      </c>
      <c r="AP15" s="2350"/>
      <c r="AQ15" s="2355">
        <v>224.47</v>
      </c>
      <c r="AR15" s="2355">
        <v>224.47</v>
      </c>
      <c r="AS15" s="2315"/>
      <c r="AT15" s="2315">
        <v>12750</v>
      </c>
      <c r="AU15" s="2315">
        <v>12750</v>
      </c>
      <c r="AV15" s="2315"/>
      <c r="AW15" s="2355"/>
      <c r="AX15" s="2315"/>
      <c r="AY15" s="2355"/>
      <c r="AZ15" s="2355"/>
      <c r="BA15" s="2355"/>
      <c r="BB15" s="2355"/>
      <c r="BC15" s="2355"/>
      <c r="BD15" s="2315"/>
      <c r="BE15" s="2315"/>
      <c r="BF15" s="2355"/>
      <c r="BG15" s="2354"/>
      <c r="BH15" s="2354"/>
      <c r="BI15" s="2355"/>
      <c r="BJ15" s="2350"/>
      <c r="BK15" s="3945"/>
      <c r="BL15" s="2355">
        <v>224.47</v>
      </c>
      <c r="BM15" s="2315"/>
      <c r="BN15" s="2355"/>
      <c r="BO15" s="2355"/>
      <c r="BP15" s="2354"/>
      <c r="BQ15" s="2315"/>
      <c r="BR15" s="2315">
        <v>12750</v>
      </c>
      <c r="BS15" s="2355"/>
      <c r="BT15" s="2355">
        <v>12750</v>
      </c>
      <c r="BU15" s="2315">
        <v>12750</v>
      </c>
      <c r="BV15" s="2355"/>
      <c r="BW15" s="2315"/>
      <c r="BX15" s="2315">
        <v>12750</v>
      </c>
      <c r="BY15" s="2315">
        <v>12750</v>
      </c>
      <c r="BZ15" s="2315"/>
      <c r="CA15" s="2355">
        <v>224.47</v>
      </c>
      <c r="CB15" s="2354"/>
      <c r="CC15" s="2354"/>
      <c r="CD15" s="2354"/>
      <c r="CE15" s="2354"/>
      <c r="CF15" s="2355"/>
      <c r="CG15" s="2315"/>
      <c r="CH15" s="2355">
        <v>12750</v>
      </c>
      <c r="CI15" s="2355">
        <v>224.47</v>
      </c>
      <c r="CJ15" s="2315"/>
      <c r="CK15" s="2315"/>
      <c r="CL15" s="2355">
        <v>224.47</v>
      </c>
      <c r="CM15" s="2354"/>
      <c r="CN15" s="2354"/>
      <c r="CO15" s="2354"/>
      <c r="CP15" s="2350">
        <v>7965</v>
      </c>
      <c r="CQ15" s="2354"/>
      <c r="CR15" s="2355"/>
      <c r="CS15" s="2355"/>
      <c r="CT15" s="2315"/>
      <c r="CU15" s="2354"/>
      <c r="CV15" s="2354"/>
      <c r="CW15" s="2354"/>
      <c r="CX15" s="2354"/>
      <c r="CY15" s="2355"/>
      <c r="CZ15" s="2355">
        <v>12750</v>
      </c>
      <c r="DA15" s="2355">
        <v>12750</v>
      </c>
      <c r="DB15" s="2355"/>
      <c r="DC15" s="2354"/>
      <c r="DD15" s="2354"/>
      <c r="DE15" s="2315"/>
      <c r="DF15" s="2315"/>
      <c r="DG15" s="2315">
        <v>12750</v>
      </c>
      <c r="DH15" s="2354"/>
      <c r="DI15" s="2354"/>
      <c r="DJ15" s="2354"/>
      <c r="DK15" s="2354"/>
      <c r="DL15" s="2315"/>
      <c r="DM15" s="2315"/>
      <c r="DN15" s="2354"/>
      <c r="DO15" s="2354"/>
      <c r="DP15" s="2315"/>
      <c r="DQ15" s="2315"/>
      <c r="DR15" s="2315"/>
      <c r="DS15" s="2315"/>
      <c r="DT15" s="2355">
        <v>12750</v>
      </c>
      <c r="DU15" s="2315"/>
      <c r="DV15" s="2354"/>
      <c r="DW15" s="2315"/>
      <c r="DX15" s="2355"/>
      <c r="DY15" s="2315"/>
      <c r="DZ15" s="2354"/>
      <c r="EA15" s="2354"/>
      <c r="EB15" s="2315"/>
      <c r="EC15" s="2355"/>
      <c r="ED15" s="2354"/>
      <c r="EE15" s="2354"/>
      <c r="EF15" s="2355"/>
      <c r="EG15" s="2354"/>
      <c r="EH15" s="2315"/>
      <c r="EI15" s="2354"/>
      <c r="EJ15" s="2354"/>
      <c r="EK15" s="2355">
        <v>224.47</v>
      </c>
      <c r="EL15" s="2354"/>
      <c r="EM15" s="2354"/>
      <c r="EN15" s="2354"/>
      <c r="EO15" s="2354"/>
      <c r="EP15" s="2354"/>
      <c r="EQ15" s="2315"/>
      <c r="ER15" s="2354"/>
      <c r="ES15" s="2354"/>
      <c r="ET15" s="2354"/>
      <c r="EU15" s="2354"/>
      <c r="EV15" s="2354"/>
      <c r="EW15" s="2354"/>
      <c r="EX15" s="2354"/>
      <c r="EY15" s="2354"/>
      <c r="EZ15" s="2354"/>
      <c r="FA15" s="2355">
        <v>224.47</v>
      </c>
      <c r="FB15" s="2354"/>
      <c r="FC15" s="2355"/>
      <c r="FD15" s="2355"/>
      <c r="FE15" s="2315"/>
      <c r="FF15" s="2315"/>
      <c r="FG15" s="2315"/>
      <c r="FH15" s="2315"/>
      <c r="FI15" s="2354"/>
      <c r="FJ15" s="2354"/>
      <c r="FK15" s="2354"/>
      <c r="FL15" s="2354"/>
      <c r="FM15" s="2354"/>
      <c r="FN15" s="2354"/>
      <c r="FO15" s="2354"/>
      <c r="FP15" s="2354"/>
      <c r="FQ15" s="2315"/>
      <c r="FR15" s="2354"/>
      <c r="FS15" s="2354"/>
      <c r="FT15" s="2315"/>
      <c r="FU15" s="2315"/>
      <c r="FV15" s="2315"/>
      <c r="FW15" s="2315"/>
      <c r="FX15" s="2355"/>
      <c r="FY15" s="2355"/>
      <c r="FZ15" s="2355"/>
      <c r="GA15" s="2355"/>
      <c r="GB15" s="2355"/>
      <c r="GC15" s="2355"/>
      <c r="GD15" s="2354"/>
      <c r="GE15" s="2315">
        <v>12750</v>
      </c>
      <c r="GF15" s="2354"/>
      <c r="GG15" s="2355">
        <v>224.47</v>
      </c>
      <c r="GH15" s="2355"/>
      <c r="GI15" s="2315"/>
      <c r="GJ15" s="2315"/>
      <c r="GK15" s="2354"/>
      <c r="GL15" s="2354"/>
      <c r="GM15" s="2354"/>
      <c r="GN15" s="2315"/>
      <c r="GO15" s="2315"/>
      <c r="GP15" s="2315">
        <v>12750</v>
      </c>
      <c r="GQ15" s="2354"/>
      <c r="GR15" s="2315">
        <v>12750</v>
      </c>
      <c r="GS15" s="2355"/>
      <c r="GT15" s="2315">
        <v>378</v>
      </c>
      <c r="GU15" s="2315">
        <v>12750</v>
      </c>
      <c r="GV15" s="2354"/>
      <c r="GW15" s="2315">
        <v>12750</v>
      </c>
      <c r="GX15" s="2354"/>
      <c r="GY15" s="2355"/>
      <c r="GZ15" s="2315"/>
      <c r="HA15" s="2354"/>
      <c r="HB15" s="2354"/>
      <c r="HC15" s="2354"/>
      <c r="HD15" s="2315"/>
      <c r="HE15" s="2354"/>
      <c r="HF15" s="2355"/>
      <c r="HG15" s="2355"/>
      <c r="HH15" s="2315"/>
      <c r="HI15" s="2354"/>
      <c r="HJ15" s="2354">
        <v>2038</v>
      </c>
      <c r="HK15" s="2354"/>
      <c r="HL15" s="2354"/>
      <c r="HM15" s="2354"/>
      <c r="HN15" s="2354"/>
      <c r="HO15" s="2355"/>
      <c r="HP15" s="2355"/>
      <c r="HQ15" s="2355"/>
      <c r="HR15" s="2354"/>
      <c r="HS15" s="2315"/>
      <c r="HT15" s="2354"/>
      <c r="HU15" s="2355"/>
      <c r="HV15" s="2355"/>
      <c r="HW15" s="2350"/>
      <c r="HX15" s="2350"/>
      <c r="HY15" s="2350"/>
      <c r="HZ15" s="2350"/>
      <c r="IA15" s="2350"/>
      <c r="IB15" s="2350"/>
      <c r="IC15" s="2350"/>
      <c r="ID15" s="2354"/>
      <c r="IE15" s="2354"/>
      <c r="IF15" s="2354">
        <v>21614</v>
      </c>
      <c r="IG15" s="2354"/>
      <c r="IH15" s="2354">
        <v>16393</v>
      </c>
      <c r="II15" s="2354"/>
      <c r="IJ15" s="2354"/>
      <c r="IK15" s="2354"/>
      <c r="IL15" s="2354"/>
      <c r="IM15" s="2354"/>
      <c r="IN15" s="2354"/>
      <c r="IO15" s="2354"/>
      <c r="IP15" s="3503">
        <v>998</v>
      </c>
      <c r="IQ15" s="2354"/>
      <c r="IR15" s="2354"/>
      <c r="IS15" s="2354"/>
      <c r="IT15" s="4014">
        <v>13003</v>
      </c>
      <c r="IU15" s="2354"/>
      <c r="IV15" s="2354"/>
      <c r="IW15" s="2354"/>
      <c r="IX15" s="4014">
        <v>817</v>
      </c>
      <c r="IY15" s="2354"/>
      <c r="IZ15" s="2354"/>
      <c r="JA15" s="2354"/>
      <c r="JB15" s="2354"/>
      <c r="JC15" s="2354"/>
      <c r="JD15" s="2354"/>
      <c r="JE15" s="2354"/>
      <c r="JF15" s="2354"/>
      <c r="JG15" s="3745"/>
      <c r="JH15" s="1233"/>
      <c r="JI15" s="1229"/>
      <c r="JJ15" s="1686" t="s">
        <v>6124</v>
      </c>
    </row>
    <row ht="12.75" r="16" spans="1:270" x14ac:dyDescent="0.2">
      <c r="A16" s="1128">
        <v>7</v>
      </c>
      <c r="B16" s="1254" t="str">
        <f si="0" t="shared"/>
        <v/>
      </c>
      <c r="C16" s="1530" t="s">
        <v>592</v>
      </c>
      <c r="D16" s="672" t="s">
        <v>3898</v>
      </c>
      <c r="E16" s="2354"/>
      <c r="F16" s="2355"/>
      <c r="G16" s="2315"/>
      <c r="H16" s="2350"/>
      <c r="I16" s="2355"/>
      <c r="J16" s="2355"/>
      <c r="K16" s="2355"/>
      <c r="L16" s="2355"/>
      <c r="M16" s="2315"/>
      <c r="N16" s="2350"/>
      <c r="O16" s="2315"/>
      <c r="P16" s="2350"/>
      <c r="Q16" s="2355"/>
      <c r="R16" s="2355"/>
      <c r="S16" s="2315"/>
      <c r="T16" s="2315"/>
      <c r="U16" s="2315"/>
      <c r="V16" s="2350"/>
      <c r="W16" s="2350"/>
      <c r="X16" s="2350"/>
      <c r="Y16" s="2350"/>
      <c r="Z16" s="2315"/>
      <c r="AA16" s="2315"/>
      <c r="AB16" s="2350"/>
      <c r="AC16" s="2315"/>
      <c r="AD16" s="2350"/>
      <c r="AE16" s="2350"/>
      <c r="AF16" s="2350"/>
      <c r="AG16" s="2350"/>
      <c r="AH16" s="2350"/>
      <c r="AI16" s="2350"/>
      <c r="AJ16" s="2350"/>
      <c r="AK16" s="2355"/>
      <c r="AL16" s="2355"/>
      <c r="AM16" s="2315"/>
      <c r="AN16" s="2355"/>
      <c r="AO16" s="2355"/>
      <c r="AP16" s="2350"/>
      <c r="AQ16" s="2355"/>
      <c r="AR16" s="2355"/>
      <c r="AS16" s="2315"/>
      <c r="AT16" s="2315"/>
      <c r="AU16" s="2315"/>
      <c r="AV16" s="2315"/>
      <c r="AW16" s="2355"/>
      <c r="AX16" s="2315"/>
      <c r="AY16" s="2355"/>
      <c r="AZ16" s="2355"/>
      <c r="BA16" s="2355"/>
      <c r="BB16" s="2355"/>
      <c r="BC16" s="2355"/>
      <c r="BD16" s="2315"/>
      <c r="BE16" s="2315"/>
      <c r="BF16" s="2355"/>
      <c r="BG16" s="2354"/>
      <c r="BH16" s="2354"/>
      <c r="BI16" s="2355"/>
      <c r="BJ16" s="2350"/>
      <c r="BK16" s="2355"/>
      <c r="BL16" s="2355"/>
      <c r="BM16" s="2315"/>
      <c r="BN16" s="2355">
        <v>267</v>
      </c>
      <c r="BO16" s="2355"/>
      <c r="BP16" s="2354"/>
      <c r="BQ16" s="2355"/>
      <c r="BR16" s="2315"/>
      <c r="BS16" s="2355">
        <v>165</v>
      </c>
      <c r="BT16" s="2355"/>
      <c r="BU16" s="2315"/>
      <c r="BV16" s="2355"/>
      <c r="BW16" s="2315"/>
      <c r="BX16" s="2315"/>
      <c r="BY16" s="2315"/>
      <c r="BZ16" s="2315"/>
      <c r="CA16" s="2355"/>
      <c r="CB16" s="2354"/>
      <c r="CC16" s="2354"/>
      <c r="CD16" s="2354"/>
      <c r="CE16" s="2354"/>
      <c r="CF16" s="2355"/>
      <c r="CG16" s="2315"/>
      <c r="CH16" s="2355"/>
      <c r="CI16" s="2355"/>
      <c r="CJ16" s="2315"/>
      <c r="CK16" s="2315"/>
      <c r="CL16" s="2355"/>
      <c r="CM16" s="2354"/>
      <c r="CN16" s="2354"/>
      <c r="CO16" s="2354"/>
      <c r="CP16" s="2354"/>
      <c r="CQ16" s="2354"/>
      <c r="CR16" s="2355"/>
      <c r="CS16" s="2355"/>
      <c r="CT16" s="2315"/>
      <c r="CU16" s="2354"/>
      <c r="CV16" s="2354"/>
      <c r="CW16" s="2354"/>
      <c r="CX16" s="2354"/>
      <c r="CY16" s="2355">
        <v>267</v>
      </c>
      <c r="CZ16" s="2355"/>
      <c r="DA16" s="2355"/>
      <c r="DB16" s="2355">
        <v>165</v>
      </c>
      <c r="DC16" s="2354"/>
      <c r="DD16" s="2354"/>
      <c r="DE16" s="2315"/>
      <c r="DF16" s="2315"/>
      <c r="DG16" s="2315"/>
      <c r="DH16" s="2354"/>
      <c r="DI16" s="2354"/>
      <c r="DJ16" s="2354"/>
      <c r="DK16" s="2354"/>
      <c r="DL16" s="2315"/>
      <c r="DM16" s="2315"/>
      <c r="DN16" s="2354"/>
      <c r="DO16" s="2354"/>
      <c r="DP16" s="2315"/>
      <c r="DQ16" s="2315"/>
      <c r="DR16" s="2315"/>
      <c r="DS16" s="2315"/>
      <c r="DT16" s="2355"/>
      <c r="DU16" s="2315"/>
      <c r="DV16" s="2354"/>
      <c r="DW16" s="2315"/>
      <c r="DX16" s="2355">
        <v>165</v>
      </c>
      <c r="DY16" s="2315"/>
      <c r="DZ16" s="2354"/>
      <c r="EA16" s="2354"/>
      <c r="EB16" s="2315"/>
      <c r="EC16" s="2355"/>
      <c r="ED16" s="2354"/>
      <c r="EE16" s="2354"/>
      <c r="EF16" s="2355">
        <v>165</v>
      </c>
      <c r="EG16" s="2354"/>
      <c r="EH16" s="2315"/>
      <c r="EI16" s="2354"/>
      <c r="EJ16" s="2354"/>
      <c r="EK16" s="2355"/>
      <c r="EL16" s="2354"/>
      <c r="EM16" s="2354"/>
      <c r="EN16" s="2354"/>
      <c r="EO16" s="2354"/>
      <c r="EP16" s="2354"/>
      <c r="EQ16" s="2315"/>
      <c r="ER16" s="2354"/>
      <c r="ES16" s="2354"/>
      <c r="ET16" s="2354"/>
      <c r="EU16" s="2354"/>
      <c r="EV16" s="2354"/>
      <c r="EW16" s="2354"/>
      <c r="EX16" s="2354"/>
      <c r="EY16" s="2354"/>
      <c r="EZ16" s="2354"/>
      <c r="FA16" s="2355"/>
      <c r="FB16" s="2354"/>
      <c r="FC16" s="2355"/>
      <c r="FD16" s="2355"/>
      <c r="FE16" s="2315"/>
      <c r="FF16" s="2315"/>
      <c r="FG16" s="2315"/>
      <c r="FH16" s="2315"/>
      <c r="FI16" s="2354"/>
      <c r="FJ16" s="2354"/>
      <c r="FK16" s="2354"/>
      <c r="FL16" s="2354"/>
      <c r="FM16" s="2354"/>
      <c r="FN16" s="2354"/>
      <c r="FO16" s="2354"/>
      <c r="FP16" s="2354"/>
      <c r="FQ16" s="2315"/>
      <c r="FR16" s="2354"/>
      <c r="FS16" s="2354"/>
      <c r="FT16" s="2315"/>
      <c r="FU16" s="2315"/>
      <c r="FV16" s="2315"/>
      <c r="FW16" s="2315"/>
      <c r="FX16" s="2355"/>
      <c r="FY16" s="2355"/>
      <c r="FZ16" s="2355"/>
      <c r="GA16" s="2355"/>
      <c r="GB16" s="2355"/>
      <c r="GC16" s="2355"/>
      <c r="GD16" s="2354"/>
      <c r="GE16" s="2315"/>
      <c r="GF16" s="2354"/>
      <c r="GG16" s="2355"/>
      <c r="GH16" s="2355">
        <v>165</v>
      </c>
      <c r="GI16" s="2315"/>
      <c r="GJ16" s="2315"/>
      <c r="GK16" s="2354"/>
      <c r="GL16" s="2354"/>
      <c r="GM16" s="2354"/>
      <c r="GN16" s="2315"/>
      <c r="GO16" s="2315"/>
      <c r="GP16" s="2315"/>
      <c r="GQ16" s="2354"/>
      <c r="GR16" s="2315"/>
      <c r="GS16" s="2355"/>
      <c r="GT16" s="2355">
        <v>165</v>
      </c>
      <c r="GU16" s="2315"/>
      <c r="GV16" s="2354"/>
      <c r="GW16" s="2315"/>
      <c r="GX16" s="2354"/>
      <c r="GY16" s="2355"/>
      <c r="GZ16" s="2315"/>
      <c r="HA16" s="2354"/>
      <c r="HB16" s="2354"/>
      <c r="HC16" s="2354"/>
      <c r="HD16" s="2315"/>
      <c r="HE16" s="2354"/>
      <c r="HF16" s="2355"/>
      <c r="HG16" s="2355"/>
      <c r="HH16" s="2315"/>
      <c r="HI16" s="2354"/>
      <c r="HJ16" s="2354"/>
      <c r="HK16" s="2354"/>
      <c r="HL16" s="2354"/>
      <c r="HM16" s="2354"/>
      <c r="HN16" s="2354"/>
      <c r="HO16" s="2355"/>
      <c r="HP16" s="2355">
        <v>165</v>
      </c>
      <c r="HQ16" s="2355">
        <v>165</v>
      </c>
      <c r="HR16" s="2354"/>
      <c r="HS16" s="2315"/>
      <c r="HT16" s="2354"/>
      <c r="HU16" s="2355"/>
      <c r="HV16" s="2355"/>
      <c r="HW16" s="2350"/>
      <c r="HX16" s="2350"/>
      <c r="HY16" s="2350"/>
      <c r="HZ16" s="2350"/>
      <c r="IA16" s="2350"/>
      <c r="IB16" s="2350"/>
      <c r="IC16" s="2350"/>
      <c r="ID16" s="2354"/>
      <c r="IE16" s="2354"/>
      <c r="IF16" s="2354"/>
      <c r="IG16" s="2354">
        <v>89</v>
      </c>
      <c r="IH16" s="2354"/>
      <c r="II16" s="2354"/>
      <c r="IJ16" s="2354"/>
      <c r="IK16" s="2354"/>
      <c r="IL16" s="2354"/>
      <c r="IM16" s="2354"/>
      <c r="IN16" s="2354"/>
      <c r="IO16" s="2354"/>
      <c r="IP16" s="2354"/>
      <c r="IQ16" s="2354"/>
      <c r="IR16" s="2354"/>
      <c r="IS16" s="2354"/>
      <c r="IT16" s="2354"/>
      <c r="IU16" s="2354"/>
      <c r="IV16" s="2354"/>
      <c r="IW16" s="2354"/>
      <c r="IX16" s="2354"/>
      <c r="IY16" s="2354"/>
      <c r="IZ16" s="2354"/>
      <c r="JA16" s="2354"/>
      <c r="JB16" s="2354"/>
      <c r="JC16" s="2354"/>
      <c r="JD16" s="2354"/>
      <c r="JE16" s="2354"/>
      <c r="JF16" s="2354"/>
      <c r="JG16" s="3745"/>
      <c r="JH16" s="1233"/>
      <c r="JI16" s="1229"/>
      <c r="JJ16" s="1686" t="s">
        <v>6124</v>
      </c>
    </row>
    <row ht="13.5" r="17" spans="1:270" thickBot="1" x14ac:dyDescent="0.25">
      <c r="A17" s="1128">
        <v>8</v>
      </c>
      <c r="B17" s="1254" t="str">
        <f si="0" t="shared"/>
        <v/>
      </c>
      <c r="C17" s="1137" t="s">
        <v>593</v>
      </c>
      <c r="D17" s="1253" t="s">
        <v>4482</v>
      </c>
      <c r="E17" s="2356"/>
      <c r="F17" s="2357"/>
      <c r="G17" s="2358"/>
      <c r="H17" s="2359"/>
      <c r="I17" s="2357"/>
      <c r="J17" s="2357"/>
      <c r="K17" s="2357"/>
      <c r="L17" s="2357"/>
      <c r="M17" s="2358"/>
      <c r="N17" s="2359"/>
      <c r="O17" s="2358"/>
      <c r="P17" s="2359"/>
      <c r="Q17" s="2357"/>
      <c r="R17" s="2357"/>
      <c r="S17" s="2358"/>
      <c r="T17" s="2358"/>
      <c r="U17" s="2358"/>
      <c r="V17" s="2359"/>
      <c r="W17" s="2359"/>
      <c r="X17" s="2359"/>
      <c r="Y17" s="2359"/>
      <c r="Z17" s="2358"/>
      <c r="AA17" s="2358"/>
      <c r="AB17" s="2359"/>
      <c r="AC17" s="2358"/>
      <c r="AD17" s="2359"/>
      <c r="AE17" s="2359"/>
      <c r="AF17" s="2359"/>
      <c r="AG17" s="2359"/>
      <c r="AH17" s="2359"/>
      <c r="AI17" s="2359"/>
      <c r="AJ17" s="2359"/>
      <c r="AK17" s="2357"/>
      <c r="AL17" s="2357"/>
      <c r="AM17" s="2358"/>
      <c r="AN17" s="2357"/>
      <c r="AO17" s="2357"/>
      <c r="AP17" s="2359"/>
      <c r="AQ17" s="2357"/>
      <c r="AR17" s="2357"/>
      <c r="AS17" s="2358"/>
      <c r="AT17" s="2358"/>
      <c r="AU17" s="2358"/>
      <c r="AV17" s="2358"/>
      <c r="AW17" s="2357"/>
      <c r="AX17" s="2358"/>
      <c r="AY17" s="2357"/>
      <c r="AZ17" s="2357"/>
      <c r="BA17" s="2357"/>
      <c r="BB17" s="2357"/>
      <c r="BC17" s="2357"/>
      <c r="BD17" s="2358"/>
      <c r="BE17" s="2358"/>
      <c r="BF17" s="2357"/>
      <c r="BG17" s="2356"/>
      <c r="BH17" s="2356"/>
      <c r="BI17" s="2357"/>
      <c r="BJ17" s="2359"/>
      <c r="BK17" s="2357"/>
      <c r="BL17" s="2357"/>
      <c r="BM17" s="2358"/>
      <c r="BN17" s="2357">
        <v>80.099999999999994</v>
      </c>
      <c r="BO17" s="2357"/>
      <c r="BP17" s="2359"/>
      <c r="BQ17" s="2357"/>
      <c r="BR17" s="2358"/>
      <c r="BS17" s="2357">
        <v>14.9</v>
      </c>
      <c r="BT17" s="2357"/>
      <c r="BU17" s="2358"/>
      <c r="BV17" s="2357"/>
      <c r="BW17" s="2358"/>
      <c r="BX17" s="2358"/>
      <c r="BY17" s="2358"/>
      <c r="BZ17" s="2358"/>
      <c r="CA17" s="2357"/>
      <c r="CB17" s="2106"/>
      <c r="CC17" s="2106"/>
      <c r="CD17" s="2106"/>
      <c r="CE17" s="2106"/>
      <c r="CF17" s="2357"/>
      <c r="CG17" s="2358"/>
      <c r="CH17" s="2357"/>
      <c r="CI17" s="2357"/>
      <c r="CJ17" s="2358"/>
      <c r="CK17" s="2358"/>
      <c r="CL17" s="2357"/>
      <c r="CM17" s="2106"/>
      <c r="CN17" s="2106"/>
      <c r="CO17" s="2106"/>
      <c r="CP17" s="2106"/>
      <c r="CQ17" s="2106"/>
      <c r="CR17" s="2357"/>
      <c r="CS17" s="2357"/>
      <c r="CT17" s="2358"/>
      <c r="CU17" s="2106"/>
      <c r="CV17" s="2106"/>
      <c r="CW17" s="2106"/>
      <c r="CX17" s="2106"/>
      <c r="CY17" s="2357">
        <v>80.099999999999994</v>
      </c>
      <c r="CZ17" s="2357"/>
      <c r="DA17" s="2357"/>
      <c r="DB17" s="2357">
        <v>14.9</v>
      </c>
      <c r="DC17" s="2106"/>
      <c r="DD17" s="2106"/>
      <c r="DE17" s="2358"/>
      <c r="DF17" s="2358"/>
      <c r="DG17" s="2358"/>
      <c r="DH17" s="2106"/>
      <c r="DI17" s="2106"/>
      <c r="DJ17" s="2106"/>
      <c r="DK17" s="2106"/>
      <c r="DL17" s="2358"/>
      <c r="DM17" s="2358"/>
      <c r="DN17" s="2106"/>
      <c r="DO17" s="2106"/>
      <c r="DP17" s="2358"/>
      <c r="DQ17" s="2358"/>
      <c r="DR17" s="2358"/>
      <c r="DS17" s="2358"/>
      <c r="DT17" s="2357"/>
      <c r="DU17" s="2358"/>
      <c r="DV17" s="2106"/>
      <c r="DW17" s="2358"/>
      <c r="DX17" s="2357">
        <v>14.9</v>
      </c>
      <c r="DY17" s="2358"/>
      <c r="DZ17" s="2106"/>
      <c r="EA17" s="2106"/>
      <c r="EB17" s="2358"/>
      <c r="EC17" s="2357"/>
      <c r="ED17" s="2106"/>
      <c r="EE17" s="2106"/>
      <c r="EF17" s="2357">
        <v>14.9</v>
      </c>
      <c r="EG17" s="2106"/>
      <c r="EH17" s="2358"/>
      <c r="EI17" s="2106"/>
      <c r="EJ17" s="2106"/>
      <c r="EK17" s="2357"/>
      <c r="EL17" s="2106"/>
      <c r="EM17" s="2106"/>
      <c r="EN17" s="2106"/>
      <c r="EO17" s="2106"/>
      <c r="EP17" s="2106"/>
      <c r="EQ17" s="2358"/>
      <c r="ER17" s="2106"/>
      <c r="ES17" s="2106"/>
      <c r="ET17" s="2106"/>
      <c r="EU17" s="2106"/>
      <c r="EV17" s="2106"/>
      <c r="EW17" s="2106"/>
      <c r="EX17" s="2106"/>
      <c r="EY17" s="2106"/>
      <c r="EZ17" s="2106"/>
      <c r="FA17" s="2357"/>
      <c r="FB17" s="2106"/>
      <c r="FC17" s="2357"/>
      <c r="FD17" s="2357"/>
      <c r="FE17" s="2358"/>
      <c r="FF17" s="2358"/>
      <c r="FG17" s="2358"/>
      <c r="FH17" s="2358"/>
      <c r="FI17" s="2106"/>
      <c r="FJ17" s="2106"/>
      <c r="FK17" s="2106"/>
      <c r="FL17" s="2106"/>
      <c r="FM17" s="2106"/>
      <c r="FN17" s="2106"/>
      <c r="FO17" s="2106"/>
      <c r="FP17" s="2106"/>
      <c r="FQ17" s="2358"/>
      <c r="FR17" s="2106"/>
      <c r="FS17" s="2106"/>
      <c r="FT17" s="2358"/>
      <c r="FU17" s="2358"/>
      <c r="FV17" s="2358"/>
      <c r="FW17" s="2358"/>
      <c r="FX17" s="2357"/>
      <c r="FY17" s="2357"/>
      <c r="FZ17" s="2357"/>
      <c r="GA17" s="2357"/>
      <c r="GB17" s="2357"/>
      <c r="GC17" s="2357"/>
      <c r="GD17" s="2106"/>
      <c r="GE17" s="2358"/>
      <c r="GF17" s="2106"/>
      <c r="GG17" s="2357"/>
      <c r="GH17" s="2357">
        <v>14.9</v>
      </c>
      <c r="GI17" s="2358"/>
      <c r="GJ17" s="2358"/>
      <c r="GK17" s="2106"/>
      <c r="GL17" s="2106"/>
      <c r="GM17" s="2106"/>
      <c r="GN17" s="2358"/>
      <c r="GO17" s="2358"/>
      <c r="GP17" s="2358"/>
      <c r="GQ17" s="2106"/>
      <c r="GR17" s="2358"/>
      <c r="GS17" s="2357"/>
      <c r="GT17" s="2357">
        <v>14.9</v>
      </c>
      <c r="GU17" s="2358"/>
      <c r="GV17" s="2106"/>
      <c r="GW17" s="2358"/>
      <c r="GX17" s="2106"/>
      <c r="GY17" s="2357"/>
      <c r="GZ17" s="2358"/>
      <c r="HA17" s="2106"/>
      <c r="HB17" s="2106"/>
      <c r="HC17" s="2106"/>
      <c r="HD17" s="2358"/>
      <c r="HE17" s="2106"/>
      <c r="HF17" s="2357"/>
      <c r="HG17" s="2357"/>
      <c r="HH17" s="2358"/>
      <c r="HI17" s="2106"/>
      <c r="HJ17" s="2106"/>
      <c r="HK17" s="2106"/>
      <c r="HL17" s="2106"/>
      <c r="HM17" s="2106"/>
      <c r="HN17" s="2356"/>
      <c r="HO17" s="2357"/>
      <c r="HP17" s="2357">
        <v>14.9</v>
      </c>
      <c r="HQ17" s="2357">
        <v>14.9</v>
      </c>
      <c r="HR17" s="2106"/>
      <c r="HS17" s="2358"/>
      <c r="HT17" s="2356"/>
      <c r="HU17" s="2357"/>
      <c r="HV17" s="2357"/>
      <c r="HW17" s="2359"/>
      <c r="HX17" s="2359"/>
      <c r="HY17" s="2359"/>
      <c r="HZ17" s="2359"/>
      <c r="IA17" s="2359"/>
      <c r="IB17" s="2359"/>
      <c r="IC17" s="2359"/>
      <c r="ID17" s="2359"/>
      <c r="IE17" s="2359"/>
      <c r="IF17" s="2359"/>
      <c r="IG17" s="2359"/>
      <c r="IH17" s="2359"/>
      <c r="II17" s="2360"/>
      <c r="IJ17" s="2360"/>
      <c r="IK17" s="2360"/>
      <c r="IL17" s="2360"/>
      <c r="IM17" s="2106"/>
      <c r="IN17" s="2106"/>
      <c r="IO17" s="2356"/>
      <c r="IP17" s="2106"/>
      <c r="IQ17" s="2106"/>
      <c r="IR17" s="2106"/>
      <c r="IS17" s="2106"/>
      <c r="IT17" s="2106"/>
      <c r="IU17" s="2106"/>
      <c r="IV17" s="2106"/>
      <c r="IW17" s="2106"/>
      <c r="IX17" s="2106"/>
      <c r="IY17" s="2106"/>
      <c r="IZ17" s="2106"/>
      <c r="JA17" s="2106"/>
      <c r="JB17" s="2106"/>
      <c r="JC17" s="2106"/>
      <c r="JD17" s="2106"/>
      <c r="JE17" s="2106"/>
      <c r="JF17" s="2106"/>
      <c r="JG17" s="3746"/>
      <c r="JH17" s="1233"/>
      <c r="JI17" s="1229" t="s">
        <v>5098</v>
      </c>
      <c r="JJ17" s="1686" t="s">
        <v>6124</v>
      </c>
    </row>
    <row ht="12.75" r="18" spans="1:270" thickBot="1" x14ac:dyDescent="0.25">
      <c r="C18" s="1131" t="s">
        <v>912</v>
      </c>
      <c r="D18" s="671"/>
      <c r="E18" s="2343"/>
      <c r="F18" s="2343"/>
      <c r="G18" s="2343"/>
      <c r="H18" s="2343"/>
      <c r="I18" s="34"/>
      <c r="J18" s="34"/>
      <c r="K18" s="34"/>
      <c r="L18" s="34"/>
      <c r="M18" s="34"/>
      <c r="N18" s="34"/>
      <c r="O18" s="34"/>
      <c r="P18" s="34"/>
      <c r="Q18" s="34"/>
      <c r="R18" s="34"/>
      <c r="S18" s="34"/>
      <c r="T18" s="34"/>
      <c r="U18" s="34"/>
      <c r="V18" s="34"/>
      <c r="W18" s="34"/>
      <c r="X18" s="34"/>
      <c r="Y18" s="34"/>
      <c r="Z18" s="34"/>
      <c r="AA18" s="34"/>
      <c r="AB18" s="34"/>
      <c r="AC18" s="34"/>
      <c r="AI18" s="34"/>
      <c r="AJ18" s="34"/>
      <c r="AK18" s="34"/>
      <c r="AL18" s="34"/>
      <c r="AM18" s="34"/>
      <c r="AN18" s="34"/>
      <c r="AO18" s="34"/>
      <c r="AP18" s="34"/>
      <c r="AQ18" s="34"/>
      <c r="AR18" s="34"/>
      <c r="AS18" s="2343"/>
      <c r="AT18" s="2343"/>
      <c r="AU18" s="2343"/>
      <c r="AV18" s="2343"/>
      <c r="AW18" s="34"/>
      <c r="AX18" s="34"/>
      <c r="AY18" s="34"/>
      <c r="AZ18" s="34"/>
      <c r="BA18" s="34"/>
      <c r="BB18" s="34"/>
      <c r="BC18" s="34"/>
      <c r="BD18" s="34"/>
      <c r="BE18" s="34"/>
      <c r="BF18" s="34"/>
      <c r="BG18" s="34"/>
      <c r="BH18" s="34"/>
      <c r="BI18" s="34"/>
      <c r="BJ18" s="34"/>
      <c r="BK18" s="34"/>
      <c r="BL18" s="34"/>
      <c r="BM18" s="34"/>
      <c r="BN18" s="34"/>
      <c r="BO18" s="34"/>
      <c r="BP18" s="34"/>
      <c r="BQ18" s="34"/>
      <c r="BR18" s="34"/>
      <c r="BS18" s="34"/>
      <c r="BT18" s="34"/>
      <c r="BU18" s="34"/>
      <c r="BV18" s="34"/>
      <c r="BW18" s="34"/>
      <c r="BX18" s="34"/>
      <c r="BY18" s="34"/>
      <c r="BZ18" s="34"/>
      <c r="CA18" s="34"/>
      <c r="CB18" s="34"/>
      <c r="CC18" s="34"/>
      <c r="CD18" s="34"/>
      <c r="CE18" s="34"/>
      <c r="CF18" s="34"/>
      <c r="CG18" s="34"/>
      <c r="CH18" s="34"/>
      <c r="CI18" s="34"/>
      <c r="CJ18" s="34"/>
      <c r="CK18" s="34"/>
      <c r="CL18" s="34"/>
      <c r="CM18" s="34"/>
      <c r="CN18" s="34"/>
      <c r="CO18" s="34"/>
      <c r="CP18" s="34"/>
      <c r="CQ18" s="34"/>
      <c r="CR18" s="34"/>
      <c r="CS18" s="34"/>
      <c r="CT18" s="34"/>
      <c r="CU18" s="34"/>
      <c r="CV18" s="34"/>
      <c r="CW18" s="34"/>
      <c r="CX18" s="34"/>
      <c r="CY18" s="34"/>
      <c r="CZ18" s="34"/>
      <c r="DA18" s="34"/>
      <c r="DB18" s="34"/>
      <c r="DC18" s="34"/>
      <c r="DD18" s="34"/>
      <c r="DE18" s="34"/>
      <c r="DF18" s="34"/>
      <c r="DG18" s="34"/>
      <c r="DH18" s="34"/>
      <c r="DI18" s="34"/>
      <c r="DJ18" s="34"/>
      <c r="DK18" s="34"/>
      <c r="DL18" s="34"/>
      <c r="DM18" s="34"/>
      <c r="DN18" s="34"/>
      <c r="DO18" s="34"/>
      <c r="DP18" s="34"/>
      <c r="DQ18" s="34"/>
      <c r="DR18" s="34"/>
      <c r="DS18" s="34"/>
      <c r="DT18" s="34"/>
      <c r="DU18" s="34"/>
      <c r="DV18" s="34"/>
      <c r="DW18" s="34"/>
      <c r="DX18" s="34"/>
      <c r="DY18" s="34"/>
      <c r="DZ18" s="34"/>
      <c r="EA18" s="34"/>
      <c r="EB18" s="34"/>
      <c r="EC18" s="34"/>
      <c r="ED18" s="34"/>
      <c r="EE18" s="34"/>
      <c r="EF18" s="34"/>
      <c r="EG18" s="34"/>
      <c r="EH18" s="34"/>
      <c r="EI18" s="34"/>
      <c r="EJ18" s="34"/>
      <c r="EK18" s="34"/>
      <c r="EL18" s="34"/>
      <c r="EM18" s="34"/>
      <c r="EN18" s="34"/>
      <c r="EO18" s="34"/>
      <c r="EP18" s="34"/>
      <c r="EQ18" s="34"/>
      <c r="ER18" s="34"/>
      <c r="ES18" s="34"/>
      <c r="ET18" s="34"/>
      <c r="EU18" s="34"/>
      <c r="EV18" s="34"/>
      <c r="EW18" s="34"/>
      <c r="EX18" s="34"/>
      <c r="EY18" s="34"/>
      <c r="EZ18" s="34"/>
      <c r="FA18" s="34"/>
      <c r="FB18" s="34"/>
      <c r="FC18" s="34"/>
      <c r="FD18" s="34"/>
      <c r="FE18" s="34"/>
      <c r="FF18" s="34"/>
      <c r="FG18" s="34"/>
      <c r="FH18" s="34"/>
      <c r="FI18" s="34"/>
      <c r="FJ18" s="34"/>
      <c r="FK18" s="34"/>
      <c r="FL18" s="34"/>
      <c r="FM18" s="34"/>
      <c r="FN18" s="34"/>
      <c r="FO18" s="34"/>
      <c r="FP18" s="34"/>
      <c r="FQ18" s="34"/>
      <c r="FR18" s="34"/>
      <c r="FS18" s="34"/>
      <c r="FT18" s="34"/>
      <c r="FU18" s="34"/>
      <c r="FV18" s="34"/>
      <c r="FW18" s="34"/>
      <c r="FX18" s="34"/>
      <c r="FY18" s="34"/>
      <c r="FZ18" s="34"/>
      <c r="GA18" s="34"/>
      <c r="GB18" s="34"/>
      <c r="GC18" s="34"/>
      <c r="GD18" s="34"/>
      <c r="GE18" s="34"/>
      <c r="GF18" s="34"/>
      <c r="GG18" s="34"/>
      <c r="GH18" s="34"/>
      <c r="GI18" s="34"/>
      <c r="GJ18" s="34"/>
      <c r="GK18" s="34"/>
      <c r="GL18" s="34"/>
      <c r="GM18" s="34"/>
      <c r="GN18" s="34"/>
      <c r="GO18" s="34"/>
      <c r="GP18" s="34"/>
      <c r="GQ18" s="34"/>
      <c r="GR18" s="34"/>
      <c r="GS18" s="34"/>
      <c r="GT18" s="34"/>
      <c r="GU18" s="34"/>
      <c r="GV18" s="34"/>
      <c r="GW18" s="34"/>
      <c r="GX18" s="34"/>
      <c r="GY18" s="34"/>
      <c r="GZ18" s="34"/>
      <c r="HA18" s="34"/>
      <c r="HB18" s="34"/>
      <c r="HC18" s="34"/>
      <c r="HD18" s="34"/>
      <c r="HE18" s="34"/>
      <c r="HF18" s="34"/>
      <c r="HG18" s="34"/>
      <c r="HH18" s="34"/>
      <c r="HI18" s="34"/>
      <c r="HJ18" s="34"/>
      <c r="HK18" s="34"/>
      <c r="HL18" s="34"/>
      <c r="HM18" s="34"/>
      <c r="HN18" s="34"/>
      <c r="HO18" s="34"/>
      <c r="HP18" s="34"/>
      <c r="HQ18" s="34"/>
      <c r="HR18" s="34"/>
      <c r="HS18" s="34"/>
      <c r="HT18" s="34"/>
      <c r="HU18" s="34"/>
      <c r="HV18" s="34"/>
      <c r="HW18" s="34"/>
      <c r="HX18" s="34"/>
      <c r="HY18" s="34"/>
      <c r="HZ18" s="34"/>
      <c r="IA18" s="34"/>
      <c r="IB18" s="34"/>
      <c r="IC18" s="34"/>
      <c r="ID18" s="34"/>
      <c r="IE18" s="34"/>
      <c r="IF18" s="34"/>
      <c r="IG18" s="34"/>
      <c r="IH18" s="34"/>
      <c r="II18" s="34"/>
      <c r="IJ18" s="34"/>
      <c r="IK18" s="34"/>
      <c r="IL18" s="34"/>
      <c r="IM18" s="34"/>
      <c r="IN18" s="34"/>
      <c r="IO18" s="34"/>
      <c r="IP18" s="34"/>
      <c r="IQ18" s="34"/>
      <c r="IR18" s="34"/>
      <c r="IS18" s="34"/>
      <c r="IT18" s="34"/>
      <c r="IU18" s="34"/>
      <c r="IV18" s="34"/>
      <c r="IW18" s="34"/>
      <c r="IX18" s="34"/>
      <c r="IY18" s="34"/>
      <c r="IZ18" s="34"/>
    </row>
    <row ht="12.75" r="19" spans="1:270" x14ac:dyDescent="0.2">
      <c r="A19" s="1128" t="s">
        <v>4479</v>
      </c>
      <c r="B19" s="1945" t="str">
        <f>"selected "&amp;INC_B_IND-1</f>
        <v>selected 3</v>
      </c>
      <c r="C19" s="1256" t="s">
        <v>3737</v>
      </c>
      <c r="D19" s="1257"/>
      <c r="E19" s="2026">
        <v>1</v>
      </c>
      <c r="F19" s="2026">
        <v>2</v>
      </c>
      <c r="G19" s="2026">
        <v>3</v>
      </c>
      <c r="H19" s="2026">
        <v>4</v>
      </c>
      <c r="I19" s="2026">
        <v>5</v>
      </c>
      <c r="J19" s="2026">
        <v>6</v>
      </c>
      <c r="K19" s="2026">
        <v>7</v>
      </c>
      <c r="L19" s="2026">
        <v>8</v>
      </c>
      <c r="M19" s="2026">
        <v>9</v>
      </c>
      <c r="N19" s="2026">
        <v>10</v>
      </c>
      <c r="O19" s="2026">
        <v>11</v>
      </c>
      <c r="P19" s="2026">
        <v>12</v>
      </c>
      <c r="Q19" s="2026">
        <v>13</v>
      </c>
      <c r="R19" s="2026">
        <v>14</v>
      </c>
      <c r="S19" s="2026">
        <v>15</v>
      </c>
      <c r="T19" s="2026">
        <v>16</v>
      </c>
      <c r="U19" s="2026">
        <v>17</v>
      </c>
      <c r="V19" s="2026">
        <v>18</v>
      </c>
      <c r="W19" s="2026">
        <v>19</v>
      </c>
      <c r="X19" s="2026">
        <v>20</v>
      </c>
      <c r="Y19" s="2026">
        <v>21</v>
      </c>
      <c r="Z19" s="2026">
        <v>22</v>
      </c>
      <c r="AA19" s="2026">
        <v>23</v>
      </c>
      <c r="AB19" s="2026">
        <v>24</v>
      </c>
      <c r="AC19" s="2026">
        <v>25</v>
      </c>
      <c r="AD19" s="3502">
        <v>26</v>
      </c>
      <c r="AE19" s="3502">
        <v>27</v>
      </c>
      <c r="AF19" s="3502">
        <v>28</v>
      </c>
      <c r="AG19" s="3502">
        <v>29</v>
      </c>
      <c r="AH19" s="3502">
        <v>30</v>
      </c>
      <c r="AI19" s="1134">
        <v>31</v>
      </c>
      <c r="AJ19" s="1134">
        <v>32</v>
      </c>
      <c r="AK19" s="1134">
        <v>33</v>
      </c>
      <c r="AL19" s="1134">
        <v>34</v>
      </c>
      <c r="AM19" s="1134">
        <v>35</v>
      </c>
      <c r="AN19" s="1134">
        <v>36</v>
      </c>
      <c r="AO19" s="1134">
        <v>37</v>
      </c>
      <c r="AP19" s="1134">
        <v>38</v>
      </c>
      <c r="AQ19" s="1134">
        <v>39</v>
      </c>
      <c r="AR19" s="1134">
        <v>40</v>
      </c>
      <c r="AS19" s="1134">
        <v>41</v>
      </c>
      <c r="AT19" s="1134">
        <v>42</v>
      </c>
      <c r="AU19" s="1134">
        <v>43</v>
      </c>
      <c r="AV19" s="1134">
        <v>44</v>
      </c>
      <c r="AW19" s="1134">
        <v>45</v>
      </c>
      <c r="AX19" s="1134">
        <v>46</v>
      </c>
      <c r="AY19" s="1134">
        <v>47</v>
      </c>
      <c r="AZ19" s="1134">
        <v>48</v>
      </c>
      <c r="BA19" s="1134">
        <v>49</v>
      </c>
      <c r="BB19" s="1134">
        <v>50</v>
      </c>
      <c r="BC19" s="1134">
        <v>51</v>
      </c>
      <c r="BD19" s="1134">
        <v>52</v>
      </c>
      <c r="BE19" s="2026">
        <v>53</v>
      </c>
      <c r="BF19" s="2026">
        <v>54</v>
      </c>
      <c r="BG19" s="1134">
        <v>55</v>
      </c>
      <c r="BH19" s="1134">
        <v>56</v>
      </c>
      <c r="BI19" s="1134">
        <v>57</v>
      </c>
      <c r="BJ19" s="1134">
        <v>58</v>
      </c>
      <c r="BK19" s="1134">
        <v>59</v>
      </c>
      <c r="BL19" s="1134">
        <v>60</v>
      </c>
      <c r="BM19" s="1134">
        <v>61</v>
      </c>
      <c r="BN19" s="1134">
        <v>62</v>
      </c>
      <c r="BO19" s="1134">
        <v>63</v>
      </c>
      <c r="BP19" s="1134">
        <v>64</v>
      </c>
      <c r="BQ19" s="1134">
        <v>65</v>
      </c>
      <c r="BR19" s="1134">
        <v>66</v>
      </c>
      <c r="BS19" s="1134">
        <v>67</v>
      </c>
      <c r="BT19" s="1134">
        <v>68</v>
      </c>
      <c r="BU19" s="1134">
        <v>69</v>
      </c>
      <c r="BV19" s="1134">
        <v>70</v>
      </c>
      <c r="BW19" s="1134">
        <v>71</v>
      </c>
      <c r="BX19" s="1134">
        <v>72</v>
      </c>
      <c r="BY19" s="1134">
        <v>73</v>
      </c>
      <c r="BZ19" s="1134">
        <v>74</v>
      </c>
      <c r="CA19" s="1134">
        <v>75</v>
      </c>
      <c r="CB19" s="1134">
        <v>76</v>
      </c>
      <c r="CC19" s="1134">
        <v>77</v>
      </c>
      <c r="CD19" s="1134">
        <v>78</v>
      </c>
      <c r="CE19" s="1134">
        <v>79</v>
      </c>
      <c r="CF19" s="1134">
        <v>80</v>
      </c>
      <c r="CG19" s="1134">
        <v>81</v>
      </c>
      <c r="CH19" s="1134">
        <v>82</v>
      </c>
      <c r="CI19" s="1134">
        <v>83</v>
      </c>
      <c r="CJ19" s="1134">
        <v>84</v>
      </c>
      <c r="CK19" s="1134">
        <v>85</v>
      </c>
      <c r="CL19" s="1134">
        <v>86</v>
      </c>
      <c r="CM19" s="1134">
        <v>87</v>
      </c>
      <c r="CN19" s="1134">
        <v>88</v>
      </c>
      <c r="CO19" s="1134">
        <v>89</v>
      </c>
      <c r="CP19" s="1134">
        <v>90</v>
      </c>
      <c r="CQ19" s="1134">
        <v>91</v>
      </c>
      <c r="CR19" s="1134">
        <v>92</v>
      </c>
      <c r="CS19" s="1134">
        <v>93</v>
      </c>
      <c r="CT19" s="1134">
        <v>94</v>
      </c>
      <c r="CU19" s="1134">
        <v>95</v>
      </c>
      <c r="CV19" s="1134">
        <v>96</v>
      </c>
      <c r="CW19" s="1134">
        <v>97</v>
      </c>
      <c r="CX19" s="1134">
        <v>98</v>
      </c>
      <c r="CY19" s="1134">
        <v>99</v>
      </c>
      <c r="CZ19" s="1134">
        <v>100</v>
      </c>
      <c r="DA19" s="1134">
        <v>101</v>
      </c>
      <c r="DB19" s="1134">
        <v>102</v>
      </c>
      <c r="DC19" s="1134">
        <v>103</v>
      </c>
      <c r="DD19" s="1134">
        <v>104</v>
      </c>
      <c r="DE19" s="1134">
        <v>105</v>
      </c>
      <c r="DF19" s="1134">
        <v>106</v>
      </c>
      <c r="DG19" s="1134">
        <v>107</v>
      </c>
      <c r="DH19" s="1134">
        <v>108</v>
      </c>
      <c r="DI19" s="1134">
        <v>109</v>
      </c>
      <c r="DJ19" s="1134">
        <v>110</v>
      </c>
      <c r="DK19" s="1134">
        <v>111</v>
      </c>
      <c r="DL19" s="1134">
        <v>112</v>
      </c>
      <c r="DM19" s="1134">
        <v>113</v>
      </c>
      <c r="DN19" s="1134">
        <v>114</v>
      </c>
      <c r="DO19" s="1134">
        <v>115</v>
      </c>
      <c r="DP19" s="1134">
        <v>116</v>
      </c>
      <c r="DQ19" s="1134">
        <v>117</v>
      </c>
      <c r="DR19" s="1134">
        <v>118</v>
      </c>
      <c r="DS19" s="1134">
        <v>119</v>
      </c>
      <c r="DT19" s="1134">
        <v>120</v>
      </c>
      <c r="DU19" s="1134">
        <v>121</v>
      </c>
      <c r="DV19" s="1134">
        <v>122</v>
      </c>
      <c r="DW19" s="1134">
        <v>123</v>
      </c>
      <c r="DX19" s="1134">
        <v>124</v>
      </c>
      <c r="DY19" s="1134">
        <v>125</v>
      </c>
      <c r="DZ19" s="1134">
        <v>126</v>
      </c>
      <c r="EA19" s="1134">
        <v>127</v>
      </c>
      <c r="EB19" s="1134">
        <v>128</v>
      </c>
      <c r="EC19" s="1134">
        <v>129</v>
      </c>
      <c r="ED19" s="1134">
        <v>130</v>
      </c>
      <c r="EE19" s="1134">
        <v>131</v>
      </c>
      <c r="EF19" s="1134">
        <v>132</v>
      </c>
      <c r="EG19" s="1134">
        <v>133</v>
      </c>
      <c r="EH19" s="1134">
        <v>134</v>
      </c>
      <c r="EI19" s="1134">
        <v>135</v>
      </c>
      <c r="EJ19" s="1134">
        <v>136</v>
      </c>
      <c r="EK19" s="1134">
        <v>137</v>
      </c>
      <c r="EL19" s="1134">
        <v>138</v>
      </c>
      <c r="EM19" s="1134">
        <v>139</v>
      </c>
      <c r="EN19" s="1134">
        <v>140</v>
      </c>
      <c r="EO19" s="1134">
        <v>141</v>
      </c>
      <c r="EP19" s="1134">
        <v>142</v>
      </c>
      <c r="EQ19" s="1134">
        <v>143</v>
      </c>
      <c r="ER19" s="1134">
        <v>144</v>
      </c>
      <c r="ES19" s="1134">
        <v>145</v>
      </c>
      <c r="ET19" s="1134">
        <v>146</v>
      </c>
      <c r="EU19" s="1134">
        <v>147</v>
      </c>
      <c r="EV19" s="1134">
        <v>148</v>
      </c>
      <c r="EW19" s="1134">
        <v>149</v>
      </c>
      <c r="EX19" s="1134">
        <v>150</v>
      </c>
      <c r="EY19" s="1134">
        <v>151</v>
      </c>
      <c r="EZ19" s="1134">
        <v>152</v>
      </c>
      <c r="FA19" s="1134">
        <v>153</v>
      </c>
      <c r="FB19" s="1134">
        <v>154</v>
      </c>
      <c r="FC19" s="1134">
        <v>155</v>
      </c>
      <c r="FD19" s="1134">
        <v>156</v>
      </c>
      <c r="FE19" s="1134">
        <v>157</v>
      </c>
      <c r="FF19" s="1134">
        <v>158</v>
      </c>
      <c r="FG19" s="1134">
        <v>159</v>
      </c>
      <c r="FH19" s="1134">
        <v>160</v>
      </c>
      <c r="FI19" s="1134">
        <v>161</v>
      </c>
      <c r="FJ19" s="1134">
        <v>162</v>
      </c>
      <c r="FK19" s="1134">
        <v>163</v>
      </c>
      <c r="FL19" s="1134">
        <v>164</v>
      </c>
      <c r="FM19" s="1134">
        <v>165</v>
      </c>
      <c r="FN19" s="1134">
        <v>166</v>
      </c>
      <c r="FO19" s="1134">
        <v>167</v>
      </c>
      <c r="FP19" s="1134">
        <v>168</v>
      </c>
      <c r="FQ19" s="1134">
        <v>169</v>
      </c>
      <c r="FR19" s="1134">
        <v>170</v>
      </c>
      <c r="FS19" s="1134">
        <v>171</v>
      </c>
      <c r="FT19" s="1134">
        <v>172</v>
      </c>
      <c r="FU19" s="1134">
        <v>173</v>
      </c>
      <c r="FV19" s="1134">
        <v>174</v>
      </c>
      <c r="FW19" s="1134">
        <v>175</v>
      </c>
      <c r="FX19" s="1134">
        <v>176</v>
      </c>
      <c r="FY19" s="1134">
        <v>177</v>
      </c>
      <c r="FZ19" s="1134">
        <v>178</v>
      </c>
      <c r="GA19" s="1134">
        <v>179</v>
      </c>
      <c r="GB19" s="1134">
        <v>180</v>
      </c>
      <c r="GC19" s="1134">
        <v>181</v>
      </c>
      <c r="GD19" s="1134">
        <v>182</v>
      </c>
      <c r="GE19" s="1134">
        <v>183</v>
      </c>
      <c r="GF19" s="1134">
        <v>184</v>
      </c>
      <c r="GG19" s="1134">
        <v>185</v>
      </c>
      <c r="GH19" s="1134">
        <v>186</v>
      </c>
      <c r="GI19" s="1134">
        <v>187</v>
      </c>
      <c r="GJ19" s="1134">
        <v>188</v>
      </c>
      <c r="GK19" s="1134">
        <v>189</v>
      </c>
      <c r="GL19" s="1134">
        <v>190</v>
      </c>
      <c r="GM19" s="1134">
        <v>191</v>
      </c>
      <c r="GN19" s="1134">
        <v>192</v>
      </c>
      <c r="GO19" s="1134">
        <v>193</v>
      </c>
      <c r="GP19" s="1134">
        <v>194</v>
      </c>
      <c r="GQ19" s="1134">
        <v>195</v>
      </c>
      <c r="GR19" s="1134">
        <v>196</v>
      </c>
      <c r="GS19" s="1134">
        <v>197</v>
      </c>
      <c r="GT19" s="1134">
        <v>198</v>
      </c>
      <c r="GU19" s="1134">
        <v>199</v>
      </c>
      <c r="GV19" s="1134">
        <v>200</v>
      </c>
      <c r="GW19" s="1134">
        <v>201</v>
      </c>
      <c r="GX19" s="1134">
        <v>202</v>
      </c>
      <c r="GY19" s="1134">
        <v>203</v>
      </c>
      <c r="GZ19" s="1134">
        <v>204</v>
      </c>
      <c r="HA19" s="1134">
        <v>205</v>
      </c>
      <c r="HB19" s="1134">
        <v>206</v>
      </c>
      <c r="HC19" s="1134">
        <v>207</v>
      </c>
      <c r="HD19" s="1134">
        <v>208</v>
      </c>
      <c r="HE19" s="1134">
        <v>209</v>
      </c>
      <c r="HF19" s="1134">
        <v>210</v>
      </c>
      <c r="HG19" s="1134">
        <v>211</v>
      </c>
      <c r="HH19" s="1134">
        <v>212</v>
      </c>
      <c r="HI19" s="1134">
        <v>213</v>
      </c>
      <c r="HJ19" s="1134">
        <v>214</v>
      </c>
      <c r="HK19" s="1134">
        <v>215</v>
      </c>
      <c r="HL19" s="1134">
        <v>216</v>
      </c>
      <c r="HM19" s="1134">
        <v>217</v>
      </c>
      <c r="HN19" s="1134">
        <v>218</v>
      </c>
      <c r="HO19" s="1134">
        <v>219</v>
      </c>
      <c r="HP19" s="1134">
        <v>220</v>
      </c>
      <c r="HQ19" s="1134">
        <v>221</v>
      </c>
      <c r="HR19" s="1134">
        <v>222</v>
      </c>
      <c r="HS19" s="1134">
        <v>223</v>
      </c>
      <c r="HT19" s="1134">
        <v>224</v>
      </c>
      <c r="HU19" s="1134">
        <v>225</v>
      </c>
      <c r="HV19" s="1134">
        <v>226</v>
      </c>
      <c r="HW19" s="1134">
        <v>227</v>
      </c>
      <c r="HX19" s="1134">
        <v>228</v>
      </c>
      <c r="HY19" s="1134">
        <v>229</v>
      </c>
      <c r="HZ19" s="1134">
        <v>230</v>
      </c>
      <c r="IA19" s="1134">
        <v>231</v>
      </c>
      <c r="IB19" s="1134">
        <v>232</v>
      </c>
      <c r="IC19" s="1134">
        <v>233</v>
      </c>
      <c r="ID19" s="1134">
        <v>234</v>
      </c>
      <c r="IE19" s="1134">
        <v>235</v>
      </c>
      <c r="IF19" s="1134">
        <v>236</v>
      </c>
      <c r="IG19" s="1134">
        <v>237</v>
      </c>
      <c r="IH19" s="1134">
        <v>238</v>
      </c>
      <c r="II19" s="1134">
        <v>239</v>
      </c>
      <c r="IJ19" s="1134">
        <v>240</v>
      </c>
      <c r="IK19" s="1134">
        <v>241</v>
      </c>
      <c r="IL19" s="1134">
        <v>242</v>
      </c>
      <c r="IM19" s="1134">
        <v>243</v>
      </c>
      <c r="IN19" s="1134">
        <v>244</v>
      </c>
      <c r="IO19" s="1134">
        <v>245</v>
      </c>
      <c r="IP19" s="1134">
        <v>246</v>
      </c>
      <c r="IQ19" s="1134">
        <v>247</v>
      </c>
      <c r="IR19" s="1134">
        <v>248</v>
      </c>
      <c r="IS19" s="1134">
        <v>249</v>
      </c>
      <c r="IT19" s="1134">
        <v>250</v>
      </c>
      <c r="IU19" s="1134">
        <v>251</v>
      </c>
      <c r="IV19" s="1134">
        <v>252</v>
      </c>
      <c r="IW19" s="1134">
        <v>253</v>
      </c>
      <c r="IX19" s="1134">
        <v>254</v>
      </c>
      <c r="IY19" s="1134">
        <v>255</v>
      </c>
      <c r="IZ19" s="1134">
        <v>256</v>
      </c>
      <c r="JA19" s="2026">
        <v>257</v>
      </c>
      <c r="JB19" s="2026">
        <v>258</v>
      </c>
      <c r="JC19" s="1134">
        <v>259</v>
      </c>
      <c r="JD19" s="1134">
        <v>260</v>
      </c>
      <c r="JE19" s="1134">
        <v>261</v>
      </c>
      <c r="JF19" s="1134">
        <v>262</v>
      </c>
      <c r="JG19" s="2485">
        <v>263</v>
      </c>
      <c r="JH19" s="1233"/>
      <c r="JJ19" s="1701" t="s">
        <v>6104</v>
      </c>
    </row>
    <row ht="12.75" r="20" spans="1:270" x14ac:dyDescent="0.2">
      <c r="A20" s="1128">
        <v>2</v>
      </c>
      <c r="B20" s="1255" t="str">
        <f ref="B20:B28" si="1" t="shared">IF(INC_B_IND&gt;1,IF(HLOOKUP(INC_B_IND-1,INC_B_RANGE,A20)="","",HLOOKUP(INC_B_IND-1,INC_B_RANGE,A20)),"")</f>
        <v/>
      </c>
      <c r="C20" s="1530" t="s">
        <v>594</v>
      </c>
      <c r="D20" s="672" t="s">
        <v>4483</v>
      </c>
      <c r="E20" s="2315"/>
      <c r="F20" s="2315"/>
      <c r="G20" s="2315"/>
      <c r="H20" s="2315"/>
      <c r="I20" s="2315"/>
      <c r="J20" s="2315">
        <v>6198</v>
      </c>
      <c r="K20" s="2315"/>
      <c r="L20" s="2315">
        <v>6200</v>
      </c>
      <c r="M20" s="2315"/>
      <c r="N20" s="2315">
        <v>8239</v>
      </c>
      <c r="O20" s="2315">
        <v>6200</v>
      </c>
      <c r="P20" s="2315">
        <v>8052</v>
      </c>
      <c r="Q20" s="2315">
        <v>6200</v>
      </c>
      <c r="R20" s="2315"/>
      <c r="S20" s="2315"/>
      <c r="T20" s="2315">
        <v>6200</v>
      </c>
      <c r="U20" s="2315"/>
      <c r="V20" s="2315"/>
      <c r="W20" s="2315">
        <v>6200</v>
      </c>
      <c r="X20" s="2315"/>
      <c r="Y20" s="2315"/>
      <c r="Z20" s="2315"/>
      <c r="AA20" s="2315"/>
      <c r="AB20" s="2315"/>
      <c r="AC20" s="2315">
        <v>6200</v>
      </c>
      <c r="AD20" s="2315"/>
      <c r="AE20" s="2315"/>
      <c r="AF20" s="2315"/>
      <c r="AG20" s="2315"/>
      <c r="AH20" s="2315"/>
      <c r="AI20" s="2315">
        <v>1600</v>
      </c>
      <c r="AJ20" s="2315">
        <v>10980</v>
      </c>
      <c r="AK20" s="2315"/>
      <c r="AL20" s="2315"/>
      <c r="AM20" s="2315"/>
      <c r="AN20" s="2315"/>
      <c r="AO20" s="2315">
        <v>3770</v>
      </c>
      <c r="AP20" s="2315"/>
      <c r="AQ20" s="2315"/>
      <c r="AR20" s="2315"/>
      <c r="AS20" s="2315"/>
      <c r="AT20" s="2315"/>
      <c r="AU20" s="2315"/>
      <c r="AV20" s="2315"/>
      <c r="AW20" s="2315"/>
      <c r="AX20" s="2315">
        <v>6200</v>
      </c>
      <c r="AY20" s="2315">
        <v>6200</v>
      </c>
      <c r="AZ20" s="2315">
        <v>6200</v>
      </c>
      <c r="BA20" s="2315"/>
      <c r="BB20" s="2315"/>
      <c r="BC20" s="2315"/>
      <c r="BD20" s="2315">
        <v>3770</v>
      </c>
      <c r="BE20" s="2315"/>
      <c r="BF20" s="2315"/>
      <c r="BG20" s="2315"/>
      <c r="BH20" s="3945"/>
      <c r="BI20" s="3945"/>
      <c r="BJ20" s="2315"/>
      <c r="BK20" s="3945"/>
      <c r="BL20" s="2315"/>
      <c r="BM20" s="2315">
        <v>1600</v>
      </c>
      <c r="BN20" s="2315"/>
      <c r="BO20" s="2315"/>
      <c r="BP20" s="2315">
        <v>6200</v>
      </c>
      <c r="BQ20" s="2314">
        <f>P_A-1500</f>
        <v>11000</v>
      </c>
      <c r="BR20" s="2315">
        <v>6200</v>
      </c>
      <c r="BS20" s="2315">
        <v>6200</v>
      </c>
      <c r="BT20" s="2315"/>
      <c r="BU20" s="2315">
        <v>6200</v>
      </c>
      <c r="BV20" s="2315">
        <v>6200</v>
      </c>
      <c r="BW20" s="2315"/>
      <c r="BX20" s="2315">
        <v>6200</v>
      </c>
      <c r="BY20" s="2315">
        <v>8052</v>
      </c>
      <c r="BZ20" s="2315"/>
      <c r="CA20" s="2315">
        <v>6200</v>
      </c>
      <c r="CB20" s="2315"/>
      <c r="CC20" s="2315"/>
      <c r="CD20" s="2315">
        <v>3770</v>
      </c>
      <c r="CE20" s="2315"/>
      <c r="CF20" s="2315">
        <v>6200</v>
      </c>
      <c r="CG20" s="2315"/>
      <c r="CH20" s="2315">
        <v>6200</v>
      </c>
      <c r="CI20" s="2315">
        <v>9620</v>
      </c>
      <c r="CJ20" s="2315"/>
      <c r="CK20" s="2315">
        <v>3770</v>
      </c>
      <c r="CL20" s="2315"/>
      <c r="CM20" s="2315">
        <v>9620</v>
      </c>
      <c r="CN20" s="2315"/>
      <c r="CO20" s="2315"/>
      <c r="CP20" s="2315">
        <v>9620</v>
      </c>
      <c r="CQ20" s="2315"/>
      <c r="CR20" s="2315"/>
      <c r="CS20" s="2315"/>
      <c r="CT20" s="2315"/>
      <c r="CU20" s="2315"/>
      <c r="CV20" s="2315">
        <v>3770</v>
      </c>
      <c r="CW20" s="2315"/>
      <c r="CX20" s="2315">
        <v>9620</v>
      </c>
      <c r="CY20" s="2315"/>
      <c r="CZ20" s="2315"/>
      <c r="DA20" s="2315"/>
      <c r="DB20" s="2315"/>
      <c r="DC20" s="2315"/>
      <c r="DD20" s="2315"/>
      <c r="DE20" s="2315"/>
      <c r="DF20" s="2315"/>
      <c r="DG20" s="2315"/>
      <c r="DH20" s="2315">
        <v>3770</v>
      </c>
      <c r="DI20" s="2315">
        <v>3770</v>
      </c>
      <c r="DJ20" s="2315"/>
      <c r="DK20" s="2315"/>
      <c r="DL20" s="2315"/>
      <c r="DM20" s="2315"/>
      <c r="DN20" s="2315"/>
      <c r="DO20" s="2315">
        <v>4867</v>
      </c>
      <c r="DP20" s="2315"/>
      <c r="DQ20" s="2315"/>
      <c r="DR20" s="2315"/>
      <c r="DS20" s="2315"/>
      <c r="DT20" s="2315"/>
      <c r="DU20" s="2315"/>
      <c r="DV20" s="2315">
        <v>8206</v>
      </c>
      <c r="DW20" s="2315">
        <v>1600</v>
      </c>
      <c r="DX20" s="2315"/>
      <c r="DY20" s="2315"/>
      <c r="DZ20" s="2315">
        <v>6200</v>
      </c>
      <c r="EA20" s="3706"/>
      <c r="EB20" s="2315"/>
      <c r="EC20" s="2315"/>
      <c r="ED20" s="2315"/>
      <c r="EE20" s="2315"/>
      <c r="EF20" s="2315"/>
      <c r="EG20" s="2315"/>
      <c r="EH20" s="2315"/>
      <c r="EI20" s="2315"/>
      <c r="EJ20" s="2315"/>
      <c r="EK20" s="2315"/>
      <c r="EL20" s="2315"/>
      <c r="EM20" s="2315"/>
      <c r="EN20" s="2315"/>
      <c r="EO20" s="2315"/>
      <c r="EP20" s="2315"/>
      <c r="EQ20" s="2315"/>
      <c r="ER20" s="2315"/>
      <c r="ES20" s="2315"/>
      <c r="ET20" s="2315">
        <v>8052</v>
      </c>
      <c r="EU20" s="2315"/>
      <c r="EV20" s="2315"/>
      <c r="EW20" s="2315"/>
      <c r="EX20" s="2315"/>
      <c r="EY20" s="2315"/>
      <c r="EZ20" s="2315"/>
      <c r="FA20" s="2315"/>
      <c r="FB20" s="2315">
        <v>8052</v>
      </c>
      <c r="FC20" s="2315"/>
      <c r="FD20" s="2315"/>
      <c r="FE20" s="2315"/>
      <c r="FF20" s="2315"/>
      <c r="FG20" s="2315"/>
      <c r="FH20" s="2315"/>
      <c r="FI20" s="2315"/>
      <c r="FJ20" s="2315"/>
      <c r="FK20" s="2315"/>
      <c r="FL20" s="2315"/>
      <c r="FM20" s="2315"/>
      <c r="FN20" s="2315"/>
      <c r="FO20" s="2315"/>
      <c r="FP20" s="2315"/>
      <c r="FQ20" s="2315"/>
      <c r="FR20" s="2315"/>
      <c r="FS20" s="2315">
        <v>3770</v>
      </c>
      <c r="FT20" s="2315">
        <v>6200</v>
      </c>
      <c r="FU20" s="2315">
        <v>6200</v>
      </c>
      <c r="FV20" s="2315">
        <v>6200</v>
      </c>
      <c r="FW20" s="2315"/>
      <c r="FX20" s="2315"/>
      <c r="FY20" s="2315">
        <v>8052</v>
      </c>
      <c r="FZ20" s="2315">
        <v>8052</v>
      </c>
      <c r="GA20" s="2315">
        <v>8052</v>
      </c>
      <c r="GB20" s="2315">
        <v>8052</v>
      </c>
      <c r="GC20" s="2315"/>
      <c r="GD20" s="2315"/>
      <c r="GE20" s="2315">
        <v>6200</v>
      </c>
      <c r="GF20" s="2315"/>
      <c r="GG20" s="2315"/>
      <c r="GH20" s="2315"/>
      <c r="GI20" s="2315">
        <v>8206</v>
      </c>
      <c r="GJ20" s="2315"/>
      <c r="GK20" s="2315"/>
      <c r="GL20" s="2315"/>
      <c r="GM20" s="2315"/>
      <c r="GN20" s="2315"/>
      <c r="GO20" s="2315"/>
      <c r="GP20" s="2315"/>
      <c r="GQ20" s="2315"/>
      <c r="GR20" s="2315"/>
      <c r="GS20" s="2315"/>
      <c r="GT20" s="2315">
        <v>1600</v>
      </c>
      <c r="GU20" s="2315">
        <v>6200</v>
      </c>
      <c r="GV20" s="2315">
        <v>2100</v>
      </c>
      <c r="GW20" s="2315"/>
      <c r="GX20" s="2315"/>
      <c r="GY20" s="2315"/>
      <c r="GZ20" s="2315"/>
      <c r="HA20" s="2315"/>
      <c r="HB20" s="2315"/>
      <c r="HC20" s="2315"/>
      <c r="HD20" s="2315">
        <v>14206</v>
      </c>
      <c r="HE20" s="2315"/>
      <c r="HF20" s="2315"/>
      <c r="HG20" s="2315"/>
      <c r="HH20" s="2315"/>
      <c r="HI20" s="2315"/>
      <c r="HJ20" s="2315">
        <v>6175</v>
      </c>
      <c r="HK20" s="2315">
        <v>8206</v>
      </c>
      <c r="HL20" s="2315">
        <v>8206</v>
      </c>
      <c r="HM20" s="2315">
        <v>8206</v>
      </c>
      <c r="HN20" s="2315"/>
      <c r="HO20" s="2315"/>
      <c r="HP20" s="2315">
        <v>3770</v>
      </c>
      <c r="HQ20" s="2315">
        <v>8052</v>
      </c>
      <c r="HR20" s="2315"/>
      <c r="HS20" s="2315">
        <v>14206</v>
      </c>
      <c r="HT20" s="2315">
        <v>6200</v>
      </c>
      <c r="HU20" s="2315"/>
      <c r="HV20" s="2315"/>
      <c r="HW20" s="2315">
        <v>8239</v>
      </c>
      <c r="HX20" s="2315"/>
      <c r="HY20" s="2315"/>
      <c r="HZ20" s="2315">
        <f>P_A-5222</f>
        <v>7278</v>
      </c>
      <c r="IA20" s="2315"/>
      <c r="IB20" s="2315"/>
      <c r="IC20" s="2315"/>
      <c r="ID20" s="2315"/>
      <c r="IE20" s="2315">
        <f>P_A-6841</f>
        <v>5659</v>
      </c>
      <c r="IF20" s="2315">
        <v>15308</v>
      </c>
      <c r="IG20" s="2315"/>
      <c r="IH20" s="2315"/>
      <c r="II20" s="2315"/>
      <c r="IJ20" s="2315"/>
      <c r="IK20" s="2315"/>
      <c r="IL20" s="2315"/>
      <c r="IM20" s="2315"/>
      <c r="IN20" s="2315"/>
      <c r="IO20" s="2315"/>
      <c r="IP20" s="2315"/>
      <c r="IQ20" s="2315"/>
      <c r="IR20" s="3503">
        <v>7360</v>
      </c>
      <c r="IS20" s="4015">
        <v>8305</v>
      </c>
      <c r="IT20" s="2315"/>
      <c r="IU20" s="4015">
        <v>6867</v>
      </c>
      <c r="IV20" s="4015">
        <v>6394</v>
      </c>
      <c r="IW20" s="2315"/>
      <c r="IX20" s="4015">
        <v>9414</v>
      </c>
      <c r="IY20" s="4015">
        <v>12180</v>
      </c>
      <c r="IZ20" s="2315"/>
      <c r="JA20" s="4015">
        <v>8623</v>
      </c>
      <c r="JB20" s="4015">
        <v>5111</v>
      </c>
      <c r="JC20" s="2350"/>
      <c r="JD20" s="2350"/>
      <c r="JE20" s="2350"/>
      <c r="JF20" s="2350"/>
      <c r="JG20" s="3745"/>
      <c r="JH20" s="1233"/>
      <c r="JI20" s="1229" t="s">
        <v>5099</v>
      </c>
      <c r="JJ20" s="1686" t="s">
        <v>6108</v>
      </c>
    </row>
    <row ht="12.75" r="21" spans="1:270" x14ac:dyDescent="0.2">
      <c r="A21" s="1128">
        <v>3</v>
      </c>
      <c r="B21" s="1255" t="str">
        <f si="1" t="shared"/>
        <v/>
      </c>
      <c r="C21" s="1530" t="s">
        <v>595</v>
      </c>
      <c r="D21" s="672" t="s">
        <v>4484</v>
      </c>
      <c r="E21" s="2315"/>
      <c r="F21" s="2315"/>
      <c r="G21" s="2315"/>
      <c r="H21" s="2315"/>
      <c r="I21" s="2315"/>
      <c r="J21" s="2315"/>
      <c r="K21" s="2315"/>
      <c r="L21" s="2315"/>
      <c r="M21" s="2315"/>
      <c r="N21" s="2315"/>
      <c r="O21" s="2315"/>
      <c r="P21" s="2315"/>
      <c r="Q21" s="2315"/>
      <c r="R21" s="2315"/>
      <c r="S21" s="2315"/>
      <c r="T21" s="2315"/>
      <c r="U21" s="2315"/>
      <c r="V21" s="2315"/>
      <c r="W21" s="2315"/>
      <c r="X21" s="2315"/>
      <c r="Y21" s="2315"/>
      <c r="Z21" s="2315"/>
      <c r="AA21" s="2315"/>
      <c r="AB21" s="2315"/>
      <c r="AC21" s="2315"/>
      <c r="AD21" s="2315"/>
      <c r="AE21" s="2315"/>
      <c r="AF21" s="2315"/>
      <c r="AG21" s="2315"/>
      <c r="AH21" s="2315"/>
      <c r="AI21" s="2315">
        <v>16534</v>
      </c>
      <c r="AJ21" s="2315">
        <v>60275</v>
      </c>
      <c r="AK21" s="2315"/>
      <c r="AL21" s="2315"/>
      <c r="AM21" s="2315"/>
      <c r="AN21" s="2315"/>
      <c r="AO21" s="2315"/>
      <c r="AP21" s="2315"/>
      <c r="AQ21" s="2315"/>
      <c r="AR21" s="2315"/>
      <c r="AS21" s="2315"/>
      <c r="AT21" s="2315"/>
      <c r="AU21" s="2315"/>
      <c r="AV21" s="2315"/>
      <c r="AW21" s="2315"/>
      <c r="AX21" s="2315"/>
      <c r="AY21" s="2315"/>
      <c r="AZ21" s="2315"/>
      <c r="BA21" s="2315"/>
      <c r="BB21" s="2315"/>
      <c r="BC21" s="2315"/>
      <c r="BD21" s="2315"/>
      <c r="BE21" s="2315"/>
      <c r="BF21" s="2315"/>
      <c r="BG21" s="2315"/>
      <c r="BH21" s="2315"/>
      <c r="BI21" s="2315"/>
      <c r="BJ21" s="2315"/>
      <c r="BK21" s="2315"/>
      <c r="BL21" s="2315"/>
      <c r="BM21" s="2315">
        <v>16534</v>
      </c>
      <c r="BN21" s="2315"/>
      <c r="BO21" s="2315"/>
      <c r="BP21" s="2315"/>
      <c r="BQ21" s="2315"/>
      <c r="BR21" s="2315"/>
      <c r="BS21" s="2315"/>
      <c r="BT21" s="2315"/>
      <c r="BU21" s="2315"/>
      <c r="BV21" s="2315"/>
      <c r="BW21" s="2315"/>
      <c r="BX21" s="2315"/>
      <c r="BY21" s="2315"/>
      <c r="BZ21" s="2315"/>
      <c r="CA21" s="2315"/>
      <c r="CB21" s="2315"/>
      <c r="CC21" s="2315"/>
      <c r="CD21" s="2315"/>
      <c r="CE21" s="2315"/>
      <c r="CF21" s="2315"/>
      <c r="CG21" s="2315"/>
      <c r="CH21" s="2315"/>
      <c r="CI21" s="2315">
        <v>30275</v>
      </c>
      <c r="CJ21" s="2315"/>
      <c r="CK21" s="2315"/>
      <c r="CL21" s="2315"/>
      <c r="CM21" s="2315">
        <v>27876</v>
      </c>
      <c r="CN21" s="2315"/>
      <c r="CO21" s="2315"/>
      <c r="CP21" s="2315">
        <v>30275</v>
      </c>
      <c r="CQ21" s="2315"/>
      <c r="CR21" s="2315"/>
      <c r="CS21" s="2315"/>
      <c r="CT21" s="2315"/>
      <c r="CU21" s="2315"/>
      <c r="CV21" s="2315"/>
      <c r="CW21" s="2315"/>
      <c r="CX21" s="2315">
        <v>30275</v>
      </c>
      <c r="CY21" s="2315"/>
      <c r="CZ21" s="2315"/>
      <c r="DA21" s="2315"/>
      <c r="DB21" s="2315"/>
      <c r="DC21" s="2315"/>
      <c r="DD21" s="2315"/>
      <c r="DE21" s="2315"/>
      <c r="DF21" s="2315"/>
      <c r="DG21" s="2315"/>
      <c r="DH21" s="2315"/>
      <c r="DI21" s="2315"/>
      <c r="DJ21" s="2315"/>
      <c r="DK21" s="2315"/>
      <c r="DL21" s="2315"/>
      <c r="DM21" s="2315"/>
      <c r="DN21" s="2315"/>
      <c r="DO21" s="2315"/>
      <c r="DP21" s="2315"/>
      <c r="DQ21" s="2315"/>
      <c r="DR21" s="2315"/>
      <c r="DS21" s="2315"/>
      <c r="DT21" s="2315"/>
      <c r="DU21" s="2315"/>
      <c r="DV21" s="2315"/>
      <c r="DW21" s="2315">
        <v>16534</v>
      </c>
      <c r="DX21" s="2315"/>
      <c r="DY21" s="2315"/>
      <c r="DZ21" s="2315"/>
      <c r="EA21" s="2315"/>
      <c r="EB21" s="2315"/>
      <c r="EC21" s="2315"/>
      <c r="ED21" s="2315"/>
      <c r="EE21" s="2315"/>
      <c r="EF21" s="2315"/>
      <c r="EG21" s="2315"/>
      <c r="EH21" s="2315"/>
      <c r="EI21" s="2315"/>
      <c r="EJ21" s="2315"/>
      <c r="EK21" s="2315"/>
      <c r="EL21" s="2315"/>
      <c r="EM21" s="2315"/>
      <c r="EN21" s="2315"/>
      <c r="EO21" s="2315"/>
      <c r="EP21" s="2315"/>
      <c r="EQ21" s="2315"/>
      <c r="ER21" s="2315"/>
      <c r="ES21" s="2315"/>
      <c r="ET21" s="2315"/>
      <c r="EU21" s="2315"/>
      <c r="EV21" s="2315"/>
      <c r="EW21" s="2315"/>
      <c r="EX21" s="2315"/>
      <c r="EY21" s="2315"/>
      <c r="EZ21" s="2315"/>
      <c r="FA21" s="2315"/>
      <c r="FB21" s="2315"/>
      <c r="FC21" s="2315"/>
      <c r="FD21" s="2315"/>
      <c r="FE21" s="2315"/>
      <c r="FF21" s="2315"/>
      <c r="FG21" s="2315"/>
      <c r="FH21" s="2315"/>
      <c r="FI21" s="2315"/>
      <c r="FJ21" s="2315"/>
      <c r="FK21" s="2315"/>
      <c r="FL21" s="2315"/>
      <c r="FM21" s="2315"/>
      <c r="FN21" s="2315"/>
      <c r="FO21" s="2315"/>
      <c r="FP21" s="2315"/>
      <c r="FQ21" s="2315"/>
      <c r="FR21" s="2315"/>
      <c r="FS21" s="2315"/>
      <c r="FT21" s="2315"/>
      <c r="FU21" s="2315"/>
      <c r="FV21" s="2315"/>
      <c r="FW21" s="2315"/>
      <c r="FX21" s="2315"/>
      <c r="FY21" s="2315"/>
      <c r="FZ21" s="2315"/>
      <c r="GA21" s="2315"/>
      <c r="GB21" s="2315"/>
      <c r="GC21" s="2315"/>
      <c r="GD21" s="2315"/>
      <c r="GE21" s="2315"/>
      <c r="GF21" s="2315"/>
      <c r="GG21" s="2315"/>
      <c r="GH21" s="2315"/>
      <c r="GI21" s="2315"/>
      <c r="GJ21" s="2315"/>
      <c r="GK21" s="2315"/>
      <c r="GL21" s="2315"/>
      <c r="GM21" s="2315"/>
      <c r="GN21" s="2315"/>
      <c r="GO21" s="2315"/>
      <c r="GP21" s="2315"/>
      <c r="GQ21" s="2315"/>
      <c r="GR21" s="2315"/>
      <c r="GS21" s="2315"/>
      <c r="GT21" s="2315">
        <v>16534</v>
      </c>
      <c r="GU21" s="2315"/>
      <c r="GV21" s="2315">
        <v>16534</v>
      </c>
      <c r="GW21" s="2315"/>
      <c r="GX21" s="2315"/>
      <c r="GY21" s="2315"/>
      <c r="GZ21" s="2315"/>
      <c r="HA21" s="2315"/>
      <c r="HB21" s="2315"/>
      <c r="HC21" s="2315"/>
      <c r="HD21" s="2315"/>
      <c r="HE21" s="2315"/>
      <c r="HF21" s="2315"/>
      <c r="HG21" s="2315"/>
      <c r="HH21" s="2315"/>
      <c r="HI21" s="2315"/>
      <c r="HJ21" s="2315"/>
      <c r="HK21" s="2315"/>
      <c r="HL21" s="2315"/>
      <c r="HM21" s="2315"/>
      <c r="HN21" s="2315"/>
      <c r="HO21" s="2315"/>
      <c r="HP21" s="2315"/>
      <c r="HQ21" s="2315"/>
      <c r="HR21" s="2315"/>
      <c r="HS21" s="2315"/>
      <c r="HT21" s="2315"/>
      <c r="HU21" s="2315"/>
      <c r="HV21" s="2315"/>
      <c r="HW21" s="2315"/>
      <c r="HX21" s="2315"/>
      <c r="HY21" s="2315"/>
      <c r="HZ21" s="2315"/>
      <c r="IA21" s="2315"/>
      <c r="IB21" s="2315"/>
      <c r="IC21" s="2315"/>
      <c r="ID21" s="2315"/>
      <c r="IE21" s="2315"/>
      <c r="IF21" s="2315"/>
      <c r="IG21" s="2315"/>
      <c r="IH21" s="2315"/>
      <c r="II21" s="2315"/>
      <c r="IJ21" s="2315"/>
      <c r="IK21" s="2315"/>
      <c r="IL21" s="2315"/>
      <c r="IM21" s="2315"/>
      <c r="IN21" s="2315"/>
      <c r="IO21" s="2315"/>
      <c r="IP21" s="2315"/>
      <c r="IQ21" s="2315"/>
      <c r="IR21" s="2315"/>
      <c r="IS21" s="2315"/>
      <c r="IT21" s="2315"/>
      <c r="IU21" s="2315"/>
      <c r="IV21" s="2315"/>
      <c r="IW21" s="2315"/>
      <c r="IX21" s="2315"/>
      <c r="IY21" s="2315"/>
      <c r="IZ21" s="2315"/>
      <c r="JA21" s="2315"/>
      <c r="JB21" s="2350"/>
      <c r="JC21" s="2350"/>
      <c r="JD21" s="2350"/>
      <c r="JE21" s="2350"/>
      <c r="JF21" s="2350"/>
      <c r="JG21" s="3745"/>
      <c r="JH21" s="1233"/>
      <c r="JI21" s="1229"/>
      <c r="JJ21" s="1686" t="s">
        <v>6108</v>
      </c>
    </row>
    <row ht="12.75" r="22" spans="1:270" x14ac:dyDescent="0.2">
      <c r="A22" s="1128">
        <v>4</v>
      </c>
      <c r="B22" s="1255" t="str">
        <f si="1" t="shared"/>
        <v/>
      </c>
      <c r="C22" s="1530" t="s">
        <v>596</v>
      </c>
      <c r="D22" s="672" t="s">
        <v>4485</v>
      </c>
      <c r="E22" s="2315"/>
      <c r="F22" s="2315"/>
      <c r="G22" s="2315"/>
      <c r="H22" s="2315"/>
      <c r="I22" s="2315"/>
      <c r="J22" s="2315"/>
      <c r="K22" s="2315"/>
      <c r="L22" s="2315"/>
      <c r="M22" s="2315"/>
      <c r="N22" s="2315"/>
      <c r="O22" s="2315"/>
      <c r="P22" s="2315"/>
      <c r="Q22" s="2315"/>
      <c r="R22" s="2315"/>
      <c r="S22" s="2315"/>
      <c r="T22" s="2315"/>
      <c r="U22" s="2315"/>
      <c r="V22" s="2315"/>
      <c r="W22" s="2315"/>
      <c r="X22" s="2315"/>
      <c r="Y22" s="2315"/>
      <c r="Z22" s="2315"/>
      <c r="AA22" s="2315"/>
      <c r="AB22" s="2315"/>
      <c r="AC22" s="2315"/>
      <c r="AD22" s="2315"/>
      <c r="AE22" s="2315"/>
      <c r="AF22" s="2315"/>
      <c r="AG22" s="2315"/>
      <c r="AH22" s="2315"/>
      <c r="AI22" s="2315">
        <v>3520</v>
      </c>
      <c r="AJ22" s="2363">
        <f>IF(AJ21="","",TRUNC(AJ21*BR_rate,2))</f>
        <v>12055</v>
      </c>
      <c r="AK22" s="2315"/>
      <c r="AL22" s="2315"/>
      <c r="AM22" s="2315"/>
      <c r="AN22" s="2315"/>
      <c r="AO22" s="2315"/>
      <c r="AP22" s="2315"/>
      <c r="AQ22" s="2315"/>
      <c r="AR22" s="2315"/>
      <c r="AS22" s="2315"/>
      <c r="AT22" s="2315"/>
      <c r="AU22" s="2315"/>
      <c r="AV22" s="2315"/>
      <c r="AW22" s="2315"/>
      <c r="AX22" s="2315"/>
      <c r="AY22" s="2315"/>
      <c r="AZ22" s="2315"/>
      <c r="BA22" s="2315"/>
      <c r="BB22" s="2315"/>
      <c r="BC22" s="2315"/>
      <c r="BD22" s="2315"/>
      <c r="BE22" s="2315"/>
      <c r="BF22" s="2315"/>
      <c r="BG22" s="2315"/>
      <c r="BH22" s="2315"/>
      <c r="BI22" s="2315"/>
      <c r="BJ22" s="2315"/>
      <c r="BK22" s="2315"/>
      <c r="BL22" s="2315"/>
      <c r="BM22" s="2315">
        <v>3520</v>
      </c>
      <c r="BN22" s="2315"/>
      <c r="BO22" s="2315"/>
      <c r="BP22" s="2315"/>
      <c r="BQ22" s="2315"/>
      <c r="BR22" s="2315"/>
      <c r="BS22" s="2315"/>
      <c r="BT22" s="2315"/>
      <c r="BU22" s="2315"/>
      <c r="BV22" s="2315"/>
      <c r="BW22" s="2315"/>
      <c r="BX22" s="2315"/>
      <c r="BY22" s="2315"/>
      <c r="BZ22" s="2315"/>
      <c r="CA22" s="2315"/>
      <c r="CB22" s="2315"/>
      <c r="CC22" s="2315"/>
      <c r="CD22" s="2315"/>
      <c r="CE22" s="2315"/>
      <c r="CF22" s="2315"/>
      <c r="CG22" s="2315"/>
      <c r="CH22" s="2315"/>
      <c r="CI22" s="2315">
        <v>12110</v>
      </c>
      <c r="CJ22" s="2315"/>
      <c r="CK22" s="2315"/>
      <c r="CL22" s="2315"/>
      <c r="CM22" s="2315">
        <f>CM21*0.2</f>
        <v>5575.2000000000007</v>
      </c>
      <c r="CN22" s="2315"/>
      <c r="CO22" s="2315"/>
      <c r="CP22" s="2315">
        <v>12110</v>
      </c>
      <c r="CQ22" s="2315"/>
      <c r="CR22" s="2315"/>
      <c r="CS22" s="2315"/>
      <c r="CT22" s="2315"/>
      <c r="CU22" s="2315"/>
      <c r="CV22" s="2315"/>
      <c r="CW22" s="2315"/>
      <c r="CX22" s="2315">
        <v>12110</v>
      </c>
      <c r="CY22" s="2315"/>
      <c r="CZ22" s="2315"/>
      <c r="DA22" s="2315"/>
      <c r="DB22" s="2315"/>
      <c r="DC22" s="2315"/>
      <c r="DD22" s="2315"/>
      <c r="DE22" s="2315"/>
      <c r="DF22" s="2315"/>
      <c r="DG22" s="2315"/>
      <c r="DH22" s="2315"/>
      <c r="DI22" s="2315"/>
      <c r="DJ22" s="2315"/>
      <c r="DK22" s="2315"/>
      <c r="DL22" s="2315"/>
      <c r="DM22" s="2315"/>
      <c r="DN22" s="2315"/>
      <c r="DO22" s="2315"/>
      <c r="DP22" s="2315"/>
      <c r="DQ22" s="2315"/>
      <c r="DR22" s="2315"/>
      <c r="DS22" s="2315"/>
      <c r="DT22" s="2315"/>
      <c r="DU22" s="2315"/>
      <c r="DV22" s="2315"/>
      <c r="DW22" s="2315">
        <v>3520</v>
      </c>
      <c r="DX22" s="2315"/>
      <c r="DY22" s="2315"/>
      <c r="DZ22" s="2315"/>
      <c r="EA22" s="2315"/>
      <c r="EB22" s="2315"/>
      <c r="EC22" s="2315"/>
      <c r="ED22" s="2315"/>
      <c r="EE22" s="2315"/>
      <c r="EF22" s="2315"/>
      <c r="EG22" s="2315"/>
      <c r="EH22" s="2315"/>
      <c r="EI22" s="2315"/>
      <c r="EJ22" s="2315"/>
      <c r="EK22" s="2315"/>
      <c r="EL22" s="2315"/>
      <c r="EM22" s="2315"/>
      <c r="EN22" s="2315"/>
      <c r="EO22" s="2315"/>
      <c r="EP22" s="2315"/>
      <c r="EQ22" s="2315"/>
      <c r="ER22" s="2315"/>
      <c r="ES22" s="2315"/>
      <c r="ET22" s="2315"/>
      <c r="EU22" s="2315"/>
      <c r="EV22" s="2315"/>
      <c r="EW22" s="2315"/>
      <c r="EX22" s="2315"/>
      <c r="EY22" s="2315"/>
      <c r="EZ22" s="2315"/>
      <c r="FA22" s="2315"/>
      <c r="FB22" s="2315"/>
      <c r="FC22" s="2315"/>
      <c r="FD22" s="2315"/>
      <c r="FE22" s="2315"/>
      <c r="FF22" s="2315"/>
      <c r="FG22" s="2315"/>
      <c r="FH22" s="2315"/>
      <c r="FI22" s="2315"/>
      <c r="FJ22" s="2315"/>
      <c r="FK22" s="2315"/>
      <c r="FL22" s="2315"/>
      <c r="FM22" s="2315"/>
      <c r="FN22" s="2315"/>
      <c r="FO22" s="2315"/>
      <c r="FP22" s="2315"/>
      <c r="FQ22" s="2315"/>
      <c r="FR22" s="2315"/>
      <c r="FS22" s="2315"/>
      <c r="FT22" s="2315"/>
      <c r="FU22" s="2315"/>
      <c r="FV22" s="2315"/>
      <c r="FW22" s="2315"/>
      <c r="FX22" s="2315"/>
      <c r="FY22" s="2315"/>
      <c r="FZ22" s="2315"/>
      <c r="GA22" s="2315"/>
      <c r="GB22" s="2315"/>
      <c r="GC22" s="2315"/>
      <c r="GD22" s="2315"/>
      <c r="GE22" s="2315"/>
      <c r="GF22" s="2315"/>
      <c r="GG22" s="2315"/>
      <c r="GH22" s="2315"/>
      <c r="GI22" s="2315"/>
      <c r="GJ22" s="2315"/>
      <c r="GK22" s="2315"/>
      <c r="GL22" s="2315"/>
      <c r="GM22" s="2315"/>
      <c r="GN22" s="2315"/>
      <c r="GO22" s="2315"/>
      <c r="GP22" s="2315"/>
      <c r="GQ22" s="2315"/>
      <c r="GR22" s="2315"/>
      <c r="GS22" s="2315"/>
      <c r="GT22" s="2315">
        <v>3520</v>
      </c>
      <c r="GU22" s="2315"/>
      <c r="GV22" s="2315">
        <f>GV21*0.2</f>
        <v>3306.8</v>
      </c>
      <c r="GW22" s="2315"/>
      <c r="GX22" s="2315"/>
      <c r="GY22" s="2315"/>
      <c r="GZ22" s="2315"/>
      <c r="HA22" s="2315"/>
      <c r="HB22" s="2315"/>
      <c r="HC22" s="2315"/>
      <c r="HD22" s="2315"/>
      <c r="HE22" s="2315"/>
      <c r="HF22" s="2315"/>
      <c r="HG22" s="2315"/>
      <c r="HH22" s="2315"/>
      <c r="HI22" s="2315"/>
      <c r="HJ22" s="2315"/>
      <c r="HK22" s="2315"/>
      <c r="HL22" s="2315"/>
      <c r="HM22" s="2315"/>
      <c r="HN22" s="2315"/>
      <c r="HO22" s="2315"/>
      <c r="HP22" s="2315"/>
      <c r="HQ22" s="2315"/>
      <c r="HR22" s="2315"/>
      <c r="HS22" s="2315"/>
      <c r="HT22" s="2315"/>
      <c r="HU22" s="2315"/>
      <c r="HV22" s="2315"/>
      <c r="HW22" s="2315"/>
      <c r="HX22" s="2315"/>
      <c r="HY22" s="2315"/>
      <c r="HZ22" s="2315"/>
      <c r="IA22" s="2315"/>
      <c r="IB22" s="2315"/>
      <c r="IC22" s="2315"/>
      <c r="ID22" s="2315"/>
      <c r="IE22" s="2315"/>
      <c r="IF22" s="2315"/>
      <c r="IG22" s="2315"/>
      <c r="IH22" s="2315"/>
      <c r="II22" s="2315"/>
      <c r="IJ22" s="2315"/>
      <c r="IK22" s="2315"/>
      <c r="IL22" s="2315"/>
      <c r="IM22" s="2315"/>
      <c r="IN22" s="2315"/>
      <c r="IO22" s="2315"/>
      <c r="IP22" s="2315"/>
      <c r="IQ22" s="2315"/>
      <c r="IR22" s="2315"/>
      <c r="IS22" s="2315"/>
      <c r="IT22" s="2315"/>
      <c r="IU22" s="2315"/>
      <c r="IV22" s="2315"/>
      <c r="IW22" s="2315"/>
      <c r="IX22" s="2315"/>
      <c r="IY22" s="2315"/>
      <c r="IZ22" s="2315"/>
      <c r="JA22" s="2315"/>
      <c r="JB22" s="2350"/>
      <c r="JC22" s="2350"/>
      <c r="JD22" s="2350"/>
      <c r="JE22" s="2350"/>
      <c r="JF22" s="2350"/>
      <c r="JG22" s="3745"/>
      <c r="JH22" s="1233"/>
      <c r="JI22" s="1229" t="s">
        <v>5100</v>
      </c>
      <c r="JJ22" s="1686" t="s">
        <v>6124</v>
      </c>
    </row>
    <row ht="12.75" r="23" spans="1:270" x14ac:dyDescent="0.2">
      <c r="A23" s="1128">
        <v>5</v>
      </c>
      <c r="B23" s="1255" t="str">
        <f si="1" t="shared"/>
        <v/>
      </c>
      <c r="C23" s="1530" t="s">
        <v>597</v>
      </c>
      <c r="D23" s="672" t="s">
        <v>4486</v>
      </c>
      <c r="E23" s="2315"/>
      <c r="F23" s="2315"/>
      <c r="G23" s="2315"/>
      <c r="H23" s="2315"/>
      <c r="I23" s="2315"/>
      <c r="J23" s="2315">
        <v>17563</v>
      </c>
      <c r="K23" s="2315"/>
      <c r="L23" s="2315"/>
      <c r="M23" s="2315"/>
      <c r="N23" s="2315">
        <v>4800</v>
      </c>
      <c r="O23" s="2315"/>
      <c r="P23" s="2315"/>
      <c r="Q23" s="2315"/>
      <c r="R23" s="2315"/>
      <c r="S23" s="2315"/>
      <c r="T23" s="2315"/>
      <c r="U23" s="2315"/>
      <c r="V23" s="2315"/>
      <c r="W23" s="2315"/>
      <c r="X23" s="2315"/>
      <c r="Y23" s="2315"/>
      <c r="Z23" s="2315"/>
      <c r="AA23" s="2315"/>
      <c r="AB23" s="2315">
        <f>BR_band+3041</f>
        <v>40541</v>
      </c>
      <c r="AC23" s="2315"/>
      <c r="AD23" s="2315"/>
      <c r="AE23" s="2315"/>
      <c r="AF23" s="3504">
        <v>38247</v>
      </c>
      <c r="AG23" s="2315"/>
      <c r="AH23" s="2315"/>
      <c r="AI23" s="2315"/>
      <c r="AJ23" s="2315">
        <v>43651</v>
      </c>
      <c r="AK23" s="2315"/>
      <c r="AL23" s="2315"/>
      <c r="AM23" s="2315">
        <v>14473.97</v>
      </c>
      <c r="AN23" s="2315">
        <v>14473.97</v>
      </c>
      <c r="AO23" s="2315">
        <v>3121</v>
      </c>
      <c r="AP23" s="2315"/>
      <c r="AQ23" s="2315"/>
      <c r="AR23" s="2315">
        <v>14473.97</v>
      </c>
      <c r="AS23" s="2315"/>
      <c r="AT23" s="2315"/>
      <c r="AU23" s="2315"/>
      <c r="AV23" s="2315"/>
      <c r="AW23" s="2315"/>
      <c r="AX23" s="2315"/>
      <c r="AY23" s="2315"/>
      <c r="AZ23" s="2315"/>
      <c r="BA23" s="2315"/>
      <c r="BB23" s="2315"/>
      <c r="BC23" s="2315"/>
      <c r="BD23" s="2315">
        <v>3121</v>
      </c>
      <c r="BE23" s="2315"/>
      <c r="BF23" s="2315"/>
      <c r="BG23" s="3945">
        <v>19072</v>
      </c>
      <c r="BH23" s="2315"/>
      <c r="BI23" s="2315"/>
      <c r="BJ23" s="2315"/>
      <c r="BK23" s="2315"/>
      <c r="BL23" s="2315"/>
      <c r="BM23" s="2315"/>
      <c r="BN23" s="2315">
        <v>14473.97</v>
      </c>
      <c r="BO23" s="2315"/>
      <c r="BP23" s="2315"/>
      <c r="BQ23" s="2315"/>
      <c r="BR23" s="2315"/>
      <c r="BS23" s="2315"/>
      <c r="BT23" s="2315"/>
      <c r="BU23" s="2315"/>
      <c r="BV23" s="2315"/>
      <c r="BW23" s="2315"/>
      <c r="BX23" s="2315"/>
      <c r="BY23" s="2315"/>
      <c r="BZ23" s="2315">
        <v>14473.97</v>
      </c>
      <c r="CA23" s="2315"/>
      <c r="CB23" s="2315"/>
      <c r="CC23" s="2315"/>
      <c r="CD23" s="2315">
        <v>3121</v>
      </c>
      <c r="CE23" s="2315"/>
      <c r="CF23" s="2315"/>
      <c r="CG23" s="2315"/>
      <c r="CH23" s="2315"/>
      <c r="CI23" s="2315">
        <v>43651</v>
      </c>
      <c r="CJ23" s="2315"/>
      <c r="CK23" s="2315">
        <v>3121</v>
      </c>
      <c r="CL23" s="2315"/>
      <c r="CM23" s="2315">
        <v>35475</v>
      </c>
      <c r="CN23" s="2315"/>
      <c r="CO23" s="2315"/>
      <c r="CP23" s="2315">
        <v>43651</v>
      </c>
      <c r="CQ23" s="2315"/>
      <c r="CR23" s="2315"/>
      <c r="CS23" s="2315"/>
      <c r="CT23" s="2315"/>
      <c r="CU23" s="2315"/>
      <c r="CV23" s="2315">
        <v>3121</v>
      </c>
      <c r="CW23" s="2315"/>
      <c r="CX23" s="2315">
        <v>43651</v>
      </c>
      <c r="CY23" s="2315"/>
      <c r="CZ23" s="2315"/>
      <c r="DA23" s="2315"/>
      <c r="DB23" s="2315"/>
      <c r="DC23" s="2315"/>
      <c r="DD23" s="2315"/>
      <c r="DE23" s="2315">
        <v>14473.97</v>
      </c>
      <c r="DF23" s="2315"/>
      <c r="DG23" s="2315"/>
      <c r="DH23" s="2315">
        <v>3121</v>
      </c>
      <c r="DI23" s="2315">
        <v>3121</v>
      </c>
      <c r="DJ23" s="2315"/>
      <c r="DK23" s="2315"/>
      <c r="DL23" s="2315"/>
      <c r="DM23" s="2315"/>
      <c r="DN23" s="2315"/>
      <c r="DO23" s="2315"/>
      <c r="DP23" s="2315"/>
      <c r="DQ23" s="2315"/>
      <c r="DR23" s="2315"/>
      <c r="DS23" s="2315"/>
      <c r="DT23" s="2315"/>
      <c r="DU23" s="2315"/>
      <c r="DV23" s="2315">
        <v>32650</v>
      </c>
      <c r="DW23" s="2315"/>
      <c r="DX23" s="2315"/>
      <c r="DY23" s="2315"/>
      <c r="DZ23" s="2315"/>
      <c r="EA23" s="3706">
        <v>1003</v>
      </c>
      <c r="EB23" s="2315"/>
      <c r="EC23" s="2315"/>
      <c r="ED23" s="2315"/>
      <c r="EE23" s="2315"/>
      <c r="EF23" s="2315"/>
      <c r="EG23" s="2315"/>
      <c r="EH23" s="2315"/>
      <c r="EI23" s="2315"/>
      <c r="EJ23" s="2315"/>
      <c r="EK23" s="2315"/>
      <c r="EL23" s="2315"/>
      <c r="EM23" s="2315"/>
      <c r="EN23" s="2315"/>
      <c r="EO23" s="2315"/>
      <c r="EP23" s="2315"/>
      <c r="EQ23" s="2315"/>
      <c r="ER23" s="2315"/>
      <c r="ES23" s="2315"/>
      <c r="ET23" s="2315"/>
      <c r="EU23" s="2315"/>
      <c r="EV23" s="2315"/>
      <c r="EW23" s="2315"/>
      <c r="EX23" s="2315"/>
      <c r="EY23" s="2315"/>
      <c r="EZ23" s="2315"/>
      <c r="FA23" s="2315"/>
      <c r="FB23" s="2315"/>
      <c r="FC23" s="2315"/>
      <c r="FD23" s="2315"/>
      <c r="FE23" s="2315"/>
      <c r="FF23" s="2315"/>
      <c r="FG23" s="2315"/>
      <c r="FH23" s="2315"/>
      <c r="FI23" s="2315"/>
      <c r="FJ23" s="2315"/>
      <c r="FK23" s="2315"/>
      <c r="FL23" s="2315"/>
      <c r="FM23" s="2315"/>
      <c r="FN23" s="2315"/>
      <c r="FO23" s="2315"/>
      <c r="FP23" s="2315"/>
      <c r="FQ23" s="2315"/>
      <c r="FR23" s="2315"/>
      <c r="FS23" s="2315">
        <v>3121</v>
      </c>
      <c r="FT23" s="2315"/>
      <c r="FU23" s="2315"/>
      <c r="FV23" s="2315"/>
      <c r="FW23" s="2315"/>
      <c r="FX23" s="2315"/>
      <c r="FY23" s="2315"/>
      <c r="FZ23" s="2315"/>
      <c r="GA23" s="2315"/>
      <c r="GB23" s="2315"/>
      <c r="GC23" s="2315"/>
      <c r="GD23" s="2315"/>
      <c r="GE23" s="2315"/>
      <c r="GF23" s="2315"/>
      <c r="GG23" s="2315"/>
      <c r="GH23" s="2315">
        <v>14473.97</v>
      </c>
      <c r="GI23" s="2315">
        <v>32650</v>
      </c>
      <c r="GJ23" s="2315"/>
      <c r="GK23" s="2315"/>
      <c r="GL23" s="2315"/>
      <c r="GM23" s="2315"/>
      <c r="GN23" s="2315"/>
      <c r="GO23" s="2315"/>
      <c r="GP23" s="2315"/>
      <c r="GQ23" s="2315"/>
      <c r="GR23" s="2315"/>
      <c r="GS23" s="2315"/>
      <c r="GT23" s="2315"/>
      <c r="GU23" s="2315"/>
      <c r="GV23" s="2315"/>
      <c r="GW23" s="2315"/>
      <c r="GX23" s="2315"/>
      <c r="GY23" s="2315"/>
      <c r="GZ23" s="2315"/>
      <c r="HA23" s="2315"/>
      <c r="HB23" s="2315"/>
      <c r="HC23" s="2315"/>
      <c r="HD23" s="2315">
        <v>5300</v>
      </c>
      <c r="HE23" s="2315"/>
      <c r="HF23" s="2315"/>
      <c r="HG23" s="2315"/>
      <c r="HH23" s="2315"/>
      <c r="HI23" s="2315"/>
      <c r="HJ23" s="2315">
        <v>51777</v>
      </c>
      <c r="HK23" s="2315">
        <v>32650</v>
      </c>
      <c r="HL23" s="2315">
        <v>32650</v>
      </c>
      <c r="HM23" s="2315">
        <v>32650</v>
      </c>
      <c r="HN23" s="2315"/>
      <c r="HO23" s="2315"/>
      <c r="HP23" s="2315">
        <v>3121</v>
      </c>
      <c r="HQ23" s="2315"/>
      <c r="HR23" s="2315"/>
      <c r="HS23" s="2315">
        <v>5300</v>
      </c>
      <c r="HT23" s="2315"/>
      <c r="HU23" s="2315"/>
      <c r="HV23" s="2315"/>
      <c r="HW23" s="2315">
        <v>4800</v>
      </c>
      <c r="HX23" s="2315">
        <f>BR_band+3041</f>
        <v>40541</v>
      </c>
      <c r="HY23" s="2315"/>
      <c r="HZ23" s="2315"/>
      <c r="IA23" s="2315"/>
      <c r="IB23" s="2315">
        <f>BR_band+3041</f>
        <v>40541</v>
      </c>
      <c r="IC23" s="2315">
        <f>P_A-5507</f>
        <v>6993</v>
      </c>
      <c r="ID23" s="2315">
        <f>BR_band-773</f>
        <v>36727</v>
      </c>
      <c r="IE23" s="2315"/>
      <c r="IF23" s="2315">
        <v>110892</v>
      </c>
      <c r="IG23" s="2315"/>
      <c r="IH23" s="2315"/>
      <c r="II23" s="2315"/>
      <c r="IJ23" s="2315">
        <v>10000</v>
      </c>
      <c r="IK23" s="2315"/>
      <c r="IL23" s="2315"/>
      <c r="IM23" s="2315">
        <f>P_A+1000</f>
        <v>13500</v>
      </c>
      <c r="IN23" s="2315">
        <f>BR_band+P_A-151</f>
        <v>49849</v>
      </c>
      <c r="IO23" s="2315"/>
      <c r="IP23" s="2315"/>
      <c r="IQ23" s="2315"/>
      <c r="IR23" s="3503">
        <v>3720</v>
      </c>
      <c r="IS23" s="4015">
        <v>80993</v>
      </c>
      <c r="IT23" s="2315"/>
      <c r="IU23" s="4015">
        <v>2957</v>
      </c>
      <c r="IV23" s="4015">
        <v>5200</v>
      </c>
      <c r="IW23" s="2315"/>
      <c r="IX23" s="2315"/>
      <c r="IY23" s="4015">
        <v>63257</v>
      </c>
      <c r="IZ23" s="4015">
        <v>62732</v>
      </c>
      <c r="JA23" s="4015">
        <v>15236</v>
      </c>
      <c r="JB23" s="2350"/>
      <c r="JC23" s="2350"/>
      <c r="JD23" s="2350"/>
      <c r="JE23" s="2350"/>
      <c r="JF23" s="2350"/>
      <c r="JG23" s="3745"/>
      <c r="JH23" s="1233"/>
      <c r="JI23" s="1229"/>
      <c r="JJ23" s="1686" t="s">
        <v>6108</v>
      </c>
    </row>
    <row ht="12.75" r="24" spans="1:270" x14ac:dyDescent="0.2">
      <c r="A24" s="1128">
        <v>6</v>
      </c>
      <c r="B24" s="1255" t="str">
        <f si="1" t="shared"/>
        <v/>
      </c>
      <c r="C24" s="1530" t="s">
        <v>598</v>
      </c>
      <c r="D24" s="672" t="s">
        <v>4487</v>
      </c>
      <c r="E24" s="2361"/>
      <c r="F24" s="2361"/>
      <c r="G24" s="2361"/>
      <c r="H24" s="2361"/>
      <c r="I24" s="2361"/>
      <c r="J24" s="2361">
        <f>IF(J23="","",TRUNC(J23*BR_rate,2))</f>
        <v>3512.6</v>
      </c>
      <c r="K24" s="2361"/>
      <c r="L24" s="2361"/>
      <c r="M24" s="2361"/>
      <c r="N24" s="2361">
        <f>IF(N23="","",TRUNC(N23*BR_rate,2))</f>
        <v>960</v>
      </c>
      <c r="O24" s="2361"/>
      <c r="P24" s="2361"/>
      <c r="Q24" s="2361"/>
      <c r="R24" s="2361"/>
      <c r="S24" s="2361"/>
      <c r="T24" s="2361"/>
      <c r="U24" s="2361"/>
      <c r="V24" s="2361"/>
      <c r="W24" s="2361"/>
      <c r="X24" s="2361"/>
      <c r="Y24" s="2361"/>
      <c r="Z24" s="2361"/>
      <c r="AA24" s="2361"/>
      <c r="AB24" s="2361">
        <f>IF(AB23="","",TRUNC(AB23*BR_rate,2))</f>
        <v>8108.2</v>
      </c>
      <c r="AC24" s="2361"/>
      <c r="AD24" s="2361"/>
      <c r="AE24" s="2361"/>
      <c r="AF24" s="2361"/>
      <c r="AG24" s="2361"/>
      <c r="AH24" s="2361"/>
      <c r="AI24" s="2361"/>
      <c r="AJ24" s="2362">
        <f>IF(AJ23="","",TRUNC(AJ23*BR_rate,2))</f>
        <v>8730.2000000000007</v>
      </c>
      <c r="AK24" s="2361"/>
      <c r="AL24" s="2361"/>
      <c r="AM24" s="2361">
        <f>IF(AM23="","",TRUNC(AM23*BR_rate,2))</f>
        <v>2894.79</v>
      </c>
      <c r="AN24" s="2361">
        <f>IF(AN23="","",TRUNC(AN23*BR_rate,2))</f>
        <v>2894.79</v>
      </c>
      <c r="AO24" s="2361">
        <f>IF(AO23="","",TRUNC(AO23*BR_rate,2))</f>
        <v>624.20000000000005</v>
      </c>
      <c r="AP24" s="2361"/>
      <c r="AQ24" s="2361"/>
      <c r="AR24" s="2361">
        <f>IF(AR23="","",TRUNC(AR23*BR_rate,2))</f>
        <v>2894.79</v>
      </c>
      <c r="AS24" s="2361"/>
      <c r="AT24" s="2361"/>
      <c r="AU24" s="2361"/>
      <c r="AV24" s="2361"/>
      <c r="AW24" s="2361"/>
      <c r="AX24" s="2361"/>
      <c r="AY24" s="2361"/>
      <c r="AZ24" s="2361"/>
      <c r="BA24" s="2361"/>
      <c r="BB24" s="2361"/>
      <c r="BC24" s="2361"/>
      <c r="BD24" s="2361">
        <f>IF(BD23="","",TRUNC(BD23*BR_rate,2))</f>
        <v>624.20000000000005</v>
      </c>
      <c r="BE24" s="2361"/>
      <c r="BF24" s="2361"/>
      <c r="BG24" s="2362"/>
      <c r="BH24" s="2361"/>
      <c r="BI24" s="2361"/>
      <c r="BJ24" s="2362"/>
      <c r="BK24" s="2361"/>
      <c r="BL24" s="2361"/>
      <c r="BM24" s="2361"/>
      <c r="BN24" s="2361">
        <f>IF(BN23="","",TRUNC(BN23*BR_rate,2))</f>
        <v>2894.79</v>
      </c>
      <c r="BO24" s="2361"/>
      <c r="BP24" s="2361"/>
      <c r="BQ24" s="2361"/>
      <c r="BR24" s="2361"/>
      <c r="BS24" s="2361"/>
      <c r="BT24" s="2361"/>
      <c r="BU24" s="2361"/>
      <c r="BV24" s="2361"/>
      <c r="BW24" s="2361"/>
      <c r="BX24" s="2361"/>
      <c r="BY24" s="2361"/>
      <c r="BZ24" s="2361">
        <f>IF(BZ23="","",TRUNC(BZ23*BR_rate,2))</f>
        <v>2894.79</v>
      </c>
      <c r="CA24" s="2361"/>
      <c r="CB24" s="2365"/>
      <c r="CC24" s="2365"/>
      <c r="CD24" s="2361">
        <f>IF(CD23="","",TRUNC(CD23*BR_rate,2))</f>
        <v>624.20000000000005</v>
      </c>
      <c r="CE24" s="2365"/>
      <c r="CF24" s="2361"/>
      <c r="CG24" s="2361"/>
      <c r="CH24" s="2361"/>
      <c r="CI24" s="2361">
        <f>IF(CI23="","",TRUNC(CI23*BR_rate,2))</f>
        <v>8730.2000000000007</v>
      </c>
      <c r="CJ24" s="2365"/>
      <c r="CK24" s="2361">
        <f>IF(CK23="","",TRUNC(CK23*BR_rate,2))</f>
        <v>624.20000000000005</v>
      </c>
      <c r="CL24" s="2365"/>
      <c r="CM24" s="2365">
        <f>IF(CM23="","",TRUNC(CM23*BR_rate,2))</f>
        <v>7095</v>
      </c>
      <c r="CN24" s="2365"/>
      <c r="CO24" s="2365"/>
      <c r="CP24" s="2361">
        <f>IF(CP23="","",TRUNC(CP23*BR_rate,2))</f>
        <v>8730.2000000000007</v>
      </c>
      <c r="CQ24" s="2365"/>
      <c r="CR24" s="2365"/>
      <c r="CS24" s="2365"/>
      <c r="CT24" s="2365"/>
      <c r="CU24" s="2365"/>
      <c r="CV24" s="2361">
        <f>IF(CV23="","",TRUNC(CV23*BR_rate,2))</f>
        <v>624.20000000000005</v>
      </c>
      <c r="CW24" s="2365"/>
      <c r="CX24" s="2361">
        <f>IF(CX23="","",TRUNC(CX23*BR_rate,2))</f>
        <v>8730.2000000000007</v>
      </c>
      <c r="CY24" s="2365"/>
      <c r="CZ24" s="2365"/>
      <c r="DA24" s="2365"/>
      <c r="DB24" s="2365"/>
      <c r="DC24" s="2365"/>
      <c r="DD24" s="2365"/>
      <c r="DE24" s="2361">
        <f>IF(DE23="","",TRUNC(DE23*BR_rate,2))</f>
        <v>2894.79</v>
      </c>
      <c r="DF24" s="2365"/>
      <c r="DG24" s="2365"/>
      <c r="DH24" s="2361">
        <f>IF(DH23="","",TRUNC(DH23*BR_rate,2))</f>
        <v>624.20000000000005</v>
      </c>
      <c r="DI24" s="2361">
        <f>IF(DI23="","",TRUNC(DI23*BR_rate,2))</f>
        <v>624.20000000000005</v>
      </c>
      <c r="DJ24" s="2365"/>
      <c r="DK24" s="2365"/>
      <c r="DL24" s="2365"/>
      <c r="DM24" s="2365"/>
      <c r="DN24" s="2365"/>
      <c r="DO24" s="2361"/>
      <c r="DP24" s="2365"/>
      <c r="DQ24" s="2365"/>
      <c r="DR24" s="2365"/>
      <c r="DS24" s="2365"/>
      <c r="DT24" s="2365"/>
      <c r="DU24" s="2365"/>
      <c r="DV24" s="2361">
        <f>IF(DV23="","",TRUNC(DV23*BR_rate,2))</f>
        <v>6530</v>
      </c>
      <c r="DW24" s="2361"/>
      <c r="DX24" s="2365"/>
      <c r="DY24" s="2365"/>
      <c r="DZ24" s="2361"/>
      <c r="EA24" s="4115">
        <v>0</v>
      </c>
      <c r="EB24" s="2365"/>
      <c r="EC24" s="2365"/>
      <c r="ED24" s="2365"/>
      <c r="EE24" s="2365"/>
      <c r="EF24" s="2365"/>
      <c r="EG24" s="2365"/>
      <c r="EH24" s="2365"/>
      <c r="EI24" s="2365"/>
      <c r="EJ24" s="2365"/>
      <c r="EK24" s="2365"/>
      <c r="EL24" s="2361"/>
      <c r="EM24" s="2365"/>
      <c r="EN24" s="2365"/>
      <c r="EO24" s="2365"/>
      <c r="EP24" s="2365"/>
      <c r="EQ24" s="2365"/>
      <c r="ER24" s="2365"/>
      <c r="ES24" s="2365"/>
      <c r="ET24" s="2361"/>
      <c r="EU24" s="2365"/>
      <c r="EV24" s="2365"/>
      <c r="EW24" s="2365"/>
      <c r="EX24" s="2365"/>
      <c r="EY24" s="2365"/>
      <c r="EZ24" s="2365"/>
      <c r="FA24" s="2365"/>
      <c r="FB24" s="2361"/>
      <c r="FC24" s="2365"/>
      <c r="FD24" s="2365"/>
      <c r="FE24" s="2365"/>
      <c r="FF24" s="2365"/>
      <c r="FG24" s="2365"/>
      <c r="FH24" s="2365"/>
      <c r="FI24" s="2365"/>
      <c r="FJ24" s="2365"/>
      <c r="FK24" s="2365"/>
      <c r="FL24" s="2365"/>
      <c r="FM24" s="2365"/>
      <c r="FN24" s="2365"/>
      <c r="FO24" s="2365"/>
      <c r="FP24" s="2365"/>
      <c r="FQ24" s="2365"/>
      <c r="FR24" s="2365"/>
      <c r="FS24" s="2361">
        <f>IF(FS23="","",TRUNC(FS23*BR_rate,2))</f>
        <v>624.20000000000005</v>
      </c>
      <c r="FT24" s="2361"/>
      <c r="FU24" s="2361"/>
      <c r="FV24" s="2361"/>
      <c r="FW24" s="2365"/>
      <c r="FX24" s="2365"/>
      <c r="FY24" s="2361"/>
      <c r="FZ24" s="2361"/>
      <c r="GA24" s="2361"/>
      <c r="GB24" s="2361"/>
      <c r="GC24" s="2365"/>
      <c r="GD24" s="2365"/>
      <c r="GE24" s="2361"/>
      <c r="GF24" s="2365"/>
      <c r="GG24" s="2365"/>
      <c r="GH24" s="2361">
        <f>IF(GH23="","",TRUNC(GH23*BR_rate,2))</f>
        <v>2894.79</v>
      </c>
      <c r="GI24" s="2361">
        <f>IF(GI23="","",TRUNC(GI23*BR_rate,2))</f>
        <v>6530</v>
      </c>
      <c r="GJ24" s="2365"/>
      <c r="GK24" s="2365"/>
      <c r="GL24" s="2365"/>
      <c r="GM24" s="2365"/>
      <c r="GN24" s="2365"/>
      <c r="GO24" s="2365"/>
      <c r="GP24" s="2365"/>
      <c r="GQ24" s="2365"/>
      <c r="GR24" s="2365"/>
      <c r="GS24" s="2365"/>
      <c r="GT24" s="2361" t="str">
        <f>IF(GT23="","",TRUNC(GT23*BR_rate,2))</f>
        <v/>
      </c>
      <c r="GU24" s="2361" t="str">
        <f>IF(GU23="","",TRUNC(GU23*BR_rate,2))</f>
        <v/>
      </c>
      <c r="GV24" s="2361" t="str">
        <f>IF(GV23="","",TRUNC(GV23*BR_rate,2))</f>
        <v/>
      </c>
      <c r="GW24" s="2365"/>
      <c r="GX24" s="2365"/>
      <c r="GY24" s="2365"/>
      <c r="GZ24" s="2365"/>
      <c r="HA24" s="2365"/>
      <c r="HB24" s="2365"/>
      <c r="HC24" s="2365"/>
      <c r="HD24" s="2361">
        <f>IF(HD23="","",TRUNC(HD23*BR_rate,2))</f>
        <v>1060</v>
      </c>
      <c r="HE24" s="2365"/>
      <c r="HF24" s="2365"/>
      <c r="HG24" s="2365"/>
      <c r="HH24" s="2365"/>
      <c r="HI24" s="2365"/>
      <c r="HJ24" s="2361">
        <v>12803</v>
      </c>
      <c r="HK24" s="2361">
        <f>IF(HK23="","",TRUNC(HK23*BR_rate,2))</f>
        <v>6530</v>
      </c>
      <c r="HL24" s="2361">
        <f>IF(HL23="","",TRUNC(HL23*BR_rate,2))</f>
        <v>6530</v>
      </c>
      <c r="HM24" s="2361">
        <f>IF(HM23="","",TRUNC(HM23*BR_rate,2))</f>
        <v>6530</v>
      </c>
      <c r="HN24" s="2365"/>
      <c r="HO24" s="2365"/>
      <c r="HP24" s="2361">
        <f>IF(HP23="","",TRUNC(HP23*BR_rate,2))</f>
        <v>624.20000000000005</v>
      </c>
      <c r="HQ24" s="2361"/>
      <c r="HR24" s="2365"/>
      <c r="HS24" s="2361">
        <f>IF(HS23="","",TRUNC(HS23*BR_rate,2))</f>
        <v>1060</v>
      </c>
      <c r="HT24" s="2361"/>
      <c r="HU24" s="2365"/>
      <c r="HV24" s="2365"/>
      <c r="HW24" s="2361">
        <f>IF(HW23="","",TRUNC(HW23*BR_rate,2))</f>
        <v>960</v>
      </c>
      <c r="HX24" s="2361">
        <f>IF(HX23="","",TRUNC(HX23*BR_rate,2))</f>
        <v>8108.2</v>
      </c>
      <c r="HY24" s="2365"/>
      <c r="HZ24" s="2362"/>
      <c r="IA24" s="2365"/>
      <c r="IB24" s="2361">
        <f>IF(IB23="","",TRUNC(IB23*BR_rate,2))</f>
        <v>8108.2</v>
      </c>
      <c r="IC24" s="2362">
        <f>IF(IC23="","",TRUNC((IC23-5000)*BR_rate,2))</f>
        <v>398.6</v>
      </c>
      <c r="ID24" s="2362">
        <f>IF(ID23="","",TRUNC(ID23*BR_rate,2))</f>
        <v>7345.4</v>
      </c>
      <c r="IE24" s="2362"/>
      <c r="IF24" s="2363">
        <v>1112</v>
      </c>
      <c r="IG24" s="2365"/>
      <c r="IH24" s="2362"/>
      <c r="II24" s="2365"/>
      <c r="IJ24" s="2362"/>
      <c r="IK24" s="2365"/>
      <c r="IL24" s="2365"/>
      <c r="IM24" s="2364">
        <f>IF(IM23="","",TRUNC(IM23*BR_rate,2))</f>
        <v>2700</v>
      </c>
      <c r="IN24" s="2364">
        <f>IF(IN23="","",TRUNC((MAX(0,IN23-BR_band))*HR_rate,2)+TRUNC((MIN(IN23,BR_band))*BR_rate,2))</f>
        <v>12439.6</v>
      </c>
      <c r="IO24" s="2365"/>
      <c r="IP24" s="2365"/>
      <c r="IQ24" s="2365"/>
      <c r="IR24" s="2365"/>
      <c r="IS24" s="2361"/>
      <c r="IT24" s="2365"/>
      <c r="IU24" s="2365"/>
      <c r="IV24" s="2365"/>
      <c r="IW24" s="2365"/>
      <c r="IX24" s="2365"/>
      <c r="IY24" s="4015">
        <v>20835</v>
      </c>
      <c r="IZ24" s="4015">
        <v>16091</v>
      </c>
      <c r="JA24" s="4015">
        <v>5241</v>
      </c>
      <c r="JB24" s="2365"/>
      <c r="JC24" s="2365"/>
      <c r="JD24" s="2365"/>
      <c r="JE24" s="2365"/>
      <c r="JF24" s="2365"/>
      <c r="JG24" s="3747" t="str">
        <f>IF(JG23="","",TRUNC(JG23*BR_rate,2))</f>
        <v/>
      </c>
      <c r="JH24" s="1233"/>
      <c r="JI24" s="1229" t="s">
        <v>5101</v>
      </c>
      <c r="JJ24" s="1686" t="s">
        <v>6110</v>
      </c>
    </row>
    <row ht="12.75" r="25" spans="1:270" x14ac:dyDescent="0.2">
      <c r="A25" s="1128">
        <v>7</v>
      </c>
      <c r="B25" s="1255" t="str">
        <f si="1" t="shared"/>
        <v/>
      </c>
      <c r="C25" s="1530" t="s">
        <v>599</v>
      </c>
      <c r="D25" s="672" t="s">
        <v>4488</v>
      </c>
      <c r="E25" s="2366"/>
      <c r="F25" s="2366"/>
      <c r="G25" s="2366"/>
      <c r="H25" s="2367"/>
      <c r="I25" s="2366"/>
      <c r="J25" s="2366"/>
      <c r="K25" s="2366"/>
      <c r="L25" s="2366"/>
      <c r="M25" s="2366"/>
      <c r="N25" s="2367"/>
      <c r="O25" s="2366"/>
      <c r="P25" s="2368"/>
      <c r="Q25" s="2366"/>
      <c r="R25" s="2366"/>
      <c r="S25" s="2366"/>
      <c r="T25" s="2366"/>
      <c r="U25" s="2366"/>
      <c r="V25" s="2366"/>
      <c r="W25" s="2366"/>
      <c r="X25" s="2366"/>
      <c r="Y25" s="2366"/>
      <c r="Z25" s="2366"/>
      <c r="AA25" s="2366"/>
      <c r="AB25" s="2367"/>
      <c r="AC25" s="2366"/>
      <c r="AD25" s="2366"/>
      <c r="AE25" s="2366"/>
      <c r="AF25" s="2366"/>
      <c r="AG25" s="2366"/>
      <c r="AH25" s="2366"/>
      <c r="AI25" s="2366"/>
      <c r="AJ25" s="2367"/>
      <c r="AK25" s="2366"/>
      <c r="AL25" s="2366"/>
      <c r="AM25" s="2366"/>
      <c r="AN25" s="2366"/>
      <c r="AO25" s="2366"/>
      <c r="AP25" s="2366"/>
      <c r="AQ25" s="2366"/>
      <c r="AR25" s="2366"/>
      <c r="AS25" s="2366"/>
      <c r="AT25" s="2366"/>
      <c r="AU25" s="2366"/>
      <c r="AV25" s="2366"/>
      <c r="AW25" s="2366"/>
      <c r="AX25" s="2366"/>
      <c r="AY25" s="2366"/>
      <c r="AZ25" s="2366"/>
      <c r="BA25" s="2368"/>
      <c r="BB25" s="2367"/>
      <c r="BC25" s="2367"/>
      <c r="BD25" s="2366"/>
      <c r="BE25" s="2367"/>
      <c r="BF25" s="2367"/>
      <c r="BG25" s="2315"/>
      <c r="BH25" s="2366"/>
      <c r="BI25" s="2366"/>
      <c r="BJ25" s="2315"/>
      <c r="BK25" s="2366"/>
      <c r="BL25" s="2315"/>
      <c r="BM25" s="2366"/>
      <c r="BN25" s="2366"/>
      <c r="BO25" s="2315"/>
      <c r="BP25" s="2366"/>
      <c r="BQ25" s="2366"/>
      <c r="BR25" s="2366"/>
      <c r="BS25" s="2366"/>
      <c r="BT25" s="2315"/>
      <c r="BU25" s="2366"/>
      <c r="BV25" s="2366"/>
      <c r="BW25" s="2315"/>
      <c r="BX25" s="2366"/>
      <c r="BY25" s="2368"/>
      <c r="BZ25" s="2366"/>
      <c r="CA25" s="2366"/>
      <c r="CB25" s="2368"/>
      <c r="CC25" s="2368"/>
      <c r="CD25" s="2366"/>
      <c r="CE25" s="2368"/>
      <c r="CF25" s="2366"/>
      <c r="CG25" s="2366">
        <v>2092</v>
      </c>
      <c r="CH25" s="2366"/>
      <c r="CI25" s="2367"/>
      <c r="CJ25" s="2368"/>
      <c r="CK25" s="2366"/>
      <c r="CL25" s="2368"/>
      <c r="CM25" s="2367"/>
      <c r="CN25" s="2368"/>
      <c r="CO25" s="2368"/>
      <c r="CP25" s="2367"/>
      <c r="CQ25" s="2368"/>
      <c r="CR25" s="2368"/>
      <c r="CS25" s="2368"/>
      <c r="CT25" s="2368"/>
      <c r="CU25" s="2368"/>
      <c r="CV25" s="2366"/>
      <c r="CW25" s="2368"/>
      <c r="CX25" s="2367"/>
      <c r="CY25" s="2368"/>
      <c r="CZ25" s="2368"/>
      <c r="DA25" s="2368"/>
      <c r="DB25" s="2368"/>
      <c r="DC25" s="2368"/>
      <c r="DD25" s="2368"/>
      <c r="DE25" s="2366"/>
      <c r="DF25" s="2368"/>
      <c r="DG25" s="2368"/>
      <c r="DH25" s="2366"/>
      <c r="DI25" s="2366"/>
      <c r="DJ25" s="2368"/>
      <c r="DK25" s="2368"/>
      <c r="DL25" s="2368"/>
      <c r="DM25" s="2368"/>
      <c r="DN25" s="2368"/>
      <c r="DO25" s="2366"/>
      <c r="DP25" s="2368"/>
      <c r="DQ25" s="2368"/>
      <c r="DR25" s="2368"/>
      <c r="DS25" s="2368"/>
      <c r="DT25" s="2368"/>
      <c r="DU25" s="2368"/>
      <c r="DV25" s="2367"/>
      <c r="DW25" s="2366"/>
      <c r="DX25" s="2368"/>
      <c r="DY25" s="2368"/>
      <c r="DZ25" s="2366"/>
      <c r="EA25" s="2366"/>
      <c r="EB25" s="2368"/>
      <c r="EC25" s="2368"/>
      <c r="ED25" s="2368"/>
      <c r="EE25" s="2368"/>
      <c r="EF25" s="2368"/>
      <c r="EG25" s="2368"/>
      <c r="EH25" s="2368"/>
      <c r="EI25" s="2368"/>
      <c r="EJ25" s="2368"/>
      <c r="EK25" s="2368"/>
      <c r="EL25" s="4220"/>
      <c r="EM25" s="2368"/>
      <c r="EN25" s="2368"/>
      <c r="EO25" s="2368"/>
      <c r="EP25" s="2368"/>
      <c r="EQ25" s="2368"/>
      <c r="ER25" s="2368"/>
      <c r="ES25" s="2368"/>
      <c r="ET25" s="2368"/>
      <c r="EU25" s="2368"/>
      <c r="EV25" s="2368"/>
      <c r="EW25" s="2368"/>
      <c r="EX25" s="2368"/>
      <c r="EY25" s="2368"/>
      <c r="EZ25" s="2368"/>
      <c r="FA25" s="2368"/>
      <c r="FB25" s="2368"/>
      <c r="FC25" s="2368"/>
      <c r="FD25" s="2368"/>
      <c r="FE25" s="2368"/>
      <c r="FF25" s="2368"/>
      <c r="FG25" s="2368"/>
      <c r="FH25" s="2368"/>
      <c r="FI25" s="2368"/>
      <c r="FJ25" s="2368"/>
      <c r="FK25" s="2368"/>
      <c r="FL25" s="2368"/>
      <c r="FM25" s="2368"/>
      <c r="FN25" s="2368"/>
      <c r="FO25" s="2368"/>
      <c r="FP25" s="2368"/>
      <c r="FQ25" s="2368"/>
      <c r="FR25" s="2368"/>
      <c r="FS25" s="2366"/>
      <c r="FT25" s="2366"/>
      <c r="FU25" s="2366"/>
      <c r="FV25" s="2366"/>
      <c r="FW25" s="2368"/>
      <c r="FX25" s="2368"/>
      <c r="FY25" s="2368"/>
      <c r="FZ25" s="2368"/>
      <c r="GA25" s="2368"/>
      <c r="GB25" s="2368"/>
      <c r="GC25" s="2368"/>
      <c r="GD25" s="2368"/>
      <c r="GE25" s="2366"/>
      <c r="GF25" s="2368"/>
      <c r="GG25" s="2368"/>
      <c r="GH25" s="2366"/>
      <c r="GI25" s="2367"/>
      <c r="GJ25" s="2368"/>
      <c r="GK25" s="2368"/>
      <c r="GL25" s="2368"/>
      <c r="GM25" s="2368"/>
      <c r="GN25" s="2368"/>
      <c r="GO25" s="2368"/>
      <c r="GP25" s="2368"/>
      <c r="GQ25" s="2368"/>
      <c r="GR25" s="2368"/>
      <c r="GS25" s="2368"/>
      <c r="GT25" s="2366"/>
      <c r="GU25" s="2366"/>
      <c r="GV25" s="3078">
        <v>289</v>
      </c>
      <c r="GW25" s="2368"/>
      <c r="GX25" s="2368"/>
      <c r="GY25" s="2368"/>
      <c r="GZ25" s="2368"/>
      <c r="HA25" s="2368"/>
      <c r="HB25" s="2368"/>
      <c r="HC25" s="2368"/>
      <c r="HD25" s="2367"/>
      <c r="HE25" s="2368"/>
      <c r="HF25" s="2368"/>
      <c r="HG25" s="2368"/>
      <c r="HH25" s="2368"/>
      <c r="HI25" s="2368"/>
      <c r="HJ25" s="2367"/>
      <c r="HK25" s="2367"/>
      <c r="HL25" s="2367"/>
      <c r="HM25" s="2367"/>
      <c r="HN25" s="2368"/>
      <c r="HO25" s="2368"/>
      <c r="HP25" s="2366"/>
      <c r="HQ25" s="2368"/>
      <c r="HR25" s="2368"/>
      <c r="HS25" s="2367"/>
      <c r="HT25" s="2366"/>
      <c r="HU25" s="2368"/>
      <c r="HV25" s="2368"/>
      <c r="HW25" s="2367"/>
      <c r="HX25" s="2367"/>
      <c r="HY25" s="2368"/>
      <c r="HZ25" s="2315"/>
      <c r="IA25" s="2368"/>
      <c r="IB25" s="2367"/>
      <c r="IC25" s="2315"/>
      <c r="ID25" s="2315"/>
      <c r="IE25" s="2315"/>
      <c r="IF25" s="2315"/>
      <c r="IG25" s="2368"/>
      <c r="IH25" s="2355">
        <v>5780</v>
      </c>
      <c r="II25" s="2368"/>
      <c r="IJ25" s="2355"/>
      <c r="IK25" s="2368"/>
      <c r="IL25" s="2368"/>
      <c r="IM25" s="2367"/>
      <c r="IN25" s="2367"/>
      <c r="IO25" s="2368"/>
      <c r="IP25" s="2368"/>
      <c r="IQ25" s="2368"/>
      <c r="IR25" s="2368"/>
      <c r="IS25" s="2368"/>
      <c r="IT25" s="2368"/>
      <c r="IU25" s="2368"/>
      <c r="IV25" s="2368"/>
      <c r="IW25" s="2368"/>
      <c r="IX25" s="2368"/>
      <c r="IY25" s="2368"/>
      <c r="IZ25" s="2368"/>
      <c r="JA25" s="2368"/>
      <c r="JB25" s="2368"/>
      <c r="JC25" s="2368"/>
      <c r="JD25" s="2368"/>
      <c r="JE25" s="2368"/>
      <c r="JF25" s="2368"/>
      <c r="JG25" s="3745"/>
      <c r="JH25" s="1233"/>
      <c r="JI25" s="1229"/>
      <c r="JJ25" s="1686" t="s">
        <v>6108</v>
      </c>
    </row>
    <row ht="12.75" r="26" spans="1:270" x14ac:dyDescent="0.2">
      <c r="A26" s="1128">
        <v>8</v>
      </c>
      <c r="B26" s="1255" t="str">
        <f si="1" t="shared"/>
        <v/>
      </c>
      <c r="C26" s="1530" t="s">
        <v>600</v>
      </c>
      <c r="D26" s="672" t="s">
        <v>4489</v>
      </c>
      <c r="E26" s="2361"/>
      <c r="F26" s="2361"/>
      <c r="G26" s="2361"/>
      <c r="H26" s="2361"/>
      <c r="I26" s="2361"/>
      <c r="J26" s="2361"/>
      <c r="K26" s="2361"/>
      <c r="L26" s="2361"/>
      <c r="M26" s="2361"/>
      <c r="N26" s="2361"/>
      <c r="O26" s="2361"/>
      <c r="P26" s="2361"/>
      <c r="Q26" s="2361"/>
      <c r="R26" s="2361"/>
      <c r="S26" s="2361"/>
      <c r="T26" s="2361"/>
      <c r="U26" s="2361"/>
      <c r="V26" s="2361"/>
      <c r="W26" s="2361"/>
      <c r="X26" s="2361"/>
      <c r="Y26" s="2361"/>
      <c r="Z26" s="2361"/>
      <c r="AA26" s="2361"/>
      <c r="AB26" s="2361"/>
      <c r="AC26" s="2361"/>
      <c r="AD26" s="2361"/>
      <c r="AE26" s="2361"/>
      <c r="AF26" s="2361"/>
      <c r="AG26" s="2361"/>
      <c r="AH26" s="2361"/>
      <c r="AI26" s="2361"/>
      <c r="AJ26" s="2361"/>
      <c r="AK26" s="2361"/>
      <c r="AL26" s="2361"/>
      <c r="AM26" s="2361"/>
      <c r="AN26" s="2361"/>
      <c r="AO26" s="2361"/>
      <c r="AP26" s="2361"/>
      <c r="AQ26" s="2361"/>
      <c r="AR26" s="2361"/>
      <c r="AS26" s="2361"/>
      <c r="AT26" s="2361"/>
      <c r="AU26" s="2361"/>
      <c r="AV26" s="2361"/>
      <c r="AW26" s="2361"/>
      <c r="AX26" s="2361"/>
      <c r="AY26" s="2361"/>
      <c r="AZ26" s="2361"/>
      <c r="BA26" s="2361"/>
      <c r="BB26" s="2361"/>
      <c r="BC26" s="2361"/>
      <c r="BD26" s="2361"/>
      <c r="BE26" s="2361"/>
      <c r="BF26" s="2361"/>
      <c r="BG26" s="2362"/>
      <c r="BH26" s="2361"/>
      <c r="BI26" s="2361"/>
      <c r="BJ26" s="2362"/>
      <c r="BK26" s="2361"/>
      <c r="BL26" s="2315"/>
      <c r="BM26" s="2361"/>
      <c r="BN26" s="2361"/>
      <c r="BO26" s="2315"/>
      <c r="BP26" s="2361"/>
      <c r="BQ26" s="2361"/>
      <c r="BR26" s="2361"/>
      <c r="BS26" s="2361"/>
      <c r="BT26" s="2315"/>
      <c r="BU26" s="2361"/>
      <c r="BV26" s="2361"/>
      <c r="BW26" s="2315"/>
      <c r="BX26" s="2361"/>
      <c r="BY26" s="2361"/>
      <c r="BZ26" s="2361"/>
      <c r="CA26" s="2361"/>
      <c r="CB26" s="2365"/>
      <c r="CC26" s="2365"/>
      <c r="CD26" s="2361"/>
      <c r="CE26" s="2365"/>
      <c r="CF26" s="2361"/>
      <c r="CG26" s="2361">
        <f>IF(CG25="","",TRUNC(CG25*BR_rate,2))</f>
        <v>418.4</v>
      </c>
      <c r="CH26" s="2361"/>
      <c r="CI26" s="2361"/>
      <c r="CJ26" s="2365"/>
      <c r="CK26" s="2361"/>
      <c r="CL26" s="2365"/>
      <c r="CM26" s="2361"/>
      <c r="CN26" s="2365"/>
      <c r="CO26" s="2365"/>
      <c r="CP26" s="2361"/>
      <c r="CQ26" s="2365"/>
      <c r="CR26" s="2365"/>
      <c r="CS26" s="2365"/>
      <c r="CT26" s="2365"/>
      <c r="CU26" s="2365"/>
      <c r="CV26" s="2361"/>
      <c r="CW26" s="2365"/>
      <c r="CX26" s="2361"/>
      <c r="CY26" s="2365"/>
      <c r="CZ26" s="2365"/>
      <c r="DA26" s="2365"/>
      <c r="DB26" s="2365"/>
      <c r="DC26" s="2365"/>
      <c r="DD26" s="2365"/>
      <c r="DE26" s="2361"/>
      <c r="DF26" s="2365"/>
      <c r="DG26" s="2365"/>
      <c r="DH26" s="2361"/>
      <c r="DI26" s="2361"/>
      <c r="DJ26" s="2365"/>
      <c r="DK26" s="2365"/>
      <c r="DL26" s="2365"/>
      <c r="DM26" s="2365"/>
      <c r="DN26" s="2365"/>
      <c r="DO26" s="2361"/>
      <c r="DP26" s="2365"/>
      <c r="DQ26" s="2365"/>
      <c r="DR26" s="2365"/>
      <c r="DS26" s="2365"/>
      <c r="DT26" s="2365"/>
      <c r="DU26" s="2365"/>
      <c r="DV26" s="2361"/>
      <c r="DW26" s="2361"/>
      <c r="DX26" s="2365"/>
      <c r="DY26" s="2365"/>
      <c r="DZ26" s="2361"/>
      <c r="EA26" s="2361"/>
      <c r="EB26" s="2365"/>
      <c r="EC26" s="2365"/>
      <c r="ED26" s="2365"/>
      <c r="EE26" s="2365"/>
      <c r="EF26" s="2365"/>
      <c r="EG26" s="2365"/>
      <c r="EH26" s="2365"/>
      <c r="EI26" s="2365"/>
      <c r="EJ26" s="2365"/>
      <c r="EK26" s="2365"/>
      <c r="EL26" s="4115"/>
      <c r="EM26" s="2365"/>
      <c r="EN26" s="2365"/>
      <c r="EO26" s="2365"/>
      <c r="EP26" s="2365"/>
      <c r="EQ26" s="2365"/>
      <c r="ER26" s="2365"/>
      <c r="ES26" s="2365"/>
      <c r="ET26" s="2361"/>
      <c r="EU26" s="2365"/>
      <c r="EV26" s="2365"/>
      <c r="EW26" s="2365"/>
      <c r="EX26" s="2365"/>
      <c r="EY26" s="2365"/>
      <c r="EZ26" s="2365"/>
      <c r="FA26" s="2365"/>
      <c r="FB26" s="2361"/>
      <c r="FC26" s="2365"/>
      <c r="FD26" s="2365"/>
      <c r="FE26" s="2365"/>
      <c r="FF26" s="2365"/>
      <c r="FG26" s="2365"/>
      <c r="FH26" s="2365"/>
      <c r="FI26" s="2365"/>
      <c r="FJ26" s="2365"/>
      <c r="FK26" s="2365"/>
      <c r="FL26" s="2365"/>
      <c r="FM26" s="2365"/>
      <c r="FN26" s="2365"/>
      <c r="FO26" s="2365"/>
      <c r="FP26" s="2365"/>
      <c r="FQ26" s="2365"/>
      <c r="FR26" s="2365"/>
      <c r="FS26" s="2361"/>
      <c r="FT26" s="2361"/>
      <c r="FU26" s="2361"/>
      <c r="FV26" s="2361"/>
      <c r="FW26" s="2365"/>
      <c r="FX26" s="2365"/>
      <c r="FY26" s="2361"/>
      <c r="FZ26" s="2361"/>
      <c r="GA26" s="2361"/>
      <c r="GB26" s="2361"/>
      <c r="GC26" s="2365"/>
      <c r="GD26" s="2365"/>
      <c r="GE26" s="2361"/>
      <c r="GF26" s="2365"/>
      <c r="GG26" s="2365"/>
      <c r="GH26" s="2361"/>
      <c r="GI26" s="2361"/>
      <c r="GJ26" s="2365"/>
      <c r="GK26" s="2365"/>
      <c r="GL26" s="2365"/>
      <c r="GM26" s="2365"/>
      <c r="GN26" s="2365"/>
      <c r="GO26" s="2365"/>
      <c r="GP26" s="2365"/>
      <c r="GQ26" s="2365"/>
      <c r="GR26" s="2365"/>
      <c r="GS26" s="2365"/>
      <c r="GT26" s="2361"/>
      <c r="GU26" s="2361"/>
      <c r="GV26" s="2361">
        <f>IF(GV25="","",TRUNC(GV25*BR_rate,2))</f>
        <v>57.8</v>
      </c>
      <c r="GW26" s="2365"/>
      <c r="GX26" s="2365"/>
      <c r="GY26" s="2365"/>
      <c r="GZ26" s="2365"/>
      <c r="HA26" s="2365"/>
      <c r="HB26" s="2365"/>
      <c r="HC26" s="2365"/>
      <c r="HD26" s="2361"/>
      <c r="HE26" s="2365"/>
      <c r="HF26" s="2365"/>
      <c r="HG26" s="2365"/>
      <c r="HH26" s="2365"/>
      <c r="HI26" s="2365"/>
      <c r="HJ26" s="2361"/>
      <c r="HK26" s="2361"/>
      <c r="HL26" s="2361"/>
      <c r="HM26" s="2361"/>
      <c r="HN26" s="2365"/>
      <c r="HO26" s="2365"/>
      <c r="HP26" s="2361"/>
      <c r="HQ26" s="2361"/>
      <c r="HR26" s="2365"/>
      <c r="HS26" s="2361"/>
      <c r="HT26" s="2361"/>
      <c r="HU26" s="2365"/>
      <c r="HV26" s="2365"/>
      <c r="HW26" s="2361"/>
      <c r="HX26" s="2361"/>
      <c r="HY26" s="2365"/>
      <c r="HZ26" s="2362"/>
      <c r="IA26" s="2365"/>
      <c r="IB26" s="2361"/>
      <c r="IC26" s="2362"/>
      <c r="ID26" s="2362"/>
      <c r="IE26" s="2362"/>
      <c r="IF26" s="2362"/>
      <c r="IG26" s="2365"/>
      <c r="IH26" s="2362"/>
      <c r="II26" s="2365"/>
      <c r="IJ26" s="2362"/>
      <c r="IK26" s="2365"/>
      <c r="IL26" s="2365"/>
      <c r="IM26" s="2361"/>
      <c r="IN26" s="2361"/>
      <c r="IO26" s="2365"/>
      <c r="IP26" s="2365"/>
      <c r="IQ26" s="2365"/>
      <c r="IR26" s="2365"/>
      <c r="IS26" s="2365"/>
      <c r="IT26" s="2365"/>
      <c r="IU26" s="2365"/>
      <c r="IV26" s="2365"/>
      <c r="IW26" s="2365"/>
      <c r="IX26" s="2365"/>
      <c r="IY26" s="2365"/>
      <c r="IZ26" s="2365"/>
      <c r="JA26" s="2365"/>
      <c r="JB26" s="2365"/>
      <c r="JC26" s="2365"/>
      <c r="JD26" s="2365"/>
      <c r="JE26" s="2365"/>
      <c r="JF26" s="2365"/>
      <c r="JG26" s="3747"/>
      <c r="JH26" s="1233"/>
      <c r="JI26" s="1229" t="s">
        <v>5102</v>
      </c>
      <c r="JJ26" s="1686" t="s">
        <v>6124</v>
      </c>
    </row>
    <row ht="12.75" r="27" spans="1:270" x14ac:dyDescent="0.2">
      <c r="A27" s="1128">
        <v>9</v>
      </c>
      <c r="B27" s="1255" t="str">
        <f si="1" t="shared"/>
        <v/>
      </c>
      <c r="C27" s="1530" t="s">
        <v>3303</v>
      </c>
      <c r="D27" s="672" t="s">
        <v>4490</v>
      </c>
      <c r="E27" s="2351"/>
      <c r="F27" s="2351"/>
      <c r="G27" s="2351"/>
      <c r="H27" s="2351"/>
      <c r="I27" s="2351"/>
      <c r="J27" s="2351"/>
      <c r="K27" s="2351"/>
      <c r="L27" s="2351"/>
      <c r="M27" s="2351"/>
      <c r="N27" s="2351"/>
      <c r="O27" s="2351"/>
      <c r="P27" s="2352"/>
      <c r="Q27" s="2351"/>
      <c r="R27" s="2351"/>
      <c r="S27" s="2351"/>
      <c r="T27" s="2351"/>
      <c r="U27" s="2351"/>
      <c r="V27" s="2351"/>
      <c r="W27" s="2351"/>
      <c r="X27" s="2351"/>
      <c r="Y27" s="2351"/>
      <c r="Z27" s="2351"/>
      <c r="AA27" s="2351"/>
      <c r="AB27" s="2351"/>
      <c r="AC27" s="2351"/>
      <c r="AD27" s="2351"/>
      <c r="AE27" s="2351"/>
      <c r="AF27" s="2351"/>
      <c r="AG27" s="2351"/>
      <c r="AH27" s="2351"/>
      <c r="AI27" s="2351"/>
      <c r="AJ27" s="2351"/>
      <c r="AK27" s="2351"/>
      <c r="AL27" s="2351"/>
      <c r="AM27" s="2351"/>
      <c r="AN27" s="2351"/>
      <c r="AO27" s="2351"/>
      <c r="AP27" s="2351"/>
      <c r="AQ27" s="2351"/>
      <c r="AR27" s="2351"/>
      <c r="AS27" s="2351"/>
      <c r="AT27" s="2351"/>
      <c r="AU27" s="2351"/>
      <c r="AV27" s="2351"/>
      <c r="AW27" s="2351"/>
      <c r="AX27" s="2351"/>
      <c r="AY27" s="2351"/>
      <c r="AZ27" s="2351"/>
      <c r="BA27" s="2352"/>
      <c r="BB27" s="2351"/>
      <c r="BC27" s="2351"/>
      <c r="BD27" s="2351"/>
      <c r="BE27" s="2351"/>
      <c r="BF27" s="2351"/>
      <c r="BG27" s="2351"/>
      <c r="BH27" s="2351"/>
      <c r="BI27" s="2351"/>
      <c r="BJ27" s="2351"/>
      <c r="BK27" s="2351"/>
      <c r="BL27" s="2351"/>
      <c r="BM27" s="2351"/>
      <c r="BN27" s="2351"/>
      <c r="BO27" s="2351"/>
      <c r="BP27" s="2351"/>
      <c r="BQ27" s="2351"/>
      <c r="BR27" s="2351"/>
      <c r="BS27" s="2351"/>
      <c r="BT27" s="2351"/>
      <c r="BU27" s="2351"/>
      <c r="BV27" s="2351"/>
      <c r="BW27" s="2351"/>
      <c r="BX27" s="2351"/>
      <c r="BY27" s="2352"/>
      <c r="BZ27" s="2351"/>
      <c r="CA27" s="2351"/>
      <c r="CB27" s="2352"/>
      <c r="CC27" s="2352"/>
      <c r="CD27" s="2351"/>
      <c r="CE27" s="2352"/>
      <c r="CF27" s="2351"/>
      <c r="CG27" s="2351"/>
      <c r="CH27" s="2351"/>
      <c r="CI27" s="2351"/>
      <c r="CJ27" s="2352"/>
      <c r="CK27" s="2351"/>
      <c r="CL27" s="2352"/>
      <c r="CM27" s="2351"/>
      <c r="CN27" s="2352"/>
      <c r="CO27" s="2352"/>
      <c r="CP27" s="2351"/>
      <c r="CQ27" s="2352"/>
      <c r="CR27" s="2352"/>
      <c r="CS27" s="2352"/>
      <c r="CT27" s="2352"/>
      <c r="CU27" s="2352"/>
      <c r="CV27" s="2351"/>
      <c r="CW27" s="2352"/>
      <c r="CX27" s="2351"/>
      <c r="CY27" s="2352"/>
      <c r="CZ27" s="2352"/>
      <c r="DA27" s="2352"/>
      <c r="DB27" s="2352"/>
      <c r="DC27" s="2352"/>
      <c r="DD27" s="2352"/>
      <c r="DE27" s="2351"/>
      <c r="DF27" s="2352"/>
      <c r="DG27" s="2352"/>
      <c r="DH27" s="2351"/>
      <c r="DI27" s="2351"/>
      <c r="DJ27" s="2352"/>
      <c r="DK27" s="2352"/>
      <c r="DL27" s="2352"/>
      <c r="DM27" s="2352"/>
      <c r="DN27" s="2352"/>
      <c r="DO27" s="2351"/>
      <c r="DP27" s="2352"/>
      <c r="DQ27" s="2352"/>
      <c r="DR27" s="2352"/>
      <c r="DS27" s="2352"/>
      <c r="DT27" s="2352"/>
      <c r="DU27" s="2352"/>
      <c r="DV27" s="2351"/>
      <c r="DW27" s="2351"/>
      <c r="DX27" s="2352"/>
      <c r="DY27" s="2352"/>
      <c r="DZ27" s="2351"/>
      <c r="EA27" s="2351"/>
      <c r="EB27" s="2352"/>
      <c r="EC27" s="2352"/>
      <c r="ED27" s="2352"/>
      <c r="EE27" s="2352"/>
      <c r="EF27" s="2352"/>
      <c r="EG27" s="2352"/>
      <c r="EH27" s="2352"/>
      <c r="EI27" s="2352"/>
      <c r="EJ27" s="2352"/>
      <c r="EK27" s="2352"/>
      <c r="EL27" s="4221"/>
      <c r="EM27" s="2352"/>
      <c r="EN27" s="2352"/>
      <c r="EO27" s="2352"/>
      <c r="EP27" s="2352"/>
      <c r="EQ27" s="2352"/>
      <c r="ER27" s="2352"/>
      <c r="ES27" s="2352"/>
      <c r="ET27" s="2352"/>
      <c r="EU27" s="2352"/>
      <c r="EV27" s="2352"/>
      <c r="EW27" s="2352"/>
      <c r="EX27" s="2352"/>
      <c r="EY27" s="2352"/>
      <c r="EZ27" s="2352"/>
      <c r="FA27" s="2352"/>
      <c r="FB27" s="2352"/>
      <c r="FC27" s="2352"/>
      <c r="FD27" s="2352"/>
      <c r="FE27" s="2352"/>
      <c r="FF27" s="2352"/>
      <c r="FG27" s="2352"/>
      <c r="FH27" s="2352"/>
      <c r="FI27" s="2352"/>
      <c r="FJ27" s="2352"/>
      <c r="FK27" s="2352"/>
      <c r="FL27" s="2352"/>
      <c r="FM27" s="2352"/>
      <c r="FN27" s="2352"/>
      <c r="FO27" s="2352"/>
      <c r="FP27" s="2352"/>
      <c r="FQ27" s="2352"/>
      <c r="FR27" s="2352"/>
      <c r="FS27" s="2351"/>
      <c r="FT27" s="2351"/>
      <c r="FU27" s="2351"/>
      <c r="FV27" s="2351"/>
      <c r="FW27" s="2352"/>
      <c r="FX27" s="2352"/>
      <c r="FY27" s="2352"/>
      <c r="FZ27" s="2352"/>
      <c r="GA27" s="2352"/>
      <c r="GB27" s="2352"/>
      <c r="GC27" s="2352"/>
      <c r="GD27" s="2352"/>
      <c r="GE27" s="2351"/>
      <c r="GF27" s="2352"/>
      <c r="GG27" s="2352"/>
      <c r="GH27" s="2351"/>
      <c r="GI27" s="2351"/>
      <c r="GJ27" s="2352"/>
      <c r="GK27" s="2352"/>
      <c r="GL27" s="2352"/>
      <c r="GM27" s="2352"/>
      <c r="GN27" s="2352"/>
      <c r="GO27" s="2352"/>
      <c r="GP27" s="2352"/>
      <c r="GQ27" s="2352"/>
      <c r="GR27" s="2352"/>
      <c r="GS27" s="2352"/>
      <c r="GT27" s="2351"/>
      <c r="GU27" s="2351"/>
      <c r="GV27" s="2351"/>
      <c r="GW27" s="2352"/>
      <c r="GX27" s="2352"/>
      <c r="GY27" s="2352"/>
      <c r="GZ27" s="2352"/>
      <c r="HA27" s="2352"/>
      <c r="HB27" s="2352"/>
      <c r="HC27" s="2352"/>
      <c r="HD27" s="2351"/>
      <c r="HE27" s="2352"/>
      <c r="HF27" s="2352"/>
      <c r="HG27" s="2352"/>
      <c r="HH27" s="2352"/>
      <c r="HI27" s="2352"/>
      <c r="HJ27" s="2351"/>
      <c r="HK27" s="2351"/>
      <c r="HL27" s="2351"/>
      <c r="HM27" s="2351"/>
      <c r="HN27" s="2352"/>
      <c r="HO27" s="2352"/>
      <c r="HP27" s="2351"/>
      <c r="HQ27" s="2352"/>
      <c r="HR27" s="2352"/>
      <c r="HS27" s="2351"/>
      <c r="HT27" s="2351"/>
      <c r="HU27" s="2352"/>
      <c r="HV27" s="2352"/>
      <c r="HW27" s="2351"/>
      <c r="HX27" s="2351"/>
      <c r="HY27" s="2352"/>
      <c r="HZ27" s="2351"/>
      <c r="IA27" s="2352"/>
      <c r="IB27" s="2351"/>
      <c r="IC27" s="2351"/>
      <c r="ID27" s="2351"/>
      <c r="IE27" s="2351"/>
      <c r="IF27" s="2351"/>
      <c r="IG27" s="2352"/>
      <c r="IH27" s="2351"/>
      <c r="II27" s="2352"/>
      <c r="IJ27" s="2351"/>
      <c r="IK27" s="2352"/>
      <c r="IL27" s="2352"/>
      <c r="IM27" s="2351"/>
      <c r="IN27" s="2351"/>
      <c r="IO27" s="2352"/>
      <c r="IP27" s="2352"/>
      <c r="IQ27" s="2352"/>
      <c r="IR27" s="2352"/>
      <c r="IS27" s="2352"/>
      <c r="IT27" s="2352"/>
      <c r="IU27" s="2352"/>
      <c r="IV27" s="2352"/>
      <c r="IW27" s="2352"/>
      <c r="IX27" s="2352"/>
      <c r="IY27" s="2352"/>
      <c r="IZ27" s="2352"/>
      <c r="JA27" s="2352"/>
      <c r="JB27" s="2352"/>
      <c r="JC27" s="2352"/>
      <c r="JD27" s="2352"/>
      <c r="JE27" s="2352"/>
      <c r="JF27" s="2352"/>
      <c r="JG27" s="3745"/>
      <c r="JH27" s="1233"/>
      <c r="JI27" s="1229" t="s">
        <v>5099</v>
      </c>
      <c r="JJ27" s="1686" t="s">
        <v>6108</v>
      </c>
    </row>
    <row ht="13.5" r="28" spans="1:270" thickBot="1" x14ac:dyDescent="0.25">
      <c r="A28" s="1128">
        <v>10</v>
      </c>
      <c r="B28" s="1255" t="str">
        <f si="1" t="shared"/>
        <v/>
      </c>
      <c r="C28" s="1531" t="s">
        <v>3302</v>
      </c>
      <c r="D28" s="1253" t="s">
        <v>4491</v>
      </c>
      <c r="E28" s="2360"/>
      <c r="F28" s="2360"/>
      <c r="G28" s="2360"/>
      <c r="H28" s="2360"/>
      <c r="I28" s="2360"/>
      <c r="J28" s="2360"/>
      <c r="K28" s="2360"/>
      <c r="L28" s="2360"/>
      <c r="M28" s="2360"/>
      <c r="N28" s="2360"/>
      <c r="O28" s="2360"/>
      <c r="P28" s="2106"/>
      <c r="Q28" s="2360"/>
      <c r="R28" s="2360"/>
      <c r="S28" s="2360"/>
      <c r="T28" s="2360"/>
      <c r="U28" s="2360"/>
      <c r="V28" s="2360"/>
      <c r="W28" s="2360"/>
      <c r="X28" s="2360"/>
      <c r="Y28" s="2360"/>
      <c r="Z28" s="2360"/>
      <c r="AA28" s="2360"/>
      <c r="AB28" s="2360"/>
      <c r="AC28" s="2360"/>
      <c r="AD28" s="2360"/>
      <c r="AE28" s="2360"/>
      <c r="AF28" s="2360"/>
      <c r="AG28" s="2360"/>
      <c r="AH28" s="2360"/>
      <c r="AI28" s="2360"/>
      <c r="AJ28" s="2360"/>
      <c r="AK28" s="2360"/>
      <c r="AL28" s="2360"/>
      <c r="AM28" s="2360">
        <v>1757</v>
      </c>
      <c r="AN28" s="2360">
        <v>1757</v>
      </c>
      <c r="AO28" s="2360"/>
      <c r="AP28" s="2360"/>
      <c r="AQ28" s="2360"/>
      <c r="AR28" s="2360">
        <v>1757</v>
      </c>
      <c r="AS28" s="2360"/>
      <c r="AT28" s="2360"/>
      <c r="AU28" s="2360"/>
      <c r="AV28" s="2360"/>
      <c r="AW28" s="2360"/>
      <c r="AX28" s="2360"/>
      <c r="AY28" s="2360"/>
      <c r="AZ28" s="2360"/>
      <c r="BA28" s="2106"/>
      <c r="BB28" s="2360"/>
      <c r="BC28" s="2360"/>
      <c r="BD28" s="2360"/>
      <c r="BE28" s="2360"/>
      <c r="BF28" s="2360"/>
      <c r="BG28" s="2360"/>
      <c r="BH28" s="2360"/>
      <c r="BI28" s="2360"/>
      <c r="BJ28" s="2360"/>
      <c r="BK28" s="2360"/>
      <c r="BL28" s="2360"/>
      <c r="BM28" s="2360"/>
      <c r="BN28" s="2360">
        <v>1757</v>
      </c>
      <c r="BO28" s="2360"/>
      <c r="BP28" s="2360"/>
      <c r="BQ28" s="2360"/>
      <c r="BR28" s="2360"/>
      <c r="BS28" s="2360"/>
      <c r="BT28" s="2360"/>
      <c r="BU28" s="2360"/>
      <c r="BV28" s="2360"/>
      <c r="BW28" s="2360"/>
      <c r="BX28" s="2360"/>
      <c r="BY28" s="2106"/>
      <c r="BZ28" s="2360">
        <v>1757</v>
      </c>
      <c r="CA28" s="2360"/>
      <c r="CB28" s="2106"/>
      <c r="CC28" s="2106"/>
      <c r="CD28" s="2360"/>
      <c r="CE28" s="2106"/>
      <c r="CF28" s="2360"/>
      <c r="CG28" s="2360"/>
      <c r="CH28" s="2360"/>
      <c r="CI28" s="2360"/>
      <c r="CJ28" s="2106"/>
      <c r="CK28" s="2360"/>
      <c r="CL28" s="2106"/>
      <c r="CM28" s="2360"/>
      <c r="CN28" s="2106"/>
      <c r="CO28" s="2106"/>
      <c r="CP28" s="2360"/>
      <c r="CQ28" s="2106"/>
      <c r="CR28" s="2106"/>
      <c r="CS28" s="2106"/>
      <c r="CT28" s="2106"/>
      <c r="CU28" s="2106"/>
      <c r="CV28" s="2360"/>
      <c r="CW28" s="2106"/>
      <c r="CX28" s="2360"/>
      <c r="CY28" s="2106"/>
      <c r="CZ28" s="2106"/>
      <c r="DA28" s="2106"/>
      <c r="DB28" s="2106"/>
      <c r="DC28" s="2106"/>
      <c r="DD28" s="2106"/>
      <c r="DE28" s="2360">
        <v>1757</v>
      </c>
      <c r="DF28" s="2106"/>
      <c r="DG28" s="2106"/>
      <c r="DH28" s="2360"/>
      <c r="DI28" s="2360"/>
      <c r="DJ28" s="2106"/>
      <c r="DK28" s="2106"/>
      <c r="DL28" s="2106"/>
      <c r="DM28" s="2106"/>
      <c r="DN28" s="2106"/>
      <c r="DO28" s="2360">
        <v>1080</v>
      </c>
      <c r="DP28" s="2106"/>
      <c r="DQ28" s="2106"/>
      <c r="DR28" s="2106"/>
      <c r="DS28" s="2106"/>
      <c r="DT28" s="2106"/>
      <c r="DU28" s="2106"/>
      <c r="DV28" s="2360"/>
      <c r="DW28" s="2360"/>
      <c r="DX28" s="2106"/>
      <c r="DY28" s="2106"/>
      <c r="DZ28" s="2360"/>
      <c r="EA28" s="2360"/>
      <c r="EB28" s="2106"/>
      <c r="EC28" s="2106"/>
      <c r="ED28" s="2106"/>
      <c r="EE28" s="2106"/>
      <c r="EF28" s="2106"/>
      <c r="EG28" s="2106"/>
      <c r="EH28" s="2106"/>
      <c r="EI28" s="2106"/>
      <c r="EJ28" s="2106"/>
      <c r="EK28" s="2106"/>
      <c r="EL28" s="2360"/>
      <c r="EM28" s="2106"/>
      <c r="EN28" s="2106"/>
      <c r="EO28" s="2106"/>
      <c r="EP28" s="2106"/>
      <c r="EQ28" s="2106"/>
      <c r="ER28" s="2106"/>
      <c r="ES28" s="2106"/>
      <c r="ET28" s="2106"/>
      <c r="EU28" s="2106"/>
      <c r="EV28" s="2106"/>
      <c r="EW28" s="2106"/>
      <c r="EX28" s="2106"/>
      <c r="EY28" s="2106"/>
      <c r="EZ28" s="2106"/>
      <c r="FA28" s="2106"/>
      <c r="FB28" s="2106"/>
      <c r="FC28" s="2106"/>
      <c r="FD28" s="2106"/>
      <c r="FE28" s="2106"/>
      <c r="FF28" s="2106"/>
      <c r="FG28" s="2106"/>
      <c r="FH28" s="2106"/>
      <c r="FI28" s="2106"/>
      <c r="FJ28" s="2106"/>
      <c r="FK28" s="2106"/>
      <c r="FL28" s="2106"/>
      <c r="FM28" s="2106"/>
      <c r="FN28" s="2106"/>
      <c r="FO28" s="2106"/>
      <c r="FP28" s="2106"/>
      <c r="FQ28" s="2106"/>
      <c r="FR28" s="2106"/>
      <c r="FS28" s="2360"/>
      <c r="FT28" s="2360"/>
      <c r="FU28" s="2360"/>
      <c r="FV28" s="2360"/>
      <c r="FW28" s="2106"/>
      <c r="FX28" s="2106"/>
      <c r="FY28" s="2106"/>
      <c r="FZ28" s="2106"/>
      <c r="GA28" s="2106"/>
      <c r="GB28" s="2106"/>
      <c r="GC28" s="2106"/>
      <c r="GD28" s="2106"/>
      <c r="GE28" s="2360"/>
      <c r="GF28" s="2106"/>
      <c r="GG28" s="2106"/>
      <c r="GH28" s="2360">
        <v>1757</v>
      </c>
      <c r="GI28" s="2360"/>
      <c r="GJ28" s="2106"/>
      <c r="GK28" s="2106"/>
      <c r="GL28" s="2106"/>
      <c r="GM28" s="2106"/>
      <c r="GN28" s="2106"/>
      <c r="GO28" s="2106"/>
      <c r="GP28" s="2106"/>
      <c r="GQ28" s="2106"/>
      <c r="GR28" s="2106"/>
      <c r="GS28" s="2106"/>
      <c r="GT28" s="2360"/>
      <c r="GU28" s="2360"/>
      <c r="GV28" s="2360"/>
      <c r="GW28" s="2106"/>
      <c r="GX28" s="2106"/>
      <c r="GY28" s="2106"/>
      <c r="GZ28" s="2106"/>
      <c r="HA28" s="2106"/>
      <c r="HB28" s="2106"/>
      <c r="HC28" s="2106"/>
      <c r="HD28" s="2360"/>
      <c r="HE28" s="2106"/>
      <c r="HF28" s="2106"/>
      <c r="HG28" s="2106"/>
      <c r="HH28" s="2106"/>
      <c r="HI28" s="2106"/>
      <c r="HJ28" s="2360"/>
      <c r="HK28" s="2360"/>
      <c r="HL28" s="2360"/>
      <c r="HM28" s="2360"/>
      <c r="HN28" s="2106"/>
      <c r="HO28" s="2106"/>
      <c r="HP28" s="2360"/>
      <c r="HQ28" s="2106"/>
      <c r="HR28" s="2106"/>
      <c r="HS28" s="2360"/>
      <c r="HT28" s="2360"/>
      <c r="HU28" s="2106"/>
      <c r="HV28" s="2106"/>
      <c r="HW28" s="2360"/>
      <c r="HX28" s="2360"/>
      <c r="HY28" s="2106"/>
      <c r="HZ28" s="2360"/>
      <c r="IA28" s="2106"/>
      <c r="IB28" s="2360"/>
      <c r="IC28" s="2360"/>
      <c r="ID28" s="2360"/>
      <c r="IE28" s="2360"/>
      <c r="IF28" s="2360"/>
      <c r="IG28" s="2106"/>
      <c r="IH28" s="2360"/>
      <c r="II28" s="2106"/>
      <c r="IJ28" s="2360"/>
      <c r="IK28" s="2106"/>
      <c r="IL28" s="2106"/>
      <c r="IM28" s="2360"/>
      <c r="IN28" s="2360"/>
      <c r="IO28" s="2106"/>
      <c r="IP28" s="2106"/>
      <c r="IQ28" s="2106"/>
      <c r="IR28" s="2106"/>
      <c r="IS28" s="2106"/>
      <c r="IT28" s="2106"/>
      <c r="IU28" s="2106"/>
      <c r="IV28" s="2106"/>
      <c r="IW28" s="2106"/>
      <c r="IX28" s="2106"/>
      <c r="IY28" s="2106"/>
      <c r="IZ28" s="2106"/>
      <c r="JA28" s="2106"/>
      <c r="JB28" s="2106"/>
      <c r="JC28" s="2106"/>
      <c r="JD28" s="2106"/>
      <c r="JE28" s="2106"/>
      <c r="JF28" s="2106"/>
      <c r="JG28" s="3746"/>
      <c r="JH28" s="1233"/>
      <c r="JI28" s="1229"/>
      <c r="JJ28" s="1686" t="s">
        <v>6108</v>
      </c>
    </row>
    <row ht="12.75" r="29" spans="1:270" thickBot="1" x14ac:dyDescent="0.25">
      <c r="C29" s="1131" t="s">
        <v>913</v>
      </c>
      <c r="D29" s="671"/>
      <c r="E29" s="386"/>
      <c r="F29" s="386"/>
      <c r="G29" s="386"/>
      <c r="H29" s="386"/>
      <c r="BE29" s="34"/>
      <c r="BF29" s="34"/>
    </row>
    <row ht="12.75" r="30" spans="1:270" x14ac:dyDescent="0.2">
      <c r="A30" s="1128" t="s">
        <v>4479</v>
      </c>
      <c r="B30" s="1945" t="str">
        <f>"selected "&amp;INC_C_IND-1</f>
        <v>selected 3</v>
      </c>
      <c r="C30" s="960" t="s">
        <v>3736</v>
      </c>
      <c r="D30" s="1058"/>
      <c r="E30" s="2026">
        <v>1</v>
      </c>
      <c r="F30" s="2026">
        <v>2</v>
      </c>
      <c r="G30" s="2026">
        <v>3</v>
      </c>
      <c r="H30" s="2026">
        <v>4</v>
      </c>
      <c r="I30" s="2026">
        <v>5</v>
      </c>
      <c r="J30" s="2026">
        <v>6</v>
      </c>
      <c r="K30" s="2026">
        <v>7</v>
      </c>
      <c r="L30" s="2026">
        <v>8</v>
      </c>
      <c r="M30" s="2026">
        <v>9</v>
      </c>
      <c r="N30" s="2026">
        <v>10</v>
      </c>
      <c r="O30" s="2026">
        <v>11</v>
      </c>
      <c r="P30" s="2026">
        <v>12</v>
      </c>
      <c r="Q30" s="2026">
        <v>13</v>
      </c>
      <c r="R30" s="2026">
        <v>14</v>
      </c>
      <c r="S30" s="2026">
        <v>15</v>
      </c>
      <c r="T30" s="2026">
        <v>16</v>
      </c>
      <c r="U30" s="2026">
        <v>17</v>
      </c>
      <c r="V30" s="2026">
        <v>18</v>
      </c>
      <c r="W30" s="2026">
        <v>19</v>
      </c>
      <c r="X30" s="2026">
        <v>20</v>
      </c>
      <c r="Y30" s="2026">
        <v>21</v>
      </c>
      <c r="Z30" s="2026">
        <v>22</v>
      </c>
      <c r="AA30" s="2026">
        <v>23</v>
      </c>
      <c r="AB30" s="2026">
        <v>24</v>
      </c>
      <c r="AC30" s="2026">
        <v>25</v>
      </c>
      <c r="AD30" s="3502">
        <v>26</v>
      </c>
      <c r="AE30" s="3502">
        <v>27</v>
      </c>
      <c r="AF30" s="3502">
        <v>28</v>
      </c>
      <c r="AG30" s="3502">
        <v>29</v>
      </c>
      <c r="AH30" s="3502">
        <v>30</v>
      </c>
      <c r="AI30" s="1134">
        <v>31</v>
      </c>
      <c r="AJ30" s="1134">
        <v>32</v>
      </c>
      <c r="AK30" s="1134">
        <v>33</v>
      </c>
      <c r="AL30" s="1134">
        <v>34</v>
      </c>
      <c r="AM30" s="1134">
        <v>35</v>
      </c>
      <c r="AN30" s="1134">
        <v>36</v>
      </c>
      <c r="AO30" s="1134">
        <v>37</v>
      </c>
      <c r="AP30" s="1134">
        <v>38</v>
      </c>
      <c r="AQ30" s="1134">
        <v>39</v>
      </c>
      <c r="AR30" s="1134">
        <v>40</v>
      </c>
      <c r="AS30" s="1134">
        <v>41</v>
      </c>
      <c r="AT30" s="1134">
        <v>42</v>
      </c>
      <c r="AU30" s="1134">
        <v>43</v>
      </c>
      <c r="AV30" s="1134">
        <v>44</v>
      </c>
      <c r="AW30" s="1134">
        <v>45</v>
      </c>
      <c r="AX30" s="1134">
        <v>46</v>
      </c>
      <c r="AY30" s="1134">
        <v>47</v>
      </c>
      <c r="AZ30" s="1134">
        <v>48</v>
      </c>
      <c r="BA30" s="1134">
        <v>49</v>
      </c>
      <c r="BB30" s="1134">
        <v>50</v>
      </c>
      <c r="BC30" s="1134">
        <v>51</v>
      </c>
      <c r="BD30" s="1134">
        <v>52</v>
      </c>
      <c r="BE30" s="2026">
        <v>53</v>
      </c>
      <c r="BF30" s="2026">
        <v>54</v>
      </c>
      <c r="BG30" s="1134">
        <v>55</v>
      </c>
      <c r="BH30" s="1134">
        <v>56</v>
      </c>
      <c r="BI30" s="1134">
        <v>57</v>
      </c>
      <c r="BJ30" s="1134">
        <v>58</v>
      </c>
      <c r="BK30" s="1134">
        <v>59</v>
      </c>
      <c r="BL30" s="1134">
        <v>60</v>
      </c>
      <c r="BM30" s="1134">
        <v>61</v>
      </c>
      <c r="BN30" s="1134">
        <v>62</v>
      </c>
      <c r="BO30" s="1134">
        <v>63</v>
      </c>
      <c r="BP30" s="1134">
        <v>64</v>
      </c>
      <c r="BQ30" s="1134">
        <v>65</v>
      </c>
      <c r="BR30" s="1134">
        <v>66</v>
      </c>
      <c r="BS30" s="1134">
        <v>67</v>
      </c>
      <c r="BT30" s="1134">
        <v>68</v>
      </c>
      <c r="BU30" s="1134">
        <v>69</v>
      </c>
      <c r="BV30" s="1134">
        <v>70</v>
      </c>
      <c r="BW30" s="1134">
        <v>71</v>
      </c>
      <c r="BX30" s="1134">
        <v>72</v>
      </c>
      <c r="BY30" s="1134">
        <v>73</v>
      </c>
      <c r="BZ30" s="1134">
        <v>74</v>
      </c>
      <c r="CA30" s="1134">
        <v>75</v>
      </c>
      <c r="CB30" s="1134">
        <v>76</v>
      </c>
      <c r="CC30" s="1134">
        <v>77</v>
      </c>
      <c r="CD30" s="1134">
        <v>78</v>
      </c>
      <c r="CE30" s="1134">
        <v>79</v>
      </c>
      <c r="CF30" s="1134">
        <v>80</v>
      </c>
      <c r="CG30" s="1134">
        <v>81</v>
      </c>
      <c r="CH30" s="1134">
        <v>82</v>
      </c>
      <c r="CI30" s="1134">
        <v>83</v>
      </c>
      <c r="CJ30" s="1134">
        <v>84</v>
      </c>
      <c r="CK30" s="1134">
        <v>85</v>
      </c>
      <c r="CL30" s="1134">
        <v>86</v>
      </c>
      <c r="CM30" s="1134">
        <v>87</v>
      </c>
      <c r="CN30" s="1134">
        <v>88</v>
      </c>
      <c r="CO30" s="1134">
        <v>89</v>
      </c>
      <c r="CP30" s="1134">
        <v>90</v>
      </c>
      <c r="CQ30" s="1134">
        <v>91</v>
      </c>
      <c r="CR30" s="1134">
        <v>92</v>
      </c>
      <c r="CS30" s="1134">
        <v>93</v>
      </c>
      <c r="CT30" s="1134">
        <v>94</v>
      </c>
      <c r="CU30" s="1134">
        <v>95</v>
      </c>
      <c r="CV30" s="1134">
        <v>96</v>
      </c>
      <c r="CW30" s="1134">
        <v>97</v>
      </c>
      <c r="CX30" s="1134">
        <v>98</v>
      </c>
      <c r="CY30" s="1134">
        <v>99</v>
      </c>
      <c r="CZ30" s="1134">
        <v>100</v>
      </c>
      <c r="DA30" s="1134">
        <v>101</v>
      </c>
      <c r="DB30" s="1134">
        <v>102</v>
      </c>
      <c r="DC30" s="1134">
        <v>103</v>
      </c>
      <c r="DD30" s="1134">
        <v>104</v>
      </c>
      <c r="DE30" s="1134">
        <v>105</v>
      </c>
      <c r="DF30" s="1134">
        <v>106</v>
      </c>
      <c r="DG30" s="1134">
        <v>107</v>
      </c>
      <c r="DH30" s="1134">
        <v>108</v>
      </c>
      <c r="DI30" s="1134">
        <v>109</v>
      </c>
      <c r="DJ30" s="1134">
        <v>110</v>
      </c>
      <c r="DK30" s="1134">
        <v>111</v>
      </c>
      <c r="DL30" s="1134">
        <v>112</v>
      </c>
      <c r="DM30" s="1134">
        <v>113</v>
      </c>
      <c r="DN30" s="1134">
        <v>114</v>
      </c>
      <c r="DO30" s="1134">
        <v>115</v>
      </c>
      <c r="DP30" s="1134">
        <v>116</v>
      </c>
      <c r="DQ30" s="1134">
        <v>117</v>
      </c>
      <c r="DR30" s="1134">
        <v>118</v>
      </c>
      <c r="DS30" s="1134">
        <v>119</v>
      </c>
      <c r="DT30" s="1134">
        <v>120</v>
      </c>
      <c r="DU30" s="1134">
        <v>121</v>
      </c>
      <c r="DV30" s="1134">
        <v>122</v>
      </c>
      <c r="DW30" s="1134">
        <v>123</v>
      </c>
      <c r="DX30" s="1134">
        <v>124</v>
      </c>
      <c r="DY30" s="1134">
        <v>125</v>
      </c>
      <c r="DZ30" s="1134">
        <v>126</v>
      </c>
      <c r="EA30" s="1134">
        <v>127</v>
      </c>
      <c r="EB30" s="1134">
        <v>128</v>
      </c>
      <c r="EC30" s="1134">
        <v>129</v>
      </c>
      <c r="ED30" s="1134">
        <v>130</v>
      </c>
      <c r="EE30" s="1134">
        <v>131</v>
      </c>
      <c r="EF30" s="1134">
        <v>132</v>
      </c>
      <c r="EG30" s="1134">
        <v>133</v>
      </c>
      <c r="EH30" s="1134">
        <v>134</v>
      </c>
      <c r="EI30" s="1134">
        <v>135</v>
      </c>
      <c r="EJ30" s="1134">
        <v>136</v>
      </c>
      <c r="EK30" s="1134">
        <v>137</v>
      </c>
      <c r="EL30" s="1134">
        <v>138</v>
      </c>
      <c r="EM30" s="1134">
        <v>139</v>
      </c>
      <c r="EN30" s="1134">
        <v>140</v>
      </c>
      <c r="EO30" s="1134">
        <v>141</v>
      </c>
      <c r="EP30" s="1134">
        <v>142</v>
      </c>
      <c r="EQ30" s="1134">
        <v>143</v>
      </c>
      <c r="ER30" s="1134">
        <v>144</v>
      </c>
      <c r="ES30" s="1134">
        <v>145</v>
      </c>
      <c r="ET30" s="1134">
        <v>146</v>
      </c>
      <c r="EU30" s="1134">
        <v>147</v>
      </c>
      <c r="EV30" s="1134">
        <v>148</v>
      </c>
      <c r="EW30" s="1134">
        <v>149</v>
      </c>
      <c r="EX30" s="1134">
        <v>150</v>
      </c>
      <c r="EY30" s="1134">
        <v>151</v>
      </c>
      <c r="EZ30" s="1134">
        <v>152</v>
      </c>
      <c r="FA30" s="1134">
        <v>153</v>
      </c>
      <c r="FB30" s="1134">
        <v>154</v>
      </c>
      <c r="FC30" s="1134">
        <v>155</v>
      </c>
      <c r="FD30" s="1134">
        <v>156</v>
      </c>
      <c r="FE30" s="1134">
        <v>157</v>
      </c>
      <c r="FF30" s="1134">
        <v>158</v>
      </c>
      <c r="FG30" s="1134">
        <v>159</v>
      </c>
      <c r="FH30" s="1134">
        <v>160</v>
      </c>
      <c r="FI30" s="1134">
        <v>161</v>
      </c>
      <c r="FJ30" s="1134">
        <v>162</v>
      </c>
      <c r="FK30" s="1134">
        <v>163</v>
      </c>
      <c r="FL30" s="1134">
        <v>164</v>
      </c>
      <c r="FM30" s="1134">
        <v>165</v>
      </c>
      <c r="FN30" s="1134">
        <v>166</v>
      </c>
      <c r="FO30" s="1134">
        <v>167</v>
      </c>
      <c r="FP30" s="1134">
        <v>168</v>
      </c>
      <c r="FQ30" s="1134">
        <v>169</v>
      </c>
      <c r="FR30" s="1134">
        <v>170</v>
      </c>
      <c r="FS30" s="1134">
        <v>171</v>
      </c>
      <c r="FT30" s="1134">
        <v>172</v>
      </c>
      <c r="FU30" s="1134">
        <v>173</v>
      </c>
      <c r="FV30" s="1134">
        <v>174</v>
      </c>
      <c r="FW30" s="1134">
        <v>175</v>
      </c>
      <c r="FX30" s="1134">
        <v>176</v>
      </c>
      <c r="FY30" s="1134">
        <v>177</v>
      </c>
      <c r="FZ30" s="1134">
        <v>178</v>
      </c>
      <c r="GA30" s="1134">
        <v>179</v>
      </c>
      <c r="GB30" s="1134">
        <v>180</v>
      </c>
      <c r="GC30" s="1134">
        <v>181</v>
      </c>
      <c r="GD30" s="1134">
        <v>182</v>
      </c>
      <c r="GE30" s="1134">
        <v>183</v>
      </c>
      <c r="GF30" s="1134">
        <v>184</v>
      </c>
      <c r="GG30" s="1134">
        <v>185</v>
      </c>
      <c r="GH30" s="1134">
        <v>186</v>
      </c>
      <c r="GI30" s="1134">
        <v>187</v>
      </c>
      <c r="GJ30" s="1134">
        <v>188</v>
      </c>
      <c r="GK30" s="1134">
        <v>189</v>
      </c>
      <c r="GL30" s="1134">
        <v>190</v>
      </c>
      <c r="GM30" s="1134">
        <v>191</v>
      </c>
      <c r="GN30" s="1134">
        <v>192</v>
      </c>
      <c r="GO30" s="1134">
        <v>193</v>
      </c>
      <c r="GP30" s="1134">
        <v>194</v>
      </c>
      <c r="GQ30" s="1134">
        <v>195</v>
      </c>
      <c r="GR30" s="1134">
        <v>196</v>
      </c>
      <c r="GS30" s="1134">
        <v>197</v>
      </c>
      <c r="GT30" s="1134">
        <v>198</v>
      </c>
      <c r="GU30" s="1134">
        <v>199</v>
      </c>
      <c r="GV30" s="1134">
        <v>200</v>
      </c>
      <c r="GW30" s="1134">
        <v>201</v>
      </c>
      <c r="GX30" s="1134">
        <v>202</v>
      </c>
      <c r="GY30" s="1134">
        <v>203</v>
      </c>
      <c r="GZ30" s="1134">
        <v>204</v>
      </c>
      <c r="HA30" s="1134">
        <v>205</v>
      </c>
      <c r="HB30" s="1134">
        <v>206</v>
      </c>
      <c r="HC30" s="1134">
        <v>207</v>
      </c>
      <c r="HD30" s="1134">
        <v>208</v>
      </c>
      <c r="HE30" s="1134">
        <v>209</v>
      </c>
      <c r="HF30" s="1134">
        <v>210</v>
      </c>
      <c r="HG30" s="1134">
        <v>211</v>
      </c>
      <c r="HH30" s="1134">
        <v>212</v>
      </c>
      <c r="HI30" s="1134">
        <v>213</v>
      </c>
      <c r="HJ30" s="1134">
        <v>214</v>
      </c>
      <c r="HK30" s="1134">
        <v>215</v>
      </c>
      <c r="HL30" s="1134">
        <v>216</v>
      </c>
      <c r="HM30" s="1134">
        <v>217</v>
      </c>
      <c r="HN30" s="1134">
        <v>218</v>
      </c>
      <c r="HO30" s="1134">
        <v>219</v>
      </c>
      <c r="HP30" s="1134">
        <v>220</v>
      </c>
      <c r="HQ30" s="1134">
        <v>221</v>
      </c>
      <c r="HR30" s="1134">
        <v>222</v>
      </c>
      <c r="HS30" s="1134">
        <v>223</v>
      </c>
      <c r="HT30" s="1134">
        <v>224</v>
      </c>
      <c r="HU30" s="1134">
        <v>225</v>
      </c>
      <c r="HV30" s="1134">
        <v>226</v>
      </c>
      <c r="HW30" s="1134">
        <v>227</v>
      </c>
      <c r="HX30" s="1134">
        <v>228</v>
      </c>
      <c r="HY30" s="1134">
        <v>229</v>
      </c>
      <c r="HZ30" s="1134">
        <v>230</v>
      </c>
      <c r="IA30" s="1134">
        <v>231</v>
      </c>
      <c r="IB30" s="1134">
        <v>232</v>
      </c>
      <c r="IC30" s="1134">
        <v>233</v>
      </c>
      <c r="ID30" s="1134">
        <v>234</v>
      </c>
      <c r="IE30" s="1134">
        <v>235</v>
      </c>
      <c r="IF30" s="1134">
        <v>236</v>
      </c>
      <c r="IG30" s="1134">
        <v>237</v>
      </c>
      <c r="IH30" s="1134">
        <v>238</v>
      </c>
      <c r="II30" s="1134">
        <v>239</v>
      </c>
      <c r="IJ30" s="1134">
        <v>240</v>
      </c>
      <c r="IK30" s="1134">
        <v>241</v>
      </c>
      <c r="IL30" s="1134">
        <v>242</v>
      </c>
      <c r="IM30" s="1134">
        <v>243</v>
      </c>
      <c r="IN30" s="1134">
        <v>244</v>
      </c>
      <c r="IO30" s="1134">
        <v>245</v>
      </c>
      <c r="IP30" s="1134">
        <v>246</v>
      </c>
      <c r="IQ30" s="1134">
        <v>247</v>
      </c>
      <c r="IR30" s="1134">
        <v>248</v>
      </c>
      <c r="IS30" s="1134">
        <v>249</v>
      </c>
      <c r="IT30" s="1134">
        <v>250</v>
      </c>
      <c r="IU30" s="1134">
        <v>251</v>
      </c>
      <c r="IV30" s="1134">
        <v>252</v>
      </c>
      <c r="IW30" s="1134">
        <v>253</v>
      </c>
      <c r="IX30" s="1134">
        <v>254</v>
      </c>
      <c r="IY30" s="1134">
        <v>255</v>
      </c>
      <c r="IZ30" s="1134">
        <v>256</v>
      </c>
      <c r="JA30" s="1134">
        <v>257</v>
      </c>
      <c r="JB30" s="1134">
        <v>258</v>
      </c>
      <c r="JC30" s="1134">
        <v>259</v>
      </c>
      <c r="JD30" s="1134">
        <v>260</v>
      </c>
      <c r="JE30" s="1134">
        <v>261</v>
      </c>
      <c r="JF30" s="1134">
        <v>262</v>
      </c>
      <c r="JG30" s="2485">
        <v>263</v>
      </c>
      <c r="JH30" s="1233"/>
      <c r="JJ30" s="1701" t="s">
        <v>6104</v>
      </c>
    </row>
    <row ht="12.75" r="31" spans="1:270" x14ac:dyDescent="0.2">
      <c r="A31" s="1128">
        <v>2</v>
      </c>
      <c r="B31" s="631" t="str">
        <f>IF(INC_C_IND&gt;1,IF(HLOOKUP(INC_C_IND-1,INC_C_RANGE,A31)="","",HLOOKUP(INC_C_IND-1,INC_C_RANGE,A31)),"")</f>
        <v/>
      </c>
      <c r="C31" s="960" t="s">
        <v>2889</v>
      </c>
      <c r="D31" s="1059" t="s">
        <v>4492</v>
      </c>
      <c r="E31" s="2315"/>
      <c r="F31" s="2315"/>
      <c r="G31" s="2315"/>
      <c r="H31" s="2315"/>
      <c r="I31" s="2315"/>
      <c r="J31" s="2315"/>
      <c r="K31" s="2315"/>
      <c r="L31" s="2315"/>
      <c r="M31" s="2315">
        <v>1500</v>
      </c>
      <c r="N31" s="2315"/>
      <c r="O31" s="2315"/>
      <c r="P31" s="2315">
        <v>376.18</v>
      </c>
      <c r="Q31" s="2315">
        <v>1500</v>
      </c>
      <c r="R31" s="2315"/>
      <c r="S31" s="2315"/>
      <c r="T31" s="2315"/>
      <c r="U31" s="2315"/>
      <c r="V31" s="2315"/>
      <c r="W31" s="2315"/>
      <c r="X31" s="2315"/>
      <c r="Y31" s="2315"/>
      <c r="Z31" s="2315"/>
      <c r="AA31" s="2315"/>
      <c r="AB31" s="2315">
        <v>1500</v>
      </c>
      <c r="AC31" s="2315">
        <v>1500</v>
      </c>
      <c r="AD31" s="2315"/>
      <c r="AE31" s="2315"/>
      <c r="AF31" s="2315"/>
      <c r="AG31" s="2315"/>
      <c r="AH31" s="2315"/>
      <c r="AI31" s="2315"/>
      <c r="AJ31" s="2315"/>
      <c r="AK31" s="2315"/>
      <c r="AL31" s="2315"/>
      <c r="AM31" s="2315"/>
      <c r="AN31" s="2315"/>
      <c r="AO31" s="2315"/>
      <c r="AP31" s="2315"/>
      <c r="AQ31" s="2315"/>
      <c r="AR31" s="2315"/>
      <c r="AS31" s="2315">
        <v>7000</v>
      </c>
      <c r="AT31" s="2315"/>
      <c r="AU31" s="2315"/>
      <c r="AV31" s="2315"/>
      <c r="AW31" s="2315"/>
      <c r="AX31" s="2315"/>
      <c r="AY31" s="2315"/>
      <c r="AZ31" s="2315"/>
      <c r="BA31" s="2315"/>
      <c r="BB31" s="2315"/>
      <c r="BC31" s="2315"/>
      <c r="BD31" s="2315">
        <v>833</v>
      </c>
      <c r="BE31" s="2315"/>
      <c r="BF31" s="2315"/>
      <c r="BG31" s="2315"/>
      <c r="BH31" s="2315"/>
      <c r="BI31" s="2315"/>
      <c r="BJ31" s="2315"/>
      <c r="BK31" s="3945"/>
      <c r="BL31" s="2315"/>
      <c r="BM31" s="2315"/>
      <c r="BN31" s="2315"/>
      <c r="BO31" s="2315"/>
      <c r="BP31" s="2315">
        <v>1500</v>
      </c>
      <c r="BQ31" s="2315">
        <v>1500</v>
      </c>
      <c r="BR31" s="2315">
        <v>7000</v>
      </c>
      <c r="BS31" s="2315">
        <v>1500</v>
      </c>
      <c r="BT31" s="2315"/>
      <c r="BU31" s="2315">
        <v>1500</v>
      </c>
      <c r="BV31" s="2315"/>
      <c r="BW31" s="2315"/>
      <c r="BX31" s="2315">
        <v>1500</v>
      </c>
      <c r="BY31" s="2315"/>
      <c r="BZ31" s="2315"/>
      <c r="CA31" s="2315"/>
      <c r="CB31" s="2315"/>
      <c r="CC31" s="2315"/>
      <c r="CD31" s="2315"/>
      <c r="CE31" s="2315"/>
      <c r="CF31" s="2315"/>
      <c r="CG31" s="2315"/>
      <c r="CH31" s="2315">
        <v>1500</v>
      </c>
      <c r="CI31" s="2315"/>
      <c r="CJ31" s="2315"/>
      <c r="CK31" s="2315"/>
      <c r="CL31" s="2315"/>
      <c r="CM31" s="2315">
        <v>376.18</v>
      </c>
      <c r="CN31" s="2315"/>
      <c r="CO31" s="2315"/>
      <c r="CP31" s="2315">
        <v>376.18</v>
      </c>
      <c r="CQ31" s="2315"/>
      <c r="CR31" s="2315"/>
      <c r="CS31" s="2315"/>
      <c r="CT31" s="2315">
        <v>6020</v>
      </c>
      <c r="CU31" s="2315"/>
      <c r="CV31" s="2315"/>
      <c r="CW31" s="2315"/>
      <c r="CX31" s="2315">
        <v>6020</v>
      </c>
      <c r="CY31" s="2315"/>
      <c r="CZ31" s="2315"/>
      <c r="DA31" s="2315"/>
      <c r="DB31" s="2315"/>
      <c r="DC31" s="2315"/>
      <c r="DD31" s="2315"/>
      <c r="DE31" s="2315"/>
      <c r="DF31" s="2315"/>
      <c r="DG31" s="2315"/>
      <c r="DH31" s="2315"/>
      <c r="DI31" s="2315"/>
      <c r="DJ31" s="2315"/>
      <c r="DK31" s="2315"/>
      <c r="DL31" s="2315"/>
      <c r="DM31" s="2315">
        <v>6020</v>
      </c>
      <c r="DN31" s="2315"/>
      <c r="DO31" s="2315"/>
      <c r="DP31" s="2315"/>
      <c r="DQ31" s="2315"/>
      <c r="DR31" s="2315"/>
      <c r="DS31" s="2315"/>
      <c r="DT31" s="2315"/>
      <c r="DU31" s="2315"/>
      <c r="DV31" s="2315"/>
      <c r="DW31" s="2315"/>
      <c r="DX31" s="2315"/>
      <c r="DY31" s="2315"/>
      <c r="DZ31" s="2315">
        <v>7000</v>
      </c>
      <c r="EA31" s="2315"/>
      <c r="EB31" s="2315"/>
      <c r="EC31" s="2315">
        <v>833</v>
      </c>
      <c r="ED31" s="2315"/>
      <c r="EE31" s="2315">
        <v>6020</v>
      </c>
      <c r="EF31" s="2315"/>
      <c r="EG31" s="2315"/>
      <c r="EH31" s="2315"/>
      <c r="EI31" s="2315"/>
      <c r="EJ31" s="2315"/>
      <c r="EK31" s="2315"/>
      <c r="EL31" s="2315">
        <v>376.18</v>
      </c>
      <c r="EM31" s="2315"/>
      <c r="EN31" s="2315"/>
      <c r="EO31" s="2315"/>
      <c r="EP31" s="2315"/>
      <c r="EQ31" s="2315"/>
      <c r="ER31" s="2315"/>
      <c r="ES31" s="2315"/>
      <c r="ET31" s="2315"/>
      <c r="EU31" s="2315"/>
      <c r="EV31" s="2315"/>
      <c r="EW31" s="2315"/>
      <c r="EX31" s="2315"/>
      <c r="EY31" s="2315"/>
      <c r="EZ31" s="2315"/>
      <c r="FA31" s="2315">
        <v>6020</v>
      </c>
      <c r="FB31" s="2315"/>
      <c r="FC31" s="2315">
        <v>1500</v>
      </c>
      <c r="FD31" s="2315">
        <v>1500</v>
      </c>
      <c r="FE31" s="2315"/>
      <c r="FF31" s="2315">
        <v>833</v>
      </c>
      <c r="FG31" s="2315"/>
      <c r="FH31" s="2315"/>
      <c r="FI31" s="2315"/>
      <c r="FJ31" s="2315"/>
      <c r="FK31" s="2315"/>
      <c r="FL31" s="2315">
        <v>6020</v>
      </c>
      <c r="FM31" s="2315"/>
      <c r="FN31" s="2315"/>
      <c r="FO31" s="2315"/>
      <c r="FP31" s="2315"/>
      <c r="FQ31" s="2315"/>
      <c r="FR31" s="2315"/>
      <c r="FS31" s="2315"/>
      <c r="FT31" s="2315"/>
      <c r="FU31" s="2315"/>
      <c r="FV31" s="2315"/>
      <c r="FW31" s="2315"/>
      <c r="FX31" s="2315"/>
      <c r="FY31" s="2315">
        <v>7000</v>
      </c>
      <c r="FZ31" s="2315">
        <v>7000</v>
      </c>
      <c r="GA31" s="2315">
        <v>7000</v>
      </c>
      <c r="GB31" s="2315">
        <v>7000</v>
      </c>
      <c r="GC31" s="2315"/>
      <c r="GD31" s="2315"/>
      <c r="GE31" s="2315"/>
      <c r="GF31" s="2315"/>
      <c r="GG31" s="2315"/>
      <c r="GH31" s="2315"/>
      <c r="GI31" s="2315"/>
      <c r="GJ31" s="2315">
        <v>7000</v>
      </c>
      <c r="GK31" s="2315"/>
      <c r="GL31" s="2315"/>
      <c r="GM31" s="2315"/>
      <c r="GN31" s="2315"/>
      <c r="GO31" s="2315"/>
      <c r="GP31" s="2315"/>
      <c r="GQ31" s="2315"/>
      <c r="GR31" s="2315"/>
      <c r="GS31" s="2315"/>
      <c r="GT31" s="2315"/>
      <c r="GU31" s="2315"/>
      <c r="GV31" s="2315">
        <v>6020</v>
      </c>
      <c r="GW31" s="2315">
        <v>7000</v>
      </c>
      <c r="GX31" s="2315"/>
      <c r="GY31" s="2315"/>
      <c r="GZ31" s="2315"/>
      <c r="HA31" s="2315"/>
      <c r="HB31" s="2315"/>
      <c r="HC31" s="2315"/>
      <c r="HD31" s="2315"/>
      <c r="HE31" s="2315"/>
      <c r="HF31" s="2315"/>
      <c r="HG31" s="2315"/>
      <c r="HH31" s="2315"/>
      <c r="HI31" s="2315"/>
      <c r="HJ31" s="2315"/>
      <c r="HK31" s="2315"/>
      <c r="HL31" s="2315"/>
      <c r="HM31" s="2315"/>
      <c r="HN31" s="2315"/>
      <c r="HO31" s="2315"/>
      <c r="HP31" s="2315"/>
      <c r="HQ31" s="2315"/>
      <c r="HR31" s="2315"/>
      <c r="HS31" s="2315"/>
      <c r="HT31" s="2315"/>
      <c r="HU31" s="2315"/>
      <c r="HV31" s="2315"/>
      <c r="HW31" s="2315"/>
      <c r="HX31" s="2315"/>
      <c r="HY31" s="2315"/>
      <c r="HZ31" s="2315"/>
      <c r="IA31" s="2315"/>
      <c r="IB31" s="2315"/>
      <c r="IC31" s="2315">
        <v>1116</v>
      </c>
      <c r="ID31" s="2315"/>
      <c r="IE31" s="2315"/>
      <c r="IF31" s="2315">
        <v>972</v>
      </c>
      <c r="IG31" s="2315"/>
      <c r="IH31" s="2315"/>
      <c r="II31" s="2315"/>
      <c r="IJ31" s="2315"/>
      <c r="IK31" s="2315"/>
      <c r="IL31" s="2315">
        <v>10000</v>
      </c>
      <c r="IM31" s="2315"/>
      <c r="IN31" s="2315"/>
      <c r="IO31" s="2315"/>
      <c r="IP31" s="2315"/>
      <c r="IQ31" s="2315"/>
      <c r="IR31" s="2315"/>
      <c r="IS31" s="2315"/>
      <c r="IT31" s="2315"/>
      <c r="IU31" s="2315"/>
      <c r="IV31" s="2315"/>
      <c r="IW31" s="2315"/>
      <c r="IX31" s="4015">
        <v>6571</v>
      </c>
      <c r="IY31" s="2315"/>
      <c r="IZ31" s="2315"/>
      <c r="JA31" s="2350"/>
      <c r="JB31" s="2350"/>
      <c r="JC31" s="2350"/>
      <c r="JD31" s="2350"/>
      <c r="JE31" s="2350"/>
      <c r="JF31" s="2350"/>
      <c r="JG31" s="3748"/>
      <c r="JH31" s="1233"/>
      <c r="JI31" s="1229"/>
      <c r="JJ31" s="1686" t="s">
        <v>6108</v>
      </c>
    </row>
    <row ht="12.75" r="32" spans="1:270" x14ac:dyDescent="0.2">
      <c r="A32" s="1128">
        <v>3</v>
      </c>
      <c r="B32" s="631" t="str">
        <f>IF(INC_C_IND&gt;1,IF(HLOOKUP(INC_C_IND-1,INC_C_RANGE,A32)="","",HLOOKUP(INC_C_IND-1,INC_C_RANGE,A32)),"")</f>
        <v/>
      </c>
      <c r="C32" s="960" t="s">
        <v>2888</v>
      </c>
      <c r="D32" s="1059" t="s">
        <v>4493</v>
      </c>
      <c r="E32" s="2315"/>
      <c r="F32" s="2315"/>
      <c r="G32" s="2315"/>
      <c r="H32" s="2315"/>
      <c r="I32" s="2315"/>
      <c r="J32" s="2315"/>
      <c r="K32" s="2315"/>
      <c r="L32" s="2315"/>
      <c r="M32" s="2315"/>
      <c r="N32" s="2315"/>
      <c r="O32" s="2315"/>
      <c r="P32" s="2315"/>
      <c r="Q32" s="2315"/>
      <c r="R32" s="2315"/>
      <c r="S32" s="2315"/>
      <c r="T32" s="2315"/>
      <c r="U32" s="2315"/>
      <c r="V32" s="2315"/>
      <c r="W32" s="2315"/>
      <c r="X32" s="2315"/>
      <c r="Y32" s="2315"/>
      <c r="Z32" s="2315"/>
      <c r="AA32" s="2315"/>
      <c r="AB32" s="2315"/>
      <c r="AC32" s="2315"/>
      <c r="AD32" s="2315"/>
      <c r="AE32" s="2315"/>
      <c r="AF32" s="2315"/>
      <c r="AG32" s="2315"/>
      <c r="AH32" s="2315"/>
      <c r="AI32" s="2315"/>
      <c r="AJ32" s="2315"/>
      <c r="AK32" s="2315"/>
      <c r="AL32" s="2315"/>
      <c r="AM32" s="2315"/>
      <c r="AN32" s="2315"/>
      <c r="AO32" s="2315"/>
      <c r="AP32" s="2315"/>
      <c r="AQ32" s="2315"/>
      <c r="AR32" s="2315"/>
      <c r="AS32" s="2315"/>
      <c r="AT32" s="2315"/>
      <c r="AU32" s="2315"/>
      <c r="AV32" s="2315"/>
      <c r="AW32" s="2315"/>
      <c r="AX32" s="2315"/>
      <c r="AY32" s="2315"/>
      <c r="AZ32" s="2315"/>
      <c r="BA32" s="2315"/>
      <c r="BB32" s="2315"/>
      <c r="BC32" s="2315"/>
      <c r="BD32" s="2315">
        <v>113</v>
      </c>
      <c r="BE32" s="2315"/>
      <c r="BF32" s="2315"/>
      <c r="BG32" s="2315"/>
      <c r="BH32" s="2315"/>
      <c r="BI32" s="2315"/>
      <c r="BJ32" s="2315"/>
      <c r="BK32" s="2315"/>
      <c r="BL32" s="2315"/>
      <c r="BM32" s="2315"/>
      <c r="BN32" s="2315"/>
      <c r="BO32" s="2315"/>
      <c r="BP32" s="2315"/>
      <c r="BQ32" s="2315"/>
      <c r="BR32" s="2315"/>
      <c r="BS32" s="2315"/>
      <c r="BT32" s="2315"/>
      <c r="BU32" s="2315"/>
      <c r="BV32" s="2315"/>
      <c r="BW32" s="2315"/>
      <c r="BX32" s="2315"/>
      <c r="BY32" s="2315"/>
      <c r="BZ32" s="2315"/>
      <c r="CA32" s="2315"/>
      <c r="CB32" s="2315"/>
      <c r="CC32" s="2315"/>
      <c r="CD32" s="2315"/>
      <c r="CE32" s="2315"/>
      <c r="CF32" s="2315"/>
      <c r="CG32" s="2315"/>
      <c r="CH32" s="2315"/>
      <c r="CI32" s="2315"/>
      <c r="CJ32" s="2315"/>
      <c r="CK32" s="2315"/>
      <c r="CL32" s="2315"/>
      <c r="CM32" s="2315"/>
      <c r="CN32" s="2315"/>
      <c r="CO32" s="2315"/>
      <c r="CP32" s="2315"/>
      <c r="CQ32" s="2315"/>
      <c r="CR32" s="2315"/>
      <c r="CS32" s="2315"/>
      <c r="CT32" s="2315">
        <v>1000</v>
      </c>
      <c r="CU32" s="2315"/>
      <c r="CV32" s="2315"/>
      <c r="CW32" s="2315"/>
      <c r="CX32" s="2315">
        <v>1000</v>
      </c>
      <c r="CY32" s="2315"/>
      <c r="CZ32" s="2315"/>
      <c r="DA32" s="2315"/>
      <c r="DB32" s="2315"/>
      <c r="DC32" s="2315"/>
      <c r="DD32" s="2315"/>
      <c r="DE32" s="2315"/>
      <c r="DF32" s="2315"/>
      <c r="DG32" s="2315"/>
      <c r="DH32" s="2315"/>
      <c r="DI32" s="2315"/>
      <c r="DJ32" s="2315"/>
      <c r="DK32" s="2315"/>
      <c r="DL32" s="2315"/>
      <c r="DM32" s="2315">
        <v>1000</v>
      </c>
      <c r="DN32" s="2315"/>
      <c r="DO32" s="2315"/>
      <c r="DP32" s="2315"/>
      <c r="DQ32" s="2315"/>
      <c r="DR32" s="2315"/>
      <c r="DS32" s="2315"/>
      <c r="DT32" s="2315"/>
      <c r="DU32" s="2315"/>
      <c r="DV32" s="2315"/>
      <c r="DW32" s="2315"/>
      <c r="DX32" s="2315"/>
      <c r="DY32" s="2315"/>
      <c r="DZ32" s="2315"/>
      <c r="EA32" s="2315"/>
      <c r="EB32" s="2315"/>
      <c r="EC32" s="2315">
        <v>113</v>
      </c>
      <c r="ED32" s="2315"/>
      <c r="EE32" s="2315">
        <v>1000</v>
      </c>
      <c r="EF32" s="2315"/>
      <c r="EG32" s="2315"/>
      <c r="EH32" s="2315"/>
      <c r="EI32" s="2315"/>
      <c r="EJ32" s="2315"/>
      <c r="EK32" s="2315"/>
      <c r="EL32" s="2315"/>
      <c r="EM32" s="2315"/>
      <c r="EN32" s="2315"/>
      <c r="EO32" s="2315"/>
      <c r="EP32" s="2315"/>
      <c r="EQ32" s="2315"/>
      <c r="ER32" s="2315"/>
      <c r="ES32" s="2315"/>
      <c r="ET32" s="2315"/>
      <c r="EU32" s="2315"/>
      <c r="EV32" s="2315"/>
      <c r="EW32" s="2315"/>
      <c r="EX32" s="2315"/>
      <c r="EY32" s="2315"/>
      <c r="EZ32" s="2315"/>
      <c r="FA32" s="2315">
        <v>1000</v>
      </c>
      <c r="FB32" s="2315"/>
      <c r="FC32" s="2315"/>
      <c r="FD32" s="2315"/>
      <c r="FE32" s="2315"/>
      <c r="FF32" s="2315">
        <v>113</v>
      </c>
      <c r="FG32" s="2315"/>
      <c r="FH32" s="2315"/>
      <c r="FI32" s="2315"/>
      <c r="FJ32" s="2315"/>
      <c r="FK32" s="2315"/>
      <c r="FL32" s="2315">
        <v>1000</v>
      </c>
      <c r="FM32" s="2315"/>
      <c r="FN32" s="2315"/>
      <c r="FO32" s="2315"/>
      <c r="FP32" s="2315"/>
      <c r="FQ32" s="2315"/>
      <c r="FR32" s="2315"/>
      <c r="FS32" s="2315"/>
      <c r="FT32" s="2315"/>
      <c r="FU32" s="2315"/>
      <c r="FV32" s="2315"/>
      <c r="FW32" s="2315"/>
      <c r="FX32" s="2315"/>
      <c r="FY32" s="2315"/>
      <c r="FZ32" s="2315"/>
      <c r="GA32" s="2315"/>
      <c r="GB32" s="2315"/>
      <c r="GC32" s="2315"/>
      <c r="GD32" s="2315"/>
      <c r="GE32" s="2315"/>
      <c r="GF32" s="2315"/>
      <c r="GG32" s="2315"/>
      <c r="GH32" s="2315"/>
      <c r="GI32" s="2315"/>
      <c r="GJ32" s="2315"/>
      <c r="GK32" s="2315"/>
      <c r="GL32" s="2315"/>
      <c r="GM32" s="2315"/>
      <c r="GN32" s="2315"/>
      <c r="GO32" s="2315"/>
      <c r="GP32" s="2315"/>
      <c r="GQ32" s="2315"/>
      <c r="GR32" s="2315"/>
      <c r="GS32" s="2315"/>
      <c r="GT32" s="2315"/>
      <c r="GU32" s="2315"/>
      <c r="GV32" s="2315">
        <v>1000</v>
      </c>
      <c r="GW32" s="2315"/>
      <c r="GX32" s="2315"/>
      <c r="GY32" s="2315"/>
      <c r="GZ32" s="2315"/>
      <c r="HA32" s="2315"/>
      <c r="HB32" s="2315"/>
      <c r="HC32" s="2315"/>
      <c r="HD32" s="2315"/>
      <c r="HE32" s="2315"/>
      <c r="HF32" s="2315"/>
      <c r="HG32" s="2315"/>
      <c r="HH32" s="2315"/>
      <c r="HI32" s="2315"/>
      <c r="HJ32" s="2315"/>
      <c r="HK32" s="2315"/>
      <c r="HL32" s="2315"/>
      <c r="HM32" s="2315"/>
      <c r="HN32" s="2315"/>
      <c r="HO32" s="2315"/>
      <c r="HP32" s="2315"/>
      <c r="HQ32" s="2315"/>
      <c r="HR32" s="2315"/>
      <c r="HS32" s="2315"/>
      <c r="HT32" s="2315"/>
      <c r="HU32" s="2315"/>
      <c r="HV32" s="2315"/>
      <c r="HW32" s="2315"/>
      <c r="HX32" s="2315"/>
      <c r="HY32" s="2315"/>
      <c r="HZ32" s="2315"/>
      <c r="IA32" s="2315"/>
      <c r="IB32" s="2315"/>
      <c r="IC32" s="2315"/>
      <c r="ID32" s="2315"/>
      <c r="IE32" s="2315"/>
      <c r="IF32" s="2315"/>
      <c r="IG32" s="2315"/>
      <c r="IH32" s="2315"/>
      <c r="II32" s="2315"/>
      <c r="IJ32" s="2315"/>
      <c r="IK32" s="2315"/>
      <c r="IL32" s="2315"/>
      <c r="IM32" s="2315"/>
      <c r="IN32" s="2315"/>
      <c r="IO32" s="2315"/>
      <c r="IP32" s="2315"/>
      <c r="IQ32" s="2315"/>
      <c r="IR32" s="2315"/>
      <c r="IS32" s="2315"/>
      <c r="IT32" s="2315"/>
      <c r="IU32" s="2315"/>
      <c r="IV32" s="2315"/>
      <c r="IW32" s="2315"/>
      <c r="IX32" s="2315"/>
      <c r="IY32" s="2315"/>
      <c r="IZ32" s="2315"/>
      <c r="JA32" s="2350"/>
      <c r="JB32" s="2350"/>
      <c r="JC32" s="2350"/>
      <c r="JD32" s="2350"/>
      <c r="JE32" s="2350"/>
      <c r="JF32" s="2350"/>
      <c r="JG32" s="3748"/>
      <c r="JH32" s="1233"/>
      <c r="JI32" s="1229"/>
      <c r="JJ32" s="1686" t="s">
        <v>6108</v>
      </c>
    </row>
    <row ht="12.75" r="33" spans="1:270" x14ac:dyDescent="0.2">
      <c r="A33" s="1128">
        <v>4</v>
      </c>
      <c r="B33" s="631" t="str">
        <f>IF(INC_C_IND&gt;1,IF(HLOOKUP(INC_C_IND-1,INC_C_RANGE,A33)="","",HLOOKUP(INC_C_IND-1,INC_C_RANGE,A33)),"")</f>
        <v/>
      </c>
      <c r="C33" s="960" t="s">
        <v>2887</v>
      </c>
      <c r="D33" s="1059" t="s">
        <v>4494</v>
      </c>
      <c r="E33" s="2361"/>
      <c r="F33" s="2361"/>
      <c r="G33" s="2361"/>
      <c r="H33" s="2361"/>
      <c r="I33" s="2361"/>
      <c r="J33" s="2361"/>
      <c r="K33" s="2361"/>
      <c r="L33" s="2361"/>
      <c r="M33" s="2361">
        <f>IF(M31="","",TRUNC((M31-M32)*BR_rate,2))</f>
        <v>300</v>
      </c>
      <c r="N33" s="2361"/>
      <c r="O33" s="2361"/>
      <c r="P33" s="2369">
        <f>IF(P31="","",TRUNC((P31-P32)*BR_rate,2))</f>
        <v>75.23</v>
      </c>
      <c r="Q33" s="2361">
        <f>IF(Q31="","",TRUNC((Q31-Q32)*BR_rate,2))</f>
        <v>300</v>
      </c>
      <c r="R33" s="2361"/>
      <c r="S33" s="2361"/>
      <c r="T33" s="2361"/>
      <c r="U33" s="2361"/>
      <c r="V33" s="2361"/>
      <c r="W33" s="2361"/>
      <c r="X33" s="2361"/>
      <c r="Y33" s="2361"/>
      <c r="Z33" s="2361"/>
      <c r="AA33" s="2361"/>
      <c r="AB33" s="2361">
        <f>IF(AB31="","",TRUNC((AB31-AB32)*BR_rate,2))</f>
        <v>300</v>
      </c>
      <c r="AC33" s="2361">
        <f>IF(AC31="","",TRUNC((AC31-AC32)*BR_rate,2))</f>
        <v>300</v>
      </c>
      <c r="AD33" s="2361"/>
      <c r="AE33" s="2361"/>
      <c r="AF33" s="2361"/>
      <c r="AG33" s="2361"/>
      <c r="AH33" s="2361"/>
      <c r="AI33" s="2361"/>
      <c r="AJ33" s="2361"/>
      <c r="AK33" s="2361"/>
      <c r="AL33" s="2361"/>
      <c r="AM33" s="2361"/>
      <c r="AN33" s="2361"/>
      <c r="AO33" s="2361"/>
      <c r="AP33" s="2361"/>
      <c r="AQ33" s="2361"/>
      <c r="AR33" s="2361"/>
      <c r="AS33" s="2361">
        <f>IF(AS31="","",TRUNC((AS31-AS32)*BR_rate,2))</f>
        <v>1400</v>
      </c>
      <c r="AT33" s="2364"/>
      <c r="AU33" s="2364"/>
      <c r="AV33" s="2364"/>
      <c r="AW33" s="2364"/>
      <c r="AX33" s="2364"/>
      <c r="AY33" s="2364"/>
      <c r="AZ33" s="2364"/>
      <c r="BA33" s="2364"/>
      <c r="BB33" s="2364"/>
      <c r="BC33" s="2364"/>
      <c r="BD33" s="2361">
        <f>IF(BD31="","",TRUNC((BD31-BD32)*BR_rate,2))</f>
        <v>144</v>
      </c>
      <c r="BE33" s="2364"/>
      <c r="BF33" s="2364"/>
      <c r="BG33" s="2364"/>
      <c r="BH33" s="2364"/>
      <c r="BI33" s="2364"/>
      <c r="BJ33" s="2364"/>
      <c r="BK33" s="2361"/>
      <c r="BL33" s="2364"/>
      <c r="BM33" s="2364"/>
      <c r="BN33" s="2364"/>
      <c r="BO33" s="2364"/>
      <c r="BP33" s="2361">
        <f>IF(BP31="","",TRUNC((BP31-BP32)*BR_rate,2))</f>
        <v>300</v>
      </c>
      <c r="BQ33" s="2361">
        <f>IF(BQ31="","",TRUNC((BQ31-BQ32)*BR_rate,2))</f>
        <v>300</v>
      </c>
      <c r="BR33" s="2361">
        <f>IF(BR31="","",TRUNC((BR31-BR32)*BR_rate,2))</f>
        <v>1400</v>
      </c>
      <c r="BS33" s="2361">
        <f>IF(BS31="","",TRUNC((BS31-BS32)*BR_rate,2))</f>
        <v>300</v>
      </c>
      <c r="BT33" s="2364"/>
      <c r="BU33" s="2361">
        <f>IF(BU31="","",TRUNC((BU31-BU32)*BR_rate,2))</f>
        <v>300</v>
      </c>
      <c r="BV33" s="2364"/>
      <c r="BW33" s="2364"/>
      <c r="BX33" s="2361">
        <f>IF(BX31="","",TRUNC((BX31-BX32)*BR_rate,2))</f>
        <v>300</v>
      </c>
      <c r="BY33" s="2364"/>
      <c r="BZ33" s="2364"/>
      <c r="CA33" s="2364"/>
      <c r="CB33" s="2364"/>
      <c r="CC33" s="2364"/>
      <c r="CD33" s="2364"/>
      <c r="CE33" s="2364"/>
      <c r="CF33" s="2364"/>
      <c r="CG33" s="2364"/>
      <c r="CH33" s="2361">
        <f>IF(CH31="","",TRUNC((CH31-CH32)*BR_rate,2))</f>
        <v>300</v>
      </c>
      <c r="CI33" s="2364"/>
      <c r="CJ33" s="2364"/>
      <c r="CK33" s="2364"/>
      <c r="CL33" s="2364"/>
      <c r="CM33" s="2369">
        <f>IF(CM31="","",TRUNC((CM31-CM32)*BR_rate,2))</f>
        <v>75.23</v>
      </c>
      <c r="CN33" s="2364" t="str">
        <f>IF(CN31="","",TRUNC((CN31-CN32)*BR_rate,2))</f>
        <v/>
      </c>
      <c r="CO33" s="2364" t="str">
        <f>IF(CO31="","",TRUNC((CO31-CO32)*BR_rate,2))</f>
        <v/>
      </c>
      <c r="CP33" s="2369">
        <f>IF(CP31="","",TRUNC((CP31-CP32)*BR_rate,2))</f>
        <v>75.23</v>
      </c>
      <c r="CQ33" s="2364"/>
      <c r="CR33" s="2364"/>
      <c r="CS33" s="2364"/>
      <c r="CT33" s="2361">
        <f>IF(CT31="","",TRUNC((CT31-CT32)*BR_rate,2))</f>
        <v>1004</v>
      </c>
      <c r="CU33" s="2364"/>
      <c r="CV33" s="2364"/>
      <c r="CW33" s="2361"/>
      <c r="CX33" s="2361">
        <f>IF(CX31="","",TRUNC((CX31-CX32)*BR_rate,2))</f>
        <v>1004</v>
      </c>
      <c r="CY33" s="2364"/>
      <c r="CZ33" s="2364"/>
      <c r="DA33" s="2364"/>
      <c r="DB33" s="2364"/>
      <c r="DC33" s="2364"/>
      <c r="DD33" s="2364"/>
      <c r="DE33" s="2364"/>
      <c r="DF33" s="2364"/>
      <c r="DG33" s="2364"/>
      <c r="DH33" s="2364"/>
      <c r="DI33" s="2364"/>
      <c r="DJ33" s="2364"/>
      <c r="DK33" s="2364"/>
      <c r="DL33" s="2364"/>
      <c r="DM33" s="2361">
        <f>IF(DM31="","",TRUNC((DM31-DM32)*BR_rate,2))</f>
        <v>1004</v>
      </c>
      <c r="DN33" s="2364"/>
      <c r="DO33" s="2364"/>
      <c r="DP33" s="2364"/>
      <c r="DQ33" s="2364"/>
      <c r="DR33" s="2364"/>
      <c r="DS33" s="2364"/>
      <c r="DT33" s="2364"/>
      <c r="DU33" s="2364"/>
      <c r="DV33" s="2364"/>
      <c r="DW33" s="2364"/>
      <c r="DX33" s="2364"/>
      <c r="DY33" s="2364"/>
      <c r="DZ33" s="2361">
        <f>IF(DZ31="","",TRUNC((DZ31-DZ32)*BR_rate,2))</f>
        <v>1400</v>
      </c>
      <c r="EA33" s="2364"/>
      <c r="EB33" s="2364"/>
      <c r="EC33" s="2361">
        <f>IF(EC31="","",TRUNC((EC31-EC32)*BR_rate,2))</f>
        <v>144</v>
      </c>
      <c r="ED33" s="2361"/>
      <c r="EE33" s="2361">
        <f>IF(EE31="","",TRUNC((EE31-EE32)*BR_rate,2))</f>
        <v>1004</v>
      </c>
      <c r="EF33" s="2364"/>
      <c r="EG33" s="2364"/>
      <c r="EH33" s="2364"/>
      <c r="EI33" s="2364"/>
      <c r="EJ33" s="2364"/>
      <c r="EK33" s="2364"/>
      <c r="EL33" s="2369">
        <f>IF(EL31="","",TRUNC((EL31-EL32)*BR_rate,2))</f>
        <v>75.23</v>
      </c>
      <c r="EM33" s="2364"/>
      <c r="EN33" s="2364"/>
      <c r="EO33" s="2364"/>
      <c r="EP33" s="2364"/>
      <c r="EQ33" s="2364"/>
      <c r="ER33" s="2364"/>
      <c r="ES33" s="2364"/>
      <c r="ET33" s="2364"/>
      <c r="EU33" s="2364"/>
      <c r="EV33" s="2364"/>
      <c r="EW33" s="2364"/>
      <c r="EX33" s="2364"/>
      <c r="EY33" s="2364"/>
      <c r="EZ33" s="2364"/>
      <c r="FA33" s="2361">
        <f>IF(FA31="","",TRUNC((FA31-FA32)*BR_rate,2))</f>
        <v>1004</v>
      </c>
      <c r="FB33" s="2364"/>
      <c r="FC33" s="2361">
        <f>IF(FC31="","",TRUNC((FC31-FC32)*BR_rate,2))</f>
        <v>300</v>
      </c>
      <c r="FD33" s="2361">
        <f>IF(FD31="","",TRUNC((FD31-FD32)*BR_rate,2))</f>
        <v>300</v>
      </c>
      <c r="FE33" s="2364"/>
      <c r="FF33" s="2361">
        <f>IF(FF31="","",TRUNC((FF31-FF32)*BR_rate,2))</f>
        <v>144</v>
      </c>
      <c r="FG33" s="2364"/>
      <c r="FH33" s="2364"/>
      <c r="FI33" s="2364"/>
      <c r="FJ33" s="2364"/>
      <c r="FK33" s="2364"/>
      <c r="FL33" s="2361">
        <f>IF(FL31="","",TRUNC((FL31-FL32)*BR_rate,2))</f>
        <v>1004</v>
      </c>
      <c r="FM33" s="2364"/>
      <c r="FN33" s="2364"/>
      <c r="FO33" s="2364"/>
      <c r="FP33" s="2364"/>
      <c r="FQ33" s="2364"/>
      <c r="FR33" s="2364"/>
      <c r="FS33" s="2364"/>
      <c r="FT33" s="2364"/>
      <c r="FU33" s="2364"/>
      <c r="FV33" s="2364"/>
      <c r="FW33" s="2364"/>
      <c r="FX33" s="2364"/>
      <c r="FY33" s="2361">
        <f>IF(FY31="","",TRUNC((FY31-FY32)*BR_rate,2))</f>
        <v>1400</v>
      </c>
      <c r="FZ33" s="2361">
        <f>IF(FZ31="","",TRUNC((FZ31-FZ32)*BR_rate,2))</f>
        <v>1400</v>
      </c>
      <c r="GA33" s="2361">
        <f>IF(GA31="","",TRUNC((GA31-GA32)*BR_rate,2))</f>
        <v>1400</v>
      </c>
      <c r="GB33" s="2361">
        <f>IF(GB31="","",TRUNC((GB31-GB32)*BR_rate,2))</f>
        <v>1400</v>
      </c>
      <c r="GC33" s="2364"/>
      <c r="GD33" s="2364"/>
      <c r="GE33" s="2364"/>
      <c r="GF33" s="2364"/>
      <c r="GG33" s="2364"/>
      <c r="GH33" s="2364"/>
      <c r="GI33" s="2364"/>
      <c r="GJ33" s="2361">
        <f>IF(GJ31="","",TRUNC((GJ31-GJ32)*BR_rate,2))</f>
        <v>1400</v>
      </c>
      <c r="GK33" s="2364"/>
      <c r="GL33" s="2361"/>
      <c r="GM33" s="2361"/>
      <c r="GN33" s="2364"/>
      <c r="GO33" s="2364"/>
      <c r="GP33" s="2364"/>
      <c r="GQ33" s="2364"/>
      <c r="GR33" s="2364"/>
      <c r="GS33" s="2361"/>
      <c r="GT33" s="2364"/>
      <c r="GU33" s="2364"/>
      <c r="GV33" s="2361">
        <f>IF(GV31="","",TRUNC((GV31-GV32)*BR_rate,2))</f>
        <v>1004</v>
      </c>
      <c r="GW33" s="2361">
        <f>IF(GW31="","",TRUNC((GW31-GW32)*BR_rate,2))</f>
        <v>1400</v>
      </c>
      <c r="GX33" s="2364"/>
      <c r="GY33" s="2364"/>
      <c r="GZ33" s="2364"/>
      <c r="HA33" s="2364"/>
      <c r="HB33" s="2364"/>
      <c r="HC33" s="2364"/>
      <c r="HD33" s="2364"/>
      <c r="HE33" s="2364"/>
      <c r="HF33" s="2364"/>
      <c r="HG33" s="2364"/>
      <c r="HH33" s="2364"/>
      <c r="HI33" s="2364"/>
      <c r="HJ33" s="2364"/>
      <c r="HK33" s="2364"/>
      <c r="HL33" s="2364"/>
      <c r="HM33" s="2364"/>
      <c r="HN33" s="2364"/>
      <c r="HO33" s="2364"/>
      <c r="HP33" s="2364"/>
      <c r="HQ33" s="2364"/>
      <c r="HR33" s="2364"/>
      <c r="HS33" s="2364"/>
      <c r="HT33" s="2364"/>
      <c r="HU33" s="2364"/>
      <c r="HV33" s="2364"/>
      <c r="HW33" s="2364"/>
      <c r="HX33" s="2364"/>
      <c r="HY33" s="2364"/>
      <c r="HZ33" s="2364"/>
      <c r="IA33" s="2364"/>
      <c r="IB33" s="2364"/>
      <c r="IC33" s="2361">
        <f>IF(IC31="","",TRUNC((IC31-IC32)*BR_rate,2))</f>
        <v>223.2</v>
      </c>
      <c r="ID33" s="2364"/>
      <c r="IE33" s="2364"/>
      <c r="IF33" s="2361">
        <f>IF(IF31="","",TRUNC((IF31-IF32)*BR_rate,2))</f>
        <v>194.4</v>
      </c>
      <c r="IG33" s="2364"/>
      <c r="IH33" s="2364"/>
      <c r="II33" s="2364"/>
      <c r="IJ33" s="2364"/>
      <c r="IK33" s="2364"/>
      <c r="IL33" s="2364">
        <f>IF(IL31="","",TRUNC((IL31-IL32)*BR_rate,2))</f>
        <v>2000</v>
      </c>
      <c r="IM33" s="2364"/>
      <c r="IN33" s="2364"/>
      <c r="IO33" s="2364"/>
      <c r="IP33" s="2364"/>
      <c r="IQ33" s="2364"/>
      <c r="IR33" s="2364"/>
      <c r="IS33" s="2364"/>
      <c r="IT33" s="2364"/>
      <c r="IU33" s="2364"/>
      <c r="IV33" s="2364"/>
      <c r="IW33" s="2364"/>
      <c r="IX33" s="4030">
        <v>15</v>
      </c>
      <c r="IY33" s="2364"/>
      <c r="IZ33" s="2364"/>
      <c r="JA33" s="3737"/>
      <c r="JB33" s="3737"/>
      <c r="JC33" s="3737"/>
      <c r="JD33" s="3737"/>
      <c r="JE33" s="3737"/>
      <c r="JF33" s="3737"/>
      <c r="JG33" s="3749"/>
      <c r="JH33" s="1233"/>
      <c r="JI33" s="1229" t="s">
        <v>5103</v>
      </c>
      <c r="JJ33" s="1686" t="s">
        <v>6108</v>
      </c>
    </row>
    <row ht="12.75" r="34" spans="1:270" x14ac:dyDescent="0.2">
      <c r="A34" s="1128">
        <v>5</v>
      </c>
      <c r="B34" s="631" t="str">
        <f>IF(INC_C_IND&gt;1,IF(HLOOKUP(INC_C_IND-1,INC_C_RANGE,A34)="","",HLOOKUP(INC_C_IND-1,INC_C_RANGE,A34)),"")</f>
        <v/>
      </c>
      <c r="C34" s="960" t="s">
        <v>923</v>
      </c>
      <c r="D34" s="1059" t="s">
        <v>3679</v>
      </c>
      <c r="E34" s="2351"/>
      <c r="F34" s="2351"/>
      <c r="G34" s="2351"/>
      <c r="H34" s="2351"/>
      <c r="I34" s="2351"/>
      <c r="J34" s="2351"/>
      <c r="K34" s="2351"/>
      <c r="L34" s="2351"/>
      <c r="M34" s="2351"/>
      <c r="N34" s="2351"/>
      <c r="O34" s="2351"/>
      <c r="P34" s="2351"/>
      <c r="Q34" s="2351"/>
      <c r="R34" s="2351"/>
      <c r="S34" s="2351"/>
      <c r="T34" s="2351"/>
      <c r="U34" s="2351"/>
      <c r="V34" s="2351"/>
      <c r="W34" s="2351"/>
      <c r="X34" s="2351"/>
      <c r="Y34" s="2351"/>
      <c r="Z34" s="2351"/>
      <c r="AA34" s="2351"/>
      <c r="AB34" s="2351"/>
      <c r="AC34" s="2351"/>
      <c r="AD34" s="2351"/>
      <c r="AE34" s="2351"/>
      <c r="AF34" s="2351"/>
      <c r="AG34" s="2351"/>
      <c r="AH34" s="2351"/>
      <c r="AI34" s="2351"/>
      <c r="AJ34" s="2351"/>
      <c r="AK34" s="2351"/>
      <c r="AL34" s="2351"/>
      <c r="AM34" s="2351"/>
      <c r="AN34" s="2351"/>
      <c r="AO34" s="2351"/>
      <c r="AP34" s="2351"/>
      <c r="AQ34" s="2351"/>
      <c r="AR34" s="2351"/>
      <c r="AS34" s="2351"/>
      <c r="AT34" s="2370"/>
      <c r="AU34" s="2370"/>
      <c r="AV34" s="2370"/>
      <c r="AW34" s="2370"/>
      <c r="AX34" s="2370"/>
      <c r="AY34" s="2370"/>
      <c r="AZ34" s="2370"/>
      <c r="BA34" s="2370"/>
      <c r="BB34" s="2370"/>
      <c r="BC34" s="2370"/>
      <c r="BD34" s="2351"/>
      <c r="BE34" s="2370"/>
      <c r="BF34" s="2370"/>
      <c r="BG34" s="2351"/>
      <c r="BH34" s="2370"/>
      <c r="BI34" s="2370"/>
      <c r="BJ34" s="2370"/>
      <c r="BK34" s="2351"/>
      <c r="BL34" s="2370"/>
      <c r="BM34" s="2370"/>
      <c r="BN34" s="2370"/>
      <c r="BO34" s="2370"/>
      <c r="BP34" s="2351"/>
      <c r="BQ34" s="2351"/>
      <c r="BR34" s="2351"/>
      <c r="BS34" s="2351"/>
      <c r="BT34" s="2370"/>
      <c r="BU34" s="2351"/>
      <c r="BV34" s="2370"/>
      <c r="BW34" s="2370"/>
      <c r="BX34" s="2351"/>
      <c r="BY34" s="2370"/>
      <c r="BZ34" s="2370"/>
      <c r="CA34" s="2371"/>
      <c r="CB34" s="2370"/>
      <c r="CC34" s="2371"/>
      <c r="CD34" s="2370"/>
      <c r="CE34" s="2371"/>
      <c r="CF34" s="2370"/>
      <c r="CG34" s="2371"/>
      <c r="CH34" s="2351"/>
      <c r="CI34" s="2371"/>
      <c r="CJ34" s="2370"/>
      <c r="CK34" s="2371"/>
      <c r="CL34" s="2370"/>
      <c r="CM34" s="2351"/>
      <c r="CN34" s="2370"/>
      <c r="CO34" s="2371"/>
      <c r="CP34" s="2351"/>
      <c r="CQ34" s="2371"/>
      <c r="CR34" s="2370"/>
      <c r="CS34" s="2371"/>
      <c r="CT34" s="2351"/>
      <c r="CU34" s="2371"/>
      <c r="CV34" s="2370"/>
      <c r="CW34" s="2351">
        <v>1265</v>
      </c>
      <c r="CX34" s="2351"/>
      <c r="CY34" s="2371"/>
      <c r="CZ34" s="2370"/>
      <c r="DA34" s="2371"/>
      <c r="DB34" s="2370"/>
      <c r="DC34" s="2371"/>
      <c r="DD34" s="2370"/>
      <c r="DE34" s="2371"/>
      <c r="DF34" s="2370"/>
      <c r="DG34" s="2371"/>
      <c r="DH34" s="2370"/>
      <c r="DI34" s="2371"/>
      <c r="DJ34" s="2370"/>
      <c r="DK34" s="2371"/>
      <c r="DL34" s="2370"/>
      <c r="DM34" s="2351"/>
      <c r="DN34" s="2370"/>
      <c r="DO34" s="2371"/>
      <c r="DP34" s="2370"/>
      <c r="DQ34" s="2371"/>
      <c r="DR34" s="2370"/>
      <c r="DS34" s="2371"/>
      <c r="DT34" s="2370"/>
      <c r="DU34" s="2371"/>
      <c r="DV34" s="2370"/>
      <c r="DW34" s="2371"/>
      <c r="DX34" s="2370"/>
      <c r="DY34" s="2371"/>
      <c r="DZ34" s="2351"/>
      <c r="EA34" s="2371"/>
      <c r="EB34" s="2370"/>
      <c r="EC34" s="2351"/>
      <c r="ED34" s="2351"/>
      <c r="EE34" s="2351"/>
      <c r="EF34" s="2370"/>
      <c r="EG34" s="2371"/>
      <c r="EH34" s="2370"/>
      <c r="EI34" s="2371"/>
      <c r="EJ34" s="2370"/>
      <c r="EK34" s="2371"/>
      <c r="EL34" s="2351"/>
      <c r="EM34" s="2371"/>
      <c r="EN34" s="2370"/>
      <c r="EO34" s="2371"/>
      <c r="EP34" s="2370"/>
      <c r="EQ34" s="2371"/>
      <c r="ER34" s="2370"/>
      <c r="ES34" s="2371"/>
      <c r="ET34" s="2370"/>
      <c r="EU34" s="2371"/>
      <c r="EV34" s="2370"/>
      <c r="EW34" s="2371"/>
      <c r="EX34" s="2370"/>
      <c r="EY34" s="2371"/>
      <c r="EZ34" s="2370"/>
      <c r="FA34" s="2351"/>
      <c r="FB34" s="2370"/>
      <c r="FC34" s="2351"/>
      <c r="FD34" s="2351"/>
      <c r="FE34" s="2371"/>
      <c r="FF34" s="2351"/>
      <c r="FG34" s="2371"/>
      <c r="FH34" s="2370"/>
      <c r="FI34" s="2371"/>
      <c r="FJ34" s="2370"/>
      <c r="FK34" s="2371"/>
      <c r="FL34" s="2351"/>
      <c r="FM34" s="2371"/>
      <c r="FN34" s="2370"/>
      <c r="FO34" s="2371"/>
      <c r="FP34" s="2370"/>
      <c r="FQ34" s="2371"/>
      <c r="FR34" s="2370"/>
      <c r="FS34" s="2371"/>
      <c r="FT34" s="2370"/>
      <c r="FU34" s="2371"/>
      <c r="FV34" s="2370"/>
      <c r="FW34" s="2371"/>
      <c r="FX34" s="2370"/>
      <c r="FY34" s="2351"/>
      <c r="FZ34" s="2351"/>
      <c r="GA34" s="2351"/>
      <c r="GB34" s="2351"/>
      <c r="GC34" s="2371"/>
      <c r="GD34" s="2370"/>
      <c r="GE34" s="2371"/>
      <c r="GF34" s="2370"/>
      <c r="GG34" s="2371"/>
      <c r="GH34" s="2370"/>
      <c r="GI34" s="2371"/>
      <c r="GJ34" s="2351"/>
      <c r="GK34" s="2371"/>
      <c r="GL34" s="2351">
        <v>1265</v>
      </c>
      <c r="GM34" s="2351">
        <v>1265</v>
      </c>
      <c r="GN34" s="2370"/>
      <c r="GO34" s="2371"/>
      <c r="GP34" s="2370"/>
      <c r="GQ34" s="2371"/>
      <c r="GR34" s="2370"/>
      <c r="GS34" s="2351">
        <v>1265</v>
      </c>
      <c r="GT34" s="2370"/>
      <c r="GU34" s="2371"/>
      <c r="GV34" s="2351"/>
      <c r="GW34" s="2351"/>
      <c r="GX34" s="2370"/>
      <c r="GY34" s="2371"/>
      <c r="GZ34" s="2370"/>
      <c r="HA34" s="2371"/>
      <c r="HB34" s="2370"/>
      <c r="HC34" s="2371"/>
      <c r="HD34" s="2370"/>
      <c r="HE34" s="2371"/>
      <c r="HF34" s="2370"/>
      <c r="HG34" s="2371"/>
      <c r="HH34" s="2370"/>
      <c r="HI34" s="2371"/>
      <c r="HJ34" s="2370"/>
      <c r="HK34" s="2371"/>
      <c r="HL34" s="2370"/>
      <c r="HM34" s="2371"/>
      <c r="HN34" s="2370"/>
      <c r="HO34" s="2371"/>
      <c r="HP34" s="2370"/>
      <c r="HQ34" s="2371"/>
      <c r="HR34" s="2370"/>
      <c r="HS34" s="2371"/>
      <c r="HT34" s="2370"/>
      <c r="HU34" s="2371"/>
      <c r="HV34" s="2370"/>
      <c r="HW34" s="2371"/>
      <c r="HX34" s="2370"/>
      <c r="HY34" s="2371"/>
      <c r="HZ34" s="2370"/>
      <c r="IA34" s="2371"/>
      <c r="IB34" s="2370"/>
      <c r="IC34" s="2351"/>
      <c r="ID34" s="2370"/>
      <c r="IE34" s="2371"/>
      <c r="IF34" s="2351"/>
      <c r="IG34" s="2371"/>
      <c r="IH34" s="2370"/>
      <c r="II34" s="2371"/>
      <c r="IJ34" s="2370"/>
      <c r="IK34" s="2371"/>
      <c r="IL34" s="2370"/>
      <c r="IM34" s="2371"/>
      <c r="IN34" s="2370"/>
      <c r="IO34" s="2371"/>
      <c r="IP34" s="2370"/>
      <c r="IQ34" s="2371"/>
      <c r="IR34" s="2371"/>
      <c r="IS34" s="2370"/>
      <c r="IT34" s="2371"/>
      <c r="IU34" s="2370"/>
      <c r="IV34" s="2371"/>
      <c r="IW34" s="2370"/>
      <c r="IX34" s="2371"/>
      <c r="IY34" s="2370"/>
      <c r="IZ34" s="2371"/>
      <c r="JA34" s="2371"/>
      <c r="JB34" s="2371"/>
      <c r="JC34" s="2371"/>
      <c r="JD34" s="2371"/>
      <c r="JE34" s="2371"/>
      <c r="JF34" s="2371"/>
      <c r="JG34" s="3748"/>
      <c r="JH34" s="1233"/>
      <c r="JI34" s="1229"/>
      <c r="JJ34" s="1686" t="s">
        <v>6108</v>
      </c>
    </row>
    <row ht="24.75" r="35" spans="1:270" thickBot="1" x14ac:dyDescent="0.25">
      <c r="A35" s="1128">
        <v>6</v>
      </c>
      <c r="B35" s="631" t="str">
        <f>IF(INC_C_IND&gt;1,IF(HLOOKUP(INC_C_IND-1,INC_C_RANGE,A35)="","",HLOOKUP(INC_C_IND-1,INC_C_RANGE,A35)),"")</f>
        <v/>
      </c>
      <c r="C35" s="672" t="s">
        <v>4304</v>
      </c>
      <c r="D35" s="1061" t="s">
        <v>4495</v>
      </c>
      <c r="E35" s="2372"/>
      <c r="F35" s="2372"/>
      <c r="G35" s="2372"/>
      <c r="H35" s="2372"/>
      <c r="I35" s="2372"/>
      <c r="J35" s="2372"/>
      <c r="K35" s="2372"/>
      <c r="L35" s="2372"/>
      <c r="M35" s="2372" t="s">
        <v>3833</v>
      </c>
      <c r="N35" s="2372"/>
      <c r="O35" s="2372"/>
      <c r="P35" s="2372" t="s">
        <v>3075</v>
      </c>
      <c r="Q35" s="2372" t="s">
        <v>3833</v>
      </c>
      <c r="R35" s="2372"/>
      <c r="S35" s="2372"/>
      <c r="T35" s="2372"/>
      <c r="U35" s="2372"/>
      <c r="V35" s="2372"/>
      <c r="W35" s="2372"/>
      <c r="X35" s="2372"/>
      <c r="Y35" s="2372"/>
      <c r="Z35" s="2372"/>
      <c r="AA35" s="2372"/>
      <c r="AB35" s="2372" t="s">
        <v>3833</v>
      </c>
      <c r="AC35" s="2372" t="s">
        <v>3833</v>
      </c>
      <c r="AD35" s="2372"/>
      <c r="AE35" s="2372"/>
      <c r="AF35" s="2372"/>
      <c r="AG35" s="2372"/>
      <c r="AH35" s="2372"/>
      <c r="AI35" s="2372"/>
      <c r="AJ35" s="2372"/>
      <c r="AK35" s="2372"/>
      <c r="AL35" s="2372"/>
      <c r="AM35" s="2372"/>
      <c r="AN35" s="2372"/>
      <c r="AO35" s="2372"/>
      <c r="AP35" s="2372"/>
      <c r="AQ35" s="2372"/>
      <c r="AR35" s="2372"/>
      <c r="AS35" s="2372" t="s">
        <v>604</v>
      </c>
      <c r="AT35" s="2373"/>
      <c r="AU35" s="2373"/>
      <c r="AV35" s="2373"/>
      <c r="AW35" s="2373"/>
      <c r="AX35" s="2373"/>
      <c r="AY35" s="2373"/>
      <c r="AZ35" s="2373"/>
      <c r="BA35" s="2373"/>
      <c r="BB35" s="2373"/>
      <c r="BC35" s="2373"/>
      <c r="BD35" s="2372" t="s">
        <v>603</v>
      </c>
      <c r="BE35" s="2373"/>
      <c r="BF35" s="2373"/>
      <c r="BG35" s="2372"/>
      <c r="BH35" s="2373"/>
      <c r="BI35" s="2373"/>
      <c r="BJ35" s="2373"/>
      <c r="BK35" s="3945"/>
      <c r="BL35" s="2373"/>
      <c r="BM35" s="2373"/>
      <c r="BN35" s="2373"/>
      <c r="BO35" s="2373"/>
      <c r="BP35" s="2372" t="s">
        <v>3833</v>
      </c>
      <c r="BQ35" s="2372" t="s">
        <v>3833</v>
      </c>
      <c r="BR35" s="2372" t="s">
        <v>604</v>
      </c>
      <c r="BS35" s="2372" t="s">
        <v>3833</v>
      </c>
      <c r="BT35" s="2373"/>
      <c r="BU35" s="2372" t="s">
        <v>3833</v>
      </c>
      <c r="BV35" s="2373"/>
      <c r="BW35" s="2373"/>
      <c r="BX35" s="2372" t="s">
        <v>3833</v>
      </c>
      <c r="BY35" s="2373"/>
      <c r="BZ35" s="2373"/>
      <c r="CA35" s="2374"/>
      <c r="CB35" s="2373"/>
      <c r="CC35" s="2374"/>
      <c r="CD35" s="2373"/>
      <c r="CE35" s="2374"/>
      <c r="CF35" s="2373"/>
      <c r="CG35" s="2374"/>
      <c r="CH35" s="2372" t="s">
        <v>3833</v>
      </c>
      <c r="CI35" s="2374"/>
      <c r="CJ35" s="2373"/>
      <c r="CK35" s="2374"/>
      <c r="CL35" s="2373"/>
      <c r="CM35" s="2372" t="s">
        <v>3075</v>
      </c>
      <c r="CN35" s="2373"/>
      <c r="CO35" s="2374"/>
      <c r="CP35" s="2372" t="s">
        <v>3075</v>
      </c>
      <c r="CQ35" s="2374"/>
      <c r="CR35" s="2373"/>
      <c r="CS35" s="2374"/>
      <c r="CT35" s="2372" t="s">
        <v>602</v>
      </c>
      <c r="CU35" s="2374"/>
      <c r="CV35" s="2373"/>
      <c r="CW35" s="2372" t="s">
        <v>601</v>
      </c>
      <c r="CX35" s="2372" t="s">
        <v>602</v>
      </c>
      <c r="CY35" s="2374"/>
      <c r="CZ35" s="2373"/>
      <c r="DA35" s="2374"/>
      <c r="DB35" s="2373"/>
      <c r="DC35" s="2374"/>
      <c r="DD35" s="2373"/>
      <c r="DE35" s="2374"/>
      <c r="DF35" s="2373"/>
      <c r="DG35" s="2374"/>
      <c r="DH35" s="2373"/>
      <c r="DI35" s="2374"/>
      <c r="DJ35" s="2373"/>
      <c r="DK35" s="2374"/>
      <c r="DL35" s="2373"/>
      <c r="DM35" s="2372" t="s">
        <v>602</v>
      </c>
      <c r="DN35" s="2373"/>
      <c r="DO35" s="2374"/>
      <c r="DP35" s="2373"/>
      <c r="DQ35" s="2374"/>
      <c r="DR35" s="2373"/>
      <c r="DS35" s="2374"/>
      <c r="DT35" s="2373"/>
      <c r="DU35" s="2374"/>
      <c r="DV35" s="2373"/>
      <c r="DW35" s="2374"/>
      <c r="DX35" s="2373"/>
      <c r="DY35" s="2374"/>
      <c r="DZ35" s="2372" t="s">
        <v>604</v>
      </c>
      <c r="EA35" s="2374"/>
      <c r="EB35" s="2373"/>
      <c r="EC35" s="2372" t="s">
        <v>603</v>
      </c>
      <c r="ED35" s="2372"/>
      <c r="EE35" s="2372" t="s">
        <v>602</v>
      </c>
      <c r="EF35" s="2373"/>
      <c r="EG35" s="2374"/>
      <c r="EH35" s="2373"/>
      <c r="EI35" s="2374"/>
      <c r="EJ35" s="2373"/>
      <c r="EK35" s="2374"/>
      <c r="EL35" s="2372" t="s">
        <v>3075</v>
      </c>
      <c r="EM35" s="2374"/>
      <c r="EN35" s="2373"/>
      <c r="EO35" s="2374"/>
      <c r="EP35" s="2373"/>
      <c r="EQ35" s="2374"/>
      <c r="ER35" s="2373"/>
      <c r="ES35" s="2374"/>
      <c r="ET35" s="2373"/>
      <c r="EU35" s="2374"/>
      <c r="EV35" s="2373"/>
      <c r="EW35" s="2374"/>
      <c r="EX35" s="2373"/>
      <c r="EY35" s="2374"/>
      <c r="EZ35" s="2373"/>
      <c r="FA35" s="2372" t="s">
        <v>602</v>
      </c>
      <c r="FB35" s="2373"/>
      <c r="FC35" s="2372" t="s">
        <v>3833</v>
      </c>
      <c r="FD35" s="2372" t="s">
        <v>3833</v>
      </c>
      <c r="FE35" s="2374"/>
      <c r="FF35" s="2372" t="s">
        <v>603</v>
      </c>
      <c r="FG35" s="2374"/>
      <c r="FH35" s="2373"/>
      <c r="FI35" s="2374"/>
      <c r="FJ35" s="2373"/>
      <c r="FK35" s="2374"/>
      <c r="FL35" s="2372" t="s">
        <v>602</v>
      </c>
      <c r="FM35" s="2374"/>
      <c r="FN35" s="2373"/>
      <c r="FO35" s="2374"/>
      <c r="FP35" s="2373"/>
      <c r="FQ35" s="2374"/>
      <c r="FR35" s="2373"/>
      <c r="FS35" s="2374"/>
      <c r="FT35" s="2373"/>
      <c r="FU35" s="2374"/>
      <c r="FV35" s="2373"/>
      <c r="FW35" s="2374"/>
      <c r="FX35" s="2373"/>
      <c r="FY35" s="2372" t="s">
        <v>604</v>
      </c>
      <c r="FZ35" s="2372" t="s">
        <v>604</v>
      </c>
      <c r="GA35" s="2372" t="s">
        <v>604</v>
      </c>
      <c r="GB35" s="2372" t="s">
        <v>604</v>
      </c>
      <c r="GC35" s="2374"/>
      <c r="GD35" s="2373"/>
      <c r="GE35" s="2374"/>
      <c r="GF35" s="2373"/>
      <c r="GG35" s="2374"/>
      <c r="GH35" s="2373"/>
      <c r="GI35" s="2374"/>
      <c r="GJ35" s="2372" t="s">
        <v>604</v>
      </c>
      <c r="GK35" s="2374"/>
      <c r="GL35" s="2372" t="s">
        <v>601</v>
      </c>
      <c r="GM35" s="2372" t="s">
        <v>601</v>
      </c>
      <c r="GN35" s="2373"/>
      <c r="GO35" s="2374"/>
      <c r="GP35" s="2373"/>
      <c r="GQ35" s="2374"/>
      <c r="GR35" s="2373"/>
      <c r="GS35" s="2372" t="s">
        <v>601</v>
      </c>
      <c r="GT35" s="2373"/>
      <c r="GU35" s="2374"/>
      <c r="GV35" s="2372" t="s">
        <v>602</v>
      </c>
      <c r="GW35" s="2372" t="s">
        <v>604</v>
      </c>
      <c r="GX35" s="2373"/>
      <c r="GY35" s="2374"/>
      <c r="GZ35" s="2373"/>
      <c r="HA35" s="2374"/>
      <c r="HB35" s="2373"/>
      <c r="HC35" s="2374"/>
      <c r="HD35" s="2373"/>
      <c r="HE35" s="2374"/>
      <c r="HF35" s="2373"/>
      <c r="HG35" s="2374"/>
      <c r="HH35" s="2373"/>
      <c r="HI35" s="2374"/>
      <c r="HJ35" s="2373"/>
      <c r="HK35" s="2374"/>
      <c r="HL35" s="2373"/>
      <c r="HM35" s="2374"/>
      <c r="HN35" s="2373"/>
      <c r="HO35" s="2374"/>
      <c r="HP35" s="2373"/>
      <c r="HQ35" s="2374"/>
      <c r="HR35" s="2373"/>
      <c r="HS35" s="2374"/>
      <c r="HT35" s="2373"/>
      <c r="HU35" s="2374"/>
      <c r="HV35" s="2373"/>
      <c r="HW35" s="2374"/>
      <c r="HX35" s="2373"/>
      <c r="HY35" s="2374"/>
      <c r="HZ35" s="2373"/>
      <c r="IA35" s="2374"/>
      <c r="IB35" s="2373"/>
      <c r="IC35" s="3126" t="s">
        <v>7412</v>
      </c>
      <c r="ID35" s="2373"/>
      <c r="IE35" s="2374"/>
      <c r="IF35" s="3126" t="s">
        <v>7413</v>
      </c>
      <c r="IG35" s="2374"/>
      <c r="IH35" s="2373"/>
      <c r="II35" s="2374"/>
      <c r="IJ35" s="2373"/>
      <c r="IK35" s="2374"/>
      <c r="IL35" s="2373" t="s">
        <v>6616</v>
      </c>
      <c r="IM35" s="2374"/>
      <c r="IN35" s="2373"/>
      <c r="IO35" s="2374"/>
      <c r="IP35" s="2373"/>
      <c r="IQ35" s="2374"/>
      <c r="IR35" s="2374"/>
      <c r="IS35" s="2373"/>
      <c r="IT35" s="2374"/>
      <c r="IU35" s="2373"/>
      <c r="IV35" s="2374"/>
      <c r="IW35" s="2373"/>
      <c r="IX35" s="2374" t="s">
        <v>8982</v>
      </c>
      <c r="IY35" s="2373"/>
      <c r="IZ35" s="2374"/>
      <c r="JA35" s="2374"/>
      <c r="JB35" s="2374"/>
      <c r="JC35" s="2374"/>
      <c r="JD35" s="2374"/>
      <c r="JE35" s="2374"/>
      <c r="JF35" s="2374"/>
      <c r="JG35" s="2808"/>
      <c r="JH35" s="1233"/>
      <c r="JI35" s="1229"/>
      <c r="JJ35" s="1686" t="s">
        <v>6112</v>
      </c>
    </row>
    <row ht="12.75" r="36" spans="1:270" thickBot="1" x14ac:dyDescent="0.25">
      <c r="C36" s="1131" t="s">
        <v>1649</v>
      </c>
      <c r="D36" s="671"/>
      <c r="E36" s="2343"/>
      <c r="F36" s="2343"/>
      <c r="G36" s="2343"/>
      <c r="H36" s="2343"/>
      <c r="I36" s="2343"/>
      <c r="J36" s="2343"/>
      <c r="K36" s="34"/>
      <c r="L36" s="34"/>
      <c r="M36" s="34"/>
      <c r="N36" s="34"/>
      <c r="O36" s="34"/>
      <c r="P36" s="34"/>
      <c r="Q36" s="34"/>
      <c r="R36" s="34"/>
      <c r="S36" s="34"/>
      <c r="T36" s="34"/>
      <c r="U36" s="34"/>
      <c r="V36" s="34"/>
      <c r="W36" s="34"/>
      <c r="X36" s="34"/>
      <c r="Y36" s="34"/>
      <c r="Z36" s="34"/>
      <c r="AA36" s="34"/>
      <c r="AB36" s="34"/>
      <c r="AC36" s="34"/>
      <c r="AI36" s="34"/>
      <c r="AJ36" s="34"/>
      <c r="AK36" s="34"/>
      <c r="AL36" s="34"/>
      <c r="AM36" s="34"/>
      <c r="AN36" s="34"/>
      <c r="AO36" s="34"/>
      <c r="AP36" s="34"/>
      <c r="AQ36" s="34"/>
      <c r="AR36" s="34"/>
      <c r="AS36" s="2343"/>
      <c r="AT36" s="2343"/>
      <c r="AU36" s="2343"/>
      <c r="AV36" s="2343"/>
      <c r="AW36" s="2343"/>
      <c r="AX36" s="2343"/>
      <c r="AY36" s="34"/>
      <c r="AZ36" s="34"/>
      <c r="BA36" s="34"/>
      <c r="BB36" s="34"/>
      <c r="BC36" s="34"/>
      <c r="BD36" s="34"/>
      <c r="BE36" s="34"/>
      <c r="BF36" s="34"/>
      <c r="BG36" s="34"/>
      <c r="BH36" s="34"/>
      <c r="BI36" s="34"/>
      <c r="BJ36" s="34"/>
      <c r="BK36" s="34"/>
      <c r="BL36" s="34"/>
      <c r="BM36" s="34"/>
      <c r="BN36" s="34"/>
      <c r="BO36" s="34"/>
      <c r="BP36" s="34"/>
      <c r="BQ36" s="34"/>
      <c r="BR36" s="34"/>
      <c r="BS36" s="34"/>
      <c r="BT36" s="34"/>
      <c r="BU36" s="34"/>
      <c r="BV36" s="34"/>
      <c r="BW36" s="34"/>
      <c r="BX36" s="34"/>
      <c r="BY36" s="34"/>
      <c r="BZ36" s="34"/>
      <c r="CA36" s="34"/>
      <c r="CB36" s="34"/>
      <c r="CC36" s="34"/>
      <c r="CD36" s="34"/>
      <c r="CE36" s="34"/>
      <c r="CF36" s="34"/>
      <c r="CG36" s="34"/>
      <c r="CH36" s="34"/>
      <c r="CI36" s="34"/>
      <c r="CJ36" s="34"/>
      <c r="CK36" s="34"/>
      <c r="CL36" s="34"/>
      <c r="CM36" s="34"/>
      <c r="CN36" s="34"/>
      <c r="CO36" s="34"/>
      <c r="CP36" s="34"/>
      <c r="CQ36" s="34"/>
      <c r="CR36" s="34"/>
      <c r="CS36" s="34"/>
      <c r="CT36" s="34"/>
      <c r="CU36" s="34"/>
      <c r="CV36" s="34"/>
      <c r="CW36" s="34"/>
      <c r="CX36" s="34"/>
      <c r="CY36" s="34"/>
      <c r="CZ36" s="34"/>
      <c r="DA36" s="34"/>
      <c r="DB36" s="34"/>
      <c r="DC36" s="34"/>
      <c r="DD36" s="34"/>
      <c r="DE36" s="34"/>
      <c r="DF36" s="34"/>
      <c r="DG36" s="34"/>
      <c r="DH36" s="34"/>
      <c r="DI36" s="34"/>
      <c r="DJ36" s="34"/>
      <c r="DK36" s="34"/>
      <c r="DL36" s="34"/>
      <c r="DM36" s="34"/>
      <c r="DN36" s="34"/>
      <c r="DO36" s="34"/>
      <c r="DP36" s="34"/>
      <c r="DQ36" s="34"/>
      <c r="DR36" s="34"/>
      <c r="DS36" s="34"/>
      <c r="DT36" s="34"/>
      <c r="DU36" s="34"/>
      <c r="DV36" s="34"/>
      <c r="DW36" s="34"/>
      <c r="DX36" s="34"/>
      <c r="DY36" s="34"/>
      <c r="DZ36" s="34"/>
      <c r="EA36" s="34"/>
      <c r="EB36" s="34"/>
      <c r="EC36" s="34"/>
      <c r="ED36" s="34"/>
      <c r="EE36" s="34"/>
      <c r="EF36" s="34"/>
      <c r="EG36" s="34"/>
      <c r="EH36" s="34"/>
      <c r="EI36" s="34"/>
      <c r="EJ36" s="34"/>
      <c r="EK36" s="34"/>
      <c r="EL36" s="34"/>
      <c r="EM36" s="34"/>
      <c r="EN36" s="34"/>
      <c r="EO36" s="34"/>
      <c r="EP36" s="34"/>
      <c r="EQ36" s="34"/>
      <c r="ER36" s="34"/>
      <c r="ES36" s="34"/>
      <c r="ET36" s="34"/>
      <c r="EU36" s="34"/>
      <c r="EV36" s="34"/>
      <c r="EW36" s="34"/>
      <c r="EX36" s="34"/>
      <c r="EY36" s="34"/>
      <c r="EZ36" s="34"/>
      <c r="FA36" s="34"/>
      <c r="FB36" s="34"/>
      <c r="FC36" s="34"/>
      <c r="FD36" s="34"/>
      <c r="FE36" s="34"/>
      <c r="FF36" s="34"/>
      <c r="FG36" s="34"/>
      <c r="FH36" s="34"/>
      <c r="FI36" s="34"/>
      <c r="FJ36" s="34"/>
      <c r="FK36" s="34"/>
      <c r="FL36" s="34"/>
      <c r="FM36" s="34"/>
      <c r="FN36" s="34"/>
      <c r="FO36" s="34"/>
      <c r="FP36" s="34"/>
      <c r="FQ36" s="34"/>
      <c r="FR36" s="34"/>
      <c r="FS36" s="34"/>
      <c r="FT36" s="34"/>
      <c r="FU36" s="34"/>
      <c r="FV36" s="34"/>
      <c r="FW36" s="34"/>
      <c r="FX36" s="34"/>
      <c r="FY36" s="34"/>
      <c r="FZ36" s="34"/>
      <c r="GA36" s="34"/>
      <c r="GB36" s="34"/>
      <c r="GC36" s="34"/>
      <c r="GD36" s="34"/>
      <c r="GE36" s="34"/>
      <c r="GF36" s="34"/>
      <c r="GG36" s="34"/>
      <c r="GH36" s="34"/>
      <c r="GI36" s="34"/>
      <c r="GJ36" s="34"/>
      <c r="GK36" s="34"/>
      <c r="GL36" s="34"/>
      <c r="GM36" s="34"/>
      <c r="GN36" s="34"/>
      <c r="GO36" s="34"/>
      <c r="GP36" s="34"/>
      <c r="GQ36" s="34"/>
      <c r="GR36" s="34"/>
      <c r="GS36" s="34"/>
      <c r="GT36" s="34"/>
      <c r="GU36" s="34"/>
      <c r="GV36" s="34"/>
      <c r="GW36" s="34"/>
      <c r="GX36" s="34"/>
      <c r="GY36" s="34"/>
      <c r="GZ36" s="34"/>
      <c r="HA36" s="34"/>
      <c r="HB36" s="34"/>
      <c r="HC36" s="34"/>
      <c r="HD36" s="34"/>
      <c r="HE36" s="34"/>
      <c r="HF36" s="34"/>
      <c r="HG36" s="34"/>
      <c r="HH36" s="34"/>
      <c r="HI36" s="34"/>
      <c r="HJ36" s="34"/>
      <c r="HK36" s="34"/>
      <c r="HL36" s="34"/>
      <c r="HM36" s="34"/>
      <c r="HN36" s="34"/>
      <c r="HO36" s="34"/>
      <c r="HP36" s="34"/>
      <c r="HQ36" s="34"/>
      <c r="HR36" s="34"/>
      <c r="HS36" s="34"/>
      <c r="HT36" s="34"/>
      <c r="HU36" s="34"/>
      <c r="HV36" s="34"/>
      <c r="HW36" s="34"/>
      <c r="HX36" s="34"/>
      <c r="HY36" s="34"/>
      <c r="HZ36" s="34"/>
      <c r="IA36" s="34"/>
      <c r="IB36" s="34"/>
      <c r="IC36" s="34"/>
      <c r="ID36" s="34"/>
      <c r="IE36" s="34"/>
      <c r="IF36" s="34"/>
      <c r="IG36" s="34"/>
      <c r="IH36" s="34"/>
      <c r="II36" s="34"/>
      <c r="IJ36" s="34"/>
      <c r="IK36" s="34"/>
      <c r="IL36" s="34"/>
      <c r="IM36" s="34"/>
      <c r="IN36" s="34"/>
      <c r="IO36" s="34"/>
      <c r="IP36" s="34"/>
      <c r="IQ36" s="34"/>
      <c r="IR36" s="34"/>
      <c r="IS36" s="34"/>
      <c r="IT36" s="34"/>
      <c r="IU36" s="34"/>
      <c r="IV36" s="34"/>
      <c r="IW36" s="34"/>
      <c r="IX36" s="34"/>
      <c r="IY36" s="34"/>
      <c r="IZ36" s="34"/>
    </row>
    <row ht="12.75" r="37" spans="1:270" x14ac:dyDescent="0.2">
      <c r="A37" s="1128" t="s">
        <v>4479</v>
      </c>
      <c r="B37" s="1945" t="str">
        <f>"selected "&amp;REL_A_IND-1</f>
        <v>selected 3</v>
      </c>
      <c r="C37" s="961" t="s">
        <v>3735</v>
      </c>
      <c r="D37" s="1060"/>
      <c r="E37" s="2026">
        <v>1</v>
      </c>
      <c r="F37" s="2026">
        <v>2</v>
      </c>
      <c r="G37" s="2026">
        <v>3</v>
      </c>
      <c r="H37" s="2026">
        <v>4</v>
      </c>
      <c r="I37" s="2026">
        <v>5</v>
      </c>
      <c r="J37" s="2026">
        <v>6</v>
      </c>
      <c r="K37" s="2026">
        <v>7</v>
      </c>
      <c r="L37" s="2026">
        <v>8</v>
      </c>
      <c r="M37" s="2026">
        <v>9</v>
      </c>
      <c r="N37" s="2026">
        <v>10</v>
      </c>
      <c r="O37" s="2026">
        <v>11</v>
      </c>
      <c r="P37" s="2026">
        <v>12</v>
      </c>
      <c r="Q37" s="2026">
        <v>13</v>
      </c>
      <c r="R37" s="2026">
        <v>14</v>
      </c>
      <c r="S37" s="2026">
        <v>15</v>
      </c>
      <c r="T37" s="2026">
        <v>16</v>
      </c>
      <c r="U37" s="2026">
        <v>17</v>
      </c>
      <c r="V37" s="2026">
        <v>18</v>
      </c>
      <c r="W37" s="2026">
        <v>19</v>
      </c>
      <c r="X37" s="2026">
        <v>20</v>
      </c>
      <c r="Y37" s="2026">
        <v>21</v>
      </c>
      <c r="Z37" s="2026">
        <v>22</v>
      </c>
      <c r="AA37" s="2026">
        <v>23</v>
      </c>
      <c r="AB37" s="2026">
        <v>24</v>
      </c>
      <c r="AC37" s="2026">
        <v>25</v>
      </c>
      <c r="AD37" s="3502">
        <v>26</v>
      </c>
      <c r="AE37" s="3502">
        <v>27</v>
      </c>
      <c r="AF37" s="3502">
        <v>28</v>
      </c>
      <c r="AG37" s="3502">
        <v>29</v>
      </c>
      <c r="AH37" s="3502">
        <v>30</v>
      </c>
      <c r="AI37" s="1134">
        <v>31</v>
      </c>
      <c r="AJ37" s="1134">
        <v>32</v>
      </c>
      <c r="AK37" s="1134">
        <v>33</v>
      </c>
      <c r="AL37" s="1134">
        <v>34</v>
      </c>
      <c r="AM37" s="1134">
        <v>35</v>
      </c>
      <c r="AN37" s="1134">
        <v>36</v>
      </c>
      <c r="AO37" s="1134">
        <v>37</v>
      </c>
      <c r="AP37" s="1134">
        <v>38</v>
      </c>
      <c r="AQ37" s="1134">
        <v>39</v>
      </c>
      <c r="AR37" s="1134">
        <v>40</v>
      </c>
      <c r="AS37" s="1134">
        <v>41</v>
      </c>
      <c r="AT37" s="1134">
        <v>42</v>
      </c>
      <c r="AU37" s="1134">
        <v>43</v>
      </c>
      <c r="AV37" s="1134">
        <v>44</v>
      </c>
      <c r="AW37" s="1134">
        <v>45</v>
      </c>
      <c r="AX37" s="1134">
        <v>46</v>
      </c>
      <c r="AY37" s="1134">
        <v>47</v>
      </c>
      <c r="AZ37" s="1134">
        <v>48</v>
      </c>
      <c r="BA37" s="1134">
        <v>49</v>
      </c>
      <c r="BB37" s="1134">
        <v>50</v>
      </c>
      <c r="BC37" s="1134">
        <v>51</v>
      </c>
      <c r="BD37" s="1134">
        <v>52</v>
      </c>
      <c r="BE37" s="2026">
        <v>53</v>
      </c>
      <c r="BF37" s="2026">
        <v>54</v>
      </c>
      <c r="BG37" s="1134">
        <v>55</v>
      </c>
      <c r="BH37" s="1134">
        <v>56</v>
      </c>
      <c r="BI37" s="1134">
        <v>57</v>
      </c>
      <c r="BJ37" s="1134">
        <v>58</v>
      </c>
      <c r="BK37" s="1134">
        <v>59</v>
      </c>
      <c r="BL37" s="1134">
        <v>60</v>
      </c>
      <c r="BM37" s="1134">
        <v>61</v>
      </c>
      <c r="BN37" s="1134">
        <v>62</v>
      </c>
      <c r="BO37" s="1134">
        <v>63</v>
      </c>
      <c r="BP37" s="1134">
        <v>64</v>
      </c>
      <c r="BQ37" s="1134">
        <v>65</v>
      </c>
      <c r="BR37" s="1134">
        <v>66</v>
      </c>
      <c r="BS37" s="1134">
        <v>67</v>
      </c>
      <c r="BT37" s="1134">
        <v>68</v>
      </c>
      <c r="BU37" s="1134">
        <v>69</v>
      </c>
      <c r="BV37" s="1134">
        <v>70</v>
      </c>
      <c r="BW37" s="1134">
        <v>71</v>
      </c>
      <c r="BX37" s="1134">
        <v>72</v>
      </c>
      <c r="BY37" s="1134">
        <v>73</v>
      </c>
      <c r="BZ37" s="1134">
        <v>74</v>
      </c>
      <c r="CA37" s="1134">
        <v>75</v>
      </c>
      <c r="CB37" s="1134">
        <v>76</v>
      </c>
      <c r="CC37" s="1134">
        <v>77</v>
      </c>
      <c r="CD37" s="1134">
        <v>78</v>
      </c>
      <c r="CE37" s="1134">
        <v>79</v>
      </c>
      <c r="CF37" s="1134">
        <v>80</v>
      </c>
      <c r="CG37" s="1134">
        <v>81</v>
      </c>
      <c r="CH37" s="1134">
        <v>82</v>
      </c>
      <c r="CI37" s="1134">
        <v>83</v>
      </c>
      <c r="CJ37" s="1134">
        <v>84</v>
      </c>
      <c r="CK37" s="1134">
        <v>85</v>
      </c>
      <c r="CL37" s="1134">
        <v>86</v>
      </c>
      <c r="CM37" s="1134">
        <v>87</v>
      </c>
      <c r="CN37" s="1134">
        <v>88</v>
      </c>
      <c r="CO37" s="1134">
        <v>89</v>
      </c>
      <c r="CP37" s="1134">
        <v>90</v>
      </c>
      <c r="CQ37" s="1134">
        <v>91</v>
      </c>
      <c r="CR37" s="1134">
        <v>92</v>
      </c>
      <c r="CS37" s="1134">
        <v>93</v>
      </c>
      <c r="CT37" s="1134">
        <v>94</v>
      </c>
      <c r="CU37" s="1134">
        <v>95</v>
      </c>
      <c r="CV37" s="1134">
        <v>96</v>
      </c>
      <c r="CW37" s="1134">
        <v>97</v>
      </c>
      <c r="CX37" s="1134">
        <v>98</v>
      </c>
      <c r="CY37" s="1134">
        <v>99</v>
      </c>
      <c r="CZ37" s="1134">
        <v>100</v>
      </c>
      <c r="DA37" s="1134">
        <v>101</v>
      </c>
      <c r="DB37" s="1134">
        <v>102</v>
      </c>
      <c r="DC37" s="1134">
        <v>103</v>
      </c>
      <c r="DD37" s="1134">
        <v>104</v>
      </c>
      <c r="DE37" s="1134">
        <v>105</v>
      </c>
      <c r="DF37" s="1134">
        <v>106</v>
      </c>
      <c r="DG37" s="1134">
        <v>107</v>
      </c>
      <c r="DH37" s="1134">
        <v>108</v>
      </c>
      <c r="DI37" s="1134">
        <v>109</v>
      </c>
      <c r="DJ37" s="1134">
        <v>110</v>
      </c>
      <c r="DK37" s="1134">
        <v>111</v>
      </c>
      <c r="DL37" s="1134">
        <v>112</v>
      </c>
      <c r="DM37" s="1134">
        <v>113</v>
      </c>
      <c r="DN37" s="1134">
        <v>114</v>
      </c>
      <c r="DO37" s="1134">
        <v>115</v>
      </c>
      <c r="DP37" s="1134">
        <v>116</v>
      </c>
      <c r="DQ37" s="1134">
        <v>117</v>
      </c>
      <c r="DR37" s="1134">
        <v>118</v>
      </c>
      <c r="DS37" s="1134">
        <v>119</v>
      </c>
      <c r="DT37" s="1134">
        <v>120</v>
      </c>
      <c r="DU37" s="1134">
        <v>121</v>
      </c>
      <c r="DV37" s="1134">
        <v>122</v>
      </c>
      <c r="DW37" s="1134">
        <v>123</v>
      </c>
      <c r="DX37" s="1134">
        <v>124</v>
      </c>
      <c r="DY37" s="1134">
        <v>125</v>
      </c>
      <c r="DZ37" s="1134">
        <v>126</v>
      </c>
      <c r="EA37" s="1134">
        <v>127</v>
      </c>
      <c r="EB37" s="1134">
        <v>128</v>
      </c>
      <c r="EC37" s="1134">
        <v>129</v>
      </c>
      <c r="ED37" s="1134">
        <v>130</v>
      </c>
      <c r="EE37" s="1134">
        <v>131</v>
      </c>
      <c r="EF37" s="1134">
        <v>132</v>
      </c>
      <c r="EG37" s="1134">
        <v>133</v>
      </c>
      <c r="EH37" s="1134">
        <v>134</v>
      </c>
      <c r="EI37" s="1134">
        <v>135</v>
      </c>
      <c r="EJ37" s="1134">
        <v>136</v>
      </c>
      <c r="EK37" s="1134">
        <v>137</v>
      </c>
      <c r="EL37" s="1134">
        <v>138</v>
      </c>
      <c r="EM37" s="1134">
        <v>139</v>
      </c>
      <c r="EN37" s="1134">
        <v>140</v>
      </c>
      <c r="EO37" s="1134">
        <v>141</v>
      </c>
      <c r="EP37" s="1134">
        <v>142</v>
      </c>
      <c r="EQ37" s="1134">
        <v>143</v>
      </c>
      <c r="ER37" s="1134">
        <v>144</v>
      </c>
      <c r="ES37" s="1134">
        <v>145</v>
      </c>
      <c r="ET37" s="1134">
        <v>146</v>
      </c>
      <c r="EU37" s="1134">
        <v>147</v>
      </c>
      <c r="EV37" s="1134">
        <v>148</v>
      </c>
      <c r="EW37" s="1134">
        <v>149</v>
      </c>
      <c r="EX37" s="1134">
        <v>150</v>
      </c>
      <c r="EY37" s="1134">
        <v>151</v>
      </c>
      <c r="EZ37" s="1134">
        <v>152</v>
      </c>
      <c r="FA37" s="1134">
        <v>153</v>
      </c>
      <c r="FB37" s="1134">
        <v>154</v>
      </c>
      <c r="FC37" s="1134">
        <v>155</v>
      </c>
      <c r="FD37" s="1134">
        <v>156</v>
      </c>
      <c r="FE37" s="1134">
        <v>157</v>
      </c>
      <c r="FF37" s="1134">
        <v>158</v>
      </c>
      <c r="FG37" s="1134">
        <v>159</v>
      </c>
      <c r="FH37" s="1134">
        <v>160</v>
      </c>
      <c r="FI37" s="1134">
        <v>161</v>
      </c>
      <c r="FJ37" s="1134">
        <v>162</v>
      </c>
      <c r="FK37" s="1134">
        <v>163</v>
      </c>
      <c r="FL37" s="1134">
        <v>164</v>
      </c>
      <c r="FM37" s="1134">
        <v>165</v>
      </c>
      <c r="FN37" s="1134">
        <v>166</v>
      </c>
      <c r="FO37" s="1134">
        <v>167</v>
      </c>
      <c r="FP37" s="1134">
        <v>168</v>
      </c>
      <c r="FQ37" s="1134">
        <v>169</v>
      </c>
      <c r="FR37" s="1134">
        <v>170</v>
      </c>
      <c r="FS37" s="1134">
        <v>171</v>
      </c>
      <c r="FT37" s="1134">
        <v>172</v>
      </c>
      <c r="FU37" s="1134">
        <v>173</v>
      </c>
      <c r="FV37" s="1134">
        <v>174</v>
      </c>
      <c r="FW37" s="1134">
        <v>175</v>
      </c>
      <c r="FX37" s="1134">
        <v>176</v>
      </c>
      <c r="FY37" s="1134">
        <v>177</v>
      </c>
      <c r="FZ37" s="1134">
        <v>178</v>
      </c>
      <c r="GA37" s="1134">
        <v>179</v>
      </c>
      <c r="GB37" s="1134">
        <v>180</v>
      </c>
      <c r="GC37" s="1134">
        <v>181</v>
      </c>
      <c r="GD37" s="1134">
        <v>182</v>
      </c>
      <c r="GE37" s="1134">
        <v>183</v>
      </c>
      <c r="GF37" s="1134">
        <v>184</v>
      </c>
      <c r="GG37" s="1134">
        <v>185</v>
      </c>
      <c r="GH37" s="1134">
        <v>186</v>
      </c>
      <c r="GI37" s="1134">
        <v>187</v>
      </c>
      <c r="GJ37" s="1134">
        <v>188</v>
      </c>
      <c r="GK37" s="1134">
        <v>189</v>
      </c>
      <c r="GL37" s="1134">
        <v>190</v>
      </c>
      <c r="GM37" s="1134">
        <v>191</v>
      </c>
      <c r="GN37" s="1134">
        <v>192</v>
      </c>
      <c r="GO37" s="1134">
        <v>193</v>
      </c>
      <c r="GP37" s="1134">
        <v>194</v>
      </c>
      <c r="GQ37" s="1134">
        <v>195</v>
      </c>
      <c r="GR37" s="1134">
        <v>196</v>
      </c>
      <c r="GS37" s="1134">
        <v>197</v>
      </c>
      <c r="GT37" s="1134">
        <v>198</v>
      </c>
      <c r="GU37" s="1134">
        <v>199</v>
      </c>
      <c r="GV37" s="1134">
        <v>200</v>
      </c>
      <c r="GW37" s="1134">
        <v>201</v>
      </c>
      <c r="GX37" s="1134">
        <v>202</v>
      </c>
      <c r="GY37" s="1134">
        <v>203</v>
      </c>
      <c r="GZ37" s="1134">
        <v>204</v>
      </c>
      <c r="HA37" s="1134">
        <v>205</v>
      </c>
      <c r="HB37" s="1134">
        <v>206</v>
      </c>
      <c r="HC37" s="1134">
        <v>207</v>
      </c>
      <c r="HD37" s="1134">
        <v>208</v>
      </c>
      <c r="HE37" s="1134">
        <v>209</v>
      </c>
      <c r="HF37" s="1134">
        <v>210</v>
      </c>
      <c r="HG37" s="1134">
        <v>211</v>
      </c>
      <c r="HH37" s="1134">
        <v>212</v>
      </c>
      <c r="HI37" s="1134">
        <v>213</v>
      </c>
      <c r="HJ37" s="1134">
        <v>214</v>
      </c>
      <c r="HK37" s="1134">
        <v>215</v>
      </c>
      <c r="HL37" s="1134">
        <v>216</v>
      </c>
      <c r="HM37" s="1134">
        <v>217</v>
      </c>
      <c r="HN37" s="1134">
        <v>218</v>
      </c>
      <c r="HO37" s="1134">
        <v>219</v>
      </c>
      <c r="HP37" s="1134">
        <v>220</v>
      </c>
      <c r="HQ37" s="1134">
        <v>221</v>
      </c>
      <c r="HR37" s="1134">
        <v>222</v>
      </c>
      <c r="HS37" s="1134">
        <v>223</v>
      </c>
      <c r="HT37" s="1134">
        <v>224</v>
      </c>
      <c r="HU37" s="1134">
        <v>225</v>
      </c>
      <c r="HV37" s="1134">
        <v>226</v>
      </c>
      <c r="HW37" s="1134">
        <v>227</v>
      </c>
      <c r="HX37" s="1134">
        <v>228</v>
      </c>
      <c r="HY37" s="1134">
        <v>229</v>
      </c>
      <c r="HZ37" s="1134">
        <v>230</v>
      </c>
      <c r="IA37" s="1134">
        <v>231</v>
      </c>
      <c r="IB37" s="1134">
        <v>232</v>
      </c>
      <c r="IC37" s="1134">
        <v>233</v>
      </c>
      <c r="ID37" s="1134">
        <v>234</v>
      </c>
      <c r="IE37" s="1134">
        <v>235</v>
      </c>
      <c r="IF37" s="1134">
        <v>236</v>
      </c>
      <c r="IG37" s="1134">
        <v>237</v>
      </c>
      <c r="IH37" s="1134">
        <v>238</v>
      </c>
      <c r="II37" s="1134">
        <v>239</v>
      </c>
      <c r="IJ37" s="1134">
        <v>240</v>
      </c>
      <c r="IK37" s="1134">
        <v>241</v>
      </c>
      <c r="IL37" s="1134">
        <v>242</v>
      </c>
      <c r="IM37" s="1134">
        <v>243</v>
      </c>
      <c r="IN37" s="1134">
        <v>244</v>
      </c>
      <c r="IO37" s="1134">
        <v>245</v>
      </c>
      <c r="IP37" s="1134">
        <v>246</v>
      </c>
      <c r="IQ37" s="1134">
        <v>247</v>
      </c>
      <c r="IR37" s="1134">
        <v>248</v>
      </c>
      <c r="IS37" s="1134">
        <v>249</v>
      </c>
      <c r="IT37" s="1134">
        <v>250</v>
      </c>
      <c r="IU37" s="1134">
        <v>251</v>
      </c>
      <c r="IV37" s="1134">
        <v>252</v>
      </c>
      <c r="IW37" s="1134">
        <v>253</v>
      </c>
      <c r="IX37" s="1134">
        <v>254</v>
      </c>
      <c r="IY37" s="1134">
        <v>255</v>
      </c>
      <c r="IZ37" s="1134">
        <v>256</v>
      </c>
      <c r="JA37" s="1134">
        <v>257</v>
      </c>
      <c r="JB37" s="1134">
        <v>258</v>
      </c>
      <c r="JC37" s="1134">
        <v>259</v>
      </c>
      <c r="JD37" s="1134">
        <v>260</v>
      </c>
      <c r="JE37" s="1134">
        <v>261</v>
      </c>
      <c r="JF37" s="1134">
        <v>262</v>
      </c>
      <c r="JG37" s="2485">
        <v>263</v>
      </c>
      <c r="JH37" s="1233"/>
      <c r="JJ37" s="1701" t="s">
        <v>6104</v>
      </c>
    </row>
    <row ht="24" r="38" spans="1:270" x14ac:dyDescent="0.2">
      <c r="A38" s="1128">
        <v>2</v>
      </c>
      <c r="B38" s="630">
        <f>IF(REL_A_IND&gt;1,IF(HLOOKUP(REL_A_IND-1,REL_A_RANGE,A38)="","",HLOOKUP(REL_A_IND-1,REL_A_RANGE,A38)),"")</f>
        <v>1000</v>
      </c>
      <c r="C38" s="960" t="s">
        <v>2116</v>
      </c>
      <c r="D38" s="1061" t="s">
        <v>4508</v>
      </c>
      <c r="E38" s="2363">
        <f>ABS(BR_band-SIR_band)</f>
        <v>19014</v>
      </c>
      <c r="F38" s="2315"/>
      <c r="G38" s="2315">
        <v>1000</v>
      </c>
      <c r="H38" s="2315"/>
      <c r="I38" s="2315"/>
      <c r="J38" s="2315"/>
      <c r="K38" s="2315"/>
      <c r="L38" s="2315"/>
      <c r="M38" s="2315"/>
      <c r="N38" s="2315"/>
      <c r="O38" s="2315">
        <v>3600</v>
      </c>
      <c r="P38" s="2315"/>
      <c r="Q38" s="2315"/>
      <c r="R38" s="2315"/>
      <c r="S38" s="2315"/>
      <c r="T38" s="2315"/>
      <c r="U38" s="3706">
        <v>4200</v>
      </c>
      <c r="V38" s="2315"/>
      <c r="W38" s="2315"/>
      <c r="X38" s="2315"/>
      <c r="Y38" s="2315"/>
      <c r="Z38" s="2315"/>
      <c r="AA38" s="2315"/>
      <c r="AB38" s="2315"/>
      <c r="AC38" s="2315"/>
      <c r="AD38" s="2315"/>
      <c r="AE38" s="2315"/>
      <c r="AF38" s="2315"/>
      <c r="AG38" s="3504">
        <v>15000</v>
      </c>
      <c r="AH38" s="3504">
        <v>22500</v>
      </c>
      <c r="AI38" s="2315"/>
      <c r="AJ38" s="2315"/>
      <c r="AK38" s="2315"/>
      <c r="AL38" s="2315"/>
      <c r="AM38" s="2315"/>
      <c r="AN38" s="2315"/>
      <c r="AO38" s="2315"/>
      <c r="AP38" s="2315"/>
      <c r="AQ38" s="2315"/>
      <c r="AR38" s="2315"/>
      <c r="AS38" s="2315">
        <v>3205</v>
      </c>
      <c r="AT38" s="2315"/>
      <c r="AU38" s="2315"/>
      <c r="AV38" s="2315"/>
      <c r="AW38" s="2315"/>
      <c r="AX38" s="2315"/>
      <c r="AY38" s="2315"/>
      <c r="AZ38" s="2315"/>
      <c r="BA38" s="2315"/>
      <c r="BB38" s="2315"/>
      <c r="BC38" s="2315"/>
      <c r="BD38" s="2315">
        <v>3205</v>
      </c>
      <c r="BE38" s="2315"/>
      <c r="BF38" s="3706">
        <v>2000</v>
      </c>
      <c r="BG38" s="2315"/>
      <c r="BH38" s="2315"/>
      <c r="BI38" s="2315"/>
      <c r="BJ38" s="2315"/>
      <c r="BK38" s="2315"/>
      <c r="BL38" s="2315"/>
      <c r="BM38" s="2315"/>
      <c r="BN38" s="2315"/>
      <c r="BO38" s="2315"/>
      <c r="BP38" s="2315"/>
      <c r="BQ38" s="2315"/>
      <c r="BR38" s="2315"/>
      <c r="BS38" s="2315"/>
      <c r="BT38" s="2315"/>
      <c r="BU38" s="2315"/>
      <c r="BV38" s="2315"/>
      <c r="BW38" s="2315"/>
      <c r="BX38" s="2315"/>
      <c r="BY38" s="2315"/>
      <c r="BZ38" s="2315"/>
      <c r="CA38" s="2315"/>
      <c r="CB38" s="2315"/>
      <c r="CC38" s="2315">
        <v>1800</v>
      </c>
      <c r="CD38" s="2315"/>
      <c r="CE38" s="2315">
        <v>14418</v>
      </c>
      <c r="CF38" s="2315"/>
      <c r="CG38" s="2315"/>
      <c r="CH38" s="2315"/>
      <c r="CI38" s="2315"/>
      <c r="CJ38" s="2315"/>
      <c r="CK38" s="2315"/>
      <c r="CL38" s="2315">
        <v>3205</v>
      </c>
      <c r="CM38" s="2315">
        <v>1275</v>
      </c>
      <c r="CN38" s="2315"/>
      <c r="CO38" s="2315"/>
      <c r="CP38" s="2315"/>
      <c r="CQ38" s="2315"/>
      <c r="CR38" s="2315"/>
      <c r="CS38" s="2315"/>
      <c r="CT38" s="2315">
        <v>3205</v>
      </c>
      <c r="CU38" s="2315">
        <v>3205</v>
      </c>
      <c r="CV38" s="2315">
        <v>3205</v>
      </c>
      <c r="CW38" s="2315">
        <v>1800</v>
      </c>
      <c r="CX38" s="2315"/>
      <c r="CY38" s="2315"/>
      <c r="CZ38" s="2315"/>
      <c r="DA38" s="2315"/>
      <c r="DB38" s="2315"/>
      <c r="DC38" s="2315"/>
      <c r="DD38" s="2315"/>
      <c r="DE38" s="2315"/>
      <c r="DF38" s="2315"/>
      <c r="DG38" s="2315">
        <v>1800</v>
      </c>
      <c r="DH38" s="2315"/>
      <c r="DI38" s="2315"/>
      <c r="DJ38" s="2315">
        <v>1275</v>
      </c>
      <c r="DK38" s="2315"/>
      <c r="DL38" s="2315"/>
      <c r="DM38" s="2315"/>
      <c r="DN38" s="2315"/>
      <c r="DO38" s="2315"/>
      <c r="DP38" s="2315"/>
      <c r="DQ38" s="2315"/>
      <c r="DR38" s="2315"/>
      <c r="DS38" s="2315"/>
      <c r="DT38" s="2315"/>
      <c r="DU38" s="2315"/>
      <c r="DV38" s="2315"/>
      <c r="DW38" s="2315"/>
      <c r="DX38" s="2315"/>
      <c r="DY38" s="2315"/>
      <c r="DZ38" s="2315"/>
      <c r="EA38" s="2315"/>
      <c r="EB38" s="2315"/>
      <c r="EC38" s="2315"/>
      <c r="ED38" s="2315"/>
      <c r="EE38" s="2315"/>
      <c r="EF38" s="2315"/>
      <c r="EG38" s="2315"/>
      <c r="EH38" s="2315"/>
      <c r="EI38" s="2315"/>
      <c r="EJ38" s="2315"/>
      <c r="EK38" s="2315"/>
      <c r="EL38" s="2315"/>
      <c r="EM38" s="2315"/>
      <c r="EN38" s="2315"/>
      <c r="EO38" s="2315"/>
      <c r="EP38" s="2315"/>
      <c r="EQ38" s="2315"/>
      <c r="ER38" s="2315"/>
      <c r="ES38" s="2315"/>
      <c r="ET38" s="2315"/>
      <c r="EU38" s="2315"/>
      <c r="EV38" s="2315"/>
      <c r="EW38" s="2315"/>
      <c r="EX38" s="2315"/>
      <c r="EY38" s="2315"/>
      <c r="EZ38" s="2315"/>
      <c r="FA38" s="2315">
        <v>1800</v>
      </c>
      <c r="FB38" s="2315"/>
      <c r="FC38" s="2315"/>
      <c r="FD38" s="2315"/>
      <c r="FE38" s="2315"/>
      <c r="FF38" s="2315"/>
      <c r="FG38" s="2315"/>
      <c r="FH38" s="2315"/>
      <c r="FI38" s="2315"/>
      <c r="FJ38" s="2315"/>
      <c r="FK38" s="2315"/>
      <c r="FL38" s="2315"/>
      <c r="FM38" s="2315"/>
      <c r="FN38" s="2315"/>
      <c r="FO38" s="2315"/>
      <c r="FP38" s="2315"/>
      <c r="FQ38" s="2315"/>
      <c r="FR38" s="2315"/>
      <c r="FS38" s="2315"/>
      <c r="FT38" s="2315"/>
      <c r="FU38" s="2315"/>
      <c r="FV38" s="2315"/>
      <c r="FW38" s="2315"/>
      <c r="FX38" s="2315"/>
      <c r="FY38" s="2315"/>
      <c r="FZ38" s="2315"/>
      <c r="GA38" s="2315"/>
      <c r="GB38" s="2315"/>
      <c r="GC38" s="2315"/>
      <c r="GD38" s="2315"/>
      <c r="GE38" s="2315"/>
      <c r="GF38" s="2315"/>
      <c r="GG38" s="2315"/>
      <c r="GH38" s="2315"/>
      <c r="GI38" s="2315"/>
      <c r="GJ38" s="2315"/>
      <c r="GK38" s="2315"/>
      <c r="GL38" s="2315">
        <v>1800</v>
      </c>
      <c r="GM38" s="2315">
        <v>1800</v>
      </c>
      <c r="GN38" s="2315"/>
      <c r="GO38" s="2315"/>
      <c r="GP38" s="2315"/>
      <c r="GQ38" s="2315"/>
      <c r="GR38" s="2315">
        <v>14418</v>
      </c>
      <c r="GS38" s="2315"/>
      <c r="GT38" s="2315"/>
      <c r="GU38" s="2315"/>
      <c r="GV38" s="2315"/>
      <c r="GW38" s="2315"/>
      <c r="GX38" s="2315"/>
      <c r="GY38" s="2315">
        <v>1800</v>
      </c>
      <c r="GZ38" s="2315"/>
      <c r="HA38" s="2315"/>
      <c r="HB38" s="2315"/>
      <c r="HC38" s="2315"/>
      <c r="HD38" s="2315"/>
      <c r="HE38" s="2315"/>
      <c r="HF38" s="2315"/>
      <c r="HG38" s="2315"/>
      <c r="HH38" s="2315"/>
      <c r="HI38" s="2315"/>
      <c r="HJ38" s="2315"/>
      <c r="HK38" s="2315"/>
      <c r="HL38" s="2315"/>
      <c r="HM38" s="2315"/>
      <c r="HN38" s="2315"/>
      <c r="HO38" s="2315"/>
      <c r="HP38" s="2315"/>
      <c r="HQ38" s="2315"/>
      <c r="HR38" s="2315"/>
      <c r="HS38" s="2315"/>
      <c r="HT38" s="2315"/>
      <c r="HU38" s="2315"/>
      <c r="HV38" s="2315"/>
      <c r="HW38" s="2315"/>
      <c r="HX38" s="2315"/>
      <c r="HY38" s="2315"/>
      <c r="HZ38" s="2315"/>
      <c r="IA38" s="2315"/>
      <c r="IB38" s="2315"/>
      <c r="IC38" s="2315"/>
      <c r="ID38" s="2315"/>
      <c r="IE38" s="2315">
        <f>ABS(BR_band-(SSR_band+SBR_band+SIR_band))</f>
        <v>6570</v>
      </c>
      <c r="IF38" s="2315"/>
      <c r="IG38" s="2315">
        <v>3600</v>
      </c>
      <c r="IH38" s="2315"/>
      <c r="II38" s="2315"/>
      <c r="IJ38" s="2315"/>
      <c r="IK38" s="2315"/>
      <c r="IL38" s="2315"/>
      <c r="IM38" s="2315"/>
      <c r="IN38" s="2315"/>
      <c r="IO38" s="2315"/>
      <c r="IP38" s="2315"/>
      <c r="IQ38" s="2315"/>
      <c r="IR38" s="2315"/>
      <c r="IS38" s="2315"/>
      <c r="IT38" s="2315"/>
      <c r="IU38" s="2315"/>
      <c r="IV38" s="2315"/>
      <c r="IW38" s="2315"/>
      <c r="IX38" s="2315"/>
      <c r="IY38" s="2315"/>
      <c r="IZ38" s="2315"/>
      <c r="JA38" s="2350"/>
      <c r="JB38" s="2350"/>
      <c r="JC38" s="2350"/>
      <c r="JD38" s="2350"/>
      <c r="JE38" s="2350"/>
      <c r="JF38" s="2350"/>
      <c r="JG38" s="3347"/>
      <c r="JH38" s="1233"/>
      <c r="JI38" s="1229"/>
      <c r="JJ38" s="1686" t="s">
        <v>6108</v>
      </c>
    </row>
    <row ht="24" r="39" spans="1:270" x14ac:dyDescent="0.2">
      <c r="A39" s="1128">
        <v>3</v>
      </c>
      <c r="B39" s="630">
        <f>IF(REL_A_IND&gt;1,IF(HLOOKUP(REL_A_IND-1,REL_A_RANGE,A39)="","",HLOOKUP(REL_A_IND-1,REL_A_RANGE,A39)),"")</f>
        <v>1200</v>
      </c>
      <c r="C39" s="960" t="s">
        <v>2117</v>
      </c>
      <c r="D39" s="1061" t="s">
        <v>4509</v>
      </c>
      <c r="E39" s="2366"/>
      <c r="F39" s="2315"/>
      <c r="G39" s="2315">
        <v>1200</v>
      </c>
      <c r="H39" s="2315"/>
      <c r="I39" s="2315">
        <v>1200</v>
      </c>
      <c r="J39" s="2315"/>
      <c r="K39" s="2315">
        <v>1200</v>
      </c>
      <c r="L39" s="2315"/>
      <c r="M39" s="2315"/>
      <c r="N39" s="2315"/>
      <c r="O39" s="2315"/>
      <c r="P39" s="2315"/>
      <c r="Q39" s="2315">
        <v>1200</v>
      </c>
      <c r="R39" s="2315"/>
      <c r="S39" s="2315">
        <v>1200</v>
      </c>
      <c r="T39" s="2315"/>
      <c r="U39" s="2315"/>
      <c r="V39" s="2315"/>
      <c r="W39" s="2315"/>
      <c r="X39" s="2315"/>
      <c r="Y39" s="2315"/>
      <c r="Z39" s="2315"/>
      <c r="AA39" s="2315"/>
      <c r="AB39" s="2315"/>
      <c r="AC39" s="2315"/>
      <c r="AD39" s="2315"/>
      <c r="AE39" s="2315"/>
      <c r="AF39" s="2315"/>
      <c r="AG39" s="2315"/>
      <c r="AH39" s="2315"/>
      <c r="AI39" s="2315"/>
      <c r="AJ39" s="2315"/>
      <c r="AK39" s="2315"/>
      <c r="AL39" s="2315">
        <v>10010</v>
      </c>
      <c r="AM39" s="2315"/>
      <c r="AN39" s="2315"/>
      <c r="AO39" s="2315"/>
      <c r="AP39" s="2315"/>
      <c r="AQ39" s="2315"/>
      <c r="AR39" s="2315"/>
      <c r="AS39" s="2315">
        <v>681</v>
      </c>
      <c r="AT39" s="2315"/>
      <c r="AU39" s="2315"/>
      <c r="AV39" s="2315"/>
      <c r="AW39" s="2315"/>
      <c r="AX39" s="2315"/>
      <c r="AY39" s="2315"/>
      <c r="AZ39" s="2315"/>
      <c r="BA39" s="2315"/>
      <c r="BB39" s="2315"/>
      <c r="BC39" s="2315">
        <v>10010</v>
      </c>
      <c r="BD39" s="2315">
        <v>681</v>
      </c>
      <c r="BE39" s="2315"/>
      <c r="BF39" s="2315"/>
      <c r="BG39" s="2315"/>
      <c r="BH39" s="2315"/>
      <c r="BI39" s="2315"/>
      <c r="BJ39" s="2315"/>
      <c r="BK39" s="2315"/>
      <c r="BL39" s="2315"/>
      <c r="BM39" s="2315"/>
      <c r="BN39" s="2315"/>
      <c r="BO39" s="2315"/>
      <c r="BP39" s="2315"/>
      <c r="BQ39" s="2315"/>
      <c r="BR39" s="2315"/>
      <c r="BS39" s="2315"/>
      <c r="BT39" s="2315"/>
      <c r="BU39" s="2315"/>
      <c r="BV39" s="2315"/>
      <c r="BW39" s="2315"/>
      <c r="BX39" s="2315"/>
      <c r="BY39" s="2315"/>
      <c r="BZ39" s="2315"/>
      <c r="CA39" s="2315"/>
      <c r="CB39" s="2315"/>
      <c r="CC39" s="2315"/>
      <c r="CD39" s="2315"/>
      <c r="CE39" s="2315"/>
      <c r="CF39" s="2315">
        <v>1200</v>
      </c>
      <c r="CG39" s="2315"/>
      <c r="CH39" s="2315">
        <v>1200</v>
      </c>
      <c r="CI39" s="2315"/>
      <c r="CJ39" s="2315"/>
      <c r="CK39" s="2315"/>
      <c r="CL39" s="2315">
        <v>681</v>
      </c>
      <c r="CM39" s="2315"/>
      <c r="CN39" s="2315">
        <v>1440</v>
      </c>
      <c r="CO39" s="2315"/>
      <c r="CP39" s="2315"/>
      <c r="CQ39" s="2315"/>
      <c r="CR39" s="2315">
        <v>10010</v>
      </c>
      <c r="CS39" s="2315">
        <v>10010</v>
      </c>
      <c r="CT39" s="2315">
        <v>681</v>
      </c>
      <c r="CU39" s="2315">
        <v>681</v>
      </c>
      <c r="CV39" s="2315">
        <v>681</v>
      </c>
      <c r="CW39" s="2315"/>
      <c r="CX39" s="2315"/>
      <c r="CY39" s="2315">
        <v>10010</v>
      </c>
      <c r="CZ39" s="2315"/>
      <c r="DA39" s="2315"/>
      <c r="DB39" s="2315"/>
      <c r="DC39" s="2315"/>
      <c r="DD39" s="2315"/>
      <c r="DE39" s="2315"/>
      <c r="DF39" s="2315"/>
      <c r="DG39" s="2315"/>
      <c r="DH39" s="2315"/>
      <c r="DI39" s="2315"/>
      <c r="DJ39" s="2315"/>
      <c r="DK39" s="2315"/>
      <c r="DL39" s="2315"/>
      <c r="DM39" s="2315"/>
      <c r="DN39" s="2315"/>
      <c r="DO39" s="2315"/>
      <c r="DP39" s="2315"/>
      <c r="DQ39" s="2315"/>
      <c r="DR39" s="2315"/>
      <c r="DS39" s="2315"/>
      <c r="DT39" s="2315"/>
      <c r="DU39" s="2315"/>
      <c r="DV39" s="2315"/>
      <c r="DW39" s="2315"/>
      <c r="DX39" s="2315"/>
      <c r="DY39" s="2315"/>
      <c r="DZ39" s="2315"/>
      <c r="EA39" s="2315"/>
      <c r="EB39" s="2315"/>
      <c r="EC39" s="2315"/>
      <c r="ED39" s="2315"/>
      <c r="EE39" s="2315"/>
      <c r="EF39" s="2315"/>
      <c r="EG39" s="2315"/>
      <c r="EH39" s="2315"/>
      <c r="EI39" s="2315"/>
      <c r="EJ39" s="2315"/>
      <c r="EK39" s="2315"/>
      <c r="EL39" s="2315"/>
      <c r="EM39" s="2315"/>
      <c r="EN39" s="2315"/>
      <c r="EO39" s="2315"/>
      <c r="EP39" s="2315"/>
      <c r="EQ39" s="2315"/>
      <c r="ER39" s="2315"/>
      <c r="ES39" s="2315"/>
      <c r="ET39" s="2315"/>
      <c r="EU39" s="2315"/>
      <c r="EV39" s="2315"/>
      <c r="EW39" s="2315"/>
      <c r="EX39" s="2315"/>
      <c r="EY39" s="2315"/>
      <c r="EZ39" s="2315"/>
      <c r="FA39" s="2315"/>
      <c r="FB39" s="2315"/>
      <c r="FC39" s="2315"/>
      <c r="FD39" s="2315"/>
      <c r="FE39" s="2315"/>
      <c r="FF39" s="2315"/>
      <c r="FG39" s="2315"/>
      <c r="FH39" s="2315"/>
      <c r="FI39" s="2315"/>
      <c r="FJ39" s="2315"/>
      <c r="FK39" s="2315"/>
      <c r="FL39" s="2315"/>
      <c r="FM39" s="2315"/>
      <c r="FN39" s="2315"/>
      <c r="FO39" s="2315"/>
      <c r="FP39" s="2315"/>
      <c r="FQ39" s="2315"/>
      <c r="FR39" s="2315"/>
      <c r="FS39" s="2315"/>
      <c r="FT39" s="2315"/>
      <c r="FU39" s="2315"/>
      <c r="FV39" s="2315"/>
      <c r="FW39" s="2315"/>
      <c r="FX39" s="2315"/>
      <c r="FY39" s="2315"/>
      <c r="FZ39" s="2315"/>
      <c r="GA39" s="2315"/>
      <c r="GB39" s="2315"/>
      <c r="GC39" s="2315"/>
      <c r="GD39" s="2315"/>
      <c r="GE39" s="2315"/>
      <c r="GF39" s="2315"/>
      <c r="GG39" s="2315"/>
      <c r="GH39" s="2315"/>
      <c r="GI39" s="2315"/>
      <c r="GJ39" s="2315"/>
      <c r="GK39" s="2315"/>
      <c r="GL39" s="2315"/>
      <c r="GM39" s="2315"/>
      <c r="GN39" s="2315"/>
      <c r="GO39" s="2315"/>
      <c r="GP39" s="2315"/>
      <c r="GQ39" s="2315"/>
      <c r="GR39" s="2315"/>
      <c r="GS39" s="2315"/>
      <c r="GT39" s="2315"/>
      <c r="GU39" s="2315"/>
      <c r="GV39" s="2315"/>
      <c r="GW39" s="2315"/>
      <c r="GX39" s="2315"/>
      <c r="GY39" s="2315"/>
      <c r="GZ39" s="2315"/>
      <c r="HA39" s="2315"/>
      <c r="HB39" s="2315"/>
      <c r="HC39" s="2315"/>
      <c r="HD39" s="2315"/>
      <c r="HE39" s="2315"/>
      <c r="HF39" s="2315"/>
      <c r="HG39" s="2315"/>
      <c r="HH39" s="2315"/>
      <c r="HI39" s="2315"/>
      <c r="HJ39" s="2315"/>
      <c r="HK39" s="2315"/>
      <c r="HL39" s="2315"/>
      <c r="HM39" s="2315"/>
      <c r="HN39" s="2315"/>
      <c r="HO39" s="2315"/>
      <c r="HP39" s="2315"/>
      <c r="HQ39" s="2315"/>
      <c r="HR39" s="2315"/>
      <c r="HS39" s="2315"/>
      <c r="HT39" s="2315"/>
      <c r="HU39" s="2315"/>
      <c r="HV39" s="2315"/>
      <c r="HW39" s="2315"/>
      <c r="HX39" s="2315"/>
      <c r="HY39" s="2315"/>
      <c r="HZ39" s="2315"/>
      <c r="IA39" s="2315"/>
      <c r="IB39" s="2315"/>
      <c r="IC39" s="2315"/>
      <c r="ID39" s="2315"/>
      <c r="IE39" s="2315"/>
      <c r="IF39" s="2315"/>
      <c r="IG39" s="2315"/>
      <c r="IH39" s="2315"/>
      <c r="II39" s="2315"/>
      <c r="IJ39" s="2315"/>
      <c r="IK39" s="2315"/>
      <c r="IL39" s="2315"/>
      <c r="IM39" s="2315"/>
      <c r="IN39" s="2315"/>
      <c r="IO39" s="2315"/>
      <c r="IP39" s="2315"/>
      <c r="IQ39" s="2315"/>
      <c r="IR39" s="2315"/>
      <c r="IS39" s="2315"/>
      <c r="IT39" s="2315"/>
      <c r="IU39" s="2315"/>
      <c r="IV39" s="2315"/>
      <c r="IW39" s="2315"/>
      <c r="IX39" s="2315"/>
      <c r="IY39" s="2315"/>
      <c r="IZ39" s="2315"/>
      <c r="JA39" s="2350"/>
      <c r="JB39" s="2350"/>
      <c r="JC39" s="2350"/>
      <c r="JD39" s="2350"/>
      <c r="JE39" s="2350"/>
      <c r="JF39" s="2350"/>
      <c r="JG39" s="3750"/>
      <c r="JH39" s="1233"/>
      <c r="JI39" s="1229"/>
      <c r="JJ39" s="1686" t="s">
        <v>6108</v>
      </c>
    </row>
    <row ht="24" r="40" spans="1:270" x14ac:dyDescent="0.2">
      <c r="A40" s="1128">
        <v>4</v>
      </c>
      <c r="B40" s="630" t="str">
        <f>IF(REL_A_IND&gt;1,IF(HLOOKUP(REL_A_IND-1,REL_A_RANGE,A40)="","",HLOOKUP(REL_A_IND-1,REL_A_RANGE,A40)),"")</f>
        <v/>
      </c>
      <c r="C40" s="960" t="s">
        <v>2118</v>
      </c>
      <c r="D40" s="1061" t="s">
        <v>4510</v>
      </c>
      <c r="E40" s="2366"/>
      <c r="F40" s="2315"/>
      <c r="G40" s="2315"/>
      <c r="H40" s="2315"/>
      <c r="I40" s="2315"/>
      <c r="J40" s="2315"/>
      <c r="K40" s="2315"/>
      <c r="L40" s="2315"/>
      <c r="M40" s="2315"/>
      <c r="N40" s="2315"/>
      <c r="O40" s="2315"/>
      <c r="P40" s="2315"/>
      <c r="Q40" s="2315"/>
      <c r="R40" s="2315"/>
      <c r="S40" s="2315"/>
      <c r="T40" s="2315"/>
      <c r="U40" s="2315"/>
      <c r="V40" s="2315"/>
      <c r="W40" s="2315"/>
      <c r="X40" s="2315"/>
      <c r="Y40" s="2315"/>
      <c r="Z40" s="2315"/>
      <c r="AA40" s="2315"/>
      <c r="AB40" s="2315"/>
      <c r="AC40" s="2315"/>
      <c r="AD40" s="2315"/>
      <c r="AE40" s="2315"/>
      <c r="AF40" s="2315"/>
      <c r="AG40" s="2315"/>
      <c r="AH40" s="2315"/>
      <c r="AI40" s="2315"/>
      <c r="AJ40" s="2315"/>
      <c r="AK40" s="2315"/>
      <c r="AL40" s="2315"/>
      <c r="AM40" s="2315"/>
      <c r="AN40" s="2315"/>
      <c r="AO40" s="2315"/>
      <c r="AP40" s="2315"/>
      <c r="AQ40" s="2315"/>
      <c r="AR40" s="2315"/>
      <c r="AS40" s="2315"/>
      <c r="AT40" s="2315"/>
      <c r="AU40" s="2315"/>
      <c r="AV40" s="2315"/>
      <c r="AW40" s="2315"/>
      <c r="AX40" s="2315"/>
      <c r="AY40" s="2315"/>
      <c r="AZ40" s="2315"/>
      <c r="BA40" s="2315"/>
      <c r="BB40" s="2315"/>
      <c r="BC40" s="2315"/>
      <c r="BD40" s="2315"/>
      <c r="BE40" s="2315"/>
      <c r="BF40" s="2315"/>
      <c r="BG40" s="2315"/>
      <c r="BH40" s="2315"/>
      <c r="BI40" s="2315"/>
      <c r="BJ40" s="2315"/>
      <c r="BK40" s="2315"/>
      <c r="BL40" s="2315"/>
      <c r="BM40" s="2315"/>
      <c r="BN40" s="2315"/>
      <c r="BO40" s="2315"/>
      <c r="BP40" s="2315"/>
      <c r="BQ40" s="2315"/>
      <c r="BR40" s="2315"/>
      <c r="BS40" s="2315"/>
      <c r="BT40" s="2315"/>
      <c r="BU40" s="2315"/>
      <c r="BV40" s="2315"/>
      <c r="BW40" s="2315"/>
      <c r="BX40" s="2315"/>
      <c r="BY40" s="2315"/>
      <c r="BZ40" s="2315"/>
      <c r="CA40" s="2315"/>
      <c r="CB40" s="2315"/>
      <c r="CC40" s="2315"/>
      <c r="CD40" s="2315"/>
      <c r="CE40" s="2315"/>
      <c r="CF40" s="2315"/>
      <c r="CG40" s="2315"/>
      <c r="CH40" s="2315"/>
      <c r="CI40" s="2315"/>
      <c r="CJ40" s="2315"/>
      <c r="CK40" s="2315"/>
      <c r="CL40" s="2315"/>
      <c r="CM40" s="2315"/>
      <c r="CN40" s="2315">
        <v>429</v>
      </c>
      <c r="CO40" s="2315"/>
      <c r="CP40" s="2315"/>
      <c r="CQ40" s="2315"/>
      <c r="CR40" s="2315"/>
      <c r="CS40" s="2315"/>
      <c r="CT40" s="2315"/>
      <c r="CU40" s="2315"/>
      <c r="CV40" s="2315"/>
      <c r="CW40" s="2315"/>
      <c r="CX40" s="2315"/>
      <c r="CY40" s="2315"/>
      <c r="CZ40" s="2315"/>
      <c r="DA40" s="2315"/>
      <c r="DB40" s="2315"/>
      <c r="DC40" s="2315"/>
      <c r="DD40" s="2315"/>
      <c r="DE40" s="2315"/>
      <c r="DF40" s="2315"/>
      <c r="DG40" s="2315"/>
      <c r="DH40" s="2315"/>
      <c r="DI40" s="2315"/>
      <c r="DJ40" s="2315"/>
      <c r="DK40" s="2315"/>
      <c r="DL40" s="2315"/>
      <c r="DM40" s="2315"/>
      <c r="DN40" s="2315"/>
      <c r="DO40" s="2315"/>
      <c r="DP40" s="2315"/>
      <c r="DQ40" s="2315"/>
      <c r="DR40" s="2315"/>
      <c r="DS40" s="2315"/>
      <c r="DT40" s="2315"/>
      <c r="DU40" s="2315"/>
      <c r="DV40" s="2315"/>
      <c r="DW40" s="2315"/>
      <c r="DX40" s="2315"/>
      <c r="DY40" s="2315"/>
      <c r="DZ40" s="2315"/>
      <c r="EA40" s="2315"/>
      <c r="EB40" s="2315"/>
      <c r="EC40" s="2315"/>
      <c r="ED40" s="2315"/>
      <c r="EE40" s="2315"/>
      <c r="EF40" s="2315"/>
      <c r="EG40" s="2315"/>
      <c r="EH40" s="2315"/>
      <c r="EI40" s="2315"/>
      <c r="EJ40" s="2315"/>
      <c r="EK40" s="2315"/>
      <c r="EL40" s="2315"/>
      <c r="EM40" s="2315"/>
      <c r="EN40" s="2315"/>
      <c r="EO40" s="2315"/>
      <c r="EP40" s="2315"/>
      <c r="EQ40" s="2315"/>
      <c r="ER40" s="2315"/>
      <c r="ES40" s="2315"/>
      <c r="ET40" s="2315"/>
      <c r="EU40" s="2315"/>
      <c r="EV40" s="2315"/>
      <c r="EW40" s="2315"/>
      <c r="EX40" s="2315"/>
      <c r="EY40" s="2315"/>
      <c r="EZ40" s="2315"/>
      <c r="FA40" s="2315"/>
      <c r="FB40" s="2315"/>
      <c r="FC40" s="2315"/>
      <c r="FD40" s="2315"/>
      <c r="FE40" s="2315"/>
      <c r="FF40" s="2315"/>
      <c r="FG40" s="2315"/>
      <c r="FH40" s="2315"/>
      <c r="FI40" s="2315"/>
      <c r="FJ40" s="2315"/>
      <c r="FK40" s="2315"/>
      <c r="FL40" s="2315"/>
      <c r="FM40" s="2315"/>
      <c r="FN40" s="2315"/>
      <c r="FO40" s="2315"/>
      <c r="FP40" s="2315"/>
      <c r="FQ40" s="2315"/>
      <c r="FR40" s="2315"/>
      <c r="FS40" s="2315"/>
      <c r="FT40" s="2315"/>
      <c r="FU40" s="2315"/>
      <c r="FV40" s="2315"/>
      <c r="FW40" s="2315"/>
      <c r="FX40" s="2315"/>
      <c r="FY40" s="2315"/>
      <c r="FZ40" s="2315"/>
      <c r="GA40" s="2315"/>
      <c r="GB40" s="2315"/>
      <c r="GC40" s="2315"/>
      <c r="GD40" s="2315"/>
      <c r="GE40" s="2315"/>
      <c r="GF40" s="2315"/>
      <c r="GG40" s="2315"/>
      <c r="GH40" s="2315"/>
      <c r="GI40" s="2315"/>
      <c r="GJ40" s="2315"/>
      <c r="GK40" s="2315"/>
      <c r="GL40" s="2315"/>
      <c r="GM40" s="2315"/>
      <c r="GN40" s="2315"/>
      <c r="GO40" s="2315"/>
      <c r="GP40" s="2315"/>
      <c r="GQ40" s="2315"/>
      <c r="GR40" s="2315"/>
      <c r="GS40" s="2315"/>
      <c r="GT40" s="2315"/>
      <c r="GU40" s="2315"/>
      <c r="GV40" s="2315"/>
      <c r="GW40" s="2315"/>
      <c r="GX40" s="2315"/>
      <c r="GY40" s="2315"/>
      <c r="GZ40" s="2315"/>
      <c r="HA40" s="2315"/>
      <c r="HB40" s="2315"/>
      <c r="HC40" s="2315"/>
      <c r="HD40" s="2315"/>
      <c r="HE40" s="2315"/>
      <c r="HF40" s="2315"/>
      <c r="HG40" s="2315"/>
      <c r="HH40" s="2315"/>
      <c r="HI40" s="2315"/>
      <c r="HJ40" s="2315"/>
      <c r="HK40" s="2315"/>
      <c r="HL40" s="2315"/>
      <c r="HM40" s="2315"/>
      <c r="HN40" s="2315"/>
      <c r="HO40" s="2315"/>
      <c r="HP40" s="2315"/>
      <c r="HQ40" s="2315"/>
      <c r="HR40" s="2315"/>
      <c r="HS40" s="2315"/>
      <c r="HT40" s="2315"/>
      <c r="HU40" s="2315"/>
      <c r="HV40" s="2315"/>
      <c r="HW40" s="2315"/>
      <c r="HX40" s="2315"/>
      <c r="HY40" s="2315"/>
      <c r="HZ40" s="2315"/>
      <c r="IA40" s="2315"/>
      <c r="IB40" s="2315"/>
      <c r="IC40" s="2315"/>
      <c r="ID40" s="2315"/>
      <c r="IE40" s="2315"/>
      <c r="IF40" s="2315"/>
      <c r="IG40" s="2315"/>
      <c r="IH40" s="2315"/>
      <c r="II40" s="2315"/>
      <c r="IJ40" s="2315"/>
      <c r="IK40" s="2315"/>
      <c r="IL40" s="2315"/>
      <c r="IM40" s="2315"/>
      <c r="IN40" s="2315"/>
      <c r="IO40" s="2315"/>
      <c r="IP40" s="2315"/>
      <c r="IQ40" s="2315"/>
      <c r="IR40" s="2315"/>
      <c r="IS40" s="2315"/>
      <c r="IT40" s="2315"/>
      <c r="IU40" s="2315"/>
      <c r="IV40" s="2315"/>
      <c r="IW40" s="2315"/>
      <c r="IX40" s="2315"/>
      <c r="IY40" s="2315"/>
      <c r="IZ40" s="2315"/>
      <c r="JA40" s="2350"/>
      <c r="JB40" s="2350"/>
      <c r="JC40" s="2350"/>
      <c r="JD40" s="2350"/>
      <c r="JE40" s="2350"/>
      <c r="JF40" s="2350"/>
      <c r="JG40" s="3750"/>
      <c r="JH40" s="1233"/>
      <c r="JI40" s="1229"/>
      <c r="JJ40" s="1686" t="s">
        <v>6108</v>
      </c>
    </row>
    <row ht="36.75" r="41" spans="1:270" thickBot="1" x14ac:dyDescent="0.25">
      <c r="A41" s="1128">
        <v>5</v>
      </c>
      <c r="B41" s="630" t="str">
        <f>IF(REL_A_IND&gt;1,IF(HLOOKUP(REL_A_IND-1,REL_A_RANGE,A41)="","",HLOOKUP(REL_A_IND-1,REL_A_RANGE,A41)),"")</f>
        <v/>
      </c>
      <c r="C41" s="960" t="s">
        <v>2119</v>
      </c>
      <c r="D41" s="1061" t="s">
        <v>4511</v>
      </c>
      <c r="E41" s="2375"/>
      <c r="F41" s="2376"/>
      <c r="G41" s="2376"/>
      <c r="H41" s="2376"/>
      <c r="I41" s="2376"/>
      <c r="J41" s="2376"/>
      <c r="K41" s="2376"/>
      <c r="L41" s="2376"/>
      <c r="M41" s="2376"/>
      <c r="N41" s="2376"/>
      <c r="O41" s="2376"/>
      <c r="P41" s="2376"/>
      <c r="Q41" s="2376"/>
      <c r="R41" s="2376"/>
      <c r="S41" s="2376"/>
      <c r="T41" s="2376"/>
      <c r="U41" s="2376"/>
      <c r="V41" s="2376"/>
      <c r="W41" s="2376"/>
      <c r="X41" s="2376"/>
      <c r="Y41" s="2376"/>
      <c r="Z41" s="2376"/>
      <c r="AA41" s="2376"/>
      <c r="AB41" s="2376"/>
      <c r="AC41" s="2376"/>
      <c r="AD41" s="2376"/>
      <c r="AE41" s="2376"/>
      <c r="AF41" s="2376"/>
      <c r="AG41" s="2376"/>
      <c r="AH41" s="2376"/>
      <c r="AI41" s="2376"/>
      <c r="AJ41" s="2376"/>
      <c r="AK41" s="2376"/>
      <c r="AL41" s="2376"/>
      <c r="AM41" s="2376"/>
      <c r="AN41" s="2376"/>
      <c r="AO41" s="2376"/>
      <c r="AP41" s="2376"/>
      <c r="AQ41" s="2376"/>
      <c r="AR41" s="2376"/>
      <c r="AS41" s="2376"/>
      <c r="AT41" s="2376"/>
      <c r="AU41" s="2376"/>
      <c r="AV41" s="2376"/>
      <c r="AW41" s="2376"/>
      <c r="AX41" s="2376"/>
      <c r="AY41" s="2376"/>
      <c r="AZ41" s="2376"/>
      <c r="BA41" s="2376"/>
      <c r="BB41" s="2376"/>
      <c r="BC41" s="2376"/>
      <c r="BD41" s="2376"/>
      <c r="BE41" s="2376"/>
      <c r="BF41" s="2376"/>
      <c r="BG41" s="2376"/>
      <c r="BH41" s="2376"/>
      <c r="BI41" s="2376"/>
      <c r="BJ41" s="2376"/>
      <c r="BK41" s="2376"/>
      <c r="BL41" s="2376"/>
      <c r="BM41" s="2376"/>
      <c r="BN41" s="2376"/>
      <c r="BO41" s="2376"/>
      <c r="BP41" s="2376"/>
      <c r="BQ41" s="2376"/>
      <c r="BR41" s="2376"/>
      <c r="BS41" s="2376"/>
      <c r="BT41" s="2376"/>
      <c r="BU41" s="2376"/>
      <c r="BV41" s="2376"/>
      <c r="BW41" s="2376"/>
      <c r="BX41" s="2376"/>
      <c r="BY41" s="2376"/>
      <c r="BZ41" s="2376"/>
      <c r="CA41" s="2376"/>
      <c r="CB41" s="2376"/>
      <c r="CC41" s="2376"/>
      <c r="CD41" s="2376"/>
      <c r="CE41" s="2376"/>
      <c r="CF41" s="2376"/>
      <c r="CG41" s="2376"/>
      <c r="CH41" s="2376"/>
      <c r="CI41" s="2376"/>
      <c r="CJ41" s="2376"/>
      <c r="CK41" s="2376"/>
      <c r="CL41" s="2376"/>
      <c r="CM41" s="2376">
        <v>161</v>
      </c>
      <c r="CN41" s="2376"/>
      <c r="CO41" s="2376"/>
      <c r="CP41" s="2376"/>
      <c r="CQ41" s="2376"/>
      <c r="CR41" s="2376"/>
      <c r="CS41" s="2376"/>
      <c r="CT41" s="2376"/>
      <c r="CU41" s="2376"/>
      <c r="CV41" s="2376"/>
      <c r="CW41" s="2376"/>
      <c r="CX41" s="2376"/>
      <c r="CY41" s="2376"/>
      <c r="CZ41" s="2376"/>
      <c r="DA41" s="2376"/>
      <c r="DB41" s="2376"/>
      <c r="DC41" s="2376"/>
      <c r="DD41" s="2376"/>
      <c r="DE41" s="2376"/>
      <c r="DF41" s="2376"/>
      <c r="DG41" s="2376"/>
      <c r="DH41" s="2376"/>
      <c r="DI41" s="2376"/>
      <c r="DJ41" s="2376">
        <v>161</v>
      </c>
      <c r="DK41" s="2376"/>
      <c r="DL41" s="2376"/>
      <c r="DM41" s="2376"/>
      <c r="DN41" s="2376"/>
      <c r="DO41" s="2376"/>
      <c r="DP41" s="2376"/>
      <c r="DQ41" s="2376"/>
      <c r="DR41" s="2376"/>
      <c r="DS41" s="2376"/>
      <c r="DT41" s="2376"/>
      <c r="DU41" s="2376"/>
      <c r="DV41" s="2376"/>
      <c r="DW41" s="2376"/>
      <c r="DX41" s="2376"/>
      <c r="DY41" s="2376"/>
      <c r="DZ41" s="2376"/>
      <c r="EA41" s="2376"/>
      <c r="EB41" s="2376"/>
      <c r="EC41" s="2376"/>
      <c r="ED41" s="2376"/>
      <c r="EE41" s="2376"/>
      <c r="EF41" s="2376"/>
      <c r="EG41" s="2376"/>
      <c r="EH41" s="2376"/>
      <c r="EI41" s="2376"/>
      <c r="EJ41" s="2376"/>
      <c r="EK41" s="2376"/>
      <c r="EL41" s="2376"/>
      <c r="EM41" s="2376"/>
      <c r="EN41" s="2376"/>
      <c r="EO41" s="2376"/>
      <c r="EP41" s="2376"/>
      <c r="EQ41" s="2376"/>
      <c r="ER41" s="2376"/>
      <c r="ES41" s="2376"/>
      <c r="ET41" s="2376"/>
      <c r="EU41" s="2376"/>
      <c r="EV41" s="2376"/>
      <c r="EW41" s="2376"/>
      <c r="EX41" s="2376"/>
      <c r="EY41" s="2376"/>
      <c r="EZ41" s="2376"/>
      <c r="FA41" s="2376"/>
      <c r="FB41" s="2376"/>
      <c r="FC41" s="2376"/>
      <c r="FD41" s="2376"/>
      <c r="FE41" s="2376"/>
      <c r="FF41" s="2376"/>
      <c r="FG41" s="2376"/>
      <c r="FH41" s="2376"/>
      <c r="FI41" s="2376"/>
      <c r="FJ41" s="2376"/>
      <c r="FK41" s="2376"/>
      <c r="FL41" s="2376"/>
      <c r="FM41" s="2376"/>
      <c r="FN41" s="2376"/>
      <c r="FO41" s="2376"/>
      <c r="FP41" s="2376"/>
      <c r="FQ41" s="2376"/>
      <c r="FR41" s="2376"/>
      <c r="FS41" s="2376"/>
      <c r="FT41" s="2376"/>
      <c r="FU41" s="2376"/>
      <c r="FV41" s="2376"/>
      <c r="FW41" s="2376"/>
      <c r="FX41" s="2376"/>
      <c r="FY41" s="2376"/>
      <c r="FZ41" s="2376"/>
      <c r="GA41" s="2376"/>
      <c r="GB41" s="2376"/>
      <c r="GC41" s="2376"/>
      <c r="GD41" s="2376"/>
      <c r="GE41" s="2376"/>
      <c r="GF41" s="2376"/>
      <c r="GG41" s="2376"/>
      <c r="GH41" s="2376"/>
      <c r="GI41" s="2376"/>
      <c r="GJ41" s="2376"/>
      <c r="GK41" s="2376"/>
      <c r="GL41" s="2376"/>
      <c r="GM41" s="2376"/>
      <c r="GN41" s="2376"/>
      <c r="GO41" s="2376"/>
      <c r="GP41" s="2376"/>
      <c r="GQ41" s="2376"/>
      <c r="GR41" s="2376"/>
      <c r="GS41" s="2376"/>
      <c r="GT41" s="2376"/>
      <c r="GU41" s="2376"/>
      <c r="GV41" s="2376"/>
      <c r="GW41" s="2376"/>
      <c r="GX41" s="2376"/>
      <c r="GY41" s="2376"/>
      <c r="GZ41" s="2376"/>
      <c r="HA41" s="2376"/>
      <c r="HB41" s="2376"/>
      <c r="HC41" s="2376"/>
      <c r="HD41" s="2376"/>
      <c r="HE41" s="2376"/>
      <c r="HF41" s="2376"/>
      <c r="HG41" s="2376"/>
      <c r="HH41" s="2376"/>
      <c r="HI41" s="2376"/>
      <c r="HJ41" s="2376"/>
      <c r="HK41" s="2376"/>
      <c r="HL41" s="2376"/>
      <c r="HM41" s="2376"/>
      <c r="HN41" s="2376"/>
      <c r="HO41" s="2376"/>
      <c r="HP41" s="2376"/>
      <c r="HQ41" s="2376"/>
      <c r="HR41" s="2376"/>
      <c r="HS41" s="2376"/>
      <c r="HT41" s="2376"/>
      <c r="HU41" s="2376"/>
      <c r="HV41" s="2376"/>
      <c r="HW41" s="2376"/>
      <c r="HX41" s="2376"/>
      <c r="HY41" s="2376"/>
      <c r="HZ41" s="2376"/>
      <c r="IA41" s="2376"/>
      <c r="IB41" s="2376"/>
      <c r="IC41" s="2376"/>
      <c r="ID41" s="2376"/>
      <c r="IE41" s="2376"/>
      <c r="IF41" s="2376"/>
      <c r="IG41" s="2376"/>
      <c r="IH41" s="2376"/>
      <c r="II41" s="2376"/>
      <c r="IJ41" s="2376"/>
      <c r="IK41" s="2376"/>
      <c r="IL41" s="2376"/>
      <c r="IM41" s="2376"/>
      <c r="IN41" s="2376"/>
      <c r="IO41" s="2376"/>
      <c r="IP41" s="2376"/>
      <c r="IQ41" s="2376"/>
      <c r="IR41" s="2376"/>
      <c r="IS41" s="2376"/>
      <c r="IT41" s="2376"/>
      <c r="IU41" s="2376"/>
      <c r="IV41" s="2376"/>
      <c r="IW41" s="2376"/>
      <c r="IX41" s="2376"/>
      <c r="IY41" s="2376"/>
      <c r="IZ41" s="2376"/>
      <c r="JA41" s="3738"/>
      <c r="JB41" s="3738"/>
      <c r="JC41" s="3738"/>
      <c r="JD41" s="3738"/>
      <c r="JE41" s="3738"/>
      <c r="JF41" s="3738"/>
      <c r="JG41" s="3751"/>
      <c r="JH41" s="1233"/>
      <c r="JI41" s="1229"/>
      <c r="JJ41" s="1686" t="s">
        <v>6108</v>
      </c>
    </row>
    <row ht="12.75" r="42" spans="1:270" thickBot="1" x14ac:dyDescent="0.25">
      <c r="C42" s="1213" t="s">
        <v>1071</v>
      </c>
      <c r="D42" s="673"/>
      <c r="E42" s="2343"/>
      <c r="F42" s="34"/>
      <c r="G42" s="34"/>
      <c r="H42" s="34"/>
      <c r="I42" s="34"/>
      <c r="J42" s="34"/>
      <c r="K42" s="34"/>
      <c r="L42" s="34"/>
      <c r="M42" s="34"/>
      <c r="N42" s="34"/>
      <c r="O42" s="34"/>
      <c r="P42" s="34"/>
      <c r="Q42" s="34"/>
      <c r="R42" s="34"/>
      <c r="S42" s="34"/>
      <c r="T42" s="34"/>
      <c r="U42" s="34"/>
      <c r="V42" s="34"/>
      <c r="W42" s="34"/>
      <c r="X42" s="34"/>
      <c r="Y42" s="34"/>
      <c r="Z42" s="34"/>
      <c r="AA42" s="34"/>
      <c r="AB42" s="34"/>
      <c r="AC42" s="34"/>
      <c r="AI42" s="34"/>
      <c r="AJ42" s="34"/>
      <c r="AK42" s="34"/>
      <c r="AL42" s="34"/>
      <c r="AM42" s="34"/>
      <c r="AN42" s="34"/>
      <c r="AO42" s="34"/>
      <c r="AP42" s="34"/>
      <c r="AQ42" s="34"/>
      <c r="AR42" s="34"/>
      <c r="AS42" s="2343"/>
      <c r="AT42" s="34"/>
      <c r="AU42" s="34"/>
      <c r="AV42" s="34"/>
      <c r="AW42" s="34"/>
      <c r="AX42" s="34"/>
      <c r="AY42" s="34"/>
      <c r="AZ42" s="34"/>
      <c r="BA42" s="34"/>
      <c r="BB42" s="34"/>
      <c r="BC42" s="34"/>
      <c r="BD42" s="34"/>
      <c r="BE42" s="34"/>
      <c r="BF42" s="34"/>
      <c r="BG42" s="34"/>
      <c r="BH42" s="34"/>
      <c r="BI42" s="34"/>
      <c r="BJ42" s="34"/>
      <c r="BK42" s="34"/>
      <c r="BL42" s="34"/>
      <c r="BM42" s="34"/>
      <c r="BN42" s="34"/>
      <c r="BO42" s="34"/>
      <c r="BP42" s="34"/>
      <c r="BQ42" s="34"/>
      <c r="BR42" s="34"/>
      <c r="BS42" s="34"/>
      <c r="BT42" s="34"/>
      <c r="BU42" s="34"/>
      <c r="BV42" s="34"/>
      <c r="BW42" s="34"/>
      <c r="BX42" s="34"/>
      <c r="BY42" s="34"/>
      <c r="BZ42" s="34"/>
      <c r="CA42" s="34"/>
      <c r="CB42" s="34"/>
      <c r="CC42" s="34"/>
      <c r="CD42" s="34"/>
      <c r="CE42" s="34"/>
      <c r="CF42" s="34"/>
      <c r="CG42" s="34"/>
      <c r="CH42" s="34"/>
      <c r="CI42" s="34"/>
      <c r="CJ42" s="34"/>
      <c r="CK42" s="34"/>
      <c r="CL42" s="34"/>
      <c r="CM42" s="34"/>
      <c r="CN42" s="34"/>
      <c r="CO42" s="34"/>
      <c r="CP42" s="34"/>
      <c r="CQ42" s="34"/>
      <c r="CR42" s="34"/>
      <c r="CS42" s="34"/>
      <c r="CT42" s="34"/>
      <c r="CU42" s="34"/>
      <c r="CV42" s="34"/>
      <c r="CW42" s="34"/>
      <c r="CX42" s="34"/>
      <c r="CY42" s="34"/>
      <c r="CZ42" s="34"/>
      <c r="DA42" s="34"/>
      <c r="DB42" s="34"/>
      <c r="DC42" s="34"/>
      <c r="DD42" s="34"/>
      <c r="DE42" s="34"/>
      <c r="DF42" s="34"/>
      <c r="DG42" s="34"/>
      <c r="DH42" s="34"/>
      <c r="DI42" s="34"/>
      <c r="DJ42" s="34"/>
      <c r="DK42" s="34"/>
      <c r="DL42" s="34"/>
      <c r="DM42" s="34"/>
      <c r="DN42" s="34"/>
      <c r="DO42" s="34"/>
      <c r="DP42" s="34"/>
      <c r="DQ42" s="34"/>
      <c r="DR42" s="34"/>
      <c r="DS42" s="34"/>
      <c r="DT42" s="34"/>
      <c r="DU42" s="34"/>
      <c r="DV42" s="34"/>
      <c r="DW42" s="34"/>
      <c r="DX42" s="34"/>
      <c r="DY42" s="34"/>
      <c r="DZ42" s="34"/>
      <c r="EA42" s="34"/>
      <c r="EB42" s="34"/>
      <c r="EC42" s="34"/>
      <c r="ED42" s="34"/>
      <c r="EE42" s="34"/>
      <c r="EF42" s="34"/>
      <c r="EG42" s="34"/>
      <c r="EH42" s="34"/>
      <c r="EI42" s="34"/>
      <c r="EJ42" s="34"/>
      <c r="EK42" s="34"/>
      <c r="EL42" s="34"/>
      <c r="EM42" s="34"/>
      <c r="EN42" s="34"/>
      <c r="EO42" s="34"/>
      <c r="EP42" s="34"/>
      <c r="EQ42" s="34"/>
      <c r="ER42" s="34"/>
      <c r="ES42" s="34"/>
      <c r="ET42" s="34"/>
      <c r="EU42" s="34"/>
      <c r="EV42" s="34"/>
      <c r="EW42" s="34"/>
      <c r="EX42" s="34"/>
      <c r="EY42" s="34"/>
      <c r="EZ42" s="34"/>
      <c r="FA42" s="34"/>
      <c r="FB42" s="34"/>
      <c r="FC42" s="34"/>
      <c r="FD42" s="34"/>
      <c r="FE42" s="34"/>
      <c r="FF42" s="34"/>
      <c r="FG42" s="34"/>
      <c r="FH42" s="34"/>
      <c r="FI42" s="34"/>
      <c r="FJ42" s="34"/>
      <c r="FK42" s="34"/>
      <c r="FL42" s="34"/>
      <c r="FM42" s="34"/>
      <c r="FN42" s="34"/>
      <c r="FO42" s="34"/>
      <c r="FP42" s="34"/>
      <c r="FQ42" s="34"/>
      <c r="FR42" s="34"/>
      <c r="FS42" s="34"/>
      <c r="FT42" s="34"/>
      <c r="FU42" s="34"/>
      <c r="FV42" s="34"/>
      <c r="FW42" s="34"/>
      <c r="FX42" s="34"/>
      <c r="FY42" s="34"/>
      <c r="FZ42" s="34"/>
      <c r="GA42" s="34"/>
      <c r="GB42" s="34"/>
      <c r="GC42" s="34"/>
      <c r="GD42" s="34"/>
      <c r="GE42" s="34"/>
      <c r="GF42" s="34"/>
      <c r="GG42" s="34"/>
      <c r="GH42" s="34"/>
      <c r="GI42" s="34"/>
      <c r="GJ42" s="34"/>
      <c r="GK42" s="34"/>
      <c r="GL42" s="34"/>
      <c r="GM42" s="34"/>
      <c r="GN42" s="34"/>
      <c r="GO42" s="34"/>
      <c r="GP42" s="34"/>
      <c r="GQ42" s="34"/>
      <c r="GR42" s="34"/>
      <c r="GS42" s="34"/>
      <c r="GT42" s="34"/>
      <c r="GU42" s="34"/>
      <c r="GV42" s="34"/>
      <c r="GW42" s="34"/>
      <c r="GX42" s="34"/>
      <c r="GY42" s="34"/>
      <c r="GZ42" s="34"/>
      <c r="HA42" s="34"/>
      <c r="HB42" s="34"/>
      <c r="HC42" s="34"/>
      <c r="HD42" s="34"/>
      <c r="HE42" s="34"/>
      <c r="HF42" s="34"/>
      <c r="HG42" s="34"/>
      <c r="HH42" s="34"/>
      <c r="HI42" s="34"/>
      <c r="HJ42" s="34"/>
      <c r="HK42" s="34"/>
      <c r="HL42" s="34"/>
      <c r="HM42" s="34"/>
      <c r="HN42" s="34"/>
      <c r="HO42" s="34"/>
      <c r="HP42" s="34"/>
      <c r="HQ42" s="34"/>
      <c r="HR42" s="34"/>
      <c r="HS42" s="34"/>
      <c r="HT42" s="34"/>
      <c r="HU42" s="34"/>
      <c r="HV42" s="34"/>
      <c r="HW42" s="34"/>
      <c r="HX42" s="34"/>
      <c r="HY42" s="34"/>
      <c r="HZ42" s="34"/>
      <c r="IA42" s="34"/>
      <c r="IB42" s="34"/>
      <c r="IC42" s="34"/>
      <c r="ID42" s="34"/>
      <c r="IE42" s="34"/>
      <c r="IF42" s="34"/>
      <c r="IG42" s="34"/>
      <c r="IH42" s="34"/>
      <c r="II42" s="34"/>
      <c r="IJ42" s="34"/>
      <c r="IK42" s="34"/>
      <c r="IL42" s="34"/>
      <c r="IM42" s="34"/>
      <c r="IN42" s="34"/>
      <c r="IO42" s="34"/>
      <c r="IP42" s="34"/>
      <c r="IQ42" s="34"/>
      <c r="IR42" s="34"/>
      <c r="IS42" s="34"/>
      <c r="IT42" s="34"/>
      <c r="IU42" s="34"/>
      <c r="IV42" s="34"/>
      <c r="IW42" s="34"/>
      <c r="IX42" s="34"/>
      <c r="IY42" s="34"/>
      <c r="IZ42" s="34"/>
    </row>
    <row ht="12.75" r="43" spans="1:270" x14ac:dyDescent="0.2">
      <c r="A43" s="1128" t="s">
        <v>4479</v>
      </c>
      <c r="B43" s="1945" t="str">
        <f>"selected "&amp;REL_B_IND-1</f>
        <v>selected 3</v>
      </c>
      <c r="C43" s="961" t="s">
        <v>3734</v>
      </c>
      <c r="D43" s="1060"/>
      <c r="E43" s="2026">
        <v>1</v>
      </c>
      <c r="F43" s="2026">
        <v>2</v>
      </c>
      <c r="G43" s="2026">
        <v>3</v>
      </c>
      <c r="H43" s="2026">
        <v>4</v>
      </c>
      <c r="I43" s="2026">
        <v>5</v>
      </c>
      <c r="J43" s="2026">
        <v>6</v>
      </c>
      <c r="K43" s="2026">
        <v>7</v>
      </c>
      <c r="L43" s="2026">
        <v>8</v>
      </c>
      <c r="M43" s="2026">
        <v>9</v>
      </c>
      <c r="N43" s="2026">
        <v>10</v>
      </c>
      <c r="O43" s="2026">
        <v>11</v>
      </c>
      <c r="P43" s="2026">
        <v>12</v>
      </c>
      <c r="Q43" s="2026">
        <v>13</v>
      </c>
      <c r="R43" s="2026">
        <v>14</v>
      </c>
      <c r="S43" s="2026">
        <v>15</v>
      </c>
      <c r="T43" s="2026">
        <v>16</v>
      </c>
      <c r="U43" s="2026">
        <v>17</v>
      </c>
      <c r="V43" s="2026">
        <v>18</v>
      </c>
      <c r="W43" s="2026">
        <v>19</v>
      </c>
      <c r="X43" s="2026">
        <v>20</v>
      </c>
      <c r="Y43" s="2026">
        <v>21</v>
      </c>
      <c r="Z43" s="2026">
        <v>22</v>
      </c>
      <c r="AA43" s="2026">
        <v>23</v>
      </c>
      <c r="AB43" s="2026">
        <v>24</v>
      </c>
      <c r="AC43" s="2026">
        <v>25</v>
      </c>
      <c r="AD43" s="3502">
        <v>26</v>
      </c>
      <c r="AE43" s="3502">
        <v>27</v>
      </c>
      <c r="AF43" s="3502">
        <v>28</v>
      </c>
      <c r="AG43" s="3502">
        <v>29</v>
      </c>
      <c r="AH43" s="3502">
        <v>30</v>
      </c>
      <c r="AI43" s="1134">
        <v>31</v>
      </c>
      <c r="AJ43" s="1134">
        <v>32</v>
      </c>
      <c r="AK43" s="1134">
        <v>33</v>
      </c>
      <c r="AL43" s="1134">
        <v>34</v>
      </c>
      <c r="AM43" s="1134">
        <v>35</v>
      </c>
      <c r="AN43" s="1134">
        <v>36</v>
      </c>
      <c r="AO43" s="1134">
        <v>37</v>
      </c>
      <c r="AP43" s="1134">
        <v>38</v>
      </c>
      <c r="AQ43" s="1134">
        <v>39</v>
      </c>
      <c r="AR43" s="1134">
        <v>40</v>
      </c>
      <c r="AS43" s="1134">
        <v>41</v>
      </c>
      <c r="AT43" s="1134">
        <v>42</v>
      </c>
      <c r="AU43" s="1134">
        <v>43</v>
      </c>
      <c r="AV43" s="1134">
        <v>44</v>
      </c>
      <c r="AW43" s="1134">
        <v>45</v>
      </c>
      <c r="AX43" s="1134">
        <v>46</v>
      </c>
      <c r="AY43" s="1134">
        <v>47</v>
      </c>
      <c r="AZ43" s="1134">
        <v>48</v>
      </c>
      <c r="BA43" s="1134">
        <v>49</v>
      </c>
      <c r="BB43" s="1134">
        <v>50</v>
      </c>
      <c r="BC43" s="1134">
        <v>51</v>
      </c>
      <c r="BD43" s="1134">
        <v>52</v>
      </c>
      <c r="BE43" s="2026">
        <v>53</v>
      </c>
      <c r="BF43" s="2026">
        <v>54</v>
      </c>
      <c r="BG43" s="1134">
        <v>55</v>
      </c>
      <c r="BH43" s="1134">
        <v>56</v>
      </c>
      <c r="BI43" s="1134">
        <v>57</v>
      </c>
      <c r="BJ43" s="1134">
        <v>58</v>
      </c>
      <c r="BK43" s="1134">
        <v>59</v>
      </c>
      <c r="BL43" s="1134">
        <v>60</v>
      </c>
      <c r="BM43" s="1134">
        <v>61</v>
      </c>
      <c r="BN43" s="1134">
        <v>62</v>
      </c>
      <c r="BO43" s="1134">
        <v>63</v>
      </c>
      <c r="BP43" s="1134">
        <v>64</v>
      </c>
      <c r="BQ43" s="1134">
        <v>65</v>
      </c>
      <c r="BR43" s="1134">
        <v>66</v>
      </c>
      <c r="BS43" s="1134">
        <v>67</v>
      </c>
      <c r="BT43" s="1134">
        <v>68</v>
      </c>
      <c r="BU43" s="1134">
        <v>69</v>
      </c>
      <c r="BV43" s="1134">
        <v>70</v>
      </c>
      <c r="BW43" s="1134">
        <v>71</v>
      </c>
      <c r="BX43" s="1134">
        <v>72</v>
      </c>
      <c r="BY43" s="1134">
        <v>73</v>
      </c>
      <c r="BZ43" s="1134">
        <v>74</v>
      </c>
      <c r="CA43" s="1134">
        <v>75</v>
      </c>
      <c r="CB43" s="1134">
        <v>76</v>
      </c>
      <c r="CC43" s="1134">
        <v>77</v>
      </c>
      <c r="CD43" s="1134">
        <v>78</v>
      </c>
      <c r="CE43" s="1134">
        <v>79</v>
      </c>
      <c r="CF43" s="1134">
        <v>80</v>
      </c>
      <c r="CG43" s="1134">
        <v>81</v>
      </c>
      <c r="CH43" s="1134">
        <v>82</v>
      </c>
      <c r="CI43" s="1134">
        <v>83</v>
      </c>
      <c r="CJ43" s="1134">
        <v>84</v>
      </c>
      <c r="CK43" s="1134">
        <v>85</v>
      </c>
      <c r="CL43" s="1134">
        <v>86</v>
      </c>
      <c r="CM43" s="1134">
        <v>87</v>
      </c>
      <c r="CN43" s="1134">
        <v>88</v>
      </c>
      <c r="CO43" s="1134">
        <v>89</v>
      </c>
      <c r="CP43" s="1134">
        <v>90</v>
      </c>
      <c r="CQ43" s="1134">
        <v>91</v>
      </c>
      <c r="CR43" s="1134">
        <v>92</v>
      </c>
      <c r="CS43" s="1134">
        <v>93</v>
      </c>
      <c r="CT43" s="1134">
        <v>94</v>
      </c>
      <c r="CU43" s="1134">
        <v>95</v>
      </c>
      <c r="CV43" s="1134">
        <v>96</v>
      </c>
      <c r="CW43" s="1134">
        <v>97</v>
      </c>
      <c r="CX43" s="1134">
        <v>98</v>
      </c>
      <c r="CY43" s="1134">
        <v>99</v>
      </c>
      <c r="CZ43" s="1134">
        <v>100</v>
      </c>
      <c r="DA43" s="1134">
        <v>101</v>
      </c>
      <c r="DB43" s="1134">
        <v>102</v>
      </c>
      <c r="DC43" s="1134">
        <v>103</v>
      </c>
      <c r="DD43" s="1134">
        <v>104</v>
      </c>
      <c r="DE43" s="1134">
        <v>105</v>
      </c>
      <c r="DF43" s="1134">
        <v>106</v>
      </c>
      <c r="DG43" s="1134">
        <v>107</v>
      </c>
      <c r="DH43" s="1134">
        <v>108</v>
      </c>
      <c r="DI43" s="1134">
        <v>109</v>
      </c>
      <c r="DJ43" s="1134">
        <v>110</v>
      </c>
      <c r="DK43" s="1134">
        <v>111</v>
      </c>
      <c r="DL43" s="1134">
        <v>112</v>
      </c>
      <c r="DM43" s="1134">
        <v>113</v>
      </c>
      <c r="DN43" s="1134">
        <v>114</v>
      </c>
      <c r="DO43" s="1134">
        <v>115</v>
      </c>
      <c r="DP43" s="1134">
        <v>116</v>
      </c>
      <c r="DQ43" s="1134">
        <v>117</v>
      </c>
      <c r="DR43" s="1134">
        <v>118</v>
      </c>
      <c r="DS43" s="1134">
        <v>119</v>
      </c>
      <c r="DT43" s="1134">
        <v>120</v>
      </c>
      <c r="DU43" s="1134">
        <v>121</v>
      </c>
      <c r="DV43" s="1134">
        <v>122</v>
      </c>
      <c r="DW43" s="1134">
        <v>123</v>
      </c>
      <c r="DX43" s="1134">
        <v>124</v>
      </c>
      <c r="DY43" s="1134">
        <v>125</v>
      </c>
      <c r="DZ43" s="1134">
        <v>126</v>
      </c>
      <c r="EA43" s="1134">
        <v>127</v>
      </c>
      <c r="EB43" s="1134">
        <v>128</v>
      </c>
      <c r="EC43" s="1134">
        <v>129</v>
      </c>
      <c r="ED43" s="1134">
        <v>130</v>
      </c>
      <c r="EE43" s="1134">
        <v>131</v>
      </c>
      <c r="EF43" s="1134">
        <v>132</v>
      </c>
      <c r="EG43" s="1134">
        <v>133</v>
      </c>
      <c r="EH43" s="1134">
        <v>134</v>
      </c>
      <c r="EI43" s="1134">
        <v>135</v>
      </c>
      <c r="EJ43" s="1134">
        <v>136</v>
      </c>
      <c r="EK43" s="1134">
        <v>137</v>
      </c>
      <c r="EL43" s="1134">
        <v>138</v>
      </c>
      <c r="EM43" s="1134">
        <v>139</v>
      </c>
      <c r="EN43" s="1134">
        <v>140</v>
      </c>
      <c r="EO43" s="1134">
        <v>141</v>
      </c>
      <c r="EP43" s="1134">
        <v>142</v>
      </c>
      <c r="EQ43" s="1134">
        <v>143</v>
      </c>
      <c r="ER43" s="1134">
        <v>144</v>
      </c>
      <c r="ES43" s="1134">
        <v>145</v>
      </c>
      <c r="ET43" s="1134">
        <v>146</v>
      </c>
      <c r="EU43" s="1134">
        <v>147</v>
      </c>
      <c r="EV43" s="1134">
        <v>148</v>
      </c>
      <c r="EW43" s="1134">
        <v>149</v>
      </c>
      <c r="EX43" s="1134">
        <v>150</v>
      </c>
      <c r="EY43" s="1134">
        <v>151</v>
      </c>
      <c r="EZ43" s="1134">
        <v>152</v>
      </c>
      <c r="FA43" s="1134">
        <v>153</v>
      </c>
      <c r="FB43" s="1134">
        <v>154</v>
      </c>
      <c r="FC43" s="1134">
        <v>155</v>
      </c>
      <c r="FD43" s="1134">
        <v>156</v>
      </c>
      <c r="FE43" s="1134">
        <v>157</v>
      </c>
      <c r="FF43" s="1134">
        <v>158</v>
      </c>
      <c r="FG43" s="1134">
        <v>159</v>
      </c>
      <c r="FH43" s="1134">
        <v>160</v>
      </c>
      <c r="FI43" s="1134">
        <v>161</v>
      </c>
      <c r="FJ43" s="1134">
        <v>162</v>
      </c>
      <c r="FK43" s="1134">
        <v>163</v>
      </c>
      <c r="FL43" s="1134">
        <v>164</v>
      </c>
      <c r="FM43" s="1134">
        <v>165</v>
      </c>
      <c r="FN43" s="1134">
        <v>166</v>
      </c>
      <c r="FO43" s="1134">
        <v>167</v>
      </c>
      <c r="FP43" s="1134">
        <v>168</v>
      </c>
      <c r="FQ43" s="1134">
        <v>169</v>
      </c>
      <c r="FR43" s="1134">
        <v>170</v>
      </c>
      <c r="FS43" s="1134">
        <v>171</v>
      </c>
      <c r="FT43" s="1134">
        <v>172</v>
      </c>
      <c r="FU43" s="1134">
        <v>173</v>
      </c>
      <c r="FV43" s="1134">
        <v>174</v>
      </c>
      <c r="FW43" s="1134">
        <v>175</v>
      </c>
      <c r="FX43" s="1134">
        <v>176</v>
      </c>
      <c r="FY43" s="1134">
        <v>177</v>
      </c>
      <c r="FZ43" s="1134">
        <v>178</v>
      </c>
      <c r="GA43" s="1134">
        <v>179</v>
      </c>
      <c r="GB43" s="1134">
        <v>180</v>
      </c>
      <c r="GC43" s="1134">
        <v>181</v>
      </c>
      <c r="GD43" s="1134">
        <v>182</v>
      </c>
      <c r="GE43" s="1134">
        <v>183</v>
      </c>
      <c r="GF43" s="1134">
        <v>184</v>
      </c>
      <c r="GG43" s="1134">
        <v>185</v>
      </c>
      <c r="GH43" s="1134">
        <v>186</v>
      </c>
      <c r="GI43" s="1134">
        <v>187</v>
      </c>
      <c r="GJ43" s="1134">
        <v>188</v>
      </c>
      <c r="GK43" s="1134">
        <v>189</v>
      </c>
      <c r="GL43" s="1134">
        <v>190</v>
      </c>
      <c r="GM43" s="1134">
        <v>191</v>
      </c>
      <c r="GN43" s="1134">
        <v>192</v>
      </c>
      <c r="GO43" s="1134">
        <v>193</v>
      </c>
      <c r="GP43" s="1134">
        <v>194</v>
      </c>
      <c r="GQ43" s="1134">
        <v>195</v>
      </c>
      <c r="GR43" s="1134">
        <v>196</v>
      </c>
      <c r="GS43" s="1134">
        <v>197</v>
      </c>
      <c r="GT43" s="1134">
        <v>198</v>
      </c>
      <c r="GU43" s="1134">
        <v>199</v>
      </c>
      <c r="GV43" s="1134">
        <v>200</v>
      </c>
      <c r="GW43" s="1134">
        <v>201</v>
      </c>
      <c r="GX43" s="1134">
        <v>202</v>
      </c>
      <c r="GY43" s="1134">
        <v>203</v>
      </c>
      <c r="GZ43" s="1134">
        <v>204</v>
      </c>
      <c r="HA43" s="1134">
        <v>205</v>
      </c>
      <c r="HB43" s="1134">
        <v>206</v>
      </c>
      <c r="HC43" s="1134">
        <v>207</v>
      </c>
      <c r="HD43" s="1134">
        <v>208</v>
      </c>
      <c r="HE43" s="1134">
        <v>209</v>
      </c>
      <c r="HF43" s="1134">
        <v>210</v>
      </c>
      <c r="HG43" s="1134">
        <v>211</v>
      </c>
      <c r="HH43" s="1134">
        <v>212</v>
      </c>
      <c r="HI43" s="1134">
        <v>213</v>
      </c>
      <c r="HJ43" s="1134">
        <v>214</v>
      </c>
      <c r="HK43" s="1134">
        <v>215</v>
      </c>
      <c r="HL43" s="1134">
        <v>216</v>
      </c>
      <c r="HM43" s="1134">
        <v>217</v>
      </c>
      <c r="HN43" s="1134">
        <v>218</v>
      </c>
      <c r="HO43" s="1134">
        <v>219</v>
      </c>
      <c r="HP43" s="1134">
        <v>220</v>
      </c>
      <c r="HQ43" s="1134">
        <v>221</v>
      </c>
      <c r="HR43" s="1134">
        <v>222</v>
      </c>
      <c r="HS43" s="1134">
        <v>223</v>
      </c>
      <c r="HT43" s="1134">
        <v>224</v>
      </c>
      <c r="HU43" s="1134">
        <v>225</v>
      </c>
      <c r="HV43" s="1134">
        <v>226</v>
      </c>
      <c r="HW43" s="1134">
        <v>227</v>
      </c>
      <c r="HX43" s="1134">
        <v>228</v>
      </c>
      <c r="HY43" s="1134">
        <v>229</v>
      </c>
      <c r="HZ43" s="1134">
        <v>230</v>
      </c>
      <c r="IA43" s="1134">
        <v>231</v>
      </c>
      <c r="IB43" s="1134">
        <v>232</v>
      </c>
      <c r="IC43" s="1134">
        <v>233</v>
      </c>
      <c r="ID43" s="1134">
        <v>234</v>
      </c>
      <c r="IE43" s="1134">
        <v>235</v>
      </c>
      <c r="IF43" s="1134">
        <v>236</v>
      </c>
      <c r="IG43" s="1134">
        <v>237</v>
      </c>
      <c r="IH43" s="1134">
        <v>238</v>
      </c>
      <c r="II43" s="1134">
        <v>239</v>
      </c>
      <c r="IJ43" s="1134">
        <v>240</v>
      </c>
      <c r="IK43" s="1134">
        <v>241</v>
      </c>
      <c r="IL43" s="1134">
        <v>242</v>
      </c>
      <c r="IM43" s="1134">
        <v>243</v>
      </c>
      <c r="IN43" s="1134">
        <v>244</v>
      </c>
      <c r="IO43" s="1134">
        <v>245</v>
      </c>
      <c r="IP43" s="1134">
        <v>246</v>
      </c>
      <c r="IQ43" s="1134">
        <v>247</v>
      </c>
      <c r="IR43" s="1134">
        <v>248</v>
      </c>
      <c r="IS43" s="1134">
        <v>249</v>
      </c>
      <c r="IT43" s="1134">
        <v>250</v>
      </c>
      <c r="IU43" s="1134">
        <v>251</v>
      </c>
      <c r="IV43" s="1134">
        <v>252</v>
      </c>
      <c r="IW43" s="1134">
        <v>253</v>
      </c>
      <c r="IX43" s="1134">
        <v>254</v>
      </c>
      <c r="IY43" s="1134">
        <v>255</v>
      </c>
      <c r="IZ43" s="1134">
        <v>256</v>
      </c>
      <c r="JA43" s="1134">
        <v>257</v>
      </c>
      <c r="JB43" s="1134">
        <v>258</v>
      </c>
      <c r="JC43" s="1134">
        <v>259</v>
      </c>
      <c r="JD43" s="1134">
        <v>260</v>
      </c>
      <c r="JE43" s="1134">
        <v>261</v>
      </c>
      <c r="JF43" s="1134">
        <v>262</v>
      </c>
      <c r="JG43" s="2485">
        <v>263</v>
      </c>
      <c r="JH43" s="1233"/>
      <c r="JJ43" s="1701" t="s">
        <v>6104</v>
      </c>
    </row>
    <row ht="12.75" r="44" spans="1:270" x14ac:dyDescent="0.2">
      <c r="A44" s="1128">
        <v>2</v>
      </c>
      <c r="B44" s="631">
        <f>IF(REL_B_IND&gt;1,IF(HLOOKUP(REL_B_IND-1,REL_B_RANGE,A44)="","",HLOOKUP(REL_B_IND-1,REL_B_RANGE,A44)),"")</f>
        <v>500</v>
      </c>
      <c r="C44" s="960" t="s">
        <v>2120</v>
      </c>
      <c r="D44" s="1059" t="s">
        <v>4496</v>
      </c>
      <c r="E44" s="2355"/>
      <c r="F44" s="2355"/>
      <c r="G44" s="2315">
        <v>500</v>
      </c>
      <c r="H44" s="2355"/>
      <c r="I44" s="2355"/>
      <c r="J44" s="2355"/>
      <c r="K44" s="2355"/>
      <c r="L44" s="2355"/>
      <c r="M44" s="2355">
        <v>2400</v>
      </c>
      <c r="N44" s="2355">
        <v>2400</v>
      </c>
      <c r="O44" s="2355">
        <v>2400</v>
      </c>
      <c r="P44" s="2355"/>
      <c r="Q44" s="2355">
        <v>2400</v>
      </c>
      <c r="R44" s="2355"/>
      <c r="S44" s="2355"/>
      <c r="T44" s="2355"/>
      <c r="U44" s="2355"/>
      <c r="V44" s="2355"/>
      <c r="W44" s="2355"/>
      <c r="X44" s="2355"/>
      <c r="Y44" s="2355"/>
      <c r="Z44" s="2355"/>
      <c r="AA44" s="2355"/>
      <c r="AB44" s="2355"/>
      <c r="AC44" s="2355"/>
      <c r="AD44" s="3504">
        <v>4145</v>
      </c>
      <c r="AE44" s="2355"/>
      <c r="AF44" s="3504">
        <v>598</v>
      </c>
      <c r="AG44" s="2355"/>
      <c r="AH44" s="2355"/>
      <c r="AI44" s="2355"/>
      <c r="AJ44" s="2315">
        <v>978</v>
      </c>
      <c r="AK44" s="2355"/>
      <c r="AL44" s="2355"/>
      <c r="AM44" s="2355"/>
      <c r="AN44" s="2355"/>
      <c r="AO44" s="2355">
        <v>3450</v>
      </c>
      <c r="AP44" s="2355"/>
      <c r="AQ44" s="2355"/>
      <c r="AR44" s="2355"/>
      <c r="AS44" s="2355"/>
      <c r="AT44" s="2355"/>
      <c r="AU44" s="2355"/>
      <c r="AV44" s="2355"/>
      <c r="AW44" s="2355"/>
      <c r="AX44" s="2355"/>
      <c r="AY44" s="2355"/>
      <c r="AZ44" s="2355"/>
      <c r="BA44" s="2355"/>
      <c r="BB44" s="2355"/>
      <c r="BC44" s="2355"/>
      <c r="BD44" s="2355">
        <v>3450</v>
      </c>
      <c r="BE44" s="2355"/>
      <c r="BF44" s="2355"/>
      <c r="BG44" s="2355">
        <v>2400</v>
      </c>
      <c r="BH44" s="2355"/>
      <c r="BI44" s="2355"/>
      <c r="BJ44" s="2355"/>
      <c r="BK44" s="2355"/>
      <c r="BL44" s="2355">
        <v>3450</v>
      </c>
      <c r="BM44" s="2355"/>
      <c r="BN44" s="2355">
        <v>240</v>
      </c>
      <c r="BO44" s="2355"/>
      <c r="BP44" s="2355">
        <v>2400</v>
      </c>
      <c r="BQ44" s="2355"/>
      <c r="BR44" s="2355">
        <v>3450</v>
      </c>
      <c r="BS44" s="2355"/>
      <c r="BT44" s="2355"/>
      <c r="BU44" s="2355">
        <v>2400</v>
      </c>
      <c r="BV44" s="2355"/>
      <c r="BW44" s="2355"/>
      <c r="BX44" s="2355"/>
      <c r="BY44" s="2355">
        <v>2400</v>
      </c>
      <c r="BZ44" s="2355"/>
      <c r="CA44" s="2355"/>
      <c r="CB44" s="2355"/>
      <c r="CC44" s="2355"/>
      <c r="CD44" s="2355">
        <v>950</v>
      </c>
      <c r="CE44" s="2355"/>
      <c r="CF44" s="2355"/>
      <c r="CG44" s="2355">
        <v>2400</v>
      </c>
      <c r="CH44" s="2355">
        <v>2400</v>
      </c>
      <c r="CI44" s="2355">
        <v>3450</v>
      </c>
      <c r="CJ44" s="2355"/>
      <c r="CK44" s="2355"/>
      <c r="CL44" s="2355"/>
      <c r="CM44" s="2355">
        <v>1000</v>
      </c>
      <c r="CN44" s="2355"/>
      <c r="CO44" s="2355"/>
      <c r="CP44" s="2355"/>
      <c r="CQ44" s="2355"/>
      <c r="CR44" s="2355">
        <v>240</v>
      </c>
      <c r="CS44" s="2355">
        <v>240</v>
      </c>
      <c r="CT44" s="2355">
        <v>3450</v>
      </c>
      <c r="CU44" s="2355"/>
      <c r="CV44" s="2355">
        <v>950</v>
      </c>
      <c r="CW44" s="2355">
        <v>1000</v>
      </c>
      <c r="CX44" s="2355"/>
      <c r="CY44" s="2355"/>
      <c r="CZ44" s="2355">
        <v>3450</v>
      </c>
      <c r="DA44" s="2355">
        <v>950</v>
      </c>
      <c r="DB44" s="2355"/>
      <c r="DC44" s="2355">
        <v>11000</v>
      </c>
      <c r="DD44" s="2355">
        <v>3450</v>
      </c>
      <c r="DE44" s="2355"/>
      <c r="DF44" s="2355"/>
      <c r="DG44" s="2355"/>
      <c r="DH44" s="2355"/>
      <c r="DI44" s="2355"/>
      <c r="DJ44" s="2355">
        <v>3450</v>
      </c>
      <c r="DK44" s="2355"/>
      <c r="DL44" s="2355"/>
      <c r="DM44" s="2355"/>
      <c r="DN44" s="2355"/>
      <c r="DO44" s="2355"/>
      <c r="DP44" s="2355"/>
      <c r="DQ44" s="2355"/>
      <c r="DR44" s="2355"/>
      <c r="DS44" s="2355"/>
      <c r="DT44" s="2355"/>
      <c r="DU44" s="2355"/>
      <c r="DV44" s="2355"/>
      <c r="DW44" s="2315">
        <v>21</v>
      </c>
      <c r="DX44" s="2355"/>
      <c r="DY44" s="2355"/>
      <c r="DZ44" s="2355"/>
      <c r="EA44" s="2355"/>
      <c r="EB44" s="2355">
        <v>950</v>
      </c>
      <c r="EC44" s="2355"/>
      <c r="ED44" s="2355"/>
      <c r="EE44" s="2355"/>
      <c r="EF44" s="2355"/>
      <c r="EG44" s="2355"/>
      <c r="EH44" s="2355"/>
      <c r="EI44" s="2355"/>
      <c r="EJ44" s="2355"/>
      <c r="EK44" s="2355"/>
      <c r="EL44" s="2355"/>
      <c r="EM44" s="2355"/>
      <c r="EN44" s="2355"/>
      <c r="EO44" s="2355"/>
      <c r="EP44" s="2355"/>
      <c r="EQ44" s="2355"/>
      <c r="ER44" s="2355"/>
      <c r="ES44" s="2355"/>
      <c r="ET44" s="2355"/>
      <c r="EU44" s="2355"/>
      <c r="EV44" s="2355"/>
      <c r="EW44" s="2355"/>
      <c r="EX44" s="2355"/>
      <c r="EY44" s="2355"/>
      <c r="EZ44" s="2355"/>
      <c r="FA44" s="2355"/>
      <c r="FB44" s="2355"/>
      <c r="FC44" s="2355"/>
      <c r="FD44" s="2355"/>
      <c r="FE44" s="2355"/>
      <c r="FF44" s="2355"/>
      <c r="FG44" s="2355"/>
      <c r="FH44" s="2355"/>
      <c r="FI44" s="2355"/>
      <c r="FJ44" s="3706">
        <v>16300</v>
      </c>
      <c r="FK44" s="2355"/>
      <c r="FL44" s="2355"/>
      <c r="FM44" s="2355"/>
      <c r="FN44" s="2355"/>
      <c r="FO44" s="2355"/>
      <c r="FP44" s="2355"/>
      <c r="FQ44" s="2355"/>
      <c r="FR44" s="2355"/>
      <c r="FS44" s="2355"/>
      <c r="FT44" s="2355"/>
      <c r="FU44" s="2355"/>
      <c r="FV44" s="2355"/>
      <c r="FW44" s="2355"/>
      <c r="FX44" s="2355"/>
      <c r="FY44" s="2355"/>
      <c r="FZ44" s="2355"/>
      <c r="GA44" s="2355"/>
      <c r="GB44" s="2355"/>
      <c r="GC44" s="2355"/>
      <c r="GD44" s="2355"/>
      <c r="GE44" s="2355"/>
      <c r="GF44" s="2355"/>
      <c r="GG44" s="2355"/>
      <c r="GH44" s="2355"/>
      <c r="GI44" s="2355"/>
      <c r="GJ44" s="2355"/>
      <c r="GK44" s="2355"/>
      <c r="GL44" s="2355">
        <v>1000</v>
      </c>
      <c r="GM44" s="2355">
        <v>1000</v>
      </c>
      <c r="GN44" s="2355"/>
      <c r="GO44" s="2355"/>
      <c r="GP44" s="2355"/>
      <c r="GQ44" s="2355">
        <v>11000</v>
      </c>
      <c r="GR44" s="2355"/>
      <c r="GS44" s="2355">
        <v>240</v>
      </c>
      <c r="GT44" s="2355"/>
      <c r="GU44" s="2355"/>
      <c r="GV44" s="2355"/>
      <c r="GW44" s="2355"/>
      <c r="GX44" s="2355"/>
      <c r="GY44" s="2355">
        <v>2400</v>
      </c>
      <c r="GZ44" s="2355"/>
      <c r="HA44" s="2355"/>
      <c r="HB44" s="2355"/>
      <c r="HC44" s="2355"/>
      <c r="HD44" s="2355">
        <v>3450</v>
      </c>
      <c r="HE44" s="2355"/>
      <c r="HF44" s="2355"/>
      <c r="HG44" s="2355"/>
      <c r="HH44" s="2355">
        <v>240</v>
      </c>
      <c r="HI44" s="2355">
        <v>250000</v>
      </c>
      <c r="HJ44" s="2355"/>
      <c r="HK44" s="2355"/>
      <c r="HL44" s="2355"/>
      <c r="HM44" s="2355"/>
      <c r="HN44" s="2355"/>
      <c r="HO44" s="2355"/>
      <c r="HP44" s="2355"/>
      <c r="HQ44" s="2355"/>
      <c r="HR44" s="2355"/>
      <c r="HS44" s="2355"/>
      <c r="HT44" s="2355"/>
      <c r="HU44" s="2355"/>
      <c r="HV44" s="3706">
        <v>10000</v>
      </c>
      <c r="HW44" s="2355"/>
      <c r="HX44" s="2355"/>
      <c r="HY44" s="2355"/>
      <c r="HZ44" s="2355">
        <v>519</v>
      </c>
      <c r="IA44" s="2355"/>
      <c r="IB44" s="2355"/>
      <c r="IC44" s="2355">
        <v>5886</v>
      </c>
      <c r="ID44" s="2355"/>
      <c r="IE44" s="2355">
        <v>41</v>
      </c>
      <c r="IF44" s="2355">
        <v>27650</v>
      </c>
      <c r="IG44" s="2355"/>
      <c r="IH44" s="2355"/>
      <c r="II44" s="2355"/>
      <c r="IJ44" s="2355"/>
      <c r="IK44" s="2355"/>
      <c r="IL44" s="2355"/>
      <c r="IM44" s="2355"/>
      <c r="IN44" s="2355"/>
      <c r="IO44" s="2355"/>
      <c r="IP44" s="2355"/>
      <c r="IQ44" s="2355"/>
      <c r="IR44" s="2355"/>
      <c r="IS44" s="2355"/>
      <c r="IT44" s="2355"/>
      <c r="IU44" s="2355"/>
      <c r="IV44" s="2355"/>
      <c r="IW44" s="2355"/>
      <c r="IX44" s="2355"/>
      <c r="IY44" s="2355"/>
      <c r="IZ44" s="2355"/>
      <c r="JA44" s="2354"/>
      <c r="JB44" s="2354"/>
      <c r="JC44" s="2354"/>
      <c r="JD44" s="3503">
        <v>10000</v>
      </c>
      <c r="JE44" s="3503">
        <v>120000</v>
      </c>
      <c r="JF44" s="3503">
        <v>879</v>
      </c>
      <c r="JG44" s="3752"/>
      <c r="JH44" s="1233"/>
      <c r="JI44" s="1229"/>
      <c r="JJ44" s="1686" t="s">
        <v>6108</v>
      </c>
    </row>
    <row ht="12.75" r="45" spans="1:270" x14ac:dyDescent="0.2">
      <c r="A45" s="1128">
        <v>3</v>
      </c>
      <c r="B45" s="629" t="str">
        <f ref="B45:B51" si="2" t="shared">IF(REL_B_IND&gt;1,IF(HLOOKUP(REL_B_IND-1,REL_B_RANGE,A45)="","",HLOOKUP(REL_B_IND-1,REL_B_RANGE,A45)),"")</f>
        <v/>
      </c>
      <c r="C45" s="672" t="s">
        <v>1632</v>
      </c>
      <c r="D45" s="1059" t="s">
        <v>4497</v>
      </c>
      <c r="E45" s="2750"/>
      <c r="F45" s="2750"/>
      <c r="G45" s="2750"/>
      <c r="H45" s="2750"/>
      <c r="I45" s="2750"/>
      <c r="J45" s="2750"/>
      <c r="K45" s="2750"/>
      <c r="L45" s="2750"/>
      <c r="M45" s="2750"/>
      <c r="N45" s="2750"/>
      <c r="O45" s="2750"/>
      <c r="P45" s="2750"/>
      <c r="Q45" s="2750"/>
      <c r="R45" s="2750"/>
      <c r="S45" s="2750"/>
      <c r="T45" s="2750"/>
      <c r="U45" s="2750"/>
      <c r="V45" s="2750"/>
      <c r="W45" s="2750"/>
      <c r="X45" s="2750"/>
      <c r="Y45" s="2750"/>
      <c r="Z45" s="2750"/>
      <c r="AA45" s="2750"/>
      <c r="AB45" s="2750"/>
      <c r="AC45" s="2750"/>
      <c r="AD45" s="2750"/>
      <c r="AE45" s="2750"/>
      <c r="AF45" s="2750"/>
      <c r="AG45" s="2750"/>
      <c r="AH45" s="2750"/>
      <c r="AI45" s="2750"/>
      <c r="AJ45" s="2750"/>
      <c r="AK45" s="2750"/>
      <c r="AL45" s="2750"/>
      <c r="AM45" s="2750"/>
      <c r="AN45" s="2750"/>
      <c r="AO45" s="2750">
        <v>3000</v>
      </c>
      <c r="AP45" s="2750"/>
      <c r="AQ45" s="2750"/>
      <c r="AR45" s="2750"/>
      <c r="AS45" s="2750"/>
      <c r="AT45" s="2750"/>
      <c r="AU45" s="2750"/>
      <c r="AV45" s="2750"/>
      <c r="AW45" s="2750"/>
      <c r="AX45" s="2750"/>
      <c r="AY45" s="2750"/>
      <c r="AZ45" s="2750"/>
      <c r="BA45" s="2750"/>
      <c r="BB45" s="2750"/>
      <c r="BC45" s="2750"/>
      <c r="BD45" s="2750">
        <v>3000</v>
      </c>
      <c r="BE45" s="2750"/>
      <c r="BF45" s="2750"/>
      <c r="BG45" s="2750"/>
      <c r="BH45" s="2750"/>
      <c r="BI45" s="2750"/>
      <c r="BJ45" s="2750"/>
      <c r="BK45" s="2750"/>
      <c r="BL45" s="2750">
        <v>3000</v>
      </c>
      <c r="BM45" s="2750"/>
      <c r="BN45" s="2750"/>
      <c r="BO45" s="2750"/>
      <c r="BP45" s="2750"/>
      <c r="BQ45" s="2750"/>
      <c r="BR45" s="2750">
        <v>3000</v>
      </c>
      <c r="BS45" s="2750"/>
      <c r="BT45" s="2750"/>
      <c r="BU45" s="2750"/>
      <c r="BV45" s="2750"/>
      <c r="BW45" s="2750"/>
      <c r="BX45" s="2750"/>
      <c r="BY45" s="2750"/>
      <c r="BZ45" s="2750"/>
      <c r="CA45" s="2750"/>
      <c r="CB45" s="2750"/>
      <c r="CC45" s="2750"/>
      <c r="CD45" s="2750"/>
      <c r="CE45" s="2750"/>
      <c r="CF45" s="2750"/>
      <c r="CG45" s="2750"/>
      <c r="CH45" s="2750"/>
      <c r="CI45" s="2750">
        <v>3000</v>
      </c>
      <c r="CJ45" s="2750"/>
      <c r="CK45" s="2750"/>
      <c r="CL45" s="2750"/>
      <c r="CM45" s="2750"/>
      <c r="CN45" s="2750"/>
      <c r="CO45" s="2750"/>
      <c r="CP45" s="2750"/>
      <c r="CQ45" s="2750"/>
      <c r="CR45" s="2750"/>
      <c r="CS45" s="2750"/>
      <c r="CT45" s="2750">
        <v>3000</v>
      </c>
      <c r="CU45" s="2750"/>
      <c r="CV45" s="2750"/>
      <c r="CW45" s="2750"/>
      <c r="CX45" s="2750"/>
      <c r="CY45" s="2750"/>
      <c r="CZ45" s="2750">
        <v>3000</v>
      </c>
      <c r="DA45" s="2750"/>
      <c r="DB45" s="2750"/>
      <c r="DC45" s="2750"/>
      <c r="DD45" s="2750">
        <v>3000</v>
      </c>
      <c r="DE45" s="2750"/>
      <c r="DF45" s="2750"/>
      <c r="DG45" s="2750"/>
      <c r="DH45" s="2750"/>
      <c r="DI45" s="2750"/>
      <c r="DJ45" s="2750">
        <v>3000</v>
      </c>
      <c r="DK45" s="2750"/>
      <c r="DL45" s="2750"/>
      <c r="DM45" s="2750"/>
      <c r="DN45" s="2750"/>
      <c r="DO45" s="2750"/>
      <c r="DP45" s="2750"/>
      <c r="DQ45" s="2750"/>
      <c r="DR45" s="2750"/>
      <c r="DS45" s="2750"/>
      <c r="DT45" s="2750"/>
      <c r="DU45" s="2750"/>
      <c r="DV45" s="2750"/>
      <c r="DW45" s="2750"/>
      <c r="DX45" s="2750"/>
      <c r="DY45" s="2750"/>
      <c r="DZ45" s="2750"/>
      <c r="EA45" s="2750"/>
      <c r="EB45" s="2750"/>
      <c r="EC45" s="2750"/>
      <c r="ED45" s="2750"/>
      <c r="EE45" s="2750"/>
      <c r="EF45" s="2750"/>
      <c r="EG45" s="2750"/>
      <c r="EH45" s="2750"/>
      <c r="EI45" s="2750"/>
      <c r="EJ45" s="2750"/>
      <c r="EK45" s="2750"/>
      <c r="EL45" s="2750"/>
      <c r="EM45" s="2750"/>
      <c r="EN45" s="2750"/>
      <c r="EO45" s="2750"/>
      <c r="EP45" s="2750"/>
      <c r="EQ45" s="2750"/>
      <c r="ER45" s="2750"/>
      <c r="ES45" s="2750"/>
      <c r="ET45" s="2750"/>
      <c r="EU45" s="2750"/>
      <c r="EV45" s="2750"/>
      <c r="EW45" s="2750"/>
      <c r="EX45" s="2750"/>
      <c r="EY45" s="2750"/>
      <c r="EZ45" s="2750"/>
      <c r="FA45" s="2750"/>
      <c r="FB45" s="2750"/>
      <c r="FC45" s="2750"/>
      <c r="FD45" s="2750"/>
      <c r="FE45" s="2750"/>
      <c r="FF45" s="2750"/>
      <c r="FG45" s="2750"/>
      <c r="FH45" s="2750"/>
      <c r="FI45" s="2750"/>
      <c r="FJ45" s="4219">
        <v>16000</v>
      </c>
      <c r="FK45" s="2750"/>
      <c r="FL45" s="2750"/>
      <c r="FM45" s="2750"/>
      <c r="FN45" s="2750"/>
      <c r="FO45" s="2750"/>
      <c r="FP45" s="2750"/>
      <c r="FQ45" s="2750"/>
      <c r="FR45" s="2750"/>
      <c r="FS45" s="2750"/>
      <c r="FT45" s="2750"/>
      <c r="FU45" s="2750"/>
      <c r="FV45" s="2750"/>
      <c r="FW45" s="2750"/>
      <c r="FX45" s="2750"/>
      <c r="FY45" s="2750"/>
      <c r="FZ45" s="2750"/>
      <c r="GA45" s="2750"/>
      <c r="GB45" s="2750"/>
      <c r="GC45" s="2750"/>
      <c r="GD45" s="2750"/>
      <c r="GE45" s="2750"/>
      <c r="GF45" s="2750"/>
      <c r="GG45" s="2750"/>
      <c r="GH45" s="2750"/>
      <c r="GI45" s="2750"/>
      <c r="GJ45" s="2750"/>
      <c r="GK45" s="2750"/>
      <c r="GL45" s="2750"/>
      <c r="GM45" s="2750"/>
      <c r="GN45" s="2750"/>
      <c r="GO45" s="2750"/>
      <c r="GP45" s="2750"/>
      <c r="GQ45" s="2750"/>
      <c r="GR45" s="2750"/>
      <c r="GS45" s="2750"/>
      <c r="GT45" s="2750"/>
      <c r="GU45" s="2750"/>
      <c r="GV45" s="2750"/>
      <c r="GW45" s="2750"/>
      <c r="GX45" s="2750"/>
      <c r="GY45" s="2750"/>
      <c r="GZ45" s="2750"/>
      <c r="HA45" s="2750"/>
      <c r="HB45" s="2750"/>
      <c r="HC45" s="2750"/>
      <c r="HD45" s="2750">
        <v>3000</v>
      </c>
      <c r="HE45" s="2750"/>
      <c r="HF45" s="2750"/>
      <c r="HG45" s="2750"/>
      <c r="HH45" s="2750"/>
      <c r="HI45" s="2750"/>
      <c r="HJ45" s="2750"/>
      <c r="HK45" s="2750"/>
      <c r="HL45" s="2750"/>
      <c r="HM45" s="2750"/>
      <c r="HN45" s="2750"/>
      <c r="HO45" s="2750"/>
      <c r="HP45" s="2750"/>
      <c r="HQ45" s="2750"/>
      <c r="HR45" s="2750"/>
      <c r="HS45" s="2750"/>
      <c r="HT45" s="2750"/>
      <c r="HU45" s="2750"/>
      <c r="HV45" s="2750"/>
      <c r="HW45" s="2750"/>
      <c r="HX45" s="2750"/>
      <c r="HY45" s="2750"/>
      <c r="HZ45" s="2750"/>
      <c r="IA45" s="2750"/>
      <c r="IB45" s="2750"/>
      <c r="IC45" s="2750"/>
      <c r="ID45" s="2750"/>
      <c r="IE45" s="2750">
        <v>41</v>
      </c>
      <c r="IF45" s="2750"/>
      <c r="IG45" s="2750"/>
      <c r="IH45" s="2750"/>
      <c r="II45" s="2750"/>
      <c r="IJ45" s="2750"/>
      <c r="IK45" s="2750"/>
      <c r="IL45" s="2750"/>
      <c r="IM45" s="2750"/>
      <c r="IN45" s="2750"/>
      <c r="IO45" s="2750"/>
      <c r="IP45" s="2750"/>
      <c r="IQ45" s="2750"/>
      <c r="IR45" s="2750"/>
      <c r="IS45" s="2750"/>
      <c r="IT45" s="2750"/>
      <c r="IU45" s="2750"/>
      <c r="IV45" s="2750"/>
      <c r="IW45" s="2750"/>
      <c r="IX45" s="2750"/>
      <c r="IY45" s="2750"/>
      <c r="IZ45" s="2750"/>
      <c r="JA45" s="3739"/>
      <c r="JB45" s="3739"/>
      <c r="JC45" s="3739"/>
      <c r="JD45" s="3739"/>
      <c r="JE45" s="3503">
        <v>100000</v>
      </c>
      <c r="JF45" s="3739"/>
      <c r="JG45" s="3752"/>
      <c r="JH45" s="1233"/>
      <c r="JI45" s="1229" t="s">
        <v>5104</v>
      </c>
      <c r="JJ45" s="1686" t="s">
        <v>6108</v>
      </c>
    </row>
    <row ht="12.75" r="46" spans="1:270" x14ac:dyDescent="0.2">
      <c r="A46" s="1128">
        <v>4</v>
      </c>
      <c r="B46" s="629" t="str">
        <f si="2" t="shared"/>
        <v/>
      </c>
      <c r="C46" s="960" t="s">
        <v>1633</v>
      </c>
      <c r="D46" s="1059" t="s">
        <v>4498</v>
      </c>
      <c r="E46" s="2355"/>
      <c r="F46" s="2355"/>
      <c r="G46" s="2355"/>
      <c r="H46" s="2355"/>
      <c r="I46" s="2355"/>
      <c r="J46" s="2355"/>
      <c r="K46" s="2355"/>
      <c r="L46" s="2355"/>
      <c r="M46" s="2355"/>
      <c r="N46" s="2355"/>
      <c r="O46" s="2355"/>
      <c r="P46" s="2355"/>
      <c r="Q46" s="2355"/>
      <c r="R46" s="2355"/>
      <c r="S46" s="2355"/>
      <c r="T46" s="2355"/>
      <c r="U46" s="2355"/>
      <c r="V46" s="2355"/>
      <c r="W46" s="2355"/>
      <c r="X46" s="2355"/>
      <c r="Y46" s="2355"/>
      <c r="Z46" s="2355"/>
      <c r="AA46" s="2355"/>
      <c r="AB46" s="2355"/>
      <c r="AC46" s="2355"/>
      <c r="AD46" s="2355"/>
      <c r="AE46" s="2355"/>
      <c r="AF46" s="2355"/>
      <c r="AG46" s="2355"/>
      <c r="AH46" s="2355"/>
      <c r="AI46" s="2355"/>
      <c r="AJ46" s="2355"/>
      <c r="AK46" s="2355"/>
      <c r="AL46" s="2355"/>
      <c r="AM46" s="2355"/>
      <c r="AN46" s="2355"/>
      <c r="AO46" s="2355"/>
      <c r="AP46" s="2355"/>
      <c r="AQ46" s="2355"/>
      <c r="AR46" s="2355"/>
      <c r="AS46" s="2355"/>
      <c r="AT46" s="2355"/>
      <c r="AU46" s="2355"/>
      <c r="AV46" s="2355"/>
      <c r="AW46" s="2355"/>
      <c r="AX46" s="2355"/>
      <c r="AY46" s="2355"/>
      <c r="AZ46" s="2355"/>
      <c r="BA46" s="2355"/>
      <c r="BB46" s="2355"/>
      <c r="BC46" s="2355"/>
      <c r="BD46" s="2355"/>
      <c r="BE46" s="2355"/>
      <c r="BF46" s="2355"/>
      <c r="BG46" s="2355"/>
      <c r="BH46" s="2355"/>
      <c r="BI46" s="2355"/>
      <c r="BJ46" s="2355"/>
      <c r="BK46" s="2355"/>
      <c r="BL46" s="2355"/>
      <c r="BM46" s="2355"/>
      <c r="BN46" s="2355"/>
      <c r="BO46" s="2355"/>
      <c r="BP46" s="2355"/>
      <c r="BQ46" s="2355"/>
      <c r="BR46" s="2355"/>
      <c r="BS46" s="2355"/>
      <c r="BT46" s="2355"/>
      <c r="BU46" s="2355"/>
      <c r="BV46" s="2355"/>
      <c r="BW46" s="2355"/>
      <c r="BX46" s="2355"/>
      <c r="BY46" s="2355"/>
      <c r="BZ46" s="2355"/>
      <c r="CA46" s="2355"/>
      <c r="CB46" s="2355"/>
      <c r="CC46" s="2355"/>
      <c r="CD46" s="2355">
        <v>300</v>
      </c>
      <c r="CE46" s="2355"/>
      <c r="CF46" s="2355"/>
      <c r="CG46" s="2355"/>
      <c r="CH46" s="2355"/>
      <c r="CI46" s="2355"/>
      <c r="CJ46" s="2355"/>
      <c r="CK46" s="2355"/>
      <c r="CL46" s="2355"/>
      <c r="CM46" s="2355">
        <v>100</v>
      </c>
      <c r="CN46" s="2355"/>
      <c r="CO46" s="2355"/>
      <c r="CP46" s="2355"/>
      <c r="CQ46" s="2355"/>
      <c r="CR46" s="2355"/>
      <c r="CS46" s="2355"/>
      <c r="CT46" s="2355"/>
      <c r="CU46" s="2355"/>
      <c r="CV46" s="2355">
        <v>300</v>
      </c>
      <c r="CW46" s="2355">
        <v>100</v>
      </c>
      <c r="CX46" s="2355"/>
      <c r="CY46" s="2355"/>
      <c r="CZ46" s="2355"/>
      <c r="DA46" s="2355">
        <v>300</v>
      </c>
      <c r="DB46" s="2355"/>
      <c r="DC46" s="2355"/>
      <c r="DD46" s="2355"/>
      <c r="DE46" s="2355"/>
      <c r="DF46" s="2355"/>
      <c r="DG46" s="2355"/>
      <c r="DH46" s="2355"/>
      <c r="DI46" s="2355"/>
      <c r="DJ46" s="2355"/>
      <c r="DK46" s="2355"/>
      <c r="DL46" s="2355"/>
      <c r="DM46" s="2355"/>
      <c r="DN46" s="2355"/>
      <c r="DO46" s="2355"/>
      <c r="DP46" s="2355"/>
      <c r="DQ46" s="2355"/>
      <c r="DR46" s="2355"/>
      <c r="DS46" s="2355"/>
      <c r="DT46" s="2355"/>
      <c r="DU46" s="2355"/>
      <c r="DV46" s="2355"/>
      <c r="DW46" s="2355"/>
      <c r="DX46" s="2355"/>
      <c r="DY46" s="2355"/>
      <c r="DZ46" s="2355"/>
      <c r="EA46" s="2355"/>
      <c r="EB46" s="2355">
        <v>300</v>
      </c>
      <c r="EC46" s="2355"/>
      <c r="ED46" s="2355"/>
      <c r="EE46" s="2355"/>
      <c r="EF46" s="2355"/>
      <c r="EG46" s="2355"/>
      <c r="EH46" s="2355"/>
      <c r="EI46" s="2355"/>
      <c r="EJ46" s="2355"/>
      <c r="EK46" s="2355"/>
      <c r="EL46" s="2355"/>
      <c r="EM46" s="2355"/>
      <c r="EN46" s="2355"/>
      <c r="EO46" s="2355"/>
      <c r="EP46" s="2355"/>
      <c r="EQ46" s="2355"/>
      <c r="ER46" s="2355"/>
      <c r="ES46" s="2355"/>
      <c r="ET46" s="2355"/>
      <c r="EU46" s="2355"/>
      <c r="EV46" s="2355"/>
      <c r="EW46" s="2355"/>
      <c r="EX46" s="2355"/>
      <c r="EY46" s="2355"/>
      <c r="EZ46" s="2355"/>
      <c r="FA46" s="2355"/>
      <c r="FB46" s="2355"/>
      <c r="FC46" s="2355"/>
      <c r="FD46" s="2355"/>
      <c r="FE46" s="2355"/>
      <c r="FF46" s="2355"/>
      <c r="FG46" s="2355"/>
      <c r="FH46" s="2355"/>
      <c r="FI46" s="2355"/>
      <c r="FJ46" s="3706"/>
      <c r="FK46" s="2355"/>
      <c r="FL46" s="2355"/>
      <c r="FM46" s="2355"/>
      <c r="FN46" s="2355"/>
      <c r="FO46" s="2355"/>
      <c r="FP46" s="2355"/>
      <c r="FQ46" s="2355"/>
      <c r="FR46" s="2355"/>
      <c r="FS46" s="2355"/>
      <c r="FT46" s="2355"/>
      <c r="FU46" s="2355"/>
      <c r="FV46" s="2355"/>
      <c r="FW46" s="2355"/>
      <c r="FX46" s="2355"/>
      <c r="FY46" s="2355"/>
      <c r="FZ46" s="2355"/>
      <c r="GA46" s="2355"/>
      <c r="GB46" s="2355"/>
      <c r="GC46" s="2355"/>
      <c r="GD46" s="2355"/>
      <c r="GE46" s="2355"/>
      <c r="GF46" s="2355"/>
      <c r="GG46" s="2355"/>
      <c r="GH46" s="2355"/>
      <c r="GI46" s="2355"/>
      <c r="GJ46" s="2355"/>
      <c r="GK46" s="2355"/>
      <c r="GL46" s="2355">
        <v>100</v>
      </c>
      <c r="GM46" s="2355">
        <v>100</v>
      </c>
      <c r="GN46" s="2355"/>
      <c r="GO46" s="2355"/>
      <c r="GP46" s="2355"/>
      <c r="GQ46" s="2355"/>
      <c r="GR46" s="2355"/>
      <c r="GS46" s="2355"/>
      <c r="GT46" s="2355"/>
      <c r="GU46" s="2355"/>
      <c r="GV46" s="2355"/>
      <c r="GW46" s="2355"/>
      <c r="GX46" s="2355"/>
      <c r="GY46" s="2355"/>
      <c r="GZ46" s="2355"/>
      <c r="HA46" s="2355"/>
      <c r="HB46" s="2355"/>
      <c r="HC46" s="2355"/>
      <c r="HD46" s="2355"/>
      <c r="HE46" s="2355"/>
      <c r="HF46" s="2355"/>
      <c r="HG46" s="2355"/>
      <c r="HH46" s="2355"/>
      <c r="HI46" s="2355"/>
      <c r="HJ46" s="2355"/>
      <c r="HK46" s="2355"/>
      <c r="HL46" s="2355"/>
      <c r="HM46" s="2355"/>
      <c r="HN46" s="2355"/>
      <c r="HO46" s="2355"/>
      <c r="HP46" s="2355"/>
      <c r="HQ46" s="2355"/>
      <c r="HR46" s="2355"/>
      <c r="HS46" s="2355"/>
      <c r="HT46" s="2355"/>
      <c r="HU46" s="2355"/>
      <c r="HV46" s="2355"/>
      <c r="HW46" s="2355"/>
      <c r="HX46" s="2355"/>
      <c r="HY46" s="2355"/>
      <c r="HZ46" s="2355"/>
      <c r="IA46" s="2355"/>
      <c r="IB46" s="2355"/>
      <c r="IC46" s="2355"/>
      <c r="ID46" s="2355"/>
      <c r="IE46" s="2355"/>
      <c r="IF46" s="2355"/>
      <c r="IG46" s="2355"/>
      <c r="IH46" s="2355"/>
      <c r="II46" s="2355"/>
      <c r="IJ46" s="2355"/>
      <c r="IK46" s="2355"/>
      <c r="IL46" s="2355"/>
      <c r="IM46" s="2355"/>
      <c r="IN46" s="2355"/>
      <c r="IO46" s="2355"/>
      <c r="IP46" s="2355"/>
      <c r="IQ46" s="2355"/>
      <c r="IR46" s="2355"/>
      <c r="IS46" s="2355"/>
      <c r="IT46" s="2355"/>
      <c r="IU46" s="2355"/>
      <c r="IV46" s="2355"/>
      <c r="IW46" s="2355"/>
      <c r="IX46" s="2355"/>
      <c r="IY46" s="2355"/>
      <c r="IZ46" s="2355"/>
      <c r="JA46" s="2354"/>
      <c r="JB46" s="2354"/>
      <c r="JC46" s="2354"/>
      <c r="JD46" s="2354"/>
      <c r="JE46" s="2354"/>
      <c r="JF46" s="2354"/>
      <c r="JG46" s="3752"/>
      <c r="JH46" s="1233"/>
      <c r="JI46" s="1229" t="s">
        <v>5104</v>
      </c>
      <c r="JJ46" s="1686" t="s">
        <v>6108</v>
      </c>
    </row>
    <row ht="12.75" r="47" spans="1:270" x14ac:dyDescent="0.2">
      <c r="A47" s="1128">
        <v>5</v>
      </c>
      <c r="B47" s="629" t="str">
        <f si="2" t="shared"/>
        <v/>
      </c>
      <c r="C47" s="960" t="s">
        <v>1634</v>
      </c>
      <c r="D47" s="1059" t="s">
        <v>4499</v>
      </c>
      <c r="E47" s="2355"/>
      <c r="F47" s="2355"/>
      <c r="G47" s="2355"/>
      <c r="H47" s="2355"/>
      <c r="I47" s="2355"/>
      <c r="J47" s="2355"/>
      <c r="K47" s="2355"/>
      <c r="L47" s="2355"/>
      <c r="M47" s="2355"/>
      <c r="N47" s="2355"/>
      <c r="O47" s="2355"/>
      <c r="P47" s="2355"/>
      <c r="Q47" s="2355"/>
      <c r="R47" s="2355"/>
      <c r="S47" s="2355"/>
      <c r="T47" s="2355"/>
      <c r="U47" s="2355"/>
      <c r="V47" s="2355"/>
      <c r="W47" s="2355"/>
      <c r="X47" s="2355"/>
      <c r="Y47" s="2355"/>
      <c r="Z47" s="2355"/>
      <c r="AA47" s="2355"/>
      <c r="AB47" s="2355"/>
      <c r="AC47" s="2355"/>
      <c r="AD47" s="2355"/>
      <c r="AE47" s="2355"/>
      <c r="AF47" s="2355"/>
      <c r="AG47" s="2355"/>
      <c r="AH47" s="2355"/>
      <c r="AI47" s="2355"/>
      <c r="AJ47" s="2355"/>
      <c r="AK47" s="2355"/>
      <c r="AL47" s="2355"/>
      <c r="AM47" s="2355"/>
      <c r="AN47" s="2355"/>
      <c r="AO47" s="2355"/>
      <c r="AP47" s="2355"/>
      <c r="AQ47" s="2355"/>
      <c r="AR47" s="2355"/>
      <c r="AS47" s="2355"/>
      <c r="AT47" s="2355"/>
      <c r="AU47" s="2355"/>
      <c r="AV47" s="2354"/>
      <c r="AW47" s="2355"/>
      <c r="AX47" s="2751"/>
      <c r="AY47" s="2355"/>
      <c r="AZ47" s="2355"/>
      <c r="BA47" s="2355"/>
      <c r="BB47" s="2355"/>
      <c r="BC47" s="2355"/>
      <c r="BD47" s="2355"/>
      <c r="BE47" s="2355"/>
      <c r="BF47" s="2355"/>
      <c r="BG47" s="2355"/>
      <c r="BH47" s="2355"/>
      <c r="BI47" s="2355"/>
      <c r="BJ47" s="2355"/>
      <c r="BK47" s="2355"/>
      <c r="BL47" s="2355"/>
      <c r="BM47" s="2355"/>
      <c r="BN47" s="2354"/>
      <c r="BO47" s="2355"/>
      <c r="BP47" s="2355"/>
      <c r="BQ47" s="2355"/>
      <c r="BR47" s="2355"/>
      <c r="BS47" s="2355"/>
      <c r="BT47" s="2355"/>
      <c r="BU47" s="2355"/>
      <c r="BV47" s="2355"/>
      <c r="BW47" s="2355"/>
      <c r="BX47" s="2355"/>
      <c r="BY47" s="2355"/>
      <c r="BZ47" s="2355"/>
      <c r="CA47" s="2355"/>
      <c r="CB47" s="2355"/>
      <c r="CC47" s="2355"/>
      <c r="CD47" s="2355"/>
      <c r="CE47" s="2355"/>
      <c r="CF47" s="2355"/>
      <c r="CG47" s="2355"/>
      <c r="CH47" s="2355"/>
      <c r="CI47" s="2355"/>
      <c r="CJ47" s="2355"/>
      <c r="CK47" s="2355"/>
      <c r="CL47" s="2355"/>
      <c r="CM47" s="2751">
        <v>200</v>
      </c>
      <c r="CN47" s="2355"/>
      <c r="CO47" s="2355"/>
      <c r="CP47" s="2355"/>
      <c r="CQ47" s="2355"/>
      <c r="CR47" s="2354"/>
      <c r="CS47" s="2354"/>
      <c r="CT47" s="2355"/>
      <c r="CU47" s="2355"/>
      <c r="CV47" s="2355"/>
      <c r="CW47" s="2751">
        <v>200</v>
      </c>
      <c r="CX47" s="2355"/>
      <c r="CY47" s="2355"/>
      <c r="CZ47" s="2355"/>
      <c r="DA47" s="2355"/>
      <c r="DB47" s="2355"/>
      <c r="DC47" s="2355"/>
      <c r="DD47" s="2355"/>
      <c r="DE47" s="2355"/>
      <c r="DF47" s="2355"/>
      <c r="DG47" s="2355"/>
      <c r="DH47" s="2355"/>
      <c r="DI47" s="2355"/>
      <c r="DJ47" s="2355"/>
      <c r="DK47" s="2355"/>
      <c r="DL47" s="2355"/>
      <c r="DM47" s="2355"/>
      <c r="DN47" s="2355"/>
      <c r="DO47" s="2355"/>
      <c r="DP47" s="2355"/>
      <c r="DQ47" s="2355"/>
      <c r="DR47" s="2355"/>
      <c r="DS47" s="2355"/>
      <c r="DT47" s="2355"/>
      <c r="DU47" s="2355"/>
      <c r="DV47" s="2355"/>
      <c r="DW47" s="2355"/>
      <c r="DX47" s="2355"/>
      <c r="DY47" s="2355"/>
      <c r="DZ47" s="2355"/>
      <c r="EA47" s="2355"/>
      <c r="EB47" s="2355"/>
      <c r="EC47" s="2355"/>
      <c r="ED47" s="2355"/>
      <c r="EE47" s="2355"/>
      <c r="EF47" s="2355"/>
      <c r="EG47" s="2355"/>
      <c r="EH47" s="2355"/>
      <c r="EI47" s="2355"/>
      <c r="EJ47" s="2355"/>
      <c r="EK47" s="2355"/>
      <c r="EL47" s="2355"/>
      <c r="EM47" s="2355"/>
      <c r="EN47" s="2355"/>
      <c r="EO47" s="2355"/>
      <c r="EP47" s="2355"/>
      <c r="EQ47" s="2355"/>
      <c r="ER47" s="2355"/>
      <c r="ES47" s="2355"/>
      <c r="ET47" s="2355"/>
      <c r="EU47" s="2355"/>
      <c r="EV47" s="2355"/>
      <c r="EW47" s="2355"/>
      <c r="EX47" s="2355"/>
      <c r="EY47" s="2355"/>
      <c r="EZ47" s="2355"/>
      <c r="FA47" s="2355"/>
      <c r="FB47" s="2355"/>
      <c r="FC47" s="2355"/>
      <c r="FD47" s="2355"/>
      <c r="FE47" s="2355"/>
      <c r="FF47" s="2355"/>
      <c r="FG47" s="2355"/>
      <c r="FH47" s="2355"/>
      <c r="FI47" s="2355"/>
      <c r="FJ47" s="2355"/>
      <c r="FK47" s="2355"/>
      <c r="FL47" s="2355"/>
      <c r="FM47" s="2355"/>
      <c r="FN47" s="2355"/>
      <c r="FO47" s="2355"/>
      <c r="FP47" s="2355"/>
      <c r="FQ47" s="2355"/>
      <c r="FR47" s="2355"/>
      <c r="FS47" s="2355"/>
      <c r="FT47" s="2355"/>
      <c r="FU47" s="2355"/>
      <c r="FV47" s="2355"/>
      <c r="FW47" s="2355"/>
      <c r="FX47" s="2355"/>
      <c r="FY47" s="2355"/>
      <c r="FZ47" s="2355"/>
      <c r="GA47" s="2355"/>
      <c r="GB47" s="2355"/>
      <c r="GC47" s="2355"/>
      <c r="GD47" s="2355"/>
      <c r="GE47" s="2355"/>
      <c r="GF47" s="2355"/>
      <c r="GG47" s="2355"/>
      <c r="GH47" s="2355"/>
      <c r="GI47" s="2355"/>
      <c r="GJ47" s="2355"/>
      <c r="GK47" s="2355"/>
      <c r="GL47" s="2751">
        <v>200</v>
      </c>
      <c r="GM47" s="2751">
        <v>200</v>
      </c>
      <c r="GN47" s="2355"/>
      <c r="GO47" s="2355"/>
      <c r="GP47" s="2355"/>
      <c r="GQ47" s="2355"/>
      <c r="GR47" s="2355"/>
      <c r="GS47" s="2354"/>
      <c r="GT47" s="2355"/>
      <c r="GU47" s="2355"/>
      <c r="GV47" s="2355"/>
      <c r="GW47" s="2355"/>
      <c r="GX47" s="2355"/>
      <c r="GY47" s="2355"/>
      <c r="GZ47" s="2355"/>
      <c r="HA47" s="2355"/>
      <c r="HB47" s="2355"/>
      <c r="HC47" s="2355"/>
      <c r="HD47" s="2355"/>
      <c r="HE47" s="2355"/>
      <c r="HF47" s="2355"/>
      <c r="HG47" s="2355"/>
      <c r="HH47" s="2354"/>
      <c r="HI47" s="2355"/>
      <c r="HJ47" s="2355"/>
      <c r="HK47" s="2355"/>
      <c r="HL47" s="2355"/>
      <c r="HM47" s="2355"/>
      <c r="HN47" s="2355"/>
      <c r="HO47" s="2355"/>
      <c r="HP47" s="2355"/>
      <c r="HQ47" s="2355"/>
      <c r="HR47" s="2355"/>
      <c r="HS47" s="2355"/>
      <c r="HT47" s="2355"/>
      <c r="HU47" s="2355"/>
      <c r="HV47" s="2355"/>
      <c r="HW47" s="2355"/>
      <c r="HX47" s="2355"/>
      <c r="HY47" s="2355"/>
      <c r="HZ47" s="2355"/>
      <c r="IA47" s="2355"/>
      <c r="IB47" s="2355"/>
      <c r="IC47" s="2355"/>
      <c r="ID47" s="2355"/>
      <c r="IE47" s="2355"/>
      <c r="IF47" s="2355">
        <v>6000</v>
      </c>
      <c r="IG47" s="2355"/>
      <c r="IH47" s="2355"/>
      <c r="II47" s="2355"/>
      <c r="IJ47" s="2355"/>
      <c r="IK47" s="2355"/>
      <c r="IL47" s="2355"/>
      <c r="IM47" s="2355"/>
      <c r="IN47" s="2355"/>
      <c r="IO47" s="2355"/>
      <c r="IP47" s="2355"/>
      <c r="IQ47" s="2355"/>
      <c r="IR47" s="2355"/>
      <c r="IS47" s="2355"/>
      <c r="IT47" s="2355"/>
      <c r="IU47" s="2355"/>
      <c r="IV47" s="2355"/>
      <c r="IW47" s="2355"/>
      <c r="IX47" s="2355"/>
      <c r="IY47" s="2355"/>
      <c r="IZ47" s="2355"/>
      <c r="JA47" s="2354"/>
      <c r="JB47" s="2354"/>
      <c r="JC47" s="2354"/>
      <c r="JD47" s="2354"/>
      <c r="JE47" s="2354"/>
      <c r="JF47" s="2354"/>
      <c r="JG47" s="3752"/>
      <c r="JH47" s="1233"/>
      <c r="JI47" s="1229"/>
      <c r="JJ47" s="1686" t="s">
        <v>6108</v>
      </c>
    </row>
    <row ht="12.75" r="48" spans="1:270" x14ac:dyDescent="0.2">
      <c r="A48" s="1128">
        <v>6</v>
      </c>
      <c r="B48" s="629" t="str">
        <f si="2" t="shared"/>
        <v/>
      </c>
      <c r="C48" s="960" t="s">
        <v>1635</v>
      </c>
      <c r="D48" s="1059" t="s">
        <v>4500</v>
      </c>
      <c r="E48" s="2355"/>
      <c r="F48" s="2355"/>
      <c r="G48" s="2355"/>
      <c r="H48" s="2355"/>
      <c r="I48" s="2355"/>
      <c r="J48" s="2355"/>
      <c r="K48" s="2355"/>
      <c r="L48" s="2355"/>
      <c r="M48" s="2355"/>
      <c r="N48" s="2355"/>
      <c r="O48" s="2355"/>
      <c r="P48" s="2355"/>
      <c r="Q48" s="2355"/>
      <c r="R48" s="2355"/>
      <c r="S48" s="2355"/>
      <c r="T48" s="2355"/>
      <c r="U48" s="2355"/>
      <c r="V48" s="2355"/>
      <c r="W48" s="2355"/>
      <c r="X48" s="2355"/>
      <c r="Y48" s="2355"/>
      <c r="Z48" s="2355"/>
      <c r="AA48" s="2355"/>
      <c r="AB48" s="2355"/>
      <c r="AC48" s="2355"/>
      <c r="AD48" s="2355"/>
      <c r="AE48" s="2355"/>
      <c r="AF48" s="2355"/>
      <c r="AG48" s="2355"/>
      <c r="AH48" s="2355"/>
      <c r="AI48" s="2355"/>
      <c r="AJ48" s="2355"/>
      <c r="AK48" s="2355"/>
      <c r="AL48" s="2355"/>
      <c r="AM48" s="2355"/>
      <c r="AN48" s="2355"/>
      <c r="AO48" s="2355"/>
      <c r="AP48" s="2355"/>
      <c r="AQ48" s="2355"/>
      <c r="AR48" s="2355"/>
      <c r="AS48" s="2355"/>
      <c r="AT48" s="2355"/>
      <c r="AU48" s="2355"/>
      <c r="AV48" s="2355"/>
      <c r="AW48" s="2355"/>
      <c r="AX48" s="2355"/>
      <c r="AY48" s="2752"/>
      <c r="AZ48" s="2752"/>
      <c r="BA48" s="2752"/>
      <c r="BB48" s="2752"/>
      <c r="BC48" s="2752"/>
      <c r="BD48" s="2355"/>
      <c r="BE48" s="2752"/>
      <c r="BF48" s="2752"/>
      <c r="BG48" s="2355"/>
      <c r="BH48" s="2752"/>
      <c r="BI48" s="2752"/>
      <c r="BJ48" s="2752"/>
      <c r="BK48" s="2752"/>
      <c r="BL48" s="2355"/>
      <c r="BM48" s="2752"/>
      <c r="BN48" s="2355">
        <v>2145</v>
      </c>
      <c r="BO48" s="2752"/>
      <c r="BP48" s="2355"/>
      <c r="BQ48" s="2752"/>
      <c r="BR48" s="2355"/>
      <c r="BS48" s="2752"/>
      <c r="BT48" s="2752"/>
      <c r="BU48" s="2355"/>
      <c r="BV48" s="2752"/>
      <c r="BW48" s="2752"/>
      <c r="BX48" s="2752"/>
      <c r="BY48" s="2355"/>
      <c r="BZ48" s="2752"/>
      <c r="CA48" s="2752"/>
      <c r="CB48" s="3725">
        <v>2370</v>
      </c>
      <c r="CC48" s="2752"/>
      <c r="CD48" s="2355"/>
      <c r="CE48" s="2752"/>
      <c r="CF48" s="2752"/>
      <c r="CG48" s="2355"/>
      <c r="CH48" s="2355"/>
      <c r="CI48" s="2355"/>
      <c r="CJ48" s="2752"/>
      <c r="CK48" s="2752"/>
      <c r="CL48" s="2355"/>
      <c r="CM48" s="2355"/>
      <c r="CN48" s="2752"/>
      <c r="CO48" s="2752"/>
      <c r="CP48" s="2752"/>
      <c r="CQ48" s="2752"/>
      <c r="CR48" s="2355">
        <v>2145</v>
      </c>
      <c r="CS48" s="2355">
        <v>2145</v>
      </c>
      <c r="CT48" s="2355"/>
      <c r="CU48" s="2752"/>
      <c r="CV48" s="2355"/>
      <c r="CW48" s="2355"/>
      <c r="CX48" s="2752"/>
      <c r="CY48" s="2355"/>
      <c r="CZ48" s="2355"/>
      <c r="DA48" s="2355"/>
      <c r="DB48" s="3725">
        <v>400912</v>
      </c>
      <c r="DC48" s="2752"/>
      <c r="DD48" s="2355"/>
      <c r="DE48" s="2752"/>
      <c r="DF48" s="2752"/>
      <c r="DG48" s="2752"/>
      <c r="DH48" s="2752"/>
      <c r="DI48" s="2752"/>
      <c r="DJ48" s="2355"/>
      <c r="DK48" s="2752"/>
      <c r="DL48" s="2752"/>
      <c r="DM48" s="2355"/>
      <c r="DN48" s="2752"/>
      <c r="DO48" s="2752"/>
      <c r="DP48" s="2752"/>
      <c r="DQ48" s="2752"/>
      <c r="DR48" s="2752"/>
      <c r="DS48" s="2752"/>
      <c r="DT48" s="2752"/>
      <c r="DU48" s="2752"/>
      <c r="DV48" s="2752"/>
      <c r="DW48" s="2752"/>
      <c r="DX48" s="2752"/>
      <c r="DY48" s="2752"/>
      <c r="DZ48" s="2752"/>
      <c r="EA48" s="2752"/>
      <c r="EB48" s="2355"/>
      <c r="EC48" s="2752"/>
      <c r="ED48" s="2752"/>
      <c r="EE48" s="2752"/>
      <c r="EF48" s="2752"/>
      <c r="EG48" s="2752"/>
      <c r="EH48" s="2752"/>
      <c r="EI48" s="2752"/>
      <c r="EJ48" s="2752"/>
      <c r="EK48" s="2752"/>
      <c r="EL48" s="2752"/>
      <c r="EM48" s="2752"/>
      <c r="EN48" s="2752"/>
      <c r="EO48" s="2752"/>
      <c r="EP48" s="2752"/>
      <c r="EQ48" s="2752"/>
      <c r="ER48" s="2752"/>
      <c r="ES48" s="2752"/>
      <c r="ET48" s="2752"/>
      <c r="EU48" s="2752"/>
      <c r="EV48" s="2752"/>
      <c r="EW48" s="2752"/>
      <c r="EX48" s="2752"/>
      <c r="EY48" s="2752"/>
      <c r="EZ48" s="2752"/>
      <c r="FA48" s="2752"/>
      <c r="FB48" s="2752"/>
      <c r="FC48" s="2752"/>
      <c r="FD48" s="2752"/>
      <c r="FE48" s="2752"/>
      <c r="FF48" s="2752"/>
      <c r="FG48" s="2752"/>
      <c r="FH48" s="2752"/>
      <c r="FI48" s="2752"/>
      <c r="FJ48" s="2355"/>
      <c r="FK48" s="2752"/>
      <c r="FL48" s="2752"/>
      <c r="FM48" s="2752"/>
      <c r="FN48" s="2752"/>
      <c r="FO48" s="2752"/>
      <c r="FP48" s="2752"/>
      <c r="FQ48" s="2752"/>
      <c r="FR48" s="2752"/>
      <c r="FS48" s="2752"/>
      <c r="FT48" s="2752"/>
      <c r="FU48" s="2752"/>
      <c r="FV48" s="2752"/>
      <c r="FW48" s="2752"/>
      <c r="FX48" s="2752"/>
      <c r="FY48" s="2752"/>
      <c r="FZ48" s="2752"/>
      <c r="GA48" s="2752"/>
      <c r="GB48" s="2752"/>
      <c r="GC48" s="2752"/>
      <c r="GD48" s="2752"/>
      <c r="GE48" s="2752"/>
      <c r="GF48" s="2752"/>
      <c r="GG48" s="2752"/>
      <c r="GH48" s="2752"/>
      <c r="GI48" s="2752"/>
      <c r="GJ48" s="2752"/>
      <c r="GK48" s="2752"/>
      <c r="GL48" s="2355"/>
      <c r="GM48" s="2355"/>
      <c r="GN48" s="2752"/>
      <c r="GO48" s="2752"/>
      <c r="GP48" s="2752"/>
      <c r="GQ48" s="2752"/>
      <c r="GR48" s="2752"/>
      <c r="GS48" s="2355">
        <v>2145</v>
      </c>
      <c r="GT48" s="2752"/>
      <c r="GU48" s="2752"/>
      <c r="GV48" s="2752"/>
      <c r="GW48" s="2752"/>
      <c r="GX48" s="2752"/>
      <c r="GY48" s="2355"/>
      <c r="GZ48" s="2752"/>
      <c r="HA48" s="2752"/>
      <c r="HB48" s="2752"/>
      <c r="HC48" s="2752"/>
      <c r="HD48" s="2355"/>
      <c r="HE48" s="2752"/>
      <c r="HF48" s="2752"/>
      <c r="HG48" s="2752"/>
      <c r="HH48" s="2355">
        <v>2145</v>
      </c>
      <c r="HI48" s="2752"/>
      <c r="HJ48" s="2752"/>
      <c r="HK48" s="2752"/>
      <c r="HL48" s="2752"/>
      <c r="HM48" s="2752"/>
      <c r="HN48" s="2752"/>
      <c r="HO48" s="2752"/>
      <c r="HP48" s="2752"/>
      <c r="HQ48" s="2752"/>
      <c r="HR48" s="2752"/>
      <c r="HS48" s="2752"/>
      <c r="HT48" s="2752"/>
      <c r="HU48" s="2752"/>
      <c r="HV48" s="3725">
        <v>240000</v>
      </c>
      <c r="HW48" s="2752"/>
      <c r="HX48" s="2752"/>
      <c r="HY48" s="2752"/>
      <c r="HZ48" s="2752">
        <v>179999</v>
      </c>
      <c r="IA48" s="2752"/>
      <c r="IB48" s="2752"/>
      <c r="IC48" s="2752"/>
      <c r="ID48" s="2752"/>
      <c r="IE48" s="2752"/>
      <c r="IF48" s="2752">
        <v>256421</v>
      </c>
      <c r="IG48" s="2752"/>
      <c r="IH48" s="2752"/>
      <c r="II48" s="2752"/>
      <c r="IJ48" s="2752"/>
      <c r="IK48" s="2752"/>
      <c r="IL48" s="2752"/>
      <c r="IM48" s="2752"/>
      <c r="IN48" s="2752"/>
      <c r="IO48" s="2752"/>
      <c r="IP48" s="2752"/>
      <c r="IQ48" s="2752"/>
      <c r="IR48" s="2752"/>
      <c r="IS48" s="2752"/>
      <c r="IT48" s="2752"/>
      <c r="IU48" s="2752"/>
      <c r="IV48" s="2752"/>
      <c r="IW48" s="2752"/>
      <c r="IX48" s="2752"/>
      <c r="IY48" s="2752"/>
      <c r="IZ48" s="2752"/>
      <c r="JA48" s="3740"/>
      <c r="JB48" s="3740"/>
      <c r="JC48" s="3740"/>
      <c r="JD48" s="3740"/>
      <c r="JE48" s="3740"/>
      <c r="JF48" s="3740"/>
      <c r="JG48" s="3753"/>
      <c r="JH48" s="1233"/>
      <c r="JI48" s="1229"/>
      <c r="JJ48" s="1686" t="s">
        <v>6108</v>
      </c>
    </row>
    <row ht="12.75" r="49" spans="1:270" x14ac:dyDescent="0.2">
      <c r="A49" s="1128">
        <v>7</v>
      </c>
      <c r="B49" s="629" t="str">
        <f si="2" t="shared"/>
        <v/>
      </c>
      <c r="C49" s="960" t="s">
        <v>1636</v>
      </c>
      <c r="D49" s="1059" t="s">
        <v>4501</v>
      </c>
      <c r="E49" s="2355"/>
      <c r="F49" s="2355"/>
      <c r="G49" s="2355"/>
      <c r="H49" s="2355"/>
      <c r="I49" s="2355"/>
      <c r="J49" s="2355"/>
      <c r="K49" s="2355"/>
      <c r="L49" s="2355"/>
      <c r="M49" s="2355"/>
      <c r="N49" s="2355"/>
      <c r="O49" s="2355"/>
      <c r="P49" s="2355"/>
      <c r="Q49" s="2355"/>
      <c r="R49" s="2355"/>
      <c r="S49" s="2355"/>
      <c r="T49" s="2355"/>
      <c r="U49" s="2355"/>
      <c r="V49" s="2355"/>
      <c r="W49" s="2355"/>
      <c r="X49" s="2355"/>
      <c r="Y49" s="2355"/>
      <c r="Z49" s="2355"/>
      <c r="AA49" s="2355"/>
      <c r="AB49" s="2355"/>
      <c r="AC49" s="2355"/>
      <c r="AD49" s="2355"/>
      <c r="AE49" s="2355"/>
      <c r="AF49" s="2355"/>
      <c r="AG49" s="2355"/>
      <c r="AH49" s="2355"/>
      <c r="AI49" s="2355"/>
      <c r="AJ49" s="2355"/>
      <c r="AK49" s="2355"/>
      <c r="AL49" s="2355"/>
      <c r="AM49" s="2355"/>
      <c r="AN49" s="2355"/>
      <c r="AO49" s="2355"/>
      <c r="AP49" s="2355"/>
      <c r="AQ49" s="2355"/>
      <c r="AR49" s="2355"/>
      <c r="AS49" s="2355"/>
      <c r="AT49" s="2355"/>
      <c r="AU49" s="2355"/>
      <c r="AV49" s="2355"/>
      <c r="AW49" s="2355"/>
      <c r="AX49" s="2355"/>
      <c r="AY49" s="2752"/>
      <c r="AZ49" s="2752"/>
      <c r="BA49" s="2752"/>
      <c r="BB49" s="2752"/>
      <c r="BC49" s="2752"/>
      <c r="BD49" s="2355"/>
      <c r="BE49" s="2752"/>
      <c r="BF49" s="2752"/>
      <c r="BG49" s="2355"/>
      <c r="BH49" s="2752"/>
      <c r="BI49" s="2752"/>
      <c r="BJ49" s="2752"/>
      <c r="BK49" s="2752"/>
      <c r="BL49" s="2355"/>
      <c r="BM49" s="2752"/>
      <c r="BN49" s="2355"/>
      <c r="BO49" s="2752"/>
      <c r="BP49" s="2355"/>
      <c r="BQ49" s="2752"/>
      <c r="BR49" s="2355"/>
      <c r="BS49" s="2752"/>
      <c r="BT49" s="2752"/>
      <c r="BU49" s="2355"/>
      <c r="BV49" s="2752"/>
      <c r="BW49" s="2752"/>
      <c r="BX49" s="2752"/>
      <c r="BY49" s="2355"/>
      <c r="BZ49" s="2752"/>
      <c r="CA49" s="2752"/>
      <c r="CB49" s="2752"/>
      <c r="CC49" s="2752"/>
      <c r="CD49" s="2355"/>
      <c r="CE49" s="2752"/>
      <c r="CF49" s="2752"/>
      <c r="CG49" s="2355"/>
      <c r="CH49" s="2355"/>
      <c r="CI49" s="2355"/>
      <c r="CJ49" s="2752"/>
      <c r="CK49" s="2752"/>
      <c r="CL49" s="2355">
        <v>29980</v>
      </c>
      <c r="CM49" s="2355"/>
      <c r="CN49" s="2752"/>
      <c r="CO49" s="2752"/>
      <c r="CP49" s="2752"/>
      <c r="CQ49" s="2752"/>
      <c r="CR49" s="2355"/>
      <c r="CS49" s="2355"/>
      <c r="CT49" s="2355"/>
      <c r="CU49" s="2752"/>
      <c r="CV49" s="2355"/>
      <c r="CW49" s="2355"/>
      <c r="CX49" s="2752"/>
      <c r="CY49" s="2355">
        <v>29980</v>
      </c>
      <c r="CZ49" s="2355"/>
      <c r="DA49" s="2355"/>
      <c r="DB49" s="2752"/>
      <c r="DC49" s="2752"/>
      <c r="DD49" s="2355"/>
      <c r="DE49" s="2752"/>
      <c r="DF49" s="2752"/>
      <c r="DG49" s="2752"/>
      <c r="DH49" s="2752"/>
      <c r="DI49" s="2752"/>
      <c r="DJ49" s="2355"/>
      <c r="DK49" s="2752"/>
      <c r="DL49" s="2752"/>
      <c r="DM49" s="2355">
        <v>29980</v>
      </c>
      <c r="DN49" s="2752"/>
      <c r="DO49" s="2752"/>
      <c r="DP49" s="2752"/>
      <c r="DQ49" s="2752"/>
      <c r="DR49" s="2752"/>
      <c r="DS49" s="2752"/>
      <c r="DT49" s="2752"/>
      <c r="DU49" s="2752"/>
      <c r="DV49" s="2752"/>
      <c r="DW49" s="2752"/>
      <c r="DX49" s="2752"/>
      <c r="DY49" s="2752"/>
      <c r="DZ49" s="2752"/>
      <c r="EA49" s="2752"/>
      <c r="EB49" s="2355"/>
      <c r="EC49" s="2752"/>
      <c r="ED49" s="2752"/>
      <c r="EE49" s="2752"/>
      <c r="EF49" s="2752"/>
      <c r="EG49" s="2752"/>
      <c r="EH49" s="2752"/>
      <c r="EI49" s="2752"/>
      <c r="EJ49" s="2752"/>
      <c r="EK49" s="2752"/>
      <c r="EL49" s="2752"/>
      <c r="EM49" s="2752"/>
      <c r="EN49" s="2752"/>
      <c r="EO49" s="2752"/>
      <c r="EP49" s="2752"/>
      <c r="EQ49" s="2752"/>
      <c r="ER49" s="2752"/>
      <c r="ES49" s="2752"/>
      <c r="ET49" s="2752"/>
      <c r="EU49" s="2752"/>
      <c r="EV49" s="2752"/>
      <c r="EW49" s="2752"/>
      <c r="EX49" s="2752"/>
      <c r="EY49" s="2752"/>
      <c r="EZ49" s="2752"/>
      <c r="FA49" s="2752"/>
      <c r="FB49" s="2752"/>
      <c r="FC49" s="2752"/>
      <c r="FD49" s="2752"/>
      <c r="FE49" s="2752"/>
      <c r="FF49" s="2752"/>
      <c r="FG49" s="2752"/>
      <c r="FH49" s="2752"/>
      <c r="FI49" s="2752"/>
      <c r="FJ49" s="2355"/>
      <c r="FK49" s="2752"/>
      <c r="FL49" s="2752"/>
      <c r="FM49" s="2752"/>
      <c r="FN49" s="2752"/>
      <c r="FO49" s="2752"/>
      <c r="FP49" s="2752"/>
      <c r="FQ49" s="2752"/>
      <c r="FR49" s="2752"/>
      <c r="FS49" s="2752"/>
      <c r="FT49" s="2752"/>
      <c r="FU49" s="2752"/>
      <c r="FV49" s="2752"/>
      <c r="FW49" s="2752"/>
      <c r="FX49" s="2752"/>
      <c r="FY49" s="2752"/>
      <c r="FZ49" s="2752"/>
      <c r="GA49" s="2752"/>
      <c r="GB49" s="2752"/>
      <c r="GC49" s="2752"/>
      <c r="GD49" s="2752"/>
      <c r="GE49" s="2752"/>
      <c r="GF49" s="2752"/>
      <c r="GG49" s="2752"/>
      <c r="GH49" s="2752"/>
      <c r="GI49" s="2752"/>
      <c r="GJ49" s="2752"/>
      <c r="GK49" s="2752"/>
      <c r="GL49" s="2355"/>
      <c r="GM49" s="2355"/>
      <c r="GN49" s="2752"/>
      <c r="GO49" s="2752"/>
      <c r="GP49" s="2752"/>
      <c r="GQ49" s="2752"/>
      <c r="GR49" s="2752"/>
      <c r="GS49" s="2355"/>
      <c r="GT49" s="2752"/>
      <c r="GU49" s="2752"/>
      <c r="GV49" s="2752"/>
      <c r="GW49" s="2752"/>
      <c r="GX49" s="2752"/>
      <c r="GY49" s="2355"/>
      <c r="GZ49" s="2752"/>
      <c r="HA49" s="2752"/>
      <c r="HB49" s="2752"/>
      <c r="HC49" s="2752"/>
      <c r="HD49" s="2355"/>
      <c r="HE49" s="2752"/>
      <c r="HF49" s="2752"/>
      <c r="HG49" s="2752"/>
      <c r="HH49" s="2355"/>
      <c r="HI49" s="2752"/>
      <c r="HJ49" s="2752"/>
      <c r="HK49" s="2752"/>
      <c r="HL49" s="2752"/>
      <c r="HM49" s="2752"/>
      <c r="HN49" s="2752"/>
      <c r="HO49" s="2752"/>
      <c r="HP49" s="2752"/>
      <c r="HQ49" s="2752"/>
      <c r="HR49" s="2752"/>
      <c r="HS49" s="2752"/>
      <c r="HT49" s="2752"/>
      <c r="HU49" s="2752"/>
      <c r="HV49" s="2752"/>
      <c r="HW49" s="2752"/>
      <c r="HX49" s="2752"/>
      <c r="HY49" s="2752"/>
      <c r="HZ49" s="2752"/>
      <c r="IA49" s="2752"/>
      <c r="IB49" s="2752"/>
      <c r="IC49" s="2752"/>
      <c r="ID49" s="2752"/>
      <c r="IE49" s="2752"/>
      <c r="IF49" s="2752"/>
      <c r="IG49" s="2752"/>
      <c r="IH49" s="2752"/>
      <c r="II49" s="2752"/>
      <c r="IJ49" s="2752"/>
      <c r="IK49" s="2752"/>
      <c r="IL49" s="2752"/>
      <c r="IM49" s="2752"/>
      <c r="IN49" s="2752"/>
      <c r="IO49" s="2752"/>
      <c r="IP49" s="2752"/>
      <c r="IQ49" s="2752"/>
      <c r="IR49" s="2752"/>
      <c r="IS49" s="2752"/>
      <c r="IT49" s="2752"/>
      <c r="IU49" s="2752"/>
      <c r="IV49" s="2752"/>
      <c r="IW49" s="2752"/>
      <c r="IX49" s="2752"/>
      <c r="IY49" s="2752"/>
      <c r="IZ49" s="2752"/>
      <c r="JA49" s="3740"/>
      <c r="JB49" s="3740"/>
      <c r="JC49" s="3740"/>
      <c r="JD49" s="3740"/>
      <c r="JE49" s="3740"/>
      <c r="JF49" s="3740"/>
      <c r="JG49" s="3752"/>
      <c r="JH49" s="1233"/>
      <c r="JI49" s="1229"/>
      <c r="JJ49" s="1686" t="s">
        <v>6108</v>
      </c>
    </row>
    <row ht="12.75" r="50" spans="1:270" x14ac:dyDescent="0.2">
      <c r="A50" s="1128">
        <v>8</v>
      </c>
      <c r="B50" s="629" t="str">
        <f si="2" t="shared"/>
        <v/>
      </c>
      <c r="C50" s="672" t="s">
        <v>1637</v>
      </c>
      <c r="D50" s="1059" t="s">
        <v>4502</v>
      </c>
      <c r="E50" s="2750"/>
      <c r="F50" s="2750"/>
      <c r="G50" s="2750"/>
      <c r="H50" s="2750"/>
      <c r="I50" s="2750"/>
      <c r="J50" s="2750"/>
      <c r="K50" s="2750"/>
      <c r="L50" s="2750"/>
      <c r="M50" s="2750"/>
      <c r="N50" s="2750"/>
      <c r="O50" s="2750"/>
      <c r="P50" s="2750"/>
      <c r="Q50" s="2750"/>
      <c r="R50" s="2750"/>
      <c r="S50" s="2750"/>
      <c r="T50" s="2750"/>
      <c r="U50" s="2750"/>
      <c r="V50" s="2750"/>
      <c r="W50" s="2750"/>
      <c r="X50" s="2750"/>
      <c r="Y50" s="2750"/>
      <c r="Z50" s="2750"/>
      <c r="AA50" s="2750"/>
      <c r="AB50" s="2750"/>
      <c r="AC50" s="2750"/>
      <c r="AD50" s="2750"/>
      <c r="AE50" s="2750"/>
      <c r="AF50" s="2750"/>
      <c r="AG50" s="2750"/>
      <c r="AH50" s="2750"/>
      <c r="AI50" s="2750"/>
      <c r="AJ50" s="2750"/>
      <c r="AK50" s="2750"/>
      <c r="AL50" s="2750"/>
      <c r="AM50" s="2750"/>
      <c r="AN50" s="2750"/>
      <c r="AO50" s="2750"/>
      <c r="AP50" s="2750"/>
      <c r="AQ50" s="2750"/>
      <c r="AR50" s="2750"/>
      <c r="AS50" s="2750"/>
      <c r="AT50" s="2750"/>
      <c r="AU50" s="2750"/>
      <c r="AV50" s="2750"/>
      <c r="AW50" s="2750"/>
      <c r="AX50" s="2750"/>
      <c r="AY50" s="2753"/>
      <c r="AZ50" s="2753"/>
      <c r="BA50" s="2753"/>
      <c r="BB50" s="2753"/>
      <c r="BC50" s="2753"/>
      <c r="BD50" s="2750"/>
      <c r="BE50" s="2753"/>
      <c r="BF50" s="2753"/>
      <c r="BG50" s="2750"/>
      <c r="BH50" s="2753"/>
      <c r="BI50" s="2753"/>
      <c r="BJ50" s="2753"/>
      <c r="BK50" s="2753"/>
      <c r="BL50" s="2750"/>
      <c r="BM50" s="2753"/>
      <c r="BN50" s="2750"/>
      <c r="BO50" s="2753"/>
      <c r="BP50" s="2750"/>
      <c r="BQ50" s="2753"/>
      <c r="BR50" s="2750"/>
      <c r="BS50" s="2753"/>
      <c r="BT50" s="2753"/>
      <c r="BU50" s="2750"/>
      <c r="BV50" s="2753"/>
      <c r="BW50" s="2753"/>
      <c r="BX50" s="2753"/>
      <c r="BY50" s="2750"/>
      <c r="BZ50" s="2753"/>
      <c r="CA50" s="2753"/>
      <c r="CB50" s="2753"/>
      <c r="CC50" s="2753"/>
      <c r="CD50" s="2750"/>
      <c r="CE50" s="2753"/>
      <c r="CF50" s="2753"/>
      <c r="CG50" s="2750"/>
      <c r="CH50" s="2750"/>
      <c r="CI50" s="2750"/>
      <c r="CJ50" s="2753"/>
      <c r="CK50" s="2753"/>
      <c r="CL50" s="2750"/>
      <c r="CM50" s="2750"/>
      <c r="CN50" s="2753"/>
      <c r="CO50" s="2753"/>
      <c r="CP50" s="2753"/>
      <c r="CQ50" s="2753"/>
      <c r="CR50" s="2750"/>
      <c r="CS50" s="2750"/>
      <c r="CT50" s="2750"/>
      <c r="CU50" s="2753"/>
      <c r="CV50" s="2750"/>
      <c r="CW50" s="2750"/>
      <c r="CX50" s="2753"/>
      <c r="CY50" s="2750"/>
      <c r="CZ50" s="2750"/>
      <c r="DA50" s="2750"/>
      <c r="DB50" s="2753"/>
      <c r="DC50" s="2753"/>
      <c r="DD50" s="2750"/>
      <c r="DE50" s="2753"/>
      <c r="DF50" s="2753"/>
      <c r="DG50" s="2753"/>
      <c r="DH50" s="2753"/>
      <c r="DI50" s="2753"/>
      <c r="DJ50" s="2750"/>
      <c r="DK50" s="2753"/>
      <c r="DL50" s="2753"/>
      <c r="DM50" s="2750"/>
      <c r="DN50" s="2753"/>
      <c r="DO50" s="2753"/>
      <c r="DP50" s="2753"/>
      <c r="DQ50" s="2753"/>
      <c r="DR50" s="2753"/>
      <c r="DS50" s="2753"/>
      <c r="DT50" s="2753"/>
      <c r="DU50" s="2753"/>
      <c r="DV50" s="2753"/>
      <c r="DW50" s="2753"/>
      <c r="DX50" s="2753"/>
      <c r="DY50" s="2753"/>
      <c r="DZ50" s="2753"/>
      <c r="EA50" s="2753"/>
      <c r="EB50" s="2750"/>
      <c r="EC50" s="2753"/>
      <c r="ED50" s="2753"/>
      <c r="EE50" s="2753"/>
      <c r="EF50" s="2753"/>
      <c r="EG50" s="2753"/>
      <c r="EH50" s="2753"/>
      <c r="EI50" s="2753"/>
      <c r="EJ50" s="2753"/>
      <c r="EK50" s="2753"/>
      <c r="EL50" s="2753"/>
      <c r="EM50" s="2753"/>
      <c r="EN50" s="2753"/>
      <c r="EO50" s="2753"/>
      <c r="EP50" s="2753"/>
      <c r="EQ50" s="2753"/>
      <c r="ER50" s="2753"/>
      <c r="ES50" s="2753"/>
      <c r="ET50" s="2753"/>
      <c r="EU50" s="2753"/>
      <c r="EV50" s="2753"/>
      <c r="EW50" s="2753"/>
      <c r="EX50" s="2753"/>
      <c r="EY50" s="2753"/>
      <c r="EZ50" s="2753"/>
      <c r="FA50" s="2753"/>
      <c r="FB50" s="2753"/>
      <c r="FC50" s="2753"/>
      <c r="FD50" s="2753"/>
      <c r="FE50" s="2753"/>
      <c r="FF50" s="2753"/>
      <c r="FG50" s="2753"/>
      <c r="FH50" s="2753"/>
      <c r="FI50" s="2753"/>
      <c r="FJ50" s="2750"/>
      <c r="FK50" s="2753"/>
      <c r="FL50" s="2753"/>
      <c r="FM50" s="2753"/>
      <c r="FN50" s="2753"/>
      <c r="FO50" s="2753"/>
      <c r="FP50" s="2753"/>
      <c r="FQ50" s="2753"/>
      <c r="FR50" s="2753"/>
      <c r="FS50" s="2753"/>
      <c r="FT50" s="2753"/>
      <c r="FU50" s="2753"/>
      <c r="FV50" s="2753"/>
      <c r="FW50" s="2753"/>
      <c r="FX50" s="2753"/>
      <c r="FY50" s="2753"/>
      <c r="FZ50" s="2753"/>
      <c r="GA50" s="2753"/>
      <c r="GB50" s="2753"/>
      <c r="GC50" s="2753"/>
      <c r="GD50" s="2753"/>
      <c r="GE50" s="2753"/>
      <c r="GF50" s="2753"/>
      <c r="GG50" s="2753"/>
      <c r="GH50" s="2753"/>
      <c r="GI50" s="2753"/>
      <c r="GJ50" s="2753"/>
      <c r="GK50" s="2753"/>
      <c r="GL50" s="2750"/>
      <c r="GM50" s="2750"/>
      <c r="GN50" s="2753"/>
      <c r="GO50" s="2753"/>
      <c r="GP50" s="2753"/>
      <c r="GQ50" s="2753"/>
      <c r="GR50" s="2753"/>
      <c r="GS50" s="2750"/>
      <c r="GT50" s="2753"/>
      <c r="GU50" s="2753"/>
      <c r="GV50" s="2753"/>
      <c r="GW50" s="2753"/>
      <c r="GX50" s="2753"/>
      <c r="GY50" s="2750"/>
      <c r="GZ50" s="2753"/>
      <c r="HA50" s="2753"/>
      <c r="HB50" s="2753"/>
      <c r="HC50" s="2753"/>
      <c r="HD50" s="2750"/>
      <c r="HE50" s="2753"/>
      <c r="HF50" s="2753"/>
      <c r="HG50" s="2753"/>
      <c r="HH50" s="2750"/>
      <c r="HI50" s="2753"/>
      <c r="HJ50" s="2753"/>
      <c r="HK50" s="2753"/>
      <c r="HL50" s="2753"/>
      <c r="HM50" s="2753"/>
      <c r="HN50" s="2753"/>
      <c r="HO50" s="2753"/>
      <c r="HP50" s="2753"/>
      <c r="HQ50" s="2753"/>
      <c r="HR50" s="2753"/>
      <c r="HS50" s="2753"/>
      <c r="HT50" s="2753"/>
      <c r="HU50" s="2753"/>
      <c r="HV50" s="2753"/>
      <c r="HW50" s="2753"/>
      <c r="HX50" s="2753"/>
      <c r="HY50" s="2753"/>
      <c r="HZ50" s="2753"/>
      <c r="IA50" s="2753"/>
      <c r="IB50" s="2753"/>
      <c r="IC50" s="2753"/>
      <c r="ID50" s="2753"/>
      <c r="IE50" s="2753"/>
      <c r="IF50" s="2753"/>
      <c r="IG50" s="2753"/>
      <c r="IH50" s="2753"/>
      <c r="II50" s="2753"/>
      <c r="IJ50" s="2753"/>
      <c r="IK50" s="2753"/>
      <c r="IL50" s="2753"/>
      <c r="IM50" s="2753"/>
      <c r="IN50" s="2753"/>
      <c r="IO50" s="2753"/>
      <c r="IP50" s="2753"/>
      <c r="IQ50" s="2753"/>
      <c r="IR50" s="2753"/>
      <c r="IS50" s="2753"/>
      <c r="IT50" s="2753"/>
      <c r="IU50" s="2753"/>
      <c r="IV50" s="2753"/>
      <c r="IW50" s="2753"/>
      <c r="IX50" s="2753"/>
      <c r="IY50" s="2753"/>
      <c r="IZ50" s="2753"/>
      <c r="JA50" s="3741"/>
      <c r="JB50" s="3741"/>
      <c r="JC50" s="3741"/>
      <c r="JD50" s="3741"/>
      <c r="JE50" s="3741"/>
      <c r="JF50" s="3741"/>
      <c r="JG50" s="3752"/>
      <c r="JH50" s="1233"/>
      <c r="JI50" s="1229" t="s">
        <v>5105</v>
      </c>
      <c r="JJ50" s="1686" t="s">
        <v>6129</v>
      </c>
    </row>
    <row ht="13.5" r="51" spans="1:270" thickBot="1" x14ac:dyDescent="0.25">
      <c r="A51" s="1128">
        <v>9</v>
      </c>
      <c r="B51" s="629" t="str">
        <f si="2" t="shared"/>
        <v/>
      </c>
      <c r="C51" s="672" t="s">
        <v>1638</v>
      </c>
      <c r="D51" s="1059" t="s">
        <v>4503</v>
      </c>
      <c r="E51" s="2357"/>
      <c r="F51" s="2357"/>
      <c r="G51" s="2357"/>
      <c r="H51" s="2357"/>
      <c r="I51" s="2357"/>
      <c r="J51" s="2357"/>
      <c r="K51" s="2357"/>
      <c r="L51" s="2357"/>
      <c r="M51" s="2357"/>
      <c r="N51" s="2357"/>
      <c r="O51" s="2357"/>
      <c r="P51" s="2357"/>
      <c r="Q51" s="2357"/>
      <c r="R51" s="2357"/>
      <c r="S51" s="2357"/>
      <c r="T51" s="2357"/>
      <c r="U51" s="2357"/>
      <c r="V51" s="2357"/>
      <c r="W51" s="2357"/>
      <c r="X51" s="2357"/>
      <c r="Y51" s="2357"/>
      <c r="Z51" s="2357"/>
      <c r="AA51" s="2357"/>
      <c r="AB51" s="2357"/>
      <c r="AC51" s="2357"/>
      <c r="AD51" s="2357"/>
      <c r="AE51" s="2357"/>
      <c r="AF51" s="2357"/>
      <c r="AG51" s="2357"/>
      <c r="AH51" s="2357"/>
      <c r="AI51" s="2357"/>
      <c r="AJ51" s="2357"/>
      <c r="AK51" s="2357"/>
      <c r="AL51" s="2357"/>
      <c r="AM51" s="2357"/>
      <c r="AN51" s="2357"/>
      <c r="AO51" s="2357"/>
      <c r="AP51" s="2357"/>
      <c r="AQ51" s="2357"/>
      <c r="AR51" s="2357"/>
      <c r="AS51" s="2357"/>
      <c r="AT51" s="2357"/>
      <c r="AU51" s="2357"/>
      <c r="AV51" s="2357"/>
      <c r="AW51" s="2357"/>
      <c r="AX51" s="2357"/>
      <c r="AY51" s="2754"/>
      <c r="AZ51" s="2754"/>
      <c r="BA51" s="2754"/>
      <c r="BB51" s="2754"/>
      <c r="BC51" s="2754"/>
      <c r="BD51" s="2357"/>
      <c r="BE51" s="2754"/>
      <c r="BF51" s="2754"/>
      <c r="BG51" s="2357"/>
      <c r="BH51" s="2754"/>
      <c r="BI51" s="2754"/>
      <c r="BJ51" s="2754"/>
      <c r="BK51" s="2754"/>
      <c r="BL51" s="2357"/>
      <c r="BM51" s="2754"/>
      <c r="BN51" s="2357"/>
      <c r="BO51" s="2754"/>
      <c r="BP51" s="2357"/>
      <c r="BQ51" s="2754"/>
      <c r="BR51" s="2357"/>
      <c r="BS51" s="2754"/>
      <c r="BT51" s="2754"/>
      <c r="BU51" s="2357"/>
      <c r="BV51" s="2754"/>
      <c r="BW51" s="2754"/>
      <c r="BX51" s="2754"/>
      <c r="BY51" s="2357"/>
      <c r="BZ51" s="2754"/>
      <c r="CA51" s="2754"/>
      <c r="CB51" s="2754"/>
      <c r="CC51" s="2754"/>
      <c r="CD51" s="2357"/>
      <c r="CE51" s="2754"/>
      <c r="CF51" s="2754"/>
      <c r="CG51" s="2357"/>
      <c r="CH51" s="2357"/>
      <c r="CI51" s="2357"/>
      <c r="CJ51" s="2754"/>
      <c r="CK51" s="2754"/>
      <c r="CL51" s="2357"/>
      <c r="CM51" s="2357"/>
      <c r="CN51" s="2754"/>
      <c r="CO51" s="2754"/>
      <c r="CP51" s="2754"/>
      <c r="CQ51" s="2754"/>
      <c r="CR51" s="2357"/>
      <c r="CS51" s="2357"/>
      <c r="CT51" s="2357"/>
      <c r="CU51" s="2754"/>
      <c r="CV51" s="2357"/>
      <c r="CW51" s="2357"/>
      <c r="CX51" s="2754"/>
      <c r="CY51" s="2357"/>
      <c r="CZ51" s="2357"/>
      <c r="DA51" s="2357"/>
      <c r="DB51" s="2754"/>
      <c r="DC51" s="2754"/>
      <c r="DD51" s="2357"/>
      <c r="DE51" s="2754"/>
      <c r="DF51" s="2754"/>
      <c r="DG51" s="2754"/>
      <c r="DH51" s="2754"/>
      <c r="DI51" s="2754"/>
      <c r="DJ51" s="2357"/>
      <c r="DK51" s="2754"/>
      <c r="DL51" s="2754"/>
      <c r="DM51" s="2357"/>
      <c r="DN51" s="2754"/>
      <c r="DO51" s="2754"/>
      <c r="DP51" s="2754"/>
      <c r="DQ51" s="2754"/>
      <c r="DR51" s="2754"/>
      <c r="DS51" s="2754"/>
      <c r="DT51" s="2754"/>
      <c r="DU51" s="2754"/>
      <c r="DV51" s="2754"/>
      <c r="DW51" s="2754"/>
      <c r="DX51" s="2754"/>
      <c r="DY51" s="2754"/>
      <c r="DZ51" s="2754"/>
      <c r="EA51" s="2754"/>
      <c r="EB51" s="2357"/>
      <c r="EC51" s="2754"/>
      <c r="ED51" s="2754"/>
      <c r="EE51" s="2754"/>
      <c r="EF51" s="2754"/>
      <c r="EG51" s="2754"/>
      <c r="EH51" s="2754"/>
      <c r="EI51" s="2754"/>
      <c r="EJ51" s="2754"/>
      <c r="EK51" s="2754"/>
      <c r="EL51" s="2754"/>
      <c r="EM51" s="2754"/>
      <c r="EN51" s="2754"/>
      <c r="EO51" s="2754"/>
      <c r="EP51" s="2754"/>
      <c r="EQ51" s="2754"/>
      <c r="ER51" s="2754"/>
      <c r="ES51" s="2754"/>
      <c r="ET51" s="2754"/>
      <c r="EU51" s="2754"/>
      <c r="EV51" s="2754"/>
      <c r="EW51" s="2754"/>
      <c r="EX51" s="2754"/>
      <c r="EY51" s="2754"/>
      <c r="EZ51" s="2754"/>
      <c r="FA51" s="2754"/>
      <c r="FB51" s="2754"/>
      <c r="FC51" s="2754"/>
      <c r="FD51" s="2754"/>
      <c r="FE51" s="2754"/>
      <c r="FF51" s="2754"/>
      <c r="FG51" s="2754"/>
      <c r="FH51" s="2754"/>
      <c r="FI51" s="2754"/>
      <c r="FJ51" s="2357"/>
      <c r="FK51" s="2754"/>
      <c r="FL51" s="2754"/>
      <c r="FM51" s="2754"/>
      <c r="FN51" s="2754"/>
      <c r="FO51" s="2754"/>
      <c r="FP51" s="2754"/>
      <c r="FQ51" s="2754"/>
      <c r="FR51" s="2754"/>
      <c r="FS51" s="2754"/>
      <c r="FT51" s="2754"/>
      <c r="FU51" s="2754"/>
      <c r="FV51" s="2754"/>
      <c r="FW51" s="2754"/>
      <c r="FX51" s="2754"/>
      <c r="FY51" s="2754"/>
      <c r="FZ51" s="2754"/>
      <c r="GA51" s="2754"/>
      <c r="GB51" s="2754"/>
      <c r="GC51" s="2754"/>
      <c r="GD51" s="2754"/>
      <c r="GE51" s="2754"/>
      <c r="GF51" s="2754"/>
      <c r="GG51" s="2754"/>
      <c r="GH51" s="2754"/>
      <c r="GI51" s="2754"/>
      <c r="GJ51" s="2754"/>
      <c r="GK51" s="2754"/>
      <c r="GL51" s="2357"/>
      <c r="GM51" s="2357"/>
      <c r="GN51" s="2754"/>
      <c r="GO51" s="2754"/>
      <c r="GP51" s="2754"/>
      <c r="GQ51" s="2754"/>
      <c r="GR51" s="2754"/>
      <c r="GS51" s="2357"/>
      <c r="GT51" s="2754"/>
      <c r="GU51" s="2754"/>
      <c r="GV51" s="2754"/>
      <c r="GW51" s="2754"/>
      <c r="GX51" s="2754"/>
      <c r="GY51" s="2357"/>
      <c r="GZ51" s="2754"/>
      <c r="HA51" s="2754"/>
      <c r="HB51" s="2754"/>
      <c r="HC51" s="2754"/>
      <c r="HD51" s="2357"/>
      <c r="HE51" s="2754"/>
      <c r="HF51" s="2754"/>
      <c r="HG51" s="2754"/>
      <c r="HH51" s="2357"/>
      <c r="HI51" s="2754"/>
      <c r="HJ51" s="2754"/>
      <c r="HK51" s="2754"/>
      <c r="HL51" s="2754"/>
      <c r="HM51" s="2754"/>
      <c r="HN51" s="2754"/>
      <c r="HO51" s="2754"/>
      <c r="HP51" s="2754"/>
      <c r="HQ51" s="2754"/>
      <c r="HR51" s="2754"/>
      <c r="HS51" s="2754"/>
      <c r="HT51" s="2754"/>
      <c r="HU51" s="2754"/>
      <c r="HV51" s="2754"/>
      <c r="HW51" s="2754"/>
      <c r="HX51" s="2754"/>
      <c r="HY51" s="2754"/>
      <c r="HZ51" s="2754"/>
      <c r="IA51" s="2754"/>
      <c r="IB51" s="2754"/>
      <c r="IC51" s="2754"/>
      <c r="ID51" s="2754"/>
      <c r="IE51" s="2754"/>
      <c r="IF51" s="2754"/>
      <c r="IG51" s="2754"/>
      <c r="IH51" s="2754"/>
      <c r="II51" s="2754"/>
      <c r="IJ51" s="2754"/>
      <c r="IK51" s="2754"/>
      <c r="IL51" s="2754"/>
      <c r="IM51" s="2754"/>
      <c r="IN51" s="2754"/>
      <c r="IO51" s="2754"/>
      <c r="IP51" s="2754"/>
      <c r="IQ51" s="2754"/>
      <c r="IR51" s="2754"/>
      <c r="IS51" s="2754"/>
      <c r="IT51" s="2754"/>
      <c r="IU51" s="2754"/>
      <c r="IV51" s="2754"/>
      <c r="IW51" s="2754"/>
      <c r="IX51" s="2754"/>
      <c r="IY51" s="2754"/>
      <c r="IZ51" s="2754"/>
      <c r="JA51" s="3742"/>
      <c r="JB51" s="3742"/>
      <c r="JC51" s="3742"/>
      <c r="JD51" s="3742"/>
      <c r="JE51" s="3742"/>
      <c r="JF51" s="3742"/>
      <c r="JG51" s="3754"/>
      <c r="JH51" s="1233"/>
      <c r="JI51" s="1229" t="s">
        <v>5106</v>
      </c>
      <c r="JJ51" s="1686" t="s">
        <v>6129</v>
      </c>
    </row>
    <row ht="12.75" r="52" spans="1:270" thickBot="1" x14ac:dyDescent="0.25">
      <c r="C52" s="1213" t="s">
        <v>1650</v>
      </c>
      <c r="D52" s="673"/>
      <c r="E52" s="2343"/>
      <c r="F52" s="2343"/>
      <c r="G52" s="34"/>
      <c r="H52" s="34"/>
      <c r="I52" s="34"/>
      <c r="J52" s="34"/>
      <c r="K52" s="34"/>
      <c r="L52" s="34"/>
      <c r="M52" s="34"/>
      <c r="N52" s="34"/>
      <c r="O52" s="34"/>
      <c r="P52" s="34"/>
      <c r="Q52" s="34"/>
      <c r="R52" s="34"/>
      <c r="S52" s="34"/>
      <c r="T52" s="34"/>
      <c r="U52" s="34"/>
      <c r="V52" s="34"/>
      <c r="W52" s="34"/>
      <c r="X52" s="34"/>
      <c r="Y52" s="34"/>
      <c r="Z52" s="34"/>
      <c r="AA52" s="34"/>
      <c r="AB52" s="34"/>
      <c r="AC52" s="34"/>
      <c r="AI52" s="34"/>
      <c r="AJ52" s="34"/>
      <c r="AK52" s="34"/>
      <c r="AL52" s="34"/>
      <c r="AM52" s="34"/>
      <c r="AN52" s="34"/>
      <c r="AO52" s="34"/>
      <c r="AP52" s="34"/>
      <c r="AQ52" s="34"/>
      <c r="AR52" s="34"/>
      <c r="AS52" s="2343"/>
      <c r="AT52" s="2343"/>
      <c r="AU52" s="34"/>
      <c r="AV52" s="34"/>
      <c r="AW52" s="34"/>
      <c r="AX52" s="34"/>
      <c r="AY52" s="34"/>
      <c r="AZ52" s="34"/>
      <c r="BA52" s="34"/>
      <c r="BB52" s="34"/>
      <c r="BC52" s="34"/>
      <c r="BD52" s="34"/>
      <c r="BE52" s="34"/>
      <c r="BF52" s="34"/>
      <c r="BG52" s="34"/>
      <c r="BH52" s="34"/>
      <c r="BI52" s="34"/>
      <c r="BJ52" s="34"/>
      <c r="BK52" s="34"/>
      <c r="BL52" s="34"/>
      <c r="BM52" s="34"/>
      <c r="BN52" s="34"/>
      <c r="BO52" s="34"/>
      <c r="BP52" s="34"/>
      <c r="BQ52" s="34"/>
      <c r="BR52" s="34"/>
      <c r="BS52" s="34"/>
      <c r="BT52" s="34"/>
      <c r="BU52" s="34"/>
      <c r="BV52" s="34"/>
      <c r="BW52" s="34"/>
      <c r="BX52" s="34"/>
      <c r="BY52" s="34"/>
      <c r="BZ52" s="34"/>
      <c r="CA52" s="34"/>
      <c r="CB52" s="34"/>
      <c r="CC52" s="34"/>
      <c r="CD52" s="34"/>
      <c r="CE52" s="34"/>
      <c r="CF52" s="34"/>
      <c r="CG52" s="34"/>
      <c r="CH52" s="34"/>
      <c r="CI52" s="34"/>
      <c r="CJ52" s="34"/>
      <c r="CK52" s="34"/>
      <c r="CL52" s="34"/>
      <c r="CM52" s="34"/>
      <c r="CN52" s="34"/>
      <c r="CO52" s="34"/>
      <c r="CP52" s="34"/>
      <c r="CQ52" s="34"/>
      <c r="CR52" s="34"/>
      <c r="CS52" s="34"/>
      <c r="CT52" s="34"/>
      <c r="CU52" s="34"/>
      <c r="CV52" s="34"/>
      <c r="CW52" s="34"/>
      <c r="CX52" s="34"/>
      <c r="CY52" s="34"/>
      <c r="CZ52" s="34"/>
      <c r="DA52" s="34"/>
      <c r="DB52" s="34"/>
      <c r="DC52" s="34"/>
      <c r="DD52" s="34"/>
      <c r="DE52" s="34"/>
      <c r="DF52" s="34"/>
      <c r="DG52" s="34"/>
      <c r="DH52" s="34"/>
      <c r="DI52" s="34"/>
      <c r="DJ52" s="34"/>
      <c r="DK52" s="34"/>
      <c r="DL52" s="34"/>
      <c r="DM52" s="34"/>
      <c r="DN52" s="34"/>
      <c r="DO52" s="34"/>
      <c r="DP52" s="34"/>
      <c r="DQ52" s="34"/>
      <c r="DR52" s="34"/>
      <c r="DS52" s="34"/>
      <c r="DT52" s="34"/>
      <c r="DU52" s="34"/>
      <c r="DV52" s="34"/>
      <c r="DW52" s="34"/>
      <c r="DX52" s="34"/>
      <c r="DY52" s="34"/>
      <c r="DZ52" s="34"/>
      <c r="EA52" s="34"/>
      <c r="EB52" s="34"/>
      <c r="EC52" s="34"/>
      <c r="ED52" s="34"/>
      <c r="EE52" s="34"/>
      <c r="EF52" s="34"/>
      <c r="EG52" s="34"/>
      <c r="EH52" s="34"/>
      <c r="EI52" s="34"/>
      <c r="EJ52" s="34"/>
      <c r="EK52" s="34"/>
      <c r="EL52" s="34"/>
      <c r="EM52" s="34"/>
      <c r="EN52" s="34"/>
      <c r="EO52" s="34"/>
      <c r="EP52" s="34"/>
      <c r="EQ52" s="34"/>
      <c r="ER52" s="34"/>
      <c r="ES52" s="34"/>
      <c r="ET52" s="34"/>
      <c r="EU52" s="34"/>
      <c r="EV52" s="34"/>
      <c r="EW52" s="34"/>
      <c r="EX52" s="34"/>
      <c r="EY52" s="34"/>
      <c r="EZ52" s="34"/>
      <c r="FA52" s="34"/>
      <c r="FB52" s="34"/>
      <c r="FC52" s="34"/>
      <c r="FD52" s="34"/>
      <c r="FE52" s="34"/>
      <c r="FF52" s="34"/>
      <c r="FG52" s="34"/>
      <c r="FH52" s="34"/>
      <c r="FI52" s="34"/>
      <c r="FJ52" s="34"/>
      <c r="FK52" s="34"/>
      <c r="FL52" s="34"/>
      <c r="FM52" s="34"/>
      <c r="FN52" s="34"/>
      <c r="FO52" s="34"/>
      <c r="FP52" s="34"/>
      <c r="FQ52" s="34"/>
      <c r="FR52" s="34"/>
      <c r="FS52" s="34"/>
      <c r="FT52" s="34"/>
      <c r="FU52" s="34"/>
      <c r="FV52" s="34"/>
      <c r="FW52" s="34"/>
      <c r="FX52" s="34"/>
      <c r="FY52" s="34"/>
      <c r="FZ52" s="34"/>
      <c r="GA52" s="34"/>
      <c r="GB52" s="34"/>
      <c r="GC52" s="34"/>
      <c r="GD52" s="34"/>
      <c r="GE52" s="34"/>
      <c r="GF52" s="34"/>
      <c r="GG52" s="34"/>
      <c r="GH52" s="34"/>
      <c r="GI52" s="34"/>
      <c r="GJ52" s="34"/>
      <c r="GK52" s="34"/>
      <c r="GL52" s="34"/>
      <c r="GM52" s="34"/>
      <c r="GN52" s="34"/>
      <c r="GO52" s="34"/>
      <c r="GP52" s="34"/>
      <c r="GQ52" s="34"/>
      <c r="GR52" s="34"/>
      <c r="GS52" s="34"/>
      <c r="GT52" s="34"/>
      <c r="GU52" s="34"/>
      <c r="GV52" s="34"/>
      <c r="GW52" s="34"/>
      <c r="GX52" s="34"/>
      <c r="GY52" s="34"/>
      <c r="GZ52" s="34"/>
      <c r="HA52" s="34"/>
      <c r="HB52" s="34"/>
      <c r="HC52" s="34"/>
      <c r="HD52" s="34"/>
      <c r="HE52" s="34"/>
      <c r="HF52" s="34"/>
      <c r="HG52" s="34"/>
      <c r="HH52" s="34"/>
      <c r="HI52" s="34"/>
      <c r="HJ52" s="34"/>
      <c r="HK52" s="34"/>
      <c r="HL52" s="34"/>
      <c r="HM52" s="34"/>
      <c r="HN52" s="34"/>
      <c r="HO52" s="34"/>
      <c r="HP52" s="34"/>
      <c r="HQ52" s="34"/>
      <c r="HR52" s="34"/>
      <c r="HS52" s="34"/>
      <c r="HT52" s="34"/>
      <c r="HU52" s="34"/>
      <c r="HV52" s="34"/>
      <c r="HW52" s="34"/>
      <c r="HX52" s="34"/>
      <c r="HY52" s="34"/>
      <c r="HZ52" s="34"/>
      <c r="IA52" s="34"/>
      <c r="IB52" s="34"/>
      <c r="IC52" s="34"/>
      <c r="ID52" s="34"/>
      <c r="IE52" s="34"/>
      <c r="IF52" s="34"/>
      <c r="IG52" s="34"/>
      <c r="IH52" s="34"/>
      <c r="II52" s="34"/>
      <c r="IJ52" s="34"/>
      <c r="IK52" s="34"/>
      <c r="IL52" s="34"/>
      <c r="IM52" s="34"/>
      <c r="IN52" s="34"/>
      <c r="IO52" s="34"/>
      <c r="IP52" s="34"/>
      <c r="IQ52" s="34"/>
      <c r="IR52" s="34"/>
      <c r="IS52" s="34"/>
      <c r="IT52" s="34"/>
      <c r="IU52" s="34"/>
      <c r="IV52" s="34"/>
      <c r="IW52" s="34"/>
      <c r="IX52" s="34"/>
      <c r="IY52" s="34"/>
      <c r="IZ52" s="34"/>
    </row>
    <row ht="12.75" r="53" spans="1:270" x14ac:dyDescent="0.2">
      <c r="A53" s="1128" t="s">
        <v>4479</v>
      </c>
      <c r="B53" s="1945" t="str">
        <f>"selected "&amp;REL_C_IND-1</f>
        <v>selected 3</v>
      </c>
      <c r="C53" s="961" t="s">
        <v>3899</v>
      </c>
      <c r="D53" s="1060"/>
      <c r="E53" s="2026">
        <v>1</v>
      </c>
      <c r="F53" s="2026">
        <v>2</v>
      </c>
      <c r="G53" s="2026">
        <v>3</v>
      </c>
      <c r="H53" s="2026">
        <v>4</v>
      </c>
      <c r="I53" s="2026">
        <v>5</v>
      </c>
      <c r="J53" s="2026">
        <v>6</v>
      </c>
      <c r="K53" s="2026">
        <v>7</v>
      </c>
      <c r="L53" s="2026">
        <v>8</v>
      </c>
      <c r="M53" s="2026">
        <v>9</v>
      </c>
      <c r="N53" s="2026">
        <v>10</v>
      </c>
      <c r="O53" s="2026">
        <v>11</v>
      </c>
      <c r="P53" s="2026">
        <v>12</v>
      </c>
      <c r="Q53" s="2026">
        <v>13</v>
      </c>
      <c r="R53" s="2026">
        <v>14</v>
      </c>
      <c r="S53" s="2026">
        <v>15</v>
      </c>
      <c r="T53" s="2026">
        <v>16</v>
      </c>
      <c r="U53" s="2026">
        <v>17</v>
      </c>
      <c r="V53" s="2026">
        <v>18</v>
      </c>
      <c r="W53" s="2026">
        <v>19</v>
      </c>
      <c r="X53" s="2026">
        <v>20</v>
      </c>
      <c r="Y53" s="2026">
        <v>21</v>
      </c>
      <c r="Z53" s="2026">
        <v>22</v>
      </c>
      <c r="AA53" s="2026">
        <v>23</v>
      </c>
      <c r="AB53" s="2026">
        <v>24</v>
      </c>
      <c r="AC53" s="2026">
        <v>25</v>
      </c>
      <c r="AD53" s="3502">
        <v>26</v>
      </c>
      <c r="AE53" s="3502">
        <v>27</v>
      </c>
      <c r="AF53" s="3502">
        <v>28</v>
      </c>
      <c r="AG53" s="3502">
        <v>29</v>
      </c>
      <c r="AH53" s="3502">
        <v>30</v>
      </c>
      <c r="AI53" s="1134">
        <v>31</v>
      </c>
      <c r="AJ53" s="1134">
        <v>32</v>
      </c>
      <c r="AK53" s="1134">
        <v>33</v>
      </c>
      <c r="AL53" s="1134">
        <v>34</v>
      </c>
      <c r="AM53" s="1134">
        <v>35</v>
      </c>
      <c r="AN53" s="1134">
        <v>36</v>
      </c>
      <c r="AO53" s="1134">
        <v>37</v>
      </c>
      <c r="AP53" s="1134">
        <v>38</v>
      </c>
      <c r="AQ53" s="1134">
        <v>39</v>
      </c>
      <c r="AR53" s="1134">
        <v>40</v>
      </c>
      <c r="AS53" s="1134">
        <v>41</v>
      </c>
      <c r="AT53" s="1134">
        <v>42</v>
      </c>
      <c r="AU53" s="1134">
        <v>43</v>
      </c>
      <c r="AV53" s="1134">
        <v>44</v>
      </c>
      <c r="AW53" s="1134">
        <v>45</v>
      </c>
      <c r="AX53" s="1134">
        <v>46</v>
      </c>
      <c r="AY53" s="1134">
        <v>47</v>
      </c>
      <c r="AZ53" s="1134">
        <v>48</v>
      </c>
      <c r="BA53" s="1134">
        <v>49</v>
      </c>
      <c r="BB53" s="1134">
        <v>50</v>
      </c>
      <c r="BC53" s="1134">
        <v>51</v>
      </c>
      <c r="BD53" s="1134">
        <v>52</v>
      </c>
      <c r="BE53" s="2026">
        <v>53</v>
      </c>
      <c r="BF53" s="2026">
        <v>54</v>
      </c>
      <c r="BG53" s="1134">
        <v>55</v>
      </c>
      <c r="BH53" s="1134">
        <v>56</v>
      </c>
      <c r="BI53" s="1134">
        <v>57</v>
      </c>
      <c r="BJ53" s="1134">
        <v>58</v>
      </c>
      <c r="BK53" s="1134">
        <v>59</v>
      </c>
      <c r="BL53" s="1134">
        <v>60</v>
      </c>
      <c r="BM53" s="1134">
        <v>61</v>
      </c>
      <c r="BN53" s="1134">
        <v>62</v>
      </c>
      <c r="BO53" s="1134">
        <v>63</v>
      </c>
      <c r="BP53" s="1134">
        <v>64</v>
      </c>
      <c r="BQ53" s="1134">
        <v>65</v>
      </c>
      <c r="BR53" s="1134">
        <v>66</v>
      </c>
      <c r="BS53" s="1134">
        <v>67</v>
      </c>
      <c r="BT53" s="1134">
        <v>68</v>
      </c>
      <c r="BU53" s="1134">
        <v>69</v>
      </c>
      <c r="BV53" s="1134">
        <v>70</v>
      </c>
      <c r="BW53" s="1134">
        <v>71</v>
      </c>
      <c r="BX53" s="1134">
        <v>72</v>
      </c>
      <c r="BY53" s="1134">
        <v>73</v>
      </c>
      <c r="BZ53" s="1134">
        <v>74</v>
      </c>
      <c r="CA53" s="1134">
        <v>75</v>
      </c>
      <c r="CB53" s="1134">
        <v>76</v>
      </c>
      <c r="CC53" s="1134">
        <v>77</v>
      </c>
      <c r="CD53" s="1134">
        <v>78</v>
      </c>
      <c r="CE53" s="1134">
        <v>79</v>
      </c>
      <c r="CF53" s="1134">
        <v>80</v>
      </c>
      <c r="CG53" s="1134">
        <v>81</v>
      </c>
      <c r="CH53" s="1134">
        <v>82</v>
      </c>
      <c r="CI53" s="1134">
        <v>83</v>
      </c>
      <c r="CJ53" s="1134">
        <v>84</v>
      </c>
      <c r="CK53" s="1134">
        <v>85</v>
      </c>
      <c r="CL53" s="1134">
        <v>86</v>
      </c>
      <c r="CM53" s="1134">
        <v>87</v>
      </c>
      <c r="CN53" s="1134">
        <v>88</v>
      </c>
      <c r="CO53" s="1134">
        <v>89</v>
      </c>
      <c r="CP53" s="1134">
        <v>90</v>
      </c>
      <c r="CQ53" s="1134">
        <v>91</v>
      </c>
      <c r="CR53" s="1134">
        <v>92</v>
      </c>
      <c r="CS53" s="1134">
        <v>93</v>
      </c>
      <c r="CT53" s="1134">
        <v>94</v>
      </c>
      <c r="CU53" s="1134">
        <v>95</v>
      </c>
      <c r="CV53" s="1134">
        <v>96</v>
      </c>
      <c r="CW53" s="1134">
        <v>97</v>
      </c>
      <c r="CX53" s="1134">
        <v>98</v>
      </c>
      <c r="CY53" s="1134">
        <v>99</v>
      </c>
      <c r="CZ53" s="1134">
        <v>100</v>
      </c>
      <c r="DA53" s="1134">
        <v>101</v>
      </c>
      <c r="DB53" s="2485">
        <v>102</v>
      </c>
      <c r="DC53" s="1134">
        <v>103</v>
      </c>
      <c r="DD53" s="1134">
        <v>104</v>
      </c>
      <c r="DE53" s="1134">
        <v>105</v>
      </c>
      <c r="DF53" s="1134">
        <v>106</v>
      </c>
      <c r="DG53" s="1134">
        <v>107</v>
      </c>
      <c r="DH53" s="1134">
        <v>108</v>
      </c>
      <c r="DI53" s="1134">
        <v>109</v>
      </c>
      <c r="DJ53" s="1134">
        <v>110</v>
      </c>
      <c r="DK53" s="1134">
        <v>111</v>
      </c>
      <c r="DL53" s="1134">
        <v>112</v>
      </c>
      <c r="DM53" s="1134">
        <v>113</v>
      </c>
      <c r="DN53" s="1134">
        <v>114</v>
      </c>
      <c r="DO53" s="1134">
        <v>115</v>
      </c>
      <c r="DP53" s="1134">
        <v>116</v>
      </c>
      <c r="DQ53" s="1134">
        <v>117</v>
      </c>
      <c r="DR53" s="1134">
        <v>118</v>
      </c>
      <c r="DS53" s="1134">
        <v>119</v>
      </c>
      <c r="DT53" s="1134">
        <v>120</v>
      </c>
      <c r="DU53" s="1134">
        <v>121</v>
      </c>
      <c r="DV53" s="1134">
        <v>122</v>
      </c>
      <c r="DW53" s="1134">
        <v>123</v>
      </c>
      <c r="DX53" s="1134">
        <v>124</v>
      </c>
      <c r="DY53" s="1134">
        <v>125</v>
      </c>
      <c r="DZ53" s="1134">
        <v>126</v>
      </c>
      <c r="EA53" s="1134">
        <v>127</v>
      </c>
      <c r="EB53" s="1134">
        <v>128</v>
      </c>
      <c r="EC53" s="1134">
        <v>129</v>
      </c>
      <c r="ED53" s="1134">
        <v>130</v>
      </c>
      <c r="EE53" s="1134">
        <v>131</v>
      </c>
      <c r="EF53" s="1134">
        <v>132</v>
      </c>
      <c r="EG53" s="1134">
        <v>133</v>
      </c>
      <c r="EH53" s="1134">
        <v>134</v>
      </c>
      <c r="EI53" s="1134">
        <v>135</v>
      </c>
      <c r="EJ53" s="1134">
        <v>136</v>
      </c>
      <c r="EK53" s="1134">
        <v>137</v>
      </c>
      <c r="EL53" s="1134">
        <v>138</v>
      </c>
      <c r="EM53" s="1134">
        <v>139</v>
      </c>
      <c r="EN53" s="1134">
        <v>140</v>
      </c>
      <c r="EO53" s="1134">
        <v>141</v>
      </c>
      <c r="EP53" s="1134">
        <v>142</v>
      </c>
      <c r="EQ53" s="1134">
        <v>143</v>
      </c>
      <c r="ER53" s="1134">
        <v>144</v>
      </c>
      <c r="ES53" s="1134">
        <v>145</v>
      </c>
      <c r="ET53" s="1134">
        <v>146</v>
      </c>
      <c r="EU53" s="1134">
        <v>147</v>
      </c>
      <c r="EV53" s="1134">
        <v>148</v>
      </c>
      <c r="EW53" s="1134">
        <v>149</v>
      </c>
      <c r="EX53" s="1134">
        <v>150</v>
      </c>
      <c r="EY53" s="1134">
        <v>151</v>
      </c>
      <c r="EZ53" s="1134">
        <v>152</v>
      </c>
      <c r="FA53" s="1134">
        <v>153</v>
      </c>
      <c r="FB53" s="1134">
        <v>154</v>
      </c>
      <c r="FC53" s="1134">
        <v>155</v>
      </c>
      <c r="FD53" s="1134">
        <v>156</v>
      </c>
      <c r="FE53" s="1134">
        <v>157</v>
      </c>
      <c r="FF53" s="1134">
        <v>158</v>
      </c>
      <c r="FG53" s="1134">
        <v>159</v>
      </c>
      <c r="FH53" s="1134">
        <v>160</v>
      </c>
      <c r="FI53" s="1134">
        <v>161</v>
      </c>
      <c r="FJ53" s="1134">
        <v>162</v>
      </c>
      <c r="FK53" s="1134">
        <v>163</v>
      </c>
      <c r="FL53" s="1134">
        <v>164</v>
      </c>
      <c r="FM53" s="1134">
        <v>165</v>
      </c>
      <c r="FN53" s="1134">
        <v>166</v>
      </c>
      <c r="FO53" s="1134">
        <v>167</v>
      </c>
      <c r="FP53" s="1134">
        <v>168</v>
      </c>
      <c r="FQ53" s="1134">
        <v>169</v>
      </c>
      <c r="FR53" s="1134">
        <v>170</v>
      </c>
      <c r="FS53" s="1134">
        <v>171</v>
      </c>
      <c r="FT53" s="1134">
        <v>172</v>
      </c>
      <c r="FU53" s="1134">
        <v>173</v>
      </c>
      <c r="FV53" s="1134">
        <v>174</v>
      </c>
      <c r="FW53" s="1134">
        <v>175</v>
      </c>
      <c r="FX53" s="1134">
        <v>176</v>
      </c>
      <c r="FY53" s="1134">
        <v>177</v>
      </c>
      <c r="FZ53" s="1134">
        <v>178</v>
      </c>
      <c r="GA53" s="1134">
        <v>179</v>
      </c>
      <c r="GB53" s="1134">
        <v>180</v>
      </c>
      <c r="GC53" s="1134">
        <v>181</v>
      </c>
      <c r="GD53" s="1134">
        <v>182</v>
      </c>
      <c r="GE53" s="1134">
        <v>183</v>
      </c>
      <c r="GF53" s="1134">
        <v>184</v>
      </c>
      <c r="GG53" s="1134">
        <v>185</v>
      </c>
      <c r="GH53" s="1134">
        <v>186</v>
      </c>
      <c r="GI53" s="1134">
        <v>187</v>
      </c>
      <c r="GJ53" s="1134">
        <v>188</v>
      </c>
      <c r="GK53" s="1134">
        <v>189</v>
      </c>
      <c r="GL53" s="1134">
        <v>190</v>
      </c>
      <c r="GM53" s="1134">
        <v>191</v>
      </c>
      <c r="GN53" s="1134">
        <v>192</v>
      </c>
      <c r="GO53" s="1134">
        <v>193</v>
      </c>
      <c r="GP53" s="1134">
        <v>194</v>
      </c>
      <c r="GQ53" s="1134">
        <v>195</v>
      </c>
      <c r="GR53" s="1134">
        <v>196</v>
      </c>
      <c r="GS53" s="1134">
        <v>197</v>
      </c>
      <c r="GT53" s="1134">
        <v>198</v>
      </c>
      <c r="GU53" s="1134">
        <v>199</v>
      </c>
      <c r="GV53" s="1134">
        <v>200</v>
      </c>
      <c r="GW53" s="1134">
        <v>201</v>
      </c>
      <c r="GX53" s="1134">
        <v>202</v>
      </c>
      <c r="GY53" s="1134">
        <v>203</v>
      </c>
      <c r="GZ53" s="1134">
        <v>204</v>
      </c>
      <c r="HA53" s="1134">
        <v>205</v>
      </c>
      <c r="HB53" s="1134">
        <v>206</v>
      </c>
      <c r="HC53" s="1134">
        <v>207</v>
      </c>
      <c r="HD53" s="1134">
        <v>208</v>
      </c>
      <c r="HE53" s="1134">
        <v>209</v>
      </c>
      <c r="HF53" s="1134">
        <v>210</v>
      </c>
      <c r="HG53" s="1134">
        <v>211</v>
      </c>
      <c r="HH53" s="1134">
        <v>212</v>
      </c>
      <c r="HI53" s="1134">
        <v>213</v>
      </c>
      <c r="HJ53" s="1134">
        <v>214</v>
      </c>
      <c r="HK53" s="1134">
        <v>215</v>
      </c>
      <c r="HL53" s="1134">
        <v>216</v>
      </c>
      <c r="HM53" s="1134">
        <v>217</v>
      </c>
      <c r="HN53" s="1134">
        <v>218</v>
      </c>
      <c r="HO53" s="1134">
        <v>219</v>
      </c>
      <c r="HP53" s="1134">
        <v>220</v>
      </c>
      <c r="HQ53" s="1134">
        <v>221</v>
      </c>
      <c r="HR53" s="1134">
        <v>222</v>
      </c>
      <c r="HS53" s="1134">
        <v>223</v>
      </c>
      <c r="HT53" s="1134">
        <v>224</v>
      </c>
      <c r="HU53" s="1134">
        <v>225</v>
      </c>
      <c r="HV53" s="1134">
        <v>226</v>
      </c>
      <c r="HW53" s="1134">
        <v>227</v>
      </c>
      <c r="HX53" s="1134">
        <v>228</v>
      </c>
      <c r="HY53" s="1134">
        <v>229</v>
      </c>
      <c r="HZ53" s="1134">
        <v>230</v>
      </c>
      <c r="IA53" s="1134">
        <v>231</v>
      </c>
      <c r="IB53" s="1134">
        <v>232</v>
      </c>
      <c r="IC53" s="1134">
        <v>233</v>
      </c>
      <c r="ID53" s="1134">
        <v>234</v>
      </c>
      <c r="IE53" s="1134">
        <v>235</v>
      </c>
      <c r="IF53" s="1134">
        <v>236</v>
      </c>
      <c r="IG53" s="1134">
        <v>237</v>
      </c>
      <c r="IH53" s="1134">
        <v>238</v>
      </c>
      <c r="II53" s="1134">
        <v>239</v>
      </c>
      <c r="IJ53" s="1134">
        <v>240</v>
      </c>
      <c r="IK53" s="1134">
        <v>241</v>
      </c>
      <c r="IL53" s="1134">
        <v>242</v>
      </c>
      <c r="IM53" s="1134">
        <v>243</v>
      </c>
      <c r="IN53" s="1134">
        <v>244</v>
      </c>
      <c r="IO53" s="1134">
        <v>245</v>
      </c>
      <c r="IP53" s="1134">
        <v>246</v>
      </c>
      <c r="IQ53" s="1134">
        <v>247</v>
      </c>
      <c r="IR53" s="1134">
        <v>248</v>
      </c>
      <c r="IS53" s="1134">
        <v>249</v>
      </c>
      <c r="IT53" s="1134">
        <v>250</v>
      </c>
      <c r="IU53" s="1134">
        <v>251</v>
      </c>
      <c r="IV53" s="1134">
        <v>252</v>
      </c>
      <c r="IW53" s="1134">
        <v>253</v>
      </c>
      <c r="IX53" s="1134">
        <v>254</v>
      </c>
      <c r="IY53" s="1134">
        <v>255</v>
      </c>
      <c r="IZ53" s="1134">
        <v>256</v>
      </c>
      <c r="JA53" s="1134">
        <v>257</v>
      </c>
      <c r="JB53" s="1134">
        <v>258</v>
      </c>
      <c r="JC53" s="1134">
        <v>259</v>
      </c>
      <c r="JD53" s="1134">
        <v>260</v>
      </c>
      <c r="JE53" s="1134">
        <v>261</v>
      </c>
      <c r="JF53" s="1134">
        <v>262</v>
      </c>
      <c r="JG53" s="2485">
        <v>263</v>
      </c>
      <c r="JH53" s="1233"/>
      <c r="JJ53" s="1701" t="s">
        <v>6104</v>
      </c>
    </row>
    <row ht="12.75" r="54" spans="1:270" x14ac:dyDescent="0.2">
      <c r="A54" s="1128">
        <v>2</v>
      </c>
      <c r="B54" s="630" t="str">
        <f>IF(REL_C_IND&gt;1,IF(HLOOKUP(REL_C_IND-1,REL_C_RANGE,A54)="","",HLOOKUP(REL_C_IND-1,REL_C_RANGE,A54)),"")</f>
        <v/>
      </c>
      <c r="C54" s="960" t="s">
        <v>1028</v>
      </c>
      <c r="D54" s="1059" t="s">
        <v>4504</v>
      </c>
      <c r="E54" s="2377"/>
      <c r="F54" s="2377"/>
      <c r="G54" s="2377"/>
      <c r="H54" s="2377"/>
      <c r="I54" s="2377"/>
      <c r="J54" s="2377"/>
      <c r="K54" s="2377"/>
      <c r="L54" s="2377"/>
      <c r="M54" s="2377"/>
      <c r="N54" s="2377"/>
      <c r="O54" s="2377"/>
      <c r="P54" s="2377"/>
      <c r="Q54" s="2377"/>
      <c r="R54" s="2377"/>
      <c r="S54" s="2377"/>
      <c r="T54" s="2377" t="s">
        <v>572</v>
      </c>
      <c r="U54" s="2377"/>
      <c r="V54" s="2377"/>
      <c r="W54" s="2377"/>
      <c r="X54" s="2377"/>
      <c r="Y54" s="2377"/>
      <c r="Z54" s="2377"/>
      <c r="AA54" s="2377"/>
      <c r="AB54" s="2377" t="s">
        <v>572</v>
      </c>
      <c r="AC54" s="2377"/>
      <c r="AD54" s="2377"/>
      <c r="AE54" s="3639" t="s">
        <v>572</v>
      </c>
      <c r="AF54" s="2377"/>
      <c r="AG54" s="2377"/>
      <c r="AH54" s="2377"/>
      <c r="AI54" s="2377"/>
      <c r="AJ54" s="2377"/>
      <c r="AK54" s="2377"/>
      <c r="AL54" s="2377"/>
      <c r="AM54" s="2377"/>
      <c r="AN54" s="2377"/>
      <c r="AO54" s="2377"/>
      <c r="AP54" s="2377"/>
      <c r="AQ54" s="2377"/>
      <c r="AR54" s="2377"/>
      <c r="AS54" s="2377"/>
      <c r="AT54" s="2377"/>
      <c r="AU54" s="2377" t="s">
        <v>572</v>
      </c>
      <c r="AV54" s="2377"/>
      <c r="AW54" s="2377"/>
      <c r="AX54" s="2377"/>
      <c r="AY54" s="2377"/>
      <c r="AZ54" s="2377"/>
      <c r="BA54" s="2377"/>
      <c r="BB54" s="2377"/>
      <c r="BC54" s="2377"/>
      <c r="BD54" s="2377"/>
      <c r="BE54" s="2377"/>
      <c r="BF54" s="2377"/>
      <c r="BG54" s="2377"/>
      <c r="BH54" s="3639"/>
      <c r="BI54" s="2377"/>
      <c r="BJ54" s="2377"/>
      <c r="BK54" s="2377"/>
      <c r="BL54" s="2377"/>
      <c r="BM54" s="2377"/>
      <c r="BN54" s="2377"/>
      <c r="BO54" s="2377" t="s">
        <v>572</v>
      </c>
      <c r="BP54" s="2377"/>
      <c r="BQ54" s="2377"/>
      <c r="BR54" s="2377"/>
      <c r="BS54" s="2377"/>
      <c r="BT54" s="2377"/>
      <c r="BU54" s="2377"/>
      <c r="BV54" s="2377"/>
      <c r="BW54" s="2377"/>
      <c r="BX54" s="2377"/>
      <c r="BY54" s="2377"/>
      <c r="BZ54" s="2377"/>
      <c r="CA54" s="2377"/>
      <c r="CB54" s="2377"/>
      <c r="CC54" s="2377"/>
      <c r="CD54" s="2377"/>
      <c r="CE54" s="2377"/>
      <c r="CF54" s="2377"/>
      <c r="CG54" s="2377" t="s">
        <v>572</v>
      </c>
      <c r="CH54" s="2377"/>
      <c r="CI54" s="2377"/>
      <c r="CJ54" s="2377"/>
      <c r="CK54" s="2377"/>
      <c r="CL54" s="2377"/>
      <c r="CM54" s="2377"/>
      <c r="CN54" s="2377"/>
      <c r="CO54" s="2377"/>
      <c r="CP54" s="2377"/>
      <c r="CQ54" s="2377"/>
      <c r="CR54" s="2377"/>
      <c r="CS54" s="2377"/>
      <c r="CT54" s="2377"/>
      <c r="CU54" s="2377"/>
      <c r="CV54" s="2377"/>
      <c r="CW54" s="2377"/>
      <c r="CX54" s="2377"/>
      <c r="CY54" s="2377" t="s">
        <v>572</v>
      </c>
      <c r="CZ54" s="2377"/>
      <c r="DA54" s="2377"/>
      <c r="DB54" s="2377"/>
      <c r="DC54" s="2377"/>
      <c r="DD54" s="2377"/>
      <c r="DE54" s="2377"/>
      <c r="DF54" s="2377"/>
      <c r="DG54" s="2377"/>
      <c r="DH54" s="2377"/>
      <c r="DI54" s="2377"/>
      <c r="DJ54" s="2377"/>
      <c r="DK54" s="2377"/>
      <c r="DL54" s="2377"/>
      <c r="DM54" s="2377"/>
      <c r="DN54" s="2377"/>
      <c r="DO54" s="2377"/>
      <c r="DP54" s="2377"/>
      <c r="DQ54" s="2377"/>
      <c r="DR54" s="2377"/>
      <c r="DS54" s="2377" t="s">
        <v>572</v>
      </c>
      <c r="DT54" s="2377"/>
      <c r="DU54" s="2377"/>
      <c r="DV54" s="2377"/>
      <c r="DW54" s="2377"/>
      <c r="DX54" s="2377"/>
      <c r="DY54" s="2377"/>
      <c r="DZ54" s="2377"/>
      <c r="EA54" s="2377"/>
      <c r="EB54" s="2377"/>
      <c r="EC54" s="2377"/>
      <c r="ED54" s="2377"/>
      <c r="EE54" s="2377"/>
      <c r="EF54" s="2377"/>
      <c r="EG54" s="2377"/>
      <c r="EH54" s="2377"/>
      <c r="EI54" s="2377"/>
      <c r="EJ54" s="2377"/>
      <c r="EK54" s="2377"/>
      <c r="EL54" s="2377"/>
      <c r="EM54" s="2377"/>
      <c r="EN54" s="2377"/>
      <c r="EO54" s="2377"/>
      <c r="EP54" s="2377"/>
      <c r="EQ54" s="2377"/>
      <c r="ER54" s="2377"/>
      <c r="ES54" s="2377"/>
      <c r="ET54" s="2377"/>
      <c r="EU54" s="2377"/>
      <c r="EV54" s="2377"/>
      <c r="EW54" s="2377"/>
      <c r="EX54" s="2377"/>
      <c r="EY54" s="2377"/>
      <c r="EZ54" s="2377"/>
      <c r="FA54" s="2377"/>
      <c r="FB54" s="2377"/>
      <c r="FC54" s="2377"/>
      <c r="FD54" s="2377"/>
      <c r="FE54" s="2377"/>
      <c r="FF54" s="2377"/>
      <c r="FG54" s="2377"/>
      <c r="FH54" s="2377"/>
      <c r="FI54" s="2377"/>
      <c r="FJ54" s="2377"/>
      <c r="FK54" s="2377"/>
      <c r="FL54" s="2377"/>
      <c r="FM54" s="2377"/>
      <c r="FN54" s="2377"/>
      <c r="FO54" s="2377"/>
      <c r="FP54" s="2377"/>
      <c r="FQ54" s="2377"/>
      <c r="FR54" s="2377"/>
      <c r="FS54" s="2377"/>
      <c r="FT54" s="2377"/>
      <c r="FU54" s="2377"/>
      <c r="FV54" s="2377"/>
      <c r="FW54" s="2377"/>
      <c r="FX54" s="2377"/>
      <c r="FY54" s="2377"/>
      <c r="FZ54" s="2377"/>
      <c r="GA54" s="2377"/>
      <c r="GB54" s="2377"/>
      <c r="GC54" s="2377"/>
      <c r="GD54" s="2377"/>
      <c r="GE54" s="2377"/>
      <c r="GF54" s="2377"/>
      <c r="GG54" s="2377"/>
      <c r="GH54" s="2377"/>
      <c r="GI54" s="2377"/>
      <c r="GJ54" s="2377"/>
      <c r="GK54" s="2377"/>
      <c r="GL54" s="2377"/>
      <c r="GM54" s="2377"/>
      <c r="GN54" s="2377"/>
      <c r="GO54" s="2377"/>
      <c r="GP54" s="2377"/>
      <c r="GQ54" s="2377"/>
      <c r="GR54" s="2377"/>
      <c r="GS54" s="2377"/>
      <c r="GT54" s="2377" t="s">
        <v>572</v>
      </c>
      <c r="GU54" s="2377"/>
      <c r="GV54" s="2377"/>
      <c r="GW54" s="2377"/>
      <c r="GX54" s="2377"/>
      <c r="GY54" s="2377"/>
      <c r="GZ54" s="2377"/>
      <c r="HA54" s="2377"/>
      <c r="HB54" s="2377"/>
      <c r="HC54" s="2377"/>
      <c r="HD54" s="2377"/>
      <c r="HE54" s="2377"/>
      <c r="HF54" s="2377"/>
      <c r="HG54" s="2377"/>
      <c r="HH54" s="2377"/>
      <c r="HI54" s="2377"/>
      <c r="HJ54" s="2377"/>
      <c r="HK54" s="2377"/>
      <c r="HL54" s="2377"/>
      <c r="HM54" s="2377"/>
      <c r="HN54" s="2377"/>
      <c r="HO54" s="2377"/>
      <c r="HP54" s="2377"/>
      <c r="HQ54" s="2377"/>
      <c r="HR54" s="2377"/>
      <c r="HS54" s="2377"/>
      <c r="HT54" s="2377"/>
      <c r="HU54" s="2377"/>
      <c r="HV54" s="2377"/>
      <c r="HW54" s="2377"/>
      <c r="HX54" s="2377"/>
      <c r="HY54" s="2377"/>
      <c r="HZ54" s="2377"/>
      <c r="IA54" s="2377"/>
      <c r="IB54" s="2377"/>
      <c r="IC54" s="2377"/>
      <c r="ID54" s="2377"/>
      <c r="IE54" s="2377"/>
      <c r="IF54" s="2377"/>
      <c r="IG54" s="2377"/>
      <c r="IH54" s="2377"/>
      <c r="II54" s="2377"/>
      <c r="IJ54" s="2377"/>
      <c r="IK54" s="2377"/>
      <c r="IL54" s="2377"/>
      <c r="IM54" s="2377"/>
      <c r="IN54" s="2377"/>
      <c r="IO54" s="2377"/>
      <c r="IP54" s="2377"/>
      <c r="IQ54" s="2377"/>
      <c r="IR54" s="2377"/>
      <c r="IS54" s="2377"/>
      <c r="IT54" s="2377"/>
      <c r="IU54" s="2377"/>
      <c r="IV54" s="2377"/>
      <c r="IW54" s="2377"/>
      <c r="IX54" s="2377"/>
      <c r="IY54" s="2377"/>
      <c r="IZ54" s="2377"/>
      <c r="JA54" s="2384"/>
      <c r="JB54" s="2384"/>
      <c r="JC54" s="2384"/>
      <c r="JD54" s="2384"/>
      <c r="JE54" s="2384"/>
      <c r="JF54" s="2384"/>
      <c r="JG54" s="3750"/>
      <c r="JH54" s="1233"/>
      <c r="JI54" s="1229"/>
      <c r="JJ54" s="1686" t="s">
        <v>6111</v>
      </c>
    </row>
    <row ht="12.75" r="55" spans="1:270" x14ac:dyDescent="0.2">
      <c r="A55" s="1128">
        <v>3</v>
      </c>
      <c r="B55" s="630" t="str">
        <f>IF(REL_C_IND&gt;1,IF(HLOOKUP(REL_C_IND-1,REL_C_RANGE,A55)="","",HLOOKUP(REL_C_IND-1,REL_C_RANGE,A55)),"")</f>
        <v/>
      </c>
      <c r="C55" s="672" t="s">
        <v>1029</v>
      </c>
      <c r="D55" s="1059" t="s">
        <v>4505</v>
      </c>
      <c r="E55" s="2378"/>
      <c r="F55" s="2378"/>
      <c r="G55" s="2378"/>
      <c r="H55" s="2378"/>
      <c r="I55" s="2378"/>
      <c r="J55" s="2378"/>
      <c r="K55" s="2378"/>
      <c r="L55" s="2378"/>
      <c r="M55" s="2378"/>
      <c r="N55" s="2378"/>
      <c r="O55" s="2378"/>
      <c r="P55" s="2378"/>
      <c r="Q55" s="2378"/>
      <c r="R55" s="2378"/>
      <c r="S55" s="2378"/>
      <c r="T55" s="2378" t="s">
        <v>1027</v>
      </c>
      <c r="U55" s="2378"/>
      <c r="V55" s="2378"/>
      <c r="W55" s="2378"/>
      <c r="X55" s="2378"/>
      <c r="Y55" s="2378"/>
      <c r="Z55" s="2378"/>
      <c r="AA55" s="2378"/>
      <c r="AB55" s="2378" t="s">
        <v>1027</v>
      </c>
      <c r="AC55" s="2378"/>
      <c r="AD55" s="2378"/>
      <c r="AE55" s="3640" t="s">
        <v>1027</v>
      </c>
      <c r="AF55" s="2378"/>
      <c r="AG55" s="2378"/>
      <c r="AH55" s="2378"/>
      <c r="AI55" s="2378"/>
      <c r="AJ55" s="2378"/>
      <c r="AK55" s="2378"/>
      <c r="AL55" s="2378"/>
      <c r="AM55" s="2378"/>
      <c r="AN55" s="2378"/>
      <c r="AO55" s="2378"/>
      <c r="AP55" s="2378"/>
      <c r="AQ55" s="2378"/>
      <c r="AR55" s="2378"/>
      <c r="AS55" s="2378"/>
      <c r="AT55" s="2379"/>
      <c r="AU55" s="2378" t="s">
        <v>1027</v>
      </c>
      <c r="AV55" s="2378"/>
      <c r="AW55" s="2378"/>
      <c r="AX55" s="2378"/>
      <c r="AY55" s="2378"/>
      <c r="AZ55" s="2378"/>
      <c r="BA55" s="2378"/>
      <c r="BB55" s="2378"/>
      <c r="BC55" s="2378"/>
      <c r="BD55" s="2378"/>
      <c r="BE55" s="2378"/>
      <c r="BF55" s="2378"/>
      <c r="BG55" s="2378"/>
      <c r="BH55" s="3640"/>
      <c r="BI55" s="2378"/>
      <c r="BJ55" s="2378"/>
      <c r="BK55" s="2378"/>
      <c r="BL55" s="2378"/>
      <c r="BM55" s="2378"/>
      <c r="BN55" s="2378"/>
      <c r="BO55" s="2378" t="s">
        <v>1027</v>
      </c>
      <c r="BP55" s="2378"/>
      <c r="BQ55" s="2378"/>
      <c r="BR55" s="2378"/>
      <c r="BS55" s="2378"/>
      <c r="BT55" s="2378"/>
      <c r="BU55" s="2378"/>
      <c r="BV55" s="2378"/>
      <c r="BW55" s="2378"/>
      <c r="BX55" s="2378"/>
      <c r="BY55" s="2378"/>
      <c r="BZ55" s="2378"/>
      <c r="CA55" s="2378"/>
      <c r="CB55" s="2378"/>
      <c r="CC55" s="2378"/>
      <c r="CD55" s="2378"/>
      <c r="CE55" s="2378"/>
      <c r="CF55" s="2378"/>
      <c r="CG55" s="2378" t="s">
        <v>1027</v>
      </c>
      <c r="CH55" s="2378"/>
      <c r="CI55" s="2378"/>
      <c r="CJ55" s="2378"/>
      <c r="CK55" s="2378"/>
      <c r="CL55" s="2378"/>
      <c r="CM55" s="2378"/>
      <c r="CN55" s="2378"/>
      <c r="CO55" s="2378"/>
      <c r="CP55" s="2378"/>
      <c r="CQ55" s="2378"/>
      <c r="CR55" s="2378"/>
      <c r="CS55" s="2378"/>
      <c r="CT55" s="2378"/>
      <c r="CU55" s="2378"/>
      <c r="CV55" s="2378"/>
      <c r="CW55" s="2378"/>
      <c r="CX55" s="2378"/>
      <c r="CY55" s="2378" t="s">
        <v>1027</v>
      </c>
      <c r="CZ55" s="2378"/>
      <c r="DA55" s="2378"/>
      <c r="DB55" s="2378"/>
      <c r="DC55" s="2378"/>
      <c r="DD55" s="2378"/>
      <c r="DE55" s="2378"/>
      <c r="DF55" s="2378"/>
      <c r="DG55" s="2378"/>
      <c r="DH55" s="2378"/>
      <c r="DI55" s="2378"/>
      <c r="DJ55" s="2378"/>
      <c r="DK55" s="2378"/>
      <c r="DL55" s="2378"/>
      <c r="DM55" s="2378"/>
      <c r="DN55" s="2378"/>
      <c r="DO55" s="2378"/>
      <c r="DP55" s="2378"/>
      <c r="DQ55" s="2378"/>
      <c r="DR55" s="2378"/>
      <c r="DS55" s="2378" t="s">
        <v>1027</v>
      </c>
      <c r="DT55" s="2378"/>
      <c r="DU55" s="2378"/>
      <c r="DV55" s="2378"/>
      <c r="DW55" s="2378"/>
      <c r="DX55" s="2378"/>
      <c r="DY55" s="2378"/>
      <c r="DZ55" s="2378"/>
      <c r="EA55" s="2378"/>
      <c r="EB55" s="2378"/>
      <c r="EC55" s="2378"/>
      <c r="ED55" s="2378"/>
      <c r="EE55" s="2378"/>
      <c r="EF55" s="2378"/>
      <c r="EG55" s="2378"/>
      <c r="EH55" s="2378"/>
      <c r="EI55" s="2378"/>
      <c r="EJ55" s="2378"/>
      <c r="EK55" s="2378"/>
      <c r="EL55" s="2378"/>
      <c r="EM55" s="2378"/>
      <c r="EN55" s="2378"/>
      <c r="EO55" s="2378"/>
      <c r="EP55" s="2378"/>
      <c r="EQ55" s="2378"/>
      <c r="ER55" s="2378"/>
      <c r="ES55" s="2378"/>
      <c r="ET55" s="2378"/>
      <c r="EU55" s="2378"/>
      <c r="EV55" s="2378"/>
      <c r="EW55" s="2378"/>
      <c r="EX55" s="2378"/>
      <c r="EY55" s="2378"/>
      <c r="EZ55" s="2378"/>
      <c r="FA55" s="2378"/>
      <c r="FB55" s="2378"/>
      <c r="FC55" s="2378"/>
      <c r="FD55" s="2378"/>
      <c r="FE55" s="2378"/>
      <c r="FF55" s="2378"/>
      <c r="FG55" s="2378"/>
      <c r="FH55" s="2378"/>
      <c r="FI55" s="2378"/>
      <c r="FJ55" s="2378"/>
      <c r="FK55" s="2378"/>
      <c r="FL55" s="2378"/>
      <c r="FM55" s="2378"/>
      <c r="FN55" s="2378"/>
      <c r="FO55" s="2378"/>
      <c r="FP55" s="2378"/>
      <c r="FQ55" s="2378"/>
      <c r="FR55" s="2378"/>
      <c r="FS55" s="2378"/>
      <c r="FT55" s="2378"/>
      <c r="FU55" s="2378"/>
      <c r="FV55" s="2378"/>
      <c r="FW55" s="2378"/>
      <c r="FX55" s="2378"/>
      <c r="FY55" s="2378"/>
      <c r="FZ55" s="2378"/>
      <c r="GA55" s="2378"/>
      <c r="GB55" s="2378"/>
      <c r="GC55" s="2378"/>
      <c r="GD55" s="2378"/>
      <c r="GE55" s="2378"/>
      <c r="GF55" s="2378"/>
      <c r="GG55" s="2378"/>
      <c r="GH55" s="2378"/>
      <c r="GI55" s="2378"/>
      <c r="GJ55" s="2378"/>
      <c r="GK55" s="2378"/>
      <c r="GL55" s="2378"/>
      <c r="GM55" s="2378"/>
      <c r="GN55" s="2378"/>
      <c r="GO55" s="2378"/>
      <c r="GP55" s="2378"/>
      <c r="GQ55" s="2378"/>
      <c r="GR55" s="2378"/>
      <c r="GS55" s="2378"/>
      <c r="GT55" s="2378" t="s">
        <v>1027</v>
      </c>
      <c r="GU55" s="2378"/>
      <c r="GV55" s="2378"/>
      <c r="GW55" s="2378"/>
      <c r="GX55" s="2378"/>
      <c r="GY55" s="2378"/>
      <c r="GZ55" s="2378"/>
      <c r="HA55" s="2378"/>
      <c r="HB55" s="2378"/>
      <c r="HC55" s="2378"/>
      <c r="HD55" s="2378"/>
      <c r="HE55" s="2378"/>
      <c r="HF55" s="2378"/>
      <c r="HG55" s="2378"/>
      <c r="HH55" s="2378"/>
      <c r="HI55" s="2378"/>
      <c r="HJ55" s="2378"/>
      <c r="HK55" s="2378"/>
      <c r="HL55" s="2378"/>
      <c r="HM55" s="2378"/>
      <c r="HN55" s="2378"/>
      <c r="HO55" s="2378"/>
      <c r="HP55" s="2378"/>
      <c r="HQ55" s="2378"/>
      <c r="HR55" s="2378"/>
      <c r="HS55" s="2378"/>
      <c r="HT55" s="2378"/>
      <c r="HU55" s="2378"/>
      <c r="HV55" s="2378"/>
      <c r="HW55" s="2378"/>
      <c r="HX55" s="2378"/>
      <c r="HY55" s="2378"/>
      <c r="HZ55" s="2378"/>
      <c r="IA55" s="2378"/>
      <c r="IB55" s="2378"/>
      <c r="IC55" s="2378"/>
      <c r="ID55" s="2378"/>
      <c r="IE55" s="2378"/>
      <c r="IF55" s="2378"/>
      <c r="IG55" s="2378"/>
      <c r="IH55" s="2378"/>
      <c r="II55" s="2378"/>
      <c r="IJ55" s="2378"/>
      <c r="IK55" s="2378"/>
      <c r="IL55" s="2378"/>
      <c r="IM55" s="2378"/>
      <c r="IN55" s="2378"/>
      <c r="IO55" s="2378"/>
      <c r="IP55" s="2378"/>
      <c r="IQ55" s="2378"/>
      <c r="IR55" s="2378"/>
      <c r="IS55" s="2378"/>
      <c r="IT55" s="2378"/>
      <c r="IU55" s="2378"/>
      <c r="IV55" s="2378"/>
      <c r="IW55" s="2378"/>
      <c r="IX55" s="2378"/>
      <c r="IY55" s="2378"/>
      <c r="IZ55" s="2378"/>
      <c r="JA55" s="2880"/>
      <c r="JB55" s="2880"/>
      <c r="JC55" s="2880"/>
      <c r="JD55" s="2880"/>
      <c r="JE55" s="2880"/>
      <c r="JF55" s="2880"/>
      <c r="JG55" s="3750"/>
      <c r="JH55" s="1233"/>
      <c r="JI55" s="1229"/>
      <c r="JJ55" s="1686" t="s">
        <v>6112</v>
      </c>
    </row>
    <row ht="12.75" r="56" spans="1:270" x14ac:dyDescent="0.2">
      <c r="A56" s="1128">
        <v>4</v>
      </c>
      <c r="B56" s="630" t="str">
        <f>IF(REL_C_IND&gt;1,IF(HLOOKUP(REL_C_IND-1,REL_C_RANGE,A56)="","",HLOOKUP(REL_C_IND-1,REL_C_RANGE,A56)),"")</f>
        <v/>
      </c>
      <c r="C56" s="672" t="s">
        <v>3043</v>
      </c>
      <c r="D56" s="1059" t="s">
        <v>4507</v>
      </c>
      <c r="E56" s="2379"/>
      <c r="F56" s="2379"/>
      <c r="G56" s="2379"/>
      <c r="H56" s="2379"/>
      <c r="I56" s="2379"/>
      <c r="J56" s="2379"/>
      <c r="K56" s="2379"/>
      <c r="L56" s="2379"/>
      <c r="M56" s="2379"/>
      <c r="N56" s="2379"/>
      <c r="O56" s="2379"/>
      <c r="P56" s="2379"/>
      <c r="Q56" s="2379"/>
      <c r="R56" s="2379"/>
      <c r="S56" s="2379"/>
      <c r="T56" s="2379" t="s">
        <v>1189</v>
      </c>
      <c r="U56" s="2379"/>
      <c r="V56" s="2379"/>
      <c r="W56" s="2379"/>
      <c r="X56" s="2379"/>
      <c r="Y56" s="2379"/>
      <c r="Z56" s="2379"/>
      <c r="AA56" s="2379"/>
      <c r="AB56" s="2379" t="s">
        <v>1189</v>
      </c>
      <c r="AC56" s="2379"/>
      <c r="AD56" s="2379"/>
      <c r="AE56" s="3641" t="s">
        <v>1189</v>
      </c>
      <c r="AF56" s="2379"/>
      <c r="AG56" s="2379"/>
      <c r="AH56" s="2379"/>
      <c r="AI56" s="2379"/>
      <c r="AJ56" s="2379"/>
      <c r="AK56" s="2379"/>
      <c r="AL56" s="2379"/>
      <c r="AM56" s="2379"/>
      <c r="AN56" s="2379"/>
      <c r="AO56" s="2379"/>
      <c r="AP56" s="2379"/>
      <c r="AQ56" s="2379"/>
      <c r="AR56" s="2379"/>
      <c r="AS56" s="2379"/>
      <c r="AT56" s="2379"/>
      <c r="AU56" s="2379" t="s">
        <v>1189</v>
      </c>
      <c r="AV56" s="2378"/>
      <c r="AW56" s="2378"/>
      <c r="AX56" s="2378"/>
      <c r="AY56" s="2378"/>
      <c r="AZ56" s="2378"/>
      <c r="BA56" s="2378"/>
      <c r="BB56" s="2378"/>
      <c r="BC56" s="2378"/>
      <c r="BD56" s="2378"/>
      <c r="BE56" s="2378"/>
      <c r="BF56" s="2378"/>
      <c r="BG56" s="2378"/>
      <c r="BH56" s="3641"/>
      <c r="BI56" s="2378"/>
      <c r="BJ56" s="2378"/>
      <c r="BK56" s="2378"/>
      <c r="BL56" s="2378"/>
      <c r="BM56" s="2378"/>
      <c r="BN56" s="2378"/>
      <c r="BO56" s="2379" t="s">
        <v>1189</v>
      </c>
      <c r="BP56" s="2378"/>
      <c r="BQ56" s="2378"/>
      <c r="BR56" s="2378"/>
      <c r="BS56" s="2378"/>
      <c r="BT56" s="2378"/>
      <c r="BU56" s="2378"/>
      <c r="BV56" s="2378"/>
      <c r="BW56" s="2378"/>
      <c r="BX56" s="2378"/>
      <c r="BY56" s="2378"/>
      <c r="BZ56" s="2378"/>
      <c r="CA56" s="2378"/>
      <c r="CB56" s="2378"/>
      <c r="CC56" s="2378"/>
      <c r="CD56" s="2378"/>
      <c r="CE56" s="2378"/>
      <c r="CF56" s="2378"/>
      <c r="CG56" s="2379" t="s">
        <v>1189</v>
      </c>
      <c r="CH56" s="2378"/>
      <c r="CI56" s="2378"/>
      <c r="CJ56" s="2378"/>
      <c r="CK56" s="2378"/>
      <c r="CL56" s="2378"/>
      <c r="CM56" s="2378"/>
      <c r="CN56" s="2378"/>
      <c r="CO56" s="2378"/>
      <c r="CP56" s="2378"/>
      <c r="CQ56" s="2378"/>
      <c r="CR56" s="2378"/>
      <c r="CS56" s="2378"/>
      <c r="CT56" s="2378"/>
      <c r="CU56" s="2378"/>
      <c r="CV56" s="2378"/>
      <c r="CW56" s="2378"/>
      <c r="CX56" s="2378"/>
      <c r="CY56" s="2379" t="s">
        <v>1189</v>
      </c>
      <c r="CZ56" s="2378"/>
      <c r="DA56" s="2378"/>
      <c r="DB56" s="2378"/>
      <c r="DC56" s="2378"/>
      <c r="DD56" s="2378"/>
      <c r="DE56" s="2378"/>
      <c r="DF56" s="2378"/>
      <c r="DG56" s="2378"/>
      <c r="DH56" s="2378"/>
      <c r="DI56" s="2378"/>
      <c r="DJ56" s="2378"/>
      <c r="DK56" s="2378"/>
      <c r="DL56" s="2378"/>
      <c r="DM56" s="2378"/>
      <c r="DN56" s="2378"/>
      <c r="DO56" s="2378"/>
      <c r="DP56" s="2378"/>
      <c r="DQ56" s="2378"/>
      <c r="DR56" s="2378"/>
      <c r="DS56" s="2379" t="s">
        <v>1189</v>
      </c>
      <c r="DT56" s="2378"/>
      <c r="DU56" s="2378"/>
      <c r="DV56" s="2378"/>
      <c r="DW56" s="2378"/>
      <c r="DX56" s="2378"/>
      <c r="DY56" s="2378"/>
      <c r="DZ56" s="2378"/>
      <c r="EA56" s="2378"/>
      <c r="EB56" s="2378"/>
      <c r="EC56" s="2378"/>
      <c r="ED56" s="2378"/>
      <c r="EE56" s="2378"/>
      <c r="EF56" s="2378"/>
      <c r="EG56" s="2378"/>
      <c r="EH56" s="2378"/>
      <c r="EI56" s="2378"/>
      <c r="EJ56" s="2378"/>
      <c r="EK56" s="2378"/>
      <c r="EL56" s="2378"/>
      <c r="EM56" s="2378"/>
      <c r="EN56" s="2378"/>
      <c r="EO56" s="2378"/>
      <c r="EP56" s="2378"/>
      <c r="EQ56" s="2378"/>
      <c r="ER56" s="2378"/>
      <c r="ES56" s="2378"/>
      <c r="ET56" s="2378"/>
      <c r="EU56" s="2378"/>
      <c r="EV56" s="2378"/>
      <c r="EW56" s="2378"/>
      <c r="EX56" s="2378"/>
      <c r="EY56" s="2378"/>
      <c r="EZ56" s="2378"/>
      <c r="FA56" s="2378"/>
      <c r="FB56" s="2378"/>
      <c r="FC56" s="2378"/>
      <c r="FD56" s="2378"/>
      <c r="FE56" s="2378"/>
      <c r="FF56" s="2378"/>
      <c r="FG56" s="2378"/>
      <c r="FH56" s="2378"/>
      <c r="FI56" s="2378"/>
      <c r="FJ56" s="2378"/>
      <c r="FK56" s="2378"/>
      <c r="FL56" s="2378"/>
      <c r="FM56" s="2378"/>
      <c r="FN56" s="2378"/>
      <c r="FO56" s="2378"/>
      <c r="FP56" s="2378"/>
      <c r="FQ56" s="2378"/>
      <c r="FR56" s="2378"/>
      <c r="FS56" s="2378"/>
      <c r="FT56" s="2378"/>
      <c r="FU56" s="2378"/>
      <c r="FV56" s="2378"/>
      <c r="FW56" s="2378"/>
      <c r="FX56" s="2378"/>
      <c r="FY56" s="2378"/>
      <c r="FZ56" s="2378"/>
      <c r="GA56" s="2378"/>
      <c r="GB56" s="2378"/>
      <c r="GC56" s="2378"/>
      <c r="GD56" s="2378"/>
      <c r="GE56" s="2378"/>
      <c r="GF56" s="2378"/>
      <c r="GG56" s="2378"/>
      <c r="GH56" s="2378"/>
      <c r="GI56" s="2378"/>
      <c r="GJ56" s="2378"/>
      <c r="GK56" s="2378"/>
      <c r="GL56" s="2378"/>
      <c r="GM56" s="2378"/>
      <c r="GN56" s="2378"/>
      <c r="GO56" s="2378"/>
      <c r="GP56" s="2378"/>
      <c r="GQ56" s="2378"/>
      <c r="GR56" s="2378"/>
      <c r="GS56" s="2378"/>
      <c r="GT56" s="2379" t="s">
        <v>1189</v>
      </c>
      <c r="GU56" s="2378"/>
      <c r="GV56" s="2378"/>
      <c r="GW56" s="2378"/>
      <c r="GX56" s="2378"/>
      <c r="GY56" s="2378"/>
      <c r="GZ56" s="2378"/>
      <c r="HA56" s="2378"/>
      <c r="HB56" s="2378"/>
      <c r="HC56" s="2378"/>
      <c r="HD56" s="2378"/>
      <c r="HE56" s="2378"/>
      <c r="HF56" s="2378"/>
      <c r="HG56" s="2378"/>
      <c r="HH56" s="2378"/>
      <c r="HI56" s="2378"/>
      <c r="HJ56" s="2378"/>
      <c r="HK56" s="2378"/>
      <c r="HL56" s="2378"/>
      <c r="HM56" s="2378"/>
      <c r="HN56" s="2378"/>
      <c r="HO56" s="2378"/>
      <c r="HP56" s="2378"/>
      <c r="HQ56" s="2378"/>
      <c r="HR56" s="2378"/>
      <c r="HS56" s="2378"/>
      <c r="HT56" s="2378"/>
      <c r="HU56" s="2378"/>
      <c r="HV56" s="2378"/>
      <c r="HW56" s="2378"/>
      <c r="HX56" s="2378"/>
      <c r="HY56" s="2378"/>
      <c r="HZ56" s="2378"/>
      <c r="IA56" s="2378"/>
      <c r="IB56" s="2378"/>
      <c r="IC56" s="2378"/>
      <c r="ID56" s="2378"/>
      <c r="IE56" s="2378"/>
      <c r="IF56" s="2378"/>
      <c r="IG56" s="2378"/>
      <c r="IH56" s="2378"/>
      <c r="II56" s="2378"/>
      <c r="IJ56" s="2378"/>
      <c r="IK56" s="2378"/>
      <c r="IL56" s="2378"/>
      <c r="IM56" s="2378"/>
      <c r="IN56" s="2378"/>
      <c r="IO56" s="2378"/>
      <c r="IP56" s="2378"/>
      <c r="IQ56" s="2378"/>
      <c r="IR56" s="2378"/>
      <c r="IS56" s="2378"/>
      <c r="IT56" s="2378"/>
      <c r="IU56" s="2378"/>
      <c r="IV56" s="2378"/>
      <c r="IW56" s="2378"/>
      <c r="IX56" s="2378"/>
      <c r="IY56" s="2378"/>
      <c r="IZ56" s="2378"/>
      <c r="JA56" s="2880"/>
      <c r="JB56" s="2880"/>
      <c r="JC56" s="2880"/>
      <c r="JD56" s="2880"/>
      <c r="JE56" s="2880"/>
      <c r="JF56" s="2880"/>
      <c r="JG56" s="3750"/>
      <c r="JH56" s="1233"/>
      <c r="JI56" s="1229"/>
      <c r="JJ56" s="1686" t="s">
        <v>6111</v>
      </c>
    </row>
    <row ht="13.5" r="57" spans="1:270" thickBot="1" x14ac:dyDescent="0.25">
      <c r="A57" s="1128">
        <v>5</v>
      </c>
      <c r="B57" s="630" t="str">
        <f>IF(REL_C_IND&gt;1,IF(HLOOKUP(REL_C_IND-1,REL_C_RANGE,A57)="","",HLOOKUP(REL_C_IND-1,REL_C_RANGE,A57)),"")</f>
        <v/>
      </c>
      <c r="C57" s="672" t="s">
        <v>3044</v>
      </c>
      <c r="D57" s="1059" t="s">
        <v>4506</v>
      </c>
      <c r="E57" s="2380"/>
      <c r="F57" s="2380"/>
      <c r="G57" s="2380"/>
      <c r="H57" s="2380"/>
      <c r="I57" s="2380"/>
      <c r="J57" s="2380"/>
      <c r="K57" s="2380"/>
      <c r="L57" s="2380"/>
      <c r="M57" s="2380"/>
      <c r="N57" s="2380"/>
      <c r="O57" s="2380"/>
      <c r="P57" s="2380"/>
      <c r="Q57" s="2380"/>
      <c r="R57" s="2380"/>
      <c r="S57" s="2380"/>
      <c r="T57" s="2380" t="s">
        <v>1189</v>
      </c>
      <c r="U57" s="2380"/>
      <c r="V57" s="2380"/>
      <c r="W57" s="2380"/>
      <c r="X57" s="2380"/>
      <c r="Y57" s="2380"/>
      <c r="Z57" s="2380"/>
      <c r="AA57" s="2380"/>
      <c r="AB57" s="2380" t="s">
        <v>1189</v>
      </c>
      <c r="AC57" s="2380"/>
      <c r="AD57" s="2380"/>
      <c r="AE57" s="3642" t="s">
        <v>1189</v>
      </c>
      <c r="AF57" s="2380"/>
      <c r="AG57" s="2380"/>
      <c r="AH57" s="2380"/>
      <c r="AI57" s="2380"/>
      <c r="AJ57" s="2380"/>
      <c r="AK57" s="2380"/>
      <c r="AL57" s="2380"/>
      <c r="AM57" s="2380"/>
      <c r="AN57" s="2380"/>
      <c r="AO57" s="2380"/>
      <c r="AP57" s="2380"/>
      <c r="AQ57" s="2380"/>
      <c r="AR57" s="2380"/>
      <c r="AS57" s="2380"/>
      <c r="AT57" s="2380"/>
      <c r="AU57" s="2380" t="s">
        <v>1189</v>
      </c>
      <c r="AV57" s="2382"/>
      <c r="AW57" s="2381"/>
      <c r="AX57" s="2382"/>
      <c r="AY57" s="2381"/>
      <c r="AZ57" s="2382"/>
      <c r="BA57" s="2381"/>
      <c r="BB57" s="2382"/>
      <c r="BC57" s="2381"/>
      <c r="BD57" s="2382"/>
      <c r="BE57" s="2381"/>
      <c r="BF57" s="2382"/>
      <c r="BG57" s="2381"/>
      <c r="BH57" s="3642"/>
      <c r="BI57" s="2381"/>
      <c r="BJ57" s="2382"/>
      <c r="BK57" s="2381"/>
      <c r="BL57" s="2382"/>
      <c r="BM57" s="2381"/>
      <c r="BN57" s="2382"/>
      <c r="BO57" s="2380" t="s">
        <v>1189</v>
      </c>
      <c r="BP57" s="2382"/>
      <c r="BQ57" s="2381"/>
      <c r="BR57" s="2382"/>
      <c r="BS57" s="2381"/>
      <c r="BT57" s="2382"/>
      <c r="BU57" s="2381"/>
      <c r="BV57" s="2382"/>
      <c r="BW57" s="2381"/>
      <c r="BX57" s="2382"/>
      <c r="BY57" s="2381"/>
      <c r="BZ57" s="2381"/>
      <c r="CA57" s="2381"/>
      <c r="CB57" s="2381"/>
      <c r="CC57" s="2381"/>
      <c r="CD57" s="2381"/>
      <c r="CE57" s="2381"/>
      <c r="CF57" s="2381"/>
      <c r="CG57" s="2380" t="s">
        <v>1189</v>
      </c>
      <c r="CH57" s="2381"/>
      <c r="CI57" s="2381"/>
      <c r="CJ57" s="2381"/>
      <c r="CK57" s="2381"/>
      <c r="CL57" s="2381"/>
      <c r="CM57" s="2381"/>
      <c r="CN57" s="2381"/>
      <c r="CO57" s="2381"/>
      <c r="CP57" s="2381"/>
      <c r="CQ57" s="2381"/>
      <c r="CR57" s="2381"/>
      <c r="CS57" s="2381"/>
      <c r="CT57" s="2381"/>
      <c r="CU57" s="2381"/>
      <c r="CV57" s="2381"/>
      <c r="CW57" s="2381"/>
      <c r="CX57" s="2381"/>
      <c r="CY57" s="2380" t="s">
        <v>1189</v>
      </c>
      <c r="CZ57" s="2381"/>
      <c r="DA57" s="2381"/>
      <c r="DB57" s="2381"/>
      <c r="DC57" s="2381"/>
      <c r="DD57" s="2381"/>
      <c r="DE57" s="2381"/>
      <c r="DF57" s="2381"/>
      <c r="DG57" s="2381"/>
      <c r="DH57" s="2381"/>
      <c r="DI57" s="2381"/>
      <c r="DJ57" s="2381"/>
      <c r="DK57" s="2381"/>
      <c r="DL57" s="2381"/>
      <c r="DM57" s="2381"/>
      <c r="DN57" s="2381"/>
      <c r="DO57" s="2381"/>
      <c r="DP57" s="2381"/>
      <c r="DQ57" s="2381"/>
      <c r="DR57" s="2381"/>
      <c r="DS57" s="2380" t="s">
        <v>1189</v>
      </c>
      <c r="DT57" s="2381"/>
      <c r="DU57" s="2381"/>
      <c r="DV57" s="2381"/>
      <c r="DW57" s="2381"/>
      <c r="DX57" s="2381"/>
      <c r="DY57" s="2381"/>
      <c r="DZ57" s="2381"/>
      <c r="EA57" s="2381"/>
      <c r="EB57" s="2381"/>
      <c r="EC57" s="2381"/>
      <c r="ED57" s="2381"/>
      <c r="EE57" s="2381"/>
      <c r="EF57" s="2381"/>
      <c r="EG57" s="2381"/>
      <c r="EH57" s="2381"/>
      <c r="EI57" s="2381"/>
      <c r="EJ57" s="2381"/>
      <c r="EK57" s="2381"/>
      <c r="EL57" s="2381"/>
      <c r="EM57" s="2381"/>
      <c r="EN57" s="2381"/>
      <c r="EO57" s="2381"/>
      <c r="EP57" s="2381"/>
      <c r="EQ57" s="2381"/>
      <c r="ER57" s="2381"/>
      <c r="ES57" s="2381"/>
      <c r="ET57" s="2381"/>
      <c r="EU57" s="2381"/>
      <c r="EV57" s="2381"/>
      <c r="EW57" s="2381"/>
      <c r="EX57" s="2381"/>
      <c r="EY57" s="2381"/>
      <c r="EZ57" s="2381"/>
      <c r="FA57" s="2381"/>
      <c r="FB57" s="2381"/>
      <c r="FC57" s="2381"/>
      <c r="FD57" s="2381"/>
      <c r="FE57" s="2381"/>
      <c r="FF57" s="2381"/>
      <c r="FG57" s="2381"/>
      <c r="FH57" s="2381"/>
      <c r="FI57" s="2381"/>
      <c r="FJ57" s="2381"/>
      <c r="FK57" s="2381"/>
      <c r="FL57" s="2381"/>
      <c r="FM57" s="2381"/>
      <c r="FN57" s="2381"/>
      <c r="FO57" s="2381"/>
      <c r="FP57" s="2381"/>
      <c r="FQ57" s="2381"/>
      <c r="FR57" s="2381"/>
      <c r="FS57" s="2381"/>
      <c r="FT57" s="2381"/>
      <c r="FU57" s="2381"/>
      <c r="FV57" s="2381"/>
      <c r="FW57" s="2381"/>
      <c r="FX57" s="2381"/>
      <c r="FY57" s="2381"/>
      <c r="FZ57" s="2381"/>
      <c r="GA57" s="2381"/>
      <c r="GB57" s="2381"/>
      <c r="GC57" s="2381"/>
      <c r="GD57" s="2381"/>
      <c r="GE57" s="2381"/>
      <c r="GF57" s="2381"/>
      <c r="GG57" s="2381"/>
      <c r="GH57" s="2381"/>
      <c r="GI57" s="2381"/>
      <c r="GJ57" s="2381"/>
      <c r="GK57" s="2381"/>
      <c r="GL57" s="2381"/>
      <c r="GM57" s="2381"/>
      <c r="GN57" s="2381"/>
      <c r="GO57" s="2381"/>
      <c r="GP57" s="2381"/>
      <c r="GQ57" s="2381"/>
      <c r="GR57" s="2381"/>
      <c r="GS57" s="2381"/>
      <c r="GT57" s="2380" t="s">
        <v>1189</v>
      </c>
      <c r="GU57" s="2381"/>
      <c r="GV57" s="2381"/>
      <c r="GW57" s="2381"/>
      <c r="GX57" s="2381"/>
      <c r="GY57" s="2381"/>
      <c r="GZ57" s="2381"/>
      <c r="HA57" s="2381"/>
      <c r="HB57" s="2381"/>
      <c r="HC57" s="2381"/>
      <c r="HD57" s="2381"/>
      <c r="HE57" s="2381"/>
      <c r="HF57" s="2381"/>
      <c r="HG57" s="2381"/>
      <c r="HH57" s="2381"/>
      <c r="HI57" s="2381"/>
      <c r="HJ57" s="2381"/>
      <c r="HK57" s="2381"/>
      <c r="HL57" s="2381"/>
      <c r="HM57" s="2381"/>
      <c r="HN57" s="2381"/>
      <c r="HO57" s="2381"/>
      <c r="HP57" s="2381"/>
      <c r="HQ57" s="2381"/>
      <c r="HR57" s="2381"/>
      <c r="HS57" s="2381"/>
      <c r="HT57" s="2381"/>
      <c r="HU57" s="2381"/>
      <c r="HV57" s="2381"/>
      <c r="HW57" s="2381"/>
      <c r="HX57" s="2381"/>
      <c r="HY57" s="2381"/>
      <c r="HZ57" s="2381"/>
      <c r="IA57" s="2381"/>
      <c r="IB57" s="2381"/>
      <c r="IC57" s="2381"/>
      <c r="ID57" s="2381"/>
      <c r="IE57" s="2381"/>
      <c r="IF57" s="2381"/>
      <c r="IG57" s="2381"/>
      <c r="IH57" s="2381"/>
      <c r="II57" s="2381"/>
      <c r="IJ57" s="2381"/>
      <c r="IK57" s="2381"/>
      <c r="IL57" s="2381"/>
      <c r="IM57" s="2381"/>
      <c r="IN57" s="2381"/>
      <c r="IO57" s="2381"/>
      <c r="IP57" s="2381"/>
      <c r="IQ57" s="2381"/>
      <c r="IR57" s="2381"/>
      <c r="IS57" s="2381"/>
      <c r="IT57" s="2381"/>
      <c r="IU57" s="2381"/>
      <c r="IV57" s="2381"/>
      <c r="IW57" s="2381"/>
      <c r="IX57" s="2381"/>
      <c r="IY57" s="2381"/>
      <c r="IZ57" s="2381"/>
      <c r="JA57" s="2382"/>
      <c r="JB57" s="2382"/>
      <c r="JC57" s="2382"/>
      <c r="JD57" s="2382"/>
      <c r="JE57" s="2382"/>
      <c r="JF57" s="2382"/>
      <c r="JG57" s="3751"/>
      <c r="JH57" s="1233"/>
      <c r="JI57" s="1231"/>
      <c r="JJ57" s="1686" t="s">
        <v>6111</v>
      </c>
    </row>
    <row ht="12.75" r="58" spans="1:270" thickBot="1" x14ac:dyDescent="0.25">
      <c r="C58" s="1131" t="s">
        <v>1741</v>
      </c>
      <c r="D58" s="671"/>
      <c r="E58" s="1280" t="s">
        <v>5134</v>
      </c>
      <c r="F58" s="2343"/>
      <c r="G58" s="2383"/>
      <c r="H58" s="34"/>
      <c r="I58" s="34"/>
      <c r="J58" s="34"/>
      <c r="K58" s="34"/>
      <c r="L58" s="34"/>
      <c r="M58" s="34"/>
      <c r="N58" s="34"/>
      <c r="O58" s="34"/>
      <c r="P58" s="34"/>
      <c r="Q58" s="34"/>
      <c r="R58" s="34"/>
      <c r="S58" s="34"/>
      <c r="T58" s="34"/>
      <c r="U58" s="34"/>
      <c r="V58" s="34"/>
      <c r="W58" s="34"/>
      <c r="X58" s="34"/>
      <c r="Y58" s="34"/>
      <c r="Z58" s="34"/>
      <c r="AA58" s="34"/>
      <c r="AB58" s="34"/>
      <c r="AC58" s="34"/>
      <c r="AI58" s="34"/>
      <c r="AJ58" s="34"/>
      <c r="AK58" s="34"/>
      <c r="AL58" s="34"/>
      <c r="AM58" s="34"/>
      <c r="AN58" s="34"/>
      <c r="AO58" s="34"/>
      <c r="AP58" s="34"/>
      <c r="AQ58" s="34"/>
      <c r="AR58" s="34"/>
      <c r="AS58" s="1280"/>
      <c r="AT58" s="2343"/>
      <c r="AU58" s="2383"/>
      <c r="AV58" s="34"/>
      <c r="AW58" s="34"/>
      <c r="AX58" s="34"/>
      <c r="AY58" s="34"/>
      <c r="AZ58" s="34"/>
      <c r="BA58" s="34"/>
      <c r="BB58" s="34"/>
      <c r="BC58" s="34"/>
      <c r="BD58" s="34"/>
      <c r="BE58" s="34"/>
      <c r="BF58" s="34"/>
      <c r="BG58" s="34"/>
      <c r="BH58" s="34"/>
      <c r="BI58" s="34"/>
      <c r="BJ58" s="34"/>
      <c r="BK58" s="34"/>
      <c r="BL58" s="34"/>
      <c r="BM58" s="34"/>
      <c r="BN58" s="34"/>
      <c r="BO58" s="34"/>
      <c r="BP58" s="34"/>
      <c r="BQ58" s="34"/>
      <c r="BR58" s="34"/>
      <c r="BS58" s="34"/>
      <c r="BT58" s="34"/>
      <c r="BU58" s="34"/>
      <c r="BV58" s="34"/>
      <c r="BW58" s="34"/>
      <c r="BX58" s="34"/>
      <c r="BY58" s="34"/>
      <c r="BZ58" s="34"/>
      <c r="CA58" s="34"/>
      <c r="CB58" s="34"/>
      <c r="CC58" s="34"/>
      <c r="CD58" s="34"/>
      <c r="CE58" s="34"/>
      <c r="CF58" s="34"/>
      <c r="CG58" s="34"/>
      <c r="CH58" s="34"/>
      <c r="CI58" s="34"/>
      <c r="CJ58" s="34"/>
      <c r="CK58" s="34"/>
      <c r="CL58" s="34"/>
      <c r="CM58" s="34"/>
      <c r="CN58" s="34"/>
      <c r="CO58" s="34"/>
      <c r="CP58" s="34"/>
      <c r="CQ58" s="34"/>
      <c r="CR58" s="34"/>
      <c r="CS58" s="34"/>
      <c r="CT58" s="34"/>
      <c r="CU58" s="34"/>
      <c r="CV58" s="34"/>
      <c r="CW58" s="34"/>
      <c r="CX58" s="34"/>
      <c r="CY58" s="34"/>
      <c r="CZ58" s="34"/>
      <c r="DA58" s="34"/>
      <c r="DB58" s="34"/>
      <c r="DC58" s="34"/>
      <c r="DD58" s="34"/>
      <c r="DE58" s="34"/>
      <c r="DF58" s="34"/>
      <c r="DG58" s="34"/>
      <c r="DH58" s="34"/>
      <c r="DI58" s="34"/>
      <c r="DJ58" s="34"/>
      <c r="DK58" s="34"/>
      <c r="DL58" s="34"/>
      <c r="DM58" s="34"/>
      <c r="DN58" s="34"/>
      <c r="DO58" s="34"/>
      <c r="DP58" s="34"/>
      <c r="DQ58" s="34"/>
      <c r="DR58" s="34"/>
      <c r="DS58" s="34"/>
      <c r="DT58" s="34"/>
      <c r="DU58" s="34"/>
      <c r="DV58" s="34"/>
      <c r="DW58" s="34"/>
      <c r="DX58" s="34"/>
      <c r="DY58" s="34"/>
      <c r="DZ58" s="34"/>
      <c r="EA58" s="34"/>
      <c r="EB58" s="34"/>
      <c r="EC58" s="34"/>
      <c r="ED58" s="34"/>
      <c r="EE58" s="34"/>
      <c r="EF58" s="34"/>
      <c r="EG58" s="34"/>
      <c r="EH58" s="34"/>
      <c r="EI58" s="34"/>
      <c r="EJ58" s="34"/>
      <c r="EK58" s="34"/>
      <c r="EL58" s="34"/>
      <c r="EM58" s="34"/>
      <c r="EN58" s="34"/>
      <c r="EO58" s="34"/>
      <c r="EP58" s="34"/>
      <c r="EQ58" s="34"/>
      <c r="ER58" s="34"/>
      <c r="ES58" s="34"/>
      <c r="ET58" s="34"/>
      <c r="EU58" s="34"/>
      <c r="EV58" s="34"/>
      <c r="EW58" s="34"/>
      <c r="EX58" s="34"/>
      <c r="EY58" s="34"/>
      <c r="EZ58" s="34"/>
      <c r="FA58" s="34"/>
      <c r="FB58" s="34"/>
      <c r="FC58" s="34"/>
      <c r="FD58" s="34"/>
      <c r="FE58" s="34"/>
      <c r="FF58" s="34"/>
      <c r="FG58" s="34"/>
      <c r="FH58" s="34"/>
      <c r="FI58" s="34"/>
      <c r="FJ58" s="34"/>
      <c r="FK58" s="34"/>
      <c r="FL58" s="34"/>
      <c r="FM58" s="34"/>
      <c r="FN58" s="34"/>
      <c r="FO58" s="34"/>
      <c r="FP58" s="34"/>
      <c r="FQ58" s="34"/>
      <c r="FR58" s="34"/>
      <c r="FS58" s="34"/>
      <c r="FT58" s="34"/>
      <c r="FU58" s="34"/>
      <c r="FV58" s="34"/>
      <c r="FW58" s="34"/>
      <c r="FX58" s="34"/>
      <c r="FY58" s="34"/>
      <c r="FZ58" s="34"/>
      <c r="GA58" s="34"/>
      <c r="GB58" s="34"/>
      <c r="GC58" s="34"/>
      <c r="GD58" s="34"/>
      <c r="GE58" s="34"/>
      <c r="GF58" s="34"/>
      <c r="GG58" s="34"/>
      <c r="GH58" s="34"/>
      <c r="GI58" s="34"/>
      <c r="GJ58" s="34"/>
      <c r="GK58" s="34"/>
      <c r="GL58" s="34"/>
      <c r="GM58" s="34"/>
      <c r="GN58" s="34"/>
      <c r="GO58" s="34"/>
      <c r="GP58" s="34"/>
      <c r="GQ58" s="34"/>
      <c r="GR58" s="34"/>
      <c r="GS58" s="34"/>
      <c r="GT58" s="34"/>
      <c r="GU58" s="34"/>
      <c r="GV58" s="34"/>
      <c r="GW58" s="34"/>
      <c r="GX58" s="34"/>
      <c r="GY58" s="34"/>
      <c r="GZ58" s="34"/>
      <c r="HA58" s="34"/>
      <c r="HB58" s="34"/>
      <c r="HC58" s="34"/>
      <c r="HD58" s="34"/>
      <c r="HE58" s="34"/>
      <c r="HF58" s="34"/>
      <c r="HG58" s="34"/>
      <c r="HH58" s="34"/>
      <c r="HI58" s="34"/>
      <c r="HJ58" s="34"/>
      <c r="HK58" s="34"/>
      <c r="HL58" s="34"/>
      <c r="HM58" s="34"/>
      <c r="HN58" s="34"/>
      <c r="HO58" s="34"/>
      <c r="HP58" s="34"/>
      <c r="HQ58" s="34"/>
      <c r="HR58" s="34"/>
      <c r="HS58" s="34"/>
      <c r="HT58" s="34"/>
      <c r="HU58" s="34"/>
      <c r="HV58" s="34"/>
      <c r="HW58" s="34"/>
      <c r="HX58" s="34"/>
      <c r="HY58" s="34"/>
      <c r="HZ58" s="34"/>
      <c r="IA58" s="34"/>
      <c r="IB58" s="34"/>
      <c r="IC58" s="34"/>
      <c r="ID58" s="34"/>
      <c r="IE58" s="34"/>
      <c r="IF58" s="34"/>
      <c r="IG58" s="34"/>
      <c r="IH58" s="34"/>
      <c r="II58" s="34"/>
      <c r="IJ58" s="34"/>
      <c r="IK58" s="34"/>
      <c r="IL58" s="34"/>
      <c r="IM58" s="34"/>
      <c r="IN58" s="34"/>
      <c r="IO58" s="34"/>
      <c r="IP58" s="34"/>
      <c r="IQ58" s="34"/>
      <c r="IR58" s="34"/>
      <c r="IS58" s="34"/>
      <c r="IT58" s="34"/>
      <c r="IU58" s="34"/>
      <c r="IV58" s="34"/>
      <c r="IW58" s="34"/>
      <c r="IX58" s="34"/>
      <c r="IY58" s="34"/>
      <c r="IZ58" s="34"/>
    </row>
    <row ht="12.75" r="59" spans="1:270" x14ac:dyDescent="0.2">
      <c r="A59" s="1128" t="s">
        <v>4479</v>
      </c>
      <c r="B59" s="1945" t="str">
        <f>"selected "&amp;SLR_ind-1</f>
        <v>selected 3</v>
      </c>
      <c r="C59" s="1251" t="s">
        <v>2845</v>
      </c>
      <c r="D59" s="1252"/>
      <c r="E59" s="2026">
        <v>1</v>
      </c>
      <c r="F59" s="2026">
        <v>2</v>
      </c>
      <c r="G59" s="2026">
        <v>3</v>
      </c>
      <c r="H59" s="2026">
        <v>4</v>
      </c>
      <c r="I59" s="2026">
        <v>5</v>
      </c>
      <c r="J59" s="2026">
        <v>6</v>
      </c>
      <c r="K59" s="2026">
        <v>7</v>
      </c>
      <c r="L59" s="2026">
        <v>8</v>
      </c>
      <c r="M59" s="2026">
        <v>9</v>
      </c>
      <c r="N59" s="2026">
        <v>10</v>
      </c>
      <c r="O59" s="2026">
        <v>11</v>
      </c>
      <c r="P59" s="2026">
        <v>12</v>
      </c>
      <c r="Q59" s="2026">
        <v>13</v>
      </c>
      <c r="R59" s="2026">
        <v>14</v>
      </c>
      <c r="S59" s="2026">
        <v>15</v>
      </c>
      <c r="T59" s="2026">
        <v>16</v>
      </c>
      <c r="U59" s="2026">
        <v>17</v>
      </c>
      <c r="V59" s="2026">
        <v>18</v>
      </c>
      <c r="W59" s="2026">
        <v>19</v>
      </c>
      <c r="X59" s="2026">
        <v>20</v>
      </c>
      <c r="Y59" s="2026">
        <v>21</v>
      </c>
      <c r="Z59" s="2026">
        <v>22</v>
      </c>
      <c r="AA59" s="2026">
        <v>23</v>
      </c>
      <c r="AB59" s="2026">
        <v>24</v>
      </c>
      <c r="AC59" s="2026">
        <v>25</v>
      </c>
      <c r="AD59" s="3502">
        <v>26</v>
      </c>
      <c r="AE59" s="3502">
        <v>27</v>
      </c>
      <c r="AF59" s="3502">
        <v>28</v>
      </c>
      <c r="AG59" s="3502">
        <v>29</v>
      </c>
      <c r="AH59" s="3502">
        <v>30</v>
      </c>
      <c r="AI59" s="1134">
        <v>31</v>
      </c>
      <c r="AJ59" s="1134">
        <v>32</v>
      </c>
      <c r="AK59" s="1134">
        <v>33</v>
      </c>
      <c r="AL59" s="1134">
        <v>34</v>
      </c>
      <c r="AM59" s="1134">
        <v>35</v>
      </c>
      <c r="AN59" s="1134">
        <v>36</v>
      </c>
      <c r="AO59" s="1134">
        <v>37</v>
      </c>
      <c r="AP59" s="1134">
        <v>38</v>
      </c>
      <c r="AQ59" s="1134">
        <v>39</v>
      </c>
      <c r="AR59" s="1134">
        <v>40</v>
      </c>
      <c r="AS59" s="1134">
        <v>41</v>
      </c>
      <c r="AT59" s="1134">
        <v>42</v>
      </c>
      <c r="AU59" s="1134">
        <v>43</v>
      </c>
      <c r="AV59" s="1134">
        <v>44</v>
      </c>
      <c r="AW59" s="1134">
        <v>45</v>
      </c>
      <c r="AX59" s="1134">
        <v>46</v>
      </c>
      <c r="AY59" s="1134">
        <v>47</v>
      </c>
      <c r="AZ59" s="1134">
        <v>48</v>
      </c>
      <c r="BA59" s="1134">
        <v>49</v>
      </c>
      <c r="BB59" s="1134">
        <v>50</v>
      </c>
      <c r="BC59" s="1134">
        <v>51</v>
      </c>
      <c r="BD59" s="1134">
        <v>52</v>
      </c>
      <c r="BE59" s="2026">
        <v>53</v>
      </c>
      <c r="BF59" s="2026">
        <v>54</v>
      </c>
      <c r="BG59" s="1134">
        <v>55</v>
      </c>
      <c r="BH59" s="1134">
        <v>56</v>
      </c>
      <c r="BI59" s="1134">
        <v>57</v>
      </c>
      <c r="BJ59" s="1134">
        <v>58</v>
      </c>
      <c r="BK59" s="1134">
        <v>59</v>
      </c>
      <c r="BL59" s="1134">
        <v>60</v>
      </c>
      <c r="BM59" s="1134">
        <v>61</v>
      </c>
      <c r="BN59" s="1134">
        <v>62</v>
      </c>
      <c r="BO59" s="1134">
        <v>63</v>
      </c>
      <c r="BP59" s="1134">
        <v>64</v>
      </c>
      <c r="BQ59" s="1134">
        <v>65</v>
      </c>
      <c r="BR59" s="1134">
        <v>66</v>
      </c>
      <c r="BS59" s="1134">
        <v>67</v>
      </c>
      <c r="BT59" s="1134">
        <v>68</v>
      </c>
      <c r="BU59" s="1134">
        <v>69</v>
      </c>
      <c r="BV59" s="1134">
        <v>70</v>
      </c>
      <c r="BW59" s="1134">
        <v>71</v>
      </c>
      <c r="BX59" s="1134">
        <v>72</v>
      </c>
      <c r="BY59" s="1134">
        <v>73</v>
      </c>
      <c r="BZ59" s="1134">
        <v>74</v>
      </c>
      <c r="CA59" s="1134">
        <v>75</v>
      </c>
      <c r="CB59" s="1134">
        <v>76</v>
      </c>
      <c r="CC59" s="1134">
        <v>77</v>
      </c>
      <c r="CD59" s="1134">
        <v>78</v>
      </c>
      <c r="CE59" s="1134">
        <v>79</v>
      </c>
      <c r="CF59" s="1134">
        <v>80</v>
      </c>
      <c r="CG59" s="1134">
        <v>81</v>
      </c>
      <c r="CH59" s="1134">
        <v>82</v>
      </c>
      <c r="CI59" s="1134">
        <v>83</v>
      </c>
      <c r="CJ59" s="1134">
        <v>84</v>
      </c>
      <c r="CK59" s="1134">
        <v>85</v>
      </c>
      <c r="CL59" s="1134">
        <v>86</v>
      </c>
      <c r="CM59" s="1134">
        <v>87</v>
      </c>
      <c r="CN59" s="1134">
        <v>88</v>
      </c>
      <c r="CO59" s="1134">
        <v>89</v>
      </c>
      <c r="CP59" s="1134">
        <v>90</v>
      </c>
      <c r="CQ59" s="1134">
        <v>91</v>
      </c>
      <c r="CR59" s="1134">
        <v>92</v>
      </c>
      <c r="CS59" s="1134">
        <v>93</v>
      </c>
      <c r="CT59" s="1134">
        <v>94</v>
      </c>
      <c r="CU59" s="1134">
        <v>95</v>
      </c>
      <c r="CV59" s="1134">
        <v>96</v>
      </c>
      <c r="CW59" s="1134">
        <v>97</v>
      </c>
      <c r="CX59" s="1134">
        <v>98</v>
      </c>
      <c r="CY59" s="1134">
        <v>99</v>
      </c>
      <c r="CZ59" s="1134">
        <v>100</v>
      </c>
      <c r="DA59" s="1134">
        <v>101</v>
      </c>
      <c r="DB59" s="2485">
        <v>102</v>
      </c>
      <c r="DC59" s="1134">
        <v>103</v>
      </c>
      <c r="DD59" s="1134">
        <v>104</v>
      </c>
      <c r="DE59" s="1134">
        <v>105</v>
      </c>
      <c r="DF59" s="1134">
        <v>106</v>
      </c>
      <c r="DG59" s="1134">
        <v>107</v>
      </c>
      <c r="DH59" s="1134">
        <v>108</v>
      </c>
      <c r="DI59" s="1134">
        <v>109</v>
      </c>
      <c r="DJ59" s="1134">
        <v>110</v>
      </c>
      <c r="DK59" s="1134">
        <v>111</v>
      </c>
      <c r="DL59" s="1134">
        <v>112</v>
      </c>
      <c r="DM59" s="1134">
        <v>113</v>
      </c>
      <c r="DN59" s="1134">
        <v>114</v>
      </c>
      <c r="DO59" s="1134">
        <v>115</v>
      </c>
      <c r="DP59" s="1134">
        <v>116</v>
      </c>
      <c r="DQ59" s="1134">
        <v>117</v>
      </c>
      <c r="DR59" s="1134">
        <v>118</v>
      </c>
      <c r="DS59" s="1134">
        <v>119</v>
      </c>
      <c r="DT59" s="1134">
        <v>120</v>
      </c>
      <c r="DU59" s="1134">
        <v>121</v>
      </c>
      <c r="DV59" s="1134">
        <v>122</v>
      </c>
      <c r="DW59" s="1134">
        <v>123</v>
      </c>
      <c r="DX59" s="1134">
        <v>124</v>
      </c>
      <c r="DY59" s="1134">
        <v>125</v>
      </c>
      <c r="DZ59" s="1134">
        <v>126</v>
      </c>
      <c r="EA59" s="1134">
        <v>127</v>
      </c>
      <c r="EB59" s="1134">
        <v>128</v>
      </c>
      <c r="EC59" s="1134">
        <v>129</v>
      </c>
      <c r="ED59" s="1134">
        <v>130</v>
      </c>
      <c r="EE59" s="1134">
        <v>131</v>
      </c>
      <c r="EF59" s="1134">
        <v>132</v>
      </c>
      <c r="EG59" s="1134">
        <v>133</v>
      </c>
      <c r="EH59" s="1134">
        <v>134</v>
      </c>
      <c r="EI59" s="1134">
        <v>135</v>
      </c>
      <c r="EJ59" s="1134">
        <v>136</v>
      </c>
      <c r="EK59" s="1134">
        <v>137</v>
      </c>
      <c r="EL59" s="1134">
        <v>138</v>
      </c>
      <c r="EM59" s="1134">
        <v>139</v>
      </c>
      <c r="EN59" s="1134">
        <v>140</v>
      </c>
      <c r="EO59" s="1134">
        <v>141</v>
      </c>
      <c r="EP59" s="1134">
        <v>142</v>
      </c>
      <c r="EQ59" s="1134">
        <v>143</v>
      </c>
      <c r="ER59" s="1134">
        <v>144</v>
      </c>
      <c r="ES59" s="1134">
        <v>145</v>
      </c>
      <c r="ET59" s="1134">
        <v>146</v>
      </c>
      <c r="EU59" s="1134">
        <v>147</v>
      </c>
      <c r="EV59" s="1134">
        <v>148</v>
      </c>
      <c r="EW59" s="1134">
        <v>149</v>
      </c>
      <c r="EX59" s="1134">
        <v>150</v>
      </c>
      <c r="EY59" s="1134">
        <v>151</v>
      </c>
      <c r="EZ59" s="1134">
        <v>152</v>
      </c>
      <c r="FA59" s="1134">
        <v>153</v>
      </c>
      <c r="FB59" s="1134">
        <v>154</v>
      </c>
      <c r="FC59" s="1134">
        <v>155</v>
      </c>
      <c r="FD59" s="1134">
        <v>156</v>
      </c>
      <c r="FE59" s="1134">
        <v>157</v>
      </c>
      <c r="FF59" s="1134">
        <v>158</v>
      </c>
      <c r="FG59" s="1134">
        <v>159</v>
      </c>
      <c r="FH59" s="1134">
        <v>160</v>
      </c>
      <c r="FI59" s="1134">
        <v>161</v>
      </c>
      <c r="FJ59" s="1134">
        <v>162</v>
      </c>
      <c r="FK59" s="1134">
        <v>163</v>
      </c>
      <c r="FL59" s="1134">
        <v>164</v>
      </c>
      <c r="FM59" s="1134">
        <v>165</v>
      </c>
      <c r="FN59" s="1134">
        <v>166</v>
      </c>
      <c r="FO59" s="1134">
        <v>167</v>
      </c>
      <c r="FP59" s="1134">
        <v>168</v>
      </c>
      <c r="FQ59" s="1134">
        <v>169</v>
      </c>
      <c r="FR59" s="1134">
        <v>170</v>
      </c>
      <c r="FS59" s="1134">
        <v>171</v>
      </c>
      <c r="FT59" s="1134">
        <v>172</v>
      </c>
      <c r="FU59" s="1134">
        <v>173</v>
      </c>
      <c r="FV59" s="1134">
        <v>174</v>
      </c>
      <c r="FW59" s="1134">
        <v>175</v>
      </c>
      <c r="FX59" s="1134">
        <v>176</v>
      </c>
      <c r="FY59" s="1134">
        <v>177</v>
      </c>
      <c r="FZ59" s="1134">
        <v>178</v>
      </c>
      <c r="GA59" s="1134">
        <v>179</v>
      </c>
      <c r="GB59" s="1134">
        <v>180</v>
      </c>
      <c r="GC59" s="1134">
        <v>181</v>
      </c>
      <c r="GD59" s="1134">
        <v>182</v>
      </c>
      <c r="GE59" s="1134">
        <v>183</v>
      </c>
      <c r="GF59" s="1134">
        <v>184</v>
      </c>
      <c r="GG59" s="1134">
        <v>185</v>
      </c>
      <c r="GH59" s="1134">
        <v>186</v>
      </c>
      <c r="GI59" s="1134">
        <v>187</v>
      </c>
      <c r="GJ59" s="1134">
        <v>188</v>
      </c>
      <c r="GK59" s="1134">
        <v>189</v>
      </c>
      <c r="GL59" s="1134">
        <v>190</v>
      </c>
      <c r="GM59" s="1134">
        <v>191</v>
      </c>
      <c r="GN59" s="1134">
        <v>192</v>
      </c>
      <c r="GO59" s="1134">
        <v>193</v>
      </c>
      <c r="GP59" s="1134">
        <v>194</v>
      </c>
      <c r="GQ59" s="1134">
        <v>195</v>
      </c>
      <c r="GR59" s="1134">
        <v>196</v>
      </c>
      <c r="GS59" s="1134">
        <v>197</v>
      </c>
      <c r="GT59" s="1134">
        <v>198</v>
      </c>
      <c r="GU59" s="1134">
        <v>199</v>
      </c>
      <c r="GV59" s="1134">
        <v>200</v>
      </c>
      <c r="GW59" s="1134">
        <v>201</v>
      </c>
      <c r="GX59" s="1134">
        <v>202</v>
      </c>
      <c r="GY59" s="1134">
        <v>203</v>
      </c>
      <c r="GZ59" s="1134">
        <v>204</v>
      </c>
      <c r="HA59" s="1134">
        <v>205</v>
      </c>
      <c r="HB59" s="1134">
        <v>206</v>
      </c>
      <c r="HC59" s="1134">
        <v>207</v>
      </c>
      <c r="HD59" s="1134">
        <v>208</v>
      </c>
      <c r="HE59" s="1134">
        <v>209</v>
      </c>
      <c r="HF59" s="1134">
        <v>210</v>
      </c>
      <c r="HG59" s="1134">
        <v>211</v>
      </c>
      <c r="HH59" s="1134">
        <v>212</v>
      </c>
      <c r="HI59" s="1134">
        <v>213</v>
      </c>
      <c r="HJ59" s="1134">
        <v>214</v>
      </c>
      <c r="HK59" s="1134">
        <v>215</v>
      </c>
      <c r="HL59" s="1134">
        <v>216</v>
      </c>
      <c r="HM59" s="1134">
        <v>217</v>
      </c>
      <c r="HN59" s="1134">
        <v>218</v>
      </c>
      <c r="HO59" s="1134">
        <v>219</v>
      </c>
      <c r="HP59" s="1134">
        <v>220</v>
      </c>
      <c r="HQ59" s="1134">
        <v>221</v>
      </c>
      <c r="HR59" s="1134">
        <v>222</v>
      </c>
      <c r="HS59" s="1134">
        <v>223</v>
      </c>
      <c r="HT59" s="1134">
        <v>224</v>
      </c>
      <c r="HU59" s="1134">
        <v>225</v>
      </c>
      <c r="HV59" s="1134">
        <v>226</v>
      </c>
      <c r="HW59" s="1134">
        <v>227</v>
      </c>
      <c r="HX59" s="1134">
        <v>228</v>
      </c>
      <c r="HY59" s="1134">
        <v>229</v>
      </c>
      <c r="HZ59" s="1134">
        <v>230</v>
      </c>
      <c r="IA59" s="1134">
        <v>231</v>
      </c>
      <c r="IB59" s="1134">
        <v>232</v>
      </c>
      <c r="IC59" s="1134">
        <v>233</v>
      </c>
      <c r="ID59" s="1134">
        <v>234</v>
      </c>
      <c r="IE59" s="1134">
        <v>235</v>
      </c>
      <c r="IF59" s="1134">
        <v>236</v>
      </c>
      <c r="IG59" s="1134">
        <v>237</v>
      </c>
      <c r="IH59" s="1134">
        <v>238</v>
      </c>
      <c r="II59" s="1134">
        <v>239</v>
      </c>
      <c r="IJ59" s="1134">
        <v>240</v>
      </c>
      <c r="IK59" s="1134">
        <v>241</v>
      </c>
      <c r="IL59" s="1134">
        <v>242</v>
      </c>
      <c r="IM59" s="1134">
        <v>243</v>
      </c>
      <c r="IN59" s="1134">
        <v>244</v>
      </c>
      <c r="IO59" s="1134">
        <v>245</v>
      </c>
      <c r="IP59" s="1134">
        <v>246</v>
      </c>
      <c r="IQ59" s="1134">
        <v>247</v>
      </c>
      <c r="IR59" s="1134">
        <v>248</v>
      </c>
      <c r="IS59" s="1134">
        <v>249</v>
      </c>
      <c r="IT59" s="1134">
        <v>250</v>
      </c>
      <c r="IU59" s="1134">
        <v>251</v>
      </c>
      <c r="IV59" s="1134">
        <v>252</v>
      </c>
      <c r="IW59" s="1134">
        <v>253</v>
      </c>
      <c r="IX59" s="1134">
        <v>254</v>
      </c>
      <c r="IY59" s="1134">
        <v>255</v>
      </c>
      <c r="IZ59" s="1134">
        <v>256</v>
      </c>
      <c r="JA59" s="1134">
        <v>257</v>
      </c>
      <c r="JB59" s="1134">
        <v>258</v>
      </c>
      <c r="JC59" s="1134">
        <v>259</v>
      </c>
      <c r="JD59" s="1134">
        <v>260</v>
      </c>
      <c r="JE59" s="1134">
        <v>261</v>
      </c>
      <c r="JF59" s="1134">
        <v>262</v>
      </c>
      <c r="JG59" s="2485">
        <v>263</v>
      </c>
      <c r="JH59" s="1233"/>
      <c r="JJ59" s="1701" t="s">
        <v>6104</v>
      </c>
    </row>
    <row ht="12.75" r="60" spans="1:270" x14ac:dyDescent="0.2">
      <c r="A60" s="1128">
        <v>2</v>
      </c>
      <c r="B60" s="1276" t="str">
        <f>IF(SLR_ind&gt;1,IF(HLOOKUP(SLR_ind-1,SLR_RANGE,A60)="","",HLOOKUP(SLR_ind-1,SLR_RANGE,A60)),"")</f>
        <v/>
      </c>
      <c r="C60" s="1530" t="s">
        <v>570</v>
      </c>
      <c r="D60" s="1262" t="s">
        <v>4550</v>
      </c>
      <c r="E60" s="2377"/>
      <c r="F60" s="2377"/>
      <c r="G60" s="2377"/>
      <c r="H60" s="3639" t="s">
        <v>572</v>
      </c>
      <c r="I60" s="2377"/>
      <c r="J60" s="2377"/>
      <c r="K60" s="2377"/>
      <c r="L60" s="2377"/>
      <c r="M60" s="3639" t="s">
        <v>572</v>
      </c>
      <c r="N60" s="2377"/>
      <c r="O60" s="2377"/>
      <c r="P60" s="2377"/>
      <c r="Q60" s="2377"/>
      <c r="R60" s="2377" t="s">
        <v>572</v>
      </c>
      <c r="S60" s="2377" t="s">
        <v>572</v>
      </c>
      <c r="T60" s="2377"/>
      <c r="U60" s="2377" t="s">
        <v>572</v>
      </c>
      <c r="V60" s="2377"/>
      <c r="W60" s="2377"/>
      <c r="X60" s="2377"/>
      <c r="Y60" s="2377"/>
      <c r="Z60" s="2377"/>
      <c r="AA60" s="2377"/>
      <c r="AB60" s="2377"/>
      <c r="AC60" s="2377"/>
      <c r="AD60" s="2377"/>
      <c r="AE60" s="2377"/>
      <c r="AF60" s="2377"/>
      <c r="AG60" s="2377"/>
      <c r="AH60" s="2377"/>
      <c r="AI60" s="2377"/>
      <c r="AJ60" s="2377"/>
      <c r="AK60" s="2377"/>
      <c r="AL60" s="2377"/>
      <c r="AM60" s="2377"/>
      <c r="AN60" s="2377"/>
      <c r="AO60" s="2377"/>
      <c r="AP60" s="2377" t="s">
        <v>572</v>
      </c>
      <c r="AQ60" s="2377"/>
      <c r="AR60" s="2377"/>
      <c r="AS60" s="2377" t="s">
        <v>572</v>
      </c>
      <c r="AT60" s="2377"/>
      <c r="AU60" s="2377"/>
      <c r="AV60" s="2377" t="s">
        <v>572</v>
      </c>
      <c r="AW60" s="2377"/>
      <c r="AX60" s="2377"/>
      <c r="AY60" s="2377"/>
      <c r="AZ60" s="2377"/>
      <c r="BA60" s="2377"/>
      <c r="BB60" s="2377"/>
      <c r="BC60" s="2377"/>
      <c r="BD60" s="2377"/>
      <c r="BE60" s="3639" t="s">
        <v>572</v>
      </c>
      <c r="BF60" s="3639" t="s">
        <v>572</v>
      </c>
      <c r="BG60" s="2377"/>
      <c r="BH60" s="2377"/>
      <c r="BI60" s="2377"/>
      <c r="BJ60" s="2377"/>
      <c r="BK60" s="2377"/>
      <c r="BL60" s="2377"/>
      <c r="BM60" s="2377"/>
      <c r="BN60" s="2377"/>
      <c r="BO60" s="2377"/>
      <c r="BP60" s="2377"/>
      <c r="BQ60" s="2377"/>
      <c r="BR60" s="2377"/>
      <c r="BS60" s="2377"/>
      <c r="BT60" s="2377"/>
      <c r="BU60" s="2377"/>
      <c r="BV60" s="2377"/>
      <c r="BW60" s="2377"/>
      <c r="BX60" s="2377"/>
      <c r="BY60" s="2377"/>
      <c r="BZ60" s="2377"/>
      <c r="CA60" s="2384"/>
      <c r="CB60" s="2377"/>
      <c r="CC60" s="2384"/>
      <c r="CD60" s="2377"/>
      <c r="CE60" s="2384"/>
      <c r="CF60" s="2377"/>
      <c r="CG60" s="2384"/>
      <c r="CH60" s="2377"/>
      <c r="CI60" s="2384"/>
      <c r="CJ60" s="2377"/>
      <c r="CK60" s="2384"/>
      <c r="CL60" s="2377"/>
      <c r="CM60" s="2384"/>
      <c r="CN60" s="2377"/>
      <c r="CO60" s="2384"/>
      <c r="CP60" s="2377"/>
      <c r="CQ60" s="2384"/>
      <c r="CR60" s="2377"/>
      <c r="CS60" s="2384"/>
      <c r="CT60" s="2377"/>
      <c r="CU60" s="2384"/>
      <c r="CV60" s="2377"/>
      <c r="CW60" s="2384"/>
      <c r="CX60" s="2377"/>
      <c r="CY60" s="2384"/>
      <c r="CZ60" s="2377"/>
      <c r="DA60" s="2384"/>
      <c r="DB60" s="2377" t="s">
        <v>572</v>
      </c>
      <c r="DC60" s="2384"/>
      <c r="DD60" s="2377"/>
      <c r="DE60" s="2384"/>
      <c r="DF60" s="2377"/>
      <c r="DG60" s="2384"/>
      <c r="DH60" s="2377"/>
      <c r="DI60" s="2384"/>
      <c r="DJ60" s="2377" t="s">
        <v>572</v>
      </c>
      <c r="DK60" s="2384"/>
      <c r="DL60" s="2377"/>
      <c r="DM60" s="2384"/>
      <c r="DN60" s="2377"/>
      <c r="DO60" s="2384"/>
      <c r="DP60" s="2377"/>
      <c r="DQ60" s="2384"/>
      <c r="DR60" s="2377"/>
      <c r="DS60" s="2384"/>
      <c r="DT60" s="2377"/>
      <c r="DU60" s="2377" t="s">
        <v>572</v>
      </c>
      <c r="DV60" s="2377" t="s">
        <v>572</v>
      </c>
      <c r="DW60" s="2384"/>
      <c r="DX60" s="2377"/>
      <c r="DY60" s="2384"/>
      <c r="DZ60" s="2377"/>
      <c r="EA60" s="2384"/>
      <c r="EB60" s="2377"/>
      <c r="EC60" s="2384"/>
      <c r="ED60" s="2377"/>
      <c r="EE60" s="2384"/>
      <c r="EF60" s="2377"/>
      <c r="EG60" s="2384"/>
      <c r="EH60" s="2377"/>
      <c r="EI60" s="2384"/>
      <c r="EJ60" s="2377"/>
      <c r="EK60" s="2377" t="s">
        <v>572</v>
      </c>
      <c r="EL60" s="2377" t="s">
        <v>572</v>
      </c>
      <c r="EM60" s="2384"/>
      <c r="EN60" s="2377"/>
      <c r="EO60" s="2384"/>
      <c r="EP60" s="2377"/>
      <c r="EQ60" s="2384"/>
      <c r="ER60" s="2377"/>
      <c r="ES60" s="2384"/>
      <c r="ET60" s="2377"/>
      <c r="EU60" s="2384"/>
      <c r="EV60" s="2377"/>
      <c r="EW60" s="2377" t="s">
        <v>572</v>
      </c>
      <c r="EX60" s="2377"/>
      <c r="EY60" s="2384"/>
      <c r="EZ60" s="2377"/>
      <c r="FA60" s="2384"/>
      <c r="FB60" s="2377"/>
      <c r="FC60" s="2384"/>
      <c r="FD60" s="2377"/>
      <c r="FE60" s="2384"/>
      <c r="FF60" s="2377"/>
      <c r="FG60" s="2384"/>
      <c r="FH60" s="2377"/>
      <c r="FI60" s="2384"/>
      <c r="FJ60" s="2377"/>
      <c r="FK60" s="2384"/>
      <c r="FL60" s="2377"/>
      <c r="FM60" s="2384"/>
      <c r="FN60" s="2377"/>
      <c r="FO60" s="2384"/>
      <c r="FP60" s="2377"/>
      <c r="FQ60" s="2384"/>
      <c r="FR60" s="2377"/>
      <c r="FS60" s="2384"/>
      <c r="FT60" s="2377"/>
      <c r="FU60" s="2384"/>
      <c r="FV60" s="2377"/>
      <c r="FW60" s="2384"/>
      <c r="FX60" s="2377"/>
      <c r="FY60" s="2384"/>
      <c r="FZ60" s="2377"/>
      <c r="GA60" s="2384"/>
      <c r="GB60" s="2377"/>
      <c r="GC60" s="2377" t="s">
        <v>572</v>
      </c>
      <c r="GD60" s="2377" t="s">
        <v>572</v>
      </c>
      <c r="GE60" s="2384"/>
      <c r="GF60" s="2377"/>
      <c r="GG60" s="2377" t="s">
        <v>572</v>
      </c>
      <c r="GH60" s="2377"/>
      <c r="GI60" s="2384"/>
      <c r="GJ60" s="2377"/>
      <c r="GK60" s="2384"/>
      <c r="GL60" s="2377"/>
      <c r="GM60" s="2384"/>
      <c r="GN60" s="2377"/>
      <c r="GO60" s="2384"/>
      <c r="GP60" s="2377"/>
      <c r="GQ60" s="2384"/>
      <c r="GR60" s="2377"/>
      <c r="GS60" s="2384"/>
      <c r="GT60" s="2377"/>
      <c r="GU60" s="2384"/>
      <c r="GV60" s="2377"/>
      <c r="GW60" s="2384"/>
      <c r="GX60" s="2377"/>
      <c r="GY60" s="2384"/>
      <c r="GZ60" s="2377"/>
      <c r="HA60" s="2384"/>
      <c r="HB60" s="2377"/>
      <c r="HC60" s="2384"/>
      <c r="HD60" s="2377"/>
      <c r="HE60" s="2384"/>
      <c r="HF60" s="2377"/>
      <c r="HG60" s="2384"/>
      <c r="HH60" s="2377"/>
      <c r="HI60" s="2384"/>
      <c r="HJ60" s="2377"/>
      <c r="HK60" s="2384"/>
      <c r="HL60" s="2377"/>
      <c r="HM60" s="2384"/>
      <c r="HN60" s="2377"/>
      <c r="HO60" s="2384"/>
      <c r="HP60" s="2377"/>
      <c r="HQ60" s="2384"/>
      <c r="HR60" s="2377"/>
      <c r="HS60" s="2384"/>
      <c r="HT60" s="2377"/>
      <c r="HU60" s="2384"/>
      <c r="HV60" s="2377"/>
      <c r="HW60" s="2384"/>
      <c r="HX60" s="2377"/>
      <c r="HY60" s="2384"/>
      <c r="HZ60" s="2377"/>
      <c r="IA60" s="2384"/>
      <c r="IB60" s="2377"/>
      <c r="IC60" s="2384"/>
      <c r="ID60" s="2377"/>
      <c r="IE60" s="2384"/>
      <c r="IF60" s="2377"/>
      <c r="IG60" s="2384"/>
      <c r="IH60" s="2377"/>
      <c r="II60" s="2384"/>
      <c r="IJ60" s="2377"/>
      <c r="IK60" s="2384"/>
      <c r="IL60" s="2377"/>
      <c r="IM60" s="2384"/>
      <c r="IN60" s="2377"/>
      <c r="IO60" s="2384"/>
      <c r="IP60" s="2377"/>
      <c r="IQ60" s="2384"/>
      <c r="IR60" s="2384"/>
      <c r="IS60" s="2377"/>
      <c r="IT60" s="2384"/>
      <c r="IU60" s="2377"/>
      <c r="IV60" s="2384"/>
      <c r="IW60" s="2377"/>
      <c r="IX60" s="2384"/>
      <c r="IY60" s="2377"/>
      <c r="IZ60" s="2384"/>
      <c r="JA60" s="2384"/>
      <c r="JB60" s="2384"/>
      <c r="JC60" s="2384"/>
      <c r="JD60" s="2384"/>
      <c r="JE60" s="2384"/>
      <c r="JF60" s="2384"/>
      <c r="JG60" s="3347"/>
      <c r="JH60" s="1233"/>
      <c r="JI60" s="1229"/>
      <c r="JJ60" s="1686" t="s">
        <v>6111</v>
      </c>
    </row>
    <row ht="12.75" r="61" spans="1:270" x14ac:dyDescent="0.2">
      <c r="A61" s="1128">
        <v>3</v>
      </c>
      <c r="B61" s="1655" t="str">
        <f>IF(SLR_ind&gt;1,IF(HLOOKUP(SLR_ind-1,SLR_RANGE,A61)="","",HLOOKUP(SLR_ind-1,SLR_RANGE,A61)),"")</f>
        <v/>
      </c>
      <c r="C61" s="1530" t="s">
        <v>6131</v>
      </c>
      <c r="D61" s="1262" t="s">
        <v>5170</v>
      </c>
      <c r="E61" s="2385"/>
      <c r="F61" s="2385"/>
      <c r="G61" s="2385"/>
      <c r="H61" s="3707" t="s">
        <v>5129</v>
      </c>
      <c r="I61" s="2385"/>
      <c r="J61" s="2385"/>
      <c r="K61" s="2385"/>
      <c r="L61" s="2385"/>
      <c r="M61" s="3707" t="s">
        <v>5128</v>
      </c>
      <c r="N61" s="2385"/>
      <c r="O61" s="2385"/>
      <c r="P61" s="2385"/>
      <c r="Q61" s="2385"/>
      <c r="R61" s="2386" t="s">
        <v>5129</v>
      </c>
      <c r="S61" s="2385" t="s">
        <v>5128</v>
      </c>
      <c r="T61" s="2385"/>
      <c r="U61" s="3707"/>
      <c r="V61" s="2385"/>
      <c r="W61" s="2385"/>
      <c r="X61" s="2385"/>
      <c r="Y61" s="2385"/>
      <c r="Z61" s="2385"/>
      <c r="AA61" s="2385"/>
      <c r="AB61" s="2385"/>
      <c r="AC61" s="2385"/>
      <c r="AD61" s="2385"/>
      <c r="AE61" s="2385"/>
      <c r="AF61" s="2385"/>
      <c r="AG61" s="2385"/>
      <c r="AH61" s="2385"/>
      <c r="AI61" s="2385"/>
      <c r="AJ61" s="2385"/>
      <c r="AK61" s="2385"/>
      <c r="AL61" s="2385"/>
      <c r="AM61" s="2385"/>
      <c r="AN61" s="2385"/>
      <c r="AO61" s="2385"/>
      <c r="AP61" s="2385" t="s">
        <v>5128</v>
      </c>
      <c r="AQ61" s="2385"/>
      <c r="AR61" s="2385"/>
      <c r="AS61" s="2385" t="s">
        <v>5128</v>
      </c>
      <c r="AT61" s="2385"/>
      <c r="AU61" s="2385"/>
      <c r="AV61" s="2385" t="s">
        <v>5128</v>
      </c>
      <c r="AW61" s="2385"/>
      <c r="AX61" s="2385"/>
      <c r="AY61" s="2386"/>
      <c r="AZ61" s="2386"/>
      <c r="BA61" s="2386"/>
      <c r="BB61" s="2386"/>
      <c r="BC61" s="2386"/>
      <c r="BD61" s="2385"/>
      <c r="BE61" s="3707" t="s">
        <v>5129</v>
      </c>
      <c r="BF61" s="3707" t="s">
        <v>5128</v>
      </c>
      <c r="BG61" s="2385"/>
      <c r="BH61" s="2385"/>
      <c r="BI61" s="2385"/>
      <c r="BJ61" s="2385"/>
      <c r="BK61" s="2385"/>
      <c r="BL61" s="2385"/>
      <c r="BM61" s="2385"/>
      <c r="BN61" s="2385"/>
      <c r="BO61" s="2385"/>
      <c r="BP61" s="2385"/>
      <c r="BQ61" s="2385"/>
      <c r="BR61" s="2385"/>
      <c r="BS61" s="2385"/>
      <c r="BT61" s="2385"/>
      <c r="BU61" s="2385"/>
      <c r="BV61" s="2385"/>
      <c r="BW61" s="2385"/>
      <c r="BX61" s="2385"/>
      <c r="BY61" s="2385"/>
      <c r="BZ61" s="2385"/>
      <c r="CA61" s="2387"/>
      <c r="CB61" s="2385"/>
      <c r="CC61" s="2387"/>
      <c r="CD61" s="2385"/>
      <c r="CE61" s="2387"/>
      <c r="CF61" s="2385"/>
      <c r="CG61" s="2387"/>
      <c r="CH61" s="2385"/>
      <c r="CI61" s="2387"/>
      <c r="CJ61" s="2385"/>
      <c r="CK61" s="2387"/>
      <c r="CL61" s="2385"/>
      <c r="CM61" s="2387"/>
      <c r="CN61" s="2385"/>
      <c r="CO61" s="2387"/>
      <c r="CP61" s="2385"/>
      <c r="CQ61" s="2387"/>
      <c r="CR61" s="2385"/>
      <c r="CS61" s="2387"/>
      <c r="CT61" s="2385"/>
      <c r="CU61" s="2387"/>
      <c r="CV61" s="2385"/>
      <c r="CW61" s="2387"/>
      <c r="CX61" s="2385"/>
      <c r="CY61" s="2387"/>
      <c r="CZ61" s="2385"/>
      <c r="DA61" s="2387"/>
      <c r="DB61" s="3707"/>
      <c r="DC61" s="2387"/>
      <c r="DD61" s="2385"/>
      <c r="DE61" s="2387"/>
      <c r="DF61" s="2385"/>
      <c r="DG61" s="2387"/>
      <c r="DH61" s="2385"/>
      <c r="DI61" s="2387"/>
      <c r="DJ61" s="2385" t="s">
        <v>5129</v>
      </c>
      <c r="DK61" s="2387"/>
      <c r="DL61" s="2385"/>
      <c r="DM61" s="2387"/>
      <c r="DN61" s="2385"/>
      <c r="DO61" s="2387"/>
      <c r="DP61" s="2385"/>
      <c r="DQ61" s="2387"/>
      <c r="DR61" s="2385"/>
      <c r="DS61" s="2387"/>
      <c r="DT61" s="2385"/>
      <c r="DU61" s="2385" t="s">
        <v>5128</v>
      </c>
      <c r="DV61" s="2385" t="s">
        <v>5128</v>
      </c>
      <c r="DW61" s="2387"/>
      <c r="DX61" s="2385"/>
      <c r="DY61" s="2387"/>
      <c r="DZ61" s="2385"/>
      <c r="EA61" s="2387"/>
      <c r="EB61" s="2385"/>
      <c r="EC61" s="2387"/>
      <c r="ED61" s="2385"/>
      <c r="EE61" s="2387"/>
      <c r="EF61" s="2385"/>
      <c r="EG61" s="2387"/>
      <c r="EH61" s="2385"/>
      <c r="EI61" s="2387"/>
      <c r="EJ61" s="2385"/>
      <c r="EK61" s="2385" t="s">
        <v>5128</v>
      </c>
      <c r="EL61" s="2385" t="s">
        <v>5128</v>
      </c>
      <c r="EM61" s="2387"/>
      <c r="EN61" s="2385"/>
      <c r="EO61" s="2387"/>
      <c r="EP61" s="2385"/>
      <c r="EQ61" s="2387"/>
      <c r="ER61" s="2385"/>
      <c r="ES61" s="2387"/>
      <c r="ET61" s="2385"/>
      <c r="EU61" s="2387"/>
      <c r="EV61" s="2385"/>
      <c r="EW61" s="2385" t="s">
        <v>5128</v>
      </c>
      <c r="EX61" s="2385"/>
      <c r="EY61" s="2387"/>
      <c r="EZ61" s="2385"/>
      <c r="FA61" s="2387"/>
      <c r="FB61" s="2385"/>
      <c r="FC61" s="2387"/>
      <c r="FD61" s="2385"/>
      <c r="FE61" s="2387"/>
      <c r="FF61" s="2385"/>
      <c r="FG61" s="2387"/>
      <c r="FH61" s="2385"/>
      <c r="FI61" s="2387"/>
      <c r="FJ61" s="2385"/>
      <c r="FK61" s="2387"/>
      <c r="FL61" s="2385"/>
      <c r="FM61" s="2387"/>
      <c r="FN61" s="2385"/>
      <c r="FO61" s="2387"/>
      <c r="FP61" s="2385"/>
      <c r="FQ61" s="2387"/>
      <c r="FR61" s="2385"/>
      <c r="FS61" s="2387"/>
      <c r="FT61" s="2385"/>
      <c r="FU61" s="2387"/>
      <c r="FV61" s="2385"/>
      <c r="FW61" s="2387"/>
      <c r="FX61" s="2385"/>
      <c r="FY61" s="2387"/>
      <c r="FZ61" s="2385"/>
      <c r="GA61" s="2387"/>
      <c r="GB61" s="2385"/>
      <c r="GC61" s="2385" t="s">
        <v>5128</v>
      </c>
      <c r="GD61" s="2385" t="s">
        <v>5128</v>
      </c>
      <c r="GE61" s="2387"/>
      <c r="GF61" s="2385"/>
      <c r="GG61" s="2385" t="s">
        <v>5128</v>
      </c>
      <c r="GH61" s="2385"/>
      <c r="GI61" s="2387"/>
      <c r="GJ61" s="2385"/>
      <c r="GK61" s="2387"/>
      <c r="GL61" s="2385"/>
      <c r="GM61" s="2387"/>
      <c r="GN61" s="2385"/>
      <c r="GO61" s="2387"/>
      <c r="GP61" s="2385"/>
      <c r="GQ61" s="2387"/>
      <c r="GR61" s="2385"/>
      <c r="GS61" s="2387"/>
      <c r="GT61" s="2385"/>
      <c r="GU61" s="2387"/>
      <c r="GV61" s="2385"/>
      <c r="GW61" s="2387"/>
      <c r="GX61" s="2385"/>
      <c r="GY61" s="2387"/>
      <c r="GZ61" s="2385"/>
      <c r="HA61" s="2387"/>
      <c r="HB61" s="2385"/>
      <c r="HC61" s="2387"/>
      <c r="HD61" s="2385"/>
      <c r="HE61" s="2387"/>
      <c r="HF61" s="2385"/>
      <c r="HG61" s="2387"/>
      <c r="HH61" s="2385"/>
      <c r="HI61" s="2387"/>
      <c r="HJ61" s="2385"/>
      <c r="HK61" s="2387"/>
      <c r="HL61" s="2385"/>
      <c r="HM61" s="2387"/>
      <c r="HN61" s="2385"/>
      <c r="HO61" s="2387"/>
      <c r="HP61" s="2385"/>
      <c r="HQ61" s="2387"/>
      <c r="HR61" s="2385"/>
      <c r="HS61" s="2387"/>
      <c r="HT61" s="2385"/>
      <c r="HU61" s="2387"/>
      <c r="HV61" s="2385"/>
      <c r="HW61" s="2387"/>
      <c r="HX61" s="2385"/>
      <c r="HY61" s="2387"/>
      <c r="HZ61" s="2385"/>
      <c r="IA61" s="2387"/>
      <c r="IB61" s="2385"/>
      <c r="IC61" s="2387"/>
      <c r="ID61" s="2385"/>
      <c r="IE61" s="2387"/>
      <c r="IF61" s="2385"/>
      <c r="IG61" s="2387"/>
      <c r="IH61" s="2385"/>
      <c r="II61" s="2387"/>
      <c r="IJ61" s="2385"/>
      <c r="IK61" s="2387"/>
      <c r="IL61" s="2385"/>
      <c r="IM61" s="2387"/>
      <c r="IN61" s="2385"/>
      <c r="IO61" s="2387"/>
      <c r="IP61" s="2385"/>
      <c r="IQ61" s="2387"/>
      <c r="IR61" s="2387"/>
      <c r="IS61" s="2385"/>
      <c r="IT61" s="2387"/>
      <c r="IU61" s="2385"/>
      <c r="IV61" s="2387"/>
      <c r="IW61" s="2385"/>
      <c r="IX61" s="2387"/>
      <c r="IY61" s="2385"/>
      <c r="IZ61" s="2387"/>
      <c r="JA61" s="2387"/>
      <c r="JB61" s="2387"/>
      <c r="JC61" s="2387"/>
      <c r="JD61" s="2387"/>
      <c r="JE61" s="2387"/>
      <c r="JF61" s="2387"/>
      <c r="JG61" s="3750"/>
      <c r="JH61" s="1233"/>
      <c r="JI61" s="1229"/>
      <c r="JJ61" s="1812" t="s">
        <v>6105</v>
      </c>
    </row>
    <row ht="12.75" r="62" spans="1:270" x14ac:dyDescent="0.2">
      <c r="A62" s="3254">
        <v>4</v>
      </c>
      <c r="B62" s="1655" t="str">
        <f>IF(SLR_ind&gt;1,IF(HLOOKUP(SLR_ind-1,SLR_RANGE,A62)="","",HLOOKUP(SLR_ind-1,SLR_RANGE,A62)),"")</f>
        <v/>
      </c>
      <c r="C62" s="3260" t="s">
        <v>7541</v>
      </c>
      <c r="D62" s="3169" t="s">
        <v>7542</v>
      </c>
      <c r="E62" s="3261"/>
      <c r="F62" s="3255"/>
      <c r="G62" s="3255"/>
      <c r="H62" s="3707" t="s">
        <v>8002</v>
      </c>
      <c r="I62" s="2385"/>
      <c r="J62" s="2385"/>
      <c r="K62" s="2385"/>
      <c r="L62" s="2385"/>
      <c r="M62" s="3707" t="s">
        <v>8002</v>
      </c>
      <c r="N62" s="3255"/>
      <c r="O62" s="3255"/>
      <c r="P62" s="3255"/>
      <c r="Q62" s="3255"/>
      <c r="R62" s="3256"/>
      <c r="S62" s="3255"/>
      <c r="T62" s="3255"/>
      <c r="U62" s="3707" t="s">
        <v>8002</v>
      </c>
      <c r="V62" s="3255"/>
      <c r="W62" s="3255"/>
      <c r="X62" s="3255"/>
      <c r="Y62" s="3255"/>
      <c r="Z62" s="3255"/>
      <c r="AA62" s="3255"/>
      <c r="AB62" s="3255"/>
      <c r="AC62" s="3255"/>
      <c r="AD62" s="2385"/>
      <c r="AE62" s="2385"/>
      <c r="AF62" s="2385"/>
      <c r="AG62" s="2385"/>
      <c r="AH62" s="2385"/>
      <c r="AI62" s="3255"/>
      <c r="AJ62" s="3255"/>
      <c r="AK62" s="3255"/>
      <c r="AL62" s="3255"/>
      <c r="AM62" s="3255"/>
      <c r="AN62" s="3255"/>
      <c r="AO62" s="3255"/>
      <c r="AP62" s="3255"/>
      <c r="AQ62" s="3255"/>
      <c r="AR62" s="3255"/>
      <c r="AS62" s="3255"/>
      <c r="AT62" s="3255"/>
      <c r="AU62" s="3255"/>
      <c r="AV62" s="3255"/>
      <c r="AW62" s="3255"/>
      <c r="AX62" s="3255"/>
      <c r="AY62" s="3256"/>
      <c r="AZ62" s="3256"/>
      <c r="BA62" s="3256"/>
      <c r="BB62" s="3256"/>
      <c r="BC62" s="3256"/>
      <c r="BD62" s="3255"/>
      <c r="BE62" s="3707" t="s">
        <v>8002</v>
      </c>
      <c r="BF62" s="3707" t="s">
        <v>8002</v>
      </c>
      <c r="BG62" s="3255"/>
      <c r="BH62" s="3255"/>
      <c r="BI62" s="3255"/>
      <c r="BJ62" s="3255"/>
      <c r="BK62" s="3255"/>
      <c r="BL62" s="3255"/>
      <c r="BM62" s="3255"/>
      <c r="BN62" s="3255"/>
      <c r="BO62" s="3255"/>
      <c r="BP62" s="3255"/>
      <c r="BQ62" s="3255"/>
      <c r="BR62" s="3255"/>
      <c r="BS62" s="3255"/>
      <c r="BT62" s="3255"/>
      <c r="BU62" s="3255"/>
      <c r="BV62" s="3255"/>
      <c r="BW62" s="3255"/>
      <c r="BX62" s="3255"/>
      <c r="BY62" s="3255"/>
      <c r="BZ62" s="3255"/>
      <c r="CA62" s="3257"/>
      <c r="CB62" s="3255"/>
      <c r="CC62" s="3257"/>
      <c r="CD62" s="3255"/>
      <c r="CE62" s="3257"/>
      <c r="CF62" s="3255"/>
      <c r="CG62" s="3257"/>
      <c r="CH62" s="3255"/>
      <c r="CI62" s="3257"/>
      <c r="CJ62" s="3255"/>
      <c r="CK62" s="3257"/>
      <c r="CL62" s="3255"/>
      <c r="CM62" s="3257"/>
      <c r="CN62" s="3255"/>
      <c r="CO62" s="3257"/>
      <c r="CP62" s="3255"/>
      <c r="CQ62" s="3257"/>
      <c r="CR62" s="3255"/>
      <c r="CS62" s="3257"/>
      <c r="CT62" s="3255"/>
      <c r="CU62" s="3257"/>
      <c r="CV62" s="3255"/>
      <c r="CW62" s="3257"/>
      <c r="CX62" s="3255"/>
      <c r="CY62" s="3257"/>
      <c r="CZ62" s="3255"/>
      <c r="DA62" s="3257"/>
      <c r="DB62" s="3707" t="s">
        <v>8002</v>
      </c>
      <c r="DC62" s="3257"/>
      <c r="DD62" s="3255"/>
      <c r="DE62" s="3257"/>
      <c r="DF62" s="3255"/>
      <c r="DG62" s="3257"/>
      <c r="DH62" s="3255"/>
      <c r="DI62" s="3257"/>
      <c r="DJ62" s="3255"/>
      <c r="DK62" s="3257"/>
      <c r="DL62" s="3255"/>
      <c r="DM62" s="3257"/>
      <c r="DN62" s="3255"/>
      <c r="DO62" s="3257"/>
      <c r="DP62" s="3255"/>
      <c r="DQ62" s="3257"/>
      <c r="DR62" s="3255"/>
      <c r="DS62" s="3257"/>
      <c r="DT62" s="3255"/>
      <c r="DU62" s="3255"/>
      <c r="DV62" s="3255"/>
      <c r="DW62" s="3257"/>
      <c r="DX62" s="3255"/>
      <c r="DY62" s="3257"/>
      <c r="DZ62" s="3255"/>
      <c r="EA62" s="3257"/>
      <c r="EB62" s="3255"/>
      <c r="EC62" s="3257"/>
      <c r="ED62" s="3255"/>
      <c r="EE62" s="3257"/>
      <c r="EF62" s="3255"/>
      <c r="EG62" s="3257"/>
      <c r="EH62" s="3255"/>
      <c r="EI62" s="3257"/>
      <c r="EJ62" s="3255"/>
      <c r="EK62" s="3255"/>
      <c r="EL62" s="3255"/>
      <c r="EM62" s="3257"/>
      <c r="EN62" s="3255"/>
      <c r="EO62" s="3257"/>
      <c r="EP62" s="3255"/>
      <c r="EQ62" s="3257"/>
      <c r="ER62" s="3255"/>
      <c r="ES62" s="3257"/>
      <c r="ET62" s="3255"/>
      <c r="EU62" s="3257"/>
      <c r="EV62" s="3255"/>
      <c r="EW62" s="3255"/>
      <c r="EX62" s="3255"/>
      <c r="EY62" s="3257"/>
      <c r="EZ62" s="3255"/>
      <c r="FA62" s="3257"/>
      <c r="FB62" s="3255"/>
      <c r="FC62" s="3257"/>
      <c r="FD62" s="3255"/>
      <c r="FE62" s="3257"/>
      <c r="FF62" s="3255"/>
      <c r="FG62" s="3257"/>
      <c r="FH62" s="3255"/>
      <c r="FI62" s="3257"/>
      <c r="FJ62" s="3255"/>
      <c r="FK62" s="3257"/>
      <c r="FL62" s="3255"/>
      <c r="FM62" s="3257"/>
      <c r="FN62" s="3255"/>
      <c r="FO62" s="3257"/>
      <c r="FP62" s="3255"/>
      <c r="FQ62" s="3257"/>
      <c r="FR62" s="3255"/>
      <c r="FS62" s="3257"/>
      <c r="FT62" s="3255"/>
      <c r="FU62" s="3257"/>
      <c r="FV62" s="3255"/>
      <c r="FW62" s="3257"/>
      <c r="FX62" s="3255"/>
      <c r="FY62" s="3257"/>
      <c r="FZ62" s="3255"/>
      <c r="GA62" s="3257"/>
      <c r="GB62" s="3255"/>
      <c r="GC62" s="3255"/>
      <c r="GD62" s="3255"/>
      <c r="GE62" s="3257"/>
      <c r="GF62" s="3255"/>
      <c r="GG62" s="3255"/>
      <c r="GH62" s="3255"/>
      <c r="GI62" s="3257"/>
      <c r="GJ62" s="3255"/>
      <c r="GK62" s="3257"/>
      <c r="GL62" s="3255"/>
      <c r="GM62" s="3257"/>
      <c r="GN62" s="3255"/>
      <c r="GO62" s="3257"/>
      <c r="GP62" s="3255"/>
      <c r="GQ62" s="3257"/>
      <c r="GR62" s="3255"/>
      <c r="GS62" s="3257"/>
      <c r="GT62" s="3255"/>
      <c r="GU62" s="3257"/>
      <c r="GV62" s="3255"/>
      <c r="GW62" s="3257"/>
      <c r="GX62" s="3255"/>
      <c r="GY62" s="3257"/>
      <c r="GZ62" s="3255"/>
      <c r="HA62" s="3257"/>
      <c r="HB62" s="3255"/>
      <c r="HC62" s="3257"/>
      <c r="HD62" s="3255"/>
      <c r="HE62" s="3257"/>
      <c r="HF62" s="3255"/>
      <c r="HG62" s="3257"/>
      <c r="HH62" s="3255"/>
      <c r="HI62" s="3257"/>
      <c r="HJ62" s="3255"/>
      <c r="HK62" s="3257"/>
      <c r="HL62" s="3255"/>
      <c r="HM62" s="3257"/>
      <c r="HN62" s="3255"/>
      <c r="HO62" s="3257"/>
      <c r="HP62" s="3255"/>
      <c r="HQ62" s="3257"/>
      <c r="HR62" s="3255"/>
      <c r="HS62" s="3257"/>
      <c r="HT62" s="3255"/>
      <c r="HU62" s="3257"/>
      <c r="HV62" s="3255"/>
      <c r="HW62" s="3257"/>
      <c r="HX62" s="3255"/>
      <c r="HY62" s="3257"/>
      <c r="HZ62" s="3255"/>
      <c r="IA62" s="3257"/>
      <c r="IB62" s="3255"/>
      <c r="IC62" s="3257"/>
      <c r="ID62" s="3255"/>
      <c r="IE62" s="3257"/>
      <c r="IF62" s="3255"/>
      <c r="IG62" s="3257"/>
      <c r="IH62" s="3255"/>
      <c r="II62" s="3257"/>
      <c r="IJ62" s="3255"/>
      <c r="IK62" s="3257"/>
      <c r="IL62" s="3255"/>
      <c r="IM62" s="3257"/>
      <c r="IN62" s="3255"/>
      <c r="IO62" s="3257"/>
      <c r="IP62" s="3255"/>
      <c r="IQ62" s="3257"/>
      <c r="IR62" s="2387"/>
      <c r="IS62" s="3255"/>
      <c r="IT62" s="3257"/>
      <c r="IU62" s="3255"/>
      <c r="IV62" s="3257"/>
      <c r="IW62" s="3255"/>
      <c r="IX62" s="3257"/>
      <c r="IY62" s="3255"/>
      <c r="IZ62" s="3257"/>
      <c r="JA62" s="2387"/>
      <c r="JB62" s="2387"/>
      <c r="JC62" s="2387"/>
      <c r="JD62" s="2387"/>
      <c r="JE62" s="2387"/>
      <c r="JF62" s="2387"/>
      <c r="JG62" s="3750"/>
      <c r="JH62" s="1233"/>
      <c r="JI62" s="3259"/>
      <c r="JJ62" s="3258"/>
    </row>
    <row ht="12.75" r="63" spans="1:270" x14ac:dyDescent="0.2">
      <c r="A63" s="1128">
        <v>5</v>
      </c>
      <c r="B63" s="1261" t="str">
        <f>IF(SLR_ind&gt;1,IF(HLOOKUP(SLR_ind-1,SLR_RANGE,A63)="","",HLOOKUP(SLR_ind-1,SLR_RANGE,A63)),"")</f>
        <v/>
      </c>
      <c r="C63" s="1530" t="s">
        <v>571</v>
      </c>
      <c r="D63" s="1262" t="s">
        <v>7468</v>
      </c>
      <c r="E63" s="2385"/>
      <c r="F63" s="2385"/>
      <c r="G63" s="2385"/>
      <c r="H63" s="3708">
        <f>IF('C2'!$B3="",0,MAX(0,('C2'!$B3-SL_limit2)*Sloan_rate))+IF('C2'!$B27="",0,MAX(0,('C2'!$B27-SL_limit2)*Sloan_rate))</f>
        <v>677.61</v>
      </c>
      <c r="I63" s="2385"/>
      <c r="J63" s="2385"/>
      <c r="K63" s="2385"/>
      <c r="L63" s="2385"/>
      <c r="M63" s="3708">
        <v>0</v>
      </c>
      <c r="N63" s="2385"/>
      <c r="O63" s="2385"/>
      <c r="P63" s="2385"/>
      <c r="Q63" s="2385"/>
      <c r="R63" s="2388">
        <f>IF('C2'!$B3="",0,MAX(0,('C2'!$B3-SL_limit1)*Sloan_rate))+IF('C2'!$B27="",0,MAX(0,('C2'!$B27-SL_limit1)*Sloan_rate))</f>
        <v>1288.71</v>
      </c>
      <c r="S63" s="2389"/>
      <c r="T63" s="2389"/>
      <c r="U63" s="3708"/>
      <c r="V63" s="2389"/>
      <c r="W63" s="2389"/>
      <c r="X63" s="2389"/>
      <c r="Y63" s="2389"/>
      <c r="Z63" s="2389"/>
      <c r="AA63" s="2389"/>
      <c r="AB63" s="2389"/>
      <c r="AC63" s="2389"/>
      <c r="AD63" s="2389"/>
      <c r="AE63" s="2389"/>
      <c r="AF63" s="2389"/>
      <c r="AG63" s="2389"/>
      <c r="AH63" s="2389"/>
      <c r="AI63" s="2389"/>
      <c r="AJ63" s="2389"/>
      <c r="AK63" s="2389"/>
      <c r="AL63" s="2389"/>
      <c r="AM63" s="2389"/>
      <c r="AN63" s="2389"/>
      <c r="AO63" s="2389"/>
      <c r="AP63" s="2388">
        <f>IF('C2'!$B3="",0,MAX(0,('C2'!$B3-SL_limit1)*Sloan_rate))+IF('C2'!$B27="",0,MAX(0,('C2'!$B27-SL_limit1)*Sloan_rate))</f>
        <v>1288.71</v>
      </c>
      <c r="AQ63" s="2389"/>
      <c r="AR63" s="2389"/>
      <c r="AS63" s="2388">
        <f>IF('C2'!$B3="",0,MAX(0,('C2'!$B3-SL_limit1)*Sloan_rate))+IF('C2'!$B27="",0,MAX(0,('C2'!$B27-SL_limit1)*Sloan_rate))</f>
        <v>1288.71</v>
      </c>
      <c r="AT63" s="2389"/>
      <c r="AU63" s="2389"/>
      <c r="AV63" s="2388">
        <f>IF('C2'!$B3="",0,MAX(0,('C2'!$B3-SL_limit1)*Sloan_rate))+IF('C2'!$B27="",0,MAX(0,('C2'!$B27-SL_limit1)*Sloan_rate))</f>
        <v>1288.71</v>
      </c>
      <c r="AW63" s="2389"/>
      <c r="AX63" s="2389"/>
      <c r="AY63" s="2389"/>
      <c r="AZ63" s="2389"/>
      <c r="BA63" s="2389"/>
      <c r="BB63" s="2389"/>
      <c r="BC63" s="2389"/>
      <c r="BD63" s="2389"/>
      <c r="BE63" s="3859">
        <v>0</v>
      </c>
      <c r="BF63" s="3859">
        <v>590</v>
      </c>
      <c r="BG63" s="2389"/>
      <c r="BH63" s="2389"/>
      <c r="BI63" s="2389"/>
      <c r="BJ63" s="2389"/>
      <c r="BK63" s="2389"/>
      <c r="BL63" s="2389"/>
      <c r="BM63" s="2389"/>
      <c r="BN63" s="2389"/>
      <c r="BO63" s="2389"/>
      <c r="BP63" s="2389"/>
      <c r="BQ63" s="2389"/>
      <c r="BR63" s="2389"/>
      <c r="BS63" s="2389"/>
      <c r="BT63" s="2389"/>
      <c r="BU63" s="2389"/>
      <c r="BV63" s="2389"/>
      <c r="BW63" s="2389"/>
      <c r="BX63" s="2389"/>
      <c r="BY63" s="2389"/>
      <c r="BZ63" s="2389"/>
      <c r="CA63" s="2390"/>
      <c r="CB63" s="2389"/>
      <c r="CC63" s="2390"/>
      <c r="CD63" s="2389"/>
      <c r="CE63" s="2390"/>
      <c r="CF63" s="2389"/>
      <c r="CG63" s="2390"/>
      <c r="CH63" s="2389"/>
      <c r="CI63" s="2390"/>
      <c r="CJ63" s="2389"/>
      <c r="CK63" s="2390"/>
      <c r="CL63" s="2389"/>
      <c r="CM63" s="2390"/>
      <c r="CN63" s="2389"/>
      <c r="CO63" s="2390"/>
      <c r="CP63" s="2389"/>
      <c r="CQ63" s="2390"/>
      <c r="CR63" s="2389"/>
      <c r="CS63" s="2390"/>
      <c r="CT63" s="2389"/>
      <c r="CU63" s="2390"/>
      <c r="CV63" s="2389"/>
      <c r="CW63" s="2390"/>
      <c r="CX63" s="2389"/>
      <c r="CY63" s="2390"/>
      <c r="CZ63" s="2389"/>
      <c r="DA63" s="2390"/>
      <c r="DB63" s="3726"/>
      <c r="DC63" s="2390"/>
      <c r="DD63" s="2389"/>
      <c r="DE63" s="2390"/>
      <c r="DF63" s="2389"/>
      <c r="DG63" s="2390"/>
      <c r="DH63" s="2389"/>
      <c r="DI63" s="2390"/>
      <c r="DJ63" s="2388">
        <f>IF('C2'!$B3="",0,MAX(0,('C2'!$B3-SL_limit2)*Sloan_rate))+IF('C2'!$B27="",0,MAX(0,('C2'!$B27-SL_limit2)*Sloan_rate))</f>
        <v>677.61</v>
      </c>
      <c r="DK63" s="2390"/>
      <c r="DL63" s="2389"/>
      <c r="DM63" s="2390"/>
      <c r="DN63" s="2389"/>
      <c r="DO63" s="2390"/>
      <c r="DP63" s="2389"/>
      <c r="DQ63" s="2390"/>
      <c r="DR63" s="2389"/>
      <c r="DS63" s="2390"/>
      <c r="DT63" s="2389"/>
      <c r="DU63" s="2388">
        <f>IF('C2'!$B3="",0,MAX(0,('C2'!$B3-SL_limit1)*Sloan_rate))+IF('C2'!$B27="",0,MAX(0,('C2'!$B27-SL_limit1)*Sloan_rate))</f>
        <v>1288.71</v>
      </c>
      <c r="DV63" s="2388">
        <f>IF('C2'!$B3="",0,MAX(0,('C2'!$B3-SL_limit1)*Sloan_rate))+IF('C2'!$B27="",0,MAX(0,('C2'!$B27-SL_limit1)*Sloan_rate))</f>
        <v>1288.71</v>
      </c>
      <c r="DW63" s="2390"/>
      <c r="DX63" s="2389"/>
      <c r="DY63" s="2390"/>
      <c r="DZ63" s="2389"/>
      <c r="EA63" s="2390"/>
      <c r="EB63" s="2389"/>
      <c r="EC63" s="2390"/>
      <c r="ED63" s="2389"/>
      <c r="EE63" s="2390"/>
      <c r="EF63" s="2389"/>
      <c r="EG63" s="2390"/>
      <c r="EH63" s="2389"/>
      <c r="EI63" s="2390"/>
      <c r="EJ63" s="2389"/>
      <c r="EK63" s="2388">
        <f>IF('C2'!$B3="",0,MAX(0,('C2'!$B3-SL_limit1)*Sloan_rate))+IF('C2'!$B27="",0,MAX(0,('C2'!$B27-SL_limit1)*Sloan_rate))</f>
        <v>1288.71</v>
      </c>
      <c r="EL63" s="2388">
        <f>IF('C2'!$B3="",0,MAX(0,('C2'!$B3-SL_limit1)*Sloan_rate))+IF('C2'!$B27="",0,MAX(0,('C2'!$B27-SL_limit1)*Sloan_rate))</f>
        <v>1288.71</v>
      </c>
      <c r="EM63" s="2390"/>
      <c r="EN63" s="2389"/>
      <c r="EO63" s="2390"/>
      <c r="EP63" s="2389"/>
      <c r="EQ63" s="2390"/>
      <c r="ER63" s="2389"/>
      <c r="ES63" s="2390"/>
      <c r="ET63" s="2389"/>
      <c r="EU63" s="2390"/>
      <c r="EV63" s="2389"/>
      <c r="EW63" s="2388">
        <f>IF('C2'!$B3="",0,MAX(0,('C2'!$B3-SL_limit1)*Sloan_rate))+IF('C2'!$B27="",0,MAX(0,('C2'!$B27-SL_limit1)*Sloan_rate))</f>
        <v>1288.71</v>
      </c>
      <c r="EX63" s="2389"/>
      <c r="EY63" s="2390"/>
      <c r="EZ63" s="2389"/>
      <c r="FA63" s="2390"/>
      <c r="FB63" s="2389"/>
      <c r="FC63" s="2390"/>
      <c r="FD63" s="2389"/>
      <c r="FE63" s="2390"/>
      <c r="FF63" s="2389"/>
      <c r="FG63" s="2390"/>
      <c r="FH63" s="2389"/>
      <c r="FI63" s="2390"/>
      <c r="FJ63" s="2389"/>
      <c r="FK63" s="2390"/>
      <c r="FL63" s="2389"/>
      <c r="FM63" s="2390"/>
      <c r="FN63" s="2389"/>
      <c r="FO63" s="2390"/>
      <c r="FP63" s="2389"/>
      <c r="FQ63" s="2390"/>
      <c r="FR63" s="2389"/>
      <c r="FS63" s="2390"/>
      <c r="FT63" s="2389"/>
      <c r="FU63" s="2390"/>
      <c r="FV63" s="2389"/>
      <c r="FW63" s="2390"/>
      <c r="FX63" s="2389"/>
      <c r="FY63" s="2390"/>
      <c r="FZ63" s="2389"/>
      <c r="GA63" s="2390"/>
      <c r="GB63" s="2389"/>
      <c r="GC63" s="2388">
        <f>IF('C2'!$B3="",0,MAX(0,('C2'!$B3-SL_limit1)*Sloan_rate))+IF('C2'!$B27="",0,MAX(0,('C2'!$B27-SL_limit1)*Sloan_rate))</f>
        <v>1288.71</v>
      </c>
      <c r="GD63" s="2388">
        <f>IF('C2'!$B3="",0,MAX(0,('C2'!$B3-SL_limit1)*Sloan_rate))+IF('C2'!$B27="",0,MAX(0,('C2'!$B27-SL_limit1)*Sloan_rate))</f>
        <v>1288.71</v>
      </c>
      <c r="GE63" s="2390"/>
      <c r="GF63" s="2389"/>
      <c r="GG63" s="2388">
        <f>IF('C2'!$B3="",0,MAX(0,('C2'!$B3-SL_limit1)*Sloan_rate))+IF('C2'!$B27="",0,MAX(0,('C2'!$B27-SL_limit1)*Sloan_rate))</f>
        <v>1288.71</v>
      </c>
      <c r="GH63" s="2389"/>
      <c r="GI63" s="2390"/>
      <c r="GJ63" s="2389"/>
      <c r="GK63" s="2390"/>
      <c r="GL63" s="2389"/>
      <c r="GM63" s="2390"/>
      <c r="GN63" s="2389"/>
      <c r="GO63" s="2390"/>
      <c r="GP63" s="2389"/>
      <c r="GQ63" s="2390"/>
      <c r="GR63" s="2389"/>
      <c r="GS63" s="2390"/>
      <c r="GT63" s="2389"/>
      <c r="GU63" s="2390"/>
      <c r="GV63" s="2389"/>
      <c r="GW63" s="2390"/>
      <c r="GX63" s="2389"/>
      <c r="GY63" s="2390"/>
      <c r="GZ63" s="2389"/>
      <c r="HA63" s="2390"/>
      <c r="HB63" s="2389"/>
      <c r="HC63" s="2390"/>
      <c r="HD63" s="2389"/>
      <c r="HE63" s="2390"/>
      <c r="HF63" s="2389"/>
      <c r="HG63" s="2390"/>
      <c r="HH63" s="2389"/>
      <c r="HI63" s="2390"/>
      <c r="HJ63" s="2389"/>
      <c r="HK63" s="2390"/>
      <c r="HL63" s="2389"/>
      <c r="HM63" s="2390"/>
      <c r="HN63" s="2389"/>
      <c r="HO63" s="2390"/>
      <c r="HP63" s="2389"/>
      <c r="HQ63" s="2390"/>
      <c r="HR63" s="2389"/>
      <c r="HS63" s="2390"/>
      <c r="HT63" s="2389"/>
      <c r="HU63" s="2390"/>
      <c r="HV63" s="2389"/>
      <c r="HW63" s="2390"/>
      <c r="HX63" s="2389"/>
      <c r="HY63" s="2390"/>
      <c r="HZ63" s="2389"/>
      <c r="IA63" s="2390"/>
      <c r="IB63" s="2389"/>
      <c r="IC63" s="2390"/>
      <c r="ID63" s="2389"/>
      <c r="IE63" s="2390"/>
      <c r="IF63" s="2389"/>
      <c r="IG63" s="2390"/>
      <c r="IH63" s="2389"/>
      <c r="II63" s="2390"/>
      <c r="IJ63" s="2389"/>
      <c r="IK63" s="2390"/>
      <c r="IL63" s="2389"/>
      <c r="IM63" s="2390"/>
      <c r="IN63" s="2389"/>
      <c r="IO63" s="2390"/>
      <c r="IP63" s="2389"/>
      <c r="IQ63" s="2390"/>
      <c r="IR63" s="2390"/>
      <c r="IS63" s="2389"/>
      <c r="IT63" s="2390"/>
      <c r="IU63" s="2389"/>
      <c r="IV63" s="2390"/>
      <c r="IW63" s="2389"/>
      <c r="IX63" s="2390"/>
      <c r="IY63" s="2389"/>
      <c r="IZ63" s="2390"/>
      <c r="JA63" s="2390"/>
      <c r="JB63" s="2390"/>
      <c r="JC63" s="2390"/>
      <c r="JD63" s="2390"/>
      <c r="JE63" s="2390"/>
      <c r="JF63" s="2390"/>
      <c r="JG63" s="3750"/>
      <c r="JH63" s="1233"/>
      <c r="JI63" s="1229"/>
      <c r="JJ63" s="1686" t="s">
        <v>6124</v>
      </c>
    </row>
    <row ht="13.5" r="64" spans="1:270" thickBot="1" x14ac:dyDescent="0.25">
      <c r="A64" s="1128">
        <v>6</v>
      </c>
      <c r="B64" s="1261" t="str">
        <f>IF(SLR_ind&gt;1,IF(HLOOKUP(SLR_ind-1,SLR_RANGE,A64)="","",HLOOKUP(SLR_ind-1,SLR_RANGE,A64)),"")</f>
        <v/>
      </c>
      <c r="C64" s="1137" t="s">
        <v>5107</v>
      </c>
      <c r="D64" s="3169" t="s">
        <v>7469</v>
      </c>
      <c r="E64" s="2381"/>
      <c r="F64" s="2381"/>
      <c r="G64" s="2381"/>
      <c r="H64" s="4114">
        <f>IF('C2'!$B3="",0,MAX(0,('C2'!$B3-PGL_limit)*PGL_rate))+IF('C2'!$B27="",0,MAX(0,('C2'!$B27-PGL_limit)*PGL_rate))</f>
        <v>735.24</v>
      </c>
      <c r="I64" s="2381"/>
      <c r="J64" s="2381"/>
      <c r="K64" s="2381"/>
      <c r="L64" s="2381"/>
      <c r="M64" s="3709">
        <v>0</v>
      </c>
      <c r="N64" s="2381"/>
      <c r="O64" s="2381"/>
      <c r="P64" s="2381"/>
      <c r="Q64" s="2381"/>
      <c r="R64" s="2391"/>
      <c r="S64" s="2391"/>
      <c r="T64" s="2391"/>
      <c r="U64" s="3709">
        <f>IF('C2'!$B3="",0,MAX(0,('C2'!$B3-SL_limit1)*Sloan_rate))+IF('C2'!$B27="",0,MAX(0,('C2'!$B27-SL_limit1)*Sloan_rate))</f>
        <v>1288.71</v>
      </c>
      <c r="V64" s="2391"/>
      <c r="W64" s="2391"/>
      <c r="X64" s="2391"/>
      <c r="Y64" s="2391"/>
      <c r="Z64" s="2391"/>
      <c r="AA64" s="2391"/>
      <c r="AB64" s="2391"/>
      <c r="AC64" s="2391"/>
      <c r="AD64" s="2391"/>
      <c r="AE64" s="2391"/>
      <c r="AF64" s="2391"/>
      <c r="AG64" s="2391"/>
      <c r="AH64" s="2391"/>
      <c r="AI64" s="2391"/>
      <c r="AJ64" s="2391"/>
      <c r="AK64" s="2391"/>
      <c r="AL64" s="2391"/>
      <c r="AM64" s="2391"/>
      <c r="AN64" s="2391"/>
      <c r="AO64" s="2391"/>
      <c r="AP64" s="2391"/>
      <c r="AQ64" s="2391"/>
      <c r="AR64" s="2391"/>
      <c r="AS64" s="2381"/>
      <c r="AT64" s="2381"/>
      <c r="AU64" s="2381"/>
      <c r="AV64" s="2391"/>
      <c r="AW64" s="2381"/>
      <c r="AX64" s="2380"/>
      <c r="AY64" s="2391"/>
      <c r="AZ64" s="2391"/>
      <c r="BA64" s="2391"/>
      <c r="BB64" s="2391"/>
      <c r="BC64" s="2391"/>
      <c r="BD64" s="2391"/>
      <c r="BE64" s="3860">
        <v>0</v>
      </c>
      <c r="BF64" s="3860">
        <v>270</v>
      </c>
      <c r="BG64" s="2391"/>
      <c r="BH64" s="2391"/>
      <c r="BI64" s="2391"/>
      <c r="BJ64" s="2391"/>
      <c r="BK64" s="2391"/>
      <c r="BL64" s="2391"/>
      <c r="BM64" s="2391"/>
      <c r="BN64" s="2391"/>
      <c r="BO64" s="2391"/>
      <c r="BP64" s="2391"/>
      <c r="BQ64" s="2391"/>
      <c r="BR64" s="2391"/>
      <c r="BS64" s="2391"/>
      <c r="BT64" s="2391"/>
      <c r="BU64" s="2391"/>
      <c r="BV64" s="2391"/>
      <c r="BW64" s="2391"/>
      <c r="BX64" s="2391"/>
      <c r="BY64" s="2391"/>
      <c r="BZ64" s="2391"/>
      <c r="CA64" s="2392"/>
      <c r="CB64" s="2391"/>
      <c r="CC64" s="2392"/>
      <c r="CD64" s="2391"/>
      <c r="CE64" s="2392"/>
      <c r="CF64" s="2391"/>
      <c r="CG64" s="2392"/>
      <c r="CH64" s="2391"/>
      <c r="CI64" s="2392"/>
      <c r="CJ64" s="2391"/>
      <c r="CK64" s="2392"/>
      <c r="CL64" s="2391"/>
      <c r="CM64" s="2392"/>
      <c r="CN64" s="2391"/>
      <c r="CO64" s="2392"/>
      <c r="CP64" s="2391"/>
      <c r="CQ64" s="2392"/>
      <c r="CR64" s="2391"/>
      <c r="CS64" s="2392"/>
      <c r="CT64" s="2391"/>
      <c r="CU64" s="2392"/>
      <c r="CV64" s="2391"/>
      <c r="CW64" s="2392"/>
      <c r="CX64" s="2391"/>
      <c r="CY64" s="2392"/>
      <c r="CZ64" s="2391"/>
      <c r="DA64" s="2392"/>
      <c r="DB64" s="3727">
        <v>0</v>
      </c>
      <c r="DC64" s="2392"/>
      <c r="DD64" s="2391"/>
      <c r="DE64" s="2392"/>
      <c r="DF64" s="2391"/>
      <c r="DG64" s="2392"/>
      <c r="DH64" s="2391"/>
      <c r="DI64" s="2392"/>
      <c r="DJ64" s="2391"/>
      <c r="DK64" s="2392"/>
      <c r="DL64" s="2391"/>
      <c r="DM64" s="2392"/>
      <c r="DN64" s="2391"/>
      <c r="DO64" s="2392"/>
      <c r="DP64" s="2391"/>
      <c r="DQ64" s="2392"/>
      <c r="DR64" s="2391"/>
      <c r="DS64" s="2392"/>
      <c r="DT64" s="2391"/>
      <c r="DU64" s="2381"/>
      <c r="DV64" s="2381"/>
      <c r="DW64" s="2392"/>
      <c r="DX64" s="2391"/>
      <c r="DY64" s="2392"/>
      <c r="DZ64" s="2391"/>
      <c r="EA64" s="2392"/>
      <c r="EB64" s="2391"/>
      <c r="EC64" s="2392"/>
      <c r="ED64" s="2391"/>
      <c r="EE64" s="2392"/>
      <c r="EF64" s="2391"/>
      <c r="EG64" s="2392"/>
      <c r="EH64" s="2391"/>
      <c r="EI64" s="2392"/>
      <c r="EJ64" s="2391"/>
      <c r="EK64" s="2392"/>
      <c r="EL64" s="2391"/>
      <c r="EM64" s="2392"/>
      <c r="EN64" s="2391"/>
      <c r="EO64" s="2392"/>
      <c r="EP64" s="2391"/>
      <c r="EQ64" s="2392"/>
      <c r="ER64" s="2391"/>
      <c r="ES64" s="2392"/>
      <c r="ET64" s="2391"/>
      <c r="EU64" s="2392"/>
      <c r="EV64" s="2391"/>
      <c r="EW64" s="2391"/>
      <c r="EX64" s="2391"/>
      <c r="EY64" s="2392"/>
      <c r="EZ64" s="2391"/>
      <c r="FA64" s="2392"/>
      <c r="FB64" s="2391"/>
      <c r="FC64" s="2392"/>
      <c r="FD64" s="2391"/>
      <c r="FE64" s="2392"/>
      <c r="FF64" s="2391"/>
      <c r="FG64" s="2392"/>
      <c r="FH64" s="2391"/>
      <c r="FI64" s="2392"/>
      <c r="FJ64" s="2391"/>
      <c r="FK64" s="2392"/>
      <c r="FL64" s="2391"/>
      <c r="FM64" s="2392"/>
      <c r="FN64" s="2391"/>
      <c r="FO64" s="2392"/>
      <c r="FP64" s="2391"/>
      <c r="FQ64" s="2392"/>
      <c r="FR64" s="2391"/>
      <c r="FS64" s="2392"/>
      <c r="FT64" s="2391"/>
      <c r="FU64" s="2392"/>
      <c r="FV64" s="2391"/>
      <c r="FW64" s="2392"/>
      <c r="FX64" s="2391"/>
      <c r="FY64" s="2392"/>
      <c r="FZ64" s="2391"/>
      <c r="GA64" s="2392"/>
      <c r="GB64" s="2391"/>
      <c r="GC64" s="2381"/>
      <c r="GD64" s="2381"/>
      <c r="GE64" s="2392"/>
      <c r="GF64" s="2391"/>
      <c r="GG64" s="2391"/>
      <c r="GH64" s="2391"/>
      <c r="GI64" s="2392"/>
      <c r="GJ64" s="2391"/>
      <c r="GK64" s="2392"/>
      <c r="GL64" s="2391"/>
      <c r="GM64" s="2392"/>
      <c r="GN64" s="2391"/>
      <c r="GO64" s="2392"/>
      <c r="GP64" s="2391"/>
      <c r="GQ64" s="2392"/>
      <c r="GR64" s="2391"/>
      <c r="GS64" s="2392"/>
      <c r="GT64" s="2391"/>
      <c r="GU64" s="2392"/>
      <c r="GV64" s="2391"/>
      <c r="GW64" s="2392"/>
      <c r="GX64" s="2391"/>
      <c r="GY64" s="2392"/>
      <c r="GZ64" s="2391"/>
      <c r="HA64" s="2392"/>
      <c r="HB64" s="2391"/>
      <c r="HC64" s="2392"/>
      <c r="HD64" s="2391"/>
      <c r="HE64" s="2392"/>
      <c r="HF64" s="2391"/>
      <c r="HG64" s="2392"/>
      <c r="HH64" s="2391"/>
      <c r="HI64" s="2392"/>
      <c r="HJ64" s="2391"/>
      <c r="HK64" s="2392"/>
      <c r="HL64" s="2391"/>
      <c r="HM64" s="2392"/>
      <c r="HN64" s="2391"/>
      <c r="HO64" s="2392"/>
      <c r="HP64" s="2391"/>
      <c r="HQ64" s="2392"/>
      <c r="HR64" s="2391"/>
      <c r="HS64" s="2392"/>
      <c r="HT64" s="2391"/>
      <c r="HU64" s="2392"/>
      <c r="HV64" s="2391"/>
      <c r="HW64" s="2392"/>
      <c r="HX64" s="2391"/>
      <c r="HY64" s="2392"/>
      <c r="HZ64" s="2391"/>
      <c r="IA64" s="2392"/>
      <c r="IB64" s="2391"/>
      <c r="IC64" s="2392"/>
      <c r="ID64" s="2391"/>
      <c r="IE64" s="2392"/>
      <c r="IF64" s="2391"/>
      <c r="IG64" s="2392"/>
      <c r="IH64" s="2391"/>
      <c r="II64" s="2392"/>
      <c r="IJ64" s="2391"/>
      <c r="IK64" s="2392"/>
      <c r="IL64" s="2391"/>
      <c r="IM64" s="2392"/>
      <c r="IN64" s="2391"/>
      <c r="IO64" s="2392"/>
      <c r="IP64" s="2391"/>
      <c r="IQ64" s="2392"/>
      <c r="IR64" s="2392"/>
      <c r="IS64" s="2391"/>
      <c r="IT64" s="2392"/>
      <c r="IU64" s="2391"/>
      <c r="IV64" s="2392"/>
      <c r="IW64" s="2391"/>
      <c r="IX64" s="2392"/>
      <c r="IY64" s="2391"/>
      <c r="IZ64" s="2392"/>
      <c r="JA64" s="2392"/>
      <c r="JB64" s="2392"/>
      <c r="JC64" s="2392"/>
      <c r="JD64" s="2392"/>
      <c r="JE64" s="2392"/>
      <c r="JF64" s="2392"/>
      <c r="JG64" s="3751"/>
      <c r="JH64" s="1233"/>
      <c r="JI64" s="1229"/>
      <c r="JJ64" s="1686" t="s">
        <v>6111</v>
      </c>
    </row>
    <row ht="12.75" r="65" spans="1:270" thickBot="1" x14ac:dyDescent="0.25">
      <c r="C65" s="1131" t="s">
        <v>2991</v>
      </c>
      <c r="D65" s="671"/>
      <c r="E65" s="2343"/>
      <c r="F65" s="2343"/>
      <c r="G65" s="2383"/>
      <c r="H65" s="34"/>
      <c r="I65" s="34"/>
      <c r="J65" s="34"/>
      <c r="K65" s="34"/>
      <c r="L65" s="34"/>
      <c r="M65" s="34"/>
      <c r="N65" s="34"/>
      <c r="O65" s="34"/>
      <c r="P65" s="34"/>
      <c r="Q65" s="34"/>
      <c r="R65" s="34"/>
      <c r="S65" s="34"/>
      <c r="T65" s="34"/>
      <c r="U65" s="34"/>
      <c r="V65" s="34"/>
      <c r="W65" s="34"/>
      <c r="X65" s="34"/>
      <c r="Y65" s="34"/>
      <c r="Z65" s="34"/>
      <c r="AA65" s="34"/>
      <c r="AB65" s="34"/>
      <c r="AC65" s="34"/>
      <c r="AI65" s="34"/>
      <c r="AJ65" s="34"/>
      <c r="AK65" s="34"/>
      <c r="AL65" s="34"/>
      <c r="AM65" s="34"/>
      <c r="AN65" s="34"/>
      <c r="AO65" s="34"/>
      <c r="AP65" s="34"/>
      <c r="AQ65" s="34"/>
      <c r="AR65" s="34"/>
      <c r="AS65" s="2343"/>
      <c r="AT65" s="2343"/>
      <c r="AU65" s="2383"/>
      <c r="AV65" s="34"/>
      <c r="AW65" s="34"/>
      <c r="AX65" s="34"/>
      <c r="AY65" s="34"/>
      <c r="AZ65" s="34"/>
      <c r="BA65" s="34"/>
      <c r="BB65" s="34"/>
      <c r="BC65" s="34"/>
      <c r="BD65" s="34"/>
      <c r="BE65" s="34"/>
      <c r="BF65" s="34"/>
      <c r="BG65" s="34"/>
      <c r="BH65" s="34"/>
      <c r="BI65" s="34"/>
      <c r="BJ65" s="34"/>
      <c r="BK65" s="34"/>
      <c r="BL65" s="34"/>
      <c r="BM65" s="34"/>
      <c r="BN65" s="34"/>
      <c r="BO65" s="34"/>
      <c r="BP65" s="34"/>
      <c r="BQ65" s="34"/>
      <c r="BR65" s="34"/>
      <c r="BS65" s="34"/>
      <c r="BT65" s="34"/>
      <c r="BU65" s="34"/>
      <c r="BV65" s="34"/>
      <c r="BW65" s="34"/>
      <c r="BX65" s="34"/>
      <c r="BY65" s="34"/>
      <c r="BZ65" s="34"/>
      <c r="CA65" s="34"/>
      <c r="CB65" s="34"/>
      <c r="CC65" s="34"/>
      <c r="CD65" s="34"/>
      <c r="CE65" s="34"/>
      <c r="CF65" s="34"/>
      <c r="CG65" s="34"/>
      <c r="CH65" s="34"/>
      <c r="CI65" s="34"/>
      <c r="CJ65" s="34"/>
      <c r="CK65" s="34"/>
      <c r="CL65" s="34"/>
      <c r="CM65" s="34"/>
      <c r="CN65" s="34"/>
      <c r="CO65" s="34"/>
      <c r="CP65" s="34"/>
      <c r="CQ65" s="34"/>
      <c r="CR65" s="34"/>
      <c r="CS65" s="34"/>
      <c r="CT65" s="34"/>
      <c r="CU65" s="34"/>
      <c r="CV65" s="34"/>
      <c r="CW65" s="34"/>
      <c r="CX65" s="34"/>
      <c r="CY65" s="34"/>
      <c r="CZ65" s="34"/>
      <c r="DA65" s="34"/>
      <c r="DB65" s="34"/>
      <c r="DC65" s="34"/>
      <c r="DD65" s="34"/>
      <c r="DE65" s="34"/>
      <c r="DF65" s="34"/>
      <c r="DG65" s="34"/>
      <c r="DH65" s="34"/>
      <c r="DI65" s="34"/>
      <c r="DJ65" s="34"/>
      <c r="DK65" s="34"/>
      <c r="DL65" s="34"/>
      <c r="DM65" s="34"/>
      <c r="DN65" s="34"/>
      <c r="DO65" s="34"/>
      <c r="DP65" s="34"/>
      <c r="DQ65" s="34"/>
      <c r="DR65" s="34"/>
      <c r="DS65" s="34"/>
      <c r="DT65" s="34"/>
      <c r="DU65" s="34"/>
      <c r="DV65" s="34"/>
      <c r="DW65" s="34"/>
      <c r="DX65" s="34"/>
      <c r="DY65" s="34"/>
      <c r="DZ65" s="34"/>
      <c r="EA65" s="34"/>
      <c r="EB65" s="34"/>
      <c r="EC65" s="34"/>
      <c r="ED65" s="34"/>
      <c r="EE65" s="34"/>
      <c r="EF65" s="34"/>
      <c r="EG65" s="34"/>
      <c r="EH65" s="34"/>
      <c r="EI65" s="34"/>
      <c r="EJ65" s="34"/>
      <c r="EK65" s="34"/>
      <c r="EL65" s="34"/>
      <c r="EM65" s="34"/>
      <c r="EN65" s="34"/>
      <c r="EO65" s="34"/>
      <c r="EP65" s="34"/>
      <c r="EQ65" s="34"/>
      <c r="ER65" s="34"/>
      <c r="ES65" s="34"/>
      <c r="ET65" s="34"/>
      <c r="EU65" s="34"/>
      <c r="EV65" s="34"/>
      <c r="EW65" s="34"/>
      <c r="EX65" s="34"/>
      <c r="EY65" s="34"/>
      <c r="EZ65" s="34"/>
      <c r="FA65" s="34"/>
      <c r="FB65" s="34"/>
      <c r="FC65" s="34"/>
      <c r="FD65" s="34"/>
      <c r="FE65" s="34"/>
      <c r="FF65" s="34"/>
      <c r="FG65" s="34"/>
      <c r="FH65" s="34"/>
      <c r="FI65" s="34"/>
      <c r="FJ65" s="34"/>
      <c r="FK65" s="34"/>
      <c r="FL65" s="34"/>
      <c r="FM65" s="34"/>
      <c r="FN65" s="34"/>
      <c r="FO65" s="34"/>
      <c r="FP65" s="34"/>
      <c r="FQ65" s="34"/>
      <c r="FR65" s="34"/>
      <c r="FS65" s="34"/>
      <c r="FT65" s="34"/>
      <c r="FU65" s="34"/>
      <c r="FV65" s="34"/>
      <c r="FW65" s="34"/>
      <c r="FX65" s="34"/>
      <c r="FY65" s="34"/>
      <c r="FZ65" s="34"/>
      <c r="GA65" s="34"/>
      <c r="GB65" s="34"/>
      <c r="GC65" s="34"/>
      <c r="GD65" s="34"/>
      <c r="GE65" s="34"/>
      <c r="GF65" s="34"/>
      <c r="GG65" s="34"/>
      <c r="GH65" s="34"/>
      <c r="GI65" s="34"/>
      <c r="GJ65" s="34"/>
      <c r="GK65" s="34"/>
      <c r="GL65" s="34"/>
      <c r="GM65" s="34"/>
      <c r="GN65" s="34"/>
      <c r="GO65" s="34"/>
      <c r="GP65" s="34"/>
      <c r="GQ65" s="34"/>
      <c r="GR65" s="34"/>
      <c r="GS65" s="34"/>
      <c r="GT65" s="34"/>
      <c r="GU65" s="34"/>
      <c r="GV65" s="34"/>
      <c r="GW65" s="34"/>
      <c r="GX65" s="34"/>
      <c r="GY65" s="34"/>
      <c r="GZ65" s="34"/>
      <c r="HA65" s="34"/>
      <c r="HB65" s="34"/>
      <c r="HC65" s="34"/>
      <c r="HD65" s="34"/>
      <c r="HE65" s="34"/>
      <c r="HF65" s="34"/>
      <c r="HG65" s="34"/>
      <c r="HH65" s="34"/>
      <c r="HI65" s="34"/>
      <c r="HJ65" s="34"/>
      <c r="HK65" s="34"/>
      <c r="HL65" s="34"/>
      <c r="HM65" s="34"/>
      <c r="HN65" s="34"/>
      <c r="HO65" s="34"/>
      <c r="HP65" s="34"/>
      <c r="HQ65" s="34"/>
      <c r="HR65" s="34"/>
      <c r="HS65" s="34"/>
      <c r="HT65" s="34"/>
      <c r="HU65" s="34"/>
      <c r="HV65" s="34"/>
      <c r="HW65" s="34"/>
      <c r="HX65" s="34"/>
      <c r="HY65" s="34"/>
      <c r="HZ65" s="34"/>
      <c r="IA65" s="34"/>
      <c r="IB65" s="34"/>
      <c r="IC65" s="34"/>
      <c r="ID65" s="34"/>
      <c r="IE65" s="34"/>
      <c r="IF65" s="34"/>
      <c r="IG65" s="34"/>
      <c r="IH65" s="34"/>
      <c r="II65" s="34"/>
      <c r="IJ65" s="34"/>
      <c r="IK65" s="34"/>
      <c r="IL65" s="34"/>
      <c r="IM65" s="34"/>
      <c r="IN65" s="34"/>
      <c r="IO65" s="34"/>
      <c r="IP65" s="34"/>
      <c r="IQ65" s="34"/>
      <c r="IR65" s="34"/>
      <c r="IS65" s="34"/>
      <c r="IT65" s="34"/>
      <c r="IU65" s="34"/>
      <c r="IV65" s="34"/>
      <c r="IW65" s="34"/>
      <c r="IX65" s="34"/>
      <c r="IY65" s="34"/>
      <c r="IZ65" s="34"/>
    </row>
    <row ht="12.75" r="66" spans="1:270" x14ac:dyDescent="0.2">
      <c r="A66" s="1128" t="s">
        <v>4479</v>
      </c>
      <c r="B66" s="1945" t="str">
        <f>"selected "&amp;CBC_Ind-1</f>
        <v>selected 3</v>
      </c>
      <c r="C66" s="1251" t="s">
        <v>3023</v>
      </c>
      <c r="D66" s="1252"/>
      <c r="E66" s="2026">
        <v>1</v>
      </c>
      <c r="F66" s="2026">
        <v>2</v>
      </c>
      <c r="G66" s="2026">
        <v>3</v>
      </c>
      <c r="H66" s="2026">
        <v>4</v>
      </c>
      <c r="I66" s="2026">
        <v>5</v>
      </c>
      <c r="J66" s="2026">
        <v>6</v>
      </c>
      <c r="K66" s="2026">
        <v>7</v>
      </c>
      <c r="L66" s="2026">
        <v>8</v>
      </c>
      <c r="M66" s="2026">
        <v>9</v>
      </c>
      <c r="N66" s="2026">
        <v>10</v>
      </c>
      <c r="O66" s="2026">
        <v>11</v>
      </c>
      <c r="P66" s="2026">
        <v>12</v>
      </c>
      <c r="Q66" s="2026">
        <v>13</v>
      </c>
      <c r="R66" s="2026">
        <v>14</v>
      </c>
      <c r="S66" s="2026">
        <v>15</v>
      </c>
      <c r="T66" s="2026">
        <v>16</v>
      </c>
      <c r="U66" s="2026">
        <v>17</v>
      </c>
      <c r="V66" s="2026">
        <v>18</v>
      </c>
      <c r="W66" s="2026">
        <v>19</v>
      </c>
      <c r="X66" s="2026">
        <v>20</v>
      </c>
      <c r="Y66" s="2026">
        <v>21</v>
      </c>
      <c r="Z66" s="2026">
        <v>22</v>
      </c>
      <c r="AA66" s="2026">
        <v>23</v>
      </c>
      <c r="AB66" s="2026">
        <v>24</v>
      </c>
      <c r="AC66" s="2026">
        <v>25</v>
      </c>
      <c r="AD66" s="3502">
        <v>26</v>
      </c>
      <c r="AE66" s="3502">
        <v>27</v>
      </c>
      <c r="AF66" s="3502">
        <v>28</v>
      </c>
      <c r="AG66" s="3502">
        <v>29</v>
      </c>
      <c r="AH66" s="3502">
        <v>30</v>
      </c>
      <c r="AI66" s="1134">
        <v>31</v>
      </c>
      <c r="AJ66" s="1134">
        <v>32</v>
      </c>
      <c r="AK66" s="1134">
        <v>33</v>
      </c>
      <c r="AL66" s="1134">
        <v>34</v>
      </c>
      <c r="AM66" s="1134">
        <v>35</v>
      </c>
      <c r="AN66" s="1134">
        <v>36</v>
      </c>
      <c r="AO66" s="1134">
        <v>37</v>
      </c>
      <c r="AP66" s="1134">
        <v>38</v>
      </c>
      <c r="AQ66" s="1134">
        <v>39</v>
      </c>
      <c r="AR66" s="1134">
        <v>40</v>
      </c>
      <c r="AS66" s="1134">
        <v>41</v>
      </c>
      <c r="AT66" s="1134">
        <v>42</v>
      </c>
      <c r="AU66" s="1134">
        <v>43</v>
      </c>
      <c r="AV66" s="1134">
        <v>44</v>
      </c>
      <c r="AW66" s="1134">
        <v>45</v>
      </c>
      <c r="AX66" s="1134">
        <v>46</v>
      </c>
      <c r="AY66" s="1134">
        <v>47</v>
      </c>
      <c r="AZ66" s="1134">
        <v>48</v>
      </c>
      <c r="BA66" s="1134">
        <v>49</v>
      </c>
      <c r="BB66" s="1134">
        <v>50</v>
      </c>
      <c r="BC66" s="1134">
        <v>51</v>
      </c>
      <c r="BD66" s="1134">
        <v>52</v>
      </c>
      <c r="BE66" s="1134">
        <v>53</v>
      </c>
      <c r="BF66" s="1134">
        <v>54</v>
      </c>
      <c r="BG66" s="1134">
        <v>55</v>
      </c>
      <c r="BH66" s="1134">
        <v>56</v>
      </c>
      <c r="BI66" s="1134">
        <v>57</v>
      </c>
      <c r="BJ66" s="1134">
        <v>58</v>
      </c>
      <c r="BK66" s="1134">
        <v>59</v>
      </c>
      <c r="BL66" s="1134">
        <v>60</v>
      </c>
      <c r="BM66" s="1134">
        <v>61</v>
      </c>
      <c r="BN66" s="1134">
        <v>62</v>
      </c>
      <c r="BO66" s="1134">
        <v>63</v>
      </c>
      <c r="BP66" s="1134">
        <v>64</v>
      </c>
      <c r="BQ66" s="1134">
        <v>65</v>
      </c>
      <c r="BR66" s="1134">
        <v>66</v>
      </c>
      <c r="BS66" s="1134">
        <v>67</v>
      </c>
      <c r="BT66" s="1134">
        <v>68</v>
      </c>
      <c r="BU66" s="1134">
        <v>69</v>
      </c>
      <c r="BV66" s="1134">
        <v>70</v>
      </c>
      <c r="BW66" s="1134">
        <v>71</v>
      </c>
      <c r="BX66" s="1134">
        <v>72</v>
      </c>
      <c r="BY66" s="1134">
        <v>73</v>
      </c>
      <c r="BZ66" s="1134">
        <v>74</v>
      </c>
      <c r="CA66" s="1134">
        <v>75</v>
      </c>
      <c r="CB66" s="1134">
        <v>76</v>
      </c>
      <c r="CC66" s="1134">
        <v>77</v>
      </c>
      <c r="CD66" s="1134">
        <v>78</v>
      </c>
      <c r="CE66" s="1134">
        <v>79</v>
      </c>
      <c r="CF66" s="1134">
        <v>80</v>
      </c>
      <c r="CG66" s="1134">
        <v>81</v>
      </c>
      <c r="CH66" s="1134">
        <v>82</v>
      </c>
      <c r="CI66" s="1134">
        <v>83</v>
      </c>
      <c r="CJ66" s="1134">
        <v>84</v>
      </c>
      <c r="CK66" s="1134">
        <v>85</v>
      </c>
      <c r="CL66" s="1134">
        <v>86</v>
      </c>
      <c r="CM66" s="1134">
        <v>87</v>
      </c>
      <c r="CN66" s="1134">
        <v>88</v>
      </c>
      <c r="CO66" s="1134">
        <v>89</v>
      </c>
      <c r="CP66" s="1134">
        <v>90</v>
      </c>
      <c r="CQ66" s="1134">
        <v>91</v>
      </c>
      <c r="CR66" s="1134">
        <v>92</v>
      </c>
      <c r="CS66" s="1134">
        <v>93</v>
      </c>
      <c r="CT66" s="1134">
        <v>94</v>
      </c>
      <c r="CU66" s="1134">
        <v>95</v>
      </c>
      <c r="CV66" s="1134">
        <v>96</v>
      </c>
      <c r="CW66" s="1134">
        <v>97</v>
      </c>
      <c r="CX66" s="1134">
        <v>98</v>
      </c>
      <c r="CY66" s="1134">
        <v>99</v>
      </c>
      <c r="CZ66" s="1134">
        <v>100</v>
      </c>
      <c r="DA66" s="1134">
        <v>101</v>
      </c>
      <c r="DB66" s="1134">
        <v>102</v>
      </c>
      <c r="DC66" s="1134">
        <v>103</v>
      </c>
      <c r="DD66" s="1134">
        <v>104</v>
      </c>
      <c r="DE66" s="1134">
        <v>105</v>
      </c>
      <c r="DF66" s="1134">
        <v>106</v>
      </c>
      <c r="DG66" s="1134">
        <v>107</v>
      </c>
      <c r="DH66" s="1134">
        <v>108</v>
      </c>
      <c r="DI66" s="1134">
        <v>109</v>
      </c>
      <c r="DJ66" s="1134">
        <v>110</v>
      </c>
      <c r="DK66" s="1134">
        <v>111</v>
      </c>
      <c r="DL66" s="1134">
        <v>112</v>
      </c>
      <c r="DM66" s="1134">
        <v>113</v>
      </c>
      <c r="DN66" s="1134">
        <v>114</v>
      </c>
      <c r="DO66" s="1134">
        <v>115</v>
      </c>
      <c r="DP66" s="1134">
        <v>116</v>
      </c>
      <c r="DQ66" s="1134">
        <v>117</v>
      </c>
      <c r="DR66" s="1134">
        <v>118</v>
      </c>
      <c r="DS66" s="1134">
        <v>119</v>
      </c>
      <c r="DT66" s="1134">
        <v>120</v>
      </c>
      <c r="DU66" s="1134">
        <v>121</v>
      </c>
      <c r="DV66" s="1134">
        <v>122</v>
      </c>
      <c r="DW66" s="1134">
        <v>123</v>
      </c>
      <c r="DX66" s="1134">
        <v>124</v>
      </c>
      <c r="DY66" s="1134">
        <v>125</v>
      </c>
      <c r="DZ66" s="1134">
        <v>126</v>
      </c>
      <c r="EA66" s="1134">
        <v>127</v>
      </c>
      <c r="EB66" s="1134">
        <v>128</v>
      </c>
      <c r="EC66" s="1134">
        <v>129</v>
      </c>
      <c r="ED66" s="1134">
        <v>130</v>
      </c>
      <c r="EE66" s="1134">
        <v>131</v>
      </c>
      <c r="EF66" s="1134">
        <v>132</v>
      </c>
      <c r="EG66" s="1134">
        <v>133</v>
      </c>
      <c r="EH66" s="1134">
        <v>134</v>
      </c>
      <c r="EI66" s="1134">
        <v>135</v>
      </c>
      <c r="EJ66" s="1134">
        <v>136</v>
      </c>
      <c r="EK66" s="1134">
        <v>137</v>
      </c>
      <c r="EL66" s="1134">
        <v>138</v>
      </c>
      <c r="EM66" s="1134">
        <v>139</v>
      </c>
      <c r="EN66" s="1134">
        <v>140</v>
      </c>
      <c r="EO66" s="1134">
        <v>141</v>
      </c>
      <c r="EP66" s="1134">
        <v>142</v>
      </c>
      <c r="EQ66" s="1134">
        <v>143</v>
      </c>
      <c r="ER66" s="1134">
        <v>144</v>
      </c>
      <c r="ES66" s="1134">
        <v>145</v>
      </c>
      <c r="ET66" s="1134">
        <v>146</v>
      </c>
      <c r="EU66" s="1134">
        <v>147</v>
      </c>
      <c r="EV66" s="1134">
        <v>148</v>
      </c>
      <c r="EW66" s="1134">
        <v>149</v>
      </c>
      <c r="EX66" s="1134">
        <v>150</v>
      </c>
      <c r="EY66" s="1134">
        <v>151</v>
      </c>
      <c r="EZ66" s="1134">
        <v>152</v>
      </c>
      <c r="FA66" s="1134">
        <v>153</v>
      </c>
      <c r="FB66" s="1134">
        <v>154</v>
      </c>
      <c r="FC66" s="1134">
        <v>155</v>
      </c>
      <c r="FD66" s="1134">
        <v>156</v>
      </c>
      <c r="FE66" s="1134">
        <v>157</v>
      </c>
      <c r="FF66" s="1134">
        <v>158</v>
      </c>
      <c r="FG66" s="1134">
        <v>159</v>
      </c>
      <c r="FH66" s="1134">
        <v>160</v>
      </c>
      <c r="FI66" s="1134">
        <v>161</v>
      </c>
      <c r="FJ66" s="1134">
        <v>162</v>
      </c>
      <c r="FK66" s="1134">
        <v>163</v>
      </c>
      <c r="FL66" s="1134">
        <v>164</v>
      </c>
      <c r="FM66" s="1134">
        <v>165</v>
      </c>
      <c r="FN66" s="1134">
        <v>166</v>
      </c>
      <c r="FO66" s="1134">
        <v>167</v>
      </c>
      <c r="FP66" s="1134">
        <v>168</v>
      </c>
      <c r="FQ66" s="1134">
        <v>169</v>
      </c>
      <c r="FR66" s="1134">
        <v>170</v>
      </c>
      <c r="FS66" s="1134">
        <v>171</v>
      </c>
      <c r="FT66" s="1134">
        <v>172</v>
      </c>
      <c r="FU66" s="1134">
        <v>173</v>
      </c>
      <c r="FV66" s="1134">
        <v>174</v>
      </c>
      <c r="FW66" s="1134">
        <v>175</v>
      </c>
      <c r="FX66" s="1134">
        <v>176</v>
      </c>
      <c r="FY66" s="1134">
        <v>177</v>
      </c>
      <c r="FZ66" s="1134">
        <v>178</v>
      </c>
      <c r="GA66" s="1134">
        <v>179</v>
      </c>
      <c r="GB66" s="1134">
        <v>180</v>
      </c>
      <c r="GC66" s="1134">
        <v>181</v>
      </c>
      <c r="GD66" s="1134">
        <v>182</v>
      </c>
      <c r="GE66" s="1134">
        <v>183</v>
      </c>
      <c r="GF66" s="1134">
        <v>184</v>
      </c>
      <c r="GG66" s="1134">
        <v>185</v>
      </c>
      <c r="GH66" s="1134">
        <v>186</v>
      </c>
      <c r="GI66" s="1134">
        <v>187</v>
      </c>
      <c r="GJ66" s="1134">
        <v>188</v>
      </c>
      <c r="GK66" s="1134">
        <v>189</v>
      </c>
      <c r="GL66" s="1134">
        <v>190</v>
      </c>
      <c r="GM66" s="1134">
        <v>191</v>
      </c>
      <c r="GN66" s="1134">
        <v>192</v>
      </c>
      <c r="GO66" s="1134">
        <v>193</v>
      </c>
      <c r="GP66" s="1134">
        <v>194</v>
      </c>
      <c r="GQ66" s="1134">
        <v>195</v>
      </c>
      <c r="GR66" s="1134">
        <v>196</v>
      </c>
      <c r="GS66" s="1134">
        <v>197</v>
      </c>
      <c r="GT66" s="1134">
        <v>198</v>
      </c>
      <c r="GU66" s="1134">
        <v>199</v>
      </c>
      <c r="GV66" s="1134">
        <v>200</v>
      </c>
      <c r="GW66" s="1134">
        <v>201</v>
      </c>
      <c r="GX66" s="1134">
        <v>202</v>
      </c>
      <c r="GY66" s="1134">
        <v>203</v>
      </c>
      <c r="GZ66" s="1134">
        <v>204</v>
      </c>
      <c r="HA66" s="1134">
        <v>205</v>
      </c>
      <c r="HB66" s="1134">
        <v>206</v>
      </c>
      <c r="HC66" s="1134">
        <v>207</v>
      </c>
      <c r="HD66" s="1134">
        <v>208</v>
      </c>
      <c r="HE66" s="1134">
        <v>209</v>
      </c>
      <c r="HF66" s="1134">
        <v>210</v>
      </c>
      <c r="HG66" s="1134">
        <v>211</v>
      </c>
      <c r="HH66" s="1134">
        <v>212</v>
      </c>
      <c r="HI66" s="1134">
        <v>213</v>
      </c>
      <c r="HJ66" s="1134">
        <v>214</v>
      </c>
      <c r="HK66" s="1134">
        <v>215</v>
      </c>
      <c r="HL66" s="1134">
        <v>216</v>
      </c>
      <c r="HM66" s="1134">
        <v>217</v>
      </c>
      <c r="HN66" s="1134">
        <v>218</v>
      </c>
      <c r="HO66" s="1134">
        <v>219</v>
      </c>
      <c r="HP66" s="1134">
        <v>220</v>
      </c>
      <c r="HQ66" s="1134">
        <v>221</v>
      </c>
      <c r="HR66" s="1134">
        <v>222</v>
      </c>
      <c r="HS66" s="1134">
        <v>223</v>
      </c>
      <c r="HT66" s="1134">
        <v>224</v>
      </c>
      <c r="HU66" s="1134">
        <v>225</v>
      </c>
      <c r="HV66" s="1134">
        <v>226</v>
      </c>
      <c r="HW66" s="1134">
        <v>227</v>
      </c>
      <c r="HX66" s="1134">
        <v>228</v>
      </c>
      <c r="HY66" s="1134">
        <v>229</v>
      </c>
      <c r="HZ66" s="1134">
        <v>230</v>
      </c>
      <c r="IA66" s="1134">
        <v>231</v>
      </c>
      <c r="IB66" s="1134">
        <v>232</v>
      </c>
      <c r="IC66" s="1134">
        <v>233</v>
      </c>
      <c r="ID66" s="1134">
        <v>234</v>
      </c>
      <c r="IE66" s="1134">
        <v>235</v>
      </c>
      <c r="IF66" s="1134">
        <v>236</v>
      </c>
      <c r="IG66" s="1134">
        <v>237</v>
      </c>
      <c r="IH66" s="1134">
        <v>238</v>
      </c>
      <c r="II66" s="1134">
        <v>239</v>
      </c>
      <c r="IJ66" s="1134">
        <v>240</v>
      </c>
      <c r="IK66" s="1134">
        <v>241</v>
      </c>
      <c r="IL66" s="1134">
        <v>242</v>
      </c>
      <c r="IM66" s="1134">
        <v>243</v>
      </c>
      <c r="IN66" s="1134">
        <v>244</v>
      </c>
      <c r="IO66" s="1134">
        <v>245</v>
      </c>
      <c r="IP66" s="1134">
        <v>246</v>
      </c>
      <c r="IQ66" s="1134">
        <v>247</v>
      </c>
      <c r="IR66" s="1134">
        <v>248</v>
      </c>
      <c r="IS66" s="1134">
        <v>249</v>
      </c>
      <c r="IT66" s="1134">
        <v>250</v>
      </c>
      <c r="IU66" s="1134">
        <v>251</v>
      </c>
      <c r="IV66" s="1134">
        <v>252</v>
      </c>
      <c r="IW66" s="1134">
        <v>253</v>
      </c>
      <c r="IX66" s="1134">
        <v>254</v>
      </c>
      <c r="IY66" s="1134">
        <v>255</v>
      </c>
      <c r="IZ66" s="1134">
        <v>256</v>
      </c>
      <c r="JA66" s="1134">
        <v>257</v>
      </c>
      <c r="JB66" s="1134">
        <v>258</v>
      </c>
      <c r="JC66" s="1134">
        <v>259</v>
      </c>
      <c r="JD66" s="1134">
        <v>260</v>
      </c>
      <c r="JE66" s="1134">
        <v>261</v>
      </c>
      <c r="JF66" s="1134">
        <v>262</v>
      </c>
      <c r="JG66" s="2485">
        <v>263</v>
      </c>
      <c r="JH66" s="1233"/>
      <c r="JJ66" s="1701" t="s">
        <v>6104</v>
      </c>
    </row>
    <row ht="12.75" r="67" spans="1:270" x14ac:dyDescent="0.2">
      <c r="A67" s="1128">
        <v>2</v>
      </c>
      <c r="B67" s="2402" t="str">
        <f>IF(CBC_Ind&gt;1,IF(HLOOKUP(CBC_Ind-1,CBC_RANGE,A67)="","",HLOOKUP(CBC_Ind-1,CBC_RANGE,A67)),"")</f>
        <v/>
      </c>
      <c r="C67" s="1530" t="s">
        <v>2274</v>
      </c>
      <c r="D67" s="2403" t="s">
        <v>4512</v>
      </c>
      <c r="E67" s="2367"/>
      <c r="F67" s="2367"/>
      <c r="G67" s="2367"/>
      <c r="H67" s="2367"/>
      <c r="I67" s="2367"/>
      <c r="J67" s="2367"/>
      <c r="K67" s="2367"/>
      <c r="L67" s="2367"/>
      <c r="M67" s="2367"/>
      <c r="N67" s="2367"/>
      <c r="O67" s="2367"/>
      <c r="P67" s="2367"/>
      <c r="Q67" s="2367"/>
      <c r="R67" s="2367"/>
      <c r="S67" s="2367"/>
      <c r="T67" s="2367"/>
      <c r="U67" s="2367"/>
      <c r="V67" s="2367"/>
      <c r="W67" s="2367"/>
      <c r="X67" s="2367"/>
      <c r="Y67" s="2367"/>
      <c r="Z67" s="2367"/>
      <c r="AA67" s="2367"/>
      <c r="AB67" s="2367"/>
      <c r="AC67" s="2367"/>
      <c r="AD67" s="2367"/>
      <c r="AE67" s="2367"/>
      <c r="AF67" s="2367"/>
      <c r="AG67" s="2367"/>
      <c r="AH67" s="2367"/>
      <c r="AI67" s="2367"/>
      <c r="AJ67" s="2367"/>
      <c r="AK67" s="2367"/>
      <c r="AL67" s="2367"/>
      <c r="AM67" s="2367"/>
      <c r="AN67" s="2367"/>
      <c r="AO67" s="2367"/>
      <c r="AP67" s="2367"/>
      <c r="AQ67" s="2367"/>
      <c r="AR67" s="2367"/>
      <c r="AS67" s="2367"/>
      <c r="AT67" s="2367"/>
      <c r="AU67" s="2367"/>
      <c r="AV67" s="2367"/>
      <c r="AW67" s="2367"/>
      <c r="AX67" s="2367"/>
      <c r="AY67" s="2367"/>
      <c r="AZ67" s="2367"/>
      <c r="BA67" s="2367"/>
      <c r="BB67" s="2367"/>
      <c r="BC67" s="2367"/>
      <c r="BD67" s="2367"/>
      <c r="BE67" s="2367"/>
      <c r="BF67" s="2367"/>
      <c r="BG67" s="2367"/>
      <c r="BH67" s="2367"/>
      <c r="BI67" s="2367"/>
      <c r="BJ67" s="2367"/>
      <c r="BK67" s="2367"/>
      <c r="BL67" s="2367"/>
      <c r="BM67" s="2367"/>
      <c r="BN67" s="2367"/>
      <c r="BO67" s="2367"/>
      <c r="BP67" s="2367"/>
      <c r="BQ67" s="2367"/>
      <c r="BR67" s="2367"/>
      <c r="BS67" s="2367"/>
      <c r="BT67" s="2367"/>
      <c r="BU67" s="2367"/>
      <c r="BV67" s="2367"/>
      <c r="BW67" s="2367"/>
      <c r="BX67" s="2367"/>
      <c r="BY67" s="2367"/>
      <c r="BZ67" s="2367"/>
      <c r="CA67" s="2367"/>
      <c r="CB67" s="2367"/>
      <c r="CC67" s="2367"/>
      <c r="CD67" s="2367"/>
      <c r="CE67" s="2367"/>
      <c r="CF67" s="2367"/>
      <c r="CG67" s="2367"/>
      <c r="CH67" s="2367"/>
      <c r="CI67" s="2367"/>
      <c r="CJ67" s="2367"/>
      <c r="CK67" s="2367"/>
      <c r="CL67" s="2367"/>
      <c r="CM67" s="2367"/>
      <c r="CN67" s="2367"/>
      <c r="CO67" s="2367"/>
      <c r="CP67" s="2367"/>
      <c r="CQ67" s="2367"/>
      <c r="CR67" s="2367"/>
      <c r="CS67" s="2367"/>
      <c r="CT67" s="2367"/>
      <c r="CU67" s="2367"/>
      <c r="CV67" s="2367"/>
      <c r="CW67" s="2367"/>
      <c r="CX67" s="2367"/>
      <c r="CY67" s="2367"/>
      <c r="CZ67" s="2367"/>
      <c r="DA67" s="2367"/>
      <c r="DB67" s="2367"/>
      <c r="DC67" s="2367"/>
      <c r="DD67" s="2367"/>
      <c r="DE67" s="2367"/>
      <c r="DF67" s="2367"/>
      <c r="DG67" s="2367"/>
      <c r="DH67" s="2367"/>
      <c r="DI67" s="2367"/>
      <c r="DJ67" s="2367"/>
      <c r="DK67" s="2367"/>
      <c r="DL67" s="2367"/>
      <c r="DM67" s="2367"/>
      <c r="DN67" s="2367"/>
      <c r="DO67" s="2367"/>
      <c r="DP67" s="2367"/>
      <c r="DQ67" s="2367"/>
      <c r="DR67" s="2367"/>
      <c r="DS67" s="2367"/>
      <c r="DT67" s="2367"/>
      <c r="DU67" s="2367"/>
      <c r="DV67" s="2367"/>
      <c r="DW67" s="2367"/>
      <c r="DX67" s="2367"/>
      <c r="DY67" s="2367"/>
      <c r="DZ67" s="2367"/>
      <c r="EA67" s="2367"/>
      <c r="EB67" s="2367"/>
      <c r="EC67" s="2367"/>
      <c r="ED67" s="2367"/>
      <c r="EE67" s="2367"/>
      <c r="EF67" s="2367"/>
      <c r="EG67" s="2367"/>
      <c r="EH67" s="2367"/>
      <c r="EI67" s="2367"/>
      <c r="EJ67" s="2367"/>
      <c r="EK67" s="2367"/>
      <c r="EL67" s="2367"/>
      <c r="EM67" s="2367"/>
      <c r="EN67" s="2367"/>
      <c r="EO67" s="2367"/>
      <c r="EP67" s="2367"/>
      <c r="EQ67" s="2367"/>
      <c r="ER67" s="2367"/>
      <c r="ES67" s="2367"/>
      <c r="ET67" s="2367"/>
      <c r="EU67" s="2367"/>
      <c r="EV67" s="2367"/>
      <c r="EW67" s="2367"/>
      <c r="EX67" s="2367"/>
      <c r="EY67" s="2367"/>
      <c r="EZ67" s="2367"/>
      <c r="FA67" s="2367"/>
      <c r="FB67" s="2367"/>
      <c r="FC67" s="2367"/>
      <c r="FD67" s="2367"/>
      <c r="FE67" s="2367"/>
      <c r="FF67" s="2367"/>
      <c r="FG67" s="2367"/>
      <c r="FH67" s="2367"/>
      <c r="FI67" s="2367"/>
      <c r="FJ67" s="2367"/>
      <c r="FK67" s="2367"/>
      <c r="FL67" s="2367"/>
      <c r="FM67" s="2367"/>
      <c r="FN67" s="2367"/>
      <c r="FO67" s="2367"/>
      <c r="FP67" s="2367"/>
      <c r="FQ67" s="2367"/>
      <c r="FR67" s="2367"/>
      <c r="FS67" s="2367"/>
      <c r="FT67" s="2367"/>
      <c r="FU67" s="2367"/>
      <c r="FV67" s="2367"/>
      <c r="FW67" s="2367"/>
      <c r="FX67" s="2367"/>
      <c r="FY67" s="2367"/>
      <c r="FZ67" s="2367"/>
      <c r="GA67" s="2367"/>
      <c r="GB67" s="2367"/>
      <c r="GC67" s="2367"/>
      <c r="GD67" s="2367"/>
      <c r="GE67" s="2367"/>
      <c r="GF67" s="2367"/>
      <c r="GG67" s="2367"/>
      <c r="GH67" s="2367"/>
      <c r="GI67" s="2367"/>
      <c r="GJ67" s="2367"/>
      <c r="GK67" s="2367"/>
      <c r="GL67" s="2367"/>
      <c r="GM67" s="2367"/>
      <c r="GN67" s="2367">
        <v>5000</v>
      </c>
      <c r="GO67" s="2367">
        <v>5000</v>
      </c>
      <c r="GP67" s="2367">
        <v>1197</v>
      </c>
      <c r="GQ67" s="2367">
        <v>4539</v>
      </c>
      <c r="GR67" s="2367">
        <v>4539</v>
      </c>
      <c r="GS67" s="2367"/>
      <c r="GT67" s="2367"/>
      <c r="GU67" s="2367"/>
      <c r="GV67" s="2367"/>
      <c r="GW67" s="2367">
        <v>5000</v>
      </c>
      <c r="GX67" s="2367"/>
      <c r="GY67" s="2367"/>
      <c r="GZ67" s="2367"/>
      <c r="HA67" s="2367"/>
      <c r="HB67" s="2367"/>
      <c r="HC67" s="2367"/>
      <c r="HD67" s="2367"/>
      <c r="HE67" s="2367"/>
      <c r="HF67" s="2367"/>
      <c r="HG67" s="2367"/>
      <c r="HH67" s="2367"/>
      <c r="HI67" s="2367">
        <v>5000</v>
      </c>
      <c r="HJ67" s="2367"/>
      <c r="HK67" s="2367"/>
      <c r="HL67" s="2367"/>
      <c r="HM67" s="2367"/>
      <c r="HN67" s="2367"/>
      <c r="HO67" s="2367"/>
      <c r="HP67" s="2367"/>
      <c r="HQ67" s="2367"/>
      <c r="HR67" s="2367"/>
      <c r="HS67" s="2367"/>
      <c r="HT67" s="2367"/>
      <c r="HU67" s="2367"/>
      <c r="HV67" s="2367"/>
      <c r="HW67" s="2367"/>
      <c r="HX67" s="2367"/>
      <c r="HY67" s="2367"/>
      <c r="HZ67" s="2367"/>
      <c r="IA67" s="2367"/>
      <c r="IB67" s="2367"/>
      <c r="IC67" s="2367"/>
      <c r="ID67" s="2367"/>
      <c r="IE67" s="2367"/>
      <c r="IF67" s="2367"/>
      <c r="IG67" s="2367"/>
      <c r="IH67" s="2367"/>
      <c r="II67" s="2367"/>
      <c r="IJ67" s="2367"/>
      <c r="IK67" s="2367"/>
      <c r="IL67" s="2367"/>
      <c r="IM67" s="2367"/>
      <c r="IN67" s="2367"/>
      <c r="IO67" s="2367"/>
      <c r="IP67" s="2367"/>
      <c r="IQ67" s="2367"/>
      <c r="IR67" s="2367"/>
      <c r="IS67" s="4016">
        <v>2501</v>
      </c>
      <c r="IT67" s="2367"/>
      <c r="IU67" s="2367"/>
      <c r="IV67" s="2367"/>
      <c r="IW67" s="2367"/>
      <c r="IX67" s="2367"/>
      <c r="IY67" s="2367"/>
      <c r="IZ67" s="2367"/>
      <c r="JA67" s="2368"/>
      <c r="JB67" s="2368"/>
      <c r="JC67" s="2368"/>
      <c r="JD67" s="2368"/>
      <c r="JE67" s="4258">
        <v>1988</v>
      </c>
      <c r="JF67" s="2368"/>
      <c r="JG67" s="3750"/>
      <c r="JH67" s="1233"/>
      <c r="JI67" s="1229"/>
      <c r="JJ67" s="1686" t="s">
        <v>6129</v>
      </c>
    </row>
    <row ht="24" r="68" spans="1:270" x14ac:dyDescent="0.2">
      <c r="A68" s="1128">
        <v>3</v>
      </c>
      <c r="B68" s="2402" t="str">
        <f>IF(CBC_Ind&gt;1,IF(HLOOKUP(CBC_Ind-1,CBC_RANGE,A68)="","",HLOOKUP(CBC_Ind-1,CBC_RANGE,A68)),"")</f>
        <v/>
      </c>
      <c r="C68" s="2268" t="s">
        <v>564</v>
      </c>
      <c r="D68" s="2403" t="s">
        <v>4513</v>
      </c>
      <c r="E68" s="2378"/>
      <c r="F68" s="2378"/>
      <c r="G68" s="2378"/>
      <c r="H68" s="2378"/>
      <c r="I68" s="2378"/>
      <c r="J68" s="2378"/>
      <c r="K68" s="2378"/>
      <c r="L68" s="2378"/>
      <c r="M68" s="2378"/>
      <c r="N68" s="2378"/>
      <c r="O68" s="2378"/>
      <c r="P68" s="2378"/>
      <c r="Q68" s="2378"/>
      <c r="R68" s="2378"/>
      <c r="S68" s="2378"/>
      <c r="T68" s="2378"/>
      <c r="U68" s="2378"/>
      <c r="V68" s="2378"/>
      <c r="W68" s="2378"/>
      <c r="X68" s="2378"/>
      <c r="Y68" s="2378"/>
      <c r="Z68" s="2378"/>
      <c r="AA68" s="2378"/>
      <c r="AB68" s="2378"/>
      <c r="AC68" s="2378"/>
      <c r="AD68" s="2378"/>
      <c r="AE68" s="2378"/>
      <c r="AF68" s="2378"/>
      <c r="AG68" s="2378"/>
      <c r="AH68" s="2378"/>
      <c r="AI68" s="2378"/>
      <c r="AJ68" s="2378"/>
      <c r="AK68" s="2378"/>
      <c r="AL68" s="2378"/>
      <c r="AM68" s="2378"/>
      <c r="AN68" s="2378"/>
      <c r="AO68" s="2378"/>
      <c r="AP68" s="2378"/>
      <c r="AQ68" s="2378"/>
      <c r="AR68" s="2378"/>
      <c r="AS68" s="2378"/>
      <c r="AT68" s="2378"/>
      <c r="AU68" s="2378"/>
      <c r="AV68" s="2378"/>
      <c r="AW68" s="2378"/>
      <c r="AX68" s="2378"/>
      <c r="AY68" s="2378"/>
      <c r="AZ68" s="2378"/>
      <c r="BA68" s="2378"/>
      <c r="BB68" s="2378"/>
      <c r="BC68" s="2378"/>
      <c r="BD68" s="2378"/>
      <c r="BE68" s="2378"/>
      <c r="BF68" s="2378"/>
      <c r="BG68" s="2378"/>
      <c r="BH68" s="2378"/>
      <c r="BI68" s="2378"/>
      <c r="BJ68" s="2378"/>
      <c r="BK68" s="2378"/>
      <c r="BL68" s="2378"/>
      <c r="BM68" s="2378"/>
      <c r="BN68" s="2378"/>
      <c r="BO68" s="2378"/>
      <c r="BP68" s="2378"/>
      <c r="BQ68" s="2378"/>
      <c r="BR68" s="2378"/>
      <c r="BS68" s="2378"/>
      <c r="BT68" s="2378"/>
      <c r="BU68" s="2378"/>
      <c r="BV68" s="2378"/>
      <c r="BW68" s="2378"/>
      <c r="BX68" s="2378"/>
      <c r="BY68" s="2378"/>
      <c r="BZ68" s="2378"/>
      <c r="CA68" s="2378"/>
      <c r="CB68" s="2378"/>
      <c r="CC68" s="2378"/>
      <c r="CD68" s="2378"/>
      <c r="CE68" s="2378"/>
      <c r="CF68" s="2378"/>
      <c r="CG68" s="2378"/>
      <c r="CH68" s="2378"/>
      <c r="CI68" s="2378"/>
      <c r="CJ68" s="2378"/>
      <c r="CK68" s="2378"/>
      <c r="CL68" s="2378"/>
      <c r="CM68" s="2378"/>
      <c r="CN68" s="2378"/>
      <c r="CO68" s="2378"/>
      <c r="CP68" s="2378"/>
      <c r="CQ68" s="2378"/>
      <c r="CR68" s="2378"/>
      <c r="CS68" s="2378"/>
      <c r="CT68" s="2378"/>
      <c r="CU68" s="2378"/>
      <c r="CV68" s="2378"/>
      <c r="CW68" s="2378"/>
      <c r="CX68" s="2378"/>
      <c r="CY68" s="2378"/>
      <c r="CZ68" s="2378"/>
      <c r="DA68" s="2378"/>
      <c r="DB68" s="2378"/>
      <c r="DC68" s="2378"/>
      <c r="DD68" s="2378"/>
      <c r="DE68" s="2378"/>
      <c r="DF68" s="2378"/>
      <c r="DG68" s="2378"/>
      <c r="DH68" s="2378"/>
      <c r="DI68" s="2378"/>
      <c r="DJ68" s="2378"/>
      <c r="DK68" s="2378"/>
      <c r="DL68" s="2378"/>
      <c r="DM68" s="2378"/>
      <c r="DN68" s="2378"/>
      <c r="DO68" s="2378"/>
      <c r="DP68" s="2378"/>
      <c r="DQ68" s="2378"/>
      <c r="DR68" s="2378"/>
      <c r="DS68" s="2378"/>
      <c r="DT68" s="2378"/>
      <c r="DU68" s="2378"/>
      <c r="DV68" s="2378"/>
      <c r="DW68" s="2378"/>
      <c r="DX68" s="2378"/>
      <c r="DY68" s="2378"/>
      <c r="DZ68" s="2378"/>
      <c r="EA68" s="2378"/>
      <c r="EB68" s="2378"/>
      <c r="EC68" s="2378"/>
      <c r="ED68" s="2378"/>
      <c r="EE68" s="2378"/>
      <c r="EF68" s="2378"/>
      <c r="EG68" s="2378"/>
      <c r="EH68" s="2378"/>
      <c r="EI68" s="2378"/>
      <c r="EJ68" s="2378"/>
      <c r="EK68" s="2378"/>
      <c r="EL68" s="2378"/>
      <c r="EM68" s="2378"/>
      <c r="EN68" s="2378"/>
      <c r="EO68" s="2378"/>
      <c r="EP68" s="2378"/>
      <c r="EQ68" s="2378"/>
      <c r="ER68" s="2378"/>
      <c r="ES68" s="2378"/>
      <c r="ET68" s="2378"/>
      <c r="EU68" s="2378"/>
      <c r="EV68" s="2378"/>
      <c r="EW68" s="2378"/>
      <c r="EX68" s="2378"/>
      <c r="EY68" s="2378"/>
      <c r="EZ68" s="2378"/>
      <c r="FA68" s="2378"/>
      <c r="FB68" s="2378"/>
      <c r="FC68" s="2378"/>
      <c r="FD68" s="2378"/>
      <c r="FE68" s="2378"/>
      <c r="FF68" s="2378"/>
      <c r="FG68" s="2378"/>
      <c r="FH68" s="2378"/>
      <c r="FI68" s="2378"/>
      <c r="FJ68" s="2378"/>
      <c r="FK68" s="2378"/>
      <c r="FL68" s="2378"/>
      <c r="FM68" s="2378"/>
      <c r="FN68" s="2378"/>
      <c r="FO68" s="2378"/>
      <c r="FP68" s="2378"/>
      <c r="FQ68" s="2378"/>
      <c r="FR68" s="2378"/>
      <c r="FS68" s="2378"/>
      <c r="FT68" s="2378"/>
      <c r="FU68" s="2378"/>
      <c r="FV68" s="2378"/>
      <c r="FW68" s="2378"/>
      <c r="FX68" s="2378"/>
      <c r="FY68" s="2378"/>
      <c r="FZ68" s="2378"/>
      <c r="GA68" s="2378"/>
      <c r="GB68" s="2378"/>
      <c r="GC68" s="2378"/>
      <c r="GD68" s="2378"/>
      <c r="GE68" s="2378"/>
      <c r="GF68" s="2378"/>
      <c r="GG68" s="2378"/>
      <c r="GH68" s="2378"/>
      <c r="GI68" s="2378"/>
      <c r="GJ68" s="2378"/>
      <c r="GK68" s="2378"/>
      <c r="GL68" s="2378"/>
      <c r="GM68" s="2378"/>
      <c r="GN68" s="2378">
        <v>3</v>
      </c>
      <c r="GO68" s="2378">
        <v>3</v>
      </c>
      <c r="GP68" s="2378">
        <v>1</v>
      </c>
      <c r="GQ68" s="2378">
        <v>3</v>
      </c>
      <c r="GR68" s="2378">
        <v>3</v>
      </c>
      <c r="GS68" s="2378"/>
      <c r="GT68" s="2378"/>
      <c r="GU68" s="2378"/>
      <c r="GV68" s="2378"/>
      <c r="GW68" s="2378">
        <v>3</v>
      </c>
      <c r="GX68" s="2378"/>
      <c r="GY68" s="2378"/>
      <c r="GZ68" s="2378"/>
      <c r="HA68" s="2378"/>
      <c r="HB68" s="2378"/>
      <c r="HC68" s="2378"/>
      <c r="HD68" s="2378"/>
      <c r="HE68" s="2378"/>
      <c r="HF68" s="2378"/>
      <c r="HG68" s="2378"/>
      <c r="HH68" s="2378"/>
      <c r="HI68" s="2378">
        <v>3</v>
      </c>
      <c r="HJ68" s="2378"/>
      <c r="HK68" s="2378"/>
      <c r="HL68" s="2378"/>
      <c r="HM68" s="2378"/>
      <c r="HN68" s="2378"/>
      <c r="HO68" s="2378"/>
      <c r="HP68" s="2378"/>
      <c r="HQ68" s="2378"/>
      <c r="HR68" s="2378"/>
      <c r="HS68" s="2378"/>
      <c r="HT68" s="2378"/>
      <c r="HU68" s="2378"/>
      <c r="HV68" s="2378"/>
      <c r="HW68" s="2378"/>
      <c r="HX68" s="2378"/>
      <c r="HY68" s="2378"/>
      <c r="HZ68" s="2378"/>
      <c r="IA68" s="2378"/>
      <c r="IB68" s="2378"/>
      <c r="IC68" s="2378"/>
      <c r="ID68" s="2378"/>
      <c r="IE68" s="2378"/>
      <c r="IF68" s="2378"/>
      <c r="IG68" s="2378"/>
      <c r="IH68" s="2378"/>
      <c r="II68" s="2378"/>
      <c r="IJ68" s="2378"/>
      <c r="IK68" s="2378"/>
      <c r="IL68" s="2378"/>
      <c r="IM68" s="2378"/>
      <c r="IN68" s="2378"/>
      <c r="IO68" s="2378"/>
      <c r="IP68" s="2378"/>
      <c r="IQ68" s="2378"/>
      <c r="IR68" s="2378"/>
      <c r="IS68" s="3845">
        <v>3</v>
      </c>
      <c r="IT68" s="2378"/>
      <c r="IU68" s="2378"/>
      <c r="IV68" s="2378"/>
      <c r="IW68" s="2378"/>
      <c r="IX68" s="2378"/>
      <c r="IY68" s="2378"/>
      <c r="IZ68" s="2378"/>
      <c r="JA68" s="2880"/>
      <c r="JB68" s="2880"/>
      <c r="JC68" s="2880"/>
      <c r="JD68" s="2880"/>
      <c r="JE68" s="3953">
        <v>2</v>
      </c>
      <c r="JF68" s="2880"/>
      <c r="JG68" s="3750"/>
      <c r="JH68" s="1233"/>
      <c r="JI68" s="1229" t="s">
        <v>5108</v>
      </c>
      <c r="JJ68" s="1686" t="s">
        <v>6132</v>
      </c>
    </row>
    <row ht="36.75" r="69" spans="1:270" thickBot="1" x14ac:dyDescent="0.25">
      <c r="A69" s="1128">
        <v>4</v>
      </c>
      <c r="B69" s="2402" t="str">
        <f>IF(CBC_Ind&gt;1,IF(HLOOKUP(CBC_Ind-1,CBC_RANGE,A69)="","",HLOOKUP(CBC_Ind-1,CBC_RANGE,A69)),"")</f>
        <v/>
      </c>
      <c r="C69" s="1813" t="s">
        <v>2411</v>
      </c>
      <c r="D69" s="2404" t="s">
        <v>4521</v>
      </c>
      <c r="E69" s="2393"/>
      <c r="F69" s="2381"/>
      <c r="G69" s="2381"/>
      <c r="H69" s="2381"/>
      <c r="I69" s="2381"/>
      <c r="J69" s="2381"/>
      <c r="K69" s="2381"/>
      <c r="L69" s="2381"/>
      <c r="M69" s="2381"/>
      <c r="N69" s="2381"/>
      <c r="O69" s="2381"/>
      <c r="P69" s="2381"/>
      <c r="Q69" s="2381"/>
      <c r="R69" s="2381"/>
      <c r="S69" s="2381"/>
      <c r="T69" s="2381"/>
      <c r="U69" s="2381"/>
      <c r="V69" s="2381"/>
      <c r="W69" s="2381"/>
      <c r="X69" s="2381"/>
      <c r="Y69" s="2381"/>
      <c r="Z69" s="2381"/>
      <c r="AA69" s="2381"/>
      <c r="AB69" s="2381"/>
      <c r="AC69" s="2381"/>
      <c r="AD69" s="2381"/>
      <c r="AE69" s="2381"/>
      <c r="AF69" s="2381"/>
      <c r="AG69" s="2381"/>
      <c r="AH69" s="2381"/>
      <c r="AI69" s="2381"/>
      <c r="AJ69" s="2381"/>
      <c r="AK69" s="2381"/>
      <c r="AL69" s="2381"/>
      <c r="AM69" s="2381"/>
      <c r="AN69" s="2381"/>
      <c r="AO69" s="2381"/>
      <c r="AP69" s="2381"/>
      <c r="AQ69" s="2381"/>
      <c r="AR69" s="2381"/>
      <c r="AS69" s="2393"/>
      <c r="AT69" s="2381"/>
      <c r="AU69" s="2381"/>
      <c r="AV69" s="2381"/>
      <c r="AW69" s="2381"/>
      <c r="AX69" s="2381"/>
      <c r="AY69" s="2381"/>
      <c r="AZ69" s="2381"/>
      <c r="BA69" s="2381"/>
      <c r="BB69" s="2381"/>
      <c r="BC69" s="2381"/>
      <c r="BD69" s="2381"/>
      <c r="BE69" s="2381"/>
      <c r="BF69" s="2381"/>
      <c r="BG69" s="2381"/>
      <c r="BH69" s="2381"/>
      <c r="BI69" s="2381"/>
      <c r="BJ69" s="2381"/>
      <c r="BK69" s="2381"/>
      <c r="BL69" s="2381"/>
      <c r="BM69" s="2381"/>
      <c r="BN69" s="2381"/>
      <c r="BO69" s="2381"/>
      <c r="BP69" s="2381"/>
      <c r="BQ69" s="2381"/>
      <c r="BR69" s="2381"/>
      <c r="BS69" s="2381"/>
      <c r="BT69" s="2381"/>
      <c r="BU69" s="2381"/>
      <c r="BV69" s="2381"/>
      <c r="BW69" s="2381"/>
      <c r="BX69" s="2381"/>
      <c r="BY69" s="2381"/>
      <c r="BZ69" s="2381"/>
      <c r="CA69" s="2381"/>
      <c r="CB69" s="2381"/>
      <c r="CC69" s="2381"/>
      <c r="CD69" s="2381"/>
      <c r="CE69" s="2381"/>
      <c r="CF69" s="2381"/>
      <c r="CG69" s="2381"/>
      <c r="CH69" s="2381"/>
      <c r="CI69" s="2381"/>
      <c r="CJ69" s="2381"/>
      <c r="CK69" s="2381"/>
      <c r="CL69" s="2381"/>
      <c r="CM69" s="2381"/>
      <c r="CN69" s="2381"/>
      <c r="CO69" s="2381"/>
      <c r="CP69" s="2381"/>
      <c r="CQ69" s="2381"/>
      <c r="CR69" s="2381"/>
      <c r="CS69" s="2381"/>
      <c r="CT69" s="2381"/>
      <c r="CU69" s="2381"/>
      <c r="CV69" s="2381"/>
      <c r="CW69" s="2381"/>
      <c r="CX69" s="2381"/>
      <c r="CY69" s="2381"/>
      <c r="CZ69" s="2381"/>
      <c r="DA69" s="2381"/>
      <c r="DB69" s="2381"/>
      <c r="DC69" s="2381"/>
      <c r="DD69" s="2381"/>
      <c r="DE69" s="2381"/>
      <c r="DF69" s="2381"/>
      <c r="DG69" s="2381"/>
      <c r="DH69" s="2381"/>
      <c r="DI69" s="2381"/>
      <c r="DJ69" s="2381"/>
      <c r="DK69" s="2381"/>
      <c r="DL69" s="2381"/>
      <c r="DM69" s="2381"/>
      <c r="DN69" s="2381"/>
      <c r="DO69" s="2381"/>
      <c r="DP69" s="2381"/>
      <c r="DQ69" s="2381"/>
      <c r="DR69" s="2381"/>
      <c r="DS69" s="2381"/>
      <c r="DT69" s="2381"/>
      <c r="DU69" s="2381"/>
      <c r="DV69" s="2381"/>
      <c r="DW69" s="2381"/>
      <c r="DX69" s="2381"/>
      <c r="DY69" s="2381"/>
      <c r="DZ69" s="2381"/>
      <c r="EA69" s="2381"/>
      <c r="EB69" s="2381"/>
      <c r="EC69" s="2381"/>
      <c r="ED69" s="2381"/>
      <c r="EE69" s="2381"/>
      <c r="EF69" s="2381"/>
      <c r="EG69" s="2381"/>
      <c r="EH69" s="2381"/>
      <c r="EI69" s="2381"/>
      <c r="EJ69" s="2381"/>
      <c r="EK69" s="2381"/>
      <c r="EL69" s="2381"/>
      <c r="EM69" s="2381"/>
      <c r="EN69" s="2381"/>
      <c r="EO69" s="2381"/>
      <c r="EP69" s="2381"/>
      <c r="EQ69" s="2381"/>
      <c r="ER69" s="2381"/>
      <c r="ES69" s="2381"/>
      <c r="ET69" s="2381"/>
      <c r="EU69" s="2381"/>
      <c r="EV69" s="2381"/>
      <c r="EW69" s="2381"/>
      <c r="EX69" s="2381"/>
      <c r="EY69" s="2381"/>
      <c r="EZ69" s="2381"/>
      <c r="FA69" s="2381"/>
      <c r="FB69" s="2381"/>
      <c r="FC69" s="2381"/>
      <c r="FD69" s="2381"/>
      <c r="FE69" s="2381"/>
      <c r="FF69" s="2381"/>
      <c r="FG69" s="2381"/>
      <c r="FH69" s="2381"/>
      <c r="FI69" s="2381"/>
      <c r="FJ69" s="2381"/>
      <c r="FK69" s="2381"/>
      <c r="FL69" s="2381"/>
      <c r="FM69" s="2381"/>
      <c r="FN69" s="2381"/>
      <c r="FO69" s="2381"/>
      <c r="FP69" s="2381"/>
      <c r="FQ69" s="2381"/>
      <c r="FR69" s="2381"/>
      <c r="FS69" s="2381"/>
      <c r="FT69" s="2381"/>
      <c r="FU69" s="2381"/>
      <c r="FV69" s="2381"/>
      <c r="FW69" s="2381"/>
      <c r="FX69" s="2381"/>
      <c r="FY69" s="2381"/>
      <c r="FZ69" s="2381"/>
      <c r="GA69" s="2381"/>
      <c r="GB69" s="2381"/>
      <c r="GC69" s="2381"/>
      <c r="GD69" s="2381"/>
      <c r="GE69" s="2381"/>
      <c r="GF69" s="2381"/>
      <c r="GG69" s="2381"/>
      <c r="GH69" s="2381"/>
      <c r="GI69" s="2381"/>
      <c r="GJ69" s="2381"/>
      <c r="GK69" s="2381"/>
      <c r="GL69" s="2381"/>
      <c r="GM69" s="2381"/>
      <c r="GN69" s="2393" t="str">
        <f>"15/03/"&amp;Tax_year_end</f>
        <v>15/03/2020</v>
      </c>
      <c r="GO69" s="2393" t="str">
        <f>"15/03/"&amp;Tax_year_end</f>
        <v>15/03/2020</v>
      </c>
      <c r="GP69" s="2381"/>
      <c r="GQ69" s="2381"/>
      <c r="GR69" s="2381"/>
      <c r="GS69" s="2381"/>
      <c r="GT69" s="2381"/>
      <c r="GU69" s="2381"/>
      <c r="GV69" s="2381"/>
      <c r="GW69" s="2393" t="str">
        <f>"15/03/"&amp;Tax_year_end</f>
        <v>15/03/2020</v>
      </c>
      <c r="GX69" s="2381"/>
      <c r="GY69" s="2381"/>
      <c r="GZ69" s="2381"/>
      <c r="HA69" s="2381"/>
      <c r="HB69" s="2381"/>
      <c r="HC69" s="2381"/>
      <c r="HD69" s="2381"/>
      <c r="HE69" s="2381"/>
      <c r="HF69" s="2381"/>
      <c r="HG69" s="2381"/>
      <c r="HH69" s="2381"/>
      <c r="HI69" s="2393" t="str">
        <f>"15/03/"&amp;Tax_year_end</f>
        <v>15/03/2020</v>
      </c>
      <c r="HJ69" s="2381"/>
      <c r="HK69" s="2381"/>
      <c r="HL69" s="2381"/>
      <c r="HM69" s="2381"/>
      <c r="HN69" s="2381"/>
      <c r="HO69" s="2381"/>
      <c r="HP69" s="2381"/>
      <c r="HQ69" s="2381"/>
      <c r="HR69" s="2381"/>
      <c r="HS69" s="2381"/>
      <c r="HT69" s="2381"/>
      <c r="HU69" s="2381"/>
      <c r="HV69" s="2381"/>
      <c r="HW69" s="2381"/>
      <c r="HX69" s="2381"/>
      <c r="HY69" s="2381"/>
      <c r="HZ69" s="2381"/>
      <c r="IA69" s="2381"/>
      <c r="IB69" s="2381"/>
      <c r="IC69" s="2381"/>
      <c r="ID69" s="2381"/>
      <c r="IE69" s="2381"/>
      <c r="IF69" s="2381"/>
      <c r="IG69" s="2381"/>
      <c r="IH69" s="2381"/>
      <c r="II69" s="2381"/>
      <c r="IJ69" s="2381"/>
      <c r="IK69" s="2381"/>
      <c r="IL69" s="2381"/>
      <c r="IM69" s="2381"/>
      <c r="IN69" s="2381"/>
      <c r="IO69" s="2381"/>
      <c r="IP69" s="2381"/>
      <c r="IQ69" s="2381"/>
      <c r="IR69" s="2381"/>
      <c r="IS69" s="2381"/>
      <c r="IT69" s="2381"/>
      <c r="IU69" s="2381"/>
      <c r="IV69" s="2381"/>
      <c r="IW69" s="2381"/>
      <c r="IX69" s="2381"/>
      <c r="IY69" s="2381"/>
      <c r="IZ69" s="2381"/>
      <c r="JA69" s="2382"/>
      <c r="JB69" s="2382"/>
      <c r="JC69" s="2382"/>
      <c r="JD69" s="2382"/>
      <c r="JE69" s="2382"/>
      <c r="JF69" s="2382"/>
      <c r="JG69" s="3751"/>
      <c r="JH69" s="1233"/>
      <c r="JI69" s="1229" t="s">
        <v>5109</v>
      </c>
      <c r="JJ69" s="1686" t="s">
        <v>6126</v>
      </c>
    </row>
    <row ht="12.75" r="70" spans="1:270" thickBot="1" x14ac:dyDescent="0.25">
      <c r="A70" s="1211"/>
      <c r="B70" s="386"/>
      <c r="C70" s="1131" t="s">
        <v>4227</v>
      </c>
      <c r="D70" s="671"/>
      <c r="E70" s="2343"/>
      <c r="F70" s="2343"/>
      <c r="G70" s="117"/>
      <c r="H70" s="2343"/>
      <c r="I70" s="2343"/>
      <c r="J70" s="2343"/>
      <c r="K70" s="34"/>
      <c r="L70" s="34"/>
      <c r="M70" s="34"/>
      <c r="N70" s="34"/>
      <c r="O70" s="34"/>
      <c r="P70" s="34"/>
      <c r="Q70" s="34"/>
      <c r="R70" s="34"/>
      <c r="S70" s="34"/>
      <c r="T70" s="34"/>
      <c r="U70" s="34"/>
      <c r="V70" s="34"/>
      <c r="W70" s="34"/>
      <c r="X70" s="34"/>
      <c r="Y70" s="34"/>
      <c r="Z70" s="34"/>
      <c r="AA70" s="34"/>
      <c r="AB70" s="34"/>
      <c r="AC70" s="34"/>
      <c r="AI70" s="34"/>
      <c r="AJ70" s="34"/>
      <c r="AK70" s="34"/>
      <c r="AL70" s="34"/>
      <c r="AM70" s="34"/>
      <c r="AN70" s="34"/>
      <c r="AO70" s="34"/>
      <c r="AP70" s="34"/>
      <c r="AQ70" s="34"/>
      <c r="AR70" s="34"/>
      <c r="AS70" s="2343"/>
      <c r="AT70" s="2343"/>
      <c r="AU70" s="117"/>
      <c r="AV70" s="2343"/>
      <c r="AW70" s="2343"/>
      <c r="AX70" s="2343"/>
      <c r="AY70" s="34"/>
      <c r="AZ70" s="34"/>
      <c r="BA70" s="34"/>
      <c r="BB70" s="34"/>
      <c r="BC70" s="34"/>
      <c r="BD70" s="34"/>
      <c r="BE70" s="34"/>
      <c r="BF70" s="34"/>
      <c r="BG70" s="34"/>
      <c r="BH70" s="34"/>
      <c r="BI70" s="34"/>
      <c r="BJ70" s="34"/>
      <c r="BK70" s="34"/>
      <c r="BL70" s="34"/>
      <c r="BM70" s="34"/>
      <c r="BN70" s="34"/>
      <c r="BO70" s="34"/>
      <c r="BP70" s="34"/>
      <c r="BQ70" s="34"/>
      <c r="BR70" s="34"/>
      <c r="BS70" s="34"/>
      <c r="BT70" s="34"/>
      <c r="BU70" s="34"/>
      <c r="BV70" s="34"/>
      <c r="BW70" s="34"/>
      <c r="BX70" s="34"/>
      <c r="BY70" s="34"/>
      <c r="BZ70" s="34"/>
      <c r="CA70" s="34"/>
      <c r="CB70" s="34"/>
      <c r="CC70" s="34"/>
      <c r="CD70" s="34"/>
      <c r="CE70" s="34"/>
      <c r="CF70" s="34"/>
      <c r="CG70" s="34"/>
      <c r="CH70" s="34"/>
      <c r="CI70" s="34"/>
      <c r="CJ70" s="34"/>
      <c r="CK70" s="34"/>
      <c r="CL70" s="34"/>
      <c r="CM70" s="34"/>
      <c r="CN70" s="34"/>
      <c r="CO70" s="34"/>
      <c r="CP70" s="34"/>
      <c r="CQ70" s="34"/>
      <c r="CR70" s="34"/>
      <c r="CS70" s="34"/>
      <c r="CT70" s="34"/>
      <c r="CU70" s="34"/>
      <c r="CV70" s="34"/>
      <c r="CW70" s="34"/>
      <c r="CX70" s="34"/>
      <c r="CY70" s="34"/>
      <c r="CZ70" s="34"/>
      <c r="DA70" s="34"/>
      <c r="DB70" s="34"/>
      <c r="DC70" s="34"/>
      <c r="DD70" s="34"/>
      <c r="DE70" s="34"/>
      <c r="DF70" s="34"/>
      <c r="DG70" s="34"/>
      <c r="DH70" s="34"/>
      <c r="DI70" s="34"/>
      <c r="DJ70" s="34"/>
      <c r="DK70" s="34"/>
      <c r="DL70" s="34"/>
      <c r="DM70" s="34"/>
      <c r="DN70" s="34"/>
      <c r="DO70" s="34"/>
      <c r="DP70" s="34"/>
      <c r="DQ70" s="34"/>
      <c r="DR70" s="34"/>
      <c r="DS70" s="34"/>
      <c r="DT70" s="34"/>
      <c r="DU70" s="34"/>
      <c r="DV70" s="34"/>
      <c r="DW70" s="34"/>
      <c r="DX70" s="34"/>
      <c r="DY70" s="34"/>
      <c r="DZ70" s="34"/>
      <c r="EA70" s="34"/>
      <c r="EB70" s="34"/>
      <c r="EC70" s="34"/>
      <c r="ED70" s="34"/>
      <c r="EE70" s="34"/>
      <c r="EF70" s="34"/>
      <c r="EG70" s="34"/>
      <c r="EH70" s="34"/>
      <c r="EI70" s="34"/>
      <c r="EJ70" s="34"/>
      <c r="EK70" s="34"/>
      <c r="EL70" s="34"/>
      <c r="EM70" s="34"/>
      <c r="EN70" s="34"/>
      <c r="EO70" s="34"/>
      <c r="EP70" s="34"/>
      <c r="EQ70" s="34"/>
      <c r="ER70" s="34"/>
      <c r="ES70" s="34"/>
      <c r="ET70" s="34"/>
      <c r="EU70" s="34"/>
      <c r="EV70" s="34"/>
      <c r="EW70" s="34"/>
      <c r="EX70" s="34"/>
      <c r="EY70" s="34"/>
      <c r="EZ70" s="34"/>
      <c r="FA70" s="34"/>
      <c r="FB70" s="34"/>
      <c r="FC70" s="34"/>
      <c r="FD70" s="34"/>
      <c r="FE70" s="34"/>
      <c r="FF70" s="34"/>
      <c r="FG70" s="34"/>
      <c r="FH70" s="34"/>
      <c r="FI70" s="34"/>
      <c r="FJ70" s="34"/>
      <c r="FK70" s="34"/>
      <c r="FL70" s="34"/>
      <c r="FM70" s="34"/>
      <c r="FN70" s="34"/>
      <c r="FO70" s="34"/>
      <c r="FP70" s="34"/>
      <c r="FQ70" s="34"/>
      <c r="FR70" s="34"/>
      <c r="FS70" s="34"/>
      <c r="FT70" s="34"/>
      <c r="FU70" s="34"/>
      <c r="FV70" s="34"/>
      <c r="FW70" s="34"/>
      <c r="FX70" s="34"/>
      <c r="FY70" s="34"/>
      <c r="FZ70" s="34"/>
      <c r="GA70" s="34"/>
      <c r="GB70" s="34"/>
      <c r="GC70" s="34"/>
      <c r="GD70" s="34"/>
      <c r="GE70" s="34"/>
      <c r="GF70" s="34"/>
      <c r="GG70" s="34"/>
      <c r="GH70" s="34"/>
      <c r="GI70" s="34"/>
      <c r="GJ70" s="34"/>
      <c r="GK70" s="34"/>
      <c r="GL70" s="34"/>
      <c r="GM70" s="34"/>
      <c r="GN70" s="34"/>
      <c r="GO70" s="34"/>
      <c r="GP70" s="34"/>
      <c r="GQ70" s="34"/>
      <c r="GR70" s="34"/>
      <c r="GS70" s="34"/>
      <c r="GT70" s="34"/>
      <c r="GU70" s="34"/>
      <c r="GV70" s="34"/>
      <c r="GW70" s="34"/>
      <c r="GX70" s="34"/>
      <c r="GY70" s="34"/>
      <c r="GZ70" s="34"/>
      <c r="HA70" s="34"/>
      <c r="HB70" s="34"/>
      <c r="HC70" s="34"/>
      <c r="HD70" s="34"/>
      <c r="HE70" s="34"/>
      <c r="HF70" s="34"/>
      <c r="HG70" s="34"/>
      <c r="HH70" s="34"/>
      <c r="HI70" s="34"/>
      <c r="HJ70" s="34"/>
      <c r="HK70" s="34"/>
      <c r="HL70" s="34"/>
      <c r="HM70" s="34"/>
      <c r="HN70" s="34"/>
      <c r="HO70" s="34"/>
      <c r="HP70" s="34"/>
      <c r="HQ70" s="34"/>
      <c r="HR70" s="34"/>
      <c r="HS70" s="34"/>
      <c r="HT70" s="34"/>
      <c r="HU70" s="34"/>
      <c r="HV70" s="34"/>
      <c r="HW70" s="34"/>
      <c r="HX70" s="34"/>
      <c r="HY70" s="34"/>
      <c r="HZ70" s="34"/>
      <c r="IA70" s="34"/>
      <c r="IB70" s="34"/>
      <c r="IC70" s="34"/>
      <c r="ID70" s="34"/>
      <c r="IE70" s="34"/>
      <c r="IF70" s="34"/>
      <c r="IG70" s="34"/>
      <c r="IH70" s="34"/>
      <c r="II70" s="34"/>
      <c r="IJ70" s="34"/>
      <c r="IK70" s="34"/>
      <c r="IL70" s="34"/>
      <c r="IM70" s="34"/>
      <c r="IN70" s="34"/>
      <c r="IO70" s="34"/>
      <c r="IP70" s="34"/>
      <c r="IQ70" s="34"/>
      <c r="IR70" s="34"/>
      <c r="IS70" s="34"/>
      <c r="IT70" s="34"/>
      <c r="IU70" s="34"/>
      <c r="IV70" s="34"/>
      <c r="IW70" s="34"/>
      <c r="IX70" s="34"/>
      <c r="IY70" s="34"/>
      <c r="IZ70" s="34"/>
      <c r="JG70" s="3724"/>
    </row>
    <row ht="12.75" r="71" spans="1:270" x14ac:dyDescent="0.2">
      <c r="A71" s="1212" t="s">
        <v>4479</v>
      </c>
      <c r="B71" s="1945" t="str">
        <f>"selected "&amp;MAT_Ind-1</f>
        <v>selected 3</v>
      </c>
      <c r="C71" s="1251" t="s">
        <v>4225</v>
      </c>
      <c r="D71" s="1252"/>
      <c r="E71" s="2026">
        <v>1</v>
      </c>
      <c r="F71" s="2026">
        <v>2</v>
      </c>
      <c r="G71" s="2026">
        <v>3</v>
      </c>
      <c r="H71" s="2026">
        <v>4</v>
      </c>
      <c r="I71" s="2026">
        <v>5</v>
      </c>
      <c r="J71" s="2026">
        <v>6</v>
      </c>
      <c r="K71" s="2026">
        <v>7</v>
      </c>
      <c r="L71" s="2026">
        <v>8</v>
      </c>
      <c r="M71" s="2026">
        <v>9</v>
      </c>
      <c r="N71" s="2026">
        <v>10</v>
      </c>
      <c r="O71" s="2026">
        <v>11</v>
      </c>
      <c r="P71" s="2026">
        <v>12</v>
      </c>
      <c r="Q71" s="2026">
        <v>13</v>
      </c>
      <c r="R71" s="2026">
        <v>14</v>
      </c>
      <c r="S71" s="2026">
        <v>15</v>
      </c>
      <c r="T71" s="2026">
        <v>16</v>
      </c>
      <c r="U71" s="2026">
        <v>17</v>
      </c>
      <c r="V71" s="2026">
        <v>18</v>
      </c>
      <c r="W71" s="2026">
        <v>19</v>
      </c>
      <c r="X71" s="2026">
        <v>20</v>
      </c>
      <c r="Y71" s="2026">
        <v>21</v>
      </c>
      <c r="Z71" s="2026">
        <v>22</v>
      </c>
      <c r="AA71" s="2026">
        <v>23</v>
      </c>
      <c r="AB71" s="2026">
        <v>24</v>
      </c>
      <c r="AC71" s="2026">
        <v>25</v>
      </c>
      <c r="AD71" s="3502">
        <v>26</v>
      </c>
      <c r="AE71" s="3502">
        <v>27</v>
      </c>
      <c r="AF71" s="3502">
        <v>28</v>
      </c>
      <c r="AG71" s="3502">
        <v>29</v>
      </c>
      <c r="AH71" s="3502">
        <v>30</v>
      </c>
      <c r="AI71" s="1134">
        <v>31</v>
      </c>
      <c r="AJ71" s="1134">
        <v>32</v>
      </c>
      <c r="AK71" s="1134">
        <v>33</v>
      </c>
      <c r="AL71" s="1134">
        <v>34</v>
      </c>
      <c r="AM71" s="1134">
        <v>35</v>
      </c>
      <c r="AN71" s="1134">
        <v>36</v>
      </c>
      <c r="AO71" s="1134">
        <v>37</v>
      </c>
      <c r="AP71" s="1134">
        <v>38</v>
      </c>
      <c r="AQ71" s="1134">
        <v>39</v>
      </c>
      <c r="AR71" s="1134">
        <v>40</v>
      </c>
      <c r="AS71" s="1134">
        <v>41</v>
      </c>
      <c r="AT71" s="1134">
        <v>42</v>
      </c>
      <c r="AU71" s="1134">
        <v>43</v>
      </c>
      <c r="AV71" s="1134">
        <v>44</v>
      </c>
      <c r="AW71" s="1134">
        <v>45</v>
      </c>
      <c r="AX71" s="1134">
        <v>46</v>
      </c>
      <c r="AY71" s="1134">
        <v>47</v>
      </c>
      <c r="AZ71" s="1134">
        <v>48</v>
      </c>
      <c r="BA71" s="1134">
        <v>49</v>
      </c>
      <c r="BB71" s="1134">
        <v>50</v>
      </c>
      <c r="BC71" s="1134">
        <v>51</v>
      </c>
      <c r="BD71" s="1134">
        <v>52</v>
      </c>
      <c r="BE71" s="1134">
        <v>53</v>
      </c>
      <c r="BF71" s="1134">
        <v>54</v>
      </c>
      <c r="BG71" s="1134">
        <v>55</v>
      </c>
      <c r="BH71" s="1134">
        <v>56</v>
      </c>
      <c r="BI71" s="1134">
        <v>57</v>
      </c>
      <c r="BJ71" s="1134">
        <v>58</v>
      </c>
      <c r="BK71" s="1134">
        <v>59</v>
      </c>
      <c r="BL71" s="1134">
        <v>60</v>
      </c>
      <c r="BM71" s="1134">
        <v>61</v>
      </c>
      <c r="BN71" s="1134">
        <v>62</v>
      </c>
      <c r="BO71" s="1134">
        <v>63</v>
      </c>
      <c r="BP71" s="1134">
        <v>64</v>
      </c>
      <c r="BQ71" s="1134">
        <v>65</v>
      </c>
      <c r="BR71" s="1134">
        <v>66</v>
      </c>
      <c r="BS71" s="1134">
        <v>67</v>
      </c>
      <c r="BT71" s="1134">
        <v>68</v>
      </c>
      <c r="BU71" s="1134">
        <v>69</v>
      </c>
      <c r="BV71" s="1134">
        <v>70</v>
      </c>
      <c r="BW71" s="1134">
        <v>71</v>
      </c>
      <c r="BX71" s="1134">
        <v>72</v>
      </c>
      <c r="BY71" s="1134">
        <v>73</v>
      </c>
      <c r="BZ71" s="1134">
        <v>74</v>
      </c>
      <c r="CA71" s="1134">
        <v>75</v>
      </c>
      <c r="CB71" s="1134">
        <v>76</v>
      </c>
      <c r="CC71" s="1134">
        <v>77</v>
      </c>
      <c r="CD71" s="1134">
        <v>78</v>
      </c>
      <c r="CE71" s="1134">
        <v>79</v>
      </c>
      <c r="CF71" s="1134">
        <v>80</v>
      </c>
      <c r="CG71" s="1134">
        <v>81</v>
      </c>
      <c r="CH71" s="1134">
        <v>82</v>
      </c>
      <c r="CI71" s="1134">
        <v>83</v>
      </c>
      <c r="CJ71" s="1134">
        <v>84</v>
      </c>
      <c r="CK71" s="1134">
        <v>85</v>
      </c>
      <c r="CL71" s="1134">
        <v>86</v>
      </c>
      <c r="CM71" s="1134">
        <v>87</v>
      </c>
      <c r="CN71" s="1134">
        <v>88</v>
      </c>
      <c r="CO71" s="1134">
        <v>89</v>
      </c>
      <c r="CP71" s="1134">
        <v>90</v>
      </c>
      <c r="CQ71" s="1134">
        <v>91</v>
      </c>
      <c r="CR71" s="1134">
        <v>92</v>
      </c>
      <c r="CS71" s="1134">
        <v>93</v>
      </c>
      <c r="CT71" s="1134">
        <v>94</v>
      </c>
      <c r="CU71" s="1134">
        <v>95</v>
      </c>
      <c r="CV71" s="1134">
        <v>96</v>
      </c>
      <c r="CW71" s="1134">
        <v>97</v>
      </c>
      <c r="CX71" s="1134">
        <v>98</v>
      </c>
      <c r="CY71" s="1134">
        <v>99</v>
      </c>
      <c r="CZ71" s="1134">
        <v>100</v>
      </c>
      <c r="DA71" s="1134">
        <v>101</v>
      </c>
      <c r="DB71" s="1134">
        <v>102</v>
      </c>
      <c r="DC71" s="1134">
        <v>103</v>
      </c>
      <c r="DD71" s="1134">
        <v>104</v>
      </c>
      <c r="DE71" s="1134">
        <v>105</v>
      </c>
      <c r="DF71" s="1134">
        <v>106</v>
      </c>
      <c r="DG71" s="1134">
        <v>107</v>
      </c>
      <c r="DH71" s="1134">
        <v>108</v>
      </c>
      <c r="DI71" s="1134">
        <v>109</v>
      </c>
      <c r="DJ71" s="1134">
        <v>110</v>
      </c>
      <c r="DK71" s="1134">
        <v>111</v>
      </c>
      <c r="DL71" s="1134">
        <v>112</v>
      </c>
      <c r="DM71" s="1134">
        <v>113</v>
      </c>
      <c r="DN71" s="1134">
        <v>114</v>
      </c>
      <c r="DO71" s="1134">
        <v>115</v>
      </c>
      <c r="DP71" s="1134">
        <v>116</v>
      </c>
      <c r="DQ71" s="1134">
        <v>117</v>
      </c>
      <c r="DR71" s="1134">
        <v>118</v>
      </c>
      <c r="DS71" s="1134">
        <v>119</v>
      </c>
      <c r="DT71" s="1134">
        <v>120</v>
      </c>
      <c r="DU71" s="1134">
        <v>121</v>
      </c>
      <c r="DV71" s="1134">
        <v>122</v>
      </c>
      <c r="DW71" s="1134">
        <v>123</v>
      </c>
      <c r="DX71" s="1134">
        <v>124</v>
      </c>
      <c r="DY71" s="1134">
        <v>125</v>
      </c>
      <c r="DZ71" s="1134">
        <v>126</v>
      </c>
      <c r="EA71" s="1134">
        <v>127</v>
      </c>
      <c r="EB71" s="1134">
        <v>128</v>
      </c>
      <c r="EC71" s="1134">
        <v>129</v>
      </c>
      <c r="ED71" s="1134">
        <v>130</v>
      </c>
      <c r="EE71" s="1134">
        <v>131</v>
      </c>
      <c r="EF71" s="1134">
        <v>132</v>
      </c>
      <c r="EG71" s="1134">
        <v>133</v>
      </c>
      <c r="EH71" s="1134">
        <v>134</v>
      </c>
      <c r="EI71" s="1134">
        <v>135</v>
      </c>
      <c r="EJ71" s="1134">
        <v>136</v>
      </c>
      <c r="EK71" s="1134">
        <v>137</v>
      </c>
      <c r="EL71" s="1134">
        <v>138</v>
      </c>
      <c r="EM71" s="1134">
        <v>139</v>
      </c>
      <c r="EN71" s="1134">
        <v>140</v>
      </c>
      <c r="EO71" s="1134">
        <v>141</v>
      </c>
      <c r="EP71" s="1134">
        <v>142</v>
      </c>
      <c r="EQ71" s="1134">
        <v>143</v>
      </c>
      <c r="ER71" s="1134">
        <v>144</v>
      </c>
      <c r="ES71" s="1134">
        <v>145</v>
      </c>
      <c r="ET71" s="1134">
        <v>146</v>
      </c>
      <c r="EU71" s="1134">
        <v>147</v>
      </c>
      <c r="EV71" s="1134">
        <v>148</v>
      </c>
      <c r="EW71" s="1134">
        <v>149</v>
      </c>
      <c r="EX71" s="1134">
        <v>150</v>
      </c>
      <c r="EY71" s="1134">
        <v>151</v>
      </c>
      <c r="EZ71" s="1134">
        <v>152</v>
      </c>
      <c r="FA71" s="1134">
        <v>153</v>
      </c>
      <c r="FB71" s="1134">
        <v>154</v>
      </c>
      <c r="FC71" s="1134">
        <v>155</v>
      </c>
      <c r="FD71" s="1134">
        <v>156</v>
      </c>
      <c r="FE71" s="1134">
        <v>157</v>
      </c>
      <c r="FF71" s="1134">
        <v>158</v>
      </c>
      <c r="FG71" s="1134">
        <v>159</v>
      </c>
      <c r="FH71" s="1134">
        <v>160</v>
      </c>
      <c r="FI71" s="1134">
        <v>161</v>
      </c>
      <c r="FJ71" s="1134">
        <v>162</v>
      </c>
      <c r="FK71" s="1134">
        <v>163</v>
      </c>
      <c r="FL71" s="1134">
        <v>164</v>
      </c>
      <c r="FM71" s="1134">
        <v>165</v>
      </c>
      <c r="FN71" s="1134">
        <v>166</v>
      </c>
      <c r="FO71" s="1134">
        <v>167</v>
      </c>
      <c r="FP71" s="1134">
        <v>168</v>
      </c>
      <c r="FQ71" s="1134">
        <v>169</v>
      </c>
      <c r="FR71" s="1134">
        <v>170</v>
      </c>
      <c r="FS71" s="1134">
        <v>171</v>
      </c>
      <c r="FT71" s="1134">
        <v>172</v>
      </c>
      <c r="FU71" s="1134">
        <v>173</v>
      </c>
      <c r="FV71" s="1134">
        <v>174</v>
      </c>
      <c r="FW71" s="1134">
        <v>175</v>
      </c>
      <c r="FX71" s="1134">
        <v>176</v>
      </c>
      <c r="FY71" s="1134">
        <v>177</v>
      </c>
      <c r="FZ71" s="1134">
        <v>178</v>
      </c>
      <c r="GA71" s="1134">
        <v>179</v>
      </c>
      <c r="GB71" s="1134">
        <v>180</v>
      </c>
      <c r="GC71" s="1134">
        <v>181</v>
      </c>
      <c r="GD71" s="1134">
        <v>182</v>
      </c>
      <c r="GE71" s="1134">
        <v>183</v>
      </c>
      <c r="GF71" s="1134">
        <v>184</v>
      </c>
      <c r="GG71" s="1134">
        <v>185</v>
      </c>
      <c r="GH71" s="1134">
        <v>186</v>
      </c>
      <c r="GI71" s="1134">
        <v>187</v>
      </c>
      <c r="GJ71" s="1134">
        <v>188</v>
      </c>
      <c r="GK71" s="1134">
        <v>189</v>
      </c>
      <c r="GL71" s="1134">
        <v>190</v>
      </c>
      <c r="GM71" s="1134">
        <v>191</v>
      </c>
      <c r="GN71" s="1134">
        <v>192</v>
      </c>
      <c r="GO71" s="1134">
        <v>193</v>
      </c>
      <c r="GP71" s="1134">
        <v>194</v>
      </c>
      <c r="GQ71" s="1134">
        <v>195</v>
      </c>
      <c r="GR71" s="1134">
        <v>196</v>
      </c>
      <c r="GS71" s="1134">
        <v>197</v>
      </c>
      <c r="GT71" s="1134">
        <v>198</v>
      </c>
      <c r="GU71" s="1134">
        <v>199</v>
      </c>
      <c r="GV71" s="1134">
        <v>200</v>
      </c>
      <c r="GW71" s="1134">
        <v>201</v>
      </c>
      <c r="GX71" s="1134">
        <v>202</v>
      </c>
      <c r="GY71" s="1134">
        <v>203</v>
      </c>
      <c r="GZ71" s="1134">
        <v>204</v>
      </c>
      <c r="HA71" s="1134">
        <v>205</v>
      </c>
      <c r="HB71" s="1134">
        <v>206</v>
      </c>
      <c r="HC71" s="1134">
        <v>207</v>
      </c>
      <c r="HD71" s="1134">
        <v>208</v>
      </c>
      <c r="HE71" s="1134">
        <v>209</v>
      </c>
      <c r="HF71" s="1134">
        <v>210</v>
      </c>
      <c r="HG71" s="1134">
        <v>211</v>
      </c>
      <c r="HH71" s="1134">
        <v>212</v>
      </c>
      <c r="HI71" s="1134">
        <v>213</v>
      </c>
      <c r="HJ71" s="1134">
        <v>214</v>
      </c>
      <c r="HK71" s="1134">
        <v>215</v>
      </c>
      <c r="HL71" s="1134">
        <v>216</v>
      </c>
      <c r="HM71" s="1134">
        <v>217</v>
      </c>
      <c r="HN71" s="1134">
        <v>218</v>
      </c>
      <c r="HO71" s="1134">
        <v>219</v>
      </c>
      <c r="HP71" s="1134">
        <v>220</v>
      </c>
      <c r="HQ71" s="1134">
        <v>221</v>
      </c>
      <c r="HR71" s="1134">
        <v>222</v>
      </c>
      <c r="HS71" s="1134">
        <v>223</v>
      </c>
      <c r="HT71" s="1134">
        <v>224</v>
      </c>
      <c r="HU71" s="1134">
        <v>225</v>
      </c>
      <c r="HV71" s="1134">
        <v>226</v>
      </c>
      <c r="HW71" s="1134">
        <v>227</v>
      </c>
      <c r="HX71" s="1134">
        <v>228</v>
      </c>
      <c r="HY71" s="1134">
        <v>229</v>
      </c>
      <c r="HZ71" s="1134">
        <v>230</v>
      </c>
      <c r="IA71" s="1134">
        <v>231</v>
      </c>
      <c r="IB71" s="1134">
        <v>232</v>
      </c>
      <c r="IC71" s="1134">
        <v>233</v>
      </c>
      <c r="ID71" s="1134">
        <v>234</v>
      </c>
      <c r="IE71" s="1134">
        <v>235</v>
      </c>
      <c r="IF71" s="1134">
        <v>236</v>
      </c>
      <c r="IG71" s="1134">
        <v>237</v>
      </c>
      <c r="IH71" s="1134">
        <v>238</v>
      </c>
      <c r="II71" s="1134">
        <v>239</v>
      </c>
      <c r="IJ71" s="1134">
        <v>240</v>
      </c>
      <c r="IK71" s="1134">
        <v>241</v>
      </c>
      <c r="IL71" s="1134">
        <v>242</v>
      </c>
      <c r="IM71" s="1134">
        <v>243</v>
      </c>
      <c r="IN71" s="1134">
        <v>244</v>
      </c>
      <c r="IO71" s="1134">
        <v>245</v>
      </c>
      <c r="IP71" s="1134">
        <v>246</v>
      </c>
      <c r="IQ71" s="1134">
        <v>247</v>
      </c>
      <c r="IR71" s="1134">
        <v>248</v>
      </c>
      <c r="IS71" s="1134">
        <v>249</v>
      </c>
      <c r="IT71" s="1134">
        <v>250</v>
      </c>
      <c r="IU71" s="1134">
        <v>251</v>
      </c>
      <c r="IV71" s="1134">
        <v>252</v>
      </c>
      <c r="IW71" s="1134">
        <v>253</v>
      </c>
      <c r="IX71" s="1134">
        <v>254</v>
      </c>
      <c r="IY71" s="1134">
        <v>255</v>
      </c>
      <c r="IZ71" s="1134">
        <v>256</v>
      </c>
      <c r="JA71" s="1134">
        <v>257</v>
      </c>
      <c r="JB71" s="1134">
        <v>258</v>
      </c>
      <c r="JC71" s="1134">
        <v>259</v>
      </c>
      <c r="JD71" s="1134">
        <v>260</v>
      </c>
      <c r="JE71" s="1134">
        <v>261</v>
      </c>
      <c r="JF71" s="1134">
        <v>262</v>
      </c>
      <c r="JG71" s="2485">
        <v>263</v>
      </c>
      <c r="JH71" s="1233"/>
      <c r="JJ71" s="1701" t="s">
        <v>6104</v>
      </c>
    </row>
    <row r="72" spans="1:270" x14ac:dyDescent="0.2">
      <c r="A72" s="1212">
        <v>2</v>
      </c>
      <c r="B72" s="2405" t="str">
        <f ref="B72:B79" si="3" t="shared">IF(MAT_Ind&gt;1,IF(HLOOKUP(MAT_Ind-1,MAT_RANGE,A72)="","",HLOOKUP(MAT_Ind-1,MAT_RANGE,A72)),"")</f>
        <v/>
      </c>
      <c r="C72" s="1530" t="s">
        <v>4464</v>
      </c>
      <c r="D72" s="2403" t="s">
        <v>5171</v>
      </c>
      <c r="E72" s="2394"/>
      <c r="F72" s="2394"/>
      <c r="G72" s="2394"/>
      <c r="H72" s="2394"/>
      <c r="I72" s="2394"/>
      <c r="J72" s="2394"/>
      <c r="K72" s="2394"/>
      <c r="L72" s="2394"/>
      <c r="M72" s="2394"/>
      <c r="N72" s="2394"/>
      <c r="O72" s="2394"/>
      <c r="P72" s="2394"/>
      <c r="Q72" s="2394"/>
      <c r="R72" s="2394"/>
      <c r="S72" s="2394"/>
      <c r="T72" s="2394"/>
      <c r="U72" s="2394"/>
      <c r="V72" s="2394"/>
      <c r="W72" s="2394"/>
      <c r="X72" s="2394"/>
      <c r="Y72" s="2394"/>
      <c r="Z72" s="2394"/>
      <c r="AA72" s="2394"/>
      <c r="AB72" s="2394"/>
      <c r="AC72" s="2394"/>
      <c r="AD72" s="2394"/>
      <c r="AE72" s="2394"/>
      <c r="AF72" s="2394"/>
      <c r="AG72" s="2394"/>
      <c r="AH72" s="2394"/>
      <c r="AI72" s="2394"/>
      <c r="AJ72" s="2394"/>
      <c r="AK72" s="2394"/>
      <c r="AL72" s="2394"/>
      <c r="AM72" s="2394"/>
      <c r="AN72" s="2394"/>
      <c r="AO72" s="2394"/>
      <c r="AP72" s="2394"/>
      <c r="AQ72" s="2394"/>
      <c r="AR72" s="2394"/>
      <c r="AS72" s="2394"/>
      <c r="AT72" s="2394" t="s">
        <v>572</v>
      </c>
      <c r="AU72" s="2394"/>
      <c r="AV72" s="2394"/>
      <c r="AW72" s="2394"/>
      <c r="AX72" s="2394"/>
      <c r="AY72" s="2394"/>
      <c r="AZ72" s="2394"/>
      <c r="BA72" s="2394"/>
      <c r="BB72" s="2394"/>
      <c r="BC72" s="2394"/>
      <c r="BD72" s="2394"/>
      <c r="BE72" s="2394"/>
      <c r="BF72" s="2394"/>
      <c r="BG72" s="2394"/>
      <c r="BH72" s="2394"/>
      <c r="BI72" s="2394"/>
      <c r="BJ72" s="2394"/>
      <c r="BK72" s="2394"/>
      <c r="BL72" s="2394"/>
      <c r="BM72" s="2394"/>
      <c r="BN72" s="2394"/>
      <c r="BO72" s="2394"/>
      <c r="BP72" s="2394"/>
      <c r="BQ72" s="2394"/>
      <c r="BR72" s="2394"/>
      <c r="BS72" s="2394"/>
      <c r="BT72" s="2394"/>
      <c r="BU72" s="2394"/>
      <c r="BV72" s="2394"/>
      <c r="BW72" s="2394"/>
      <c r="BX72" s="2394"/>
      <c r="BY72" s="2394"/>
      <c r="BZ72" s="2394"/>
      <c r="CA72" s="2394"/>
      <c r="CB72" s="2394"/>
      <c r="CC72" s="2394"/>
      <c r="CD72" s="2394"/>
      <c r="CE72" s="2394"/>
      <c r="CF72" s="2394"/>
      <c r="CG72" s="2394"/>
      <c r="CH72" s="2394"/>
      <c r="CI72" s="2394"/>
      <c r="CJ72" s="2394"/>
      <c r="CK72" s="2394"/>
      <c r="CL72" s="2394"/>
      <c r="CM72" s="2394"/>
      <c r="CN72" s="2394"/>
      <c r="CO72" s="2394" t="s">
        <v>572</v>
      </c>
      <c r="CP72" s="2394"/>
      <c r="CQ72" s="2394"/>
      <c r="CR72" s="2394"/>
      <c r="CS72" s="2394"/>
      <c r="CT72" s="2394"/>
      <c r="CU72" s="2394"/>
      <c r="CV72" s="2394"/>
      <c r="CW72" s="2394"/>
      <c r="CX72" s="2394"/>
      <c r="CY72" s="2394"/>
      <c r="CZ72" s="2394"/>
      <c r="DA72" s="2394"/>
      <c r="DB72" s="2394"/>
      <c r="DC72" s="2394"/>
      <c r="DD72" s="2394"/>
      <c r="DE72" s="2394"/>
      <c r="DF72" s="2394"/>
      <c r="DG72" s="2394"/>
      <c r="DH72" s="2394"/>
      <c r="DI72" s="2394"/>
      <c r="DJ72" s="2394"/>
      <c r="DK72" s="2394"/>
      <c r="DL72" s="2394"/>
      <c r="DM72" s="2394"/>
      <c r="DN72" s="2394"/>
      <c r="DO72" s="2394"/>
      <c r="DP72" s="2394"/>
      <c r="DQ72" s="2394"/>
      <c r="DR72" s="2394"/>
      <c r="DS72" s="2394"/>
      <c r="DT72" s="2394"/>
      <c r="DU72" s="2394"/>
      <c r="DV72" s="2394"/>
      <c r="DW72" s="2394"/>
      <c r="DX72" s="2394"/>
      <c r="DY72" s="2394"/>
      <c r="DZ72" s="2394"/>
      <c r="EA72" s="2394"/>
      <c r="EB72" s="2394"/>
      <c r="EC72" s="2394"/>
      <c r="ED72" s="2394"/>
      <c r="EE72" s="2394"/>
      <c r="EF72" s="2394"/>
      <c r="EG72" s="2394"/>
      <c r="EH72" s="2394"/>
      <c r="EI72" s="2394"/>
      <c r="EJ72" s="2394"/>
      <c r="EK72" s="2394"/>
      <c r="EL72" s="2394"/>
      <c r="EM72" s="2394"/>
      <c r="EN72" s="2394"/>
      <c r="EO72" s="2394"/>
      <c r="EP72" s="2394"/>
      <c r="EQ72" s="2394"/>
      <c r="ER72" s="2394"/>
      <c r="ES72" s="2394"/>
      <c r="ET72" s="2394"/>
      <c r="EU72" s="2394"/>
      <c r="EV72" s="2394"/>
      <c r="EW72" s="2394"/>
      <c r="EX72" s="2394"/>
      <c r="EY72" s="2394"/>
      <c r="EZ72" s="2394"/>
      <c r="FA72" s="2394"/>
      <c r="FB72" s="2394"/>
      <c r="FC72" s="2394"/>
      <c r="FD72" s="2394"/>
      <c r="FE72" s="2394"/>
      <c r="FF72" s="2394"/>
      <c r="FG72" s="2394"/>
      <c r="FH72" s="2394"/>
      <c r="FI72" s="2394"/>
      <c r="FJ72" s="2394"/>
      <c r="FK72" s="2394"/>
      <c r="FL72" s="2394"/>
      <c r="FM72" s="2394"/>
      <c r="FN72" s="2394"/>
      <c r="FO72" s="2394"/>
      <c r="FP72" s="2394"/>
      <c r="FQ72" s="2394"/>
      <c r="FR72" s="2394"/>
      <c r="FS72" s="2394"/>
      <c r="FT72" s="2394"/>
      <c r="FU72" s="2394"/>
      <c r="FV72" s="2394"/>
      <c r="FW72" s="2394"/>
      <c r="FX72" s="2394"/>
      <c r="FY72" s="2394"/>
      <c r="FZ72" s="2394"/>
      <c r="GA72" s="2394"/>
      <c r="GB72" s="2394"/>
      <c r="GC72" s="2394"/>
      <c r="GD72" s="2394"/>
      <c r="GE72" s="2394"/>
      <c r="GF72" s="2394"/>
      <c r="GG72" s="2394"/>
      <c r="GH72" s="2394"/>
      <c r="GI72" s="2394"/>
      <c r="GJ72" s="2394"/>
      <c r="GK72" s="2394"/>
      <c r="GL72" s="2394"/>
      <c r="GM72" s="2394"/>
      <c r="GN72" s="2394"/>
      <c r="GO72" s="2394"/>
      <c r="GP72" s="2394"/>
      <c r="GQ72" s="2394"/>
      <c r="GR72" s="2394"/>
      <c r="GS72" s="2394"/>
      <c r="GT72" s="2394"/>
      <c r="GU72" s="2394"/>
      <c r="GV72" s="2394"/>
      <c r="GW72" s="2394"/>
      <c r="GX72" s="2394"/>
      <c r="GY72" s="2394"/>
      <c r="GZ72" s="2394"/>
      <c r="HA72" s="2394"/>
      <c r="HB72" s="2394"/>
      <c r="HC72" s="2394"/>
      <c r="HD72" s="2394"/>
      <c r="HE72" s="2394"/>
      <c r="HF72" s="2394"/>
      <c r="HG72" s="2394"/>
      <c r="HH72" s="2394"/>
      <c r="HI72" s="2394"/>
      <c r="HJ72" s="2394"/>
      <c r="HK72" s="2394"/>
      <c r="HL72" s="2394"/>
      <c r="HM72" s="2394"/>
      <c r="HN72" s="2394"/>
      <c r="HO72" s="2394"/>
      <c r="HP72" s="2394"/>
      <c r="HQ72" s="2394" t="s">
        <v>572</v>
      </c>
      <c r="HR72" s="2394"/>
      <c r="HS72" s="2394"/>
      <c r="HT72" s="2394"/>
      <c r="HU72" s="2394"/>
      <c r="HV72" s="2394"/>
      <c r="HW72" s="2394"/>
      <c r="HX72" s="2394"/>
      <c r="HY72" s="2394"/>
      <c r="HZ72" s="2394"/>
      <c r="IA72" s="2394"/>
      <c r="IB72" s="2394"/>
      <c r="IC72" s="2394"/>
      <c r="ID72" s="2394"/>
      <c r="IE72" s="2394"/>
      <c r="IF72" s="2394"/>
      <c r="IG72" s="2394"/>
      <c r="IH72" s="2394"/>
      <c r="II72" s="2394"/>
      <c r="IJ72" s="2394"/>
      <c r="IK72" s="2394"/>
      <c r="IL72" s="2394"/>
      <c r="IM72" s="2394"/>
      <c r="IN72" s="2394"/>
      <c r="IO72" s="2394"/>
      <c r="IP72" s="2394"/>
      <c r="IQ72" s="2394"/>
      <c r="IR72" s="2394"/>
      <c r="IS72" s="2394"/>
      <c r="IT72" s="2394"/>
      <c r="IU72" s="2394"/>
      <c r="IV72" s="2394"/>
      <c r="IW72" s="2394"/>
      <c r="IX72" s="2394"/>
      <c r="IY72" s="2394"/>
      <c r="IZ72" s="2394"/>
      <c r="JA72" s="3743"/>
      <c r="JB72" s="3743"/>
      <c r="JC72" s="3743"/>
      <c r="JD72" s="3743"/>
      <c r="JE72" s="3743"/>
      <c r="JF72" s="3743"/>
      <c r="JG72" s="3347"/>
      <c r="JH72" s="1233"/>
      <c r="JI72" s="1229"/>
      <c r="JJ72" s="1081"/>
    </row>
    <row ht="12.75" r="73" spans="1:270" x14ac:dyDescent="0.2">
      <c r="A73" s="1212">
        <v>3</v>
      </c>
      <c r="B73" s="2405" t="str">
        <f si="3" t="shared"/>
        <v/>
      </c>
      <c r="C73" s="1136" t="s">
        <v>4228</v>
      </c>
      <c r="D73" s="2403" t="s">
        <v>4514</v>
      </c>
      <c r="E73" s="2395"/>
      <c r="F73" s="2395"/>
      <c r="G73" s="2395"/>
      <c r="H73" s="2395"/>
      <c r="I73" s="2395"/>
      <c r="J73" s="2395"/>
      <c r="K73" s="2395"/>
      <c r="L73" s="2395"/>
      <c r="M73" s="2395"/>
      <c r="N73" s="2395"/>
      <c r="O73" s="2395"/>
      <c r="P73" s="2395"/>
      <c r="Q73" s="2395"/>
      <c r="R73" s="2395"/>
      <c r="S73" s="2395"/>
      <c r="T73" s="2395"/>
      <c r="U73" s="2395"/>
      <c r="V73" s="2395"/>
      <c r="W73" s="2395"/>
      <c r="X73" s="2395"/>
      <c r="Y73" s="2395"/>
      <c r="Z73" s="2395"/>
      <c r="AA73" s="2395"/>
      <c r="AB73" s="2395"/>
      <c r="AC73" s="2395"/>
      <c r="AD73" s="2395"/>
      <c r="AE73" s="2395"/>
      <c r="AF73" s="2395"/>
      <c r="AG73" s="2395"/>
      <c r="AH73" s="2395"/>
      <c r="AI73" s="2395"/>
      <c r="AJ73" s="2395"/>
      <c r="AK73" s="2395"/>
      <c r="AL73" s="2395"/>
      <c r="AM73" s="2395"/>
      <c r="AN73" s="2395"/>
      <c r="AO73" s="2395"/>
      <c r="AP73" s="2395"/>
      <c r="AQ73" s="2395"/>
      <c r="AR73" s="2395"/>
      <c r="AS73" s="2395"/>
      <c r="AT73" s="2395" t="s">
        <v>4234</v>
      </c>
      <c r="AU73" s="2395"/>
      <c r="AV73" s="2395"/>
      <c r="AW73" s="2395"/>
      <c r="AX73" s="2395"/>
      <c r="AY73" s="2395"/>
      <c r="AZ73" s="2395"/>
      <c r="BA73" s="2395"/>
      <c r="BB73" s="2395"/>
      <c r="BC73" s="2395"/>
      <c r="BD73" s="2395"/>
      <c r="BE73" s="2395"/>
      <c r="BF73" s="2395"/>
      <c r="BG73" s="2395"/>
      <c r="BH73" s="2395"/>
      <c r="BI73" s="2395"/>
      <c r="BJ73" s="2395"/>
      <c r="BK73" s="2395"/>
      <c r="BL73" s="2395"/>
      <c r="BM73" s="2395"/>
      <c r="BN73" s="2395"/>
      <c r="BO73" s="2395"/>
      <c r="BP73" s="2395"/>
      <c r="BQ73" s="2395"/>
      <c r="BR73" s="2395"/>
      <c r="BS73" s="2395"/>
      <c r="BT73" s="2395"/>
      <c r="BU73" s="2395"/>
      <c r="BV73" s="2395"/>
      <c r="BW73" s="2395"/>
      <c r="BX73" s="2395"/>
      <c r="BY73" s="2395"/>
      <c r="BZ73" s="2395"/>
      <c r="CA73" s="2395"/>
      <c r="CB73" s="2395"/>
      <c r="CC73" s="2395"/>
      <c r="CD73" s="2395"/>
      <c r="CE73" s="2395"/>
      <c r="CF73" s="2395"/>
      <c r="CG73" s="2395"/>
      <c r="CH73" s="2395"/>
      <c r="CI73" s="2395"/>
      <c r="CJ73" s="2395"/>
      <c r="CK73" s="2395"/>
      <c r="CL73" s="2395"/>
      <c r="CM73" s="2395"/>
      <c r="CN73" s="2395"/>
      <c r="CO73" s="2395" t="s">
        <v>4234</v>
      </c>
      <c r="CP73" s="2395"/>
      <c r="CQ73" s="2395"/>
      <c r="CR73" s="2395"/>
      <c r="CS73" s="2395"/>
      <c r="CT73" s="2395"/>
      <c r="CU73" s="2395"/>
      <c r="CV73" s="2395"/>
      <c r="CW73" s="2395"/>
      <c r="CX73" s="2395"/>
      <c r="CY73" s="2395"/>
      <c r="CZ73" s="2395"/>
      <c r="DA73" s="2395"/>
      <c r="DB73" s="2395"/>
      <c r="DC73" s="2395"/>
      <c r="DD73" s="2395"/>
      <c r="DE73" s="2395"/>
      <c r="DF73" s="2395"/>
      <c r="DG73" s="2395"/>
      <c r="DH73" s="2395"/>
      <c r="DI73" s="2395"/>
      <c r="DJ73" s="2395"/>
      <c r="DK73" s="2395"/>
      <c r="DL73" s="2395"/>
      <c r="DM73" s="2395"/>
      <c r="DN73" s="2395"/>
      <c r="DO73" s="2395"/>
      <c r="DP73" s="2395"/>
      <c r="DQ73" s="2395"/>
      <c r="DR73" s="2395"/>
      <c r="DS73" s="2395"/>
      <c r="DT73" s="2395"/>
      <c r="DU73" s="2395"/>
      <c r="DV73" s="2395"/>
      <c r="DW73" s="2395"/>
      <c r="DX73" s="2395"/>
      <c r="DY73" s="2395"/>
      <c r="DZ73" s="2395"/>
      <c r="EA73" s="2395"/>
      <c r="EB73" s="2395"/>
      <c r="EC73" s="2395"/>
      <c r="ED73" s="2395"/>
      <c r="EE73" s="2395"/>
      <c r="EF73" s="2395"/>
      <c r="EG73" s="2395"/>
      <c r="EH73" s="2395"/>
      <c r="EI73" s="2395"/>
      <c r="EJ73" s="2395"/>
      <c r="EK73" s="2395"/>
      <c r="EL73" s="2395"/>
      <c r="EM73" s="2395"/>
      <c r="EN73" s="2395"/>
      <c r="EO73" s="2395"/>
      <c r="EP73" s="2395"/>
      <c r="EQ73" s="2395"/>
      <c r="ER73" s="2395"/>
      <c r="ES73" s="2395"/>
      <c r="ET73" s="2395"/>
      <c r="EU73" s="2395"/>
      <c r="EV73" s="2395"/>
      <c r="EW73" s="2395"/>
      <c r="EX73" s="2395"/>
      <c r="EY73" s="2395"/>
      <c r="EZ73" s="2395"/>
      <c r="FA73" s="2395"/>
      <c r="FB73" s="2395"/>
      <c r="FC73" s="2395"/>
      <c r="FD73" s="2395"/>
      <c r="FE73" s="2395"/>
      <c r="FF73" s="2395"/>
      <c r="FG73" s="2395"/>
      <c r="FH73" s="2395"/>
      <c r="FI73" s="2395"/>
      <c r="FJ73" s="2395"/>
      <c r="FK73" s="2395"/>
      <c r="FL73" s="2395"/>
      <c r="FM73" s="2395"/>
      <c r="FN73" s="2395"/>
      <c r="FO73" s="2395"/>
      <c r="FP73" s="2395"/>
      <c r="FQ73" s="2395"/>
      <c r="FR73" s="2395"/>
      <c r="FS73" s="2395"/>
      <c r="FT73" s="2395"/>
      <c r="FU73" s="2395"/>
      <c r="FV73" s="2395"/>
      <c r="FW73" s="2395"/>
      <c r="FX73" s="2395"/>
      <c r="FY73" s="2395"/>
      <c r="FZ73" s="2395"/>
      <c r="GA73" s="2395"/>
      <c r="GB73" s="2395"/>
      <c r="GC73" s="2395"/>
      <c r="GD73" s="2395"/>
      <c r="GE73" s="2395"/>
      <c r="GF73" s="2395"/>
      <c r="GG73" s="2395"/>
      <c r="GH73" s="2395"/>
      <c r="GI73" s="2395"/>
      <c r="GJ73" s="2395"/>
      <c r="GK73" s="2395"/>
      <c r="GL73" s="2395"/>
      <c r="GM73" s="2395"/>
      <c r="GN73" s="2395"/>
      <c r="GO73" s="2395"/>
      <c r="GP73" s="2395"/>
      <c r="GQ73" s="2395"/>
      <c r="GR73" s="2395"/>
      <c r="GS73" s="2395"/>
      <c r="GT73" s="2395"/>
      <c r="GU73" s="2395"/>
      <c r="GV73" s="2395"/>
      <c r="GW73" s="2395"/>
      <c r="GX73" s="2395"/>
      <c r="GY73" s="2395"/>
      <c r="GZ73" s="2395"/>
      <c r="HA73" s="2395"/>
      <c r="HB73" s="2395"/>
      <c r="HC73" s="2395"/>
      <c r="HD73" s="2395"/>
      <c r="HE73" s="2395"/>
      <c r="HF73" s="2395"/>
      <c r="HG73" s="2395"/>
      <c r="HH73" s="2395"/>
      <c r="HI73" s="2395"/>
      <c r="HJ73" s="2395"/>
      <c r="HK73" s="2395"/>
      <c r="HL73" s="2395"/>
      <c r="HM73" s="2395"/>
      <c r="HN73" s="2395"/>
      <c r="HO73" s="2395"/>
      <c r="HP73" s="2395"/>
      <c r="HQ73" s="2395" t="s">
        <v>4234</v>
      </c>
      <c r="HR73" s="2395"/>
      <c r="HS73" s="2395"/>
      <c r="HT73" s="2395"/>
      <c r="HU73" s="2395"/>
      <c r="HV73" s="2395"/>
      <c r="HW73" s="2395"/>
      <c r="HX73" s="2395"/>
      <c r="HY73" s="2395"/>
      <c r="HZ73" s="2395"/>
      <c r="IA73" s="2395"/>
      <c r="IB73" s="2395"/>
      <c r="IC73" s="2395"/>
      <c r="ID73" s="2395"/>
      <c r="IE73" s="2395"/>
      <c r="IF73" s="2395"/>
      <c r="IG73" s="2395"/>
      <c r="IH73" s="2395"/>
      <c r="II73" s="2395"/>
      <c r="IJ73" s="2395"/>
      <c r="IK73" s="2395"/>
      <c r="IL73" s="2395"/>
      <c r="IM73" s="2395"/>
      <c r="IN73" s="2395"/>
      <c r="IO73" s="2395"/>
      <c r="IP73" s="2395"/>
      <c r="IQ73" s="2395"/>
      <c r="IR73" s="2395"/>
      <c r="IS73" s="2395"/>
      <c r="IT73" s="2395"/>
      <c r="IU73" s="2395"/>
      <c r="IV73" s="2395"/>
      <c r="IW73" s="2395"/>
      <c r="IX73" s="2395"/>
      <c r="IY73" s="2395"/>
      <c r="IZ73" s="2395"/>
      <c r="JA73" s="3562"/>
      <c r="JB73" s="3562"/>
      <c r="JC73" s="3562"/>
      <c r="JD73" s="3562"/>
      <c r="JE73" s="3562"/>
      <c r="JF73" s="3562"/>
      <c r="JG73" s="3347"/>
      <c r="JH73" s="1233"/>
      <c r="JI73" s="1229"/>
      <c r="JJ73" s="1686" t="s">
        <v>6112</v>
      </c>
    </row>
    <row ht="12.75" r="74" spans="1:270" x14ac:dyDescent="0.2">
      <c r="A74" s="1212">
        <v>4</v>
      </c>
      <c r="B74" s="2405" t="str">
        <f si="3" t="shared"/>
        <v/>
      </c>
      <c r="C74" s="1136" t="s">
        <v>4229</v>
      </c>
      <c r="D74" s="2403" t="s">
        <v>4515</v>
      </c>
      <c r="E74" s="2395"/>
      <c r="F74" s="2395"/>
      <c r="G74" s="2395"/>
      <c r="H74" s="2395"/>
      <c r="I74" s="2395"/>
      <c r="J74" s="2395"/>
      <c r="K74" s="2395"/>
      <c r="L74" s="2395"/>
      <c r="M74" s="2395"/>
      <c r="N74" s="2395"/>
      <c r="O74" s="2395"/>
      <c r="P74" s="2395"/>
      <c r="Q74" s="2395"/>
      <c r="R74" s="2395"/>
      <c r="S74" s="2395"/>
      <c r="T74" s="2395"/>
      <c r="U74" s="2395"/>
      <c r="V74" s="2395"/>
      <c r="W74" s="2395"/>
      <c r="X74" s="2395"/>
      <c r="Y74" s="2395"/>
      <c r="Z74" s="2395"/>
      <c r="AA74" s="2395"/>
      <c r="AB74" s="2395"/>
      <c r="AC74" s="2395"/>
      <c r="AD74" s="2395"/>
      <c r="AE74" s="2395"/>
      <c r="AF74" s="2395"/>
      <c r="AG74" s="2395"/>
      <c r="AH74" s="2395"/>
      <c r="AI74" s="2395"/>
      <c r="AJ74" s="2395"/>
      <c r="AK74" s="2395"/>
      <c r="AL74" s="2395"/>
      <c r="AM74" s="2395"/>
      <c r="AN74" s="2395"/>
      <c r="AO74" s="2395"/>
      <c r="AP74" s="2395"/>
      <c r="AQ74" s="2395"/>
      <c r="AR74" s="2395"/>
      <c r="AS74" s="2395"/>
      <c r="AT74" s="2395" t="s">
        <v>4235</v>
      </c>
      <c r="AU74" s="2395"/>
      <c r="AV74" s="2395"/>
      <c r="AW74" s="2395"/>
      <c r="AX74" s="2395"/>
      <c r="AY74" s="2395"/>
      <c r="AZ74" s="2395"/>
      <c r="BA74" s="2395"/>
      <c r="BB74" s="2395"/>
      <c r="BC74" s="2395"/>
      <c r="BD74" s="2395"/>
      <c r="BE74" s="2395"/>
      <c r="BF74" s="2395"/>
      <c r="BG74" s="2395"/>
      <c r="BH74" s="2395"/>
      <c r="BI74" s="2395"/>
      <c r="BJ74" s="2395"/>
      <c r="BK74" s="2395"/>
      <c r="BL74" s="2395"/>
      <c r="BM74" s="2395"/>
      <c r="BN74" s="2395"/>
      <c r="BO74" s="2395"/>
      <c r="BP74" s="2395"/>
      <c r="BQ74" s="2395"/>
      <c r="BR74" s="2395"/>
      <c r="BS74" s="2395"/>
      <c r="BT74" s="2395"/>
      <c r="BU74" s="2395"/>
      <c r="BV74" s="2395"/>
      <c r="BW74" s="2395"/>
      <c r="BX74" s="2395"/>
      <c r="BY74" s="2395"/>
      <c r="BZ74" s="2395"/>
      <c r="CA74" s="2395"/>
      <c r="CB74" s="2395"/>
      <c r="CC74" s="2395"/>
      <c r="CD74" s="2395"/>
      <c r="CE74" s="2395"/>
      <c r="CF74" s="2395"/>
      <c r="CG74" s="2395"/>
      <c r="CH74" s="2395"/>
      <c r="CI74" s="2395"/>
      <c r="CJ74" s="2395"/>
      <c r="CK74" s="2395"/>
      <c r="CL74" s="2395"/>
      <c r="CM74" s="2395"/>
      <c r="CN74" s="2395"/>
      <c r="CO74" s="2395" t="s">
        <v>4235</v>
      </c>
      <c r="CP74" s="2395"/>
      <c r="CQ74" s="2395"/>
      <c r="CR74" s="2395"/>
      <c r="CS74" s="2395"/>
      <c r="CT74" s="2395"/>
      <c r="CU74" s="2395"/>
      <c r="CV74" s="2395"/>
      <c r="CW74" s="2395"/>
      <c r="CX74" s="2395"/>
      <c r="CY74" s="2395"/>
      <c r="CZ74" s="2395"/>
      <c r="DA74" s="2395"/>
      <c r="DB74" s="2395"/>
      <c r="DC74" s="2395"/>
      <c r="DD74" s="2395"/>
      <c r="DE74" s="2395"/>
      <c r="DF74" s="2395"/>
      <c r="DG74" s="2395"/>
      <c r="DH74" s="2395"/>
      <c r="DI74" s="2395"/>
      <c r="DJ74" s="2395"/>
      <c r="DK74" s="2395"/>
      <c r="DL74" s="2395"/>
      <c r="DM74" s="2395"/>
      <c r="DN74" s="2395"/>
      <c r="DO74" s="2395"/>
      <c r="DP74" s="2395"/>
      <c r="DQ74" s="2395"/>
      <c r="DR74" s="2395"/>
      <c r="DS74" s="2395"/>
      <c r="DT74" s="2395"/>
      <c r="DU74" s="2395"/>
      <c r="DV74" s="2395"/>
      <c r="DW74" s="2395"/>
      <c r="DX74" s="2395"/>
      <c r="DY74" s="2395"/>
      <c r="DZ74" s="2395"/>
      <c r="EA74" s="2395"/>
      <c r="EB74" s="2395"/>
      <c r="EC74" s="2395"/>
      <c r="ED74" s="2395"/>
      <c r="EE74" s="2395"/>
      <c r="EF74" s="2395"/>
      <c r="EG74" s="2395"/>
      <c r="EH74" s="2395"/>
      <c r="EI74" s="2395"/>
      <c r="EJ74" s="2395"/>
      <c r="EK74" s="2395"/>
      <c r="EL74" s="2395"/>
      <c r="EM74" s="2395"/>
      <c r="EN74" s="2395"/>
      <c r="EO74" s="2395"/>
      <c r="EP74" s="2395"/>
      <c r="EQ74" s="2395"/>
      <c r="ER74" s="2395"/>
      <c r="ES74" s="2395"/>
      <c r="ET74" s="2395"/>
      <c r="EU74" s="2395"/>
      <c r="EV74" s="2395"/>
      <c r="EW74" s="2395"/>
      <c r="EX74" s="2395"/>
      <c r="EY74" s="2395"/>
      <c r="EZ74" s="2395"/>
      <c r="FA74" s="2395"/>
      <c r="FB74" s="2395"/>
      <c r="FC74" s="2395"/>
      <c r="FD74" s="2395"/>
      <c r="FE74" s="2395"/>
      <c r="FF74" s="2395"/>
      <c r="FG74" s="2395"/>
      <c r="FH74" s="2395"/>
      <c r="FI74" s="2395"/>
      <c r="FJ74" s="2395"/>
      <c r="FK74" s="2395"/>
      <c r="FL74" s="2395"/>
      <c r="FM74" s="2395"/>
      <c r="FN74" s="2395"/>
      <c r="FO74" s="2395"/>
      <c r="FP74" s="2395"/>
      <c r="FQ74" s="2395"/>
      <c r="FR74" s="2395"/>
      <c r="FS74" s="2395"/>
      <c r="FT74" s="2395"/>
      <c r="FU74" s="2395"/>
      <c r="FV74" s="2395"/>
      <c r="FW74" s="2395"/>
      <c r="FX74" s="2395"/>
      <c r="FY74" s="2395"/>
      <c r="FZ74" s="2395"/>
      <c r="GA74" s="2395"/>
      <c r="GB74" s="2395"/>
      <c r="GC74" s="2395"/>
      <c r="GD74" s="2395"/>
      <c r="GE74" s="2395"/>
      <c r="GF74" s="2395"/>
      <c r="GG74" s="2395"/>
      <c r="GH74" s="2395"/>
      <c r="GI74" s="2395"/>
      <c r="GJ74" s="2395"/>
      <c r="GK74" s="2395"/>
      <c r="GL74" s="2395"/>
      <c r="GM74" s="2395"/>
      <c r="GN74" s="2395"/>
      <c r="GO74" s="2395"/>
      <c r="GP74" s="2395"/>
      <c r="GQ74" s="2395"/>
      <c r="GR74" s="2395"/>
      <c r="GS74" s="2395"/>
      <c r="GT74" s="2395"/>
      <c r="GU74" s="2395"/>
      <c r="GV74" s="2395"/>
      <c r="GW74" s="2395"/>
      <c r="GX74" s="2395"/>
      <c r="GY74" s="2395"/>
      <c r="GZ74" s="2395"/>
      <c r="HA74" s="2395"/>
      <c r="HB74" s="2395"/>
      <c r="HC74" s="2395"/>
      <c r="HD74" s="2395"/>
      <c r="HE74" s="2395"/>
      <c r="HF74" s="2395"/>
      <c r="HG74" s="2395"/>
      <c r="HH74" s="2395"/>
      <c r="HI74" s="2395"/>
      <c r="HJ74" s="2395"/>
      <c r="HK74" s="2395"/>
      <c r="HL74" s="2395"/>
      <c r="HM74" s="2395"/>
      <c r="HN74" s="2395"/>
      <c r="HO74" s="2395"/>
      <c r="HP74" s="2395"/>
      <c r="HQ74" s="2395" t="s">
        <v>4235</v>
      </c>
      <c r="HR74" s="2395"/>
      <c r="HS74" s="2395"/>
      <c r="HT74" s="2395"/>
      <c r="HU74" s="2395"/>
      <c r="HV74" s="2395"/>
      <c r="HW74" s="2395"/>
      <c r="HX74" s="2395"/>
      <c r="HY74" s="2395"/>
      <c r="HZ74" s="2395"/>
      <c r="IA74" s="2395"/>
      <c r="IB74" s="2395"/>
      <c r="IC74" s="2395"/>
      <c r="ID74" s="2395"/>
      <c r="IE74" s="2395"/>
      <c r="IF74" s="2395"/>
      <c r="IG74" s="2395"/>
      <c r="IH74" s="2395"/>
      <c r="II74" s="2395"/>
      <c r="IJ74" s="2395"/>
      <c r="IK74" s="2395"/>
      <c r="IL74" s="2395"/>
      <c r="IM74" s="2395"/>
      <c r="IN74" s="2395"/>
      <c r="IO74" s="2395"/>
      <c r="IP74" s="2395"/>
      <c r="IQ74" s="2395"/>
      <c r="IR74" s="2395"/>
      <c r="IS74" s="2395"/>
      <c r="IT74" s="2395"/>
      <c r="IU74" s="2395"/>
      <c r="IV74" s="2395"/>
      <c r="IW74" s="2395"/>
      <c r="IX74" s="2395"/>
      <c r="IY74" s="2395"/>
      <c r="IZ74" s="2395"/>
      <c r="JA74" s="3562"/>
      <c r="JB74" s="3562"/>
      <c r="JC74" s="3562"/>
      <c r="JD74" s="3562"/>
      <c r="JE74" s="3562"/>
      <c r="JF74" s="3562"/>
      <c r="JG74" s="3347"/>
      <c r="JH74" s="1233"/>
      <c r="JI74" s="1229"/>
      <c r="JJ74" s="1686" t="s">
        <v>6112</v>
      </c>
    </row>
    <row ht="12.75" r="75" spans="1:270" x14ac:dyDescent="0.2">
      <c r="A75" s="1212">
        <v>5</v>
      </c>
      <c r="B75" s="2405" t="str">
        <f si="3" t="shared"/>
        <v/>
      </c>
      <c r="C75" s="1136" t="s">
        <v>4230</v>
      </c>
      <c r="D75" s="2403" t="s">
        <v>4516</v>
      </c>
      <c r="E75" s="2395"/>
      <c r="F75" s="2395"/>
      <c r="G75" s="2395"/>
      <c r="H75" s="2395"/>
      <c r="I75" s="2395"/>
      <c r="J75" s="2395"/>
      <c r="K75" s="2395"/>
      <c r="L75" s="2395"/>
      <c r="M75" s="2395"/>
      <c r="N75" s="2395"/>
      <c r="O75" s="2395"/>
      <c r="P75" s="2395"/>
      <c r="Q75" s="2395"/>
      <c r="R75" s="2395"/>
      <c r="S75" s="2395"/>
      <c r="T75" s="2395"/>
      <c r="U75" s="2395"/>
      <c r="V75" s="2395"/>
      <c r="W75" s="2395"/>
      <c r="X75" s="2395"/>
      <c r="Y75" s="2395"/>
      <c r="Z75" s="2395"/>
      <c r="AA75" s="2395"/>
      <c r="AB75" s="2395"/>
      <c r="AC75" s="2395"/>
      <c r="AD75" s="2395"/>
      <c r="AE75" s="2395"/>
      <c r="AF75" s="2395"/>
      <c r="AG75" s="2395"/>
      <c r="AH75" s="2395"/>
      <c r="AI75" s="2395"/>
      <c r="AJ75" s="2395"/>
      <c r="AK75" s="2395"/>
      <c r="AL75" s="2395"/>
      <c r="AM75" s="2395"/>
      <c r="AN75" s="2395"/>
      <c r="AO75" s="2395"/>
      <c r="AP75" s="2395"/>
      <c r="AQ75" s="2395"/>
      <c r="AR75" s="2395"/>
      <c r="AS75" s="2395"/>
      <c r="AT75" s="2395" t="s">
        <v>4233</v>
      </c>
      <c r="AU75" s="2395"/>
      <c r="AV75" s="2395"/>
      <c r="AW75" s="2395"/>
      <c r="AX75" s="2395"/>
      <c r="AY75" s="2395"/>
      <c r="AZ75" s="2395"/>
      <c r="BA75" s="2395"/>
      <c r="BB75" s="2395"/>
      <c r="BC75" s="2395"/>
      <c r="BD75" s="2395"/>
      <c r="BE75" s="2395"/>
      <c r="BF75" s="2395"/>
      <c r="BG75" s="2395"/>
      <c r="BH75" s="2395"/>
      <c r="BI75" s="2395"/>
      <c r="BJ75" s="2395"/>
      <c r="BK75" s="2395"/>
      <c r="BL75" s="2395"/>
      <c r="BM75" s="2395"/>
      <c r="BN75" s="2395"/>
      <c r="BO75" s="2395"/>
      <c r="BP75" s="2395"/>
      <c r="BQ75" s="2395"/>
      <c r="BR75" s="2395"/>
      <c r="BS75" s="2395"/>
      <c r="BT75" s="2395"/>
      <c r="BU75" s="2395"/>
      <c r="BV75" s="2395"/>
      <c r="BW75" s="2395"/>
      <c r="BX75" s="2395"/>
      <c r="BY75" s="2395"/>
      <c r="BZ75" s="2395"/>
      <c r="CA75" s="2395"/>
      <c r="CB75" s="2395"/>
      <c r="CC75" s="2395"/>
      <c r="CD75" s="2395"/>
      <c r="CE75" s="2395"/>
      <c r="CF75" s="2395"/>
      <c r="CG75" s="2395"/>
      <c r="CH75" s="2395"/>
      <c r="CI75" s="2395"/>
      <c r="CJ75" s="2395"/>
      <c r="CK75" s="2395"/>
      <c r="CL75" s="2395"/>
      <c r="CM75" s="2395"/>
      <c r="CN75" s="2395"/>
      <c r="CO75" s="2395" t="s">
        <v>4233</v>
      </c>
      <c r="CP75" s="2395"/>
      <c r="CQ75" s="2395"/>
      <c r="CR75" s="2395"/>
      <c r="CS75" s="2395"/>
      <c r="CT75" s="2395"/>
      <c r="CU75" s="2395"/>
      <c r="CV75" s="2395"/>
      <c r="CW75" s="2395"/>
      <c r="CX75" s="2395"/>
      <c r="CY75" s="2395"/>
      <c r="CZ75" s="2395"/>
      <c r="DA75" s="2395"/>
      <c r="DB75" s="2395"/>
      <c r="DC75" s="2395"/>
      <c r="DD75" s="2395"/>
      <c r="DE75" s="2395"/>
      <c r="DF75" s="2395"/>
      <c r="DG75" s="2395"/>
      <c r="DH75" s="2395"/>
      <c r="DI75" s="2395"/>
      <c r="DJ75" s="2395"/>
      <c r="DK75" s="2395"/>
      <c r="DL75" s="2395"/>
      <c r="DM75" s="2395"/>
      <c r="DN75" s="2395"/>
      <c r="DO75" s="2395"/>
      <c r="DP75" s="2395"/>
      <c r="DQ75" s="2395"/>
      <c r="DR75" s="2395"/>
      <c r="DS75" s="2395"/>
      <c r="DT75" s="2395"/>
      <c r="DU75" s="2395"/>
      <c r="DV75" s="2395"/>
      <c r="DW75" s="2395"/>
      <c r="DX75" s="2395"/>
      <c r="DY75" s="2395"/>
      <c r="DZ75" s="2395"/>
      <c r="EA75" s="2395"/>
      <c r="EB75" s="2395"/>
      <c r="EC75" s="2395"/>
      <c r="ED75" s="2395"/>
      <c r="EE75" s="2395"/>
      <c r="EF75" s="2395"/>
      <c r="EG75" s="2395"/>
      <c r="EH75" s="2395"/>
      <c r="EI75" s="2395"/>
      <c r="EJ75" s="2395"/>
      <c r="EK75" s="2395"/>
      <c r="EL75" s="2395"/>
      <c r="EM75" s="2395"/>
      <c r="EN75" s="2395"/>
      <c r="EO75" s="2395"/>
      <c r="EP75" s="2395"/>
      <c r="EQ75" s="2395"/>
      <c r="ER75" s="2395"/>
      <c r="ES75" s="2395"/>
      <c r="ET75" s="2395"/>
      <c r="EU75" s="2395"/>
      <c r="EV75" s="2395"/>
      <c r="EW75" s="2395"/>
      <c r="EX75" s="2395"/>
      <c r="EY75" s="2395"/>
      <c r="EZ75" s="2395"/>
      <c r="FA75" s="2395"/>
      <c r="FB75" s="2395"/>
      <c r="FC75" s="2395"/>
      <c r="FD75" s="2395"/>
      <c r="FE75" s="2395"/>
      <c r="FF75" s="2395"/>
      <c r="FG75" s="2395"/>
      <c r="FH75" s="2395"/>
      <c r="FI75" s="2395"/>
      <c r="FJ75" s="2395"/>
      <c r="FK75" s="2395"/>
      <c r="FL75" s="2395"/>
      <c r="FM75" s="2395"/>
      <c r="FN75" s="2395"/>
      <c r="FO75" s="2395"/>
      <c r="FP75" s="2395"/>
      <c r="FQ75" s="2395"/>
      <c r="FR75" s="2395"/>
      <c r="FS75" s="2395"/>
      <c r="FT75" s="2395"/>
      <c r="FU75" s="2395"/>
      <c r="FV75" s="2395"/>
      <c r="FW75" s="2395"/>
      <c r="FX75" s="2395"/>
      <c r="FY75" s="2395"/>
      <c r="FZ75" s="2395"/>
      <c r="GA75" s="2395"/>
      <c r="GB75" s="2395"/>
      <c r="GC75" s="2395"/>
      <c r="GD75" s="2395"/>
      <c r="GE75" s="2395"/>
      <c r="GF75" s="2395"/>
      <c r="GG75" s="2395"/>
      <c r="GH75" s="2395"/>
      <c r="GI75" s="2395"/>
      <c r="GJ75" s="2395"/>
      <c r="GK75" s="2395"/>
      <c r="GL75" s="2395"/>
      <c r="GM75" s="2395"/>
      <c r="GN75" s="2395"/>
      <c r="GO75" s="2395"/>
      <c r="GP75" s="2395"/>
      <c r="GQ75" s="2395"/>
      <c r="GR75" s="2395"/>
      <c r="GS75" s="2395"/>
      <c r="GT75" s="2395"/>
      <c r="GU75" s="2395"/>
      <c r="GV75" s="2395"/>
      <c r="GW75" s="2395"/>
      <c r="GX75" s="2395"/>
      <c r="GY75" s="2395"/>
      <c r="GZ75" s="2395"/>
      <c r="HA75" s="2395"/>
      <c r="HB75" s="2395"/>
      <c r="HC75" s="2395"/>
      <c r="HD75" s="2395"/>
      <c r="HE75" s="2395"/>
      <c r="HF75" s="2395"/>
      <c r="HG75" s="2395"/>
      <c r="HH75" s="2395"/>
      <c r="HI75" s="2395"/>
      <c r="HJ75" s="2395"/>
      <c r="HK75" s="2395"/>
      <c r="HL75" s="2395"/>
      <c r="HM75" s="2395"/>
      <c r="HN75" s="2395"/>
      <c r="HO75" s="2395"/>
      <c r="HP75" s="2395"/>
      <c r="HQ75" s="2395" t="s">
        <v>4233</v>
      </c>
      <c r="HR75" s="2395"/>
      <c r="HS75" s="2395"/>
      <c r="HT75" s="2395"/>
      <c r="HU75" s="2395"/>
      <c r="HV75" s="2395"/>
      <c r="HW75" s="2395"/>
      <c r="HX75" s="2395"/>
      <c r="HY75" s="2395"/>
      <c r="HZ75" s="2395"/>
      <c r="IA75" s="2395"/>
      <c r="IB75" s="2395"/>
      <c r="IC75" s="2395"/>
      <c r="ID75" s="2395"/>
      <c r="IE75" s="2395"/>
      <c r="IF75" s="2395"/>
      <c r="IG75" s="2395"/>
      <c r="IH75" s="2395"/>
      <c r="II75" s="2395"/>
      <c r="IJ75" s="2395"/>
      <c r="IK75" s="2395"/>
      <c r="IL75" s="2395"/>
      <c r="IM75" s="2395"/>
      <c r="IN75" s="2395"/>
      <c r="IO75" s="2395"/>
      <c r="IP75" s="2395"/>
      <c r="IQ75" s="2395"/>
      <c r="IR75" s="2395"/>
      <c r="IS75" s="2395"/>
      <c r="IT75" s="2395"/>
      <c r="IU75" s="2395"/>
      <c r="IV75" s="2395"/>
      <c r="IW75" s="2395"/>
      <c r="IX75" s="2395"/>
      <c r="IY75" s="2395"/>
      <c r="IZ75" s="2395"/>
      <c r="JA75" s="3562"/>
      <c r="JB75" s="3562"/>
      <c r="JC75" s="3562"/>
      <c r="JD75" s="3562"/>
      <c r="JE75" s="3562"/>
      <c r="JF75" s="3562"/>
      <c r="JG75" s="3347"/>
      <c r="JH75" s="1233"/>
      <c r="JI75" s="1229" t="s">
        <v>5111</v>
      </c>
      <c r="JJ75" s="1686" t="s">
        <v>6105</v>
      </c>
    </row>
    <row ht="12.75" r="76" spans="1:270" x14ac:dyDescent="0.2">
      <c r="A76" s="1212">
        <v>6</v>
      </c>
      <c r="B76" s="2405" t="str">
        <f si="3" t="shared"/>
        <v/>
      </c>
      <c r="C76" s="1136" t="s">
        <v>4231</v>
      </c>
      <c r="D76" s="2403" t="s">
        <v>4517</v>
      </c>
      <c r="E76" s="2395"/>
      <c r="F76" s="2395"/>
      <c r="G76" s="2395"/>
      <c r="H76" s="2395"/>
      <c r="I76" s="2395"/>
      <c r="J76" s="2395"/>
      <c r="K76" s="2395"/>
      <c r="L76" s="2395"/>
      <c r="M76" s="2395"/>
      <c r="N76" s="2395"/>
      <c r="O76" s="2395"/>
      <c r="P76" s="2395"/>
      <c r="Q76" s="2395"/>
      <c r="R76" s="2395"/>
      <c r="S76" s="2395"/>
      <c r="T76" s="2395"/>
      <c r="U76" s="2395"/>
      <c r="V76" s="2395"/>
      <c r="W76" s="2395"/>
      <c r="X76" s="2395"/>
      <c r="Y76" s="2395"/>
      <c r="Z76" s="2395"/>
      <c r="AA76" s="2395"/>
      <c r="AB76" s="2395"/>
      <c r="AC76" s="2395"/>
      <c r="AD76" s="2395"/>
      <c r="AE76" s="2395"/>
      <c r="AF76" s="2395"/>
      <c r="AG76" s="2395"/>
      <c r="AH76" s="2395"/>
      <c r="AI76" s="2395"/>
      <c r="AJ76" s="2395"/>
      <c r="AK76" s="2395"/>
      <c r="AL76" s="2395"/>
      <c r="AM76" s="2395"/>
      <c r="AN76" s="2395"/>
      <c r="AO76" s="2395"/>
      <c r="AP76" s="2395"/>
      <c r="AQ76" s="2395"/>
      <c r="AR76" s="2395"/>
      <c r="AS76" s="2395"/>
      <c r="AT76" s="2396" t="str">
        <f>"29/03/"&amp;Tax_year_end-50</f>
        <v>29/03/1970</v>
      </c>
      <c r="AU76" s="2395"/>
      <c r="AV76" s="2395"/>
      <c r="AW76" s="2395"/>
      <c r="AX76" s="2395"/>
      <c r="AY76" s="2395"/>
      <c r="AZ76" s="2395"/>
      <c r="BA76" s="2395"/>
      <c r="BB76" s="2395"/>
      <c r="BC76" s="2395"/>
      <c r="BD76" s="2395"/>
      <c r="BE76" s="2395"/>
      <c r="BF76" s="2395"/>
      <c r="BG76" s="2395"/>
      <c r="BH76" s="2395"/>
      <c r="BI76" s="2395"/>
      <c r="BJ76" s="2395"/>
      <c r="BK76" s="2395"/>
      <c r="BL76" s="2395"/>
      <c r="BM76" s="2395"/>
      <c r="BN76" s="2395"/>
      <c r="BO76" s="2395"/>
      <c r="BP76" s="2395"/>
      <c r="BQ76" s="2395"/>
      <c r="BR76" s="2395"/>
      <c r="BS76" s="2395"/>
      <c r="BT76" s="2395"/>
      <c r="BU76" s="2395"/>
      <c r="BV76" s="2395"/>
      <c r="BW76" s="2395"/>
      <c r="BX76" s="2395"/>
      <c r="BY76" s="2395"/>
      <c r="BZ76" s="2395"/>
      <c r="CA76" s="2395"/>
      <c r="CB76" s="2395"/>
      <c r="CC76" s="2395"/>
      <c r="CD76" s="2395"/>
      <c r="CE76" s="2395"/>
      <c r="CF76" s="2395"/>
      <c r="CG76" s="2395"/>
      <c r="CH76" s="2395"/>
      <c r="CI76" s="2395"/>
      <c r="CJ76" s="2395"/>
      <c r="CK76" s="2395"/>
      <c r="CL76" s="2395"/>
      <c r="CM76" s="2395"/>
      <c r="CN76" s="2395"/>
      <c r="CO76" s="2396" t="str">
        <f>"29/03/"&amp;Tax_year_end-50</f>
        <v>29/03/1970</v>
      </c>
      <c r="CP76" s="2395"/>
      <c r="CQ76" s="2395"/>
      <c r="CR76" s="2395"/>
      <c r="CS76" s="2395"/>
      <c r="CT76" s="2395"/>
      <c r="CU76" s="2395"/>
      <c r="CV76" s="2395"/>
      <c r="CW76" s="2395"/>
      <c r="CX76" s="2395"/>
      <c r="CY76" s="2395"/>
      <c r="CZ76" s="2395"/>
      <c r="DA76" s="2395"/>
      <c r="DB76" s="2395"/>
      <c r="DC76" s="2395"/>
      <c r="DD76" s="2395"/>
      <c r="DE76" s="2395"/>
      <c r="DF76" s="2395"/>
      <c r="DG76" s="2395"/>
      <c r="DH76" s="2395"/>
      <c r="DI76" s="2395"/>
      <c r="DJ76" s="2395"/>
      <c r="DK76" s="2395"/>
      <c r="DL76" s="2395"/>
      <c r="DM76" s="2395"/>
      <c r="DN76" s="2395"/>
      <c r="DO76" s="2395"/>
      <c r="DP76" s="2395"/>
      <c r="DQ76" s="2395"/>
      <c r="DR76" s="2395"/>
      <c r="DS76" s="2395"/>
      <c r="DT76" s="2395"/>
      <c r="DU76" s="2395"/>
      <c r="DV76" s="2395"/>
      <c r="DW76" s="2395"/>
      <c r="DX76" s="2395"/>
      <c r="DY76" s="2395"/>
      <c r="DZ76" s="2395"/>
      <c r="EA76" s="2395"/>
      <c r="EB76" s="2395"/>
      <c r="EC76" s="2395"/>
      <c r="ED76" s="2395"/>
      <c r="EE76" s="2395"/>
      <c r="EF76" s="2395"/>
      <c r="EG76" s="2395"/>
      <c r="EH76" s="2395"/>
      <c r="EI76" s="2395"/>
      <c r="EJ76" s="2395"/>
      <c r="EK76" s="2395"/>
      <c r="EL76" s="2395"/>
      <c r="EM76" s="2395"/>
      <c r="EN76" s="2395"/>
      <c r="EO76" s="2395"/>
      <c r="EP76" s="2395"/>
      <c r="EQ76" s="2395"/>
      <c r="ER76" s="2395"/>
      <c r="ES76" s="2395"/>
      <c r="ET76" s="2395"/>
      <c r="EU76" s="2395"/>
      <c r="EV76" s="2395"/>
      <c r="EW76" s="2395"/>
      <c r="EX76" s="2395"/>
      <c r="EY76" s="2395"/>
      <c r="EZ76" s="2395"/>
      <c r="FA76" s="2395"/>
      <c r="FB76" s="2395"/>
      <c r="FC76" s="2395"/>
      <c r="FD76" s="2395"/>
      <c r="FE76" s="2395"/>
      <c r="FF76" s="2395"/>
      <c r="FG76" s="2395"/>
      <c r="FH76" s="2395"/>
      <c r="FI76" s="2395"/>
      <c r="FJ76" s="2395"/>
      <c r="FK76" s="2395"/>
      <c r="FL76" s="2395"/>
      <c r="FM76" s="2395"/>
      <c r="FN76" s="2395"/>
      <c r="FO76" s="2395"/>
      <c r="FP76" s="2395"/>
      <c r="FQ76" s="2395"/>
      <c r="FR76" s="2395"/>
      <c r="FS76" s="2395"/>
      <c r="FT76" s="2395"/>
      <c r="FU76" s="2395"/>
      <c r="FV76" s="2395"/>
      <c r="FW76" s="2395"/>
      <c r="FX76" s="2395"/>
      <c r="FY76" s="2395"/>
      <c r="FZ76" s="2395"/>
      <c r="GA76" s="2395"/>
      <c r="GB76" s="2395"/>
      <c r="GC76" s="2395"/>
      <c r="GD76" s="2395"/>
      <c r="GE76" s="2395"/>
      <c r="GF76" s="2395"/>
      <c r="GG76" s="2395"/>
      <c r="GH76" s="2395"/>
      <c r="GI76" s="2395"/>
      <c r="GJ76" s="2395"/>
      <c r="GK76" s="2395"/>
      <c r="GL76" s="2395"/>
      <c r="GM76" s="2395"/>
      <c r="GN76" s="2395"/>
      <c r="GO76" s="2395"/>
      <c r="GP76" s="2395"/>
      <c r="GQ76" s="2395"/>
      <c r="GR76" s="2395"/>
      <c r="GS76" s="2395"/>
      <c r="GT76" s="2395"/>
      <c r="GU76" s="2395"/>
      <c r="GV76" s="2395"/>
      <c r="GW76" s="2395"/>
      <c r="GX76" s="2395"/>
      <c r="GY76" s="2395"/>
      <c r="GZ76" s="2395"/>
      <c r="HA76" s="2395"/>
      <c r="HB76" s="2395"/>
      <c r="HC76" s="2395"/>
      <c r="HD76" s="2395"/>
      <c r="HE76" s="2395"/>
      <c r="HF76" s="2395"/>
      <c r="HG76" s="2395"/>
      <c r="HH76" s="2395"/>
      <c r="HI76" s="2395"/>
      <c r="HJ76" s="2395"/>
      <c r="HK76" s="2395"/>
      <c r="HL76" s="2395"/>
      <c r="HM76" s="2395"/>
      <c r="HN76" s="2395"/>
      <c r="HO76" s="2395"/>
      <c r="HP76" s="2395"/>
      <c r="HQ76" s="2396" t="str">
        <f>"29/03/"&amp;Tax_year_end-50</f>
        <v>29/03/1970</v>
      </c>
      <c r="HR76" s="2395"/>
      <c r="HS76" s="2395"/>
      <c r="HT76" s="2395"/>
      <c r="HU76" s="2395"/>
      <c r="HV76" s="2395"/>
      <c r="HW76" s="2395"/>
      <c r="HX76" s="2395"/>
      <c r="HY76" s="2395"/>
      <c r="HZ76" s="2395"/>
      <c r="IA76" s="2395"/>
      <c r="IB76" s="2395"/>
      <c r="IC76" s="2395"/>
      <c r="ID76" s="2395"/>
      <c r="IE76" s="2395"/>
      <c r="IF76" s="2395"/>
      <c r="IG76" s="2395"/>
      <c r="IH76" s="2395"/>
      <c r="II76" s="2395"/>
      <c r="IJ76" s="2395"/>
      <c r="IK76" s="2395"/>
      <c r="IL76" s="2395"/>
      <c r="IM76" s="2395"/>
      <c r="IN76" s="2395"/>
      <c r="IO76" s="2395"/>
      <c r="IP76" s="2395"/>
      <c r="IQ76" s="2395"/>
      <c r="IR76" s="2395"/>
      <c r="IS76" s="2395"/>
      <c r="IT76" s="2395"/>
      <c r="IU76" s="2395"/>
      <c r="IV76" s="2395"/>
      <c r="IW76" s="2395"/>
      <c r="IX76" s="2395"/>
      <c r="IY76" s="2395"/>
      <c r="IZ76" s="2395"/>
      <c r="JA76" s="3562"/>
      <c r="JB76" s="3562"/>
      <c r="JC76" s="3562"/>
      <c r="JD76" s="3562"/>
      <c r="JE76" s="3562"/>
      <c r="JF76" s="3562"/>
      <c r="JG76" s="3347"/>
      <c r="JH76" s="1233"/>
      <c r="JI76" s="1229" t="s">
        <v>5112</v>
      </c>
      <c r="JJ76" s="1686" t="s">
        <v>6126</v>
      </c>
    </row>
    <row ht="36" r="77" spans="1:270" x14ac:dyDescent="0.2">
      <c r="A77" s="1212">
        <v>7</v>
      </c>
      <c r="B77" s="2405" t="str">
        <f si="3" t="shared"/>
        <v/>
      </c>
      <c r="C77" s="1136" t="s">
        <v>4232</v>
      </c>
      <c r="D77" s="2403" t="s">
        <v>4518</v>
      </c>
      <c r="E77" s="2395"/>
      <c r="F77" s="2395"/>
      <c r="G77" s="2395"/>
      <c r="H77" s="2395"/>
      <c r="I77" s="2395"/>
      <c r="J77" s="2395"/>
      <c r="K77" s="2395"/>
      <c r="L77" s="2395"/>
      <c r="M77" s="2395"/>
      <c r="N77" s="2395"/>
      <c r="O77" s="2395"/>
      <c r="P77" s="2395"/>
      <c r="Q77" s="2395"/>
      <c r="R77" s="2395"/>
      <c r="S77" s="2395"/>
      <c r="T77" s="2395"/>
      <c r="U77" s="2395"/>
      <c r="V77" s="2395"/>
      <c r="W77" s="2395"/>
      <c r="X77" s="2395"/>
      <c r="Y77" s="2395"/>
      <c r="Z77" s="2395"/>
      <c r="AA77" s="2395"/>
      <c r="AB77" s="2395"/>
      <c r="AC77" s="2395"/>
      <c r="AD77" s="2395"/>
      <c r="AE77" s="2395"/>
      <c r="AF77" s="2395"/>
      <c r="AG77" s="2395"/>
      <c r="AH77" s="2395"/>
      <c r="AI77" s="2395"/>
      <c r="AJ77" s="2395"/>
      <c r="AK77" s="2395"/>
      <c r="AL77" s="2395"/>
      <c r="AM77" s="2395"/>
      <c r="AN77" s="2395"/>
      <c r="AO77" s="2395"/>
      <c r="AP77" s="2395"/>
      <c r="AQ77" s="2395"/>
      <c r="AR77" s="2395"/>
      <c r="AS77" s="2395"/>
      <c r="AT77" s="2396" t="str">
        <f>"12/03/"&amp;Tax_year_end-27</f>
        <v>12/03/1993</v>
      </c>
      <c r="AU77" s="2395"/>
      <c r="AV77" s="2395"/>
      <c r="AW77" s="2395"/>
      <c r="AX77" s="2395"/>
      <c r="AY77" s="2395"/>
      <c r="AZ77" s="2395"/>
      <c r="BA77" s="2395"/>
      <c r="BB77" s="2395"/>
      <c r="BC77" s="2395"/>
      <c r="BD77" s="2395"/>
      <c r="BE77" s="2395"/>
      <c r="BF77" s="2395"/>
      <c r="BG77" s="2395"/>
      <c r="BH77" s="2395"/>
      <c r="BI77" s="2395"/>
      <c r="BJ77" s="2395"/>
      <c r="BK77" s="2395"/>
      <c r="BL77" s="2395"/>
      <c r="BM77" s="2395"/>
      <c r="BN77" s="2395"/>
      <c r="BO77" s="2395"/>
      <c r="BP77" s="2395"/>
      <c r="BQ77" s="2395"/>
      <c r="BR77" s="2395"/>
      <c r="BS77" s="2395"/>
      <c r="BT77" s="2395"/>
      <c r="BU77" s="2395"/>
      <c r="BV77" s="2395"/>
      <c r="BW77" s="2395"/>
      <c r="BX77" s="2395"/>
      <c r="BY77" s="2395"/>
      <c r="BZ77" s="2395"/>
      <c r="CA77" s="2395"/>
      <c r="CB77" s="2395"/>
      <c r="CC77" s="2395"/>
      <c r="CD77" s="2395"/>
      <c r="CE77" s="2395"/>
      <c r="CF77" s="2395"/>
      <c r="CG77" s="2395"/>
      <c r="CH77" s="2395"/>
      <c r="CI77" s="2395"/>
      <c r="CJ77" s="2395"/>
      <c r="CK77" s="2395"/>
      <c r="CL77" s="2395"/>
      <c r="CM77" s="2395"/>
      <c r="CN77" s="2395"/>
      <c r="CO77" s="2396" t="str">
        <f>"12/03/"&amp;Tax_year_end-27</f>
        <v>12/03/1993</v>
      </c>
      <c r="CP77" s="2395"/>
      <c r="CQ77" s="2395"/>
      <c r="CR77" s="2395"/>
      <c r="CS77" s="2395"/>
      <c r="CT77" s="2395"/>
      <c r="CU77" s="2395"/>
      <c r="CV77" s="2395"/>
      <c r="CW77" s="2395"/>
      <c r="CX77" s="2395"/>
      <c r="CY77" s="2395"/>
      <c r="CZ77" s="2395"/>
      <c r="DA77" s="2395"/>
      <c r="DB77" s="2395"/>
      <c r="DC77" s="2395"/>
      <c r="DD77" s="2395"/>
      <c r="DE77" s="2395"/>
      <c r="DF77" s="2395"/>
      <c r="DG77" s="2395"/>
      <c r="DH77" s="2395"/>
      <c r="DI77" s="2395"/>
      <c r="DJ77" s="2395"/>
      <c r="DK77" s="2395"/>
      <c r="DL77" s="2395"/>
      <c r="DM77" s="2395"/>
      <c r="DN77" s="2395"/>
      <c r="DO77" s="2395"/>
      <c r="DP77" s="2395"/>
      <c r="DQ77" s="2395"/>
      <c r="DR77" s="2395"/>
      <c r="DS77" s="2395"/>
      <c r="DT77" s="2395"/>
      <c r="DU77" s="2395"/>
      <c r="DV77" s="2395"/>
      <c r="DW77" s="2395"/>
      <c r="DX77" s="2395"/>
      <c r="DY77" s="2395"/>
      <c r="DZ77" s="2395"/>
      <c r="EA77" s="2395"/>
      <c r="EB77" s="2395"/>
      <c r="EC77" s="2395"/>
      <c r="ED77" s="2395"/>
      <c r="EE77" s="2395"/>
      <c r="EF77" s="2395"/>
      <c r="EG77" s="2395"/>
      <c r="EH77" s="2395"/>
      <c r="EI77" s="2395"/>
      <c r="EJ77" s="2395"/>
      <c r="EK77" s="2395"/>
      <c r="EL77" s="2395"/>
      <c r="EM77" s="2395"/>
      <c r="EN77" s="2395"/>
      <c r="EO77" s="2395"/>
      <c r="EP77" s="2395"/>
      <c r="EQ77" s="2395"/>
      <c r="ER77" s="2395"/>
      <c r="ES77" s="2395"/>
      <c r="ET77" s="2395"/>
      <c r="EU77" s="2395"/>
      <c r="EV77" s="2395"/>
      <c r="EW77" s="2395"/>
      <c r="EX77" s="2395"/>
      <c r="EY77" s="2395"/>
      <c r="EZ77" s="2395"/>
      <c r="FA77" s="2395"/>
      <c r="FB77" s="2395"/>
      <c r="FC77" s="2395"/>
      <c r="FD77" s="2395"/>
      <c r="FE77" s="2395"/>
      <c r="FF77" s="2395"/>
      <c r="FG77" s="2395"/>
      <c r="FH77" s="2395"/>
      <c r="FI77" s="2395"/>
      <c r="FJ77" s="2395"/>
      <c r="FK77" s="2395"/>
      <c r="FL77" s="2395"/>
      <c r="FM77" s="2395"/>
      <c r="FN77" s="2395"/>
      <c r="FO77" s="2395"/>
      <c r="FP77" s="2395"/>
      <c r="FQ77" s="2395"/>
      <c r="FR77" s="2395"/>
      <c r="FS77" s="2395"/>
      <c r="FT77" s="2395"/>
      <c r="FU77" s="2395"/>
      <c r="FV77" s="2395"/>
      <c r="FW77" s="2395"/>
      <c r="FX77" s="2395"/>
      <c r="FY77" s="2395"/>
      <c r="FZ77" s="2395"/>
      <c r="GA77" s="2395"/>
      <c r="GB77" s="2395"/>
      <c r="GC77" s="2395"/>
      <c r="GD77" s="2395"/>
      <c r="GE77" s="2395"/>
      <c r="GF77" s="2395"/>
      <c r="GG77" s="2395"/>
      <c r="GH77" s="2395"/>
      <c r="GI77" s="2395"/>
      <c r="GJ77" s="2395"/>
      <c r="GK77" s="2395"/>
      <c r="GL77" s="2395"/>
      <c r="GM77" s="2395"/>
      <c r="GN77" s="2395"/>
      <c r="GO77" s="2395"/>
      <c r="GP77" s="2395"/>
      <c r="GQ77" s="2395"/>
      <c r="GR77" s="2395"/>
      <c r="GS77" s="2395"/>
      <c r="GT77" s="2395"/>
      <c r="GU77" s="2395"/>
      <c r="GV77" s="2395"/>
      <c r="GW77" s="2395"/>
      <c r="GX77" s="2395"/>
      <c r="GY77" s="2395"/>
      <c r="GZ77" s="2395"/>
      <c r="HA77" s="2395"/>
      <c r="HB77" s="2395"/>
      <c r="HC77" s="2395"/>
      <c r="HD77" s="2395"/>
      <c r="HE77" s="2395"/>
      <c r="HF77" s="2395"/>
      <c r="HG77" s="2395"/>
      <c r="HH77" s="2395"/>
      <c r="HI77" s="2395"/>
      <c r="HJ77" s="2395"/>
      <c r="HK77" s="2395"/>
      <c r="HL77" s="2395"/>
      <c r="HM77" s="2395"/>
      <c r="HN77" s="2395"/>
      <c r="HO77" s="2395"/>
      <c r="HP77" s="2395"/>
      <c r="HQ77" s="2396" t="str">
        <f>"12/03/"&amp;Tax_year_end-27</f>
        <v>12/03/1993</v>
      </c>
      <c r="HR77" s="2395"/>
      <c r="HS77" s="2395"/>
      <c r="HT77" s="2395"/>
      <c r="HU77" s="2395"/>
      <c r="HV77" s="2395"/>
      <c r="HW77" s="2395"/>
      <c r="HX77" s="2395"/>
      <c r="HY77" s="2395"/>
      <c r="HZ77" s="2395"/>
      <c r="IA77" s="2395"/>
      <c r="IB77" s="2395"/>
      <c r="IC77" s="2395"/>
      <c r="ID77" s="2395"/>
      <c r="IE77" s="2395"/>
      <c r="IF77" s="2395"/>
      <c r="IG77" s="2395"/>
      <c r="IH77" s="2395"/>
      <c r="II77" s="2395"/>
      <c r="IJ77" s="2395"/>
      <c r="IK77" s="2395"/>
      <c r="IL77" s="2395"/>
      <c r="IM77" s="2395"/>
      <c r="IN77" s="2395"/>
      <c r="IO77" s="2395"/>
      <c r="IP77" s="2395"/>
      <c r="IQ77" s="2395"/>
      <c r="IR77" s="2395"/>
      <c r="IS77" s="2395"/>
      <c r="IT77" s="2395"/>
      <c r="IU77" s="2395"/>
      <c r="IV77" s="2395"/>
      <c r="IW77" s="2395"/>
      <c r="IX77" s="2395"/>
      <c r="IY77" s="2395"/>
      <c r="IZ77" s="2395"/>
      <c r="JA77" s="3562"/>
      <c r="JB77" s="3562"/>
      <c r="JC77" s="3562"/>
      <c r="JD77" s="3562"/>
      <c r="JE77" s="3562"/>
      <c r="JF77" s="3562"/>
      <c r="JG77" s="3750"/>
      <c r="JH77" s="1233"/>
      <c r="JI77" s="1264" t="s">
        <v>5110</v>
      </c>
      <c r="JJ77" s="1686" t="s">
        <v>6126</v>
      </c>
    </row>
    <row ht="12.75" r="78" spans="1:270" x14ac:dyDescent="0.2">
      <c r="A78" s="1212">
        <v>8</v>
      </c>
      <c r="B78" s="2405" t="str">
        <f si="3" t="shared"/>
        <v>N</v>
      </c>
      <c r="C78" s="1530" t="s">
        <v>4461</v>
      </c>
      <c r="D78" s="2403" t="s">
        <v>4519</v>
      </c>
      <c r="E78" s="2394"/>
      <c r="F78" s="2394"/>
      <c r="G78" s="2394" t="s">
        <v>1189</v>
      </c>
      <c r="H78" s="2394"/>
      <c r="I78" s="2394" t="s">
        <v>1189</v>
      </c>
      <c r="J78" s="2394"/>
      <c r="K78" s="2394"/>
      <c r="L78" s="2394"/>
      <c r="M78" s="2394"/>
      <c r="N78" s="2394"/>
      <c r="O78" s="2394"/>
      <c r="P78" s="2394"/>
      <c r="Q78" s="2394"/>
      <c r="R78" s="2394"/>
      <c r="S78" s="2394"/>
      <c r="T78" s="2394"/>
      <c r="U78" s="2394"/>
      <c r="V78" s="2394"/>
      <c r="W78" s="2394"/>
      <c r="X78" s="2394"/>
      <c r="Y78" s="2394"/>
      <c r="Z78" s="2394"/>
      <c r="AA78" s="2394" t="s">
        <v>572</v>
      </c>
      <c r="AB78" s="2394"/>
      <c r="AC78" s="2394"/>
      <c r="AD78" s="3639" t="s">
        <v>1189</v>
      </c>
      <c r="AE78" s="3639" t="s">
        <v>1189</v>
      </c>
      <c r="AF78" s="2394"/>
      <c r="AG78" s="2394"/>
      <c r="AH78" s="2394"/>
      <c r="AI78" s="2394"/>
      <c r="AJ78" s="2394"/>
      <c r="AK78" s="2394"/>
      <c r="AL78" s="2394"/>
      <c r="AM78" s="2394"/>
      <c r="AN78" s="2394"/>
      <c r="AO78" s="2394" t="s">
        <v>1189</v>
      </c>
      <c r="AP78" s="2394"/>
      <c r="AQ78" s="2394"/>
      <c r="AR78" s="2394"/>
      <c r="AS78" s="2394"/>
      <c r="AT78" s="2394" t="s">
        <v>572</v>
      </c>
      <c r="AU78" s="2394" t="s">
        <v>572</v>
      </c>
      <c r="AV78" s="2394" t="s">
        <v>1189</v>
      </c>
      <c r="AW78" s="2394"/>
      <c r="AX78" s="2394"/>
      <c r="AY78" s="2394"/>
      <c r="AZ78" s="2394" t="s">
        <v>1189</v>
      </c>
      <c r="BA78" s="2394"/>
      <c r="BB78" s="2394"/>
      <c r="BC78" s="2394"/>
      <c r="BD78" s="2394"/>
      <c r="BE78" s="2394"/>
      <c r="BF78" s="2394"/>
      <c r="BG78" s="2394"/>
      <c r="BH78" s="2394"/>
      <c r="BI78" s="2394"/>
      <c r="BJ78" s="2394"/>
      <c r="BK78" s="2394"/>
      <c r="BL78" s="2394"/>
      <c r="BM78" s="2394"/>
      <c r="BN78" s="2394"/>
      <c r="BO78" s="2394"/>
      <c r="BP78" s="2394"/>
      <c r="BQ78" s="2394"/>
      <c r="BR78" s="2394"/>
      <c r="BS78" s="2394"/>
      <c r="BT78" s="2394"/>
      <c r="BU78" s="2394"/>
      <c r="BV78" s="2394"/>
      <c r="BW78" s="2394"/>
      <c r="BX78" s="2394"/>
      <c r="BY78" s="2394"/>
      <c r="BZ78" s="2394"/>
      <c r="CA78" s="2394"/>
      <c r="CB78" s="2394"/>
      <c r="CC78" s="2394"/>
      <c r="CD78" s="2394"/>
      <c r="CE78" s="2394"/>
      <c r="CF78" s="2394"/>
      <c r="CG78" s="2394"/>
      <c r="CH78" s="2394"/>
      <c r="CI78" s="2394"/>
      <c r="CJ78" s="2394"/>
      <c r="CK78" s="2394"/>
      <c r="CL78" s="2394"/>
      <c r="CM78" s="2394"/>
      <c r="CN78" s="2394"/>
      <c r="CO78" s="2394" t="s">
        <v>572</v>
      </c>
      <c r="CP78" s="2394"/>
      <c r="CQ78" s="2394"/>
      <c r="CR78" s="2394"/>
      <c r="CS78" s="2394"/>
      <c r="CT78" s="2394"/>
      <c r="CU78" s="2394"/>
      <c r="CV78" s="2394"/>
      <c r="CW78" s="2394"/>
      <c r="CX78" s="2394"/>
      <c r="CY78" s="2394"/>
      <c r="CZ78" s="2394"/>
      <c r="DA78" s="2394"/>
      <c r="DB78" s="2394"/>
      <c r="DC78" s="2394"/>
      <c r="DD78" s="2394"/>
      <c r="DE78" s="2394"/>
      <c r="DF78" s="2394"/>
      <c r="DG78" s="2394"/>
      <c r="DH78" s="2394"/>
      <c r="DI78" s="2394"/>
      <c r="DJ78" s="2394"/>
      <c r="DK78" s="2394"/>
      <c r="DL78" s="2394"/>
      <c r="DM78" s="2394"/>
      <c r="DN78" s="2394"/>
      <c r="DO78" s="2394"/>
      <c r="DP78" s="2394"/>
      <c r="DQ78" s="2394"/>
      <c r="DR78" s="2394"/>
      <c r="DS78" s="2394"/>
      <c r="DT78" s="2394"/>
      <c r="DU78" s="2394"/>
      <c r="DV78" s="2394"/>
      <c r="DW78" s="2394"/>
      <c r="DX78" s="2394"/>
      <c r="DY78" s="2394"/>
      <c r="DZ78" s="2394"/>
      <c r="EA78" s="2394"/>
      <c r="EB78" s="2394"/>
      <c r="EC78" s="2394"/>
      <c r="ED78" s="2394"/>
      <c r="EE78" s="2394"/>
      <c r="EF78" s="2394"/>
      <c r="EG78" s="2394"/>
      <c r="EH78" s="2394"/>
      <c r="EI78" s="2394"/>
      <c r="EJ78" s="2394"/>
      <c r="EK78" s="2394"/>
      <c r="EL78" s="2394"/>
      <c r="EM78" s="2394"/>
      <c r="EN78" s="2394"/>
      <c r="EO78" s="2394"/>
      <c r="EP78" s="2394"/>
      <c r="EQ78" s="2394"/>
      <c r="ER78" s="2394"/>
      <c r="ES78" s="2394"/>
      <c r="ET78" s="2394"/>
      <c r="EU78" s="2394"/>
      <c r="EV78" s="2394"/>
      <c r="EW78" s="2394"/>
      <c r="EX78" s="2394"/>
      <c r="EY78" s="2394"/>
      <c r="EZ78" s="2394"/>
      <c r="FA78" s="2394"/>
      <c r="FB78" s="2394"/>
      <c r="FC78" s="2394"/>
      <c r="FD78" s="2394"/>
      <c r="FE78" s="2394"/>
      <c r="FF78" s="2394"/>
      <c r="FG78" s="2394"/>
      <c r="FH78" s="2394"/>
      <c r="FI78" s="2394"/>
      <c r="FJ78" s="2394"/>
      <c r="FK78" s="2394"/>
      <c r="FL78" s="2394"/>
      <c r="FM78" s="2394"/>
      <c r="FN78" s="2394"/>
      <c r="FO78" s="2394"/>
      <c r="FP78" s="2394"/>
      <c r="FQ78" s="2394"/>
      <c r="FR78" s="2394"/>
      <c r="FS78" s="2394"/>
      <c r="FT78" s="2394"/>
      <c r="FU78" s="2394"/>
      <c r="FV78" s="2394"/>
      <c r="FW78" s="2394"/>
      <c r="FX78" s="2394"/>
      <c r="FY78" s="2394"/>
      <c r="FZ78" s="2394"/>
      <c r="GA78" s="2394"/>
      <c r="GB78" s="2394"/>
      <c r="GC78" s="2394"/>
      <c r="GD78" s="2394"/>
      <c r="GE78" s="2394"/>
      <c r="GF78" s="2394"/>
      <c r="GG78" s="2394"/>
      <c r="GH78" s="2394"/>
      <c r="GI78" s="2394"/>
      <c r="GJ78" s="2394"/>
      <c r="GK78" s="2394"/>
      <c r="GL78" s="2394"/>
      <c r="GM78" s="2394"/>
      <c r="GN78" s="2394"/>
      <c r="GO78" s="2394"/>
      <c r="GP78" s="2394"/>
      <c r="GQ78" s="2394"/>
      <c r="GR78" s="2394"/>
      <c r="GS78" s="2394"/>
      <c r="GT78" s="2394"/>
      <c r="GU78" s="2394"/>
      <c r="GV78" s="2394"/>
      <c r="GW78" s="2394"/>
      <c r="GX78" s="2394"/>
      <c r="GY78" s="2394"/>
      <c r="GZ78" s="2394"/>
      <c r="HA78" s="2394"/>
      <c r="HB78" s="2394"/>
      <c r="HC78" s="2394"/>
      <c r="HD78" s="2394"/>
      <c r="HE78" s="2394"/>
      <c r="HF78" s="2394"/>
      <c r="HG78" s="2394"/>
      <c r="HH78" s="2394"/>
      <c r="HI78" s="2394"/>
      <c r="HJ78" s="2394"/>
      <c r="HK78" s="2394"/>
      <c r="HL78" s="2394"/>
      <c r="HM78" s="2394"/>
      <c r="HN78" s="2394"/>
      <c r="HO78" s="2394"/>
      <c r="HP78" s="2394"/>
      <c r="HQ78" s="2394" t="s">
        <v>572</v>
      </c>
      <c r="HR78" s="2394" t="s">
        <v>1189</v>
      </c>
      <c r="HS78" s="2394"/>
      <c r="HT78" s="2394"/>
      <c r="HU78" s="2394"/>
      <c r="HV78" s="2394"/>
      <c r="HW78" s="2394"/>
      <c r="HX78" s="2394"/>
      <c r="HY78" s="2394"/>
      <c r="HZ78" s="2394"/>
      <c r="IA78" s="2394"/>
      <c r="IB78" s="2394"/>
      <c r="IC78" s="2394"/>
      <c r="ID78" s="2394"/>
      <c r="IE78" s="2394"/>
      <c r="IF78" s="2394"/>
      <c r="IG78" s="2394"/>
      <c r="IH78" s="2394"/>
      <c r="II78" s="2394"/>
      <c r="IJ78" s="2394"/>
      <c r="IK78" s="2394"/>
      <c r="IL78" s="2394"/>
      <c r="IM78" s="2394" t="s">
        <v>1189</v>
      </c>
      <c r="IN78" s="2394" t="s">
        <v>1189</v>
      </c>
      <c r="IO78" s="2394"/>
      <c r="IP78" s="2394"/>
      <c r="IQ78" s="2394"/>
      <c r="IR78" s="2394"/>
      <c r="IS78" s="2394"/>
      <c r="IT78" s="2394"/>
      <c r="IU78" s="2394"/>
      <c r="IV78" s="2394"/>
      <c r="IW78" s="2394"/>
      <c r="IX78" s="2394"/>
      <c r="IY78" s="2394"/>
      <c r="IZ78" s="2394"/>
      <c r="JA78" s="3743"/>
      <c r="JB78" s="3743"/>
      <c r="JC78" s="3743"/>
      <c r="JD78" s="3743"/>
      <c r="JE78" s="3743"/>
      <c r="JF78" s="3743"/>
      <c r="JG78" s="3750"/>
      <c r="JH78" s="1233"/>
      <c r="JI78" s="1229"/>
      <c r="JJ78" s="1686" t="s">
        <v>6111</v>
      </c>
    </row>
    <row ht="13.5" r="79" spans="1:270" thickBot="1" x14ac:dyDescent="0.25">
      <c r="A79" s="1212">
        <v>9</v>
      </c>
      <c r="B79" s="2405" t="str">
        <f si="3" t="shared"/>
        <v>Y</v>
      </c>
      <c r="C79" s="2406" t="s">
        <v>4462</v>
      </c>
      <c r="D79" s="2404" t="s">
        <v>4520</v>
      </c>
      <c r="E79" s="2397"/>
      <c r="F79" s="2397"/>
      <c r="G79" s="2397" t="s">
        <v>572</v>
      </c>
      <c r="H79" s="2397"/>
      <c r="I79" s="2397" t="s">
        <v>572</v>
      </c>
      <c r="J79" s="2397"/>
      <c r="K79" s="2397"/>
      <c r="L79" s="2397"/>
      <c r="M79" s="2397"/>
      <c r="N79" s="2397"/>
      <c r="O79" s="2397"/>
      <c r="P79" s="2397"/>
      <c r="Q79" s="2397"/>
      <c r="R79" s="2397"/>
      <c r="S79" s="2397"/>
      <c r="T79" s="2397"/>
      <c r="U79" s="2397"/>
      <c r="V79" s="2397"/>
      <c r="W79" s="2397"/>
      <c r="X79" s="2397"/>
      <c r="Y79" s="2397"/>
      <c r="Z79" s="2397"/>
      <c r="AA79" s="2397" t="s">
        <v>1189</v>
      </c>
      <c r="AB79" s="2397"/>
      <c r="AC79" s="2397"/>
      <c r="AD79" s="3643" t="s">
        <v>572</v>
      </c>
      <c r="AE79" s="3643" t="s">
        <v>572</v>
      </c>
      <c r="AF79" s="2397"/>
      <c r="AG79" s="2397"/>
      <c r="AH79" s="2397"/>
      <c r="AI79" s="2397"/>
      <c r="AJ79" s="2397"/>
      <c r="AK79" s="2397"/>
      <c r="AL79" s="2397"/>
      <c r="AM79" s="2397"/>
      <c r="AN79" s="2397"/>
      <c r="AO79" s="2397" t="s">
        <v>572</v>
      </c>
      <c r="AP79" s="2397"/>
      <c r="AQ79" s="2397"/>
      <c r="AR79" s="2397"/>
      <c r="AS79" s="2397"/>
      <c r="AT79" s="2397" t="s">
        <v>1189</v>
      </c>
      <c r="AU79" s="2397" t="s">
        <v>1189</v>
      </c>
      <c r="AV79" s="2397" t="s">
        <v>572</v>
      </c>
      <c r="AW79" s="2397"/>
      <c r="AX79" s="2397"/>
      <c r="AY79" s="2397"/>
      <c r="AZ79" s="2397" t="s">
        <v>572</v>
      </c>
      <c r="BA79" s="2397"/>
      <c r="BB79" s="2397"/>
      <c r="BC79" s="2397"/>
      <c r="BD79" s="2397"/>
      <c r="BE79" s="2397"/>
      <c r="BF79" s="2397"/>
      <c r="BG79" s="2397"/>
      <c r="BH79" s="2397"/>
      <c r="BI79" s="2397"/>
      <c r="BJ79" s="2397"/>
      <c r="BK79" s="2397"/>
      <c r="BL79" s="2397"/>
      <c r="BM79" s="2397"/>
      <c r="BN79" s="2397"/>
      <c r="BO79" s="2397"/>
      <c r="BP79" s="2397"/>
      <c r="BQ79" s="2397"/>
      <c r="BR79" s="2397"/>
      <c r="BS79" s="2397"/>
      <c r="BT79" s="2397"/>
      <c r="BU79" s="2397"/>
      <c r="BV79" s="2397"/>
      <c r="BW79" s="2397"/>
      <c r="BX79" s="2397"/>
      <c r="BY79" s="2397"/>
      <c r="BZ79" s="2397"/>
      <c r="CA79" s="2397"/>
      <c r="CB79" s="2397"/>
      <c r="CC79" s="2397"/>
      <c r="CD79" s="2397"/>
      <c r="CE79" s="2397"/>
      <c r="CF79" s="2397"/>
      <c r="CG79" s="2397"/>
      <c r="CH79" s="2397"/>
      <c r="CI79" s="2397"/>
      <c r="CJ79" s="2397"/>
      <c r="CK79" s="2397"/>
      <c r="CL79" s="2397"/>
      <c r="CM79" s="2397"/>
      <c r="CN79" s="2397"/>
      <c r="CO79" s="2397" t="s">
        <v>1189</v>
      </c>
      <c r="CP79" s="2397"/>
      <c r="CQ79" s="2397"/>
      <c r="CR79" s="2397"/>
      <c r="CS79" s="2397"/>
      <c r="CT79" s="2397"/>
      <c r="CU79" s="2397"/>
      <c r="CV79" s="2397"/>
      <c r="CW79" s="2397"/>
      <c r="CX79" s="2397"/>
      <c r="CY79" s="2397"/>
      <c r="CZ79" s="2397"/>
      <c r="DA79" s="2397"/>
      <c r="DB79" s="2397"/>
      <c r="DC79" s="2397"/>
      <c r="DD79" s="2397"/>
      <c r="DE79" s="2397"/>
      <c r="DF79" s="2397"/>
      <c r="DG79" s="2397"/>
      <c r="DH79" s="2397"/>
      <c r="DI79" s="2397"/>
      <c r="DJ79" s="2397"/>
      <c r="DK79" s="2397"/>
      <c r="DL79" s="2397"/>
      <c r="DM79" s="2397"/>
      <c r="DN79" s="2397"/>
      <c r="DO79" s="2397"/>
      <c r="DP79" s="2397"/>
      <c r="DQ79" s="2397"/>
      <c r="DR79" s="2397"/>
      <c r="DS79" s="2397"/>
      <c r="DT79" s="2397"/>
      <c r="DU79" s="2397"/>
      <c r="DV79" s="2397"/>
      <c r="DW79" s="2397"/>
      <c r="DX79" s="2397"/>
      <c r="DY79" s="2397"/>
      <c r="DZ79" s="2397"/>
      <c r="EA79" s="2397"/>
      <c r="EB79" s="2397"/>
      <c r="EC79" s="2397"/>
      <c r="ED79" s="2397"/>
      <c r="EE79" s="2397"/>
      <c r="EF79" s="2397"/>
      <c r="EG79" s="2397"/>
      <c r="EH79" s="2397"/>
      <c r="EI79" s="2397"/>
      <c r="EJ79" s="2397"/>
      <c r="EK79" s="2397"/>
      <c r="EL79" s="2397"/>
      <c r="EM79" s="2397"/>
      <c r="EN79" s="2397"/>
      <c r="EO79" s="2397"/>
      <c r="EP79" s="2397"/>
      <c r="EQ79" s="2397"/>
      <c r="ER79" s="2397"/>
      <c r="ES79" s="2397"/>
      <c r="ET79" s="2397"/>
      <c r="EU79" s="2397"/>
      <c r="EV79" s="2397"/>
      <c r="EW79" s="2397"/>
      <c r="EX79" s="2397"/>
      <c r="EY79" s="2397"/>
      <c r="EZ79" s="2397"/>
      <c r="FA79" s="2397"/>
      <c r="FB79" s="2397"/>
      <c r="FC79" s="2397"/>
      <c r="FD79" s="2397"/>
      <c r="FE79" s="2397"/>
      <c r="FF79" s="2397"/>
      <c r="FG79" s="2397"/>
      <c r="FH79" s="2397"/>
      <c r="FI79" s="2397"/>
      <c r="FJ79" s="2397"/>
      <c r="FK79" s="2397"/>
      <c r="FL79" s="2397"/>
      <c r="FM79" s="2397"/>
      <c r="FN79" s="2397"/>
      <c r="FO79" s="2397"/>
      <c r="FP79" s="2397"/>
      <c r="FQ79" s="2397"/>
      <c r="FR79" s="2397"/>
      <c r="FS79" s="2397"/>
      <c r="FT79" s="2397"/>
      <c r="FU79" s="2397"/>
      <c r="FV79" s="2397"/>
      <c r="FW79" s="2397"/>
      <c r="FX79" s="2397"/>
      <c r="FY79" s="2397"/>
      <c r="FZ79" s="2397"/>
      <c r="GA79" s="2397"/>
      <c r="GB79" s="2397"/>
      <c r="GC79" s="2397"/>
      <c r="GD79" s="2397"/>
      <c r="GE79" s="2397"/>
      <c r="GF79" s="2397"/>
      <c r="GG79" s="2397"/>
      <c r="GH79" s="2397"/>
      <c r="GI79" s="2397"/>
      <c r="GJ79" s="2397"/>
      <c r="GK79" s="2397"/>
      <c r="GL79" s="2397"/>
      <c r="GM79" s="2397"/>
      <c r="GN79" s="2397"/>
      <c r="GO79" s="2397"/>
      <c r="GP79" s="2397"/>
      <c r="GQ79" s="2397"/>
      <c r="GR79" s="2397"/>
      <c r="GS79" s="2397"/>
      <c r="GT79" s="2397"/>
      <c r="GU79" s="2397"/>
      <c r="GV79" s="2397"/>
      <c r="GW79" s="2397"/>
      <c r="GX79" s="2397"/>
      <c r="GY79" s="2397"/>
      <c r="GZ79" s="2397"/>
      <c r="HA79" s="2397"/>
      <c r="HB79" s="2397"/>
      <c r="HC79" s="2397"/>
      <c r="HD79" s="2397"/>
      <c r="HE79" s="2397"/>
      <c r="HF79" s="2397"/>
      <c r="HG79" s="2397"/>
      <c r="HH79" s="2397"/>
      <c r="HI79" s="2397"/>
      <c r="HJ79" s="2397"/>
      <c r="HK79" s="2397"/>
      <c r="HL79" s="2397"/>
      <c r="HM79" s="2397"/>
      <c r="HN79" s="2397"/>
      <c r="HO79" s="2397"/>
      <c r="HP79" s="2397"/>
      <c r="HQ79" s="2397" t="s">
        <v>1189</v>
      </c>
      <c r="HR79" s="2397" t="s">
        <v>572</v>
      </c>
      <c r="HS79" s="2397"/>
      <c r="HT79" s="2397"/>
      <c r="HU79" s="2397"/>
      <c r="HV79" s="2397"/>
      <c r="HW79" s="2397"/>
      <c r="HX79" s="2397"/>
      <c r="HY79" s="2397"/>
      <c r="HZ79" s="2397"/>
      <c r="IA79" s="2397"/>
      <c r="IB79" s="2397"/>
      <c r="IC79" s="2397"/>
      <c r="ID79" s="2397"/>
      <c r="IE79" s="2397"/>
      <c r="IF79" s="2397"/>
      <c r="IG79" s="2397"/>
      <c r="IH79" s="2397"/>
      <c r="II79" s="2397"/>
      <c r="IJ79" s="2397"/>
      <c r="IK79" s="2397"/>
      <c r="IL79" s="2397"/>
      <c r="IM79" s="2397" t="s">
        <v>572</v>
      </c>
      <c r="IN79" s="2397" t="s">
        <v>572</v>
      </c>
      <c r="IO79" s="2397"/>
      <c r="IP79" s="2397"/>
      <c r="IQ79" s="2397"/>
      <c r="IR79" s="2397"/>
      <c r="IS79" s="2397"/>
      <c r="IT79" s="2397"/>
      <c r="IU79" s="2397"/>
      <c r="IV79" s="2397"/>
      <c r="IW79" s="2397"/>
      <c r="IX79" s="2397"/>
      <c r="IY79" s="2397"/>
      <c r="IZ79" s="2397"/>
      <c r="JA79" s="3744"/>
      <c r="JB79" s="3744"/>
      <c r="JC79" s="3744"/>
      <c r="JD79" s="3744"/>
      <c r="JE79" s="3744"/>
      <c r="JF79" s="3744"/>
      <c r="JG79" s="3751"/>
      <c r="JH79" s="1233"/>
      <c r="JI79" s="1229"/>
      <c r="JJ79" s="1686" t="s">
        <v>6111</v>
      </c>
    </row>
  </sheetData>
  <phoneticPr fontId="67" type="noConversion"/>
  <dataValidations count="1">
    <dataValidation allowBlank="1" showErrorMessage="1" showInputMessage="1" sqref="JJ4:JJ8 JJ73:JJ79 JJ11:JJ17 JJ20:JJ28 JJ31:JJ35 JJ38:JJ41 JJ44:JJ51 JJ54:JJ57 JJ67:JJ69 JJ60:JJ64" type="list" xr:uid="{00000000-0002-0000-0900-000000000000}">
      <formula1>allowedTypes</formula1>
    </dataValidation>
  </dataValidations>
  <pageMargins bottom="0.196850393700787" footer="0" header="0" left="0.196850393700787" right="0.196850393700787" top="0.196850393700787"/>
  <pageSetup horizontalDpi="1200" orientation="portrait" paperSize="9" r:id="rId1" verticalDpi="1200"/>
  <headerFooter alignWithMargins="0"/>
  <legacyDrawing r:id="rId2"/>
</worksheet>
</file>

<file path=xl/worksheets/sheet11.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0"/>
  <dimension ref="A1:JJ113"/>
  <sheetViews>
    <sheetView showGridLines="0" workbookViewId="0" zoomScaleNormal="100">
      <pane activePane="bottomRight" state="frozen" topLeftCell="E107" xSplit="4" ySplit="1"/>
      <selection activeCell="JF25" sqref="JF25"/>
      <selection activeCell="JF25" pane="topRight" sqref="JF25"/>
      <selection activeCell="JF25" pane="bottomLeft" sqref="JF25"/>
      <selection activeCell="M70" pane="bottomRight" sqref="M70"/>
    </sheetView>
  </sheetViews>
  <sheetFormatPr defaultColWidth="9.140625" defaultRowHeight="12" x14ac:dyDescent="0.2"/>
  <cols>
    <col min="1" max="1" bestFit="true" customWidth="true" style="1127" width="3.85546875" collapsed="true"/>
    <col min="2" max="2" customWidth="true" style="181" width="10.7109375" collapsed="true"/>
    <col min="3" max="3" customWidth="true" style="181" width="11.85546875" collapsed="true"/>
    <col min="4" max="4" customWidth="true" style="181" width="46.0" collapsed="true"/>
    <col min="5" max="5" bestFit="true" customWidth="true" style="181" width="10.140625" collapsed="true"/>
    <col min="6" max="6" customWidth="true" style="181" width="10.42578125" collapsed="true"/>
    <col min="7" max="7" customWidth="true" style="181" width="10.28515625" collapsed="true"/>
    <col min="8" max="8" bestFit="true" customWidth="true" style="181" width="10.140625" collapsed="true"/>
    <col min="9" max="9" bestFit="true" customWidth="true" style="181" width="9.7109375" collapsed="true"/>
    <col min="10" max="10" customWidth="true" style="181" width="10.5703125" collapsed="true"/>
    <col min="11" max="11" customWidth="true" style="181" width="10.0" collapsed="true"/>
    <col min="12" max="13" bestFit="true" customWidth="true" style="181" width="11.140625" collapsed="true"/>
    <col min="14" max="14" bestFit="true" customWidth="true" style="181" width="10.0" collapsed="true"/>
    <col min="15" max="15" customWidth="true" style="181" width="10.0" collapsed="true"/>
    <col min="16" max="16" bestFit="true" customWidth="true" style="181" width="10.0" collapsed="true"/>
    <col min="17" max="29" customWidth="true" style="181" width="10.0" collapsed="true"/>
    <col min="30" max="34" customWidth="true" style="34" width="10.0" collapsed="true"/>
    <col min="35" max="189" customWidth="true" style="181" width="10.0" collapsed="true"/>
    <col min="190" max="190" customWidth="true" style="181" width="10.7109375" collapsed="true"/>
    <col min="191" max="191" customWidth="true" style="181" width="10.0" collapsed="true"/>
    <col min="192" max="192" bestFit="true" customWidth="true" style="181" width="11.0" collapsed="true"/>
    <col min="193" max="253" customWidth="true" style="181" width="10.0" collapsed="true"/>
    <col min="254" max="254" bestFit="true" customWidth="true" style="181" width="11.0" collapsed="true"/>
    <col min="255" max="258" customWidth="true" style="181" width="10.0" collapsed="true"/>
    <col min="259" max="259" bestFit="true" customWidth="true" style="181" width="11.0" collapsed="true"/>
    <col min="260" max="260" customWidth="true" style="181" width="10.0" collapsed="true"/>
    <col min="261" max="267" customWidth="true" style="34" width="10.0" collapsed="true"/>
    <col min="268" max="268" customWidth="true" style="181" width="2.140625" collapsed="true"/>
    <col min="269" max="269" customWidth="true" style="181" width="47.42578125" collapsed="true"/>
    <col min="270" max="16384" style="181" width="9.140625" collapsed="true"/>
  </cols>
  <sheetData>
    <row ht="12.75" r="1" spans="1:269" x14ac:dyDescent="0.2">
      <c r="E1" s="544">
        <v>1</v>
      </c>
      <c r="F1" s="544">
        <v>2</v>
      </c>
      <c r="G1" s="544">
        <v>3</v>
      </c>
      <c r="H1" s="544">
        <v>4</v>
      </c>
      <c r="I1" s="544">
        <v>5</v>
      </c>
      <c r="J1" s="544">
        <v>6</v>
      </c>
      <c r="K1" s="544">
        <v>7</v>
      </c>
      <c r="L1" s="544">
        <v>8</v>
      </c>
      <c r="M1" s="544">
        <v>9</v>
      </c>
      <c r="N1" s="544">
        <v>10</v>
      </c>
      <c r="O1" s="1946">
        <v>11</v>
      </c>
      <c r="P1" s="544">
        <v>12</v>
      </c>
      <c r="Q1" s="1946">
        <v>13</v>
      </c>
      <c r="R1" s="544">
        <v>14</v>
      </c>
      <c r="S1" s="1946">
        <v>15</v>
      </c>
      <c r="T1" s="544">
        <v>16</v>
      </c>
      <c r="U1" s="1946">
        <v>17</v>
      </c>
      <c r="V1" s="544">
        <v>18</v>
      </c>
      <c r="W1" s="1946">
        <v>19</v>
      </c>
      <c r="X1" s="544">
        <v>20</v>
      </c>
      <c r="Y1" s="1946">
        <v>21</v>
      </c>
      <c r="Z1" s="544">
        <v>22</v>
      </c>
      <c r="AA1" s="1946">
        <v>23</v>
      </c>
      <c r="AB1" s="544">
        <v>24</v>
      </c>
      <c r="AC1" s="1946">
        <v>25</v>
      </c>
      <c r="AD1" s="2407">
        <v>26</v>
      </c>
      <c r="AE1" s="2407">
        <v>27</v>
      </c>
      <c r="AF1" s="2407">
        <v>28</v>
      </c>
      <c r="AG1" s="2407">
        <v>29</v>
      </c>
      <c r="AH1" s="2407">
        <v>30</v>
      </c>
      <c r="AI1" s="544">
        <v>31</v>
      </c>
      <c r="AJ1" s="1946">
        <v>32</v>
      </c>
      <c r="AK1" s="544">
        <v>33</v>
      </c>
      <c r="AL1" s="1946">
        <v>34</v>
      </c>
      <c r="AM1" s="544">
        <v>35</v>
      </c>
      <c r="AN1" s="1946">
        <v>36</v>
      </c>
      <c r="AO1" s="544">
        <v>37</v>
      </c>
      <c r="AP1" s="1946">
        <v>38</v>
      </c>
      <c r="AQ1" s="544">
        <v>39</v>
      </c>
      <c r="AR1" s="1946">
        <v>40</v>
      </c>
      <c r="AS1" s="544">
        <v>41</v>
      </c>
      <c r="AT1" s="1946">
        <v>42</v>
      </c>
      <c r="AU1" s="544">
        <v>43</v>
      </c>
      <c r="AV1" s="1946">
        <v>44</v>
      </c>
      <c r="AW1" s="544">
        <v>45</v>
      </c>
      <c r="AX1" s="1946">
        <v>46</v>
      </c>
      <c r="AY1" s="544">
        <v>47</v>
      </c>
      <c r="AZ1" s="1946">
        <v>48</v>
      </c>
      <c r="BA1" s="544">
        <v>49</v>
      </c>
      <c r="BB1" s="1946">
        <v>50</v>
      </c>
      <c r="BC1" s="544">
        <v>51</v>
      </c>
      <c r="BD1" s="1946">
        <v>52</v>
      </c>
      <c r="BE1" s="544">
        <v>53</v>
      </c>
      <c r="BF1" s="1946">
        <v>54</v>
      </c>
      <c r="BG1" s="544">
        <v>55</v>
      </c>
      <c r="BH1" s="1946">
        <v>56</v>
      </c>
      <c r="BI1" s="544">
        <v>57</v>
      </c>
      <c r="BJ1" s="1946">
        <v>58</v>
      </c>
      <c r="BK1" s="544">
        <v>59</v>
      </c>
      <c r="BL1" s="1946">
        <v>60</v>
      </c>
      <c r="BM1" s="544">
        <v>61</v>
      </c>
      <c r="BN1" s="1946">
        <v>62</v>
      </c>
      <c r="BO1" s="544">
        <v>63</v>
      </c>
      <c r="BP1" s="1946">
        <v>64</v>
      </c>
      <c r="BQ1" s="544">
        <v>65</v>
      </c>
      <c r="BR1" s="1946">
        <v>66</v>
      </c>
      <c r="BS1" s="544">
        <v>67</v>
      </c>
      <c r="BT1" s="1946">
        <v>68</v>
      </c>
      <c r="BU1" s="544">
        <v>69</v>
      </c>
      <c r="BV1" s="1946">
        <v>70</v>
      </c>
      <c r="BW1" s="544">
        <v>71</v>
      </c>
      <c r="BX1" s="1946">
        <v>72</v>
      </c>
      <c r="BY1" s="544">
        <v>73</v>
      </c>
      <c r="BZ1" s="1946">
        <v>74</v>
      </c>
      <c r="CA1" s="544">
        <v>75</v>
      </c>
      <c r="CB1" s="1946">
        <v>76</v>
      </c>
      <c r="CC1" s="544">
        <v>77</v>
      </c>
      <c r="CD1" s="1946">
        <v>78</v>
      </c>
      <c r="CE1" s="544">
        <v>79</v>
      </c>
      <c r="CF1" s="1946">
        <v>80</v>
      </c>
      <c r="CG1" s="544">
        <v>81</v>
      </c>
      <c r="CH1" s="1946">
        <v>82</v>
      </c>
      <c r="CI1" s="544">
        <v>83</v>
      </c>
      <c r="CJ1" s="1946">
        <v>84</v>
      </c>
      <c r="CK1" s="544">
        <v>85</v>
      </c>
      <c r="CL1" s="1946">
        <v>86</v>
      </c>
      <c r="CM1" s="544">
        <v>87</v>
      </c>
      <c r="CN1" s="1946">
        <v>88</v>
      </c>
      <c r="CO1" s="544">
        <v>89</v>
      </c>
      <c r="CP1" s="1946">
        <v>90</v>
      </c>
      <c r="CQ1" s="544">
        <v>91</v>
      </c>
      <c r="CR1" s="1946">
        <v>92</v>
      </c>
      <c r="CS1" s="544">
        <v>93</v>
      </c>
      <c r="CT1" s="1946">
        <v>94</v>
      </c>
      <c r="CU1" s="544">
        <v>95</v>
      </c>
      <c r="CV1" s="1946">
        <v>96</v>
      </c>
      <c r="CW1" s="544">
        <v>97</v>
      </c>
      <c r="CX1" s="1946">
        <v>98</v>
      </c>
      <c r="CY1" s="544">
        <v>99</v>
      </c>
      <c r="CZ1" s="1946">
        <v>100</v>
      </c>
      <c r="DA1" s="544">
        <v>101</v>
      </c>
      <c r="DB1" s="1946">
        <v>102</v>
      </c>
      <c r="DC1" s="544">
        <v>103</v>
      </c>
      <c r="DD1" s="1946">
        <v>104</v>
      </c>
      <c r="DE1" s="544">
        <v>105</v>
      </c>
      <c r="DF1" s="1946">
        <v>106</v>
      </c>
      <c r="DG1" s="544">
        <v>107</v>
      </c>
      <c r="DH1" s="1946">
        <v>108</v>
      </c>
      <c r="DI1" s="544">
        <v>109</v>
      </c>
      <c r="DJ1" s="1946">
        <v>110</v>
      </c>
      <c r="DK1" s="544">
        <v>111</v>
      </c>
      <c r="DL1" s="1946">
        <v>112</v>
      </c>
      <c r="DM1" s="544">
        <v>113</v>
      </c>
      <c r="DN1" s="1946">
        <v>114</v>
      </c>
      <c r="DO1" s="544">
        <v>115</v>
      </c>
      <c r="DP1" s="1946">
        <v>116</v>
      </c>
      <c r="DQ1" s="544">
        <v>117</v>
      </c>
      <c r="DR1" s="1946">
        <v>118</v>
      </c>
      <c r="DS1" s="544">
        <v>119</v>
      </c>
      <c r="DT1" s="1946">
        <v>120</v>
      </c>
      <c r="DU1" s="544">
        <v>121</v>
      </c>
      <c r="DV1" s="1946">
        <v>122</v>
      </c>
      <c r="DW1" s="544">
        <v>123</v>
      </c>
      <c r="DX1" s="1946">
        <v>124</v>
      </c>
      <c r="DY1" s="544">
        <v>125</v>
      </c>
      <c r="DZ1" s="1946">
        <v>126</v>
      </c>
      <c r="EA1" s="544">
        <v>127</v>
      </c>
      <c r="EB1" s="1946">
        <v>128</v>
      </c>
      <c r="EC1" s="544">
        <v>129</v>
      </c>
      <c r="ED1" s="1946">
        <v>130</v>
      </c>
      <c r="EE1" s="544">
        <v>131</v>
      </c>
      <c r="EF1" s="1946">
        <v>132</v>
      </c>
      <c r="EG1" s="544">
        <v>133</v>
      </c>
      <c r="EH1" s="1946">
        <v>134</v>
      </c>
      <c r="EI1" s="544">
        <v>135</v>
      </c>
      <c r="EJ1" s="1946">
        <v>136</v>
      </c>
      <c r="EK1" s="544">
        <v>137</v>
      </c>
      <c r="EL1" s="1946">
        <v>138</v>
      </c>
      <c r="EM1" s="544">
        <v>139</v>
      </c>
      <c r="EN1" s="1946">
        <v>140</v>
      </c>
      <c r="EO1" s="544">
        <v>141</v>
      </c>
      <c r="EP1" s="1946">
        <v>142</v>
      </c>
      <c r="EQ1" s="544">
        <v>143</v>
      </c>
      <c r="ER1" s="1946">
        <v>144</v>
      </c>
      <c r="ES1" s="544">
        <v>145</v>
      </c>
      <c r="ET1" s="1946">
        <v>146</v>
      </c>
      <c r="EU1" s="544">
        <v>147</v>
      </c>
      <c r="EV1" s="1946">
        <v>148</v>
      </c>
      <c r="EW1" s="544">
        <v>149</v>
      </c>
      <c r="EX1" s="1946">
        <v>150</v>
      </c>
      <c r="EY1" s="544">
        <v>151</v>
      </c>
      <c r="EZ1" s="1946">
        <v>152</v>
      </c>
      <c r="FA1" s="544">
        <v>153</v>
      </c>
      <c r="FB1" s="1946">
        <v>154</v>
      </c>
      <c r="FC1" s="544">
        <v>155</v>
      </c>
      <c r="FD1" s="1946">
        <v>156</v>
      </c>
      <c r="FE1" s="544">
        <v>157</v>
      </c>
      <c r="FF1" s="1946">
        <v>158</v>
      </c>
      <c r="FG1" s="544">
        <v>159</v>
      </c>
      <c r="FH1" s="1946">
        <v>160</v>
      </c>
      <c r="FI1" s="544">
        <v>161</v>
      </c>
      <c r="FJ1" s="1946">
        <v>162</v>
      </c>
      <c r="FK1" s="544">
        <v>163</v>
      </c>
      <c r="FL1" s="1946">
        <v>164</v>
      </c>
      <c r="FM1" s="544">
        <v>165</v>
      </c>
      <c r="FN1" s="1946">
        <v>166</v>
      </c>
      <c r="FO1" s="544">
        <v>167</v>
      </c>
      <c r="FP1" s="1946">
        <v>168</v>
      </c>
      <c r="FQ1" s="544">
        <v>169</v>
      </c>
      <c r="FR1" s="1946">
        <v>170</v>
      </c>
      <c r="FS1" s="544">
        <v>171</v>
      </c>
      <c r="FT1" s="1946">
        <v>172</v>
      </c>
      <c r="FU1" s="544">
        <v>173</v>
      </c>
      <c r="FV1" s="1946">
        <v>174</v>
      </c>
      <c r="FW1" s="544">
        <v>175</v>
      </c>
      <c r="FX1" s="1946">
        <v>176</v>
      </c>
      <c r="FY1" s="544">
        <v>177</v>
      </c>
      <c r="FZ1" s="1946">
        <v>178</v>
      </c>
      <c r="GA1" s="544">
        <v>179</v>
      </c>
      <c r="GB1" s="1946">
        <v>180</v>
      </c>
      <c r="GC1" s="544">
        <v>181</v>
      </c>
      <c r="GD1" s="1946">
        <v>182</v>
      </c>
      <c r="GE1" s="544">
        <v>183</v>
      </c>
      <c r="GF1" s="1946">
        <v>184</v>
      </c>
      <c r="GG1" s="544">
        <v>185</v>
      </c>
      <c r="GH1" s="1946">
        <v>186</v>
      </c>
      <c r="GI1" s="544">
        <v>187</v>
      </c>
      <c r="GJ1" s="1946">
        <v>188</v>
      </c>
      <c r="GK1" s="544">
        <v>189</v>
      </c>
      <c r="GL1" s="1946">
        <v>190</v>
      </c>
      <c r="GM1" s="544">
        <v>191</v>
      </c>
      <c r="GN1" s="1946">
        <v>192</v>
      </c>
      <c r="GO1" s="544">
        <v>193</v>
      </c>
      <c r="GP1" s="1946">
        <v>194</v>
      </c>
      <c r="GQ1" s="544">
        <v>195</v>
      </c>
      <c r="GR1" s="1946">
        <v>196</v>
      </c>
      <c r="GS1" s="544">
        <v>197</v>
      </c>
      <c r="GT1" s="1946">
        <v>198</v>
      </c>
      <c r="GU1" s="544">
        <v>199</v>
      </c>
      <c r="GV1" s="1946">
        <v>200</v>
      </c>
      <c r="GW1" s="544">
        <v>201</v>
      </c>
      <c r="GX1" s="1946">
        <v>202</v>
      </c>
      <c r="GY1" s="544">
        <v>203</v>
      </c>
      <c r="GZ1" s="1946">
        <v>204</v>
      </c>
      <c r="HA1" s="544">
        <v>205</v>
      </c>
      <c r="HB1" s="1946">
        <v>206</v>
      </c>
      <c r="HC1" s="544">
        <v>207</v>
      </c>
      <c r="HD1" s="1946">
        <v>208</v>
      </c>
      <c r="HE1" s="544">
        <v>209</v>
      </c>
      <c r="HF1" s="1946">
        <v>210</v>
      </c>
      <c r="HG1" s="544">
        <v>211</v>
      </c>
      <c r="HH1" s="1946">
        <v>212</v>
      </c>
      <c r="HI1" s="544">
        <v>213</v>
      </c>
      <c r="HJ1" s="1946">
        <v>214</v>
      </c>
      <c r="HK1" s="544">
        <v>215</v>
      </c>
      <c r="HL1" s="1946">
        <v>216</v>
      </c>
      <c r="HM1" s="544">
        <v>217</v>
      </c>
      <c r="HN1" s="1946">
        <v>218</v>
      </c>
      <c r="HO1" s="544">
        <v>219</v>
      </c>
      <c r="HP1" s="1946">
        <v>220</v>
      </c>
      <c r="HQ1" s="544">
        <v>221</v>
      </c>
      <c r="HR1" s="1946">
        <v>222</v>
      </c>
      <c r="HS1" s="544">
        <v>223</v>
      </c>
      <c r="HT1" s="1946">
        <v>224</v>
      </c>
      <c r="HU1" s="544">
        <v>225</v>
      </c>
      <c r="HV1" s="1946">
        <v>226</v>
      </c>
      <c r="HW1" s="544">
        <v>227</v>
      </c>
      <c r="HX1" s="1946">
        <v>228</v>
      </c>
      <c r="HY1" s="544">
        <v>229</v>
      </c>
      <c r="HZ1" s="1946">
        <v>230</v>
      </c>
      <c r="IA1" s="544">
        <v>231</v>
      </c>
      <c r="IB1" s="1946">
        <v>232</v>
      </c>
      <c r="IC1" s="544">
        <v>233</v>
      </c>
      <c r="ID1" s="1946">
        <v>234</v>
      </c>
      <c r="IE1" s="544">
        <v>235</v>
      </c>
      <c r="IF1" s="1946">
        <v>236</v>
      </c>
      <c r="IG1" s="544">
        <v>237</v>
      </c>
      <c r="IH1" s="1946">
        <v>238</v>
      </c>
      <c r="II1" s="544">
        <v>239</v>
      </c>
      <c r="IJ1" s="1946">
        <v>240</v>
      </c>
      <c r="IK1" s="544">
        <v>241</v>
      </c>
      <c r="IL1" s="1946">
        <v>242</v>
      </c>
      <c r="IM1" s="544">
        <v>243</v>
      </c>
      <c r="IN1" s="1946">
        <v>244</v>
      </c>
      <c r="IO1" s="544">
        <v>245</v>
      </c>
      <c r="IP1" s="1946">
        <v>246</v>
      </c>
      <c r="IQ1" s="544">
        <v>247</v>
      </c>
      <c r="IR1" s="2023">
        <v>248</v>
      </c>
      <c r="IS1" s="2023">
        <v>249</v>
      </c>
      <c r="IT1" s="2023">
        <v>250</v>
      </c>
      <c r="IU1" s="2023">
        <v>251</v>
      </c>
      <c r="IV1" s="2023">
        <v>252</v>
      </c>
      <c r="IW1" s="2023">
        <v>253</v>
      </c>
      <c r="IX1" s="2023">
        <v>254</v>
      </c>
      <c r="IY1" s="2023">
        <v>255</v>
      </c>
      <c r="IZ1" s="2023">
        <v>256</v>
      </c>
      <c r="JA1" s="2023">
        <v>257</v>
      </c>
      <c r="JB1" s="2023">
        <v>258</v>
      </c>
      <c r="JC1" s="2023">
        <v>259</v>
      </c>
      <c r="JD1" s="2023">
        <v>260</v>
      </c>
      <c r="JE1" s="2023">
        <v>261</v>
      </c>
      <c r="JF1" s="2023">
        <v>262</v>
      </c>
      <c r="JG1" s="2023">
        <v>263</v>
      </c>
      <c r="JH1" s="1233"/>
      <c r="JI1" s="1232" t="s">
        <v>5040</v>
      </c>
    </row>
    <row ht="12.75" r="2" spans="1:269" thickBot="1" x14ac:dyDescent="0.25">
      <c r="C2" s="671" t="s">
        <v>3993</v>
      </c>
      <c r="D2" s="671"/>
      <c r="IR2" s="693"/>
      <c r="IS2" s="693"/>
      <c r="IT2" s="693"/>
      <c r="IU2" s="693"/>
      <c r="IV2" s="693"/>
      <c r="IW2" s="693"/>
      <c r="IX2" s="693"/>
      <c r="IY2" s="693"/>
      <c r="IZ2" s="693"/>
      <c r="JA2" s="50"/>
      <c r="JB2" s="50"/>
      <c r="JC2" s="50"/>
      <c r="JD2" s="50"/>
      <c r="JE2" s="50"/>
      <c r="JF2" s="50"/>
      <c r="JG2" s="50"/>
    </row>
    <row ht="12.75" r="3" spans="1:269" x14ac:dyDescent="0.2">
      <c r="A3" s="1128" t="s">
        <v>4479</v>
      </c>
      <c r="B3" s="628" t="s">
        <v>3922</v>
      </c>
      <c r="C3" s="1251" t="s">
        <v>3994</v>
      </c>
      <c r="D3" s="1133"/>
      <c r="E3" s="2026">
        <v>1</v>
      </c>
      <c r="F3" s="2026">
        <v>2</v>
      </c>
      <c r="G3" s="2026">
        <v>3</v>
      </c>
      <c r="H3" s="2026">
        <v>4</v>
      </c>
      <c r="I3" s="2026">
        <v>5</v>
      </c>
      <c r="J3" s="2026">
        <v>6</v>
      </c>
      <c r="K3" s="2026">
        <v>7</v>
      </c>
      <c r="L3" s="2026">
        <v>8</v>
      </c>
      <c r="M3" s="2026">
        <v>9</v>
      </c>
      <c r="N3" s="2407">
        <v>10</v>
      </c>
      <c r="O3" s="2407">
        <v>11</v>
      </c>
      <c r="P3" s="2407">
        <v>12</v>
      </c>
      <c r="Q3" s="2407">
        <v>13</v>
      </c>
      <c r="R3" s="2407">
        <v>14</v>
      </c>
      <c r="S3" s="2407">
        <v>15</v>
      </c>
      <c r="T3" s="2407">
        <v>16</v>
      </c>
      <c r="U3" s="2407">
        <v>17</v>
      </c>
      <c r="V3" s="2407">
        <v>18</v>
      </c>
      <c r="W3" s="2407">
        <v>19</v>
      </c>
      <c r="X3" s="2407">
        <v>20</v>
      </c>
      <c r="Y3" s="2407">
        <v>21</v>
      </c>
      <c r="Z3" s="2407">
        <v>22</v>
      </c>
      <c r="AA3" s="2407">
        <v>23</v>
      </c>
      <c r="AB3" s="2407">
        <v>24</v>
      </c>
      <c r="AC3" s="2407">
        <v>25</v>
      </c>
      <c r="AD3" s="3502">
        <v>26</v>
      </c>
      <c r="AE3" s="3502">
        <v>27</v>
      </c>
      <c r="AF3" s="3502">
        <v>28</v>
      </c>
      <c r="AG3" s="3502">
        <v>29</v>
      </c>
      <c r="AH3" s="3502">
        <v>30</v>
      </c>
      <c r="AI3" s="2026">
        <v>31</v>
      </c>
      <c r="AJ3" s="2026">
        <v>32</v>
      </c>
      <c r="AK3" s="2026">
        <v>33</v>
      </c>
      <c r="AL3" s="2026">
        <v>34</v>
      </c>
      <c r="AM3" s="2026">
        <v>35</v>
      </c>
      <c r="AN3" s="2026">
        <v>36</v>
      </c>
      <c r="AO3" s="2026">
        <v>37</v>
      </c>
      <c r="AP3" s="2026">
        <v>38</v>
      </c>
      <c r="AQ3" s="2026">
        <v>39</v>
      </c>
      <c r="AR3" s="2026">
        <v>40</v>
      </c>
      <c r="AS3" s="2026">
        <v>41</v>
      </c>
      <c r="AT3" s="2026">
        <v>42</v>
      </c>
      <c r="AU3" s="2026">
        <v>43</v>
      </c>
      <c r="AV3" s="2026">
        <v>44</v>
      </c>
      <c r="AW3" s="2026">
        <v>45</v>
      </c>
      <c r="AX3" s="2026">
        <v>46</v>
      </c>
      <c r="AY3" s="2026">
        <v>47</v>
      </c>
      <c r="AZ3" s="2026">
        <v>48</v>
      </c>
      <c r="BA3" s="2026">
        <v>49</v>
      </c>
      <c r="BB3" s="2026">
        <v>50</v>
      </c>
      <c r="BC3" s="2026">
        <v>51</v>
      </c>
      <c r="BD3" s="2026">
        <v>52</v>
      </c>
      <c r="BE3" s="2026">
        <v>53</v>
      </c>
      <c r="BF3" s="2026">
        <v>54</v>
      </c>
      <c r="BG3" s="2026">
        <v>55</v>
      </c>
      <c r="BH3" s="2026">
        <v>56</v>
      </c>
      <c r="BI3" s="2026">
        <v>57</v>
      </c>
      <c r="BJ3" s="2026">
        <v>58</v>
      </c>
      <c r="BK3" s="2026">
        <v>59</v>
      </c>
      <c r="BL3" s="2026">
        <v>60</v>
      </c>
      <c r="BM3" s="2026">
        <v>61</v>
      </c>
      <c r="BN3" s="2026">
        <v>62</v>
      </c>
      <c r="BO3" s="2026">
        <v>63</v>
      </c>
      <c r="BP3" s="2026">
        <v>64</v>
      </c>
      <c r="BQ3" s="2026">
        <v>65</v>
      </c>
      <c r="BR3" s="2026">
        <v>66</v>
      </c>
      <c r="BS3" s="2026">
        <v>67</v>
      </c>
      <c r="BT3" s="2026">
        <v>68</v>
      </c>
      <c r="BU3" s="2026">
        <v>69</v>
      </c>
      <c r="BV3" s="2026">
        <v>70</v>
      </c>
      <c r="BW3" s="2026">
        <v>71</v>
      </c>
      <c r="BX3" s="2026">
        <v>72</v>
      </c>
      <c r="BY3" s="2026">
        <v>73</v>
      </c>
      <c r="BZ3" s="2026">
        <v>74</v>
      </c>
      <c r="CA3" s="2026">
        <v>75</v>
      </c>
      <c r="CB3" s="2026">
        <v>76</v>
      </c>
      <c r="CC3" s="2026">
        <v>77</v>
      </c>
      <c r="CD3" s="2026">
        <v>78</v>
      </c>
      <c r="CE3" s="2026">
        <v>79</v>
      </c>
      <c r="CF3" s="2026">
        <v>80</v>
      </c>
      <c r="CG3" s="2026">
        <v>81</v>
      </c>
      <c r="CH3" s="2026">
        <v>82</v>
      </c>
      <c r="CI3" s="2026">
        <v>83</v>
      </c>
      <c r="CJ3" s="2026">
        <v>84</v>
      </c>
      <c r="CK3" s="2026">
        <v>85</v>
      </c>
      <c r="CL3" s="2026">
        <v>86</v>
      </c>
      <c r="CM3" s="2026">
        <v>87</v>
      </c>
      <c r="CN3" s="2026">
        <v>88</v>
      </c>
      <c r="CO3" s="2026">
        <v>89</v>
      </c>
      <c r="CP3" s="2026">
        <v>90</v>
      </c>
      <c r="CQ3" s="2026">
        <v>91</v>
      </c>
      <c r="CR3" s="2026">
        <v>92</v>
      </c>
      <c r="CS3" s="2026">
        <v>93</v>
      </c>
      <c r="CT3" s="2026">
        <v>94</v>
      </c>
      <c r="CU3" s="2026">
        <v>95</v>
      </c>
      <c r="CV3" s="2026">
        <v>96</v>
      </c>
      <c r="CW3" s="2026">
        <v>97</v>
      </c>
      <c r="CX3" s="2026">
        <v>98</v>
      </c>
      <c r="CY3" s="2026">
        <v>99</v>
      </c>
      <c r="CZ3" s="2026">
        <v>100</v>
      </c>
      <c r="DA3" s="2026">
        <v>101</v>
      </c>
      <c r="DB3" s="2026">
        <v>102</v>
      </c>
      <c r="DC3" s="2026">
        <v>103</v>
      </c>
      <c r="DD3" s="2026">
        <v>104</v>
      </c>
      <c r="DE3" s="2026">
        <v>105</v>
      </c>
      <c r="DF3" s="2026">
        <v>106</v>
      </c>
      <c r="DG3" s="2026">
        <v>107</v>
      </c>
      <c r="DH3" s="2026">
        <v>108</v>
      </c>
      <c r="DI3" s="2026">
        <v>109</v>
      </c>
      <c r="DJ3" s="2026">
        <v>110</v>
      </c>
      <c r="DK3" s="2026">
        <v>111</v>
      </c>
      <c r="DL3" s="2026">
        <v>112</v>
      </c>
      <c r="DM3" s="2026">
        <v>113</v>
      </c>
      <c r="DN3" s="2026">
        <v>114</v>
      </c>
      <c r="DO3" s="2026">
        <v>115</v>
      </c>
      <c r="DP3" s="2026">
        <v>116</v>
      </c>
      <c r="DQ3" s="2026">
        <v>117</v>
      </c>
      <c r="DR3" s="2026">
        <v>118</v>
      </c>
      <c r="DS3" s="2026">
        <v>119</v>
      </c>
      <c r="DT3" s="2026">
        <v>120</v>
      </c>
      <c r="DU3" s="2026">
        <v>121</v>
      </c>
      <c r="DV3" s="2026">
        <v>122</v>
      </c>
      <c r="DW3" s="2026">
        <v>123</v>
      </c>
      <c r="DX3" s="2026">
        <v>124</v>
      </c>
      <c r="DY3" s="2026">
        <v>125</v>
      </c>
      <c r="DZ3" s="2026">
        <v>126</v>
      </c>
      <c r="EA3" s="2026">
        <v>127</v>
      </c>
      <c r="EB3" s="2026">
        <v>128</v>
      </c>
      <c r="EC3" s="2026">
        <v>129</v>
      </c>
      <c r="ED3" s="2026">
        <v>130</v>
      </c>
      <c r="EE3" s="2026">
        <v>131</v>
      </c>
      <c r="EF3" s="2026">
        <v>132</v>
      </c>
      <c r="EG3" s="2026">
        <v>133</v>
      </c>
      <c r="EH3" s="2026">
        <v>134</v>
      </c>
      <c r="EI3" s="2026">
        <v>135</v>
      </c>
      <c r="EJ3" s="2026">
        <v>136</v>
      </c>
      <c r="EK3" s="2026">
        <v>137</v>
      </c>
      <c r="EL3" s="2026">
        <v>138</v>
      </c>
      <c r="EM3" s="2026">
        <v>139</v>
      </c>
      <c r="EN3" s="2026">
        <v>140</v>
      </c>
      <c r="EO3" s="2026">
        <v>141</v>
      </c>
      <c r="EP3" s="2026">
        <v>142</v>
      </c>
      <c r="EQ3" s="2026">
        <v>143</v>
      </c>
      <c r="ER3" s="2026">
        <v>144</v>
      </c>
      <c r="ES3" s="2026">
        <v>145</v>
      </c>
      <c r="ET3" s="2026">
        <v>146</v>
      </c>
      <c r="EU3" s="2026">
        <v>147</v>
      </c>
      <c r="EV3" s="2026">
        <v>148</v>
      </c>
      <c r="EW3" s="2026">
        <v>149</v>
      </c>
      <c r="EX3" s="2026">
        <v>150</v>
      </c>
      <c r="EY3" s="2026">
        <v>151</v>
      </c>
      <c r="EZ3" s="2026">
        <v>152</v>
      </c>
      <c r="FA3" s="2026">
        <v>153</v>
      </c>
      <c r="FB3" s="2026">
        <v>154</v>
      </c>
      <c r="FC3" s="2026">
        <v>155</v>
      </c>
      <c r="FD3" s="2026">
        <v>156</v>
      </c>
      <c r="FE3" s="2026">
        <v>157</v>
      </c>
      <c r="FF3" s="2026">
        <v>158</v>
      </c>
      <c r="FG3" s="2026">
        <v>159</v>
      </c>
      <c r="FH3" s="2026">
        <v>160</v>
      </c>
      <c r="FI3" s="2026">
        <v>161</v>
      </c>
      <c r="FJ3" s="2026">
        <v>162</v>
      </c>
      <c r="FK3" s="2026">
        <v>163</v>
      </c>
      <c r="FL3" s="2026">
        <v>164</v>
      </c>
      <c r="FM3" s="2026">
        <v>165</v>
      </c>
      <c r="FN3" s="2026">
        <v>166</v>
      </c>
      <c r="FO3" s="2026">
        <v>167</v>
      </c>
      <c r="FP3" s="2026">
        <v>168</v>
      </c>
      <c r="FQ3" s="2026">
        <v>169</v>
      </c>
      <c r="FR3" s="2026">
        <v>170</v>
      </c>
      <c r="FS3" s="2026">
        <v>171</v>
      </c>
      <c r="FT3" s="2026">
        <v>172</v>
      </c>
      <c r="FU3" s="2026">
        <v>173</v>
      </c>
      <c r="FV3" s="2026">
        <v>174</v>
      </c>
      <c r="FW3" s="2026">
        <v>175</v>
      </c>
      <c r="FX3" s="2026">
        <v>176</v>
      </c>
      <c r="FY3" s="2026">
        <v>177</v>
      </c>
      <c r="FZ3" s="2026">
        <v>178</v>
      </c>
      <c r="GA3" s="2026">
        <v>179</v>
      </c>
      <c r="GB3" s="2026">
        <v>180</v>
      </c>
      <c r="GC3" s="2026">
        <v>181</v>
      </c>
      <c r="GD3" s="2026">
        <v>182</v>
      </c>
      <c r="GE3" s="2026">
        <v>183</v>
      </c>
      <c r="GF3" s="2026">
        <v>184</v>
      </c>
      <c r="GG3" s="2026">
        <v>185</v>
      </c>
      <c r="GH3" s="2026">
        <v>186</v>
      </c>
      <c r="GI3" s="2026">
        <v>187</v>
      </c>
      <c r="GJ3" s="2026">
        <v>188</v>
      </c>
      <c r="GK3" s="2026">
        <v>189</v>
      </c>
      <c r="GL3" s="2026">
        <v>190</v>
      </c>
      <c r="GM3" s="2026">
        <v>191</v>
      </c>
      <c r="GN3" s="2026">
        <v>192</v>
      </c>
      <c r="GO3" s="2026">
        <v>193</v>
      </c>
      <c r="GP3" s="2026">
        <v>194</v>
      </c>
      <c r="GQ3" s="2026">
        <v>195</v>
      </c>
      <c r="GR3" s="2026">
        <v>196</v>
      </c>
      <c r="GS3" s="2026">
        <v>197</v>
      </c>
      <c r="GT3" s="2026">
        <v>198</v>
      </c>
      <c r="GU3" s="2026">
        <v>199</v>
      </c>
      <c r="GV3" s="2026">
        <v>200</v>
      </c>
      <c r="GW3" s="2026">
        <v>201</v>
      </c>
      <c r="GX3" s="2026">
        <v>202</v>
      </c>
      <c r="GY3" s="2026">
        <v>203</v>
      </c>
      <c r="GZ3" s="2026">
        <v>204</v>
      </c>
      <c r="HA3" s="2026">
        <v>205</v>
      </c>
      <c r="HB3" s="2026">
        <v>206</v>
      </c>
      <c r="HC3" s="2026">
        <v>207</v>
      </c>
      <c r="HD3" s="2026">
        <v>208</v>
      </c>
      <c r="HE3" s="2026">
        <v>209</v>
      </c>
      <c r="HF3" s="2026">
        <v>210</v>
      </c>
      <c r="HG3" s="2026">
        <v>211</v>
      </c>
      <c r="HH3" s="2026">
        <v>212</v>
      </c>
      <c r="HI3" s="2026">
        <v>213</v>
      </c>
      <c r="HJ3" s="2026">
        <v>214</v>
      </c>
      <c r="HK3" s="2026">
        <v>215</v>
      </c>
      <c r="HL3" s="2026">
        <v>216</v>
      </c>
      <c r="HM3" s="2026">
        <v>217</v>
      </c>
      <c r="HN3" s="2026">
        <v>218</v>
      </c>
      <c r="HO3" s="2026">
        <v>219</v>
      </c>
      <c r="HP3" s="2026">
        <v>220</v>
      </c>
      <c r="HQ3" s="2026">
        <v>221</v>
      </c>
      <c r="HR3" s="2026">
        <v>222</v>
      </c>
      <c r="HS3" s="2026">
        <v>223</v>
      </c>
      <c r="HT3" s="2026">
        <v>224</v>
      </c>
      <c r="HU3" s="2026">
        <v>225</v>
      </c>
      <c r="HV3" s="2026">
        <v>226</v>
      </c>
      <c r="HW3" s="2026">
        <v>227</v>
      </c>
      <c r="HX3" s="2026">
        <v>228</v>
      </c>
      <c r="HY3" s="2026">
        <v>229</v>
      </c>
      <c r="HZ3" s="2026">
        <v>230</v>
      </c>
      <c r="IA3" s="2026">
        <v>231</v>
      </c>
      <c r="IB3" s="2026">
        <v>232</v>
      </c>
      <c r="IC3" s="2026">
        <v>233</v>
      </c>
      <c r="ID3" s="2026">
        <v>234</v>
      </c>
      <c r="IE3" s="2026">
        <v>235</v>
      </c>
      <c r="IF3" s="2026">
        <v>236</v>
      </c>
      <c r="IG3" s="2026">
        <v>237</v>
      </c>
      <c r="IH3" s="2026">
        <v>238</v>
      </c>
      <c r="II3" s="2026">
        <v>239</v>
      </c>
      <c r="IJ3" s="2026">
        <v>240</v>
      </c>
      <c r="IK3" s="2026">
        <v>241</v>
      </c>
      <c r="IL3" s="2026">
        <v>242</v>
      </c>
      <c r="IM3" s="2026">
        <v>243</v>
      </c>
      <c r="IN3" s="2026">
        <v>244</v>
      </c>
      <c r="IO3" s="2026">
        <v>245</v>
      </c>
      <c r="IP3" s="1134">
        <v>246</v>
      </c>
      <c r="IQ3" s="1134">
        <v>247</v>
      </c>
      <c r="IR3" s="1134">
        <v>248</v>
      </c>
      <c r="IS3" s="1134">
        <v>249</v>
      </c>
      <c r="IT3" s="1134">
        <v>250</v>
      </c>
      <c r="IU3" s="1134">
        <v>251</v>
      </c>
      <c r="IV3" s="1134">
        <v>252</v>
      </c>
      <c r="IW3" s="1134">
        <v>253</v>
      </c>
      <c r="IX3" s="1134">
        <v>254</v>
      </c>
      <c r="IY3" s="1134">
        <v>255</v>
      </c>
      <c r="IZ3" s="1134">
        <v>256</v>
      </c>
      <c r="JA3" s="1134">
        <v>257</v>
      </c>
      <c r="JB3" s="1134">
        <v>258</v>
      </c>
      <c r="JC3" s="1134">
        <v>259</v>
      </c>
      <c r="JD3" s="1134">
        <v>260</v>
      </c>
      <c r="JE3" s="1134">
        <v>261</v>
      </c>
      <c r="JF3" s="1134">
        <v>262</v>
      </c>
      <c r="JG3" s="2485">
        <v>263</v>
      </c>
      <c r="JH3" s="1233"/>
      <c r="JI3" s="1232" t="s">
        <v>5040</v>
      </c>
    </row>
    <row r="4" spans="1:269" x14ac:dyDescent="0.2">
      <c r="A4" s="1128">
        <v>2</v>
      </c>
      <c r="B4" s="1265" t="str">
        <f>IF(AOI_A_IND&gt;1,IF(HLOOKUP(AOI_A_IND-1,AOI_A_RANGE,A4)="","",HLOOKUP(AOI_A_IND-1,AOI_A_RANGE,A4)),"")</f>
        <v/>
      </c>
      <c r="C4" s="1136" t="s">
        <v>1030</v>
      </c>
      <c r="D4" s="1262" t="s">
        <v>4871</v>
      </c>
      <c r="E4" s="2408">
        <f ref="E4:O4" si="0" t="shared">E6-E5</f>
        <v>0</v>
      </c>
      <c r="F4" s="2408">
        <f si="0" t="shared"/>
        <v>0</v>
      </c>
      <c r="G4" s="2408">
        <f si="0" t="shared"/>
        <v>0</v>
      </c>
      <c r="H4" s="2409">
        <f si="0" t="shared"/>
        <v>0</v>
      </c>
      <c r="I4" s="2409">
        <f si="0" t="shared"/>
        <v>0</v>
      </c>
      <c r="J4" s="2409">
        <f si="0" t="shared"/>
        <v>0</v>
      </c>
      <c r="K4" s="2410">
        <f si="0" t="shared"/>
        <v>0</v>
      </c>
      <c r="L4" s="2410">
        <f si="0" t="shared"/>
        <v>0</v>
      </c>
      <c r="M4" s="2410">
        <f si="0" t="shared"/>
        <v>0</v>
      </c>
      <c r="N4" s="2410">
        <f si="0" t="shared"/>
        <v>0</v>
      </c>
      <c r="O4" s="2410">
        <f si="0" t="shared"/>
        <v>0</v>
      </c>
      <c r="P4" s="2411"/>
      <c r="Q4" s="2411"/>
      <c r="R4" s="2411"/>
      <c r="S4" s="2411"/>
      <c r="T4" s="2411"/>
      <c r="U4" s="2411"/>
      <c r="V4" s="2411"/>
      <c r="W4" s="2411"/>
      <c r="X4" s="2411"/>
      <c r="Y4" s="2411"/>
      <c r="Z4" s="2411"/>
      <c r="AA4" s="2411"/>
      <c r="AB4" s="2411"/>
      <c r="AC4" s="2411"/>
      <c r="AD4" s="2411"/>
      <c r="AE4" s="2411"/>
      <c r="AF4" s="2411"/>
      <c r="AG4" s="2411"/>
      <c r="AH4" s="2411"/>
      <c r="AI4" s="2411"/>
      <c r="AJ4" s="2411"/>
      <c r="AK4" s="2411"/>
      <c r="AL4" s="2411"/>
      <c r="AM4" s="2411"/>
      <c r="AN4" s="2411"/>
      <c r="AO4" s="2411"/>
      <c r="AP4" s="2411"/>
      <c r="AQ4" s="2411"/>
      <c r="AR4" s="2411"/>
      <c r="AS4" s="2411"/>
      <c r="AT4" s="2411"/>
      <c r="AU4" s="2411"/>
      <c r="AV4" s="2411"/>
      <c r="AW4" s="2411"/>
      <c r="AX4" s="2411"/>
      <c r="AY4" s="2411"/>
      <c r="AZ4" s="2411"/>
      <c r="BA4" s="2411"/>
      <c r="BB4" s="2411"/>
      <c r="BC4" s="2411"/>
      <c r="BD4" s="2411">
        <f>BD6-BD5</f>
        <v>4139.3087999999998</v>
      </c>
      <c r="BE4" s="2411"/>
      <c r="BF4" s="2411"/>
      <c r="BG4" s="2411"/>
      <c r="BH4" s="2411"/>
      <c r="BI4" s="2411"/>
      <c r="BJ4" s="2411"/>
      <c r="BK4" s="2411"/>
      <c r="BL4" s="2411"/>
      <c r="BM4" s="2411"/>
      <c r="BN4" s="2411"/>
      <c r="BO4" s="2411"/>
      <c r="BP4" s="2411"/>
      <c r="BQ4" s="2411"/>
      <c r="BR4" s="2411"/>
      <c r="BS4" s="2411"/>
      <c r="BT4" s="2411"/>
      <c r="BU4" s="2411">
        <f>BU6-BU5</f>
        <v>421.2</v>
      </c>
      <c r="BV4" s="2411"/>
      <c r="BW4" s="2411"/>
      <c r="BX4" s="2411"/>
      <c r="BY4" s="2411"/>
      <c r="BZ4" s="2411"/>
      <c r="CA4" s="2411"/>
      <c r="CB4" s="2411"/>
      <c r="CC4" s="2411"/>
      <c r="CD4" s="2411"/>
      <c r="CE4" s="2411"/>
      <c r="CF4" s="2411"/>
      <c r="CG4" s="2411"/>
      <c r="CH4" s="2411"/>
      <c r="CI4" s="2411">
        <f>CI6-CI5</f>
        <v>4139.3087999999998</v>
      </c>
      <c r="CJ4" s="2411"/>
      <c r="CK4" s="2411"/>
      <c r="CL4" s="2411"/>
      <c r="CM4" s="2411"/>
      <c r="CN4" s="2411"/>
      <c r="CO4" s="2411"/>
      <c r="CP4" s="2411"/>
      <c r="CQ4" s="2411"/>
      <c r="CR4" s="2411"/>
      <c r="CS4" s="2411"/>
      <c r="CT4" s="2411"/>
      <c r="CU4" s="2411">
        <f>CU6-CU5</f>
        <v>768</v>
      </c>
      <c r="CV4" s="2411">
        <f>CV6-CV5</f>
        <v>768</v>
      </c>
      <c r="CW4" s="2411">
        <f>CW6-CW5</f>
        <v>4139.3087999999998</v>
      </c>
      <c r="CX4" s="2411">
        <f>CX6-CX5</f>
        <v>421.2</v>
      </c>
      <c r="CY4" s="2411"/>
      <c r="CZ4" s="2411"/>
      <c r="DA4" s="2411"/>
      <c r="DB4" s="2411"/>
      <c r="DC4" s="2411"/>
      <c r="DD4" s="2411"/>
      <c r="DE4" s="2411"/>
      <c r="DF4" s="2411"/>
      <c r="DG4" s="2411"/>
      <c r="DH4" s="2411">
        <f>DH6-DH5</f>
        <v>4139.3087999999998</v>
      </c>
      <c r="DI4" s="2411"/>
      <c r="DJ4" s="2411"/>
      <c r="DK4" s="2411"/>
      <c r="DL4" s="2411"/>
      <c r="DM4" s="2411"/>
      <c r="DN4" s="2411"/>
      <c r="DO4" s="2411"/>
      <c r="DP4" s="2411"/>
      <c r="DQ4" s="2411"/>
      <c r="DR4" s="2411"/>
      <c r="DS4" s="2411"/>
      <c r="DT4" s="2411"/>
      <c r="DU4" s="2411"/>
      <c r="DV4" s="2411"/>
      <c r="DW4" s="2411"/>
      <c r="DX4" s="2411"/>
      <c r="DY4" s="2411"/>
      <c r="DZ4" s="2411"/>
      <c r="EA4" s="2411"/>
      <c r="EB4" s="2411"/>
      <c r="EC4" s="2411"/>
      <c r="ED4" s="2411"/>
      <c r="EE4" s="2411"/>
      <c r="EF4" s="2411"/>
      <c r="EG4" s="2411"/>
      <c r="EH4" s="2411"/>
      <c r="EI4" s="2411"/>
      <c r="EJ4" s="2411"/>
      <c r="EK4" s="2411"/>
      <c r="EL4" s="2411"/>
      <c r="EM4" s="2411"/>
      <c r="EN4" s="2411"/>
      <c r="EO4" s="2411"/>
      <c r="EP4" s="2411"/>
      <c r="EQ4" s="2411"/>
      <c r="ER4" s="2411"/>
      <c r="ES4" s="2411"/>
      <c r="ET4" s="2411"/>
      <c r="EU4" s="2411"/>
      <c r="EV4" s="2411"/>
      <c r="EW4" s="2411"/>
      <c r="EX4" s="2411"/>
      <c r="EY4" s="2411"/>
      <c r="EZ4" s="2411"/>
      <c r="FA4" s="2411"/>
      <c r="FB4" s="2411"/>
      <c r="FC4" s="2411"/>
      <c r="FD4" s="2411"/>
      <c r="FE4" s="2411"/>
      <c r="FF4" s="2411"/>
      <c r="FG4" s="2411"/>
      <c r="FH4" s="2411"/>
      <c r="FI4" s="2411"/>
      <c r="FJ4" s="2411"/>
      <c r="FK4" s="2411"/>
      <c r="FL4" s="2411"/>
      <c r="FM4" s="2411"/>
      <c r="FN4" s="2411"/>
      <c r="FO4" s="2411"/>
      <c r="FP4" s="2411"/>
      <c r="FQ4" s="2411"/>
      <c r="FR4" s="2411"/>
      <c r="FS4" s="2411"/>
      <c r="FT4" s="2411"/>
      <c r="FU4" s="2411"/>
      <c r="FV4" s="2411"/>
      <c r="FW4" s="2411"/>
      <c r="FX4" s="2411"/>
      <c r="FY4" s="2411"/>
      <c r="FZ4" s="2411"/>
      <c r="GA4" s="2411"/>
      <c r="GB4" s="2411"/>
      <c r="GC4" s="2411"/>
      <c r="GD4" s="2411"/>
      <c r="GE4" s="2411"/>
      <c r="GF4" s="2411"/>
      <c r="GG4" s="2411"/>
      <c r="GH4" s="2411"/>
      <c r="GI4" s="2411"/>
      <c r="GJ4" s="2411"/>
      <c r="GK4" s="2411"/>
      <c r="GL4" s="2411">
        <f>GL6-GL5</f>
        <v>4139.3087999999998</v>
      </c>
      <c r="GM4" s="2411">
        <f>GM6-GM5</f>
        <v>4139.3087999999998</v>
      </c>
      <c r="GN4" s="2411"/>
      <c r="GO4" s="2411"/>
      <c r="GP4" s="2411"/>
      <c r="GQ4" s="2411"/>
      <c r="GR4" s="2411"/>
      <c r="GS4" s="2411"/>
      <c r="GT4" s="2411">
        <f>GT6-GT5</f>
        <v>768</v>
      </c>
      <c r="GU4" s="2411"/>
      <c r="GV4" s="2411"/>
      <c r="GW4" s="2411"/>
      <c r="GX4" s="2411"/>
      <c r="GY4" s="2411"/>
      <c r="GZ4" s="2411"/>
      <c r="HA4" s="2411"/>
      <c r="HB4" s="2411"/>
      <c r="HC4" s="2411"/>
      <c r="HD4" s="2411"/>
      <c r="HE4" s="2411"/>
      <c r="HF4" s="2411"/>
      <c r="HG4" s="2411"/>
      <c r="HH4" s="2411"/>
      <c r="HI4" s="2411"/>
      <c r="HJ4" s="2411"/>
      <c r="HK4" s="2411"/>
      <c r="HL4" s="2411"/>
      <c r="HM4" s="2411"/>
      <c r="HN4" s="2411">
        <v>0</v>
      </c>
      <c r="HO4" s="2411"/>
      <c r="HP4" s="2411"/>
      <c r="HQ4" s="2411"/>
      <c r="HR4" s="2411"/>
      <c r="HS4" s="2411"/>
      <c r="HT4" s="2411"/>
      <c r="HU4" s="2411"/>
      <c r="HV4" s="2411"/>
      <c r="HW4" s="2411"/>
      <c r="HX4" s="2411"/>
      <c r="HY4" s="2411"/>
      <c r="HZ4" s="2411"/>
      <c r="IA4" s="2411"/>
      <c r="IB4" s="2411"/>
      <c r="IC4" s="2411"/>
      <c r="ID4" s="2411"/>
      <c r="IE4" s="2411"/>
      <c r="IF4" s="2411">
        <v>0</v>
      </c>
      <c r="IG4" s="2411"/>
      <c r="IH4" s="2411">
        <v>0</v>
      </c>
      <c r="II4" s="2411"/>
      <c r="IJ4" s="2411"/>
      <c r="IK4" s="2411"/>
      <c r="IL4" s="2411"/>
      <c r="IM4" s="2411"/>
      <c r="IN4" s="2411"/>
      <c r="IO4" s="2411"/>
      <c r="IP4" s="2411"/>
      <c r="IQ4" s="2411"/>
      <c r="IR4" s="2411"/>
      <c r="IS4" s="2411"/>
      <c r="IT4" s="2411"/>
      <c r="IU4" s="2411"/>
      <c r="IV4" s="2411"/>
      <c r="IW4" s="2411"/>
      <c r="IX4" s="2411"/>
      <c r="IY4" s="2411"/>
      <c r="IZ4" s="2411"/>
      <c r="JA4" s="2411"/>
      <c r="JB4" s="2411"/>
      <c r="JC4" s="2411"/>
      <c r="JD4" s="2411"/>
      <c r="JE4" s="2411"/>
      <c r="JF4" s="2411"/>
      <c r="JG4" s="3761"/>
      <c r="JH4" s="1233"/>
      <c r="JI4" s="1393"/>
    </row>
    <row r="5" spans="1:269" x14ac:dyDescent="0.2">
      <c r="A5" s="1128">
        <v>3</v>
      </c>
      <c r="B5" s="1265" t="str">
        <f>IF(AOI_A_IND&gt;1,IF(HLOOKUP(AOI_A_IND-1,AOI_A_RANGE,A5)="","",HLOOKUP(AOI_A_IND-1,AOI_A_RANGE,A5)),"")</f>
        <v/>
      </c>
      <c r="C5" s="1530" t="s">
        <v>1031</v>
      </c>
      <c r="D5" s="1262" t="s">
        <v>1506</v>
      </c>
      <c r="E5" s="2412">
        <f ref="E5:O6" si="1" t="shared">E6*BR_rate</f>
        <v>0</v>
      </c>
      <c r="F5" s="2412">
        <f si="1" t="shared"/>
        <v>0</v>
      </c>
      <c r="G5" s="2412">
        <f si="1" t="shared"/>
        <v>0</v>
      </c>
      <c r="H5" s="2413">
        <f si="1" t="shared"/>
        <v>0</v>
      </c>
      <c r="I5" s="2413">
        <f si="1" t="shared"/>
        <v>0</v>
      </c>
      <c r="J5" s="2413">
        <f si="1" t="shared"/>
        <v>0</v>
      </c>
      <c r="K5" s="2414">
        <f si="1" t="shared"/>
        <v>0</v>
      </c>
      <c r="L5" s="2414">
        <f si="1" t="shared"/>
        <v>0</v>
      </c>
      <c r="M5" s="2414">
        <f si="1" t="shared"/>
        <v>0</v>
      </c>
      <c r="N5" s="2414">
        <f si="1" t="shared"/>
        <v>0</v>
      </c>
      <c r="O5" s="2414">
        <f si="1" t="shared"/>
        <v>0</v>
      </c>
      <c r="P5" s="2415"/>
      <c r="Q5" s="2415"/>
      <c r="R5" s="2415"/>
      <c r="S5" s="2415"/>
      <c r="T5" s="2415"/>
      <c r="U5" s="2415"/>
      <c r="V5" s="2415"/>
      <c r="W5" s="2415"/>
      <c r="X5" s="2415"/>
      <c r="Y5" s="2415"/>
      <c r="Z5" s="2415"/>
      <c r="AA5" s="2415"/>
      <c r="AB5" s="2415"/>
      <c r="AC5" s="2415"/>
      <c r="AD5" s="2415"/>
      <c r="AE5" s="2415"/>
      <c r="AF5" s="2415"/>
      <c r="AG5" s="2415"/>
      <c r="AH5" s="2415"/>
      <c r="AI5" s="2415"/>
      <c r="AJ5" s="2415"/>
      <c r="AK5" s="2415"/>
      <c r="AL5" s="2415"/>
      <c r="AM5" s="2415"/>
      <c r="AN5" s="2415"/>
      <c r="AO5" s="2415"/>
      <c r="AP5" s="2415"/>
      <c r="AQ5" s="2415"/>
      <c r="AR5" s="2415"/>
      <c r="AS5" s="2415"/>
      <c r="AT5" s="2415"/>
      <c r="AU5" s="2415"/>
      <c r="AV5" s="2415"/>
      <c r="AW5" s="2415"/>
      <c r="AX5" s="2415"/>
      <c r="AY5" s="2415"/>
      <c r="AZ5" s="2415"/>
      <c r="BA5" s="2415"/>
      <c r="BB5" s="2415"/>
      <c r="BC5" s="2415"/>
      <c r="BD5" s="2415">
        <f>BD6*BR_rate</f>
        <v>1034.8271999999999</v>
      </c>
      <c r="BE5" s="2415"/>
      <c r="BF5" s="2415"/>
      <c r="BG5" s="2415"/>
      <c r="BH5" s="2415"/>
      <c r="BI5" s="2415"/>
      <c r="BJ5" s="2415"/>
      <c r="BK5" s="2415"/>
      <c r="BL5" s="2415"/>
      <c r="BM5" s="2415"/>
      <c r="BN5" s="2415"/>
      <c r="BO5" s="2415"/>
      <c r="BP5" s="2415"/>
      <c r="BQ5" s="2415"/>
      <c r="BR5" s="2415"/>
      <c r="BS5" s="2415"/>
      <c r="BT5" s="2415"/>
      <c r="BU5" s="2415">
        <f>BU6*BR_rate</f>
        <v>105.30000000000001</v>
      </c>
      <c r="BV5" s="2415"/>
      <c r="BW5" s="2415"/>
      <c r="BX5" s="2415"/>
      <c r="BY5" s="2415"/>
      <c r="BZ5" s="2415"/>
      <c r="CA5" s="2415"/>
      <c r="CB5" s="2415"/>
      <c r="CC5" s="2415"/>
      <c r="CD5" s="2415"/>
      <c r="CE5" s="2415"/>
      <c r="CF5" s="2415"/>
      <c r="CG5" s="2415"/>
      <c r="CH5" s="2415"/>
      <c r="CI5" s="2415">
        <f>CI6*BR_rate</f>
        <v>1034.8271999999999</v>
      </c>
      <c r="CJ5" s="2415"/>
      <c r="CK5" s="2415"/>
      <c r="CL5" s="2415"/>
      <c r="CM5" s="2415"/>
      <c r="CN5" s="2415"/>
      <c r="CO5" s="2415"/>
      <c r="CP5" s="2415"/>
      <c r="CQ5" s="2415"/>
      <c r="CR5" s="2415"/>
      <c r="CS5" s="2415"/>
      <c r="CT5" s="2415"/>
      <c r="CU5" s="2415">
        <f>CU6*BR_rate</f>
        <v>192</v>
      </c>
      <c r="CV5" s="2415">
        <f>CV6*BR_rate</f>
        <v>192</v>
      </c>
      <c r="CW5" s="2415">
        <f>CW6*BR_rate</f>
        <v>1034.8271999999999</v>
      </c>
      <c r="CX5" s="2415">
        <f>CX6*BR_rate</f>
        <v>105.30000000000001</v>
      </c>
      <c r="CY5" s="2415"/>
      <c r="CZ5" s="2415"/>
      <c r="DA5" s="2415"/>
      <c r="DB5" s="2415"/>
      <c r="DC5" s="2415"/>
      <c r="DD5" s="2415"/>
      <c r="DE5" s="2415"/>
      <c r="DF5" s="2415"/>
      <c r="DG5" s="2415"/>
      <c r="DH5" s="2415">
        <f>DH6*BR_rate</f>
        <v>1034.8271999999999</v>
      </c>
      <c r="DI5" s="2415"/>
      <c r="DJ5" s="2415"/>
      <c r="DK5" s="2415"/>
      <c r="DL5" s="2415"/>
      <c r="DM5" s="2415"/>
      <c r="DN5" s="2415"/>
      <c r="DO5" s="2415"/>
      <c r="DP5" s="2415"/>
      <c r="DQ5" s="2415"/>
      <c r="DR5" s="2415"/>
      <c r="DS5" s="2415"/>
      <c r="DT5" s="2415"/>
      <c r="DU5" s="2415"/>
      <c r="DV5" s="2415"/>
      <c r="DW5" s="2415"/>
      <c r="DX5" s="2415"/>
      <c r="DY5" s="2415"/>
      <c r="DZ5" s="2415"/>
      <c r="EA5" s="2415"/>
      <c r="EB5" s="2415"/>
      <c r="EC5" s="2415"/>
      <c r="ED5" s="2415"/>
      <c r="EE5" s="2415"/>
      <c r="EF5" s="2415"/>
      <c r="EG5" s="2415"/>
      <c r="EH5" s="2415"/>
      <c r="EI5" s="2415"/>
      <c r="EJ5" s="2415"/>
      <c r="EK5" s="2415"/>
      <c r="EL5" s="2415"/>
      <c r="EM5" s="2415"/>
      <c r="EN5" s="2415"/>
      <c r="EO5" s="2415"/>
      <c r="EP5" s="2415"/>
      <c r="EQ5" s="2415"/>
      <c r="ER5" s="2415"/>
      <c r="ES5" s="2415"/>
      <c r="ET5" s="2415"/>
      <c r="EU5" s="2415"/>
      <c r="EV5" s="2415"/>
      <c r="EW5" s="2415"/>
      <c r="EX5" s="2415"/>
      <c r="EY5" s="2415"/>
      <c r="EZ5" s="2415"/>
      <c r="FA5" s="2415"/>
      <c r="FB5" s="2415"/>
      <c r="FC5" s="2415"/>
      <c r="FD5" s="2415"/>
      <c r="FE5" s="2415"/>
      <c r="FF5" s="2415"/>
      <c r="FG5" s="2415"/>
      <c r="FH5" s="2415"/>
      <c r="FI5" s="2415"/>
      <c r="FJ5" s="2415"/>
      <c r="FK5" s="2415"/>
      <c r="FL5" s="2415"/>
      <c r="FM5" s="2415"/>
      <c r="FN5" s="2415"/>
      <c r="FO5" s="2415"/>
      <c r="FP5" s="2415"/>
      <c r="FQ5" s="2415"/>
      <c r="FR5" s="2415"/>
      <c r="FS5" s="2415"/>
      <c r="FT5" s="2415"/>
      <c r="FU5" s="2415"/>
      <c r="FV5" s="2415"/>
      <c r="FW5" s="2415"/>
      <c r="FX5" s="2415"/>
      <c r="FY5" s="2415"/>
      <c r="FZ5" s="2415"/>
      <c r="GA5" s="2415"/>
      <c r="GB5" s="2415"/>
      <c r="GC5" s="2415"/>
      <c r="GD5" s="2415"/>
      <c r="GE5" s="2415"/>
      <c r="GF5" s="2415"/>
      <c r="GG5" s="2415"/>
      <c r="GH5" s="2415"/>
      <c r="GI5" s="2415"/>
      <c r="GJ5" s="2415"/>
      <c r="GK5" s="2415"/>
      <c r="GL5" s="2415">
        <f>GL6*BR_rate</f>
        <v>1034.8271999999999</v>
      </c>
      <c r="GM5" s="2415">
        <f>GM6*BR_rate</f>
        <v>1034.8271999999999</v>
      </c>
      <c r="GN5" s="2415"/>
      <c r="GO5" s="2415"/>
      <c r="GP5" s="2415"/>
      <c r="GQ5" s="2415"/>
      <c r="GR5" s="2415"/>
      <c r="GS5" s="2415"/>
      <c r="GT5" s="2415">
        <f>GT6*BR_rate</f>
        <v>192</v>
      </c>
      <c r="GU5" s="2415"/>
      <c r="GV5" s="2415"/>
      <c r="GW5" s="2415"/>
      <c r="GX5" s="2415"/>
      <c r="GY5" s="2415"/>
      <c r="GZ5" s="2415"/>
      <c r="HA5" s="2415"/>
      <c r="HB5" s="2415"/>
      <c r="HC5" s="2415"/>
      <c r="HD5" s="2415"/>
      <c r="HE5" s="2415"/>
      <c r="HF5" s="2415"/>
      <c r="HG5" s="2415"/>
      <c r="HH5" s="2415"/>
      <c r="HI5" s="2415"/>
      <c r="HJ5" s="2415"/>
      <c r="HK5" s="2415"/>
      <c r="HL5" s="2415"/>
      <c r="HM5" s="2415"/>
      <c r="HN5" s="2415">
        <v>0</v>
      </c>
      <c r="HO5" s="2415"/>
      <c r="HP5" s="2415"/>
      <c r="HQ5" s="2415"/>
      <c r="HR5" s="2415"/>
      <c r="HS5" s="2415"/>
      <c r="HT5" s="2415"/>
      <c r="HU5" s="2415"/>
      <c r="HV5" s="2415"/>
      <c r="HW5" s="2415"/>
      <c r="HX5" s="2415"/>
      <c r="HY5" s="2415"/>
      <c r="HZ5" s="2415"/>
      <c r="IA5" s="2415"/>
      <c r="IB5" s="2415"/>
      <c r="IC5" s="2415"/>
      <c r="ID5" s="2415"/>
      <c r="IE5" s="2415"/>
      <c r="IF5" s="2415">
        <v>0</v>
      </c>
      <c r="IG5" s="2415"/>
      <c r="IH5" s="2415">
        <v>0</v>
      </c>
      <c r="II5" s="2415"/>
      <c r="IJ5" s="2415"/>
      <c r="IK5" s="2415"/>
      <c r="IL5" s="2415"/>
      <c r="IM5" s="2415"/>
      <c r="IN5" s="2415"/>
      <c r="IO5" s="2415"/>
      <c r="IP5" s="2415"/>
      <c r="IQ5" s="2415"/>
      <c r="IR5" s="2415"/>
      <c r="IS5" s="2415"/>
      <c r="IT5" s="2415"/>
      <c r="IU5" s="2415"/>
      <c r="IV5" s="2415"/>
      <c r="IW5" s="2415"/>
      <c r="IX5" s="2415"/>
      <c r="IY5" s="2415"/>
      <c r="IZ5" s="2415"/>
      <c r="JA5" s="2415"/>
      <c r="JB5" s="2415"/>
      <c r="JC5" s="2415"/>
      <c r="JD5" s="2415"/>
      <c r="JE5" s="2415"/>
      <c r="JF5" s="2415"/>
      <c r="JG5" s="3762"/>
      <c r="JH5" s="1233"/>
      <c r="JI5" s="1393"/>
    </row>
    <row ht="12.75" r="6" spans="1:269" thickBot="1" x14ac:dyDescent="0.25">
      <c r="A6" s="1128">
        <v>4</v>
      </c>
      <c r="B6" s="1265" t="str">
        <f>IF(AOI_A_IND&gt;1,IF(HLOOKUP(AOI_A_IND-1,AOI_A_RANGE,A6)="","",HLOOKUP(AOI_A_IND-1,AOI_A_RANGE,A6)),"")</f>
        <v/>
      </c>
      <c r="C6" s="1531" t="s">
        <v>3923</v>
      </c>
      <c r="D6" s="1253" t="s">
        <v>4872</v>
      </c>
      <c r="E6" s="2416">
        <f si="1" t="shared"/>
        <v>0</v>
      </c>
      <c r="F6" s="2416">
        <f si="1" t="shared"/>
        <v>0</v>
      </c>
      <c r="G6" s="2416">
        <f si="1" t="shared"/>
        <v>0</v>
      </c>
      <c r="H6" s="2416">
        <f si="1" t="shared"/>
        <v>0</v>
      </c>
      <c r="I6" s="2070">
        <f si="1" t="shared"/>
        <v>0</v>
      </c>
      <c r="J6" s="2070">
        <f si="1" t="shared"/>
        <v>0</v>
      </c>
      <c r="K6" s="2070">
        <f si="1" t="shared"/>
        <v>0</v>
      </c>
      <c r="L6" s="2070">
        <f si="1" t="shared"/>
        <v>0</v>
      </c>
      <c r="M6" s="2070">
        <f si="1" t="shared"/>
        <v>0</v>
      </c>
      <c r="N6" s="2070">
        <f si="1" t="shared"/>
        <v>0</v>
      </c>
      <c r="O6" s="2070">
        <f si="1" t="shared"/>
        <v>0</v>
      </c>
      <c r="P6" s="2417"/>
      <c r="Q6" s="2417"/>
      <c r="R6" s="2417"/>
      <c r="S6" s="2417"/>
      <c r="T6" s="2417"/>
      <c r="U6" s="2417"/>
      <c r="V6" s="2417"/>
      <c r="W6" s="2417"/>
      <c r="X6" s="2417"/>
      <c r="Y6" s="2417"/>
      <c r="Z6" s="2417"/>
      <c r="AA6" s="2417"/>
      <c r="AB6" s="2417"/>
      <c r="AC6" s="2417"/>
      <c r="AD6" s="2417"/>
      <c r="AE6" s="2417"/>
      <c r="AF6" s="2417"/>
      <c r="AG6" s="2417"/>
      <c r="AH6" s="2417"/>
      <c r="AI6" s="2417"/>
      <c r="AJ6" s="2417"/>
      <c r="AK6" s="2417"/>
      <c r="AL6" s="2417"/>
      <c r="AM6" s="2417"/>
      <c r="AN6" s="2417"/>
      <c r="AO6" s="2417"/>
      <c r="AP6" s="2417"/>
      <c r="AQ6" s="2417"/>
      <c r="AR6" s="2417"/>
      <c r="AS6" s="2417"/>
      <c r="AT6" s="2417"/>
      <c r="AU6" s="2417"/>
      <c r="AV6" s="2417"/>
      <c r="AW6" s="2417"/>
      <c r="AX6" s="2417"/>
      <c r="AY6" s="2417"/>
      <c r="AZ6" s="2417"/>
      <c r="BA6" s="2417"/>
      <c r="BB6" s="2417"/>
      <c r="BC6" s="2417"/>
      <c r="BD6" s="2417">
        <v>5174.1359999999995</v>
      </c>
      <c r="BE6" s="2417"/>
      <c r="BF6" s="2417"/>
      <c r="BG6" s="2417"/>
      <c r="BH6" s="2417"/>
      <c r="BI6" s="2417"/>
      <c r="BJ6" s="2417"/>
      <c r="BK6" s="2417"/>
      <c r="BL6" s="2417"/>
      <c r="BM6" s="2417"/>
      <c r="BN6" s="2417"/>
      <c r="BO6" s="2417"/>
      <c r="BP6" s="2417"/>
      <c r="BQ6" s="2417"/>
      <c r="BR6" s="2417"/>
      <c r="BS6" s="2417"/>
      <c r="BT6" s="2417"/>
      <c r="BU6" s="2417">
        <v>526.5</v>
      </c>
      <c r="BV6" s="2417"/>
      <c r="BW6" s="2417"/>
      <c r="BX6" s="2417"/>
      <c r="BY6" s="2417"/>
      <c r="BZ6" s="2417"/>
      <c r="CA6" s="2417"/>
      <c r="CB6" s="2417"/>
      <c r="CC6" s="2417"/>
      <c r="CD6" s="2417"/>
      <c r="CE6" s="2417"/>
      <c r="CF6" s="2417"/>
      <c r="CG6" s="2417"/>
      <c r="CH6" s="2417"/>
      <c r="CI6" s="2417">
        <v>5174.1359999999995</v>
      </c>
      <c r="CJ6" s="2417"/>
      <c r="CK6" s="2417"/>
      <c r="CL6" s="2417"/>
      <c r="CM6" s="2417"/>
      <c r="CN6" s="2417"/>
      <c r="CO6" s="2417"/>
      <c r="CP6" s="2417"/>
      <c r="CQ6" s="2417"/>
      <c r="CR6" s="2417"/>
      <c r="CS6" s="2417"/>
      <c r="CT6" s="2417"/>
      <c r="CU6" s="2417">
        <v>960</v>
      </c>
      <c r="CV6" s="2417">
        <v>960</v>
      </c>
      <c r="CW6" s="2417">
        <v>5174.1359999999995</v>
      </c>
      <c r="CX6" s="2417">
        <v>526.5</v>
      </c>
      <c r="CY6" s="2417"/>
      <c r="CZ6" s="2417"/>
      <c r="DA6" s="2417"/>
      <c r="DB6" s="2417"/>
      <c r="DC6" s="2417"/>
      <c r="DD6" s="2417"/>
      <c r="DE6" s="2417"/>
      <c r="DF6" s="2417"/>
      <c r="DG6" s="2417"/>
      <c r="DH6" s="2417">
        <v>5174.1359999999995</v>
      </c>
      <c r="DI6" s="2417"/>
      <c r="DJ6" s="2417"/>
      <c r="DK6" s="2417"/>
      <c r="DL6" s="2417"/>
      <c r="DM6" s="2417"/>
      <c r="DN6" s="2417"/>
      <c r="DO6" s="2417"/>
      <c r="DP6" s="2417"/>
      <c r="DQ6" s="2417"/>
      <c r="DR6" s="2417"/>
      <c r="DS6" s="2417"/>
      <c r="DT6" s="2417"/>
      <c r="DU6" s="2417"/>
      <c r="DV6" s="2417"/>
      <c r="DW6" s="2417"/>
      <c r="DX6" s="2417"/>
      <c r="DY6" s="2417"/>
      <c r="DZ6" s="2417"/>
      <c r="EA6" s="2417"/>
      <c r="EB6" s="2417"/>
      <c r="EC6" s="2417"/>
      <c r="ED6" s="2417"/>
      <c r="EE6" s="2417"/>
      <c r="EF6" s="2417"/>
      <c r="EG6" s="2417"/>
      <c r="EH6" s="2417"/>
      <c r="EI6" s="2417"/>
      <c r="EJ6" s="2417"/>
      <c r="EK6" s="2417"/>
      <c r="EL6" s="2417"/>
      <c r="EM6" s="2417"/>
      <c r="EN6" s="2417"/>
      <c r="EO6" s="2417"/>
      <c r="EP6" s="2417"/>
      <c r="EQ6" s="2417"/>
      <c r="ER6" s="2417"/>
      <c r="ES6" s="2417"/>
      <c r="ET6" s="2417"/>
      <c r="EU6" s="2417"/>
      <c r="EV6" s="2417"/>
      <c r="EW6" s="2417"/>
      <c r="EX6" s="2417"/>
      <c r="EY6" s="2417"/>
      <c r="EZ6" s="2417"/>
      <c r="FA6" s="2417"/>
      <c r="FB6" s="2417"/>
      <c r="FC6" s="2417"/>
      <c r="FD6" s="2417"/>
      <c r="FE6" s="2417"/>
      <c r="FF6" s="2417"/>
      <c r="FG6" s="2417"/>
      <c r="FH6" s="2417"/>
      <c r="FI6" s="2417"/>
      <c r="FJ6" s="2417"/>
      <c r="FK6" s="2417"/>
      <c r="FL6" s="2417"/>
      <c r="FM6" s="2417"/>
      <c r="FN6" s="2417"/>
      <c r="FO6" s="2417"/>
      <c r="FP6" s="2417"/>
      <c r="FQ6" s="2417"/>
      <c r="FR6" s="2417"/>
      <c r="FS6" s="2417"/>
      <c r="FT6" s="2417"/>
      <c r="FU6" s="2417"/>
      <c r="FV6" s="2417"/>
      <c r="FW6" s="2417"/>
      <c r="FX6" s="2417"/>
      <c r="FY6" s="2417"/>
      <c r="FZ6" s="2417"/>
      <c r="GA6" s="2417"/>
      <c r="GB6" s="2417"/>
      <c r="GC6" s="2417"/>
      <c r="GD6" s="2417"/>
      <c r="GE6" s="2417"/>
      <c r="GF6" s="2417"/>
      <c r="GG6" s="2417"/>
      <c r="GH6" s="2417"/>
      <c r="GI6" s="2417"/>
      <c r="GJ6" s="2417"/>
      <c r="GK6" s="2417"/>
      <c r="GL6" s="2417">
        <v>5174.1359999999995</v>
      </c>
      <c r="GM6" s="2417">
        <v>5174.1359999999995</v>
      </c>
      <c r="GN6" s="2417"/>
      <c r="GO6" s="2417"/>
      <c r="GP6" s="2417"/>
      <c r="GQ6" s="2417"/>
      <c r="GR6" s="2417"/>
      <c r="GS6" s="2417"/>
      <c r="GT6" s="2417">
        <v>960</v>
      </c>
      <c r="GU6" s="2417"/>
      <c r="GV6" s="2417"/>
      <c r="GW6" s="2417"/>
      <c r="GX6" s="2417"/>
      <c r="GY6" s="2417"/>
      <c r="GZ6" s="2417"/>
      <c r="HA6" s="2417"/>
      <c r="HB6" s="2417"/>
      <c r="HC6" s="2417"/>
      <c r="HD6" s="2417"/>
      <c r="HE6" s="2417"/>
      <c r="HF6" s="2417"/>
      <c r="HG6" s="2417"/>
      <c r="HH6" s="2417"/>
      <c r="HI6" s="2417"/>
      <c r="HJ6" s="2417"/>
      <c r="HK6" s="2417"/>
      <c r="HL6" s="2417"/>
      <c r="HM6" s="2417"/>
      <c r="HN6" s="2417">
        <v>85023</v>
      </c>
      <c r="HO6" s="2417"/>
      <c r="HP6" s="2417"/>
      <c r="HQ6" s="2417"/>
      <c r="HR6" s="2417"/>
      <c r="HS6" s="2417"/>
      <c r="HT6" s="2417"/>
      <c r="HU6" s="2417"/>
      <c r="HV6" s="2417"/>
      <c r="HW6" s="2417"/>
      <c r="HX6" s="2417"/>
      <c r="HY6" s="2417"/>
      <c r="HZ6" s="2417"/>
      <c r="IA6" s="2417"/>
      <c r="IB6" s="2417"/>
      <c r="IC6" s="2417"/>
      <c r="ID6" s="2417"/>
      <c r="IE6" s="2417"/>
      <c r="IF6" s="2417">
        <v>4608</v>
      </c>
      <c r="IG6" s="2417"/>
      <c r="IH6" s="2417">
        <v>1364</v>
      </c>
      <c r="II6" s="2417"/>
      <c r="IJ6" s="2417"/>
      <c r="IK6" s="2417"/>
      <c r="IL6" s="2417"/>
      <c r="IM6" s="2417"/>
      <c r="IN6" s="2417"/>
      <c r="IO6" s="2417"/>
      <c r="IP6" s="2417"/>
      <c r="IQ6" s="2417"/>
      <c r="IR6" s="2417"/>
      <c r="IS6" s="2417"/>
      <c r="IT6" s="2417"/>
      <c r="IU6" s="2417"/>
      <c r="IV6" s="2417"/>
      <c r="IW6" s="2417"/>
      <c r="IX6" s="2417"/>
      <c r="IY6" s="2417"/>
      <c r="IZ6" s="2417"/>
      <c r="JA6" s="2417"/>
      <c r="JB6" s="2417"/>
      <c r="JC6" s="2417"/>
      <c r="JD6" s="2417"/>
      <c r="JE6" s="2417"/>
      <c r="JF6" s="2417"/>
      <c r="JG6" s="3763"/>
      <c r="JH6" s="1233"/>
      <c r="JI6" s="1393"/>
    </row>
    <row r="7" spans="1:269" x14ac:dyDescent="0.2">
      <c r="C7" s="673"/>
      <c r="D7" s="673"/>
      <c r="E7" s="2418"/>
      <c r="F7" s="2418"/>
      <c r="G7" s="2418"/>
      <c r="H7" s="2418"/>
      <c r="I7" s="2418"/>
      <c r="J7" s="2418"/>
      <c r="K7" s="2418"/>
      <c r="L7" s="34"/>
      <c r="M7" s="34"/>
      <c r="N7" s="34"/>
      <c r="O7" s="34"/>
      <c r="P7" s="34"/>
      <c r="Q7" s="34"/>
      <c r="R7" s="34"/>
      <c r="S7" s="34"/>
      <c r="T7" s="34"/>
      <c r="U7" s="34"/>
      <c r="V7" s="34"/>
      <c r="W7" s="34"/>
      <c r="X7" s="34"/>
      <c r="Y7" s="34"/>
      <c r="Z7" s="34"/>
      <c r="AA7" s="34"/>
      <c r="AB7" s="34"/>
      <c r="AC7" s="34"/>
      <c r="AI7" s="34"/>
      <c r="AJ7" s="34"/>
      <c r="AK7" s="34"/>
      <c r="AL7" s="34"/>
      <c r="AM7" s="34"/>
      <c r="AN7" s="34"/>
      <c r="AO7" s="34"/>
      <c r="AP7" s="34"/>
      <c r="AQ7" s="34"/>
      <c r="AR7" s="34"/>
      <c r="AS7" s="34"/>
      <c r="AT7" s="34"/>
      <c r="AU7" s="34"/>
      <c r="AV7" s="34"/>
      <c r="AW7" s="34"/>
      <c r="AX7" s="34"/>
      <c r="AY7" s="34"/>
      <c r="AZ7" s="34"/>
      <c r="BA7" s="34"/>
      <c r="BB7" s="34"/>
      <c r="BC7" s="34"/>
      <c r="BD7" s="34"/>
      <c r="BE7" s="34"/>
      <c r="BF7" s="34"/>
      <c r="BG7" s="34"/>
      <c r="BH7" s="34"/>
      <c r="BI7" s="34"/>
      <c r="BJ7" s="34"/>
      <c r="BK7" s="34"/>
      <c r="BL7" s="34"/>
      <c r="BM7" s="34"/>
      <c r="BN7" s="34"/>
      <c r="BO7" s="34"/>
      <c r="BP7" s="34"/>
      <c r="BQ7" s="34"/>
      <c r="BR7" s="34"/>
      <c r="BS7" s="34"/>
      <c r="BT7" s="34"/>
      <c r="BU7" s="34"/>
      <c r="BV7" s="34"/>
      <c r="BW7" s="34"/>
      <c r="BX7" s="34"/>
      <c r="BY7" s="34"/>
      <c r="BZ7" s="34"/>
      <c r="CA7" s="34"/>
      <c r="CB7" s="34"/>
      <c r="CC7" s="34"/>
      <c r="CD7" s="34"/>
      <c r="CE7" s="34"/>
      <c r="CF7" s="34"/>
      <c r="CG7" s="34"/>
      <c r="CH7" s="34"/>
      <c r="CI7" s="34"/>
      <c r="CJ7" s="34"/>
      <c r="CK7" s="34"/>
      <c r="CL7" s="34"/>
      <c r="CM7" s="34"/>
      <c r="CN7" s="34"/>
      <c r="CO7" s="34"/>
      <c r="CP7" s="34"/>
      <c r="CQ7" s="34"/>
      <c r="CR7" s="34"/>
      <c r="CS7" s="34"/>
      <c r="CT7" s="34"/>
      <c r="CU7" s="34"/>
      <c r="CV7" s="34"/>
      <c r="CW7" s="34"/>
      <c r="CX7" s="34"/>
      <c r="CY7" s="34"/>
      <c r="CZ7" s="34"/>
      <c r="DA7" s="34"/>
      <c r="DB7" s="34"/>
      <c r="DC7" s="34"/>
      <c r="DD7" s="34"/>
      <c r="DE7" s="34"/>
      <c r="DF7" s="34"/>
      <c r="DG7" s="34"/>
      <c r="DH7" s="34"/>
      <c r="DI7" s="34"/>
      <c r="DJ7" s="34"/>
      <c r="DK7" s="34"/>
      <c r="DL7" s="34"/>
      <c r="DM7" s="34"/>
      <c r="DN7" s="34"/>
      <c r="DO7" s="34"/>
      <c r="DP7" s="34"/>
      <c r="DQ7" s="34"/>
      <c r="DR7" s="34"/>
      <c r="DS7" s="34"/>
      <c r="DT7" s="34"/>
      <c r="DU7" s="34"/>
      <c r="DV7" s="34"/>
      <c r="DW7" s="34"/>
      <c r="DX7" s="34"/>
      <c r="DY7" s="34"/>
      <c r="DZ7" s="34"/>
      <c r="EA7" s="34"/>
      <c r="EB7" s="34"/>
      <c r="EC7" s="34"/>
      <c r="ED7" s="34"/>
      <c r="EE7" s="34"/>
      <c r="EF7" s="34"/>
      <c r="EG7" s="34"/>
      <c r="EH7" s="34"/>
      <c r="EI7" s="34"/>
      <c r="EJ7" s="34"/>
      <c r="EK7" s="34"/>
      <c r="EL7" s="34"/>
      <c r="EM7" s="34"/>
      <c r="EN7" s="34"/>
      <c r="EO7" s="34"/>
      <c r="EP7" s="34"/>
      <c r="EQ7" s="34"/>
      <c r="ER7" s="34"/>
      <c r="ES7" s="34"/>
      <c r="ET7" s="34"/>
      <c r="EU7" s="34"/>
      <c r="EV7" s="34"/>
      <c r="EW7" s="34"/>
      <c r="EX7" s="34"/>
      <c r="EY7" s="34"/>
      <c r="EZ7" s="34"/>
      <c r="FA7" s="34"/>
      <c r="FB7" s="34"/>
      <c r="FC7" s="34"/>
      <c r="FD7" s="34"/>
      <c r="FE7" s="34"/>
      <c r="FF7" s="34"/>
      <c r="FG7" s="34"/>
      <c r="FH7" s="34"/>
      <c r="FI7" s="34"/>
      <c r="FJ7" s="34"/>
      <c r="FK7" s="34"/>
      <c r="FL7" s="34"/>
      <c r="FM7" s="34"/>
      <c r="FN7" s="34"/>
      <c r="FO7" s="34"/>
      <c r="FP7" s="34"/>
      <c r="FQ7" s="34"/>
      <c r="FR7" s="34"/>
      <c r="FS7" s="34"/>
      <c r="FT7" s="34"/>
      <c r="FU7" s="34"/>
      <c r="FV7" s="34"/>
      <c r="FW7" s="34"/>
      <c r="FX7" s="34"/>
      <c r="FY7" s="34"/>
      <c r="FZ7" s="34"/>
      <c r="GA7" s="34"/>
      <c r="GB7" s="34"/>
      <c r="GC7" s="34"/>
      <c r="GD7" s="34"/>
      <c r="GE7" s="34"/>
      <c r="GF7" s="34"/>
      <c r="GG7" s="34"/>
      <c r="GH7" s="34"/>
      <c r="GI7" s="34"/>
      <c r="GJ7" s="34"/>
      <c r="GK7" s="34"/>
      <c r="GL7" s="34"/>
      <c r="GM7" s="34"/>
      <c r="GN7" s="34"/>
      <c r="GO7" s="34"/>
      <c r="GP7" s="34"/>
      <c r="GQ7" s="34"/>
      <c r="GR7" s="34"/>
      <c r="GS7" s="34"/>
      <c r="GT7" s="34"/>
      <c r="GU7" s="34"/>
      <c r="GV7" s="34"/>
      <c r="GW7" s="34"/>
      <c r="GX7" s="34"/>
      <c r="GY7" s="34"/>
      <c r="GZ7" s="34"/>
      <c r="HA7" s="34"/>
      <c r="HB7" s="34"/>
      <c r="HC7" s="34"/>
      <c r="HD7" s="34"/>
      <c r="HE7" s="34"/>
      <c r="HF7" s="34"/>
      <c r="HG7" s="34"/>
      <c r="HH7" s="34"/>
      <c r="HI7" s="34"/>
      <c r="HJ7" s="34"/>
      <c r="HK7" s="34"/>
      <c r="HL7" s="34"/>
      <c r="HM7" s="34"/>
      <c r="HN7" s="34"/>
      <c r="HO7" s="34"/>
      <c r="HP7" s="34"/>
      <c r="HQ7" s="34"/>
      <c r="HR7" s="34"/>
      <c r="HS7" s="34"/>
      <c r="HT7" s="34"/>
      <c r="HU7" s="34"/>
      <c r="HV7" s="34"/>
      <c r="HW7" s="34"/>
      <c r="HX7" s="34"/>
      <c r="HY7" s="34"/>
      <c r="HZ7" s="34"/>
      <c r="IA7" s="34"/>
      <c r="IB7" s="34"/>
      <c r="IC7" s="34"/>
      <c r="ID7" s="34"/>
      <c r="IE7" s="34"/>
      <c r="IF7" s="34"/>
      <c r="IG7" s="34"/>
      <c r="IH7" s="34"/>
      <c r="II7" s="34"/>
      <c r="IJ7" s="34"/>
      <c r="IK7" s="34"/>
      <c r="IL7" s="34"/>
      <c r="IM7" s="34"/>
      <c r="IN7" s="34"/>
      <c r="IO7" s="34"/>
      <c r="IP7" s="34"/>
      <c r="IQ7" s="34"/>
      <c r="IR7" s="34"/>
      <c r="IS7" s="34"/>
      <c r="IT7" s="34"/>
      <c r="IU7" s="34"/>
      <c r="IV7" s="34"/>
      <c r="IW7" s="34"/>
      <c r="IX7" s="34"/>
      <c r="IY7" s="34"/>
      <c r="IZ7" s="34"/>
      <c r="JI7" s="6"/>
    </row>
    <row ht="12.75" r="8" spans="1:269" thickBot="1" x14ac:dyDescent="0.25">
      <c r="C8" s="673" t="s">
        <v>3924</v>
      </c>
      <c r="D8" s="673"/>
      <c r="E8" s="2418"/>
      <c r="F8" s="2418"/>
      <c r="G8" s="2418"/>
      <c r="H8" s="2418"/>
      <c r="I8" s="2418"/>
      <c r="J8" s="2418"/>
      <c r="K8" s="2418"/>
      <c r="L8" s="34"/>
      <c r="M8" s="34"/>
      <c r="N8" s="34"/>
      <c r="O8" s="34"/>
      <c r="P8" s="34"/>
      <c r="Q8" s="34"/>
      <c r="R8" s="34"/>
      <c r="S8" s="34"/>
      <c r="T8" s="34"/>
      <c r="U8" s="34"/>
      <c r="V8" s="34"/>
      <c r="W8" s="34"/>
      <c r="X8" s="34"/>
      <c r="Y8" s="34"/>
      <c r="Z8" s="34"/>
      <c r="AA8" s="34"/>
      <c r="AB8" s="34"/>
      <c r="AC8" s="34"/>
      <c r="AI8" s="34"/>
      <c r="AJ8" s="34"/>
      <c r="AK8" s="34"/>
      <c r="AL8" s="34"/>
      <c r="AM8" s="34"/>
      <c r="AN8" s="34"/>
      <c r="AO8" s="34"/>
      <c r="AP8" s="34"/>
      <c r="AQ8" s="34"/>
      <c r="AR8" s="34"/>
      <c r="AS8" s="34"/>
      <c r="AT8" s="34"/>
      <c r="AU8" s="34"/>
      <c r="AV8" s="34"/>
      <c r="AW8" s="34"/>
      <c r="AX8" s="34"/>
      <c r="AY8" s="34"/>
      <c r="AZ8" s="34"/>
      <c r="BA8" s="34"/>
      <c r="BB8" s="34"/>
      <c r="BC8" s="34"/>
      <c r="BD8" s="34"/>
      <c r="BE8" s="34"/>
      <c r="BF8" s="34"/>
      <c r="BG8" s="34"/>
      <c r="BH8" s="34"/>
      <c r="BI8" s="34"/>
      <c r="BJ8" s="34"/>
      <c r="BK8" s="34"/>
      <c r="BL8" s="34"/>
      <c r="BM8" s="34"/>
      <c r="BN8" s="34"/>
      <c r="BO8" s="34"/>
      <c r="BP8" s="34"/>
      <c r="BQ8" s="34"/>
      <c r="BR8" s="34"/>
      <c r="BS8" s="34"/>
      <c r="BT8" s="34"/>
      <c r="BU8" s="34"/>
      <c r="BV8" s="34"/>
      <c r="BW8" s="34"/>
      <c r="BX8" s="34"/>
      <c r="BY8" s="34"/>
      <c r="BZ8" s="34"/>
      <c r="CA8" s="34"/>
      <c r="CB8" s="34"/>
      <c r="CC8" s="34"/>
      <c r="CD8" s="34"/>
      <c r="CE8" s="34"/>
      <c r="CF8" s="34"/>
      <c r="CG8" s="34"/>
      <c r="CH8" s="34"/>
      <c r="CI8" s="34"/>
      <c r="CJ8" s="34"/>
      <c r="CK8" s="34"/>
      <c r="CL8" s="34"/>
      <c r="CM8" s="34"/>
      <c r="CN8" s="34"/>
      <c r="CO8" s="34"/>
      <c r="CP8" s="34"/>
      <c r="CQ8" s="34"/>
      <c r="CR8" s="34"/>
      <c r="CS8" s="34"/>
      <c r="CT8" s="34"/>
      <c r="CU8" s="34"/>
      <c r="CV8" s="34"/>
      <c r="CW8" s="34"/>
      <c r="CX8" s="34"/>
      <c r="CY8" s="34"/>
      <c r="CZ8" s="34"/>
      <c r="DA8" s="34"/>
      <c r="DB8" s="34"/>
      <c r="DC8" s="34"/>
      <c r="DD8" s="34"/>
      <c r="DE8" s="34"/>
      <c r="DF8" s="34"/>
      <c r="DG8" s="34"/>
      <c r="DH8" s="34"/>
      <c r="DI8" s="34"/>
      <c r="DJ8" s="34"/>
      <c r="DK8" s="34"/>
      <c r="DL8" s="34"/>
      <c r="DM8" s="34"/>
      <c r="DN8" s="34"/>
      <c r="DO8" s="34"/>
      <c r="DP8" s="34"/>
      <c r="DQ8" s="34"/>
      <c r="DR8" s="34"/>
      <c r="DS8" s="34"/>
      <c r="DT8" s="34"/>
      <c r="DU8" s="34"/>
      <c r="DV8" s="34"/>
      <c r="DW8" s="34"/>
      <c r="DX8" s="34"/>
      <c r="DY8" s="34"/>
      <c r="DZ8" s="34"/>
      <c r="EA8" s="34"/>
      <c r="EB8" s="34"/>
      <c r="EC8" s="34"/>
      <c r="ED8" s="34"/>
      <c r="EE8" s="34"/>
      <c r="EF8" s="34"/>
      <c r="EG8" s="34"/>
      <c r="EH8" s="34"/>
      <c r="EI8" s="34"/>
      <c r="EJ8" s="34"/>
      <c r="EK8" s="34"/>
      <c r="EL8" s="34"/>
      <c r="EM8" s="34"/>
      <c r="EN8" s="34"/>
      <c r="EO8" s="34"/>
      <c r="EP8" s="34"/>
      <c r="EQ8" s="34"/>
      <c r="ER8" s="34"/>
      <c r="ES8" s="34"/>
      <c r="ET8" s="34"/>
      <c r="EU8" s="34"/>
      <c r="EV8" s="34"/>
      <c r="EW8" s="34"/>
      <c r="EX8" s="34"/>
      <c r="EY8" s="34"/>
      <c r="EZ8" s="34"/>
      <c r="FA8" s="34"/>
      <c r="FB8" s="34"/>
      <c r="FC8" s="34"/>
      <c r="FD8" s="34"/>
      <c r="FE8" s="34"/>
      <c r="FF8" s="34"/>
      <c r="FG8" s="34"/>
      <c r="FH8" s="34"/>
      <c r="FI8" s="34"/>
      <c r="FJ8" s="34"/>
      <c r="FK8" s="34"/>
      <c r="FL8" s="34"/>
      <c r="FM8" s="34"/>
      <c r="FN8" s="34"/>
      <c r="FO8" s="34"/>
      <c r="FP8" s="34"/>
      <c r="FQ8" s="34"/>
      <c r="FR8" s="34"/>
      <c r="FS8" s="34"/>
      <c r="FT8" s="34"/>
      <c r="FU8" s="34"/>
      <c r="FV8" s="34"/>
      <c r="FW8" s="34"/>
      <c r="FX8" s="34"/>
      <c r="FY8" s="34"/>
      <c r="FZ8" s="34"/>
      <c r="GA8" s="34"/>
      <c r="GB8" s="34"/>
      <c r="GC8" s="34"/>
      <c r="GD8" s="34"/>
      <c r="GE8" s="34"/>
      <c r="GF8" s="34"/>
      <c r="GG8" s="34"/>
      <c r="GH8" s="34"/>
      <c r="GI8" s="34"/>
      <c r="GJ8" s="34"/>
      <c r="GK8" s="34"/>
      <c r="GL8" s="34"/>
      <c r="GM8" s="34"/>
      <c r="GN8" s="34"/>
      <c r="GO8" s="34"/>
      <c r="GP8" s="34"/>
      <c r="GQ8" s="34"/>
      <c r="GR8" s="34"/>
      <c r="GS8" s="34"/>
      <c r="GT8" s="34"/>
      <c r="GU8" s="34"/>
      <c r="GV8" s="34"/>
      <c r="GW8" s="34"/>
      <c r="GX8" s="34"/>
      <c r="GY8" s="34"/>
      <c r="GZ8" s="34"/>
      <c r="HA8" s="34"/>
      <c r="HB8" s="34"/>
      <c r="HC8" s="34"/>
      <c r="HD8" s="34"/>
      <c r="HE8" s="34"/>
      <c r="HF8" s="34"/>
      <c r="HG8" s="34"/>
      <c r="HH8" s="34"/>
      <c r="HI8" s="34"/>
      <c r="HJ8" s="34"/>
      <c r="HK8" s="34"/>
      <c r="HL8" s="34"/>
      <c r="HM8" s="34"/>
      <c r="HN8" s="34"/>
      <c r="HO8" s="34"/>
      <c r="HP8" s="34"/>
      <c r="HQ8" s="34"/>
      <c r="HR8" s="34"/>
      <c r="HS8" s="34"/>
      <c r="HT8" s="34"/>
      <c r="HU8" s="34"/>
      <c r="HV8" s="34"/>
      <c r="HW8" s="34"/>
      <c r="HX8" s="34"/>
      <c r="HY8" s="34"/>
      <c r="HZ8" s="34"/>
      <c r="IA8" s="34"/>
      <c r="IB8" s="34"/>
      <c r="IC8" s="34"/>
      <c r="ID8" s="34"/>
      <c r="IE8" s="34"/>
      <c r="IF8" s="34"/>
      <c r="IG8" s="34"/>
      <c r="IH8" s="34"/>
      <c r="II8" s="34"/>
      <c r="IJ8" s="34"/>
      <c r="IK8" s="34"/>
      <c r="IL8" s="34"/>
      <c r="IM8" s="34"/>
      <c r="IN8" s="34"/>
      <c r="IO8" s="34"/>
      <c r="IP8" s="34"/>
      <c r="IQ8" s="34"/>
      <c r="IR8" s="34"/>
      <c r="IS8" s="34"/>
      <c r="IT8" s="34"/>
      <c r="IU8" s="34"/>
      <c r="IV8" s="34"/>
      <c r="IW8" s="34"/>
      <c r="IX8" s="34"/>
      <c r="IY8" s="34"/>
      <c r="IZ8" s="34"/>
      <c r="JI8" s="6"/>
    </row>
    <row r="9" spans="1:269" x14ac:dyDescent="0.2">
      <c r="A9" s="1128" t="s">
        <v>4479</v>
      </c>
      <c r="B9" s="628" t="s">
        <v>3922</v>
      </c>
      <c r="C9" s="1251" t="s">
        <v>3995</v>
      </c>
      <c r="D9" s="1133"/>
      <c r="E9" s="2026">
        <v>1</v>
      </c>
      <c r="F9" s="2026">
        <v>2</v>
      </c>
      <c r="G9" s="2026">
        <v>3</v>
      </c>
      <c r="H9" s="2026">
        <v>4</v>
      </c>
      <c r="I9" s="2026">
        <v>5</v>
      </c>
      <c r="J9" s="2026">
        <v>6</v>
      </c>
      <c r="K9" s="2026">
        <v>7</v>
      </c>
      <c r="L9" s="2026">
        <v>8</v>
      </c>
      <c r="M9" s="2026">
        <v>9</v>
      </c>
      <c r="N9" s="2407">
        <v>10</v>
      </c>
      <c r="O9" s="2407">
        <v>11</v>
      </c>
      <c r="P9" s="2407">
        <v>12</v>
      </c>
      <c r="Q9" s="2407">
        <v>13</v>
      </c>
      <c r="R9" s="2407">
        <v>14</v>
      </c>
      <c r="S9" s="2407">
        <v>15</v>
      </c>
      <c r="T9" s="2407">
        <v>16</v>
      </c>
      <c r="U9" s="2407">
        <v>17</v>
      </c>
      <c r="V9" s="2407">
        <v>18</v>
      </c>
      <c r="W9" s="2407">
        <v>19</v>
      </c>
      <c r="X9" s="2407">
        <v>20</v>
      </c>
      <c r="Y9" s="2407">
        <v>21</v>
      </c>
      <c r="Z9" s="2407">
        <v>22</v>
      </c>
      <c r="AA9" s="2407">
        <v>23</v>
      </c>
      <c r="AB9" s="2407">
        <v>24</v>
      </c>
      <c r="AC9" s="2407">
        <v>25</v>
      </c>
      <c r="AD9" s="3502">
        <v>26</v>
      </c>
      <c r="AE9" s="3502">
        <v>27</v>
      </c>
      <c r="AF9" s="3502">
        <v>28</v>
      </c>
      <c r="AG9" s="3502">
        <v>29</v>
      </c>
      <c r="AH9" s="3502">
        <v>30</v>
      </c>
      <c r="AI9" s="2026">
        <v>31</v>
      </c>
      <c r="AJ9" s="2026">
        <v>32</v>
      </c>
      <c r="AK9" s="2026">
        <v>33</v>
      </c>
      <c r="AL9" s="2026">
        <v>34</v>
      </c>
      <c r="AM9" s="2026">
        <v>35</v>
      </c>
      <c r="AN9" s="2026">
        <v>36</v>
      </c>
      <c r="AO9" s="2026">
        <v>37</v>
      </c>
      <c r="AP9" s="2026">
        <v>38</v>
      </c>
      <c r="AQ9" s="2026">
        <v>39</v>
      </c>
      <c r="AR9" s="2026">
        <v>40</v>
      </c>
      <c r="AS9" s="2026">
        <v>41</v>
      </c>
      <c r="AT9" s="2026">
        <v>42</v>
      </c>
      <c r="AU9" s="2026">
        <v>43</v>
      </c>
      <c r="AV9" s="2026">
        <v>44</v>
      </c>
      <c r="AW9" s="2026">
        <v>45</v>
      </c>
      <c r="AX9" s="2026">
        <v>46</v>
      </c>
      <c r="AY9" s="2026">
        <v>47</v>
      </c>
      <c r="AZ9" s="2026">
        <v>48</v>
      </c>
      <c r="BA9" s="2026">
        <v>49</v>
      </c>
      <c r="BB9" s="2026">
        <v>50</v>
      </c>
      <c r="BC9" s="2026">
        <v>51</v>
      </c>
      <c r="BD9" s="2026">
        <v>52</v>
      </c>
      <c r="BE9" s="2026">
        <v>53</v>
      </c>
      <c r="BF9" s="2026">
        <v>54</v>
      </c>
      <c r="BG9" s="2026">
        <v>55</v>
      </c>
      <c r="BH9" s="2026">
        <v>56</v>
      </c>
      <c r="BI9" s="2026">
        <v>57</v>
      </c>
      <c r="BJ9" s="2026">
        <v>58</v>
      </c>
      <c r="BK9" s="2026">
        <v>59</v>
      </c>
      <c r="BL9" s="2026">
        <v>60</v>
      </c>
      <c r="BM9" s="2026">
        <v>61</v>
      </c>
      <c r="BN9" s="2026">
        <v>62</v>
      </c>
      <c r="BO9" s="2026">
        <v>63</v>
      </c>
      <c r="BP9" s="2026">
        <v>64</v>
      </c>
      <c r="BQ9" s="2026">
        <v>65</v>
      </c>
      <c r="BR9" s="2026">
        <v>66</v>
      </c>
      <c r="BS9" s="2026">
        <v>67</v>
      </c>
      <c r="BT9" s="2026">
        <v>68</v>
      </c>
      <c r="BU9" s="2026">
        <v>69</v>
      </c>
      <c r="BV9" s="2026">
        <v>70</v>
      </c>
      <c r="BW9" s="2026">
        <v>71</v>
      </c>
      <c r="BX9" s="2026">
        <v>72</v>
      </c>
      <c r="BY9" s="2026">
        <v>73</v>
      </c>
      <c r="BZ9" s="2026">
        <v>74</v>
      </c>
      <c r="CA9" s="2026">
        <v>75</v>
      </c>
      <c r="CB9" s="2026">
        <v>76</v>
      </c>
      <c r="CC9" s="2026">
        <v>77</v>
      </c>
      <c r="CD9" s="2026">
        <v>78</v>
      </c>
      <c r="CE9" s="2026">
        <v>79</v>
      </c>
      <c r="CF9" s="2026">
        <v>80</v>
      </c>
      <c r="CG9" s="2026">
        <v>81</v>
      </c>
      <c r="CH9" s="2026">
        <v>82</v>
      </c>
      <c r="CI9" s="2026">
        <v>83</v>
      </c>
      <c r="CJ9" s="2026">
        <v>84</v>
      </c>
      <c r="CK9" s="2026">
        <v>85</v>
      </c>
      <c r="CL9" s="2026">
        <v>86</v>
      </c>
      <c r="CM9" s="2026">
        <v>87</v>
      </c>
      <c r="CN9" s="2026">
        <v>88</v>
      </c>
      <c r="CO9" s="2026">
        <v>89</v>
      </c>
      <c r="CP9" s="2026">
        <v>90</v>
      </c>
      <c r="CQ9" s="2026">
        <v>91</v>
      </c>
      <c r="CR9" s="2026">
        <v>92</v>
      </c>
      <c r="CS9" s="2026">
        <v>93</v>
      </c>
      <c r="CT9" s="2026">
        <v>94</v>
      </c>
      <c r="CU9" s="2026">
        <v>95</v>
      </c>
      <c r="CV9" s="2026">
        <v>96</v>
      </c>
      <c r="CW9" s="2026">
        <v>97</v>
      </c>
      <c r="CX9" s="2026">
        <v>98</v>
      </c>
      <c r="CY9" s="2026">
        <v>99</v>
      </c>
      <c r="CZ9" s="2026">
        <v>100</v>
      </c>
      <c r="DA9" s="2026">
        <v>101</v>
      </c>
      <c r="DB9" s="2026">
        <v>102</v>
      </c>
      <c r="DC9" s="2026">
        <v>103</v>
      </c>
      <c r="DD9" s="2026">
        <v>104</v>
      </c>
      <c r="DE9" s="2026">
        <v>105</v>
      </c>
      <c r="DF9" s="2026">
        <v>106</v>
      </c>
      <c r="DG9" s="2026">
        <v>107</v>
      </c>
      <c r="DH9" s="2026">
        <v>108</v>
      </c>
      <c r="DI9" s="2026">
        <v>109</v>
      </c>
      <c r="DJ9" s="2026">
        <v>110</v>
      </c>
      <c r="DK9" s="2026">
        <v>111</v>
      </c>
      <c r="DL9" s="2026">
        <v>112</v>
      </c>
      <c r="DM9" s="2026">
        <v>113</v>
      </c>
      <c r="DN9" s="2026">
        <v>114</v>
      </c>
      <c r="DO9" s="2026">
        <v>115</v>
      </c>
      <c r="DP9" s="2026">
        <v>116</v>
      </c>
      <c r="DQ9" s="2026">
        <v>117</v>
      </c>
      <c r="DR9" s="2026">
        <v>118</v>
      </c>
      <c r="DS9" s="2026">
        <v>119</v>
      </c>
      <c r="DT9" s="2026">
        <v>120</v>
      </c>
      <c r="DU9" s="2026">
        <v>121</v>
      </c>
      <c r="DV9" s="2026">
        <v>122</v>
      </c>
      <c r="DW9" s="2026">
        <v>123</v>
      </c>
      <c r="DX9" s="2026">
        <v>124</v>
      </c>
      <c r="DY9" s="2026">
        <v>125</v>
      </c>
      <c r="DZ9" s="2026">
        <v>126</v>
      </c>
      <c r="EA9" s="2026">
        <v>127</v>
      </c>
      <c r="EB9" s="2026">
        <v>128</v>
      </c>
      <c r="EC9" s="2026">
        <v>129</v>
      </c>
      <c r="ED9" s="2026">
        <v>130</v>
      </c>
      <c r="EE9" s="2026">
        <v>131</v>
      </c>
      <c r="EF9" s="2026">
        <v>132</v>
      </c>
      <c r="EG9" s="2026">
        <v>133</v>
      </c>
      <c r="EH9" s="2026">
        <v>134</v>
      </c>
      <c r="EI9" s="2026">
        <v>135</v>
      </c>
      <c r="EJ9" s="2026">
        <v>136</v>
      </c>
      <c r="EK9" s="2026">
        <v>137</v>
      </c>
      <c r="EL9" s="2026">
        <v>138</v>
      </c>
      <c r="EM9" s="2026">
        <v>139</v>
      </c>
      <c r="EN9" s="2026">
        <v>140</v>
      </c>
      <c r="EO9" s="2026">
        <v>141</v>
      </c>
      <c r="EP9" s="2026">
        <v>142</v>
      </c>
      <c r="EQ9" s="2026">
        <v>143</v>
      </c>
      <c r="ER9" s="2026">
        <v>144</v>
      </c>
      <c r="ES9" s="2026">
        <v>145</v>
      </c>
      <c r="ET9" s="2026">
        <v>146</v>
      </c>
      <c r="EU9" s="2026">
        <v>147</v>
      </c>
      <c r="EV9" s="2026">
        <v>148</v>
      </c>
      <c r="EW9" s="2026">
        <v>149</v>
      </c>
      <c r="EX9" s="2026">
        <v>150</v>
      </c>
      <c r="EY9" s="2026">
        <v>151</v>
      </c>
      <c r="EZ9" s="2026">
        <v>152</v>
      </c>
      <c r="FA9" s="2026">
        <v>153</v>
      </c>
      <c r="FB9" s="2026">
        <v>154</v>
      </c>
      <c r="FC9" s="2026">
        <v>155</v>
      </c>
      <c r="FD9" s="2026">
        <v>156</v>
      </c>
      <c r="FE9" s="2026">
        <v>157</v>
      </c>
      <c r="FF9" s="2026">
        <v>158</v>
      </c>
      <c r="FG9" s="2026">
        <v>159</v>
      </c>
      <c r="FH9" s="2026">
        <v>160</v>
      </c>
      <c r="FI9" s="2026">
        <v>161</v>
      </c>
      <c r="FJ9" s="2026">
        <v>162</v>
      </c>
      <c r="FK9" s="2026">
        <v>163</v>
      </c>
      <c r="FL9" s="2026">
        <v>164</v>
      </c>
      <c r="FM9" s="2026">
        <v>165</v>
      </c>
      <c r="FN9" s="2026">
        <v>166</v>
      </c>
      <c r="FO9" s="2026">
        <v>167</v>
      </c>
      <c r="FP9" s="2026">
        <v>168</v>
      </c>
      <c r="FQ9" s="2026">
        <v>169</v>
      </c>
      <c r="FR9" s="2026">
        <v>170</v>
      </c>
      <c r="FS9" s="2026">
        <v>171</v>
      </c>
      <c r="FT9" s="2026">
        <v>172</v>
      </c>
      <c r="FU9" s="2026">
        <v>173</v>
      </c>
      <c r="FV9" s="2026">
        <v>174</v>
      </c>
      <c r="FW9" s="2026">
        <v>175</v>
      </c>
      <c r="FX9" s="2026">
        <v>176</v>
      </c>
      <c r="FY9" s="2026">
        <v>177</v>
      </c>
      <c r="FZ9" s="2026">
        <v>178</v>
      </c>
      <c r="GA9" s="2026">
        <v>179</v>
      </c>
      <c r="GB9" s="2026">
        <v>180</v>
      </c>
      <c r="GC9" s="2026">
        <v>181</v>
      </c>
      <c r="GD9" s="2026">
        <v>182</v>
      </c>
      <c r="GE9" s="2026">
        <v>183</v>
      </c>
      <c r="GF9" s="2026">
        <v>184</v>
      </c>
      <c r="GG9" s="2026">
        <v>185</v>
      </c>
      <c r="GH9" s="2026">
        <v>186</v>
      </c>
      <c r="GI9" s="2026">
        <v>187</v>
      </c>
      <c r="GJ9" s="2026">
        <v>188</v>
      </c>
      <c r="GK9" s="2026">
        <v>189</v>
      </c>
      <c r="GL9" s="2026">
        <v>190</v>
      </c>
      <c r="GM9" s="2026">
        <v>191</v>
      </c>
      <c r="GN9" s="2026">
        <v>192</v>
      </c>
      <c r="GO9" s="2026">
        <v>193</v>
      </c>
      <c r="GP9" s="2026">
        <v>194</v>
      </c>
      <c r="GQ9" s="2026">
        <v>195</v>
      </c>
      <c r="GR9" s="2026">
        <v>196</v>
      </c>
      <c r="GS9" s="2026">
        <v>197</v>
      </c>
      <c r="GT9" s="2026">
        <v>198</v>
      </c>
      <c r="GU9" s="2026">
        <v>199</v>
      </c>
      <c r="GV9" s="2026">
        <v>200</v>
      </c>
      <c r="GW9" s="2026">
        <v>201</v>
      </c>
      <c r="GX9" s="2026">
        <v>202</v>
      </c>
      <c r="GY9" s="2026">
        <v>203</v>
      </c>
      <c r="GZ9" s="2026">
        <v>204</v>
      </c>
      <c r="HA9" s="2026">
        <v>205</v>
      </c>
      <c r="HB9" s="2026">
        <v>206</v>
      </c>
      <c r="HC9" s="2026">
        <v>207</v>
      </c>
      <c r="HD9" s="2026">
        <v>208</v>
      </c>
      <c r="HE9" s="2026">
        <v>209</v>
      </c>
      <c r="HF9" s="2026">
        <v>210</v>
      </c>
      <c r="HG9" s="2026">
        <v>211</v>
      </c>
      <c r="HH9" s="2026">
        <v>212</v>
      </c>
      <c r="HI9" s="2026">
        <v>213</v>
      </c>
      <c r="HJ9" s="2026">
        <v>214</v>
      </c>
      <c r="HK9" s="2026">
        <v>215</v>
      </c>
      <c r="HL9" s="2026">
        <v>216</v>
      </c>
      <c r="HM9" s="2026">
        <v>217</v>
      </c>
      <c r="HN9" s="2026">
        <v>218</v>
      </c>
      <c r="HO9" s="2026">
        <v>219</v>
      </c>
      <c r="HP9" s="2026">
        <v>220</v>
      </c>
      <c r="HQ9" s="2026">
        <v>221</v>
      </c>
      <c r="HR9" s="2026">
        <v>222</v>
      </c>
      <c r="HS9" s="2026">
        <v>223</v>
      </c>
      <c r="HT9" s="2026">
        <v>224</v>
      </c>
      <c r="HU9" s="2026">
        <v>225</v>
      </c>
      <c r="HV9" s="2026">
        <v>226</v>
      </c>
      <c r="HW9" s="2026">
        <v>227</v>
      </c>
      <c r="HX9" s="2026">
        <v>228</v>
      </c>
      <c r="HY9" s="2026">
        <v>229</v>
      </c>
      <c r="HZ9" s="2026">
        <v>230</v>
      </c>
      <c r="IA9" s="2026">
        <v>231</v>
      </c>
      <c r="IB9" s="2026">
        <v>232</v>
      </c>
      <c r="IC9" s="2026">
        <v>233</v>
      </c>
      <c r="ID9" s="2026">
        <v>234</v>
      </c>
      <c r="IE9" s="2026">
        <v>235</v>
      </c>
      <c r="IF9" s="2026">
        <v>236</v>
      </c>
      <c r="IG9" s="2026">
        <v>237</v>
      </c>
      <c r="IH9" s="2026">
        <v>238</v>
      </c>
      <c r="II9" s="2026">
        <v>239</v>
      </c>
      <c r="IJ9" s="2026">
        <v>240</v>
      </c>
      <c r="IK9" s="2026">
        <v>241</v>
      </c>
      <c r="IL9" s="2026">
        <v>242</v>
      </c>
      <c r="IM9" s="2026">
        <v>243</v>
      </c>
      <c r="IN9" s="2026">
        <v>244</v>
      </c>
      <c r="IO9" s="2026">
        <v>245</v>
      </c>
      <c r="IP9" s="1134">
        <v>246</v>
      </c>
      <c r="IQ9" s="1134">
        <v>247</v>
      </c>
      <c r="IR9" s="1134">
        <v>248</v>
      </c>
      <c r="IS9" s="1134">
        <v>249</v>
      </c>
      <c r="IT9" s="1134">
        <v>250</v>
      </c>
      <c r="IU9" s="1134">
        <v>251</v>
      </c>
      <c r="IV9" s="1134">
        <v>252</v>
      </c>
      <c r="IW9" s="1134">
        <v>253</v>
      </c>
      <c r="IX9" s="1134">
        <v>254</v>
      </c>
      <c r="IY9" s="1134">
        <v>255</v>
      </c>
      <c r="IZ9" s="1134">
        <v>256</v>
      </c>
      <c r="JA9" s="1134">
        <v>257</v>
      </c>
      <c r="JB9" s="1134">
        <v>258</v>
      </c>
      <c r="JC9" s="1134">
        <v>259</v>
      </c>
      <c r="JD9" s="1134">
        <v>260</v>
      </c>
      <c r="JE9" s="1134">
        <v>261</v>
      </c>
      <c r="JF9" s="1134">
        <v>262</v>
      </c>
      <c r="JG9" s="2485">
        <v>263</v>
      </c>
      <c r="JH9" s="1233"/>
      <c r="JI9" s="1393"/>
    </row>
    <row r="10" spans="1:269" x14ac:dyDescent="0.2">
      <c r="A10" s="1128">
        <v>2</v>
      </c>
      <c r="B10" s="1375" t="str">
        <f ref="B10:B17" si="2" t="shared">IF(AOI_B_IND&gt;1,IF(HLOOKUP(AOI_B_IND-1,AOI_B_RANGE,A10)="","",HLOOKUP(AOI_B_IND-1,AOI_B_RANGE,A10)),"")</f>
        <v/>
      </c>
      <c r="C10" s="1530" t="s">
        <v>3925</v>
      </c>
      <c r="D10" s="1376" t="s">
        <v>4873</v>
      </c>
      <c r="E10" s="2355"/>
      <c r="F10" s="2355"/>
      <c r="G10" s="2355"/>
      <c r="H10" s="2355"/>
      <c r="I10" s="2355"/>
      <c r="J10" s="2355"/>
      <c r="K10" s="2355"/>
      <c r="L10" s="2355"/>
      <c r="M10" s="2355"/>
      <c r="N10" s="2314"/>
      <c r="O10" s="2355"/>
      <c r="P10" s="2354"/>
      <c r="Q10" s="2354"/>
      <c r="R10" s="2354"/>
      <c r="S10" s="2354"/>
      <c r="T10" s="2354"/>
      <c r="U10" s="2354"/>
      <c r="V10" s="2354"/>
      <c r="W10" s="2354"/>
      <c r="X10" s="2354"/>
      <c r="Y10" s="2354"/>
      <c r="Z10" s="2354"/>
      <c r="AA10" s="2354"/>
      <c r="AB10" s="2354"/>
      <c r="AC10" s="2354"/>
      <c r="AD10" s="2354"/>
      <c r="AE10" s="2354"/>
      <c r="AF10" s="2354"/>
      <c r="AG10" s="2354"/>
      <c r="AH10" s="2354"/>
      <c r="AI10" s="2354"/>
      <c r="AJ10" s="2354"/>
      <c r="AK10" s="2354"/>
      <c r="AL10" s="2354"/>
      <c r="AM10" s="2354"/>
      <c r="AN10" s="2354"/>
      <c r="AO10" s="2354"/>
      <c r="AP10" s="2354"/>
      <c r="AQ10" s="2354"/>
      <c r="AR10" s="2354">
        <v>4213</v>
      </c>
      <c r="AS10" s="2354">
        <v>120000</v>
      </c>
      <c r="AT10" s="2354"/>
      <c r="AU10" s="2354"/>
      <c r="AV10" s="2354"/>
      <c r="AW10" s="2354">
        <v>5800</v>
      </c>
      <c r="AX10" s="2354"/>
      <c r="AY10" s="2354"/>
      <c r="AZ10" s="2354"/>
      <c r="BA10" s="2354"/>
      <c r="BB10" s="2354"/>
      <c r="BC10" s="2354"/>
      <c r="BD10" s="2354">
        <v>10000</v>
      </c>
      <c r="BE10" s="2354"/>
      <c r="BF10" s="2354"/>
      <c r="BG10" s="3945">
        <v>1200</v>
      </c>
      <c r="BH10" s="3945">
        <v>43250</v>
      </c>
      <c r="BI10" s="2354"/>
      <c r="BJ10" s="2354"/>
      <c r="BK10" s="2354"/>
      <c r="BL10" s="2354">
        <v>10000</v>
      </c>
      <c r="BM10" s="2354"/>
      <c r="BN10" s="2354"/>
      <c r="BO10" s="2354"/>
      <c r="BP10" s="2354"/>
      <c r="BQ10" s="2354"/>
      <c r="BR10" s="2354"/>
      <c r="BS10" s="2354"/>
      <c r="BT10" s="2354"/>
      <c r="BU10" s="2354"/>
      <c r="BV10" s="2354"/>
      <c r="BW10" s="2354"/>
      <c r="BX10" s="2354"/>
      <c r="BY10" s="2354"/>
      <c r="BZ10" s="2354"/>
      <c r="CA10" s="2354"/>
      <c r="CB10" s="2354"/>
      <c r="CC10" s="2354">
        <v>4213</v>
      </c>
      <c r="CD10" s="2354"/>
      <c r="CE10" s="2354"/>
      <c r="CF10" s="2354"/>
      <c r="CG10" s="2354"/>
      <c r="CH10" s="2354"/>
      <c r="CI10" s="2354"/>
      <c r="CJ10" s="2354">
        <v>4213</v>
      </c>
      <c r="CK10" s="2354"/>
      <c r="CL10" s="2354"/>
      <c r="CM10" s="2354"/>
      <c r="CN10" s="2354"/>
      <c r="CO10" s="2354"/>
      <c r="CP10" s="2354"/>
      <c r="CQ10" s="2354"/>
      <c r="CR10" s="2354"/>
      <c r="CS10" s="2354"/>
      <c r="CT10" s="2354">
        <v>120000</v>
      </c>
      <c r="CU10" s="2354"/>
      <c r="CV10" s="2354"/>
      <c r="CW10" s="2354"/>
      <c r="CX10" s="2354">
        <v>4213</v>
      </c>
      <c r="CY10" s="2354"/>
      <c r="CZ10" s="2354"/>
      <c r="DA10" s="2354">
        <v>10000</v>
      </c>
      <c r="DB10" s="2354"/>
      <c r="DC10" s="2354"/>
      <c r="DD10" s="2354">
        <v>5800</v>
      </c>
      <c r="DE10" s="2354">
        <v>4213</v>
      </c>
      <c r="DF10" s="2354">
        <v>10000</v>
      </c>
      <c r="DG10" s="2354"/>
      <c r="DH10" s="2354"/>
      <c r="DI10" s="2354"/>
      <c r="DJ10" s="2354"/>
      <c r="DK10" s="2354"/>
      <c r="DL10" s="2354"/>
      <c r="DM10" s="2354"/>
      <c r="DN10" s="2354"/>
      <c r="DO10" s="2354"/>
      <c r="DP10" s="2354"/>
      <c r="DQ10" s="2354"/>
      <c r="DR10" s="2354"/>
      <c r="DS10" s="2354"/>
      <c r="DT10" s="2354"/>
      <c r="DU10" s="2354"/>
      <c r="DV10" s="2354"/>
      <c r="DW10" s="2354"/>
      <c r="DX10" s="2354"/>
      <c r="DY10" s="2354"/>
      <c r="DZ10" s="2354"/>
      <c r="EA10" s="2354"/>
      <c r="EB10" s="2354"/>
      <c r="EC10" s="2354"/>
      <c r="ED10" s="2354"/>
      <c r="EE10" s="2354"/>
      <c r="EF10" s="2354"/>
      <c r="EG10" s="2354"/>
      <c r="EH10" s="2354"/>
      <c r="EI10" s="2354"/>
      <c r="EJ10" s="2354">
        <v>4213</v>
      </c>
      <c r="EK10" s="2354"/>
      <c r="EL10" s="2354"/>
      <c r="EM10" s="2354"/>
      <c r="EN10" s="2354"/>
      <c r="EO10" s="2354"/>
      <c r="EP10" s="2354"/>
      <c r="EQ10" s="2354"/>
      <c r="ER10" s="2354"/>
      <c r="ES10" s="2354"/>
      <c r="ET10" s="2354">
        <v>10000</v>
      </c>
      <c r="EU10" s="2354"/>
      <c r="EV10" s="2354"/>
      <c r="EW10" s="2354"/>
      <c r="EX10" s="2354"/>
      <c r="EY10" s="2354"/>
      <c r="EZ10" s="2354"/>
      <c r="FA10" s="2354"/>
      <c r="FB10" s="2354"/>
      <c r="FC10" s="2354"/>
      <c r="FD10" s="2354"/>
      <c r="FE10" s="2354"/>
      <c r="FF10" s="2354"/>
      <c r="FG10" s="2354"/>
      <c r="FH10" s="2354"/>
      <c r="FI10" s="2354"/>
      <c r="FJ10" s="2354"/>
      <c r="FK10" s="2354"/>
      <c r="FL10" s="2354">
        <v>100000</v>
      </c>
      <c r="FM10" s="2354">
        <v>100000</v>
      </c>
      <c r="FN10" s="2354"/>
      <c r="FO10" s="2354"/>
      <c r="FP10" s="2354"/>
      <c r="FQ10" s="2354"/>
      <c r="FR10" s="2354">
        <v>120000</v>
      </c>
      <c r="FS10" s="2354">
        <v>10000</v>
      </c>
      <c r="FT10" s="2354"/>
      <c r="FU10" s="2354"/>
      <c r="FV10" s="2354"/>
      <c r="FW10" s="2354"/>
      <c r="FX10" s="2354"/>
      <c r="FY10" s="2354"/>
      <c r="FZ10" s="2354"/>
      <c r="GA10" s="2354"/>
      <c r="GB10" s="2354"/>
      <c r="GC10" s="2354"/>
      <c r="GD10" s="2354"/>
      <c r="GE10" s="2354"/>
      <c r="GF10" s="2354"/>
      <c r="GG10" s="2354">
        <v>10000</v>
      </c>
      <c r="GH10" s="2354"/>
      <c r="GI10" s="2354"/>
      <c r="GJ10" s="2354"/>
      <c r="GK10" s="2354"/>
      <c r="GL10" s="2354"/>
      <c r="GM10" s="2354"/>
      <c r="GN10" s="2354"/>
      <c r="GO10" s="2354"/>
      <c r="GP10" s="2354"/>
      <c r="GQ10" s="2354"/>
      <c r="GR10" s="2354"/>
      <c r="GS10" s="2354"/>
      <c r="GT10" s="2354"/>
      <c r="GU10" s="2354">
        <v>5800</v>
      </c>
      <c r="GV10" s="2354"/>
      <c r="GW10" s="2354"/>
      <c r="GX10" s="2354"/>
      <c r="GY10" s="2354"/>
      <c r="GZ10" s="2354"/>
      <c r="HA10" s="2354"/>
      <c r="HB10" s="2354"/>
      <c r="HC10" s="2354"/>
      <c r="HD10" s="2354"/>
      <c r="HE10" s="2354"/>
      <c r="HF10" s="2354"/>
      <c r="HG10" s="2354"/>
      <c r="HH10" s="2354"/>
      <c r="HI10" s="2354"/>
      <c r="HJ10" s="2354"/>
      <c r="HK10" s="2354"/>
      <c r="HL10" s="2354"/>
      <c r="HM10" s="2354"/>
      <c r="HN10" s="2354"/>
      <c r="HO10" s="2354"/>
      <c r="HP10" s="2354"/>
      <c r="HQ10" s="2354"/>
      <c r="HR10" s="2354"/>
      <c r="HS10" s="2354"/>
      <c r="HT10" s="2354"/>
      <c r="HU10" s="2354"/>
      <c r="HV10" s="2354"/>
      <c r="HW10" s="2354"/>
      <c r="HX10" s="2354"/>
      <c r="HY10" s="2354"/>
      <c r="HZ10" s="2354"/>
      <c r="IA10" s="2354">
        <f>BR_band+19867</f>
        <v>57367</v>
      </c>
      <c r="IB10" s="2354"/>
      <c r="IC10" s="2354"/>
      <c r="ID10" s="2354"/>
      <c r="IE10" s="2354"/>
      <c r="IF10" s="2354"/>
      <c r="IG10" s="2354"/>
      <c r="IH10" s="2354"/>
      <c r="II10" s="2354"/>
      <c r="IJ10" s="2354">
        <v>10000</v>
      </c>
      <c r="IK10" s="2354"/>
      <c r="IL10" s="2354"/>
      <c r="IM10" s="2354"/>
      <c r="IN10" s="2354"/>
      <c r="IO10" s="2354"/>
      <c r="IP10" s="2354"/>
      <c r="IQ10" s="2354"/>
      <c r="IR10" s="3645">
        <v>28777</v>
      </c>
      <c r="IS10" s="2354"/>
      <c r="IT10" s="2354"/>
      <c r="IU10" s="2354"/>
      <c r="IV10" s="2354"/>
      <c r="IW10" s="2354"/>
      <c r="IX10" s="2354"/>
      <c r="IY10" s="2354"/>
      <c r="IZ10" s="2354"/>
      <c r="JA10" s="2354"/>
      <c r="JB10" s="2354"/>
      <c r="JC10" s="2354"/>
      <c r="JD10" s="2354"/>
      <c r="JE10" s="2354"/>
      <c r="JF10" s="2354"/>
      <c r="JG10" s="3764"/>
      <c r="JH10" s="1233"/>
      <c r="JI10" s="1393"/>
    </row>
    <row ht="22.5" r="11" spans="1:269" x14ac:dyDescent="0.2">
      <c r="A11" s="1128">
        <v>3</v>
      </c>
      <c r="B11" s="1375" t="str">
        <f si="2" t="shared"/>
        <v/>
      </c>
      <c r="C11" s="1530" t="s">
        <v>3926</v>
      </c>
      <c r="D11" s="1376" t="s">
        <v>4874</v>
      </c>
      <c r="E11" s="2367"/>
      <c r="F11" s="2377"/>
      <c r="G11" s="2377"/>
      <c r="H11" s="2377"/>
      <c r="I11" s="2377"/>
      <c r="J11" s="2377"/>
      <c r="K11" s="2377"/>
      <c r="L11" s="2377"/>
      <c r="M11" s="2377"/>
      <c r="N11" s="2377"/>
      <c r="O11" s="2377"/>
      <c r="P11" s="2384"/>
      <c r="Q11" s="2384"/>
      <c r="R11" s="2384"/>
      <c r="S11" s="2384"/>
      <c r="T11" s="2384"/>
      <c r="U11" s="2384"/>
      <c r="V11" s="2384"/>
      <c r="W11" s="2384"/>
      <c r="X11" s="2384"/>
      <c r="Y11" s="2384"/>
      <c r="Z11" s="2384"/>
      <c r="AA11" s="2384"/>
      <c r="AB11" s="2384"/>
      <c r="AC11" s="2384"/>
      <c r="AD11" s="2384"/>
      <c r="AE11" s="2384"/>
      <c r="AF11" s="2384"/>
      <c r="AG11" s="2384"/>
      <c r="AH11" s="2384"/>
      <c r="AI11" s="2384"/>
      <c r="AJ11" s="2384"/>
      <c r="AK11" s="2384"/>
      <c r="AL11" s="2384"/>
      <c r="AM11" s="2384"/>
      <c r="AN11" s="2384"/>
      <c r="AO11" s="2384"/>
      <c r="AP11" s="2384"/>
      <c r="AQ11" s="2384"/>
      <c r="AR11" s="2384">
        <v>4</v>
      </c>
      <c r="AS11" s="2384">
        <v>2</v>
      </c>
      <c r="AT11" s="2384"/>
      <c r="AU11" s="2384"/>
      <c r="AV11" s="2384"/>
      <c r="AW11" s="2384">
        <v>2</v>
      </c>
      <c r="AX11" s="2384"/>
      <c r="AY11" s="2384"/>
      <c r="AZ11" s="2384"/>
      <c r="BA11" s="2384"/>
      <c r="BB11" s="2384"/>
      <c r="BC11" s="2384"/>
      <c r="BD11" s="2384">
        <v>4</v>
      </c>
      <c r="BE11" s="2384"/>
      <c r="BF11" s="2384"/>
      <c r="BG11" s="3946">
        <v>1</v>
      </c>
      <c r="BH11" s="3946">
        <v>20</v>
      </c>
      <c r="BI11" s="2384"/>
      <c r="BJ11" s="2384"/>
      <c r="BK11" s="2384"/>
      <c r="BL11" s="2384">
        <v>4</v>
      </c>
      <c r="BM11" s="2384"/>
      <c r="BN11" s="2384"/>
      <c r="BO11" s="2384"/>
      <c r="BP11" s="2384"/>
      <c r="BQ11" s="2384"/>
      <c r="BR11" s="2384"/>
      <c r="BS11" s="2384"/>
      <c r="BT11" s="2384"/>
      <c r="BU11" s="2384"/>
      <c r="BV11" s="2384"/>
      <c r="BW11" s="2384"/>
      <c r="BX11" s="2384"/>
      <c r="BY11" s="2384"/>
      <c r="BZ11" s="2384"/>
      <c r="CA11" s="2384"/>
      <c r="CB11" s="2384"/>
      <c r="CC11" s="2384">
        <v>4</v>
      </c>
      <c r="CD11" s="2384"/>
      <c r="CE11" s="2384"/>
      <c r="CF11" s="2384"/>
      <c r="CG11" s="2384"/>
      <c r="CH11" s="2384"/>
      <c r="CI11" s="2384"/>
      <c r="CJ11" s="2384">
        <v>4</v>
      </c>
      <c r="CK11" s="2384"/>
      <c r="CL11" s="2384"/>
      <c r="CM11" s="2384"/>
      <c r="CN11" s="2384"/>
      <c r="CO11" s="2384"/>
      <c r="CP11" s="2384"/>
      <c r="CQ11" s="2384"/>
      <c r="CR11" s="2384"/>
      <c r="CS11" s="2384"/>
      <c r="CT11" s="2384">
        <v>2</v>
      </c>
      <c r="CU11" s="2384"/>
      <c r="CV11" s="2384"/>
      <c r="CW11" s="2384"/>
      <c r="CX11" s="2384">
        <v>4</v>
      </c>
      <c r="CY11" s="2384"/>
      <c r="CZ11" s="2384"/>
      <c r="DA11" s="2384">
        <v>4</v>
      </c>
      <c r="DB11" s="2384"/>
      <c r="DC11" s="2384"/>
      <c r="DD11" s="2384">
        <v>2</v>
      </c>
      <c r="DE11" s="2384">
        <v>4</v>
      </c>
      <c r="DF11" s="2384">
        <v>4</v>
      </c>
      <c r="DG11" s="2384"/>
      <c r="DH11" s="2384"/>
      <c r="DI11" s="2384"/>
      <c r="DJ11" s="2384"/>
      <c r="DK11" s="2384"/>
      <c r="DL11" s="2384"/>
      <c r="DM11" s="2384"/>
      <c r="DN11" s="2384"/>
      <c r="DO11" s="2384"/>
      <c r="DP11" s="2384"/>
      <c r="DQ11" s="2384"/>
      <c r="DR11" s="2384"/>
      <c r="DS11" s="2384"/>
      <c r="DT11" s="2384"/>
      <c r="DU11" s="2384"/>
      <c r="DV11" s="2384"/>
      <c r="DW11" s="2384"/>
      <c r="DX11" s="2384"/>
      <c r="DY11" s="2384"/>
      <c r="DZ11" s="2384"/>
      <c r="EA11" s="2384"/>
      <c r="EB11" s="2384"/>
      <c r="EC11" s="2384"/>
      <c r="ED11" s="2384"/>
      <c r="EE11" s="2384"/>
      <c r="EF11" s="2384"/>
      <c r="EG11" s="2384"/>
      <c r="EH11" s="2384"/>
      <c r="EI11" s="2384"/>
      <c r="EJ11" s="2384">
        <v>4</v>
      </c>
      <c r="EK11" s="2384"/>
      <c r="EL11" s="2384"/>
      <c r="EM11" s="2384"/>
      <c r="EN11" s="2384"/>
      <c r="EO11" s="2384"/>
      <c r="EP11" s="2384"/>
      <c r="EQ11" s="2384"/>
      <c r="ER11" s="2384"/>
      <c r="ES11" s="2384"/>
      <c r="ET11" s="2384">
        <v>4</v>
      </c>
      <c r="EU11" s="2384"/>
      <c r="EV11" s="2384"/>
      <c r="EW11" s="2384"/>
      <c r="EX11" s="2384"/>
      <c r="EY11" s="2384"/>
      <c r="EZ11" s="2384"/>
      <c r="FA11" s="2384"/>
      <c r="FB11" s="2384"/>
      <c r="FC11" s="2384"/>
      <c r="FD11" s="2384"/>
      <c r="FE11" s="2384"/>
      <c r="FF11" s="2384"/>
      <c r="FG11" s="2384"/>
      <c r="FH11" s="2384"/>
      <c r="FI11" s="2384"/>
      <c r="FJ11" s="2384"/>
      <c r="FK11" s="2384"/>
      <c r="FL11" s="2384">
        <v>5</v>
      </c>
      <c r="FM11" s="2384">
        <v>5</v>
      </c>
      <c r="FN11" s="2384"/>
      <c r="FO11" s="2384"/>
      <c r="FP11" s="2384"/>
      <c r="FQ11" s="2384"/>
      <c r="FR11" s="2384">
        <v>2</v>
      </c>
      <c r="FS11" s="2384">
        <v>4</v>
      </c>
      <c r="FT11" s="2384"/>
      <c r="FU11" s="2384"/>
      <c r="FV11" s="2384"/>
      <c r="FW11" s="2384"/>
      <c r="FX11" s="2384"/>
      <c r="FY11" s="2384"/>
      <c r="FZ11" s="2384"/>
      <c r="GA11" s="2384"/>
      <c r="GB11" s="2384"/>
      <c r="GC11" s="2384"/>
      <c r="GD11" s="2384"/>
      <c r="GE11" s="2384"/>
      <c r="GF11" s="2384"/>
      <c r="GG11" s="2384">
        <v>4</v>
      </c>
      <c r="GH11" s="2384"/>
      <c r="GI11" s="2384"/>
      <c r="GJ11" s="2384"/>
      <c r="GK11" s="2384"/>
      <c r="GL11" s="2384"/>
      <c r="GM11" s="2384"/>
      <c r="GN11" s="2384"/>
      <c r="GO11" s="2384"/>
      <c r="GP11" s="2384"/>
      <c r="GQ11" s="2384"/>
      <c r="GR11" s="2384"/>
      <c r="GS11" s="2384"/>
      <c r="GT11" s="2384"/>
      <c r="GU11" s="2384">
        <v>2</v>
      </c>
      <c r="GV11" s="2384"/>
      <c r="GW11" s="2384"/>
      <c r="GX11" s="2384"/>
      <c r="GY11" s="2384"/>
      <c r="GZ11" s="2384"/>
      <c r="HA11" s="2384"/>
      <c r="HB11" s="2384"/>
      <c r="HC11" s="2384"/>
      <c r="HD11" s="2384"/>
      <c r="HE11" s="2384"/>
      <c r="HF11" s="2384"/>
      <c r="HG11" s="2384"/>
      <c r="HH11" s="2384"/>
      <c r="HI11" s="2384"/>
      <c r="HJ11" s="2384"/>
      <c r="HK11" s="2384"/>
      <c r="HL11" s="2384"/>
      <c r="HM11" s="2384"/>
      <c r="HN11" s="2384"/>
      <c r="HO11" s="2384"/>
      <c r="HP11" s="2384"/>
      <c r="HQ11" s="2384"/>
      <c r="HR11" s="2384"/>
      <c r="HS11" s="2384"/>
      <c r="HT11" s="2384"/>
      <c r="HU11" s="2384"/>
      <c r="HV11" s="2384"/>
      <c r="HW11" s="2384"/>
      <c r="HX11" s="2384"/>
      <c r="HY11" s="2384"/>
      <c r="HZ11" s="2384"/>
      <c r="IA11" s="2384">
        <v>10</v>
      </c>
      <c r="IB11" s="2384"/>
      <c r="IC11" s="2384"/>
      <c r="ID11" s="2384"/>
      <c r="IE11" s="2384"/>
      <c r="IF11" s="2384"/>
      <c r="IG11" s="2384"/>
      <c r="IH11" s="2384"/>
      <c r="II11" s="2384"/>
      <c r="IJ11" s="2384">
        <v>1</v>
      </c>
      <c r="IK11" s="2384"/>
      <c r="IL11" s="2384"/>
      <c r="IM11" s="2384"/>
      <c r="IN11" s="2384"/>
      <c r="IO11" s="2384"/>
      <c r="IP11" s="2384"/>
      <c r="IQ11" s="2384"/>
      <c r="IR11" s="3930">
        <v>7</v>
      </c>
      <c r="IS11" s="2384"/>
      <c r="IT11" s="2384"/>
      <c r="IU11" s="2384"/>
      <c r="IV11" s="2384"/>
      <c r="IW11" s="2384"/>
      <c r="IX11" s="2384"/>
      <c r="IY11" s="2384"/>
      <c r="IZ11" s="2384"/>
      <c r="JA11" s="2384"/>
      <c r="JB11" s="2384"/>
      <c r="JC11" s="2384"/>
      <c r="JD11" s="2384"/>
      <c r="JE11" s="2384"/>
      <c r="JF11" s="2384"/>
      <c r="JG11" s="3347"/>
      <c r="JH11" s="1233"/>
      <c r="JI11" s="1393" t="s">
        <v>5410</v>
      </c>
    </row>
    <row r="12" spans="1:269" x14ac:dyDescent="0.2">
      <c r="A12" s="1128">
        <v>4</v>
      </c>
      <c r="B12" s="1375" t="str">
        <f si="2" t="shared"/>
        <v/>
      </c>
      <c r="C12" s="1530" t="s">
        <v>3927</v>
      </c>
      <c r="D12" s="1376" t="s">
        <v>4875</v>
      </c>
      <c r="E12" s="2355"/>
      <c r="F12" s="2355"/>
      <c r="G12" s="2355"/>
      <c r="H12" s="2355"/>
      <c r="I12" s="2355"/>
      <c r="J12" s="2355"/>
      <c r="K12" s="2355"/>
      <c r="L12" s="2355"/>
      <c r="M12" s="2355"/>
      <c r="N12" s="2355"/>
      <c r="O12" s="2355"/>
      <c r="P12" s="2354"/>
      <c r="Q12" s="2354"/>
      <c r="R12" s="2354"/>
      <c r="S12" s="2354"/>
      <c r="T12" s="2354"/>
      <c r="U12" s="2354"/>
      <c r="V12" s="2354"/>
      <c r="W12" s="2354"/>
      <c r="X12" s="2354"/>
      <c r="Y12" s="2354"/>
      <c r="Z12" s="2354"/>
      <c r="AA12" s="2354"/>
      <c r="AB12" s="2354"/>
      <c r="AC12" s="2354"/>
      <c r="AD12" s="2354"/>
      <c r="AE12" s="2354"/>
      <c r="AF12" s="2354"/>
      <c r="AG12" s="2354"/>
      <c r="AH12" s="2354"/>
      <c r="AI12" s="2354"/>
      <c r="AJ12" s="2354"/>
      <c r="AK12" s="2354"/>
      <c r="AL12" s="2354"/>
      <c r="AM12" s="2354"/>
      <c r="AN12" s="2354"/>
      <c r="AO12" s="2354"/>
      <c r="AP12" s="2354"/>
      <c r="AQ12" s="2354"/>
      <c r="AR12" s="2354"/>
      <c r="AS12" s="2354"/>
      <c r="AT12" s="2354"/>
      <c r="AU12" s="2354"/>
      <c r="AV12" s="2354"/>
      <c r="AW12" s="2354">
        <v>5715</v>
      </c>
      <c r="AX12" s="2354"/>
      <c r="AY12" s="2354"/>
      <c r="AZ12" s="2354"/>
      <c r="BA12" s="2354"/>
      <c r="BB12" s="2354"/>
      <c r="BC12" s="2354"/>
      <c r="BD12" s="2354"/>
      <c r="BE12" s="2354"/>
      <c r="BF12" s="2354"/>
      <c r="BG12" s="2354"/>
      <c r="BH12" s="2354"/>
      <c r="BI12" s="2354"/>
      <c r="BJ12" s="2354"/>
      <c r="BK12" s="2354"/>
      <c r="BL12" s="2354"/>
      <c r="BM12" s="2354">
        <v>10000</v>
      </c>
      <c r="BN12" s="2354"/>
      <c r="BO12" s="2354"/>
      <c r="BP12" s="2354"/>
      <c r="BQ12" s="2354"/>
      <c r="BR12" s="2354"/>
      <c r="BS12" s="2354"/>
      <c r="BT12" s="2354"/>
      <c r="BU12" s="2354"/>
      <c r="BV12" s="2354"/>
      <c r="BW12" s="2354"/>
      <c r="BX12" s="2354"/>
      <c r="BY12" s="2354"/>
      <c r="BZ12" s="2354"/>
      <c r="CA12" s="2354"/>
      <c r="CB12" s="2354"/>
      <c r="CC12" s="2354"/>
      <c r="CD12" s="2354"/>
      <c r="CE12" s="2354"/>
      <c r="CF12" s="2354"/>
      <c r="CG12" s="2354"/>
      <c r="CH12" s="2354"/>
      <c r="CI12" s="2354"/>
      <c r="CJ12" s="2354"/>
      <c r="CK12" s="2354"/>
      <c r="CL12" s="2354"/>
      <c r="CM12" s="2354"/>
      <c r="CN12" s="2354"/>
      <c r="CO12" s="2354"/>
      <c r="CP12" s="2354"/>
      <c r="CQ12" s="2354"/>
      <c r="CR12" s="2354"/>
      <c r="CS12" s="2354"/>
      <c r="CT12" s="2354"/>
      <c r="CU12" s="2354"/>
      <c r="CV12" s="2354"/>
      <c r="CW12" s="2354"/>
      <c r="CX12" s="2354"/>
      <c r="CY12" s="2354"/>
      <c r="CZ12" s="2354"/>
      <c r="DA12" s="2354"/>
      <c r="DB12" s="2354"/>
      <c r="DC12" s="2354"/>
      <c r="DD12" s="2354">
        <v>5715</v>
      </c>
      <c r="DE12" s="2354"/>
      <c r="DF12" s="2354"/>
      <c r="DG12" s="2354"/>
      <c r="DH12" s="2354"/>
      <c r="DI12" s="2354"/>
      <c r="DJ12" s="2354"/>
      <c r="DK12" s="2354"/>
      <c r="DL12" s="2354"/>
      <c r="DM12" s="2354"/>
      <c r="DN12" s="2354"/>
      <c r="DO12" s="2354"/>
      <c r="DP12" s="2354"/>
      <c r="DQ12" s="2354"/>
      <c r="DR12" s="2354"/>
      <c r="DS12" s="2354"/>
      <c r="DT12" s="2354"/>
      <c r="DU12" s="2354"/>
      <c r="DV12" s="2354"/>
      <c r="DW12" s="2354"/>
      <c r="DX12" s="2354"/>
      <c r="DY12" s="2354"/>
      <c r="DZ12" s="2354"/>
      <c r="EA12" s="2354"/>
      <c r="EB12" s="2354"/>
      <c r="EC12" s="2354"/>
      <c r="ED12" s="2354"/>
      <c r="EE12" s="2354"/>
      <c r="EF12" s="2354"/>
      <c r="EG12" s="2354"/>
      <c r="EH12" s="2354"/>
      <c r="EI12" s="2354"/>
      <c r="EJ12" s="2354"/>
      <c r="EK12" s="2354"/>
      <c r="EL12" s="2354"/>
      <c r="EM12" s="2354"/>
      <c r="EN12" s="2354"/>
      <c r="EO12" s="2354"/>
      <c r="EP12" s="2354"/>
      <c r="EQ12" s="2354"/>
      <c r="ER12" s="2354"/>
      <c r="ES12" s="2354"/>
      <c r="ET12" s="2354"/>
      <c r="EU12" s="2354"/>
      <c r="EV12" s="2354"/>
      <c r="EW12" s="2354"/>
      <c r="EX12" s="2354"/>
      <c r="EY12" s="2354"/>
      <c r="EZ12" s="2354"/>
      <c r="FA12" s="2354"/>
      <c r="FB12" s="2354"/>
      <c r="FC12" s="2354"/>
      <c r="FD12" s="2354"/>
      <c r="FE12" s="2354"/>
      <c r="FF12" s="2354"/>
      <c r="FG12" s="2354"/>
      <c r="FH12" s="2354"/>
      <c r="FI12" s="2354"/>
      <c r="FJ12" s="2354"/>
      <c r="FK12" s="2354"/>
      <c r="FL12" s="2354"/>
      <c r="FM12" s="2354"/>
      <c r="FN12" s="2354"/>
      <c r="FO12" s="2354"/>
      <c r="FP12" s="2354"/>
      <c r="FQ12" s="2354"/>
      <c r="FR12" s="2354"/>
      <c r="FS12" s="2354"/>
      <c r="FT12" s="2354"/>
      <c r="FU12" s="2354"/>
      <c r="FV12" s="2354"/>
      <c r="FW12" s="2354"/>
      <c r="FX12" s="2354"/>
      <c r="FY12" s="2354"/>
      <c r="FZ12" s="2354"/>
      <c r="GA12" s="2354"/>
      <c r="GB12" s="2354"/>
      <c r="GC12" s="2354"/>
      <c r="GD12" s="2354"/>
      <c r="GE12" s="2354">
        <v>10000</v>
      </c>
      <c r="GF12" s="2354"/>
      <c r="GG12" s="2354"/>
      <c r="GH12" s="2354"/>
      <c r="GI12" s="2354"/>
      <c r="GJ12" s="2354"/>
      <c r="GK12" s="2354"/>
      <c r="GL12" s="2354"/>
      <c r="GM12" s="2354"/>
      <c r="GN12" s="2354"/>
      <c r="GO12" s="2354"/>
      <c r="GP12" s="2354"/>
      <c r="GQ12" s="2354"/>
      <c r="GR12" s="2354"/>
      <c r="GS12" s="2354"/>
      <c r="GT12" s="2354"/>
      <c r="GU12" s="2354">
        <v>5715</v>
      </c>
      <c r="GV12" s="2354"/>
      <c r="GW12" s="2354">
        <v>10000</v>
      </c>
      <c r="GX12" s="2354"/>
      <c r="GY12" s="2354"/>
      <c r="GZ12" s="2354"/>
      <c r="HA12" s="2354"/>
      <c r="HB12" s="2354"/>
      <c r="HC12" s="2354"/>
      <c r="HD12" s="2354"/>
      <c r="HE12" s="2354"/>
      <c r="HF12" s="2354"/>
      <c r="HG12" s="2354"/>
      <c r="HH12" s="2354"/>
      <c r="HI12" s="2354"/>
      <c r="HJ12" s="2354"/>
      <c r="HK12" s="2354"/>
      <c r="HL12" s="2354"/>
      <c r="HM12" s="2354"/>
      <c r="HN12" s="2354"/>
      <c r="HO12" s="2354"/>
      <c r="HP12" s="2354"/>
      <c r="HQ12" s="2354"/>
      <c r="HR12" s="2354"/>
      <c r="HS12" s="2354"/>
      <c r="HT12" s="2354"/>
      <c r="HU12" s="2354"/>
      <c r="HV12" s="2354"/>
      <c r="HW12" s="2354"/>
      <c r="HX12" s="2354"/>
      <c r="HY12" s="2354"/>
      <c r="HZ12" s="2354"/>
      <c r="IA12" s="2354"/>
      <c r="IB12" s="2354"/>
      <c r="IC12" s="2354"/>
      <c r="ID12" s="2354"/>
      <c r="IE12" s="2354"/>
      <c r="IF12" s="2354"/>
      <c r="IG12" s="2354"/>
      <c r="IH12" s="2354"/>
      <c r="II12" s="2354"/>
      <c r="IJ12" s="2354">
        <v>10000</v>
      </c>
      <c r="IK12" s="2354"/>
      <c r="IL12" s="2354"/>
      <c r="IM12" s="2354"/>
      <c r="IN12" s="2354"/>
      <c r="IO12" s="2354"/>
      <c r="IP12" s="2354"/>
      <c r="IQ12" s="2354"/>
      <c r="IR12" s="3645"/>
      <c r="IS12" s="2354"/>
      <c r="IT12" s="2354"/>
      <c r="IU12" s="2354"/>
      <c r="IV12" s="2354"/>
      <c r="IW12" s="2354"/>
      <c r="IX12" s="2354"/>
      <c r="IY12" s="2354"/>
      <c r="IZ12" s="2354"/>
      <c r="JA12" s="2354"/>
      <c r="JB12" s="2354"/>
      <c r="JC12" s="2354"/>
      <c r="JD12" s="2354"/>
      <c r="JE12" s="2354"/>
      <c r="JF12" s="2354"/>
      <c r="JG12" s="3764"/>
      <c r="JH12" s="1233"/>
      <c r="JI12" s="1393"/>
    </row>
    <row ht="22.5" r="13" spans="1:269" x14ac:dyDescent="0.2">
      <c r="A13" s="1128">
        <v>5</v>
      </c>
      <c r="B13" s="1375" t="str">
        <f si="2" t="shared"/>
        <v/>
      </c>
      <c r="C13" s="1530" t="s">
        <v>3928</v>
      </c>
      <c r="D13" s="1376" t="s">
        <v>4874</v>
      </c>
      <c r="E13" s="2377"/>
      <c r="F13" s="2377"/>
      <c r="G13" s="2377"/>
      <c r="H13" s="2377"/>
      <c r="I13" s="2377"/>
      <c r="J13" s="2377"/>
      <c r="K13" s="2377"/>
      <c r="L13" s="2377"/>
      <c r="M13" s="2377"/>
      <c r="N13" s="2377"/>
      <c r="O13" s="2377"/>
      <c r="P13" s="2384"/>
      <c r="Q13" s="2384"/>
      <c r="R13" s="2384"/>
      <c r="S13" s="2384"/>
      <c r="T13" s="2384"/>
      <c r="U13" s="2384"/>
      <c r="V13" s="2384"/>
      <c r="W13" s="2384"/>
      <c r="X13" s="2384"/>
      <c r="Y13" s="2384"/>
      <c r="Z13" s="2384"/>
      <c r="AA13" s="2384"/>
      <c r="AB13" s="2384"/>
      <c r="AC13" s="2384"/>
      <c r="AD13" s="2384"/>
      <c r="AE13" s="2384"/>
      <c r="AF13" s="2384"/>
      <c r="AG13" s="2384"/>
      <c r="AH13" s="2384"/>
      <c r="AI13" s="2384"/>
      <c r="AJ13" s="2384"/>
      <c r="AK13" s="2384"/>
      <c r="AL13" s="2384"/>
      <c r="AM13" s="2384"/>
      <c r="AN13" s="2384"/>
      <c r="AO13" s="2384"/>
      <c r="AP13" s="2384"/>
      <c r="AQ13" s="2384"/>
      <c r="AR13" s="2384"/>
      <c r="AS13" s="2384"/>
      <c r="AT13" s="2384"/>
      <c r="AU13" s="2384"/>
      <c r="AV13" s="2384"/>
      <c r="AW13" s="2384">
        <v>5</v>
      </c>
      <c r="AX13" s="2384"/>
      <c r="AY13" s="2384"/>
      <c r="AZ13" s="2384"/>
      <c r="BA13" s="2384"/>
      <c r="BB13" s="2384"/>
      <c r="BC13" s="2384"/>
      <c r="BD13" s="2384"/>
      <c r="BE13" s="2384"/>
      <c r="BF13" s="2384"/>
      <c r="BG13" s="2384"/>
      <c r="BH13" s="2384"/>
      <c r="BI13" s="2384"/>
      <c r="BJ13" s="2384"/>
      <c r="BK13" s="2384"/>
      <c r="BL13" s="2384"/>
      <c r="BM13" s="2384">
        <v>5</v>
      </c>
      <c r="BN13" s="2384"/>
      <c r="BO13" s="2384"/>
      <c r="BP13" s="2384"/>
      <c r="BQ13" s="2384"/>
      <c r="BR13" s="2384"/>
      <c r="BS13" s="2384"/>
      <c r="BT13" s="2384"/>
      <c r="BU13" s="2384"/>
      <c r="BV13" s="2384"/>
      <c r="BW13" s="2384"/>
      <c r="BX13" s="2384"/>
      <c r="BY13" s="2384"/>
      <c r="BZ13" s="2384"/>
      <c r="CA13" s="2384"/>
      <c r="CB13" s="2384"/>
      <c r="CC13" s="2384"/>
      <c r="CD13" s="2384"/>
      <c r="CE13" s="2384"/>
      <c r="CF13" s="2384"/>
      <c r="CG13" s="2384"/>
      <c r="CH13" s="2384"/>
      <c r="CI13" s="2384"/>
      <c r="CJ13" s="2384"/>
      <c r="CK13" s="2384"/>
      <c r="CL13" s="2384"/>
      <c r="CM13" s="2384"/>
      <c r="CN13" s="2384"/>
      <c r="CO13" s="2384"/>
      <c r="CP13" s="2384"/>
      <c r="CQ13" s="2384"/>
      <c r="CR13" s="2384"/>
      <c r="CS13" s="2384"/>
      <c r="CT13" s="2384"/>
      <c r="CU13" s="2384"/>
      <c r="CV13" s="2384"/>
      <c r="CW13" s="2384"/>
      <c r="CX13" s="2384"/>
      <c r="CY13" s="2384"/>
      <c r="CZ13" s="2384"/>
      <c r="DA13" s="2384"/>
      <c r="DB13" s="2384"/>
      <c r="DC13" s="2384"/>
      <c r="DD13" s="2384">
        <v>5</v>
      </c>
      <c r="DE13" s="2384"/>
      <c r="DF13" s="2384"/>
      <c r="DG13" s="2384"/>
      <c r="DH13" s="2384"/>
      <c r="DI13" s="2384"/>
      <c r="DJ13" s="2384"/>
      <c r="DK13" s="2384"/>
      <c r="DL13" s="2384"/>
      <c r="DM13" s="2384"/>
      <c r="DN13" s="2384"/>
      <c r="DO13" s="2384"/>
      <c r="DP13" s="2384"/>
      <c r="DQ13" s="2384"/>
      <c r="DR13" s="2384"/>
      <c r="DS13" s="2384"/>
      <c r="DT13" s="2384"/>
      <c r="DU13" s="2384"/>
      <c r="DV13" s="2384"/>
      <c r="DW13" s="2384"/>
      <c r="DX13" s="2384"/>
      <c r="DY13" s="2384"/>
      <c r="DZ13" s="2384"/>
      <c r="EA13" s="2384"/>
      <c r="EB13" s="2384"/>
      <c r="EC13" s="2384"/>
      <c r="ED13" s="2384"/>
      <c r="EE13" s="2384"/>
      <c r="EF13" s="2384"/>
      <c r="EG13" s="2384"/>
      <c r="EH13" s="2384"/>
      <c r="EI13" s="2384"/>
      <c r="EJ13" s="2384"/>
      <c r="EK13" s="2384"/>
      <c r="EL13" s="2384"/>
      <c r="EM13" s="2384"/>
      <c r="EN13" s="2384"/>
      <c r="EO13" s="2384"/>
      <c r="EP13" s="2384"/>
      <c r="EQ13" s="2384"/>
      <c r="ER13" s="2384"/>
      <c r="ES13" s="2384"/>
      <c r="ET13" s="2384"/>
      <c r="EU13" s="2384"/>
      <c r="EV13" s="2384"/>
      <c r="EW13" s="2384"/>
      <c r="EX13" s="2384"/>
      <c r="EY13" s="2384"/>
      <c r="EZ13" s="2384"/>
      <c r="FA13" s="2384"/>
      <c r="FB13" s="2384"/>
      <c r="FC13" s="2384"/>
      <c r="FD13" s="2384"/>
      <c r="FE13" s="2384"/>
      <c r="FF13" s="2384"/>
      <c r="FG13" s="2384"/>
      <c r="FH13" s="2384"/>
      <c r="FI13" s="2384"/>
      <c r="FJ13" s="2384"/>
      <c r="FK13" s="2384"/>
      <c r="FL13" s="2384"/>
      <c r="FM13" s="2384"/>
      <c r="FN13" s="2384"/>
      <c r="FO13" s="2384"/>
      <c r="FP13" s="2384"/>
      <c r="FQ13" s="2384"/>
      <c r="FR13" s="2384"/>
      <c r="FS13" s="2384"/>
      <c r="FT13" s="2384"/>
      <c r="FU13" s="2384"/>
      <c r="FV13" s="2384"/>
      <c r="FW13" s="2384"/>
      <c r="FX13" s="2384"/>
      <c r="FY13" s="2384"/>
      <c r="FZ13" s="2384"/>
      <c r="GA13" s="2384"/>
      <c r="GB13" s="2384"/>
      <c r="GC13" s="2384"/>
      <c r="GD13" s="2384"/>
      <c r="GE13" s="2384">
        <v>5</v>
      </c>
      <c r="GF13" s="2384"/>
      <c r="GG13" s="2384"/>
      <c r="GH13" s="2384"/>
      <c r="GI13" s="2384"/>
      <c r="GJ13" s="2384"/>
      <c r="GK13" s="2384"/>
      <c r="GL13" s="2384"/>
      <c r="GM13" s="2384"/>
      <c r="GN13" s="2384"/>
      <c r="GO13" s="2384"/>
      <c r="GP13" s="2384"/>
      <c r="GQ13" s="2384"/>
      <c r="GR13" s="2384"/>
      <c r="GS13" s="2384"/>
      <c r="GT13" s="2384"/>
      <c r="GU13" s="2384">
        <v>5</v>
      </c>
      <c r="GV13" s="2384"/>
      <c r="GW13" s="2384">
        <v>5</v>
      </c>
      <c r="GX13" s="2384"/>
      <c r="GY13" s="2384"/>
      <c r="GZ13" s="2384"/>
      <c r="HA13" s="2384"/>
      <c r="HB13" s="2384"/>
      <c r="HC13" s="2384"/>
      <c r="HD13" s="2384"/>
      <c r="HE13" s="2384"/>
      <c r="HF13" s="2384"/>
      <c r="HG13" s="2384"/>
      <c r="HH13" s="2384"/>
      <c r="HI13" s="2384"/>
      <c r="HJ13" s="2384"/>
      <c r="HK13" s="2384"/>
      <c r="HL13" s="2384"/>
      <c r="HM13" s="2384"/>
      <c r="HN13" s="2384"/>
      <c r="HO13" s="2384"/>
      <c r="HP13" s="2384"/>
      <c r="HQ13" s="2384"/>
      <c r="HR13" s="2384"/>
      <c r="HS13" s="2384"/>
      <c r="HT13" s="2384"/>
      <c r="HU13" s="2384"/>
      <c r="HV13" s="2384"/>
      <c r="HW13" s="2384"/>
      <c r="HX13" s="2384"/>
      <c r="HY13" s="2384"/>
      <c r="HZ13" s="2384"/>
      <c r="IA13" s="2384"/>
      <c r="IB13" s="2384"/>
      <c r="IC13" s="2384"/>
      <c r="ID13" s="2384"/>
      <c r="IE13" s="2384"/>
      <c r="IF13" s="2384"/>
      <c r="IG13" s="2384"/>
      <c r="IH13" s="2384"/>
      <c r="II13" s="2384"/>
      <c r="IJ13" s="2384">
        <v>1</v>
      </c>
      <c r="IK13" s="2384"/>
      <c r="IL13" s="2384"/>
      <c r="IM13" s="2384"/>
      <c r="IN13" s="2384"/>
      <c r="IO13" s="2384"/>
      <c r="IP13" s="2384"/>
      <c r="IQ13" s="2384"/>
      <c r="IR13" s="3930"/>
      <c r="IS13" s="2384"/>
      <c r="IT13" s="2384"/>
      <c r="IU13" s="2384"/>
      <c r="IV13" s="2384"/>
      <c r="IW13" s="2384"/>
      <c r="IX13" s="2384"/>
      <c r="IY13" s="2384"/>
      <c r="IZ13" s="2384"/>
      <c r="JA13" s="2384"/>
      <c r="JB13" s="2384"/>
      <c r="JC13" s="2384"/>
      <c r="JD13" s="2384"/>
      <c r="JE13" s="2384"/>
      <c r="JF13" s="2384"/>
      <c r="JG13" s="3347"/>
      <c r="JH13" s="1233"/>
      <c r="JI13" s="1393" t="s">
        <v>5410</v>
      </c>
    </row>
    <row r="14" spans="1:269" x14ac:dyDescent="0.2">
      <c r="A14" s="1128">
        <v>6</v>
      </c>
      <c r="B14" s="1375" t="str">
        <f si="2" t="shared"/>
        <v/>
      </c>
      <c r="C14" s="1530" t="s">
        <v>3929</v>
      </c>
      <c r="D14" s="1376" t="s">
        <v>4876</v>
      </c>
      <c r="E14" s="2366"/>
      <c r="F14" s="2366"/>
      <c r="G14" s="2366"/>
      <c r="H14" s="2366"/>
      <c r="I14" s="2367"/>
      <c r="J14" s="2366"/>
      <c r="K14" s="2366"/>
      <c r="L14" s="2366"/>
      <c r="M14" s="2366"/>
      <c r="N14" s="2366"/>
      <c r="O14" s="2366"/>
      <c r="P14" s="2419"/>
      <c r="Q14" s="2419"/>
      <c r="R14" s="2419"/>
      <c r="S14" s="2419"/>
      <c r="T14" s="2419"/>
      <c r="U14" s="2419"/>
      <c r="V14" s="2419"/>
      <c r="W14" s="2419"/>
      <c r="X14" s="2419"/>
      <c r="Y14" s="2419"/>
      <c r="Z14" s="2419"/>
      <c r="AA14" s="2419"/>
      <c r="AB14" s="2419"/>
      <c r="AC14" s="2419"/>
      <c r="AD14" s="2419"/>
      <c r="AE14" s="2419"/>
      <c r="AF14" s="2419"/>
      <c r="AG14" s="2419"/>
      <c r="AH14" s="2419"/>
      <c r="AI14" s="2419"/>
      <c r="AJ14" s="2419"/>
      <c r="AK14" s="2419"/>
      <c r="AL14" s="2419"/>
      <c r="AM14" s="2419"/>
      <c r="AN14" s="2419"/>
      <c r="AO14" s="2419"/>
      <c r="AP14" s="2419"/>
      <c r="AQ14" s="2419"/>
      <c r="AR14" s="2419"/>
      <c r="AS14" s="2419"/>
      <c r="AT14" s="2419"/>
      <c r="AU14" s="2419"/>
      <c r="AV14" s="2419"/>
      <c r="AW14" s="2419"/>
      <c r="AX14" s="2419"/>
      <c r="AY14" s="2419"/>
      <c r="AZ14" s="2419"/>
      <c r="BA14" s="2419"/>
      <c r="BB14" s="2419"/>
      <c r="BC14" s="2419"/>
      <c r="BD14" s="2419"/>
      <c r="BE14" s="2419"/>
      <c r="BF14" s="2419"/>
      <c r="BG14" s="3948"/>
      <c r="BH14" s="2419"/>
      <c r="BI14" s="2419"/>
      <c r="BJ14" s="2419"/>
      <c r="BK14" s="2419"/>
      <c r="BL14" s="2419"/>
      <c r="BM14" s="2419"/>
      <c r="BN14" s="2419"/>
      <c r="BO14" s="2419"/>
      <c r="BP14" s="2419"/>
      <c r="BQ14" s="2419"/>
      <c r="BR14" s="2419"/>
      <c r="BS14" s="2419"/>
      <c r="BT14" s="2419"/>
      <c r="BU14" s="2419"/>
      <c r="BV14" s="2419"/>
      <c r="BW14" s="2419"/>
      <c r="BX14" s="2419"/>
      <c r="BY14" s="2419"/>
      <c r="BZ14" s="2419"/>
      <c r="CA14" s="2419"/>
      <c r="CB14" s="2419"/>
      <c r="CC14" s="2419"/>
      <c r="CD14" s="2419"/>
      <c r="CE14" s="2419"/>
      <c r="CF14" s="2419"/>
      <c r="CG14" s="2419"/>
      <c r="CH14" s="2419"/>
      <c r="CI14" s="2419"/>
      <c r="CJ14" s="2419"/>
      <c r="CK14" s="2419"/>
      <c r="CL14" s="2419"/>
      <c r="CM14" s="2419"/>
      <c r="CN14" s="2419"/>
      <c r="CO14" s="2419"/>
      <c r="CP14" s="2419"/>
      <c r="CQ14" s="2419"/>
      <c r="CR14" s="2419"/>
      <c r="CS14" s="2419"/>
      <c r="CT14" s="2419"/>
      <c r="CU14" s="2419"/>
      <c r="CV14" s="2419"/>
      <c r="CW14" s="2419"/>
      <c r="CX14" s="2419"/>
      <c r="CY14" s="2419"/>
      <c r="CZ14" s="2419"/>
      <c r="DA14" s="2419"/>
      <c r="DB14" s="2419"/>
      <c r="DC14" s="2419">
        <v>2000</v>
      </c>
      <c r="DD14" s="2419"/>
      <c r="DE14" s="2419"/>
      <c r="DF14" s="2419"/>
      <c r="DG14" s="2419">
        <v>2000</v>
      </c>
      <c r="DH14" s="2419"/>
      <c r="DI14" s="2419"/>
      <c r="DJ14" s="2419"/>
      <c r="DK14" s="2419"/>
      <c r="DL14" s="2419"/>
      <c r="DM14" s="2419"/>
      <c r="DN14" s="2419"/>
      <c r="DO14" s="2419"/>
      <c r="DP14" s="2419"/>
      <c r="DQ14" s="2419"/>
      <c r="DR14" s="2419"/>
      <c r="DS14" s="2419"/>
      <c r="DT14" s="2419"/>
      <c r="DU14" s="2419"/>
      <c r="DV14" s="2419"/>
      <c r="DW14" s="2419"/>
      <c r="DX14" s="2419"/>
      <c r="DY14" s="2419"/>
      <c r="DZ14" s="2419"/>
      <c r="EA14" s="2419"/>
      <c r="EB14" s="2419"/>
      <c r="EC14" s="2419"/>
      <c r="ED14" s="2419"/>
      <c r="EE14" s="2419"/>
      <c r="EF14" s="2419"/>
      <c r="EG14" s="2419"/>
      <c r="EH14" s="2419"/>
      <c r="EI14" s="2419"/>
      <c r="EJ14" s="2419"/>
      <c r="EK14" s="2419"/>
      <c r="EL14" s="2419"/>
      <c r="EM14" s="2419"/>
      <c r="EN14" s="2419"/>
      <c r="EO14" s="2419"/>
      <c r="EP14" s="2419"/>
      <c r="EQ14" s="2419"/>
      <c r="ER14" s="2419"/>
      <c r="ES14" s="2419"/>
      <c r="ET14" s="2419"/>
      <c r="EU14" s="2419"/>
      <c r="EV14" s="2419"/>
      <c r="EW14" s="2419"/>
      <c r="EX14" s="2419"/>
      <c r="EY14" s="2419"/>
      <c r="EZ14" s="2419"/>
      <c r="FA14" s="2419"/>
      <c r="FB14" s="2419"/>
      <c r="FC14" s="2419"/>
      <c r="FD14" s="2419"/>
      <c r="FE14" s="2419"/>
      <c r="FF14" s="2419"/>
      <c r="FG14" s="2419"/>
      <c r="FH14" s="2419"/>
      <c r="FI14" s="2419"/>
      <c r="FJ14" s="2419"/>
      <c r="FK14" s="2419"/>
      <c r="FL14" s="2419"/>
      <c r="FM14" s="2419"/>
      <c r="FN14" s="2419"/>
      <c r="FO14" s="2419"/>
      <c r="FP14" s="2419"/>
      <c r="FQ14" s="2419"/>
      <c r="FR14" s="2419"/>
      <c r="FS14" s="2419"/>
      <c r="FT14" s="2419"/>
      <c r="FU14" s="2419"/>
      <c r="FV14" s="2419"/>
      <c r="FW14" s="2419"/>
      <c r="FX14" s="2419"/>
      <c r="FY14" s="2419"/>
      <c r="FZ14" s="2419"/>
      <c r="GA14" s="2419"/>
      <c r="GB14" s="2419"/>
      <c r="GC14" s="2419"/>
      <c r="GD14" s="2419"/>
      <c r="GE14" s="2419"/>
      <c r="GF14" s="2419"/>
      <c r="GG14" s="2419"/>
      <c r="GH14" s="2419"/>
      <c r="GI14" s="2419"/>
      <c r="GJ14" s="2419">
        <v>2000</v>
      </c>
      <c r="GK14" s="2419"/>
      <c r="GL14" s="2419"/>
      <c r="GM14" s="2419"/>
      <c r="GN14" s="2419"/>
      <c r="GO14" s="2419"/>
      <c r="GP14" s="2419"/>
      <c r="GQ14" s="2419"/>
      <c r="GR14" s="2419"/>
      <c r="GS14" s="2419"/>
      <c r="GT14" s="2419"/>
      <c r="GU14" s="2419"/>
      <c r="GV14" s="2419"/>
      <c r="GW14" s="2419"/>
      <c r="GX14" s="2419"/>
      <c r="GY14" s="2419"/>
      <c r="GZ14" s="2419"/>
      <c r="HA14" s="2419"/>
      <c r="HB14" s="2419"/>
      <c r="HC14" s="2419"/>
      <c r="HD14" s="2419"/>
      <c r="HE14" s="2419"/>
      <c r="HF14" s="2419"/>
      <c r="HG14" s="2419"/>
      <c r="HH14" s="2419"/>
      <c r="HI14" s="2419"/>
      <c r="HJ14" s="2419"/>
      <c r="HK14" s="2419"/>
      <c r="HL14" s="2419"/>
      <c r="HM14" s="2419"/>
      <c r="HN14" s="2419"/>
      <c r="HO14" s="2419"/>
      <c r="HP14" s="2419"/>
      <c r="HQ14" s="2419"/>
      <c r="HR14" s="2419"/>
      <c r="HS14" s="2419"/>
      <c r="HT14" s="2419"/>
      <c r="HU14" s="2419"/>
      <c r="HV14" s="2419"/>
      <c r="HW14" s="2419"/>
      <c r="HX14" s="2419"/>
      <c r="HY14" s="2419"/>
      <c r="HZ14" s="2419"/>
      <c r="IA14" s="2419"/>
      <c r="IB14" s="2419"/>
      <c r="IC14" s="2419"/>
      <c r="ID14" s="2419"/>
      <c r="IE14" s="2419"/>
      <c r="IF14" s="2419"/>
      <c r="IG14" s="2419"/>
      <c r="IH14" s="2419"/>
      <c r="II14" s="2419"/>
      <c r="IJ14" s="2419"/>
      <c r="IK14" s="2419"/>
      <c r="IL14" s="2419"/>
      <c r="IM14" s="2419"/>
      <c r="IN14" s="2419"/>
      <c r="IO14" s="2419"/>
      <c r="IP14" s="2419"/>
      <c r="IQ14" s="2419"/>
      <c r="IR14" s="3645">
        <v>28777</v>
      </c>
      <c r="IS14" s="2419"/>
      <c r="IT14" s="2419"/>
      <c r="IU14" s="2419"/>
      <c r="IV14" s="2419"/>
      <c r="IW14" s="2419"/>
      <c r="IX14" s="2419"/>
      <c r="IY14" s="2419"/>
      <c r="IZ14" s="2419"/>
      <c r="JA14" s="2419"/>
      <c r="JB14" s="2419"/>
      <c r="JC14" s="2419"/>
      <c r="JD14" s="2419"/>
      <c r="JE14" s="2419"/>
      <c r="JF14" s="2419"/>
      <c r="JG14" s="3765"/>
      <c r="JH14" s="1233"/>
      <c r="JI14" s="1393"/>
    </row>
    <row ht="22.5" r="15" spans="1:269" x14ac:dyDescent="0.2">
      <c r="A15" s="1128">
        <v>7</v>
      </c>
      <c r="B15" s="1375" t="str">
        <f si="2" t="shared"/>
        <v/>
      </c>
      <c r="C15" s="1530" t="s">
        <v>3930</v>
      </c>
      <c r="D15" s="1376" t="s">
        <v>4877</v>
      </c>
      <c r="E15" s="2377"/>
      <c r="F15" s="2377"/>
      <c r="G15" s="2377"/>
      <c r="H15" s="2377"/>
      <c r="I15" s="2367"/>
      <c r="J15" s="2377"/>
      <c r="K15" s="2377"/>
      <c r="L15" s="2377"/>
      <c r="M15" s="2377"/>
      <c r="N15" s="2377"/>
      <c r="O15" s="2377"/>
      <c r="P15" s="2384"/>
      <c r="Q15" s="2384"/>
      <c r="R15" s="2384"/>
      <c r="S15" s="2384"/>
      <c r="T15" s="2384"/>
      <c r="U15" s="2384"/>
      <c r="V15" s="2384"/>
      <c r="W15" s="2384"/>
      <c r="X15" s="2384"/>
      <c r="Y15" s="2384"/>
      <c r="Z15" s="2384"/>
      <c r="AA15" s="2384"/>
      <c r="AB15" s="2384"/>
      <c r="AC15" s="2384"/>
      <c r="AD15" s="2384"/>
      <c r="AE15" s="2384"/>
      <c r="AF15" s="2384"/>
      <c r="AG15" s="2384"/>
      <c r="AH15" s="2384"/>
      <c r="AI15" s="2384"/>
      <c r="AJ15" s="2384"/>
      <c r="AK15" s="2384"/>
      <c r="AL15" s="2384"/>
      <c r="AM15" s="2384"/>
      <c r="AN15" s="2384"/>
      <c r="AO15" s="2384"/>
      <c r="AP15" s="2384"/>
      <c r="AQ15" s="2384"/>
      <c r="AR15" s="2384"/>
      <c r="AS15" s="2384"/>
      <c r="AT15" s="2384"/>
      <c r="AU15" s="2384"/>
      <c r="AV15" s="2384"/>
      <c r="AW15" s="2384"/>
      <c r="AX15" s="2384"/>
      <c r="AY15" s="2384"/>
      <c r="AZ15" s="2384"/>
      <c r="BA15" s="2384"/>
      <c r="BB15" s="2384"/>
      <c r="BC15" s="2384"/>
      <c r="BD15" s="2384"/>
      <c r="BE15" s="2384"/>
      <c r="BF15" s="2384"/>
      <c r="BG15" s="3743"/>
      <c r="BH15" s="2384"/>
      <c r="BI15" s="2384"/>
      <c r="BJ15" s="2384"/>
      <c r="BK15" s="2384"/>
      <c r="BL15" s="2384"/>
      <c r="BM15" s="2384"/>
      <c r="BN15" s="2384"/>
      <c r="BO15" s="2384"/>
      <c r="BP15" s="2384"/>
      <c r="BQ15" s="2384"/>
      <c r="BR15" s="2384"/>
      <c r="BS15" s="2384"/>
      <c r="BT15" s="2384"/>
      <c r="BU15" s="2384"/>
      <c r="BV15" s="2384"/>
      <c r="BW15" s="2384"/>
      <c r="BX15" s="2384"/>
      <c r="BY15" s="2384"/>
      <c r="BZ15" s="2384"/>
      <c r="CA15" s="2384"/>
      <c r="CB15" s="2384"/>
      <c r="CC15" s="2384"/>
      <c r="CD15" s="2384"/>
      <c r="CE15" s="2384"/>
      <c r="CF15" s="2384"/>
      <c r="CG15" s="2384"/>
      <c r="CH15" s="2384"/>
      <c r="CI15" s="2384"/>
      <c r="CJ15" s="2384"/>
      <c r="CK15" s="2384"/>
      <c r="CL15" s="2384"/>
      <c r="CM15" s="2384"/>
      <c r="CN15" s="2384"/>
      <c r="CO15" s="2384"/>
      <c r="CP15" s="2384"/>
      <c r="CQ15" s="2384"/>
      <c r="CR15" s="2384"/>
      <c r="CS15" s="2384"/>
      <c r="CT15" s="2384"/>
      <c r="CU15" s="2384"/>
      <c r="CV15" s="2384"/>
      <c r="CW15" s="2384"/>
      <c r="CX15" s="2384"/>
      <c r="CY15" s="2384"/>
      <c r="CZ15" s="2384"/>
      <c r="DA15" s="2384"/>
      <c r="DB15" s="2384"/>
      <c r="DC15" s="2384">
        <v>2</v>
      </c>
      <c r="DD15" s="2384"/>
      <c r="DE15" s="2384"/>
      <c r="DF15" s="2384"/>
      <c r="DG15" s="2384">
        <v>2</v>
      </c>
      <c r="DH15" s="2384"/>
      <c r="DI15" s="2384"/>
      <c r="DJ15" s="2384"/>
      <c r="DK15" s="2384"/>
      <c r="DL15" s="2384"/>
      <c r="DM15" s="2384"/>
      <c r="DN15" s="2384"/>
      <c r="DO15" s="2384"/>
      <c r="DP15" s="2384"/>
      <c r="DQ15" s="2384"/>
      <c r="DR15" s="2384"/>
      <c r="DS15" s="2384"/>
      <c r="DT15" s="2384"/>
      <c r="DU15" s="2384"/>
      <c r="DV15" s="2384"/>
      <c r="DW15" s="2384"/>
      <c r="DX15" s="2384"/>
      <c r="DY15" s="2384"/>
      <c r="DZ15" s="2384"/>
      <c r="EA15" s="2384"/>
      <c r="EB15" s="2384"/>
      <c r="EC15" s="2384"/>
      <c r="ED15" s="2384"/>
      <c r="EE15" s="2384"/>
      <c r="EF15" s="2384"/>
      <c r="EG15" s="2384"/>
      <c r="EH15" s="2384"/>
      <c r="EI15" s="2384"/>
      <c r="EJ15" s="2384"/>
      <c r="EK15" s="2384"/>
      <c r="EL15" s="2384"/>
      <c r="EM15" s="2384"/>
      <c r="EN15" s="2384"/>
      <c r="EO15" s="2384"/>
      <c r="EP15" s="2384"/>
      <c r="EQ15" s="2384"/>
      <c r="ER15" s="2384"/>
      <c r="ES15" s="2384"/>
      <c r="ET15" s="2384"/>
      <c r="EU15" s="2384"/>
      <c r="EV15" s="2384"/>
      <c r="EW15" s="2384"/>
      <c r="EX15" s="2384"/>
      <c r="EY15" s="2384"/>
      <c r="EZ15" s="2384"/>
      <c r="FA15" s="2384"/>
      <c r="FB15" s="2384"/>
      <c r="FC15" s="2384"/>
      <c r="FD15" s="2384"/>
      <c r="FE15" s="2384"/>
      <c r="FF15" s="2384"/>
      <c r="FG15" s="2384"/>
      <c r="FH15" s="2384"/>
      <c r="FI15" s="2384"/>
      <c r="FJ15" s="2384"/>
      <c r="FK15" s="2384"/>
      <c r="FL15" s="2384"/>
      <c r="FM15" s="2384"/>
      <c r="FN15" s="2384"/>
      <c r="FO15" s="2384"/>
      <c r="FP15" s="2384"/>
      <c r="FQ15" s="2384"/>
      <c r="FR15" s="2384"/>
      <c r="FS15" s="2384"/>
      <c r="FT15" s="2384"/>
      <c r="FU15" s="2384"/>
      <c r="FV15" s="2384"/>
      <c r="FW15" s="2384"/>
      <c r="FX15" s="2384"/>
      <c r="FY15" s="2384"/>
      <c r="FZ15" s="2384"/>
      <c r="GA15" s="2384"/>
      <c r="GB15" s="2384"/>
      <c r="GC15" s="2384"/>
      <c r="GD15" s="2384"/>
      <c r="GE15" s="2384"/>
      <c r="GF15" s="2384"/>
      <c r="GG15" s="2384"/>
      <c r="GH15" s="2384"/>
      <c r="GI15" s="2384"/>
      <c r="GJ15" s="2384">
        <v>2</v>
      </c>
      <c r="GK15" s="2384"/>
      <c r="GL15" s="2384"/>
      <c r="GM15" s="2384"/>
      <c r="GN15" s="2384"/>
      <c r="GO15" s="2384"/>
      <c r="GP15" s="2384"/>
      <c r="GQ15" s="2384"/>
      <c r="GR15" s="2384"/>
      <c r="GS15" s="2384"/>
      <c r="GT15" s="2384"/>
      <c r="GU15" s="2384"/>
      <c r="GV15" s="2384"/>
      <c r="GW15" s="2384"/>
      <c r="GX15" s="2384"/>
      <c r="GY15" s="2384"/>
      <c r="GZ15" s="2384"/>
      <c r="HA15" s="2384"/>
      <c r="HB15" s="2384"/>
      <c r="HC15" s="2384"/>
      <c r="HD15" s="2384"/>
      <c r="HE15" s="2384"/>
      <c r="HF15" s="2384"/>
      <c r="HG15" s="2384"/>
      <c r="HH15" s="2384"/>
      <c r="HI15" s="2384"/>
      <c r="HJ15" s="2384"/>
      <c r="HK15" s="2384"/>
      <c r="HL15" s="2384"/>
      <c r="HM15" s="2384"/>
      <c r="HN15" s="2384"/>
      <c r="HO15" s="2384"/>
      <c r="HP15" s="2384"/>
      <c r="HQ15" s="2384"/>
      <c r="HR15" s="2384"/>
      <c r="HS15" s="2384"/>
      <c r="HT15" s="2384"/>
      <c r="HU15" s="2384"/>
      <c r="HV15" s="2384"/>
      <c r="HW15" s="2384"/>
      <c r="HX15" s="2384"/>
      <c r="HY15" s="2384"/>
      <c r="HZ15" s="2384"/>
      <c r="IA15" s="2384"/>
      <c r="IB15" s="2384"/>
      <c r="IC15" s="2384"/>
      <c r="ID15" s="2384"/>
      <c r="IE15" s="2384"/>
      <c r="IF15" s="2384"/>
      <c r="IG15" s="2384"/>
      <c r="IH15" s="2384"/>
      <c r="II15" s="2384"/>
      <c r="IJ15" s="2384"/>
      <c r="IK15" s="2384"/>
      <c r="IL15" s="2384"/>
      <c r="IM15" s="2384"/>
      <c r="IN15" s="2384"/>
      <c r="IO15" s="2384"/>
      <c r="IP15" s="2384"/>
      <c r="IQ15" s="2384"/>
      <c r="IR15" s="3930">
        <v>7</v>
      </c>
      <c r="IS15" s="2384"/>
      <c r="IT15" s="2384"/>
      <c r="IU15" s="2384"/>
      <c r="IV15" s="2384"/>
      <c r="IW15" s="2384"/>
      <c r="IX15" s="2384"/>
      <c r="IY15" s="2384"/>
      <c r="IZ15" s="2384"/>
      <c r="JA15" s="2384"/>
      <c r="JB15" s="2384"/>
      <c r="JC15" s="2384"/>
      <c r="JD15" s="2384"/>
      <c r="JE15" s="2384"/>
      <c r="JF15" s="2384"/>
      <c r="JG15" s="3347"/>
      <c r="JH15" s="1233"/>
      <c r="JI15" s="1393" t="s">
        <v>5410</v>
      </c>
    </row>
    <row r="16" spans="1:269" x14ac:dyDescent="0.2">
      <c r="A16" s="1128">
        <v>8</v>
      </c>
      <c r="B16" s="1375" t="str">
        <f si="2" t="shared"/>
        <v/>
      </c>
      <c r="C16" s="1530" t="s">
        <v>3931</v>
      </c>
      <c r="D16" s="1376" t="s">
        <v>4844</v>
      </c>
      <c r="E16" s="2361">
        <f ref="E16:L16" si="3" t="shared">E14*BR_rate</f>
        <v>0</v>
      </c>
      <c r="F16" s="2361">
        <f si="3" t="shared"/>
        <v>0</v>
      </c>
      <c r="G16" s="2361">
        <f si="3" t="shared"/>
        <v>0</v>
      </c>
      <c r="H16" s="2361">
        <f si="3" t="shared"/>
        <v>0</v>
      </c>
      <c r="I16" s="2361">
        <f si="3" t="shared"/>
        <v>0</v>
      </c>
      <c r="J16" s="2361">
        <f si="3" t="shared"/>
        <v>0</v>
      </c>
      <c r="K16" s="2361">
        <f si="3" t="shared"/>
        <v>0</v>
      </c>
      <c r="L16" s="2361">
        <f si="3" t="shared"/>
        <v>0</v>
      </c>
      <c r="M16" s="2361">
        <f>M14*BR_rate</f>
        <v>0</v>
      </c>
      <c r="N16" s="2361">
        <f>N14*BR_rate</f>
        <v>0</v>
      </c>
      <c r="O16" s="2361">
        <f>O14*BR_rate</f>
        <v>0</v>
      </c>
      <c r="P16" s="2365"/>
      <c r="Q16" s="2365"/>
      <c r="R16" s="2365"/>
      <c r="S16" s="2365"/>
      <c r="T16" s="2365"/>
      <c r="U16" s="2365"/>
      <c r="V16" s="2365"/>
      <c r="W16" s="2365"/>
      <c r="X16" s="2365"/>
      <c r="Y16" s="2365"/>
      <c r="Z16" s="2365"/>
      <c r="AA16" s="2365"/>
      <c r="AB16" s="2365"/>
      <c r="AC16" s="2365"/>
      <c r="AD16" s="2365"/>
      <c r="AE16" s="2365"/>
      <c r="AF16" s="2365"/>
      <c r="AG16" s="2365"/>
      <c r="AH16" s="2365"/>
      <c r="AI16" s="2365"/>
      <c r="AJ16" s="2365"/>
      <c r="AK16" s="2365"/>
      <c r="AL16" s="2365">
        <f>AL14*BR_rate</f>
        <v>0</v>
      </c>
      <c r="AM16" s="2365">
        <f>AM14*BR_rate</f>
        <v>0</v>
      </c>
      <c r="AN16" s="2365">
        <f>AN14*BR_rate</f>
        <v>0</v>
      </c>
      <c r="AO16" s="2365"/>
      <c r="AP16" s="2365"/>
      <c r="AQ16" s="2365"/>
      <c r="AR16" s="2365">
        <f>AR14*BR_rate</f>
        <v>0</v>
      </c>
      <c r="AS16" s="2365">
        <f>AS14*BR_rate</f>
        <v>0</v>
      </c>
      <c r="AT16" s="2365"/>
      <c r="AU16" s="2365"/>
      <c r="AV16" s="2365"/>
      <c r="AW16" s="2365">
        <f>AW14*BR_rate</f>
        <v>0</v>
      </c>
      <c r="AX16" s="2365"/>
      <c r="AY16" s="2365"/>
      <c r="AZ16" s="2365"/>
      <c r="BA16" s="2365"/>
      <c r="BB16" s="2365"/>
      <c r="BC16" s="2365"/>
      <c r="BD16" s="2365">
        <f>BD14*BR_rate</f>
        <v>0</v>
      </c>
      <c r="BE16" s="2365"/>
      <c r="BF16" s="2365"/>
      <c r="BG16" s="2365"/>
      <c r="BH16" s="2365"/>
      <c r="BI16" s="2365"/>
      <c r="BJ16" s="2365"/>
      <c r="BK16" s="2365"/>
      <c r="BL16" s="2365">
        <f>BL14*BR_rate</f>
        <v>0</v>
      </c>
      <c r="BM16" s="2365">
        <f>BM14*BR_rate</f>
        <v>0</v>
      </c>
      <c r="BN16" s="2365"/>
      <c r="BO16" s="2365">
        <f>BO14*BR_rate</f>
        <v>0</v>
      </c>
      <c r="BP16" s="2365"/>
      <c r="BQ16" s="2365"/>
      <c r="BR16" s="2365"/>
      <c r="BS16" s="2365"/>
      <c r="BT16" s="2365"/>
      <c r="BU16" s="2365"/>
      <c r="BV16" s="2365"/>
      <c r="BW16" s="2365"/>
      <c r="BX16" s="2365"/>
      <c r="BY16" s="2365"/>
      <c r="BZ16" s="2365"/>
      <c r="CA16" s="2365"/>
      <c r="CB16" s="2365"/>
      <c r="CC16" s="2365">
        <f>CC14*BR_rate</f>
        <v>0</v>
      </c>
      <c r="CD16" s="2365"/>
      <c r="CE16" s="2365"/>
      <c r="CF16" s="2365"/>
      <c r="CG16" s="2365"/>
      <c r="CH16" s="2365"/>
      <c r="CI16" s="2365"/>
      <c r="CJ16" s="2365">
        <f>CJ14*BR_rate</f>
        <v>0</v>
      </c>
      <c r="CK16" s="2365"/>
      <c r="CL16" s="2365"/>
      <c r="CM16" s="2365"/>
      <c r="CN16" s="2365"/>
      <c r="CO16" s="2365"/>
      <c r="CP16" s="2365"/>
      <c r="CQ16" s="2365"/>
      <c r="CR16" s="2365">
        <f>CR14*BR_rate</f>
        <v>0</v>
      </c>
      <c r="CS16" s="2365">
        <f>CS14*BR_rate</f>
        <v>0</v>
      </c>
      <c r="CT16" s="2365">
        <f>CT14*BR_rate</f>
        <v>0</v>
      </c>
      <c r="CU16" s="2365"/>
      <c r="CV16" s="2365"/>
      <c r="CW16" s="2365"/>
      <c r="CX16" s="2365">
        <f>CX14*BR_rate</f>
        <v>0</v>
      </c>
      <c r="CY16" s="2365">
        <f>CY14*BR_rate</f>
        <v>0</v>
      </c>
      <c r="CZ16" s="2365"/>
      <c r="DA16" s="2365">
        <f>DA14*BR_rate</f>
        <v>0</v>
      </c>
      <c r="DB16" s="2365"/>
      <c r="DC16" s="2365">
        <f>DC14*BR_rate</f>
        <v>400</v>
      </c>
      <c r="DD16" s="2365">
        <f>DD14*BR_rate</f>
        <v>0</v>
      </c>
      <c r="DE16" s="2365">
        <f>DE14*BR_rate</f>
        <v>0</v>
      </c>
      <c r="DF16" s="2365">
        <f>DF14*BR_rate</f>
        <v>0</v>
      </c>
      <c r="DG16" s="2365">
        <f>DG14*BR_rate</f>
        <v>400</v>
      </c>
      <c r="DH16" s="2365"/>
      <c r="DI16" s="2365"/>
      <c r="DJ16" s="2365"/>
      <c r="DK16" s="2365"/>
      <c r="DL16" s="2365"/>
      <c r="DM16" s="2365"/>
      <c r="DN16" s="2365"/>
      <c r="DO16" s="2365"/>
      <c r="DP16" s="2365"/>
      <c r="DQ16" s="2365"/>
      <c r="DR16" s="2365"/>
      <c r="DS16" s="2365"/>
      <c r="DT16" s="2365"/>
      <c r="DU16" s="2365"/>
      <c r="DV16" s="2365"/>
      <c r="DW16" s="2365"/>
      <c r="DX16" s="2365"/>
      <c r="DY16" s="2365"/>
      <c r="DZ16" s="2365"/>
      <c r="EA16" s="2365"/>
      <c r="EB16" s="2365"/>
      <c r="EC16" s="2365"/>
      <c r="ED16" s="2365"/>
      <c r="EE16" s="2365"/>
      <c r="EF16" s="2365"/>
      <c r="EG16" s="2365"/>
      <c r="EH16" s="2365"/>
      <c r="EI16" s="2365"/>
      <c r="EJ16" s="2365">
        <f>EJ14*BR_rate</f>
        <v>0</v>
      </c>
      <c r="EK16" s="2365"/>
      <c r="EL16" s="2365"/>
      <c r="EM16" s="2365"/>
      <c r="EN16" s="2365"/>
      <c r="EO16" s="2365"/>
      <c r="EP16" s="2365"/>
      <c r="EQ16" s="2365"/>
      <c r="ER16" s="2365"/>
      <c r="ES16" s="2365"/>
      <c r="ET16" s="2365">
        <f>ET14*BR_rate</f>
        <v>0</v>
      </c>
      <c r="EU16" s="2365"/>
      <c r="EV16" s="2365"/>
      <c r="EW16" s="2365"/>
      <c r="EX16" s="2365"/>
      <c r="EY16" s="2365"/>
      <c r="EZ16" s="2365"/>
      <c r="FA16" s="2365"/>
      <c r="FB16" s="2365"/>
      <c r="FC16" s="2365"/>
      <c r="FD16" s="2365"/>
      <c r="FE16" s="2365"/>
      <c r="FF16" s="2365"/>
      <c r="FG16" s="2365"/>
      <c r="FH16" s="2365"/>
      <c r="FI16" s="2365"/>
      <c r="FJ16" s="2365"/>
      <c r="FK16" s="2365"/>
      <c r="FL16" s="2365">
        <f>FL14*BR_rate</f>
        <v>0</v>
      </c>
      <c r="FM16" s="2365">
        <f>FM14*BR_rate</f>
        <v>0</v>
      </c>
      <c r="FN16" s="2365">
        <f>FN14*BR_rate</f>
        <v>0</v>
      </c>
      <c r="FO16" s="2365">
        <f>FO14*BR_rate</f>
        <v>0</v>
      </c>
      <c r="FP16" s="2365"/>
      <c r="FQ16" s="2365"/>
      <c r="FR16" s="2365">
        <f>FR14*BR_rate</f>
        <v>0</v>
      </c>
      <c r="FS16" s="2365">
        <f>FS14*BR_rate</f>
        <v>0</v>
      </c>
      <c r="FT16" s="2365"/>
      <c r="FU16" s="2365"/>
      <c r="FV16" s="2365"/>
      <c r="FW16" s="2365"/>
      <c r="FX16" s="2365"/>
      <c r="FY16" s="2365"/>
      <c r="FZ16" s="2365"/>
      <c r="GA16" s="2365"/>
      <c r="GB16" s="2365"/>
      <c r="GC16" s="2365"/>
      <c r="GD16" s="2365"/>
      <c r="GE16" s="2365">
        <f>GE14*BR_rate</f>
        <v>0</v>
      </c>
      <c r="GF16" s="2365"/>
      <c r="GG16" s="2365">
        <f>GG14*BR_rate</f>
        <v>0</v>
      </c>
      <c r="GH16" s="2365"/>
      <c r="GI16" s="2365"/>
      <c r="GJ16" s="2365">
        <f>GJ14*BR_rate</f>
        <v>400</v>
      </c>
      <c r="GK16" s="2365"/>
      <c r="GL16" s="2365"/>
      <c r="GM16" s="2365"/>
      <c r="GN16" s="2365"/>
      <c r="GO16" s="2365"/>
      <c r="GP16" s="2365"/>
      <c r="GQ16" s="2365"/>
      <c r="GR16" s="2365"/>
      <c r="GS16" s="2365"/>
      <c r="GT16" s="2365"/>
      <c r="GU16" s="2365">
        <f>GU14*BR_rate</f>
        <v>0</v>
      </c>
      <c r="GV16" s="2365"/>
      <c r="GW16" s="2365">
        <f>GW14*BR_rate</f>
        <v>0</v>
      </c>
      <c r="GX16" s="2365"/>
      <c r="GY16" s="2365"/>
      <c r="GZ16" s="2365"/>
      <c r="HA16" s="2365"/>
      <c r="HB16" s="2365"/>
      <c r="HC16" s="2365"/>
      <c r="HD16" s="2365"/>
      <c r="HE16" s="2365"/>
      <c r="HF16" s="2365"/>
      <c r="HG16" s="2365"/>
      <c r="HH16" s="2365"/>
      <c r="HI16" s="2365"/>
      <c r="HJ16" s="2365"/>
      <c r="HK16" s="2365"/>
      <c r="HL16" s="2365"/>
      <c r="HM16" s="2365"/>
      <c r="HN16" s="2365"/>
      <c r="HO16" s="2365"/>
      <c r="HP16" s="2365"/>
      <c r="HQ16" s="2365"/>
      <c r="HR16" s="2365"/>
      <c r="HS16" s="2365"/>
      <c r="HT16" s="2365"/>
      <c r="HU16" s="2365"/>
      <c r="HV16" s="2365"/>
      <c r="HW16" s="2365"/>
      <c r="HX16" s="2365"/>
      <c r="HY16" s="2365"/>
      <c r="HZ16" s="2365"/>
      <c r="IA16" s="2365">
        <f>IA14*BR_rate</f>
        <v>0</v>
      </c>
      <c r="IB16" s="2365"/>
      <c r="IC16" s="2365"/>
      <c r="ID16" s="2365"/>
      <c r="IE16" s="2365"/>
      <c r="IF16" s="2365"/>
      <c r="IG16" s="2365"/>
      <c r="IH16" s="2365"/>
      <c r="II16" s="2365"/>
      <c r="IJ16" s="2365">
        <f>IJ14*BR_rate</f>
        <v>0</v>
      </c>
      <c r="IK16" s="2365"/>
      <c r="IL16" s="2365"/>
      <c r="IM16" s="2365"/>
      <c r="IN16" s="2365"/>
      <c r="IO16" s="2365"/>
      <c r="IP16" s="2365"/>
      <c r="IQ16" s="2365"/>
      <c r="IR16" s="3645">
        <v>5799.2</v>
      </c>
      <c r="IS16" s="2365"/>
      <c r="IT16" s="2365"/>
      <c r="IU16" s="2365"/>
      <c r="IV16" s="2365"/>
      <c r="IW16" s="2365"/>
      <c r="IX16" s="2365"/>
      <c r="IY16" s="2365"/>
      <c r="IZ16" s="2365"/>
      <c r="JA16" s="2365"/>
      <c r="JB16" s="2365"/>
      <c r="JC16" s="2365"/>
      <c r="JD16" s="2365"/>
      <c r="JE16" s="2365"/>
      <c r="JF16" s="2365"/>
      <c r="JG16" s="3747"/>
      <c r="JH16" s="1233"/>
      <c r="JI16" s="1393"/>
    </row>
    <row ht="12.75" r="17" spans="1:269" thickBot="1" x14ac:dyDescent="0.25">
      <c r="A17" s="1128">
        <v>9</v>
      </c>
      <c r="B17" s="1375" t="str">
        <f si="2" t="shared"/>
        <v/>
      </c>
      <c r="C17" s="1531" t="s">
        <v>1184</v>
      </c>
      <c r="D17" s="1253" t="s">
        <v>1522</v>
      </c>
      <c r="E17" s="2375"/>
      <c r="F17" s="2375"/>
      <c r="G17" s="2375"/>
      <c r="H17" s="2375"/>
      <c r="I17" s="2375"/>
      <c r="J17" s="2375"/>
      <c r="K17" s="2375"/>
      <c r="L17" s="2375"/>
      <c r="M17" s="2375"/>
      <c r="N17" s="2375"/>
      <c r="O17" s="2375"/>
      <c r="P17" s="2420"/>
      <c r="Q17" s="2420"/>
      <c r="R17" s="2420"/>
      <c r="S17" s="2420"/>
      <c r="T17" s="2420"/>
      <c r="U17" s="2420"/>
      <c r="V17" s="2420"/>
      <c r="W17" s="2420"/>
      <c r="X17" s="2420"/>
      <c r="Y17" s="2420"/>
      <c r="Z17" s="2420"/>
      <c r="AA17" s="2420"/>
      <c r="AB17" s="2420"/>
      <c r="AC17" s="2420"/>
      <c r="AD17" s="2420"/>
      <c r="AE17" s="2420"/>
      <c r="AF17" s="2420"/>
      <c r="AG17" s="2420"/>
      <c r="AH17" s="2420"/>
      <c r="AI17" s="2420"/>
      <c r="AJ17" s="2420"/>
      <c r="AK17" s="2420"/>
      <c r="AL17" s="2420">
        <v>14755</v>
      </c>
      <c r="AM17" s="2420">
        <v>14755</v>
      </c>
      <c r="AN17" s="2420">
        <v>14755</v>
      </c>
      <c r="AO17" s="2420"/>
      <c r="AP17" s="2420"/>
      <c r="AQ17" s="2420"/>
      <c r="AR17" s="2420"/>
      <c r="AS17" s="2420"/>
      <c r="AT17" s="2420"/>
      <c r="AU17" s="2420"/>
      <c r="AV17" s="2420"/>
      <c r="AW17" s="2420"/>
      <c r="AX17" s="2420"/>
      <c r="AY17" s="2420"/>
      <c r="AZ17" s="2420"/>
      <c r="BA17" s="2420"/>
      <c r="BB17" s="2420"/>
      <c r="BC17" s="2420"/>
      <c r="BD17" s="2420"/>
      <c r="BE17" s="2420"/>
      <c r="BF17" s="2420"/>
      <c r="BG17" s="2420"/>
      <c r="BH17" s="2420"/>
      <c r="BI17" s="2420"/>
      <c r="BJ17" s="2420"/>
      <c r="BK17" s="2420"/>
      <c r="BL17" s="2420"/>
      <c r="BM17" s="2420"/>
      <c r="BN17" s="2420"/>
      <c r="BO17" s="2420">
        <v>14755</v>
      </c>
      <c r="BP17" s="2420"/>
      <c r="BQ17" s="2420"/>
      <c r="BR17" s="2420"/>
      <c r="BS17" s="2420"/>
      <c r="BT17" s="2420"/>
      <c r="BU17" s="2420"/>
      <c r="BV17" s="2420"/>
      <c r="BW17" s="2420"/>
      <c r="BX17" s="2420"/>
      <c r="BY17" s="2420"/>
      <c r="BZ17" s="2420"/>
      <c r="CA17" s="2420"/>
      <c r="CB17" s="2420"/>
      <c r="CC17" s="2420"/>
      <c r="CD17" s="2420"/>
      <c r="CE17" s="2420"/>
      <c r="CF17" s="2420"/>
      <c r="CG17" s="2420"/>
      <c r="CH17" s="2420"/>
      <c r="CI17" s="2420"/>
      <c r="CJ17" s="2420"/>
      <c r="CK17" s="2420"/>
      <c r="CL17" s="2420"/>
      <c r="CM17" s="2420"/>
      <c r="CN17" s="2420"/>
      <c r="CO17" s="2420"/>
      <c r="CP17" s="2420"/>
      <c r="CQ17" s="2420"/>
      <c r="CR17" s="2420">
        <v>33000</v>
      </c>
      <c r="CS17" s="2420">
        <v>33000</v>
      </c>
      <c r="CT17" s="2420"/>
      <c r="CU17" s="2420"/>
      <c r="CV17" s="2420"/>
      <c r="CW17" s="2420"/>
      <c r="CX17" s="2420"/>
      <c r="CY17" s="2420">
        <v>33000</v>
      </c>
      <c r="CZ17" s="2420"/>
      <c r="DA17" s="2420"/>
      <c r="DB17" s="2420"/>
      <c r="DC17" s="2420"/>
      <c r="DD17" s="2420"/>
      <c r="DE17" s="2420"/>
      <c r="DF17" s="2420"/>
      <c r="DG17" s="2420"/>
      <c r="DH17" s="2420"/>
      <c r="DI17" s="2420"/>
      <c r="DJ17" s="2420"/>
      <c r="DK17" s="2420"/>
      <c r="DL17" s="2420"/>
      <c r="DM17" s="2420"/>
      <c r="DN17" s="2420"/>
      <c r="DO17" s="2420"/>
      <c r="DP17" s="2420"/>
      <c r="DQ17" s="2420"/>
      <c r="DR17" s="2420"/>
      <c r="DS17" s="2420"/>
      <c r="DT17" s="2420"/>
      <c r="DU17" s="2420"/>
      <c r="DV17" s="2420"/>
      <c r="DW17" s="2420"/>
      <c r="DX17" s="2420"/>
      <c r="DY17" s="2420"/>
      <c r="DZ17" s="2420"/>
      <c r="EA17" s="2420"/>
      <c r="EB17" s="2420"/>
      <c r="EC17" s="2420"/>
      <c r="ED17" s="2420"/>
      <c r="EE17" s="2420"/>
      <c r="EF17" s="2420"/>
      <c r="EG17" s="2420"/>
      <c r="EH17" s="2420"/>
      <c r="EI17" s="2420"/>
      <c r="EJ17" s="2420"/>
      <c r="EK17" s="2420"/>
      <c r="EL17" s="2420"/>
      <c r="EM17" s="2420"/>
      <c r="EN17" s="2420"/>
      <c r="EO17" s="2420"/>
      <c r="EP17" s="2420"/>
      <c r="EQ17" s="2420"/>
      <c r="ER17" s="2420"/>
      <c r="ES17" s="2420"/>
      <c r="ET17" s="2420"/>
      <c r="EU17" s="2420"/>
      <c r="EV17" s="2420"/>
      <c r="EW17" s="2420"/>
      <c r="EX17" s="2420"/>
      <c r="EY17" s="2420"/>
      <c r="EZ17" s="2420"/>
      <c r="FA17" s="2420"/>
      <c r="FB17" s="2420"/>
      <c r="FC17" s="2420"/>
      <c r="FD17" s="2420"/>
      <c r="FE17" s="2420"/>
      <c r="FF17" s="2420"/>
      <c r="FG17" s="2420"/>
      <c r="FH17" s="2420"/>
      <c r="FI17" s="2420"/>
      <c r="FJ17" s="2420"/>
      <c r="FK17" s="2420"/>
      <c r="FL17" s="2420"/>
      <c r="FM17" s="2420"/>
      <c r="FN17" s="2420">
        <v>33000</v>
      </c>
      <c r="FO17" s="2420">
        <v>33000</v>
      </c>
      <c r="FP17" s="2420"/>
      <c r="FQ17" s="2420"/>
      <c r="FR17" s="2420"/>
      <c r="FS17" s="2420"/>
      <c r="FT17" s="2420"/>
      <c r="FU17" s="2420"/>
      <c r="FV17" s="2420"/>
      <c r="FW17" s="2420"/>
      <c r="FX17" s="2420"/>
      <c r="FY17" s="2420"/>
      <c r="FZ17" s="2420"/>
      <c r="GA17" s="2420"/>
      <c r="GB17" s="2420"/>
      <c r="GC17" s="2420"/>
      <c r="GD17" s="2420"/>
      <c r="GE17" s="2420"/>
      <c r="GF17" s="2420"/>
      <c r="GG17" s="2420"/>
      <c r="GH17" s="2420"/>
      <c r="GI17" s="2420"/>
      <c r="GJ17" s="2420"/>
      <c r="GK17" s="2420"/>
      <c r="GL17" s="2420"/>
      <c r="GM17" s="2420"/>
      <c r="GN17" s="2420"/>
      <c r="GO17" s="2420"/>
      <c r="GP17" s="2420"/>
      <c r="GQ17" s="2420"/>
      <c r="GR17" s="2420"/>
      <c r="GS17" s="2420"/>
      <c r="GT17" s="2420"/>
      <c r="GU17" s="2420"/>
      <c r="GV17" s="2420"/>
      <c r="GW17" s="2420"/>
      <c r="GX17" s="2420"/>
      <c r="GY17" s="2420"/>
      <c r="GZ17" s="2420"/>
      <c r="HA17" s="2420"/>
      <c r="HB17" s="2420"/>
      <c r="HC17" s="2420"/>
      <c r="HD17" s="2420"/>
      <c r="HE17" s="2420"/>
      <c r="HF17" s="2420"/>
      <c r="HG17" s="2420"/>
      <c r="HH17" s="2420"/>
      <c r="HI17" s="2420"/>
      <c r="HJ17" s="2420"/>
      <c r="HK17" s="2420"/>
      <c r="HL17" s="2420"/>
      <c r="HM17" s="2420"/>
      <c r="HN17" s="2420"/>
      <c r="HO17" s="2420"/>
      <c r="HP17" s="2420"/>
      <c r="HQ17" s="2420"/>
      <c r="HR17" s="2420"/>
      <c r="HS17" s="2420"/>
      <c r="HT17" s="2420"/>
      <c r="HU17" s="2420"/>
      <c r="HV17" s="2420"/>
      <c r="HW17" s="2420"/>
      <c r="HX17" s="2420"/>
      <c r="HY17" s="2420"/>
      <c r="HZ17" s="2420"/>
      <c r="IA17" s="2420"/>
      <c r="IB17" s="2420"/>
      <c r="IC17" s="2420"/>
      <c r="ID17" s="2420"/>
      <c r="IE17" s="2420"/>
      <c r="IF17" s="2420"/>
      <c r="IG17" s="2420"/>
      <c r="IH17" s="2420"/>
      <c r="II17" s="2420"/>
      <c r="IJ17" s="2420"/>
      <c r="IK17" s="2420"/>
      <c r="IL17" s="2420"/>
      <c r="IM17" s="2420"/>
      <c r="IN17" s="2420"/>
      <c r="IO17" s="2420"/>
      <c r="IP17" s="2420"/>
      <c r="IQ17" s="2420"/>
      <c r="IR17" s="3931"/>
      <c r="IS17" s="2420"/>
      <c r="IT17" s="2420"/>
      <c r="IU17" s="2420"/>
      <c r="IV17" s="2420"/>
      <c r="IW17" s="2420"/>
      <c r="IX17" s="2420"/>
      <c r="IY17" s="2420"/>
      <c r="IZ17" s="2420"/>
      <c r="JA17" s="2420"/>
      <c r="JB17" s="2420"/>
      <c r="JC17" s="2420"/>
      <c r="JD17" s="2420"/>
      <c r="JE17" s="2420"/>
      <c r="JF17" s="2420"/>
      <c r="JG17" s="3766"/>
      <c r="JH17" s="1233"/>
      <c r="JI17" s="1393"/>
    </row>
    <row r="18" spans="1:269" x14ac:dyDescent="0.2">
      <c r="C18" s="673"/>
      <c r="D18" s="673"/>
      <c r="E18" s="2418"/>
      <c r="F18" s="2418"/>
      <c r="G18" s="2418"/>
      <c r="H18" s="2418"/>
      <c r="I18" s="2418"/>
      <c r="J18" s="2418"/>
      <c r="K18" s="2418"/>
      <c r="L18" s="34"/>
      <c r="M18" s="34"/>
      <c r="N18" s="34"/>
      <c r="O18" s="34"/>
      <c r="P18" s="34"/>
      <c r="Q18" s="34"/>
      <c r="R18" s="34"/>
      <c r="S18" s="34"/>
      <c r="T18" s="34"/>
      <c r="U18" s="34"/>
      <c r="V18" s="34"/>
      <c r="W18" s="34"/>
      <c r="X18" s="34"/>
      <c r="Y18" s="34"/>
      <c r="Z18" s="34"/>
      <c r="AA18" s="34"/>
      <c r="AB18" s="34"/>
      <c r="AC18" s="34"/>
      <c r="AI18" s="34"/>
      <c r="AJ18" s="34"/>
      <c r="AK18" s="34"/>
      <c r="AL18" s="34"/>
      <c r="AM18" s="34"/>
      <c r="AN18" s="34"/>
      <c r="AO18" s="34"/>
      <c r="AP18" s="34"/>
      <c r="AQ18" s="34"/>
      <c r="AR18" s="34"/>
      <c r="AS18" s="34"/>
      <c r="AT18" s="34"/>
      <c r="AU18" s="34"/>
      <c r="AV18" s="34"/>
      <c r="AW18" s="34"/>
      <c r="AX18" s="34"/>
      <c r="AY18" s="34"/>
      <c r="AZ18" s="34"/>
      <c r="BA18" s="34"/>
      <c r="BB18" s="34"/>
      <c r="BC18" s="34"/>
      <c r="BD18" s="34"/>
      <c r="BE18" s="34"/>
      <c r="BF18" s="34"/>
      <c r="BG18" s="34"/>
      <c r="BH18" s="34"/>
      <c r="BI18" s="34"/>
      <c r="BJ18" s="34"/>
      <c r="BK18" s="34"/>
      <c r="BL18" s="34"/>
      <c r="BM18" s="34"/>
      <c r="BN18" s="34"/>
      <c r="BO18" s="34"/>
      <c r="BP18" s="34"/>
      <c r="BQ18" s="34"/>
      <c r="BR18" s="34"/>
      <c r="BS18" s="34"/>
      <c r="BT18" s="34"/>
      <c r="BU18" s="34"/>
      <c r="BV18" s="34"/>
      <c r="BW18" s="34"/>
      <c r="BX18" s="34"/>
      <c r="BY18" s="34"/>
      <c r="BZ18" s="34"/>
      <c r="CA18" s="34"/>
      <c r="CB18" s="34"/>
      <c r="CC18" s="34"/>
      <c r="CD18" s="34"/>
      <c r="CE18" s="34"/>
      <c r="CF18" s="34"/>
      <c r="CG18" s="34"/>
      <c r="CH18" s="34"/>
      <c r="CI18" s="34"/>
      <c r="CJ18" s="34"/>
      <c r="CK18" s="34"/>
      <c r="CL18" s="34"/>
      <c r="CM18" s="34"/>
      <c r="CN18" s="34"/>
      <c r="CO18" s="34"/>
      <c r="CP18" s="34"/>
      <c r="CQ18" s="34"/>
      <c r="CR18" s="34"/>
      <c r="CS18" s="34"/>
      <c r="CT18" s="34"/>
      <c r="CU18" s="34"/>
      <c r="CV18" s="34"/>
      <c r="CW18" s="34"/>
      <c r="CX18" s="34"/>
      <c r="CY18" s="34"/>
      <c r="CZ18" s="34"/>
      <c r="DA18" s="34"/>
      <c r="DB18" s="34"/>
      <c r="DC18" s="34"/>
      <c r="DD18" s="34"/>
      <c r="DE18" s="34"/>
      <c r="DF18" s="34"/>
      <c r="DG18" s="34"/>
      <c r="DH18" s="34"/>
      <c r="DI18" s="34"/>
      <c r="DJ18" s="34"/>
      <c r="DK18" s="34"/>
      <c r="DL18" s="34"/>
      <c r="DM18" s="34"/>
      <c r="DN18" s="34"/>
      <c r="DO18" s="34"/>
      <c r="DP18" s="34"/>
      <c r="DQ18" s="34"/>
      <c r="DR18" s="34"/>
      <c r="DS18" s="34"/>
      <c r="DT18" s="34"/>
      <c r="DU18" s="34"/>
      <c r="DV18" s="34"/>
      <c r="DW18" s="34"/>
      <c r="DX18" s="34"/>
      <c r="DY18" s="34"/>
      <c r="DZ18" s="34"/>
      <c r="EA18" s="34"/>
      <c r="EB18" s="34"/>
      <c r="EC18" s="34"/>
      <c r="ED18" s="34"/>
      <c r="EE18" s="34"/>
      <c r="EF18" s="34"/>
      <c r="EG18" s="34"/>
      <c r="EH18" s="34"/>
      <c r="EI18" s="34"/>
      <c r="EJ18" s="34"/>
      <c r="EK18" s="34"/>
      <c r="EL18" s="34"/>
      <c r="EM18" s="34"/>
      <c r="EN18" s="34"/>
      <c r="EO18" s="34"/>
      <c r="EP18" s="34"/>
      <c r="EQ18" s="34"/>
      <c r="ER18" s="34"/>
      <c r="ES18" s="34"/>
      <c r="ET18" s="34"/>
      <c r="EU18" s="34"/>
      <c r="EV18" s="34"/>
      <c r="EW18" s="34"/>
      <c r="EX18" s="34"/>
      <c r="EY18" s="34"/>
      <c r="EZ18" s="34"/>
      <c r="FA18" s="34"/>
      <c r="FB18" s="34"/>
      <c r="FC18" s="34"/>
      <c r="FD18" s="34"/>
      <c r="FE18" s="34"/>
      <c r="FF18" s="34"/>
      <c r="FG18" s="34"/>
      <c r="FH18" s="34"/>
      <c r="FI18" s="34"/>
      <c r="FJ18" s="34"/>
      <c r="FK18" s="34"/>
      <c r="FL18" s="34"/>
      <c r="FM18" s="34"/>
      <c r="FN18" s="34"/>
      <c r="FO18" s="34"/>
      <c r="FP18" s="34"/>
      <c r="FQ18" s="34"/>
      <c r="FR18" s="34"/>
      <c r="FS18" s="34"/>
      <c r="FT18" s="34"/>
      <c r="FU18" s="34"/>
      <c r="FV18" s="34"/>
      <c r="FW18" s="34"/>
      <c r="FX18" s="34"/>
      <c r="FY18" s="34"/>
      <c r="FZ18" s="34"/>
      <c r="GA18" s="34"/>
      <c r="GB18" s="34"/>
      <c r="GC18" s="34"/>
      <c r="GD18" s="34"/>
      <c r="GE18" s="34"/>
      <c r="GF18" s="34"/>
      <c r="GG18" s="34"/>
      <c r="GH18" s="34"/>
      <c r="GI18" s="34"/>
      <c r="GJ18" s="34"/>
      <c r="GK18" s="34"/>
      <c r="GL18" s="34"/>
      <c r="GM18" s="34"/>
      <c r="GN18" s="34"/>
      <c r="GO18" s="34"/>
      <c r="GP18" s="34"/>
      <c r="GQ18" s="34"/>
      <c r="GR18" s="34"/>
      <c r="GS18" s="34"/>
      <c r="GT18" s="34"/>
      <c r="GU18" s="34"/>
      <c r="GV18" s="34"/>
      <c r="GW18" s="34"/>
      <c r="GX18" s="34"/>
      <c r="GY18" s="34"/>
      <c r="GZ18" s="34"/>
      <c r="HA18" s="34"/>
      <c r="HB18" s="34"/>
      <c r="HC18" s="34"/>
      <c r="HD18" s="34"/>
      <c r="HE18" s="34"/>
      <c r="HF18" s="34"/>
      <c r="HG18" s="34"/>
      <c r="HH18" s="34"/>
      <c r="HI18" s="34"/>
      <c r="HJ18" s="34"/>
      <c r="HK18" s="34"/>
      <c r="HL18" s="34"/>
      <c r="HM18" s="34"/>
      <c r="HN18" s="34"/>
      <c r="HO18" s="34"/>
      <c r="HP18" s="34"/>
      <c r="HQ18" s="34"/>
      <c r="HR18" s="34"/>
      <c r="HS18" s="34"/>
      <c r="HT18" s="34"/>
      <c r="HU18" s="34"/>
      <c r="HV18" s="34"/>
      <c r="HW18" s="34"/>
      <c r="HX18" s="34"/>
      <c r="HY18" s="34"/>
      <c r="HZ18" s="34"/>
      <c r="IA18" s="34"/>
      <c r="IB18" s="34"/>
      <c r="IC18" s="34"/>
      <c r="ID18" s="34"/>
      <c r="IE18" s="34"/>
      <c r="IF18" s="34"/>
      <c r="IG18" s="34"/>
      <c r="IH18" s="34"/>
      <c r="II18" s="34"/>
      <c r="IJ18" s="34"/>
      <c r="IK18" s="34"/>
      <c r="IL18" s="34"/>
      <c r="IM18" s="34"/>
      <c r="IN18" s="34"/>
      <c r="IO18" s="34"/>
      <c r="IP18" s="34"/>
      <c r="IQ18" s="34"/>
      <c r="IR18" s="34"/>
      <c r="IS18" s="34"/>
      <c r="IT18" s="34"/>
      <c r="IU18" s="34"/>
      <c r="IV18" s="34"/>
      <c r="IW18" s="34"/>
      <c r="IX18" s="34"/>
      <c r="IY18" s="34"/>
      <c r="IZ18" s="34"/>
      <c r="JI18" s="6"/>
    </row>
    <row ht="12.75" r="19" spans="1:269" thickBot="1" x14ac:dyDescent="0.25">
      <c r="C19" s="673" t="s">
        <v>3673</v>
      </c>
      <c r="D19" s="673"/>
      <c r="E19" s="2418"/>
      <c r="F19" s="2418"/>
      <c r="G19" s="2418"/>
      <c r="H19" s="2418"/>
      <c r="I19" s="2418"/>
      <c r="J19" s="2418"/>
      <c r="K19" s="2418"/>
      <c r="L19" s="34"/>
      <c r="M19" s="34"/>
      <c r="N19" s="34"/>
      <c r="O19" s="34"/>
      <c r="P19" s="34"/>
      <c r="Q19" s="34"/>
      <c r="R19" s="34"/>
      <c r="S19" s="34"/>
      <c r="T19" s="34"/>
      <c r="U19" s="34"/>
      <c r="V19" s="34"/>
      <c r="W19" s="34"/>
      <c r="X19" s="34"/>
      <c r="Y19" s="34"/>
      <c r="Z19" s="34"/>
      <c r="AA19" s="34"/>
      <c r="AB19" s="34"/>
      <c r="AC19" s="34"/>
      <c r="AI19" s="34"/>
      <c r="AJ19" s="34"/>
      <c r="AK19" s="34"/>
      <c r="AL19" s="34"/>
      <c r="AM19" s="34"/>
      <c r="AN19" s="34"/>
      <c r="AO19" s="34"/>
      <c r="AP19" s="34"/>
      <c r="AQ19" s="34"/>
      <c r="AR19" s="34"/>
      <c r="AS19" s="34"/>
      <c r="AT19" s="34"/>
      <c r="AU19" s="34"/>
      <c r="AV19" s="34"/>
      <c r="AW19" s="34"/>
      <c r="AX19" s="34"/>
      <c r="AY19" s="34"/>
      <c r="AZ19" s="34"/>
      <c r="BA19" s="34"/>
      <c r="BB19" s="34"/>
      <c r="BC19" s="34"/>
      <c r="BD19" s="34"/>
      <c r="BE19" s="34"/>
      <c r="BF19" s="34"/>
      <c r="BG19" s="34"/>
      <c r="BH19" s="34"/>
      <c r="BI19" s="34"/>
      <c r="BJ19" s="34"/>
      <c r="BK19" s="34"/>
      <c r="BL19" s="34"/>
      <c r="BM19" s="34"/>
      <c r="BN19" s="34"/>
      <c r="BO19" s="34"/>
      <c r="BP19" s="34"/>
      <c r="BQ19" s="34"/>
      <c r="BR19" s="34"/>
      <c r="BS19" s="34"/>
      <c r="BT19" s="34"/>
      <c r="BU19" s="34"/>
      <c r="BV19" s="34"/>
      <c r="BW19" s="34"/>
      <c r="BX19" s="34"/>
      <c r="BY19" s="34"/>
      <c r="BZ19" s="34"/>
      <c r="CA19" s="34"/>
      <c r="CB19" s="34"/>
      <c r="CC19" s="34"/>
      <c r="CD19" s="34"/>
      <c r="CE19" s="34"/>
      <c r="CF19" s="34"/>
      <c r="CG19" s="34"/>
      <c r="CH19" s="34"/>
      <c r="CI19" s="34"/>
      <c r="CJ19" s="34"/>
      <c r="CK19" s="34"/>
      <c r="CL19" s="34"/>
      <c r="CM19" s="34"/>
      <c r="CN19" s="34"/>
      <c r="CO19" s="34"/>
      <c r="CP19" s="34"/>
      <c r="CQ19" s="34"/>
      <c r="CR19" s="34"/>
      <c r="CS19" s="34"/>
      <c r="CT19" s="34"/>
      <c r="CU19" s="34"/>
      <c r="CV19" s="34"/>
      <c r="CW19" s="34"/>
      <c r="CX19" s="34"/>
      <c r="CY19" s="34"/>
      <c r="CZ19" s="34"/>
      <c r="DA19" s="34"/>
      <c r="DB19" s="34"/>
      <c r="DC19" s="34"/>
      <c r="DD19" s="34"/>
      <c r="DE19" s="34"/>
      <c r="DF19" s="34"/>
      <c r="DG19" s="34"/>
      <c r="DH19" s="34"/>
      <c r="DI19" s="34"/>
      <c r="DJ19" s="34"/>
      <c r="DK19" s="34"/>
      <c r="DL19" s="34"/>
      <c r="DM19" s="34"/>
      <c r="DN19" s="34"/>
      <c r="DO19" s="34"/>
      <c r="DP19" s="34"/>
      <c r="DQ19" s="34"/>
      <c r="DR19" s="34"/>
      <c r="DS19" s="34"/>
      <c r="DT19" s="34"/>
      <c r="DU19" s="34"/>
      <c r="DV19" s="34"/>
      <c r="DW19" s="34"/>
      <c r="DX19" s="34"/>
      <c r="DY19" s="34"/>
      <c r="DZ19" s="34"/>
      <c r="EA19" s="34"/>
      <c r="EB19" s="34"/>
      <c r="EC19" s="34"/>
      <c r="ED19" s="34"/>
      <c r="EE19" s="34"/>
      <c r="EF19" s="34"/>
      <c r="EG19" s="34"/>
      <c r="EH19" s="34"/>
      <c r="EI19" s="34"/>
      <c r="EJ19" s="34"/>
      <c r="EK19" s="34"/>
      <c r="EL19" s="34"/>
      <c r="EM19" s="34"/>
      <c r="EN19" s="34"/>
      <c r="EO19" s="34"/>
      <c r="EP19" s="34"/>
      <c r="EQ19" s="34"/>
      <c r="ER19" s="34"/>
      <c r="ES19" s="34"/>
      <c r="ET19" s="34"/>
      <c r="EU19" s="34"/>
      <c r="EV19" s="34"/>
      <c r="EW19" s="34"/>
      <c r="EX19" s="34"/>
      <c r="EY19" s="34"/>
      <c r="EZ19" s="34"/>
      <c r="FA19" s="34"/>
      <c r="FB19" s="34"/>
      <c r="FC19" s="34"/>
      <c r="FD19" s="34"/>
      <c r="FE19" s="34"/>
      <c r="FF19" s="34"/>
      <c r="FG19" s="34"/>
      <c r="FH19" s="34"/>
      <c r="FI19" s="34"/>
      <c r="FJ19" s="34"/>
      <c r="FK19" s="34"/>
      <c r="FL19" s="34"/>
      <c r="FM19" s="34"/>
      <c r="FN19" s="34"/>
      <c r="FO19" s="34"/>
      <c r="FP19" s="34"/>
      <c r="FQ19" s="34"/>
      <c r="FR19" s="34"/>
      <c r="FS19" s="34"/>
      <c r="FT19" s="34"/>
      <c r="FU19" s="34"/>
      <c r="FV19" s="34"/>
      <c r="FW19" s="34"/>
      <c r="FX19" s="34"/>
      <c r="FY19" s="34"/>
      <c r="FZ19" s="34"/>
      <c r="GA19" s="34"/>
      <c r="GB19" s="34"/>
      <c r="GC19" s="34"/>
      <c r="GD19" s="34"/>
      <c r="GE19" s="34"/>
      <c r="GF19" s="34"/>
      <c r="GG19" s="34"/>
      <c r="GH19" s="34"/>
      <c r="GI19" s="34"/>
      <c r="GJ19" s="34"/>
      <c r="GK19" s="34"/>
      <c r="GL19" s="34"/>
      <c r="GM19" s="34"/>
      <c r="GN19" s="34"/>
      <c r="GO19" s="34"/>
      <c r="GP19" s="34"/>
      <c r="GQ19" s="34"/>
      <c r="GR19" s="34"/>
      <c r="GS19" s="34"/>
      <c r="GT19" s="34"/>
      <c r="GU19" s="34"/>
      <c r="GV19" s="34"/>
      <c r="GW19" s="34"/>
      <c r="GX19" s="34"/>
      <c r="GY19" s="34"/>
      <c r="GZ19" s="34"/>
      <c r="HA19" s="34"/>
      <c r="HB19" s="34"/>
      <c r="HC19" s="34"/>
      <c r="HD19" s="34"/>
      <c r="HE19" s="34"/>
      <c r="HF19" s="34"/>
      <c r="HG19" s="34"/>
      <c r="HH19" s="34"/>
      <c r="HI19" s="34"/>
      <c r="HJ19" s="34"/>
      <c r="HK19" s="34"/>
      <c r="HL19" s="34"/>
      <c r="HM19" s="34"/>
      <c r="HN19" s="34"/>
      <c r="HO19" s="34"/>
      <c r="HP19" s="34"/>
      <c r="HQ19" s="34"/>
      <c r="HR19" s="34"/>
      <c r="HS19" s="34"/>
      <c r="HT19" s="34"/>
      <c r="HU19" s="34"/>
      <c r="HV19" s="34"/>
      <c r="HW19" s="34"/>
      <c r="HX19" s="34"/>
      <c r="HY19" s="34"/>
      <c r="HZ19" s="34"/>
      <c r="IA19" s="34"/>
      <c r="IB19" s="34"/>
      <c r="IC19" s="34"/>
      <c r="ID19" s="34"/>
      <c r="IE19" s="34"/>
      <c r="IF19" s="34"/>
      <c r="IG19" s="34"/>
      <c r="IH19" s="34"/>
      <c r="II19" s="34"/>
      <c r="IJ19" s="34"/>
      <c r="IK19" s="34"/>
      <c r="IL19" s="34"/>
      <c r="IM19" s="34"/>
      <c r="IN19" s="34"/>
      <c r="IO19" s="34"/>
      <c r="IP19" s="34"/>
      <c r="IQ19" s="34"/>
      <c r="IR19" s="34"/>
      <c r="IS19" s="34"/>
      <c r="IT19" s="34"/>
      <c r="IU19" s="34"/>
      <c r="IV19" s="34"/>
      <c r="IW19" s="34"/>
      <c r="IX19" s="34"/>
      <c r="IY19" s="34"/>
      <c r="IZ19" s="34"/>
      <c r="JI19" s="6"/>
    </row>
    <row r="20" spans="1:269" x14ac:dyDescent="0.2">
      <c r="A20" s="1128" t="s">
        <v>4479</v>
      </c>
      <c r="B20" s="628" t="s">
        <v>3922</v>
      </c>
      <c r="C20" s="1251" t="s">
        <v>3996</v>
      </c>
      <c r="D20" s="1133"/>
      <c r="E20" s="2026">
        <v>1</v>
      </c>
      <c r="F20" s="2026">
        <v>2</v>
      </c>
      <c r="G20" s="2026">
        <v>3</v>
      </c>
      <c r="H20" s="2026">
        <v>4</v>
      </c>
      <c r="I20" s="2026">
        <v>5</v>
      </c>
      <c r="J20" s="2026">
        <v>6</v>
      </c>
      <c r="K20" s="2026">
        <v>7</v>
      </c>
      <c r="L20" s="2026">
        <v>8</v>
      </c>
      <c r="M20" s="2026">
        <v>9</v>
      </c>
      <c r="N20" s="2026">
        <v>10</v>
      </c>
      <c r="O20" s="2026">
        <v>11</v>
      </c>
      <c r="P20" s="2026">
        <v>12</v>
      </c>
      <c r="Q20" s="2026">
        <v>13</v>
      </c>
      <c r="R20" s="2026">
        <v>14</v>
      </c>
      <c r="S20" s="2026">
        <v>15</v>
      </c>
      <c r="T20" s="2026">
        <v>16</v>
      </c>
      <c r="U20" s="2026">
        <v>17</v>
      </c>
      <c r="V20" s="2026">
        <v>18</v>
      </c>
      <c r="W20" s="2026">
        <v>19</v>
      </c>
      <c r="X20" s="2026">
        <v>20</v>
      </c>
      <c r="Y20" s="2026">
        <v>21</v>
      </c>
      <c r="Z20" s="2026">
        <v>22</v>
      </c>
      <c r="AA20" s="2026">
        <v>23</v>
      </c>
      <c r="AB20" s="2026">
        <v>24</v>
      </c>
      <c r="AC20" s="2026">
        <v>25</v>
      </c>
      <c r="AD20" s="3502">
        <v>26</v>
      </c>
      <c r="AE20" s="3502">
        <v>27</v>
      </c>
      <c r="AF20" s="3502">
        <v>28</v>
      </c>
      <c r="AG20" s="3502">
        <v>29</v>
      </c>
      <c r="AH20" s="3502">
        <v>30</v>
      </c>
      <c r="AI20" s="2026">
        <v>31</v>
      </c>
      <c r="AJ20" s="2026">
        <v>32</v>
      </c>
      <c r="AK20" s="2026">
        <v>33</v>
      </c>
      <c r="AL20" s="2026">
        <v>34</v>
      </c>
      <c r="AM20" s="2026">
        <v>35</v>
      </c>
      <c r="AN20" s="2026">
        <v>36</v>
      </c>
      <c r="AO20" s="2026">
        <v>37</v>
      </c>
      <c r="AP20" s="2026">
        <v>38</v>
      </c>
      <c r="AQ20" s="2026">
        <v>39</v>
      </c>
      <c r="AR20" s="2026">
        <v>40</v>
      </c>
      <c r="AS20" s="2026">
        <v>41</v>
      </c>
      <c r="AT20" s="2026">
        <v>42</v>
      </c>
      <c r="AU20" s="2026">
        <v>43</v>
      </c>
      <c r="AV20" s="2026">
        <v>44</v>
      </c>
      <c r="AW20" s="2026">
        <v>45</v>
      </c>
      <c r="AX20" s="2026">
        <v>46</v>
      </c>
      <c r="AY20" s="2026">
        <v>47</v>
      </c>
      <c r="AZ20" s="2026">
        <v>48</v>
      </c>
      <c r="BA20" s="2026">
        <v>49</v>
      </c>
      <c r="BB20" s="2026">
        <v>50</v>
      </c>
      <c r="BC20" s="2026">
        <v>51</v>
      </c>
      <c r="BD20" s="2026">
        <v>52</v>
      </c>
      <c r="BE20" s="2026">
        <v>53</v>
      </c>
      <c r="BF20" s="2026">
        <v>54</v>
      </c>
      <c r="BG20" s="2026">
        <v>55</v>
      </c>
      <c r="BH20" s="2026">
        <v>56</v>
      </c>
      <c r="BI20" s="2026">
        <v>57</v>
      </c>
      <c r="BJ20" s="2026">
        <v>58</v>
      </c>
      <c r="BK20" s="2026">
        <v>59</v>
      </c>
      <c r="BL20" s="2026">
        <v>60</v>
      </c>
      <c r="BM20" s="2026">
        <v>61</v>
      </c>
      <c r="BN20" s="2026">
        <v>62</v>
      </c>
      <c r="BO20" s="2026">
        <v>63</v>
      </c>
      <c r="BP20" s="2026">
        <v>64</v>
      </c>
      <c r="BQ20" s="2026">
        <v>65</v>
      </c>
      <c r="BR20" s="2026">
        <v>66</v>
      </c>
      <c r="BS20" s="2026">
        <v>67</v>
      </c>
      <c r="BT20" s="2026">
        <v>68</v>
      </c>
      <c r="BU20" s="2026">
        <v>69</v>
      </c>
      <c r="BV20" s="2026">
        <v>70</v>
      </c>
      <c r="BW20" s="2026">
        <v>71</v>
      </c>
      <c r="BX20" s="2026">
        <v>72</v>
      </c>
      <c r="BY20" s="2026">
        <v>73</v>
      </c>
      <c r="BZ20" s="2026">
        <v>74</v>
      </c>
      <c r="CA20" s="2026">
        <v>75</v>
      </c>
      <c r="CB20" s="2026">
        <v>76</v>
      </c>
      <c r="CC20" s="2026">
        <v>77</v>
      </c>
      <c r="CD20" s="2026">
        <v>78</v>
      </c>
      <c r="CE20" s="2026">
        <v>79</v>
      </c>
      <c r="CF20" s="2026">
        <v>80</v>
      </c>
      <c r="CG20" s="2026">
        <v>81</v>
      </c>
      <c r="CH20" s="2026">
        <v>82</v>
      </c>
      <c r="CI20" s="2026">
        <v>83</v>
      </c>
      <c r="CJ20" s="2026">
        <v>84</v>
      </c>
      <c r="CK20" s="2026">
        <v>85</v>
      </c>
      <c r="CL20" s="2026">
        <v>86</v>
      </c>
      <c r="CM20" s="2026">
        <v>87</v>
      </c>
      <c r="CN20" s="2026">
        <v>88</v>
      </c>
      <c r="CO20" s="2026">
        <v>89</v>
      </c>
      <c r="CP20" s="2026">
        <v>90</v>
      </c>
      <c r="CQ20" s="2026">
        <v>91</v>
      </c>
      <c r="CR20" s="2026">
        <v>92</v>
      </c>
      <c r="CS20" s="2026">
        <v>93</v>
      </c>
      <c r="CT20" s="2026">
        <v>94</v>
      </c>
      <c r="CU20" s="2026">
        <v>95</v>
      </c>
      <c r="CV20" s="2026">
        <v>96</v>
      </c>
      <c r="CW20" s="2026">
        <v>97</v>
      </c>
      <c r="CX20" s="2026">
        <v>98</v>
      </c>
      <c r="CY20" s="2026">
        <v>99</v>
      </c>
      <c r="CZ20" s="2026">
        <v>100</v>
      </c>
      <c r="DA20" s="2026">
        <v>101</v>
      </c>
      <c r="DB20" s="2026">
        <v>102</v>
      </c>
      <c r="DC20" s="2026">
        <v>103</v>
      </c>
      <c r="DD20" s="2026">
        <v>104</v>
      </c>
      <c r="DE20" s="2026">
        <v>105</v>
      </c>
      <c r="DF20" s="2026">
        <v>106</v>
      </c>
      <c r="DG20" s="2026">
        <v>107</v>
      </c>
      <c r="DH20" s="2026">
        <v>108</v>
      </c>
      <c r="DI20" s="2026">
        <v>109</v>
      </c>
      <c r="DJ20" s="2026">
        <v>110</v>
      </c>
      <c r="DK20" s="2026">
        <v>111</v>
      </c>
      <c r="DL20" s="2026">
        <v>112</v>
      </c>
      <c r="DM20" s="2026">
        <v>113</v>
      </c>
      <c r="DN20" s="2026">
        <v>114</v>
      </c>
      <c r="DO20" s="2026">
        <v>115</v>
      </c>
      <c r="DP20" s="2026">
        <v>116</v>
      </c>
      <c r="DQ20" s="2026">
        <v>117</v>
      </c>
      <c r="DR20" s="2026">
        <v>118</v>
      </c>
      <c r="DS20" s="2026">
        <v>119</v>
      </c>
      <c r="DT20" s="2026">
        <v>120</v>
      </c>
      <c r="DU20" s="2026">
        <v>121</v>
      </c>
      <c r="DV20" s="2026">
        <v>122</v>
      </c>
      <c r="DW20" s="2026">
        <v>123</v>
      </c>
      <c r="DX20" s="2026">
        <v>124</v>
      </c>
      <c r="DY20" s="2026">
        <v>125</v>
      </c>
      <c r="DZ20" s="2026">
        <v>126</v>
      </c>
      <c r="EA20" s="2026">
        <v>127</v>
      </c>
      <c r="EB20" s="2026">
        <v>128</v>
      </c>
      <c r="EC20" s="2026">
        <v>129</v>
      </c>
      <c r="ED20" s="2026">
        <v>130</v>
      </c>
      <c r="EE20" s="2026">
        <v>131</v>
      </c>
      <c r="EF20" s="2026">
        <v>132</v>
      </c>
      <c r="EG20" s="2026">
        <v>133</v>
      </c>
      <c r="EH20" s="2026">
        <v>134</v>
      </c>
      <c r="EI20" s="2026">
        <v>135</v>
      </c>
      <c r="EJ20" s="2026">
        <v>136</v>
      </c>
      <c r="EK20" s="2026">
        <v>137</v>
      </c>
      <c r="EL20" s="2026">
        <v>138</v>
      </c>
      <c r="EM20" s="2026">
        <v>139</v>
      </c>
      <c r="EN20" s="2026">
        <v>140</v>
      </c>
      <c r="EO20" s="2026">
        <v>141</v>
      </c>
      <c r="EP20" s="2026">
        <v>142</v>
      </c>
      <c r="EQ20" s="2026">
        <v>143</v>
      </c>
      <c r="ER20" s="2026">
        <v>144</v>
      </c>
      <c r="ES20" s="2026">
        <v>145</v>
      </c>
      <c r="ET20" s="2026">
        <v>146</v>
      </c>
      <c r="EU20" s="2026">
        <v>147</v>
      </c>
      <c r="EV20" s="2026">
        <v>148</v>
      </c>
      <c r="EW20" s="2026">
        <v>149</v>
      </c>
      <c r="EX20" s="2026">
        <v>150</v>
      </c>
      <c r="EY20" s="2026">
        <v>151</v>
      </c>
      <c r="EZ20" s="2026">
        <v>152</v>
      </c>
      <c r="FA20" s="2026">
        <v>153</v>
      </c>
      <c r="FB20" s="2026">
        <v>154</v>
      </c>
      <c r="FC20" s="2026">
        <v>155</v>
      </c>
      <c r="FD20" s="2026">
        <v>156</v>
      </c>
      <c r="FE20" s="2026">
        <v>157</v>
      </c>
      <c r="FF20" s="2026">
        <v>158</v>
      </c>
      <c r="FG20" s="2026">
        <v>159</v>
      </c>
      <c r="FH20" s="2026">
        <v>160</v>
      </c>
      <c r="FI20" s="2026">
        <v>161</v>
      </c>
      <c r="FJ20" s="2026">
        <v>162</v>
      </c>
      <c r="FK20" s="2026">
        <v>163</v>
      </c>
      <c r="FL20" s="2026">
        <v>164</v>
      </c>
      <c r="FM20" s="2026">
        <v>165</v>
      </c>
      <c r="FN20" s="2026">
        <v>166</v>
      </c>
      <c r="FO20" s="2026">
        <v>167</v>
      </c>
      <c r="FP20" s="2026">
        <v>168</v>
      </c>
      <c r="FQ20" s="2026">
        <v>169</v>
      </c>
      <c r="FR20" s="2026">
        <v>170</v>
      </c>
      <c r="FS20" s="2026">
        <v>171</v>
      </c>
      <c r="FT20" s="2026">
        <v>172</v>
      </c>
      <c r="FU20" s="2026">
        <v>173</v>
      </c>
      <c r="FV20" s="2026">
        <v>174</v>
      </c>
      <c r="FW20" s="2026">
        <v>175</v>
      </c>
      <c r="FX20" s="2026">
        <v>176</v>
      </c>
      <c r="FY20" s="2026">
        <v>177</v>
      </c>
      <c r="FZ20" s="2026">
        <v>178</v>
      </c>
      <c r="GA20" s="2026">
        <v>179</v>
      </c>
      <c r="GB20" s="2026">
        <v>180</v>
      </c>
      <c r="GC20" s="2026">
        <v>181</v>
      </c>
      <c r="GD20" s="2026">
        <v>182</v>
      </c>
      <c r="GE20" s="2026">
        <v>183</v>
      </c>
      <c r="GF20" s="2026">
        <v>184</v>
      </c>
      <c r="GG20" s="2026">
        <v>185</v>
      </c>
      <c r="GH20" s="2026">
        <v>186</v>
      </c>
      <c r="GI20" s="2026">
        <v>187</v>
      </c>
      <c r="GJ20" s="2026">
        <v>188</v>
      </c>
      <c r="GK20" s="2026">
        <v>189</v>
      </c>
      <c r="GL20" s="2026">
        <v>190</v>
      </c>
      <c r="GM20" s="2026">
        <v>191</v>
      </c>
      <c r="GN20" s="2026">
        <v>192</v>
      </c>
      <c r="GO20" s="2026">
        <v>193</v>
      </c>
      <c r="GP20" s="2026">
        <v>194</v>
      </c>
      <c r="GQ20" s="2026">
        <v>195</v>
      </c>
      <c r="GR20" s="2026">
        <v>196</v>
      </c>
      <c r="GS20" s="2026">
        <v>197</v>
      </c>
      <c r="GT20" s="2026">
        <v>198</v>
      </c>
      <c r="GU20" s="2026">
        <v>199</v>
      </c>
      <c r="GV20" s="2026">
        <v>200</v>
      </c>
      <c r="GW20" s="2026">
        <v>201</v>
      </c>
      <c r="GX20" s="2026">
        <v>202</v>
      </c>
      <c r="GY20" s="2026">
        <v>203</v>
      </c>
      <c r="GZ20" s="2026">
        <v>204</v>
      </c>
      <c r="HA20" s="2026">
        <v>205</v>
      </c>
      <c r="HB20" s="2026">
        <v>206</v>
      </c>
      <c r="HC20" s="2026">
        <v>207</v>
      </c>
      <c r="HD20" s="2026">
        <v>208</v>
      </c>
      <c r="HE20" s="2026">
        <v>209</v>
      </c>
      <c r="HF20" s="2026">
        <v>210</v>
      </c>
      <c r="HG20" s="2026">
        <v>211</v>
      </c>
      <c r="HH20" s="2026">
        <v>212</v>
      </c>
      <c r="HI20" s="2026">
        <v>213</v>
      </c>
      <c r="HJ20" s="2026">
        <v>214</v>
      </c>
      <c r="HK20" s="2026">
        <v>215</v>
      </c>
      <c r="HL20" s="2026">
        <v>216</v>
      </c>
      <c r="HM20" s="2026">
        <v>217</v>
      </c>
      <c r="HN20" s="2026">
        <v>218</v>
      </c>
      <c r="HO20" s="2026">
        <v>219</v>
      </c>
      <c r="HP20" s="2026">
        <v>220</v>
      </c>
      <c r="HQ20" s="2026">
        <v>221</v>
      </c>
      <c r="HR20" s="2026">
        <v>222</v>
      </c>
      <c r="HS20" s="2026">
        <v>223</v>
      </c>
      <c r="HT20" s="2026">
        <v>224</v>
      </c>
      <c r="HU20" s="2026">
        <v>225</v>
      </c>
      <c r="HV20" s="2026">
        <v>226</v>
      </c>
      <c r="HW20" s="2026">
        <v>227</v>
      </c>
      <c r="HX20" s="2026">
        <v>228</v>
      </c>
      <c r="HY20" s="2026">
        <v>229</v>
      </c>
      <c r="HZ20" s="2026">
        <v>230</v>
      </c>
      <c r="IA20" s="2026">
        <v>231</v>
      </c>
      <c r="IB20" s="2026">
        <v>232</v>
      </c>
      <c r="IC20" s="2026">
        <v>233</v>
      </c>
      <c r="ID20" s="2026">
        <v>234</v>
      </c>
      <c r="IE20" s="2026">
        <v>235</v>
      </c>
      <c r="IF20" s="2026">
        <v>236</v>
      </c>
      <c r="IG20" s="2026">
        <v>237</v>
      </c>
      <c r="IH20" s="2026">
        <v>238</v>
      </c>
      <c r="II20" s="2026">
        <v>239</v>
      </c>
      <c r="IJ20" s="2026">
        <v>240</v>
      </c>
      <c r="IK20" s="2026">
        <v>241</v>
      </c>
      <c r="IL20" s="2026">
        <v>242</v>
      </c>
      <c r="IM20" s="2026">
        <v>243</v>
      </c>
      <c r="IN20" s="2026">
        <v>244</v>
      </c>
      <c r="IO20" s="2026">
        <v>245</v>
      </c>
      <c r="IP20" s="1134">
        <v>246</v>
      </c>
      <c r="IQ20" s="1134">
        <v>247</v>
      </c>
      <c r="IR20" s="1134">
        <v>248</v>
      </c>
      <c r="IS20" s="1134">
        <v>249</v>
      </c>
      <c r="IT20" s="1134">
        <v>250</v>
      </c>
      <c r="IU20" s="1134">
        <v>251</v>
      </c>
      <c r="IV20" s="1134">
        <v>252</v>
      </c>
      <c r="IW20" s="1134">
        <v>253</v>
      </c>
      <c r="IX20" s="1134">
        <v>254</v>
      </c>
      <c r="IY20" s="1134">
        <v>255</v>
      </c>
      <c r="IZ20" s="1134">
        <v>256</v>
      </c>
      <c r="JA20" s="1134">
        <v>257</v>
      </c>
      <c r="JB20" s="1134">
        <v>258</v>
      </c>
      <c r="JC20" s="1134">
        <v>259</v>
      </c>
      <c r="JD20" s="1134">
        <v>260</v>
      </c>
      <c r="JE20" s="1134">
        <v>261</v>
      </c>
      <c r="JF20" s="1134">
        <v>262</v>
      </c>
      <c r="JG20" s="2485">
        <v>263</v>
      </c>
      <c r="JH20" s="1233"/>
      <c r="JI20" s="1393"/>
    </row>
    <row r="21" spans="1:269" x14ac:dyDescent="0.2">
      <c r="A21" s="1128">
        <v>2</v>
      </c>
      <c r="B21" s="1380" t="str">
        <f>IF(AOI_C_IND&gt;1,IF(HLOOKUP(AOI_C_IND-1,AOI_C_RANGE,A21)="","",HLOOKUP(AOI_C_IND-1,AOI_C_RANGE,A21)),"")</f>
        <v/>
      </c>
      <c r="C21" s="1532" t="s">
        <v>3674</v>
      </c>
      <c r="D21" s="674" t="s">
        <v>3325</v>
      </c>
      <c r="E21" s="2421"/>
      <c r="F21" s="2422"/>
      <c r="G21" s="2421"/>
      <c r="H21" s="2421"/>
      <c r="I21" s="2421"/>
      <c r="J21" s="2366"/>
      <c r="K21" s="2366"/>
      <c r="L21" s="2366"/>
      <c r="M21" s="2366"/>
      <c r="N21" s="2366"/>
      <c r="O21" s="2366"/>
      <c r="P21" s="2366"/>
      <c r="Q21" s="2366"/>
      <c r="R21" s="2366"/>
      <c r="S21" s="2366"/>
      <c r="T21" s="2366"/>
      <c r="U21" s="2366"/>
      <c r="V21" s="2366"/>
      <c r="W21" s="2366"/>
      <c r="X21" s="2366"/>
      <c r="Y21" s="2366"/>
      <c r="Z21" s="2366"/>
      <c r="AA21" s="2366"/>
      <c r="AB21" s="2366"/>
      <c r="AC21" s="2366"/>
      <c r="AD21" s="2366"/>
      <c r="AE21" s="2366"/>
      <c r="AF21" s="2366"/>
      <c r="AG21" s="2366"/>
      <c r="AH21" s="2366"/>
      <c r="AI21" s="2366"/>
      <c r="AJ21" s="2366"/>
      <c r="AK21" s="2366"/>
      <c r="AL21" s="2366"/>
      <c r="AM21" s="2366"/>
      <c r="AN21" s="2366"/>
      <c r="AO21" s="2366">
        <v>490.5</v>
      </c>
      <c r="AP21" s="2366"/>
      <c r="AQ21" s="2366"/>
      <c r="AR21" s="2366"/>
      <c r="AS21" s="2366"/>
      <c r="AT21" s="2366"/>
      <c r="AU21" s="2366"/>
      <c r="AV21" s="2366"/>
      <c r="AW21" s="2366"/>
      <c r="AX21" s="2366"/>
      <c r="AY21" s="2366"/>
      <c r="AZ21" s="2366"/>
      <c r="BA21" s="2366"/>
      <c r="BB21" s="2366"/>
      <c r="BC21" s="2366"/>
      <c r="BD21" s="2366">
        <v>817</v>
      </c>
      <c r="BE21" s="2366"/>
      <c r="BF21" s="2366"/>
      <c r="BG21" s="2366"/>
      <c r="BH21" s="2366"/>
      <c r="BI21" s="2366"/>
      <c r="BJ21" s="2366"/>
      <c r="BK21" s="2366"/>
      <c r="BL21" s="2366"/>
      <c r="BM21" s="2366"/>
      <c r="BN21" s="2366"/>
      <c r="BO21" s="2366"/>
      <c r="BP21" s="2366"/>
      <c r="BQ21" s="2366"/>
      <c r="BR21" s="2366"/>
      <c r="BS21" s="2366">
        <v>3065.99</v>
      </c>
      <c r="BT21" s="2366"/>
      <c r="BU21" s="2366"/>
      <c r="BV21" s="2366"/>
      <c r="BW21" s="2366"/>
      <c r="BX21" s="2366"/>
      <c r="BY21" s="2366"/>
      <c r="BZ21" s="2366"/>
      <c r="CA21" s="2366"/>
      <c r="CB21" s="2366"/>
      <c r="CC21" s="2366"/>
      <c r="CD21" s="2366"/>
      <c r="CE21" s="2366"/>
      <c r="CF21" s="2366"/>
      <c r="CG21" s="2366"/>
      <c r="CH21" s="2366"/>
      <c r="CI21" s="2366"/>
      <c r="CJ21" s="2366"/>
      <c r="CK21" s="2366"/>
      <c r="CL21" s="2366"/>
      <c r="CM21" s="2366"/>
      <c r="CN21" s="2366">
        <v>208</v>
      </c>
      <c r="CO21" s="2366"/>
      <c r="CP21" s="2366"/>
      <c r="CQ21" s="2366"/>
      <c r="CR21" s="2366"/>
      <c r="CS21" s="2366"/>
      <c r="CT21" s="2366">
        <v>490.5</v>
      </c>
      <c r="CU21" s="2366">
        <v>208</v>
      </c>
      <c r="CV21" s="2366">
        <v>490.5</v>
      </c>
      <c r="CW21" s="2366"/>
      <c r="CX21" s="2366"/>
      <c r="CY21" s="2366"/>
      <c r="CZ21" s="2366"/>
      <c r="DA21" s="2366">
        <v>817</v>
      </c>
      <c r="DB21" s="2366"/>
      <c r="DC21" s="2366"/>
      <c r="DD21" s="2366"/>
      <c r="DE21" s="2366"/>
      <c r="DF21" s="2366"/>
      <c r="DG21" s="2366"/>
      <c r="DH21" s="2366">
        <v>490.5</v>
      </c>
      <c r="DI21" s="2366">
        <v>490.5</v>
      </c>
      <c r="DJ21" s="2366"/>
      <c r="DK21" s="2366"/>
      <c r="DL21" s="2366"/>
      <c r="DM21" s="2366"/>
      <c r="DN21" s="2366"/>
      <c r="DO21" s="2366"/>
      <c r="DP21" s="2366"/>
      <c r="DQ21" s="2366"/>
      <c r="DR21" s="2366"/>
      <c r="DS21" s="2366"/>
      <c r="DT21" s="2366"/>
      <c r="DU21" s="2366"/>
      <c r="DV21" s="2366"/>
      <c r="DW21" s="2366"/>
      <c r="DX21" s="2366"/>
      <c r="DY21" s="2366"/>
      <c r="DZ21" s="2366"/>
      <c r="EA21" s="2366"/>
      <c r="EB21" s="2366"/>
      <c r="EC21" s="2366"/>
      <c r="ED21" s="2366"/>
      <c r="EE21" s="2366"/>
      <c r="EF21" s="2366"/>
      <c r="EG21" s="2366"/>
      <c r="EH21" s="2366"/>
      <c r="EI21" s="2366"/>
      <c r="EJ21" s="2366"/>
      <c r="EK21" s="2366"/>
      <c r="EL21" s="2366"/>
      <c r="EM21" s="2366"/>
      <c r="EN21" s="2366"/>
      <c r="EO21" s="2366"/>
      <c r="EP21" s="2366"/>
      <c r="EQ21" s="2366"/>
      <c r="ER21" s="2366"/>
      <c r="ES21" s="2366"/>
      <c r="ET21" s="2366"/>
      <c r="EU21" s="2366"/>
      <c r="EV21" s="2366"/>
      <c r="EW21" s="2366"/>
      <c r="EX21" s="2366"/>
      <c r="EY21" s="2366"/>
      <c r="EZ21" s="2366"/>
      <c r="FA21" s="2366"/>
      <c r="FB21" s="2366"/>
      <c r="FC21" s="2366"/>
      <c r="FD21" s="2366"/>
      <c r="FE21" s="2366"/>
      <c r="FF21" s="2366"/>
      <c r="FG21" s="2366"/>
      <c r="FH21" s="2366"/>
      <c r="FI21" s="2366"/>
      <c r="FJ21" s="2366"/>
      <c r="FK21" s="2366"/>
      <c r="FL21" s="2366"/>
      <c r="FM21" s="2366"/>
      <c r="FN21" s="2366"/>
      <c r="FO21" s="2366"/>
      <c r="FP21" s="2366"/>
      <c r="FQ21" s="2366"/>
      <c r="FR21" s="2366"/>
      <c r="FS21" s="2366"/>
      <c r="FT21" s="2366">
        <v>3065.99</v>
      </c>
      <c r="FU21" s="2366"/>
      <c r="FV21" s="2366"/>
      <c r="FW21" s="2366"/>
      <c r="FX21" s="2366"/>
      <c r="FY21" s="2366"/>
      <c r="FZ21" s="2366"/>
      <c r="GA21" s="2366"/>
      <c r="GB21" s="2366"/>
      <c r="GC21" s="2366"/>
      <c r="GD21" s="2366"/>
      <c r="GE21" s="2366"/>
      <c r="GF21" s="2366"/>
      <c r="GG21" s="2366"/>
      <c r="GH21" s="2366">
        <v>3065.99</v>
      </c>
      <c r="GI21" s="2366"/>
      <c r="GJ21" s="2366">
        <v>817</v>
      </c>
      <c r="GK21" s="2366"/>
      <c r="GL21" s="2366"/>
      <c r="GM21" s="2366"/>
      <c r="GN21" s="2366"/>
      <c r="GO21" s="2366"/>
      <c r="GP21" s="2366"/>
      <c r="GQ21" s="2366"/>
      <c r="GR21" s="2366"/>
      <c r="GS21" s="2366"/>
      <c r="GT21" s="2366"/>
      <c r="GU21" s="2366">
        <v>3065.99</v>
      </c>
      <c r="GV21" s="2366"/>
      <c r="GW21" s="2366">
        <v>3065.99</v>
      </c>
      <c r="GX21" s="2366"/>
      <c r="GY21" s="2366"/>
      <c r="GZ21" s="2366"/>
      <c r="HA21" s="2366"/>
      <c r="HB21" s="2366"/>
      <c r="HC21" s="2366"/>
      <c r="HD21" s="2366"/>
      <c r="HE21" s="2366"/>
      <c r="HF21" s="2366"/>
      <c r="HG21" s="2366"/>
      <c r="HH21" s="2366"/>
      <c r="HI21" s="2366"/>
      <c r="HJ21" s="2366"/>
      <c r="HK21" s="2366"/>
      <c r="HL21" s="2366"/>
      <c r="HM21" s="2366"/>
      <c r="HN21" s="2366"/>
      <c r="HO21" s="2366"/>
      <c r="HP21" s="2366"/>
      <c r="HQ21" s="2366"/>
      <c r="HR21" s="2366"/>
      <c r="HS21" s="2366"/>
      <c r="HT21" s="2366"/>
      <c r="HU21" s="2366"/>
      <c r="HV21" s="2366"/>
      <c r="HW21" s="2366"/>
      <c r="HX21" s="2366"/>
      <c r="HY21" s="2366"/>
      <c r="HZ21" s="2366"/>
      <c r="IA21" s="2366"/>
      <c r="IB21" s="2366"/>
      <c r="IC21" s="2366"/>
      <c r="ID21" s="2366"/>
      <c r="IE21" s="2366"/>
      <c r="IF21" s="2366"/>
      <c r="IG21" s="2366"/>
      <c r="IH21" s="2366"/>
      <c r="II21" s="2366"/>
      <c r="IJ21" s="2366"/>
      <c r="IK21" s="2366"/>
      <c r="IL21" s="2366"/>
      <c r="IM21" s="2366"/>
      <c r="IN21" s="2366"/>
      <c r="IO21" s="2366"/>
      <c r="IP21" s="2366"/>
      <c r="IQ21" s="2366"/>
      <c r="IR21" s="2366"/>
      <c r="IS21" s="2366"/>
      <c r="IT21" s="2366"/>
      <c r="IU21" s="2366"/>
      <c r="IV21" s="2366"/>
      <c r="IW21" s="2366"/>
      <c r="IX21" s="2366"/>
      <c r="IY21" s="2366"/>
      <c r="IZ21" s="2366"/>
      <c r="JA21" s="2419"/>
      <c r="JB21" s="2419"/>
      <c r="JC21" s="2419"/>
      <c r="JD21" s="2419"/>
      <c r="JE21" s="2419"/>
      <c r="JF21" s="2419"/>
      <c r="JG21" s="3765"/>
      <c r="JH21" s="1233"/>
      <c r="JI21" s="1393"/>
    </row>
    <row r="22" spans="1:269" x14ac:dyDescent="0.2">
      <c r="A22" s="1128">
        <v>3</v>
      </c>
      <c r="B22" s="1380" t="str">
        <f>IF(AOI_C_IND&gt;1,IF(HLOOKUP(AOI_C_IND-1,AOI_C_RANGE,A22)="","",HLOOKUP(AOI_C_IND-1,AOI_C_RANGE,A22)),"")</f>
        <v/>
      </c>
      <c r="C22" s="1530" t="s">
        <v>3675</v>
      </c>
      <c r="D22" s="4042" t="s">
        <v>8491</v>
      </c>
      <c r="E22" s="2366"/>
      <c r="F22" s="2366"/>
      <c r="G22" s="2366"/>
      <c r="H22" s="2366"/>
      <c r="I22" s="2366"/>
      <c r="J22" s="2377"/>
      <c r="K22" s="2377"/>
      <c r="L22" s="2377"/>
      <c r="M22" s="2377"/>
      <c r="N22" s="2377"/>
      <c r="O22" s="2377"/>
      <c r="P22" s="2377"/>
      <c r="Q22" s="2377"/>
      <c r="R22" s="2377"/>
      <c r="S22" s="2377"/>
      <c r="T22" s="2377"/>
      <c r="U22" s="2377"/>
      <c r="V22" s="2377"/>
      <c r="W22" s="2377"/>
      <c r="X22" s="2377"/>
      <c r="Y22" s="2377"/>
      <c r="Z22" s="2377"/>
      <c r="AA22" s="2377"/>
      <c r="AB22" s="2377"/>
      <c r="AC22" s="2377"/>
      <c r="AD22" s="2377"/>
      <c r="AE22" s="2377"/>
      <c r="AF22" s="2377"/>
      <c r="AG22" s="2377"/>
      <c r="AH22" s="2377"/>
      <c r="AI22" s="2377"/>
      <c r="AJ22" s="2377"/>
      <c r="AK22" s="2377"/>
      <c r="AL22" s="2377"/>
      <c r="AM22" s="2377"/>
      <c r="AN22" s="2377"/>
      <c r="AO22" s="2377"/>
      <c r="AP22" s="2377"/>
      <c r="AQ22" s="2377"/>
      <c r="AR22" s="2377"/>
      <c r="AS22" s="2377"/>
      <c r="AT22" s="2377"/>
      <c r="AU22" s="2377"/>
      <c r="AV22" s="2377"/>
      <c r="AW22" s="2377"/>
      <c r="AX22" s="2377"/>
      <c r="AY22" s="2377"/>
      <c r="AZ22" s="2377"/>
      <c r="BA22" s="2377"/>
      <c r="BB22" s="2377"/>
      <c r="BC22" s="2377"/>
      <c r="BD22" s="2377">
        <v>276</v>
      </c>
      <c r="BE22" s="2377"/>
      <c r="BF22" s="2377"/>
      <c r="BG22" s="2377"/>
      <c r="BH22" s="2377"/>
      <c r="BI22" s="2377"/>
      <c r="BJ22" s="2377"/>
      <c r="BK22" s="2377"/>
      <c r="BL22" s="2377"/>
      <c r="BM22" s="2377"/>
      <c r="BN22" s="2377"/>
      <c r="BO22" s="2377"/>
      <c r="BP22" s="2377"/>
      <c r="BQ22" s="2377"/>
      <c r="BR22" s="2377"/>
      <c r="BS22" s="2377"/>
      <c r="BT22" s="2377"/>
      <c r="BU22" s="2377"/>
      <c r="BV22" s="2377"/>
      <c r="BW22" s="2377"/>
      <c r="BX22" s="2377"/>
      <c r="BY22" s="2377"/>
      <c r="BZ22" s="2377"/>
      <c r="CA22" s="2377"/>
      <c r="CB22" s="2377"/>
      <c r="CC22" s="2377"/>
      <c r="CD22" s="2377"/>
      <c r="CE22" s="2377"/>
      <c r="CF22" s="2377"/>
      <c r="CG22" s="2377"/>
      <c r="CH22" s="2377"/>
      <c r="CI22" s="2377"/>
      <c r="CJ22" s="2377"/>
      <c r="CK22" s="2377"/>
      <c r="CL22" s="2377"/>
      <c r="CM22" s="2377"/>
      <c r="CN22" s="2377"/>
      <c r="CO22" s="2377"/>
      <c r="CP22" s="2377"/>
      <c r="CQ22" s="2377"/>
      <c r="CR22" s="2377"/>
      <c r="CS22" s="2377"/>
      <c r="CT22" s="2377"/>
      <c r="CU22" s="2377"/>
      <c r="CV22" s="2377"/>
      <c r="CW22" s="2377"/>
      <c r="CX22" s="2377"/>
      <c r="CY22" s="2377"/>
      <c r="CZ22" s="2377"/>
      <c r="DA22" s="2377">
        <v>276</v>
      </c>
      <c r="DB22" s="2377"/>
      <c r="DC22" s="2377"/>
      <c r="DD22" s="2377"/>
      <c r="DE22" s="2377"/>
      <c r="DF22" s="2377"/>
      <c r="DG22" s="2377"/>
      <c r="DH22" s="2377"/>
      <c r="DI22" s="2377"/>
      <c r="DJ22" s="2377"/>
      <c r="DK22" s="2377"/>
      <c r="DL22" s="2377"/>
      <c r="DM22" s="2377"/>
      <c r="DN22" s="2377"/>
      <c r="DO22" s="2377"/>
      <c r="DP22" s="2377"/>
      <c r="DQ22" s="2377"/>
      <c r="DR22" s="2377"/>
      <c r="DS22" s="2377"/>
      <c r="DT22" s="2377"/>
      <c r="DU22" s="2377"/>
      <c r="DV22" s="2377"/>
      <c r="DW22" s="2377"/>
      <c r="DX22" s="2377"/>
      <c r="DY22" s="2377">
        <v>118</v>
      </c>
      <c r="DZ22" s="2377"/>
      <c r="EA22" s="2377"/>
      <c r="EB22" s="2377"/>
      <c r="EC22" s="2377"/>
      <c r="ED22" s="2377"/>
      <c r="EE22" s="2377"/>
      <c r="EF22" s="2377"/>
      <c r="EG22" s="2377"/>
      <c r="EH22" s="2377"/>
      <c r="EI22" s="2377"/>
      <c r="EJ22" s="2377"/>
      <c r="EK22" s="2377"/>
      <c r="EL22" s="2377"/>
      <c r="EM22" s="2377"/>
      <c r="EN22" s="2377"/>
      <c r="EO22" s="2377"/>
      <c r="EP22" s="2377"/>
      <c r="EQ22" s="2377"/>
      <c r="ER22" s="2377"/>
      <c r="ES22" s="2377"/>
      <c r="ET22" s="2377"/>
      <c r="EU22" s="2377"/>
      <c r="EV22" s="2377"/>
      <c r="EW22" s="2377"/>
      <c r="EX22" s="2377"/>
      <c r="EY22" s="2377"/>
      <c r="EZ22" s="2377"/>
      <c r="FA22" s="2377"/>
      <c r="FB22" s="2377"/>
      <c r="FC22" s="2377"/>
      <c r="FD22" s="2377"/>
      <c r="FE22" s="2377"/>
      <c r="FF22" s="2377"/>
      <c r="FG22" s="2377"/>
      <c r="FH22" s="2377"/>
      <c r="FI22" s="2377"/>
      <c r="FJ22" s="2377"/>
      <c r="FK22" s="2377"/>
      <c r="FL22" s="2377"/>
      <c r="FM22" s="2377"/>
      <c r="FN22" s="2377"/>
      <c r="FO22" s="2377"/>
      <c r="FP22" s="2377"/>
      <c r="FQ22" s="2377"/>
      <c r="FR22" s="2377"/>
      <c r="FS22" s="2377"/>
      <c r="FT22" s="2377"/>
      <c r="FU22" s="4107">
        <v>11977</v>
      </c>
      <c r="FV22" s="2377"/>
      <c r="FW22" s="2377"/>
      <c r="FX22" s="2377"/>
      <c r="FY22" s="2377"/>
      <c r="FZ22" s="2377"/>
      <c r="GA22" s="2377"/>
      <c r="GB22" s="2377"/>
      <c r="GC22" s="2377"/>
      <c r="GD22" s="2377"/>
      <c r="GE22" s="2377"/>
      <c r="GF22" s="2377"/>
      <c r="GG22" s="2377"/>
      <c r="GH22" s="2377"/>
      <c r="GI22" s="2377"/>
      <c r="GJ22" s="2377">
        <v>276</v>
      </c>
      <c r="GK22" s="2377"/>
      <c r="GL22" s="2377"/>
      <c r="GM22" s="2377"/>
      <c r="GN22" s="2377"/>
      <c r="GO22" s="2377"/>
      <c r="GP22" s="2377"/>
      <c r="GQ22" s="2377"/>
      <c r="GR22" s="2377"/>
      <c r="GS22" s="2377"/>
      <c r="GT22" s="2377"/>
      <c r="GU22" s="2377"/>
      <c r="GV22" s="2377"/>
      <c r="GW22" s="2377"/>
      <c r="GX22" s="2377"/>
      <c r="GY22" s="2377"/>
      <c r="GZ22" s="2377"/>
      <c r="HA22" s="2377"/>
      <c r="HB22" s="2377"/>
      <c r="HC22" s="2377"/>
      <c r="HD22" s="2377"/>
      <c r="HE22" s="2377"/>
      <c r="HF22" s="2377"/>
      <c r="HG22" s="2377"/>
      <c r="HH22" s="2377"/>
      <c r="HI22" s="2377"/>
      <c r="HJ22" s="2377"/>
      <c r="HK22" s="2377"/>
      <c r="HL22" s="2377"/>
      <c r="HM22" s="2377"/>
      <c r="HN22" s="2377"/>
      <c r="HO22" s="2377"/>
      <c r="HP22" s="2377"/>
      <c r="HQ22" s="2377"/>
      <c r="HR22" s="2377"/>
      <c r="HS22" s="2377"/>
      <c r="HT22" s="2377"/>
      <c r="HU22" s="2377"/>
      <c r="HV22" s="2377"/>
      <c r="HW22" s="2377"/>
      <c r="HX22" s="2377"/>
      <c r="HY22" s="2377"/>
      <c r="HZ22" s="2377"/>
      <c r="IA22" s="2377"/>
      <c r="IB22" s="2377"/>
      <c r="IC22" s="2377"/>
      <c r="ID22" s="2377"/>
      <c r="IE22" s="2377"/>
      <c r="IF22" s="2377"/>
      <c r="IG22" s="2377"/>
      <c r="IH22" s="2377"/>
      <c r="II22" s="2377"/>
      <c r="IJ22" s="2377"/>
      <c r="IK22" s="2377"/>
      <c r="IL22" s="2377"/>
      <c r="IM22" s="2377"/>
      <c r="IN22" s="2377"/>
      <c r="IO22" s="2377"/>
      <c r="IP22" s="2377"/>
      <c r="IQ22" s="2377"/>
      <c r="IR22" s="2377"/>
      <c r="IS22" s="2377"/>
      <c r="IT22" s="4109">
        <v>131003</v>
      </c>
      <c r="IU22" s="2377"/>
      <c r="IV22" s="2377"/>
      <c r="IW22" s="2377"/>
      <c r="IX22" s="2377"/>
      <c r="IY22" s="2377"/>
      <c r="IZ22" s="2377"/>
      <c r="JA22" s="2384"/>
      <c r="JB22" s="2384"/>
      <c r="JC22" s="2384"/>
      <c r="JD22" s="2384"/>
      <c r="JE22" s="2384"/>
      <c r="JF22" s="2384"/>
      <c r="JG22" s="3347"/>
      <c r="JH22" s="1233"/>
      <c r="JI22" s="1393"/>
    </row>
    <row r="23" spans="1:269" x14ac:dyDescent="0.2">
      <c r="A23" s="1128">
        <v>4</v>
      </c>
      <c r="B23" s="1380" t="str">
        <f>IF(AOI_C_IND&gt;1,IF(HLOOKUP(AOI_C_IND-1,AOI_C_RANGE,A23)="","",HLOOKUP(AOI_C_IND-1,AOI_C_RANGE,A23)),"")</f>
        <v/>
      </c>
      <c r="C23" s="4040" t="s">
        <v>8489</v>
      </c>
      <c r="D23" s="4041" t="s">
        <v>8490</v>
      </c>
      <c r="E23" s="2366"/>
      <c r="F23" s="2366"/>
      <c r="G23" s="2366"/>
      <c r="H23" s="2366"/>
      <c r="I23" s="2366"/>
      <c r="J23" s="2377"/>
      <c r="K23" s="2377"/>
      <c r="L23" s="2377"/>
      <c r="M23" s="2377"/>
      <c r="N23" s="2377"/>
      <c r="O23" s="2377"/>
      <c r="P23" s="2377"/>
      <c r="Q23" s="2377"/>
      <c r="R23" s="2377"/>
      <c r="S23" s="2377"/>
      <c r="T23" s="2377"/>
      <c r="U23" s="2377"/>
      <c r="V23" s="2377"/>
      <c r="W23" s="2377"/>
      <c r="X23" s="2377"/>
      <c r="Y23" s="2377"/>
      <c r="Z23" s="2377"/>
      <c r="AA23" s="2377"/>
      <c r="AB23" s="2377"/>
      <c r="AC23" s="2377"/>
      <c r="AD23" s="2377"/>
      <c r="AE23" s="2377"/>
      <c r="AF23" s="2377"/>
      <c r="AG23" s="2377"/>
      <c r="AH23" s="2377"/>
      <c r="AI23" s="2377"/>
      <c r="AJ23" s="2377"/>
      <c r="AK23" s="2377"/>
      <c r="AL23" s="2377"/>
      <c r="AM23" s="2377"/>
      <c r="AN23" s="2377"/>
      <c r="AO23" s="2377"/>
      <c r="AP23" s="2377"/>
      <c r="AQ23" s="2377"/>
      <c r="AR23" s="2377"/>
      <c r="AS23" s="2377"/>
      <c r="AT23" s="2377"/>
      <c r="AU23" s="2377"/>
      <c r="AV23" s="2377"/>
      <c r="AW23" s="2377"/>
      <c r="AX23" s="2377"/>
      <c r="AY23" s="2377"/>
      <c r="AZ23" s="2377"/>
      <c r="BA23" s="2377"/>
      <c r="BB23" s="2377"/>
      <c r="BC23" s="2377"/>
      <c r="BD23" s="2377"/>
      <c r="BE23" s="2377"/>
      <c r="BF23" s="2377"/>
      <c r="BG23" s="2377"/>
      <c r="BH23" s="2377"/>
      <c r="BI23" s="2377"/>
      <c r="BJ23" s="2377"/>
      <c r="BK23" s="2377"/>
      <c r="BL23" s="2377"/>
      <c r="BM23" s="2377"/>
      <c r="BN23" s="2377"/>
      <c r="BO23" s="2377"/>
      <c r="BP23" s="2377"/>
      <c r="BQ23" s="2377"/>
      <c r="BR23" s="2377"/>
      <c r="BS23" s="2377"/>
      <c r="BT23" s="2377"/>
      <c r="BU23" s="2377"/>
      <c r="BV23" s="2377"/>
      <c r="BW23" s="2377"/>
      <c r="BX23" s="2377"/>
      <c r="BY23" s="2377"/>
      <c r="BZ23" s="2377"/>
      <c r="CA23" s="2377"/>
      <c r="CB23" s="2377"/>
      <c r="CC23" s="2377"/>
      <c r="CD23" s="2377"/>
      <c r="CE23" s="2377"/>
      <c r="CF23" s="2377"/>
      <c r="CG23" s="2377"/>
      <c r="CH23" s="2377"/>
      <c r="CI23" s="2377"/>
      <c r="CJ23" s="2377"/>
      <c r="CK23" s="2377"/>
      <c r="CL23" s="2377"/>
      <c r="CM23" s="2377"/>
      <c r="CN23" s="2377"/>
      <c r="CO23" s="2377"/>
      <c r="CP23" s="2377"/>
      <c r="CQ23" s="2377"/>
      <c r="CR23" s="2377"/>
      <c r="CS23" s="2377"/>
      <c r="CT23" s="2377"/>
      <c r="CU23" s="2377"/>
      <c r="CV23" s="2377"/>
      <c r="CW23" s="2377"/>
      <c r="CX23" s="2377"/>
      <c r="CY23" s="2377"/>
      <c r="CZ23" s="2377"/>
      <c r="DA23" s="2377"/>
      <c r="DB23" s="2377"/>
      <c r="DC23" s="2377"/>
      <c r="DD23" s="2377"/>
      <c r="DE23" s="2377"/>
      <c r="DF23" s="2377"/>
      <c r="DG23" s="2377"/>
      <c r="DH23" s="2377"/>
      <c r="DI23" s="2377"/>
      <c r="DJ23" s="2377"/>
      <c r="DK23" s="2377"/>
      <c r="DL23" s="2377"/>
      <c r="DM23" s="2377"/>
      <c r="DN23" s="2377"/>
      <c r="DO23" s="2377"/>
      <c r="DP23" s="2377"/>
      <c r="DQ23" s="2377"/>
      <c r="DR23" s="2377"/>
      <c r="DS23" s="2377"/>
      <c r="DT23" s="2377"/>
      <c r="DU23" s="2377"/>
      <c r="DV23" s="2377"/>
      <c r="DW23" s="2377"/>
      <c r="DX23" s="2377"/>
      <c r="DY23" s="2377"/>
      <c r="DZ23" s="2377"/>
      <c r="EA23" s="2377"/>
      <c r="EB23" s="2377"/>
      <c r="EC23" s="2377"/>
      <c r="ED23" s="2377"/>
      <c r="EE23" s="2377"/>
      <c r="EF23" s="2377"/>
      <c r="EG23" s="2377"/>
      <c r="EH23" s="2377"/>
      <c r="EI23" s="2377"/>
      <c r="EJ23" s="2377"/>
      <c r="EK23" s="2377"/>
      <c r="EL23" s="2377"/>
      <c r="EM23" s="2377"/>
      <c r="EN23" s="2377"/>
      <c r="EO23" s="2377"/>
      <c r="EP23" s="2377"/>
      <c r="EQ23" s="2377"/>
      <c r="ER23" s="2377"/>
      <c r="ES23" s="2377"/>
      <c r="ET23" s="2377"/>
      <c r="EU23" s="2377"/>
      <c r="EV23" s="2377"/>
      <c r="EW23" s="2377"/>
      <c r="EX23" s="2377"/>
      <c r="EY23" s="2377"/>
      <c r="EZ23" s="2377"/>
      <c r="FA23" s="2377"/>
      <c r="FB23" s="2377"/>
      <c r="FC23" s="2377"/>
      <c r="FD23" s="2377"/>
      <c r="FE23" s="2377"/>
      <c r="FF23" s="2377"/>
      <c r="FG23" s="2377"/>
      <c r="FH23" s="2377"/>
      <c r="FI23" s="2377"/>
      <c r="FJ23" s="2377"/>
      <c r="FK23" s="2377"/>
      <c r="FL23" s="2377"/>
      <c r="FM23" s="2377"/>
      <c r="FN23" s="2377"/>
      <c r="FO23" s="2377"/>
      <c r="FP23" s="2377"/>
      <c r="FQ23" s="2377"/>
      <c r="FR23" s="2377"/>
      <c r="FS23" s="2377"/>
      <c r="FT23" s="2377"/>
      <c r="FU23" s="4107">
        <v>2739</v>
      </c>
      <c r="FV23" s="2377"/>
      <c r="FW23" s="2377"/>
      <c r="FX23" s="2377"/>
      <c r="FY23" s="2377"/>
      <c r="FZ23" s="2377"/>
      <c r="GA23" s="2377"/>
      <c r="GB23" s="2377"/>
      <c r="GC23" s="2377"/>
      <c r="GD23" s="2377"/>
      <c r="GE23" s="2377"/>
      <c r="GF23" s="2377"/>
      <c r="GG23" s="2377"/>
      <c r="GH23" s="2377"/>
      <c r="GI23" s="2377"/>
      <c r="GJ23" s="2377"/>
      <c r="GK23" s="2377"/>
      <c r="GL23" s="2377"/>
      <c r="GM23" s="2377"/>
      <c r="GN23" s="2377"/>
      <c r="GO23" s="2377"/>
      <c r="GP23" s="2377"/>
      <c r="GQ23" s="2377"/>
      <c r="GR23" s="2377"/>
      <c r="GS23" s="2377"/>
      <c r="GT23" s="2377"/>
      <c r="GU23" s="2377"/>
      <c r="GV23" s="2377"/>
      <c r="GW23" s="2377"/>
      <c r="GX23" s="2377"/>
      <c r="GY23" s="2377"/>
      <c r="GZ23" s="2377"/>
      <c r="HA23" s="2377"/>
      <c r="HB23" s="2377"/>
      <c r="HC23" s="2377"/>
      <c r="HD23" s="2377"/>
      <c r="HE23" s="2377"/>
      <c r="HF23" s="2377"/>
      <c r="HG23" s="2377"/>
      <c r="HH23" s="2377"/>
      <c r="HI23" s="2377"/>
      <c r="HJ23" s="2377"/>
      <c r="HK23" s="2377"/>
      <c r="HL23" s="2377"/>
      <c r="HM23" s="2377"/>
      <c r="HN23" s="2377"/>
      <c r="HO23" s="2377"/>
      <c r="HP23" s="2377"/>
      <c r="HQ23" s="2377"/>
      <c r="HR23" s="2377"/>
      <c r="HS23" s="2377"/>
      <c r="HT23" s="2377"/>
      <c r="HU23" s="2377"/>
      <c r="HV23" s="2377"/>
      <c r="HW23" s="2377"/>
      <c r="HX23" s="2377"/>
      <c r="HY23" s="2377"/>
      <c r="HZ23" s="2377"/>
      <c r="IA23" s="2377"/>
      <c r="IB23" s="2377"/>
      <c r="IC23" s="2377"/>
      <c r="ID23" s="2377"/>
      <c r="IE23" s="2377"/>
      <c r="IF23" s="2377"/>
      <c r="IG23" s="2377"/>
      <c r="IH23" s="2377"/>
      <c r="II23" s="2377"/>
      <c r="IJ23" s="2377"/>
      <c r="IK23" s="2377"/>
      <c r="IL23" s="2377"/>
      <c r="IM23" s="2377"/>
      <c r="IN23" s="2377"/>
      <c r="IO23" s="2377"/>
      <c r="IP23" s="2377"/>
      <c r="IQ23" s="2377"/>
      <c r="IR23" s="2377"/>
      <c r="IS23" s="2377"/>
      <c r="IT23" s="4110">
        <v>39700</v>
      </c>
      <c r="IU23" s="2377"/>
      <c r="IV23" s="2377"/>
      <c r="IW23" s="2377"/>
      <c r="IX23" s="2377"/>
      <c r="IY23" s="2377"/>
      <c r="IZ23" s="2377"/>
      <c r="JA23" s="2384"/>
      <c r="JB23" s="2384"/>
      <c r="JC23" s="2384"/>
      <c r="JD23" s="2384"/>
      <c r="JE23" s="2384"/>
      <c r="JF23" s="2384"/>
      <c r="JG23" s="3347"/>
      <c r="JH23" s="1233"/>
      <c r="JI23" s="2248"/>
    </row>
    <row r="24" spans="1:269" x14ac:dyDescent="0.2">
      <c r="A24" s="1128">
        <v>5</v>
      </c>
      <c r="B24" s="1380" t="str">
        <f>IF(AOI_C_IND&gt;1,IF(HLOOKUP(AOI_C_IND-1,AOI_C_RANGE,A24)="","",HLOOKUP(AOI_C_IND-1,AOI_C_RANGE,A24)),"")</f>
        <v/>
      </c>
      <c r="C24" s="1136" t="s">
        <v>3676</v>
      </c>
      <c r="D24" s="1376" t="s">
        <v>4878</v>
      </c>
      <c r="E24" s="2423"/>
      <c r="F24" s="2423"/>
      <c r="G24" s="2423"/>
      <c r="H24" s="2423"/>
      <c r="I24" s="2423"/>
      <c r="J24" s="2423"/>
      <c r="K24" s="2423"/>
      <c r="L24" s="2423"/>
      <c r="M24" s="2423"/>
      <c r="N24" s="2423"/>
      <c r="O24" s="2423"/>
      <c r="P24" s="2423"/>
      <c r="Q24" s="2423"/>
      <c r="R24" s="2423"/>
      <c r="S24" s="2423"/>
      <c r="T24" s="2423"/>
      <c r="U24" s="2423"/>
      <c r="V24" s="2423"/>
      <c r="W24" s="2423"/>
      <c r="X24" s="2423"/>
      <c r="Y24" s="2423"/>
      <c r="Z24" s="2423"/>
      <c r="AA24" s="2423"/>
      <c r="AB24" s="2423"/>
      <c r="AC24" s="2423"/>
      <c r="AD24" s="2423"/>
      <c r="AE24" s="2423"/>
      <c r="AF24" s="2423"/>
      <c r="AG24" s="2423"/>
      <c r="AH24" s="2423"/>
      <c r="AI24" s="2423"/>
      <c r="AJ24" s="2423"/>
      <c r="AK24" s="2423"/>
      <c r="AL24" s="2423"/>
      <c r="AM24" s="2423"/>
      <c r="AN24" s="2423"/>
      <c r="AO24" s="2423"/>
      <c r="AP24" s="2423"/>
      <c r="AQ24" s="2423"/>
      <c r="AR24" s="2423"/>
      <c r="AS24" s="2423"/>
      <c r="AT24" s="2423"/>
      <c r="AU24" s="2423"/>
      <c r="AV24" s="2423"/>
      <c r="AW24" s="2423"/>
      <c r="AX24" s="2423"/>
      <c r="AY24" s="2423"/>
      <c r="AZ24" s="2423"/>
      <c r="BA24" s="2423"/>
      <c r="BB24" s="2423"/>
      <c r="BC24" s="2423"/>
      <c r="BD24" s="2423"/>
      <c r="BE24" s="2423"/>
      <c r="BF24" s="2423"/>
      <c r="BG24" s="2423"/>
      <c r="BH24" s="2423"/>
      <c r="BI24" s="2423"/>
      <c r="BJ24" s="2423"/>
      <c r="BK24" s="2423"/>
      <c r="BL24" s="2423"/>
      <c r="BM24" s="2423"/>
      <c r="BN24" s="2423"/>
      <c r="BO24" s="2423"/>
      <c r="BP24" s="2423"/>
      <c r="BQ24" s="2423"/>
      <c r="BR24" s="2423"/>
      <c r="BS24" s="2423"/>
      <c r="BT24" s="2423"/>
      <c r="BU24" s="2423"/>
      <c r="BV24" s="2423"/>
      <c r="BW24" s="2423"/>
      <c r="BX24" s="2423"/>
      <c r="BY24" s="2423"/>
      <c r="BZ24" s="2423"/>
      <c r="CA24" s="2423"/>
      <c r="CB24" s="2423"/>
      <c r="CC24" s="2423"/>
      <c r="CD24" s="2423"/>
      <c r="CE24" s="2423"/>
      <c r="CF24" s="2423"/>
      <c r="CG24" s="2423"/>
      <c r="CH24" s="2423"/>
      <c r="CI24" s="2423"/>
      <c r="CJ24" s="2423"/>
      <c r="CK24" s="2423"/>
      <c r="CL24" s="2423"/>
      <c r="CM24" s="2423"/>
      <c r="CN24" s="2423"/>
      <c r="CO24" s="2423"/>
      <c r="CP24" s="2423"/>
      <c r="CQ24" s="2423"/>
      <c r="CR24" s="2423"/>
      <c r="CS24" s="2423"/>
      <c r="CT24" s="2423"/>
      <c r="CU24" s="2423"/>
      <c r="CV24" s="2423"/>
      <c r="CW24" s="2423"/>
      <c r="CX24" s="2423"/>
      <c r="CY24" s="2423"/>
      <c r="CZ24" s="2423"/>
      <c r="DA24" s="2423"/>
      <c r="DB24" s="2423"/>
      <c r="DC24" s="2423"/>
      <c r="DD24" s="2423"/>
      <c r="DE24" s="2423"/>
      <c r="DF24" s="2423"/>
      <c r="DG24" s="2423"/>
      <c r="DH24" s="2423"/>
      <c r="DI24" s="2423"/>
      <c r="DJ24" s="2423"/>
      <c r="DK24" s="2423"/>
      <c r="DL24" s="2423"/>
      <c r="DM24" s="2423"/>
      <c r="DN24" s="2423"/>
      <c r="DO24" s="2423"/>
      <c r="DP24" s="2423"/>
      <c r="DQ24" s="2423"/>
      <c r="DR24" s="2423"/>
      <c r="DS24" s="2423"/>
      <c r="DT24" s="2423"/>
      <c r="DU24" s="2423"/>
      <c r="DV24" s="2423"/>
      <c r="DW24" s="2423"/>
      <c r="DX24" s="2423"/>
      <c r="DY24" s="2423"/>
      <c r="DZ24" s="2423"/>
      <c r="EA24" s="2423"/>
      <c r="EB24" s="2423"/>
      <c r="EC24" s="2423"/>
      <c r="ED24" s="2423"/>
      <c r="EE24" s="2423"/>
      <c r="EF24" s="2423"/>
      <c r="EG24" s="2423"/>
      <c r="EH24" s="2423"/>
      <c r="EI24" s="2423"/>
      <c r="EJ24" s="2423"/>
      <c r="EK24" s="2423"/>
      <c r="EL24" s="2423"/>
      <c r="EM24" s="2423"/>
      <c r="EN24" s="2423"/>
      <c r="EO24" s="2423"/>
      <c r="EP24" s="2423"/>
      <c r="EQ24" s="2423"/>
      <c r="ER24" s="2423"/>
      <c r="ES24" s="2423"/>
      <c r="ET24" s="2423"/>
      <c r="EU24" s="2423"/>
      <c r="EV24" s="2423"/>
      <c r="EW24" s="2423"/>
      <c r="EX24" s="2423"/>
      <c r="EY24" s="2423"/>
      <c r="EZ24" s="2423"/>
      <c r="FA24" s="2423"/>
      <c r="FB24" s="2423"/>
      <c r="FC24" s="2423"/>
      <c r="FD24" s="2423"/>
      <c r="FE24" s="2423"/>
      <c r="FF24" s="2423"/>
      <c r="FG24" s="2423"/>
      <c r="FH24" s="2423"/>
      <c r="FI24" s="2423"/>
      <c r="FJ24" s="2423"/>
      <c r="FK24" s="2423"/>
      <c r="FL24" s="2423"/>
      <c r="FM24" s="2423"/>
      <c r="FN24" s="2423"/>
      <c r="FO24" s="2423"/>
      <c r="FP24" s="2423"/>
      <c r="FQ24" s="2423"/>
      <c r="FR24" s="2423"/>
      <c r="FS24" s="2423"/>
      <c r="FT24" s="2423"/>
      <c r="FU24" s="2423"/>
      <c r="FV24" s="2423"/>
      <c r="FW24" s="2423"/>
      <c r="FX24" s="2423"/>
      <c r="FY24" s="2423"/>
      <c r="FZ24" s="2423"/>
      <c r="GA24" s="2423"/>
      <c r="GB24" s="2423"/>
      <c r="GC24" s="2423"/>
      <c r="GD24" s="2423"/>
      <c r="GE24" s="2423"/>
      <c r="GF24" s="2423"/>
      <c r="GG24" s="2423"/>
      <c r="GH24" s="2423"/>
      <c r="GI24" s="2423"/>
      <c r="GJ24" s="2423"/>
      <c r="GK24" s="2423"/>
      <c r="GL24" s="2423"/>
      <c r="GM24" s="2423"/>
      <c r="GN24" s="2423"/>
      <c r="GO24" s="2423"/>
      <c r="GP24" s="2423"/>
      <c r="GQ24" s="2423"/>
      <c r="GR24" s="2423"/>
      <c r="GS24" s="2423"/>
      <c r="GT24" s="2423"/>
      <c r="GU24" s="2423"/>
      <c r="GV24" s="2423"/>
      <c r="GW24" s="2423"/>
      <c r="GX24" s="2423"/>
      <c r="GY24" s="2423"/>
      <c r="GZ24" s="2423"/>
      <c r="HA24" s="2423"/>
      <c r="HB24" s="2423"/>
      <c r="HC24" s="2423"/>
      <c r="HD24" s="2423"/>
      <c r="HE24" s="2423"/>
      <c r="HF24" s="2423"/>
      <c r="HG24" s="2423"/>
      <c r="HH24" s="2423"/>
      <c r="HI24" s="2423"/>
      <c r="HJ24" s="2423"/>
      <c r="HK24" s="2423"/>
      <c r="HL24" s="2423"/>
      <c r="HM24" s="2423"/>
      <c r="HN24" s="2423"/>
      <c r="HO24" s="2423"/>
      <c r="HP24" s="2423"/>
      <c r="HQ24" s="2423"/>
      <c r="HR24" s="2423"/>
      <c r="HS24" s="2423"/>
      <c r="HT24" s="2423"/>
      <c r="HU24" s="2423"/>
      <c r="HV24" s="2423"/>
      <c r="HW24" s="2423"/>
      <c r="HX24" s="2423"/>
      <c r="HY24" s="2423"/>
      <c r="HZ24" s="2423"/>
      <c r="IA24" s="2423"/>
      <c r="IB24" s="2423"/>
      <c r="IC24" s="2423"/>
      <c r="ID24" s="2423"/>
      <c r="IE24" s="2423"/>
      <c r="IF24" s="2423"/>
      <c r="IG24" s="2423"/>
      <c r="IH24" s="2423"/>
      <c r="II24" s="2423"/>
      <c r="IJ24" s="2423"/>
      <c r="IK24" s="2423"/>
      <c r="IL24" s="2423"/>
      <c r="IM24" s="2423"/>
      <c r="IN24" s="2423"/>
      <c r="IO24" s="2423"/>
      <c r="IP24" s="2423"/>
      <c r="IQ24" s="2423"/>
      <c r="IR24" s="2423"/>
      <c r="IS24" s="2423"/>
      <c r="IT24" s="2423"/>
      <c r="IU24" s="2423"/>
      <c r="IV24" s="2423"/>
      <c r="IW24" s="2423"/>
      <c r="IX24" s="2423"/>
      <c r="IY24" s="2423"/>
      <c r="IZ24" s="2423"/>
      <c r="JA24" s="2424"/>
      <c r="JB24" s="2424"/>
      <c r="JC24" s="2424"/>
      <c r="JD24" s="2424"/>
      <c r="JE24" s="2424"/>
      <c r="JF24" s="2424"/>
      <c r="JG24" s="3767"/>
      <c r="JH24" s="1233"/>
      <c r="JI24" s="1393"/>
    </row>
    <row ht="23.25" r="25" spans="1:269" thickBot="1" x14ac:dyDescent="0.25">
      <c r="A25" s="1128">
        <v>6</v>
      </c>
      <c r="B25" s="1380" t="str">
        <f>IF(AOI_C_IND&gt;1,IF(HLOOKUP(AOI_C_IND-1,AOI_C_RANGE,A25)="","",HLOOKUP(AOI_C_IND-1,AOI_C_RANGE,A25)),"")</f>
        <v/>
      </c>
      <c r="C25" s="1137" t="s">
        <v>3677</v>
      </c>
      <c r="D25" s="1253" t="s">
        <v>4879</v>
      </c>
      <c r="E25" s="2425"/>
      <c r="F25" s="2425"/>
      <c r="G25" s="2425"/>
      <c r="H25" s="2425"/>
      <c r="I25" s="2425"/>
      <c r="J25" s="2380"/>
      <c r="K25" s="2380"/>
      <c r="L25" s="2380"/>
      <c r="M25" s="2380"/>
      <c r="N25" s="2380"/>
      <c r="O25" s="2380"/>
      <c r="P25" s="2380"/>
      <c r="Q25" s="2380"/>
      <c r="R25" s="2380"/>
      <c r="S25" s="2380"/>
      <c r="T25" s="2380"/>
      <c r="U25" s="2380"/>
      <c r="V25" s="2380"/>
      <c r="W25" s="2380"/>
      <c r="X25" s="2380"/>
      <c r="Y25" s="2380"/>
      <c r="Z25" s="2380"/>
      <c r="AA25" s="2380"/>
      <c r="AB25" s="2380"/>
      <c r="AC25" s="2380"/>
      <c r="AD25" s="2380"/>
      <c r="AE25" s="2380"/>
      <c r="AF25" s="2380"/>
      <c r="AG25" s="2380"/>
      <c r="AH25" s="2380"/>
      <c r="AI25" s="2380"/>
      <c r="AJ25" s="2380"/>
      <c r="AK25" s="2380"/>
      <c r="AL25" s="2380"/>
      <c r="AM25" s="2380"/>
      <c r="AN25" s="2380"/>
      <c r="AO25" s="2380"/>
      <c r="AP25" s="2380"/>
      <c r="AQ25" s="2380"/>
      <c r="AR25" s="2380"/>
      <c r="AS25" s="2380"/>
      <c r="AT25" s="2380"/>
      <c r="AU25" s="2380"/>
      <c r="AV25" s="2380"/>
      <c r="AW25" s="2380"/>
      <c r="AX25" s="2380"/>
      <c r="AY25" s="2380"/>
      <c r="AZ25" s="2380"/>
      <c r="BA25" s="2380"/>
      <c r="BB25" s="2380"/>
      <c r="BC25" s="2380"/>
      <c r="BD25" s="2380"/>
      <c r="BE25" s="2380"/>
      <c r="BF25" s="2380"/>
      <c r="BG25" s="2380"/>
      <c r="BH25" s="2380"/>
      <c r="BI25" s="2380"/>
      <c r="BJ25" s="2380"/>
      <c r="BK25" s="2380"/>
      <c r="BL25" s="2380"/>
      <c r="BM25" s="2380"/>
      <c r="BN25" s="2380"/>
      <c r="BO25" s="2380"/>
      <c r="BP25" s="2380"/>
      <c r="BQ25" s="2380"/>
      <c r="BR25" s="2380"/>
      <c r="BS25" s="2380"/>
      <c r="BT25" s="2380"/>
      <c r="BU25" s="2380"/>
      <c r="BV25" s="2380"/>
      <c r="BW25" s="2380"/>
      <c r="BX25" s="2380"/>
      <c r="BY25" s="2380"/>
      <c r="BZ25" s="2380"/>
      <c r="CA25" s="2380"/>
      <c r="CB25" s="2380"/>
      <c r="CC25" s="2380"/>
      <c r="CD25" s="2380"/>
      <c r="CE25" s="2380"/>
      <c r="CF25" s="2380"/>
      <c r="CG25" s="2380"/>
      <c r="CH25" s="2380"/>
      <c r="CI25" s="2380"/>
      <c r="CJ25" s="2380"/>
      <c r="CK25" s="2380"/>
      <c r="CL25" s="2380"/>
      <c r="CM25" s="2380"/>
      <c r="CN25" s="2380"/>
      <c r="CO25" s="2380"/>
      <c r="CP25" s="2380"/>
      <c r="CQ25" s="2380"/>
      <c r="CR25" s="2380"/>
      <c r="CS25" s="2380"/>
      <c r="CT25" s="2380"/>
      <c r="CU25" s="2380"/>
      <c r="CV25" s="2380"/>
      <c r="CW25" s="2380"/>
      <c r="CX25" s="2380"/>
      <c r="CY25" s="2380"/>
      <c r="CZ25" s="2380"/>
      <c r="DA25" s="2380"/>
      <c r="DB25" s="2380"/>
      <c r="DC25" s="2380"/>
      <c r="DD25" s="2380"/>
      <c r="DE25" s="2380"/>
      <c r="DF25" s="2380"/>
      <c r="DG25" s="2380"/>
      <c r="DH25" s="2380"/>
      <c r="DI25" s="2380"/>
      <c r="DJ25" s="2380"/>
      <c r="DK25" s="2380"/>
      <c r="DL25" s="2380"/>
      <c r="DM25" s="2380"/>
      <c r="DN25" s="2380"/>
      <c r="DO25" s="2380"/>
      <c r="DP25" s="2380"/>
      <c r="DQ25" s="2380"/>
      <c r="DR25" s="2380"/>
      <c r="DS25" s="2380"/>
      <c r="DT25" s="2380"/>
      <c r="DU25" s="2380"/>
      <c r="DV25" s="2380"/>
      <c r="DW25" s="2380"/>
      <c r="DX25" s="2380"/>
      <c r="DY25" s="2380"/>
      <c r="DZ25" s="2380"/>
      <c r="EA25" s="2380"/>
      <c r="EB25" s="2380"/>
      <c r="EC25" s="2380"/>
      <c r="ED25" s="2380"/>
      <c r="EE25" s="2380"/>
      <c r="EF25" s="2380"/>
      <c r="EG25" s="2380"/>
      <c r="EH25" s="2380"/>
      <c r="EI25" s="2380"/>
      <c r="EJ25" s="2380"/>
      <c r="EK25" s="2380"/>
      <c r="EL25" s="2380"/>
      <c r="EM25" s="2380"/>
      <c r="EN25" s="2380"/>
      <c r="EO25" s="2380"/>
      <c r="EP25" s="2380"/>
      <c r="EQ25" s="2380"/>
      <c r="ER25" s="2380"/>
      <c r="ES25" s="2380"/>
      <c r="ET25" s="2380"/>
      <c r="EU25" s="2380"/>
      <c r="EV25" s="2380"/>
      <c r="EW25" s="2380"/>
      <c r="EX25" s="2380"/>
      <c r="EY25" s="2380"/>
      <c r="EZ25" s="2380"/>
      <c r="FA25" s="2380"/>
      <c r="FB25" s="2380"/>
      <c r="FC25" s="2380"/>
      <c r="FD25" s="2380"/>
      <c r="FE25" s="2380"/>
      <c r="FF25" s="2380"/>
      <c r="FG25" s="2380"/>
      <c r="FH25" s="2380"/>
      <c r="FI25" s="2380"/>
      <c r="FJ25" s="2380"/>
      <c r="FK25" s="2380"/>
      <c r="FL25" s="2380"/>
      <c r="FM25" s="2380"/>
      <c r="FN25" s="2380"/>
      <c r="FO25" s="2380"/>
      <c r="FP25" s="2380"/>
      <c r="FQ25" s="2380"/>
      <c r="FR25" s="2380"/>
      <c r="FS25" s="2380"/>
      <c r="FT25" s="2380"/>
      <c r="FU25" s="2380"/>
      <c r="FV25" s="2380"/>
      <c r="FW25" s="2380"/>
      <c r="FX25" s="2380"/>
      <c r="FY25" s="2380"/>
      <c r="FZ25" s="2380"/>
      <c r="GA25" s="2380"/>
      <c r="GB25" s="2380"/>
      <c r="GC25" s="2380"/>
      <c r="GD25" s="2380"/>
      <c r="GE25" s="2380"/>
      <c r="GF25" s="2380"/>
      <c r="GG25" s="2380"/>
      <c r="GH25" s="2380"/>
      <c r="GI25" s="2380"/>
      <c r="GJ25" s="2380"/>
      <c r="GK25" s="2380"/>
      <c r="GL25" s="2380"/>
      <c r="GM25" s="2380"/>
      <c r="GN25" s="2380"/>
      <c r="GO25" s="2380"/>
      <c r="GP25" s="2380"/>
      <c r="GQ25" s="2380"/>
      <c r="GR25" s="2380"/>
      <c r="GS25" s="2380"/>
      <c r="GT25" s="2380"/>
      <c r="GU25" s="2380"/>
      <c r="GV25" s="2380"/>
      <c r="GW25" s="2380"/>
      <c r="GX25" s="2380"/>
      <c r="GY25" s="2380"/>
      <c r="GZ25" s="2380"/>
      <c r="HA25" s="2380"/>
      <c r="HB25" s="2380"/>
      <c r="HC25" s="2380"/>
      <c r="HD25" s="2380"/>
      <c r="HE25" s="2380"/>
      <c r="HF25" s="2380"/>
      <c r="HG25" s="2380"/>
      <c r="HH25" s="2380"/>
      <c r="HI25" s="2380"/>
      <c r="HJ25" s="2380"/>
      <c r="HK25" s="2380"/>
      <c r="HL25" s="2380"/>
      <c r="HM25" s="2380"/>
      <c r="HN25" s="2380"/>
      <c r="HO25" s="2380"/>
      <c r="HP25" s="2380"/>
      <c r="HQ25" s="2380"/>
      <c r="HR25" s="2380"/>
      <c r="HS25" s="2380"/>
      <c r="HT25" s="2380"/>
      <c r="HU25" s="2380"/>
      <c r="HV25" s="2380"/>
      <c r="HW25" s="2380"/>
      <c r="HX25" s="2380"/>
      <c r="HY25" s="2380"/>
      <c r="HZ25" s="2380"/>
      <c r="IA25" s="2380"/>
      <c r="IB25" s="2380"/>
      <c r="IC25" s="2380"/>
      <c r="ID25" s="2380"/>
      <c r="IE25" s="2380"/>
      <c r="IF25" s="2380"/>
      <c r="IG25" s="2380"/>
      <c r="IH25" s="2380"/>
      <c r="II25" s="2380"/>
      <c r="IJ25" s="2380"/>
      <c r="IK25" s="2380"/>
      <c r="IL25" s="2380"/>
      <c r="IM25" s="2380"/>
      <c r="IN25" s="2380"/>
      <c r="IO25" s="2380"/>
      <c r="IP25" s="2380"/>
      <c r="IQ25" s="2380"/>
      <c r="IR25" s="2380"/>
      <c r="IS25" s="2380"/>
      <c r="IT25" s="2380"/>
      <c r="IU25" s="2380"/>
      <c r="IV25" s="2380"/>
      <c r="IW25" s="2380"/>
      <c r="IX25" s="2380"/>
      <c r="IY25" s="2380"/>
      <c r="IZ25" s="2380"/>
      <c r="JA25" s="2426"/>
      <c r="JB25" s="2426"/>
      <c r="JC25" s="2426"/>
      <c r="JD25" s="2426"/>
      <c r="JE25" s="2426"/>
      <c r="JF25" s="2426"/>
      <c r="JG25" s="3768"/>
      <c r="JH25" s="1233"/>
      <c r="JI25" s="1393" t="s">
        <v>5411</v>
      </c>
    </row>
    <row r="26" spans="1:269" x14ac:dyDescent="0.2">
      <c r="C26" s="671"/>
      <c r="D26" s="671"/>
      <c r="E26" s="34"/>
      <c r="F26" s="34"/>
      <c r="G26" s="34"/>
      <c r="H26" s="34"/>
      <c r="I26" s="34"/>
      <c r="J26" s="34"/>
      <c r="K26" s="34"/>
      <c r="L26" s="34"/>
      <c r="M26" s="34"/>
      <c r="N26" s="34"/>
      <c r="O26" s="34"/>
      <c r="P26" s="34"/>
      <c r="Q26" s="34"/>
      <c r="R26" s="34"/>
      <c r="S26" s="34"/>
      <c r="T26" s="34"/>
      <c r="U26" s="34"/>
      <c r="V26" s="34"/>
      <c r="W26" s="34"/>
      <c r="X26" s="34"/>
      <c r="Y26" s="34"/>
      <c r="Z26" s="34"/>
      <c r="AA26" s="34"/>
      <c r="AB26" s="34"/>
      <c r="AC26" s="34"/>
      <c r="AI26" s="34"/>
      <c r="AJ26" s="34"/>
      <c r="AK26" s="34"/>
      <c r="AL26" s="34"/>
      <c r="AM26" s="34"/>
      <c r="AN26" s="34"/>
      <c r="AO26" s="34"/>
      <c r="AP26" s="34"/>
      <c r="AQ26" s="34"/>
      <c r="AR26" s="34"/>
      <c r="AS26" s="34"/>
      <c r="AT26" s="34"/>
      <c r="AU26" s="34"/>
      <c r="AV26" s="34"/>
      <c r="AW26" s="34"/>
      <c r="AX26" s="34"/>
      <c r="AY26" s="34"/>
      <c r="AZ26" s="34"/>
      <c r="BA26" s="34"/>
      <c r="BB26" s="34"/>
      <c r="BC26" s="34"/>
      <c r="BD26" s="34"/>
      <c r="BE26" s="34"/>
      <c r="BF26" s="34"/>
      <c r="BG26" s="34"/>
      <c r="BH26" s="34"/>
      <c r="BI26" s="34"/>
      <c r="BJ26" s="34"/>
      <c r="BK26" s="34"/>
      <c r="BL26" s="34"/>
      <c r="BM26" s="34"/>
      <c r="BN26" s="34"/>
      <c r="BO26" s="34"/>
      <c r="BP26" s="34"/>
      <c r="BQ26" s="34"/>
      <c r="BR26" s="34"/>
      <c r="BS26" s="34"/>
      <c r="BT26" s="34"/>
      <c r="BU26" s="34"/>
      <c r="BV26" s="34"/>
      <c r="BW26" s="34"/>
      <c r="BX26" s="34"/>
      <c r="BY26" s="34"/>
      <c r="BZ26" s="34"/>
      <c r="CA26" s="34"/>
      <c r="CB26" s="34"/>
      <c r="CC26" s="34"/>
      <c r="CD26" s="34"/>
      <c r="CE26" s="34"/>
      <c r="CF26" s="34"/>
      <c r="CG26" s="34"/>
      <c r="CH26" s="34"/>
      <c r="CI26" s="34"/>
      <c r="CJ26" s="34"/>
      <c r="CK26" s="34"/>
      <c r="CL26" s="34"/>
      <c r="CM26" s="34"/>
      <c r="CN26" s="34"/>
      <c r="CO26" s="34"/>
      <c r="CP26" s="34"/>
      <c r="CQ26" s="34"/>
      <c r="CR26" s="34"/>
      <c r="CS26" s="34"/>
      <c r="CT26" s="34"/>
      <c r="CU26" s="34"/>
      <c r="CV26" s="34"/>
      <c r="CW26" s="34"/>
      <c r="CX26" s="34"/>
      <c r="CY26" s="34"/>
      <c r="CZ26" s="34"/>
      <c r="DA26" s="34"/>
      <c r="DB26" s="34"/>
      <c r="DC26" s="34"/>
      <c r="DD26" s="34"/>
      <c r="DE26" s="34"/>
      <c r="DF26" s="34"/>
      <c r="DG26" s="34"/>
      <c r="DH26" s="34"/>
      <c r="DI26" s="34"/>
      <c r="DJ26" s="34"/>
      <c r="DK26" s="34"/>
      <c r="DL26" s="34"/>
      <c r="DM26" s="34"/>
      <c r="DN26" s="34"/>
      <c r="DO26" s="34"/>
      <c r="DP26" s="34"/>
      <c r="DQ26" s="34"/>
      <c r="DR26" s="34"/>
      <c r="DS26" s="34"/>
      <c r="DT26" s="34"/>
      <c r="DU26" s="34"/>
      <c r="DV26" s="34"/>
      <c r="DW26" s="34"/>
      <c r="DX26" s="34"/>
      <c r="DY26" s="34"/>
      <c r="DZ26" s="34"/>
      <c r="EA26" s="34"/>
      <c r="EB26" s="34"/>
      <c r="EC26" s="34"/>
      <c r="ED26" s="34"/>
      <c r="EE26" s="34"/>
      <c r="EF26" s="34"/>
      <c r="EG26" s="34"/>
      <c r="EH26" s="34"/>
      <c r="EI26" s="34"/>
      <c r="EJ26" s="34"/>
      <c r="EK26" s="34"/>
      <c r="EL26" s="34"/>
      <c r="EM26" s="34"/>
      <c r="EN26" s="34"/>
      <c r="EO26" s="34"/>
      <c r="EP26" s="34"/>
      <c r="EQ26" s="34"/>
      <c r="ER26" s="34"/>
      <c r="ES26" s="34"/>
      <c r="ET26" s="34"/>
      <c r="EU26" s="34"/>
      <c r="EV26" s="34"/>
      <c r="EW26" s="34"/>
      <c r="EX26" s="34"/>
      <c r="EY26" s="34"/>
      <c r="EZ26" s="34"/>
      <c r="FA26" s="34"/>
      <c r="FB26" s="34"/>
      <c r="FC26" s="34"/>
      <c r="FD26" s="34"/>
      <c r="FE26" s="34"/>
      <c r="FF26" s="34"/>
      <c r="FG26" s="34"/>
      <c r="FH26" s="34"/>
      <c r="FI26" s="34"/>
      <c r="FJ26" s="34"/>
      <c r="FK26" s="34"/>
      <c r="FL26" s="34"/>
      <c r="FM26" s="34"/>
      <c r="FN26" s="34"/>
      <c r="FO26" s="34"/>
      <c r="FP26" s="34"/>
      <c r="FQ26" s="34"/>
      <c r="FR26" s="34"/>
      <c r="FS26" s="34"/>
      <c r="FT26" s="34"/>
      <c r="FU26" s="34"/>
      <c r="FV26" s="34"/>
      <c r="FW26" s="34"/>
      <c r="FX26" s="34"/>
      <c r="FY26" s="34"/>
      <c r="FZ26" s="34"/>
      <c r="GA26" s="34"/>
      <c r="GB26" s="34"/>
      <c r="GC26" s="34"/>
      <c r="GD26" s="34"/>
      <c r="GE26" s="34"/>
      <c r="GF26" s="34"/>
      <c r="GG26" s="34"/>
      <c r="GH26" s="34"/>
      <c r="GI26" s="34"/>
      <c r="GJ26" s="34"/>
      <c r="GK26" s="34"/>
      <c r="GL26" s="34"/>
      <c r="GM26" s="34"/>
      <c r="GN26" s="34"/>
      <c r="GO26" s="34"/>
      <c r="GP26" s="34"/>
      <c r="GQ26" s="34"/>
      <c r="GR26" s="34"/>
      <c r="GS26" s="34"/>
      <c r="GT26" s="34"/>
      <c r="GU26" s="34"/>
      <c r="GV26" s="34"/>
      <c r="GW26" s="34"/>
      <c r="GX26" s="34"/>
      <c r="GY26" s="34"/>
      <c r="GZ26" s="34"/>
      <c r="HA26" s="34"/>
      <c r="HB26" s="34"/>
      <c r="HC26" s="34"/>
      <c r="HD26" s="34"/>
      <c r="HE26" s="34"/>
      <c r="HF26" s="34"/>
      <c r="HG26" s="34"/>
      <c r="HH26" s="34"/>
      <c r="HI26" s="34"/>
      <c r="HJ26" s="34"/>
      <c r="HK26" s="34"/>
      <c r="HL26" s="34"/>
      <c r="HM26" s="34"/>
      <c r="HN26" s="34"/>
      <c r="HO26" s="34"/>
      <c r="HP26" s="34"/>
      <c r="HQ26" s="34"/>
      <c r="HR26" s="34"/>
      <c r="HS26" s="34"/>
      <c r="HT26" s="34"/>
      <c r="HU26" s="34"/>
      <c r="HV26" s="34"/>
      <c r="HW26" s="34"/>
      <c r="HX26" s="34"/>
      <c r="HY26" s="34"/>
      <c r="HZ26" s="34"/>
      <c r="IA26" s="34"/>
      <c r="IB26" s="34"/>
      <c r="IC26" s="34"/>
      <c r="ID26" s="34"/>
      <c r="IE26" s="34"/>
      <c r="IF26" s="34"/>
      <c r="IG26" s="34"/>
      <c r="IH26" s="34"/>
      <c r="II26" s="34"/>
      <c r="IJ26" s="34"/>
      <c r="IK26" s="34"/>
      <c r="IL26" s="34"/>
      <c r="IM26" s="34"/>
      <c r="IN26" s="34"/>
      <c r="IO26" s="34"/>
      <c r="IP26" s="34"/>
      <c r="IQ26" s="34"/>
      <c r="IR26" s="34"/>
      <c r="IS26" s="34"/>
      <c r="IT26" s="34"/>
      <c r="IU26" s="34"/>
      <c r="IV26" s="34"/>
      <c r="IW26" s="34"/>
      <c r="IX26" s="34"/>
      <c r="IY26" s="34"/>
      <c r="IZ26" s="34"/>
      <c r="JI26" s="6"/>
    </row>
    <row ht="12.75" r="27" spans="1:269" thickBot="1" x14ac:dyDescent="0.25">
      <c r="C27" s="671" t="s">
        <v>904</v>
      </c>
      <c r="D27" s="671"/>
      <c r="E27" s="34"/>
      <c r="F27" s="34"/>
      <c r="G27" s="34"/>
      <c r="H27" s="34"/>
      <c r="I27" s="34"/>
      <c r="J27" s="34"/>
      <c r="K27" s="34"/>
      <c r="L27" s="34"/>
      <c r="M27" s="34"/>
      <c r="N27" s="34"/>
      <c r="O27" s="34"/>
      <c r="P27" s="34"/>
      <c r="Q27" s="34"/>
      <c r="R27" s="34"/>
      <c r="S27" s="34"/>
      <c r="T27" s="34"/>
      <c r="U27" s="34"/>
      <c r="V27" s="34"/>
      <c r="W27" s="34"/>
      <c r="X27" s="34"/>
      <c r="Y27" s="34"/>
      <c r="Z27" s="34"/>
      <c r="AA27" s="34"/>
      <c r="AB27" s="34"/>
      <c r="AC27" s="34"/>
      <c r="AI27" s="34"/>
      <c r="AJ27" s="34"/>
      <c r="AK27" s="34"/>
      <c r="AL27" s="34"/>
      <c r="AM27" s="34"/>
      <c r="AN27" s="34"/>
      <c r="AO27" s="34"/>
      <c r="AP27" s="34"/>
      <c r="AQ27" s="34"/>
      <c r="AR27" s="34"/>
      <c r="AS27" s="34"/>
      <c r="AT27" s="34"/>
      <c r="AU27" s="34"/>
      <c r="AV27" s="34"/>
      <c r="AW27" s="34"/>
      <c r="AX27" s="34"/>
      <c r="AY27" s="34"/>
      <c r="AZ27" s="34"/>
      <c r="BA27" s="34"/>
      <c r="BB27" s="34"/>
      <c r="BC27" s="34"/>
      <c r="BD27" s="34"/>
      <c r="BE27" s="34"/>
      <c r="BF27" s="34"/>
      <c r="BG27" s="34"/>
      <c r="BH27" s="34"/>
      <c r="BI27" s="34"/>
      <c r="BJ27" s="34"/>
      <c r="BK27" s="34"/>
      <c r="BL27" s="34"/>
      <c r="BM27" s="34"/>
      <c r="BN27" s="34"/>
      <c r="BO27" s="34"/>
      <c r="BP27" s="34"/>
      <c r="BQ27" s="34"/>
      <c r="BR27" s="34"/>
      <c r="BS27" s="34"/>
      <c r="BT27" s="34"/>
      <c r="BU27" s="34"/>
      <c r="BV27" s="34"/>
      <c r="BW27" s="34"/>
      <c r="BX27" s="34"/>
      <c r="BY27" s="34"/>
      <c r="BZ27" s="34"/>
      <c r="CA27" s="34"/>
      <c r="CB27" s="34"/>
      <c r="CC27" s="34"/>
      <c r="CD27" s="34"/>
      <c r="CE27" s="34"/>
      <c r="CF27" s="34"/>
      <c r="CG27" s="34"/>
      <c r="CH27" s="34"/>
      <c r="CI27" s="34"/>
      <c r="CJ27" s="34"/>
      <c r="CK27" s="34"/>
      <c r="CL27" s="34"/>
      <c r="CM27" s="34"/>
      <c r="CN27" s="34"/>
      <c r="CO27" s="34"/>
      <c r="CP27" s="34"/>
      <c r="CQ27" s="34"/>
      <c r="CR27" s="34"/>
      <c r="CS27" s="34"/>
      <c r="CT27" s="34"/>
      <c r="CU27" s="34"/>
      <c r="CV27" s="34"/>
      <c r="CW27" s="34"/>
      <c r="CX27" s="34"/>
      <c r="CY27" s="34"/>
      <c r="CZ27" s="34"/>
      <c r="DA27" s="34"/>
      <c r="DB27" s="34"/>
      <c r="DC27" s="34"/>
      <c r="DD27" s="34"/>
      <c r="DE27" s="34"/>
      <c r="DF27" s="34"/>
      <c r="DG27" s="34"/>
      <c r="DH27" s="34"/>
      <c r="DI27" s="34"/>
      <c r="DJ27" s="34"/>
      <c r="DK27" s="34"/>
      <c r="DL27" s="34"/>
      <c r="DM27" s="34"/>
      <c r="DN27" s="34"/>
      <c r="DO27" s="34"/>
      <c r="DP27" s="34"/>
      <c r="DQ27" s="34"/>
      <c r="DR27" s="34"/>
      <c r="DS27" s="34"/>
      <c r="DT27" s="34"/>
      <c r="DU27" s="34"/>
      <c r="DV27" s="34"/>
      <c r="DW27" s="34"/>
      <c r="DX27" s="34"/>
      <c r="DY27" s="34"/>
      <c r="DZ27" s="34"/>
      <c r="EA27" s="34"/>
      <c r="EB27" s="34"/>
      <c r="EC27" s="34"/>
      <c r="ED27" s="34"/>
      <c r="EE27" s="34"/>
      <c r="EF27" s="34"/>
      <c r="EG27" s="34"/>
      <c r="EH27" s="34"/>
      <c r="EI27" s="34"/>
      <c r="EJ27" s="34"/>
      <c r="EK27" s="34"/>
      <c r="EL27" s="34"/>
      <c r="EM27" s="34"/>
      <c r="EN27" s="34"/>
      <c r="EO27" s="34"/>
      <c r="EP27" s="34"/>
      <c r="EQ27" s="34"/>
      <c r="ER27" s="34"/>
      <c r="ES27" s="34"/>
      <c r="ET27" s="34"/>
      <c r="EU27" s="34"/>
      <c r="EV27" s="34"/>
      <c r="EW27" s="34"/>
      <c r="EX27" s="34"/>
      <c r="EY27" s="34"/>
      <c r="EZ27" s="34"/>
      <c r="FA27" s="34"/>
      <c r="FB27" s="34"/>
      <c r="FC27" s="34"/>
      <c r="FD27" s="34"/>
      <c r="FE27" s="34"/>
      <c r="FF27" s="34"/>
      <c r="FG27" s="34"/>
      <c r="FH27" s="34"/>
      <c r="FI27" s="34"/>
      <c r="FJ27" s="34"/>
      <c r="FK27" s="34"/>
      <c r="FL27" s="34"/>
      <c r="FM27" s="34"/>
      <c r="FN27" s="34"/>
      <c r="FO27" s="34"/>
      <c r="FP27" s="34"/>
      <c r="FQ27" s="34"/>
      <c r="FR27" s="34"/>
      <c r="FS27" s="34"/>
      <c r="FT27" s="34"/>
      <c r="FU27" s="34"/>
      <c r="FV27" s="34"/>
      <c r="FW27" s="34"/>
      <c r="FX27" s="34"/>
      <c r="FY27" s="34"/>
      <c r="FZ27" s="34"/>
      <c r="GA27" s="34"/>
      <c r="GB27" s="34"/>
      <c r="GC27" s="34"/>
      <c r="GD27" s="34"/>
      <c r="GE27" s="34"/>
      <c r="GF27" s="34"/>
      <c r="GG27" s="34"/>
      <c r="GH27" s="34"/>
      <c r="GI27" s="34"/>
      <c r="GJ27" s="34"/>
      <c r="GK27" s="34"/>
      <c r="GL27" s="34"/>
      <c r="GM27" s="34"/>
      <c r="GN27" s="34"/>
      <c r="GO27" s="34"/>
      <c r="GP27" s="34"/>
      <c r="GQ27" s="34"/>
      <c r="GR27" s="34"/>
      <c r="GS27" s="34"/>
      <c r="GT27" s="34"/>
      <c r="GU27" s="34"/>
      <c r="GV27" s="34"/>
      <c r="GW27" s="34"/>
      <c r="GX27" s="34"/>
      <c r="GY27" s="34"/>
      <c r="GZ27" s="34"/>
      <c r="HA27" s="34"/>
      <c r="HB27" s="34"/>
      <c r="HC27" s="34"/>
      <c r="HD27" s="34"/>
      <c r="HE27" s="34"/>
      <c r="HF27" s="34"/>
      <c r="HG27" s="34"/>
      <c r="HH27" s="34"/>
      <c r="HI27" s="34"/>
      <c r="HJ27" s="34"/>
      <c r="HK27" s="34"/>
      <c r="HL27" s="34"/>
      <c r="HM27" s="34"/>
      <c r="HN27" s="34"/>
      <c r="HO27" s="34"/>
      <c r="HP27" s="34"/>
      <c r="HQ27" s="34"/>
      <c r="HR27" s="34"/>
      <c r="HS27" s="34"/>
      <c r="HT27" s="34"/>
      <c r="HU27" s="34"/>
      <c r="HV27" s="34"/>
      <c r="HW27" s="34"/>
      <c r="HX27" s="34"/>
      <c r="HY27" s="34"/>
      <c r="HZ27" s="34"/>
      <c r="IA27" s="34"/>
      <c r="IB27" s="34"/>
      <c r="IC27" s="34"/>
      <c r="ID27" s="34"/>
      <c r="IE27" s="34"/>
      <c r="IF27" s="34"/>
      <c r="IG27" s="34"/>
      <c r="IH27" s="34"/>
      <c r="II27" s="34"/>
      <c r="IJ27" s="34"/>
      <c r="IK27" s="34"/>
      <c r="IL27" s="34"/>
      <c r="IM27" s="34"/>
      <c r="IN27" s="34"/>
      <c r="IO27" s="34"/>
      <c r="IP27" s="34"/>
      <c r="IQ27" s="34"/>
      <c r="IR27" s="34"/>
      <c r="IS27" s="34"/>
      <c r="IT27" s="34"/>
      <c r="IU27" s="34"/>
      <c r="IV27" s="34"/>
      <c r="IW27" s="34"/>
      <c r="IX27" s="34"/>
      <c r="IY27" s="34"/>
      <c r="IZ27" s="34"/>
      <c r="JI27" s="6"/>
    </row>
    <row r="28" spans="1:269" x14ac:dyDescent="0.2">
      <c r="A28" s="1128" t="s">
        <v>4479</v>
      </c>
      <c r="B28" s="628" t="s">
        <v>3922</v>
      </c>
      <c r="C28" s="1251" t="s">
        <v>2090</v>
      </c>
      <c r="D28" s="1133"/>
      <c r="E28" s="2026">
        <v>1</v>
      </c>
      <c r="F28" s="2026">
        <v>2</v>
      </c>
      <c r="G28" s="2026">
        <v>3</v>
      </c>
      <c r="H28" s="2026">
        <v>4</v>
      </c>
      <c r="I28" s="2026">
        <v>5</v>
      </c>
      <c r="J28" s="2026">
        <v>6</v>
      </c>
      <c r="K28" s="2026">
        <v>7</v>
      </c>
      <c r="L28" s="2026">
        <v>8</v>
      </c>
      <c r="M28" s="2026">
        <v>9</v>
      </c>
      <c r="N28" s="2026">
        <v>10</v>
      </c>
      <c r="O28" s="2026">
        <v>11</v>
      </c>
      <c r="P28" s="2026">
        <v>12</v>
      </c>
      <c r="Q28" s="2026">
        <v>13</v>
      </c>
      <c r="R28" s="2026">
        <v>14</v>
      </c>
      <c r="S28" s="2026">
        <v>15</v>
      </c>
      <c r="T28" s="2026">
        <v>16</v>
      </c>
      <c r="U28" s="2026">
        <v>17</v>
      </c>
      <c r="V28" s="2026">
        <v>18</v>
      </c>
      <c r="W28" s="2026">
        <v>19</v>
      </c>
      <c r="X28" s="2026">
        <v>20</v>
      </c>
      <c r="Y28" s="2026">
        <v>21</v>
      </c>
      <c r="Z28" s="2026">
        <v>22</v>
      </c>
      <c r="AA28" s="2026">
        <v>23</v>
      </c>
      <c r="AB28" s="2026">
        <v>24</v>
      </c>
      <c r="AC28" s="2026">
        <v>25</v>
      </c>
      <c r="AD28" s="3502">
        <v>26</v>
      </c>
      <c r="AE28" s="3502">
        <v>27</v>
      </c>
      <c r="AF28" s="3502">
        <v>28</v>
      </c>
      <c r="AG28" s="3502">
        <v>29</v>
      </c>
      <c r="AH28" s="3502">
        <v>30</v>
      </c>
      <c r="AI28" s="2026">
        <v>31</v>
      </c>
      <c r="AJ28" s="2026">
        <v>32</v>
      </c>
      <c r="AK28" s="2026">
        <v>33</v>
      </c>
      <c r="AL28" s="2026">
        <v>34</v>
      </c>
      <c r="AM28" s="2026">
        <v>35</v>
      </c>
      <c r="AN28" s="2026">
        <v>36</v>
      </c>
      <c r="AO28" s="2026">
        <v>37</v>
      </c>
      <c r="AP28" s="2026">
        <v>38</v>
      </c>
      <c r="AQ28" s="2026">
        <v>39</v>
      </c>
      <c r="AR28" s="2026">
        <v>40</v>
      </c>
      <c r="AS28" s="2026">
        <v>41</v>
      </c>
      <c r="AT28" s="2026">
        <v>42</v>
      </c>
      <c r="AU28" s="2026">
        <v>43</v>
      </c>
      <c r="AV28" s="2026">
        <v>44</v>
      </c>
      <c r="AW28" s="2026">
        <v>45</v>
      </c>
      <c r="AX28" s="2026">
        <v>46</v>
      </c>
      <c r="AY28" s="2026">
        <v>47</v>
      </c>
      <c r="AZ28" s="2026">
        <v>48</v>
      </c>
      <c r="BA28" s="2026">
        <v>49</v>
      </c>
      <c r="BB28" s="2026">
        <v>50</v>
      </c>
      <c r="BC28" s="2026">
        <v>51</v>
      </c>
      <c r="BD28" s="2026">
        <v>52</v>
      </c>
      <c r="BE28" s="2026">
        <v>53</v>
      </c>
      <c r="BF28" s="2026">
        <v>54</v>
      </c>
      <c r="BG28" s="2026">
        <v>55</v>
      </c>
      <c r="BH28" s="2026">
        <v>56</v>
      </c>
      <c r="BI28" s="2026">
        <v>57</v>
      </c>
      <c r="BJ28" s="2026">
        <v>58</v>
      </c>
      <c r="BK28" s="2026">
        <v>59</v>
      </c>
      <c r="BL28" s="2026">
        <v>60</v>
      </c>
      <c r="BM28" s="2026">
        <v>61</v>
      </c>
      <c r="BN28" s="2026">
        <v>62</v>
      </c>
      <c r="BO28" s="2026">
        <v>63</v>
      </c>
      <c r="BP28" s="2026">
        <v>64</v>
      </c>
      <c r="BQ28" s="2026">
        <v>65</v>
      </c>
      <c r="BR28" s="2026">
        <v>66</v>
      </c>
      <c r="BS28" s="2026">
        <v>67</v>
      </c>
      <c r="BT28" s="2026">
        <v>68</v>
      </c>
      <c r="BU28" s="2026">
        <v>69</v>
      </c>
      <c r="BV28" s="2026">
        <v>70</v>
      </c>
      <c r="BW28" s="2026">
        <v>71</v>
      </c>
      <c r="BX28" s="2026">
        <v>72</v>
      </c>
      <c r="BY28" s="2026">
        <v>73</v>
      </c>
      <c r="BZ28" s="2026">
        <v>74</v>
      </c>
      <c r="CA28" s="2026">
        <v>75</v>
      </c>
      <c r="CB28" s="2026">
        <v>76</v>
      </c>
      <c r="CC28" s="2026">
        <v>77</v>
      </c>
      <c r="CD28" s="2026">
        <v>78</v>
      </c>
      <c r="CE28" s="2026">
        <v>79</v>
      </c>
      <c r="CF28" s="2026">
        <v>80</v>
      </c>
      <c r="CG28" s="2026">
        <v>81</v>
      </c>
      <c r="CH28" s="2026">
        <v>82</v>
      </c>
      <c r="CI28" s="2026">
        <v>83</v>
      </c>
      <c r="CJ28" s="2026">
        <v>84</v>
      </c>
      <c r="CK28" s="2026">
        <v>85</v>
      </c>
      <c r="CL28" s="2026">
        <v>86</v>
      </c>
      <c r="CM28" s="2026">
        <v>87</v>
      </c>
      <c r="CN28" s="2026">
        <v>88</v>
      </c>
      <c r="CO28" s="2026">
        <v>89</v>
      </c>
      <c r="CP28" s="2026">
        <v>90</v>
      </c>
      <c r="CQ28" s="2026">
        <v>91</v>
      </c>
      <c r="CR28" s="2026">
        <v>92</v>
      </c>
      <c r="CS28" s="2026">
        <v>93</v>
      </c>
      <c r="CT28" s="2026">
        <v>94</v>
      </c>
      <c r="CU28" s="2026">
        <v>95</v>
      </c>
      <c r="CV28" s="2026">
        <v>96</v>
      </c>
      <c r="CW28" s="2026">
        <v>97</v>
      </c>
      <c r="CX28" s="2026">
        <v>98</v>
      </c>
      <c r="CY28" s="2026">
        <v>99</v>
      </c>
      <c r="CZ28" s="2026">
        <v>100</v>
      </c>
      <c r="DA28" s="2026">
        <v>101</v>
      </c>
      <c r="DB28" s="2026">
        <v>102</v>
      </c>
      <c r="DC28" s="2026">
        <v>103</v>
      </c>
      <c r="DD28" s="2026">
        <v>104</v>
      </c>
      <c r="DE28" s="2026">
        <v>105</v>
      </c>
      <c r="DF28" s="2026">
        <v>106</v>
      </c>
      <c r="DG28" s="2026">
        <v>107</v>
      </c>
      <c r="DH28" s="2026">
        <v>108</v>
      </c>
      <c r="DI28" s="2026">
        <v>109</v>
      </c>
      <c r="DJ28" s="2026">
        <v>110</v>
      </c>
      <c r="DK28" s="2026">
        <v>111</v>
      </c>
      <c r="DL28" s="2026">
        <v>112</v>
      </c>
      <c r="DM28" s="2026">
        <v>113</v>
      </c>
      <c r="DN28" s="2026">
        <v>114</v>
      </c>
      <c r="DO28" s="2026">
        <v>115</v>
      </c>
      <c r="DP28" s="2026">
        <v>116</v>
      </c>
      <c r="DQ28" s="2026">
        <v>117</v>
      </c>
      <c r="DR28" s="2026">
        <v>118</v>
      </c>
      <c r="DS28" s="2026">
        <v>119</v>
      </c>
      <c r="DT28" s="2026">
        <v>120</v>
      </c>
      <c r="DU28" s="2026">
        <v>121</v>
      </c>
      <c r="DV28" s="2026">
        <v>122</v>
      </c>
      <c r="DW28" s="2026">
        <v>123</v>
      </c>
      <c r="DX28" s="2026">
        <v>124</v>
      </c>
      <c r="DY28" s="2026">
        <v>125</v>
      </c>
      <c r="DZ28" s="2026">
        <v>126</v>
      </c>
      <c r="EA28" s="2026">
        <v>127</v>
      </c>
      <c r="EB28" s="2026">
        <v>128</v>
      </c>
      <c r="EC28" s="2026">
        <v>129</v>
      </c>
      <c r="ED28" s="2026">
        <v>130</v>
      </c>
      <c r="EE28" s="2026">
        <v>131</v>
      </c>
      <c r="EF28" s="2026">
        <v>132</v>
      </c>
      <c r="EG28" s="2026">
        <v>133</v>
      </c>
      <c r="EH28" s="2026">
        <v>134</v>
      </c>
      <c r="EI28" s="2026">
        <v>135</v>
      </c>
      <c r="EJ28" s="2026">
        <v>136</v>
      </c>
      <c r="EK28" s="2026">
        <v>137</v>
      </c>
      <c r="EL28" s="2026">
        <v>138</v>
      </c>
      <c r="EM28" s="2026">
        <v>139</v>
      </c>
      <c r="EN28" s="2026">
        <v>140</v>
      </c>
      <c r="EO28" s="2026">
        <v>141</v>
      </c>
      <c r="EP28" s="2026">
        <v>142</v>
      </c>
      <c r="EQ28" s="2026">
        <v>143</v>
      </c>
      <c r="ER28" s="2026">
        <v>144</v>
      </c>
      <c r="ES28" s="2026">
        <v>145</v>
      </c>
      <c r="ET28" s="2026">
        <v>146</v>
      </c>
      <c r="EU28" s="2026">
        <v>147</v>
      </c>
      <c r="EV28" s="2026">
        <v>148</v>
      </c>
      <c r="EW28" s="2026">
        <v>149</v>
      </c>
      <c r="EX28" s="2026">
        <v>150</v>
      </c>
      <c r="EY28" s="2026">
        <v>151</v>
      </c>
      <c r="EZ28" s="2026">
        <v>152</v>
      </c>
      <c r="FA28" s="2026">
        <v>153</v>
      </c>
      <c r="FB28" s="2026">
        <v>154</v>
      </c>
      <c r="FC28" s="2026">
        <v>155</v>
      </c>
      <c r="FD28" s="2026">
        <v>156</v>
      </c>
      <c r="FE28" s="2026">
        <v>157</v>
      </c>
      <c r="FF28" s="2026">
        <v>158</v>
      </c>
      <c r="FG28" s="2026">
        <v>159</v>
      </c>
      <c r="FH28" s="2026">
        <v>160</v>
      </c>
      <c r="FI28" s="2026">
        <v>161</v>
      </c>
      <c r="FJ28" s="2026">
        <v>162</v>
      </c>
      <c r="FK28" s="2026">
        <v>163</v>
      </c>
      <c r="FL28" s="2026">
        <v>164</v>
      </c>
      <c r="FM28" s="2026">
        <v>165</v>
      </c>
      <c r="FN28" s="2026">
        <v>166</v>
      </c>
      <c r="FO28" s="2026">
        <v>167</v>
      </c>
      <c r="FP28" s="2026">
        <v>168</v>
      </c>
      <c r="FQ28" s="2026">
        <v>169</v>
      </c>
      <c r="FR28" s="2026">
        <v>170</v>
      </c>
      <c r="FS28" s="2026">
        <v>171</v>
      </c>
      <c r="FT28" s="2026">
        <v>172</v>
      </c>
      <c r="FU28" s="2026">
        <v>173</v>
      </c>
      <c r="FV28" s="2026">
        <v>174</v>
      </c>
      <c r="FW28" s="2026">
        <v>175</v>
      </c>
      <c r="FX28" s="2026">
        <v>176</v>
      </c>
      <c r="FY28" s="2026">
        <v>177</v>
      </c>
      <c r="FZ28" s="2026">
        <v>178</v>
      </c>
      <c r="GA28" s="2026">
        <v>179</v>
      </c>
      <c r="GB28" s="2026">
        <v>180</v>
      </c>
      <c r="GC28" s="2026">
        <v>181</v>
      </c>
      <c r="GD28" s="2026">
        <v>182</v>
      </c>
      <c r="GE28" s="2026">
        <v>183</v>
      </c>
      <c r="GF28" s="2026">
        <v>184</v>
      </c>
      <c r="GG28" s="2026">
        <v>185</v>
      </c>
      <c r="GH28" s="2026">
        <v>186</v>
      </c>
      <c r="GI28" s="2026">
        <v>187</v>
      </c>
      <c r="GJ28" s="2026">
        <v>188</v>
      </c>
      <c r="GK28" s="2026">
        <v>189</v>
      </c>
      <c r="GL28" s="2026">
        <v>190</v>
      </c>
      <c r="GM28" s="2026">
        <v>191</v>
      </c>
      <c r="GN28" s="2026">
        <v>192</v>
      </c>
      <c r="GO28" s="2026">
        <v>193</v>
      </c>
      <c r="GP28" s="2026">
        <v>194</v>
      </c>
      <c r="GQ28" s="2026">
        <v>195</v>
      </c>
      <c r="GR28" s="2026">
        <v>196</v>
      </c>
      <c r="GS28" s="2026">
        <v>197</v>
      </c>
      <c r="GT28" s="2026">
        <v>198</v>
      </c>
      <c r="GU28" s="2026">
        <v>199</v>
      </c>
      <c r="GV28" s="2026">
        <v>200</v>
      </c>
      <c r="GW28" s="2026">
        <v>201</v>
      </c>
      <c r="GX28" s="2026">
        <v>202</v>
      </c>
      <c r="GY28" s="2026">
        <v>203</v>
      </c>
      <c r="GZ28" s="2026">
        <v>204</v>
      </c>
      <c r="HA28" s="2026">
        <v>205</v>
      </c>
      <c r="HB28" s="2026">
        <v>206</v>
      </c>
      <c r="HC28" s="2026">
        <v>207</v>
      </c>
      <c r="HD28" s="2026">
        <v>208</v>
      </c>
      <c r="HE28" s="2026">
        <v>209</v>
      </c>
      <c r="HF28" s="2026">
        <v>210</v>
      </c>
      <c r="HG28" s="2026">
        <v>211</v>
      </c>
      <c r="HH28" s="2026">
        <v>212</v>
      </c>
      <c r="HI28" s="2026">
        <v>213</v>
      </c>
      <c r="HJ28" s="2026">
        <v>214</v>
      </c>
      <c r="HK28" s="2026">
        <v>215</v>
      </c>
      <c r="HL28" s="2026">
        <v>216</v>
      </c>
      <c r="HM28" s="2026">
        <v>217</v>
      </c>
      <c r="HN28" s="2026">
        <v>218</v>
      </c>
      <c r="HO28" s="2026">
        <v>219</v>
      </c>
      <c r="HP28" s="2026">
        <v>220</v>
      </c>
      <c r="HQ28" s="2026">
        <v>221</v>
      </c>
      <c r="HR28" s="2026">
        <v>222</v>
      </c>
      <c r="HS28" s="2026">
        <v>223</v>
      </c>
      <c r="HT28" s="2026">
        <v>224</v>
      </c>
      <c r="HU28" s="2026">
        <v>225</v>
      </c>
      <c r="HV28" s="2026">
        <v>226</v>
      </c>
      <c r="HW28" s="2026">
        <v>227</v>
      </c>
      <c r="HX28" s="2026">
        <v>228</v>
      </c>
      <c r="HY28" s="2026">
        <v>229</v>
      </c>
      <c r="HZ28" s="2026">
        <v>230</v>
      </c>
      <c r="IA28" s="2026">
        <v>231</v>
      </c>
      <c r="IB28" s="2026">
        <v>232</v>
      </c>
      <c r="IC28" s="2026">
        <v>233</v>
      </c>
      <c r="ID28" s="2026">
        <v>234</v>
      </c>
      <c r="IE28" s="2026">
        <v>235</v>
      </c>
      <c r="IF28" s="2026">
        <v>236</v>
      </c>
      <c r="IG28" s="2026">
        <v>237</v>
      </c>
      <c r="IH28" s="2026">
        <v>238</v>
      </c>
      <c r="II28" s="2026">
        <v>239</v>
      </c>
      <c r="IJ28" s="2026">
        <v>240</v>
      </c>
      <c r="IK28" s="2026">
        <v>241</v>
      </c>
      <c r="IL28" s="2026">
        <v>242</v>
      </c>
      <c r="IM28" s="2026">
        <v>243</v>
      </c>
      <c r="IN28" s="2026">
        <v>244</v>
      </c>
      <c r="IO28" s="2026">
        <v>245</v>
      </c>
      <c r="IP28" s="1134">
        <v>246</v>
      </c>
      <c r="IQ28" s="1134">
        <v>247</v>
      </c>
      <c r="IR28" s="1134">
        <v>248</v>
      </c>
      <c r="IS28" s="1134">
        <v>249</v>
      </c>
      <c r="IT28" s="1134">
        <v>250</v>
      </c>
      <c r="IU28" s="1134">
        <v>251</v>
      </c>
      <c r="IV28" s="1134">
        <v>252</v>
      </c>
      <c r="IW28" s="1134">
        <v>253</v>
      </c>
      <c r="IX28" s="1134">
        <v>254</v>
      </c>
      <c r="IY28" s="1134">
        <v>255</v>
      </c>
      <c r="IZ28" s="1134">
        <v>256</v>
      </c>
      <c r="JA28" s="1134">
        <v>257</v>
      </c>
      <c r="JB28" s="1134">
        <v>258</v>
      </c>
      <c r="JC28" s="1134">
        <v>259</v>
      </c>
      <c r="JD28" s="1134">
        <v>260</v>
      </c>
      <c r="JE28" s="1134">
        <v>261</v>
      </c>
      <c r="JF28" s="1134">
        <v>262</v>
      </c>
      <c r="JG28" s="2485">
        <v>263</v>
      </c>
      <c r="JH28" s="1233"/>
      <c r="JI28" s="1393"/>
    </row>
    <row ht="12.75" r="29" spans="1:269" thickBot="1" x14ac:dyDescent="0.25">
      <c r="A29" s="1128">
        <v>2</v>
      </c>
      <c r="B29" s="1379" t="str">
        <f>IF(ASE_A_IND&gt;1,IF(HLOOKUP(ASE_A_IND-1,ASE_A_RANGE,A29)="","",HLOOKUP(ASE_A_IND-1,ASE_A_RANGE,A29)),"")</f>
        <v/>
      </c>
      <c r="C29" s="1531" t="s">
        <v>3997</v>
      </c>
      <c r="D29" s="1253" t="s">
        <v>4880</v>
      </c>
      <c r="E29" s="2107"/>
      <c r="F29" s="2107"/>
      <c r="G29" s="2107"/>
      <c r="H29" s="2107"/>
      <c r="I29" s="2107"/>
      <c r="J29" s="2107"/>
      <c r="K29" s="2107"/>
      <c r="L29" s="2107"/>
      <c r="M29" s="2107"/>
      <c r="N29" s="2107"/>
      <c r="O29" s="2107"/>
      <c r="P29" s="2107"/>
      <c r="Q29" s="2107"/>
      <c r="R29" s="2107"/>
      <c r="S29" s="2107"/>
      <c r="T29" s="2107"/>
      <c r="U29" s="2107"/>
      <c r="V29" s="2107"/>
      <c r="W29" s="2107"/>
      <c r="X29" s="2107"/>
      <c r="Y29" s="2107"/>
      <c r="Z29" s="2107"/>
      <c r="AA29" s="2107"/>
      <c r="AB29" s="2107"/>
      <c r="AC29" s="2107"/>
      <c r="AD29" s="2107"/>
      <c r="AE29" s="2107"/>
      <c r="AF29" s="2107"/>
      <c r="AG29" s="2107"/>
      <c r="AH29" s="2107"/>
      <c r="AI29" s="2107"/>
      <c r="AJ29" s="2107"/>
      <c r="AK29" s="2107">
        <v>6250</v>
      </c>
      <c r="AL29" s="2107"/>
      <c r="AM29" s="2107"/>
      <c r="AN29" s="2107"/>
      <c r="AO29" s="2107"/>
      <c r="AP29" s="2107"/>
      <c r="AQ29" s="2107"/>
      <c r="AR29" s="2107"/>
      <c r="AS29" s="2107"/>
      <c r="AT29" s="2107"/>
      <c r="AU29" s="2107"/>
      <c r="AV29" s="2107"/>
      <c r="AW29" s="2107"/>
      <c r="AX29" s="2107"/>
      <c r="AY29" s="2107"/>
      <c r="AZ29" s="2107"/>
      <c r="BA29" s="2107">
        <v>3020</v>
      </c>
      <c r="BB29" s="2107"/>
      <c r="BC29" s="2107"/>
      <c r="BD29" s="2107">
        <v>6250</v>
      </c>
      <c r="BE29" s="2107"/>
      <c r="BF29" s="2107"/>
      <c r="BG29" s="2107"/>
      <c r="BH29" s="2107"/>
      <c r="BI29" s="2107"/>
      <c r="BJ29" s="2107"/>
      <c r="BK29" s="2107"/>
      <c r="BL29" s="2107"/>
      <c r="BM29" s="2107"/>
      <c r="BN29" s="2107"/>
      <c r="BO29" s="2107"/>
      <c r="BP29" s="2107"/>
      <c r="BQ29" s="2107"/>
      <c r="BR29" s="2107"/>
      <c r="BS29" s="2107"/>
      <c r="BT29" s="2107"/>
      <c r="BU29" s="2107"/>
      <c r="BV29" s="2107"/>
      <c r="BW29" s="2107"/>
      <c r="BX29" s="2107"/>
      <c r="BY29" s="2107"/>
      <c r="BZ29" s="2107"/>
      <c r="CA29" s="2107"/>
      <c r="CB29" s="2107"/>
      <c r="CC29" s="2107"/>
      <c r="CD29" s="2107"/>
      <c r="CE29" s="2107"/>
      <c r="CF29" s="2107"/>
      <c r="CG29" s="2107"/>
      <c r="CH29" s="2107"/>
      <c r="CI29" s="2107"/>
      <c r="CJ29" s="2107"/>
      <c r="CK29" s="2107"/>
      <c r="CL29" s="2107"/>
      <c r="CM29" s="2107"/>
      <c r="CN29" s="2107"/>
      <c r="CO29" s="2107"/>
      <c r="CP29" s="2107"/>
      <c r="CQ29" s="2107"/>
      <c r="CR29" s="2107"/>
      <c r="CS29" s="2107"/>
      <c r="CT29" s="2107"/>
      <c r="CU29" s="2107"/>
      <c r="CV29" s="2107"/>
      <c r="CW29" s="2107"/>
      <c r="CX29" s="2107"/>
      <c r="CY29" s="2107"/>
      <c r="CZ29" s="2107"/>
      <c r="DA29" s="2107"/>
      <c r="DB29" s="2107"/>
      <c r="DC29" s="2107"/>
      <c r="DD29" s="2107"/>
      <c r="DE29" s="2107"/>
      <c r="DF29" s="2107"/>
      <c r="DG29" s="2107"/>
      <c r="DH29" s="2107"/>
      <c r="DI29" s="2107"/>
      <c r="DJ29" s="2107"/>
      <c r="DK29" s="2107"/>
      <c r="DL29" s="2107"/>
      <c r="DM29" s="2107"/>
      <c r="DN29" s="2107">
        <v>3020</v>
      </c>
      <c r="DO29" s="2107"/>
      <c r="DP29" s="2107"/>
      <c r="DQ29" s="2107"/>
      <c r="DR29" s="2107"/>
      <c r="DS29" s="2107"/>
      <c r="DT29" s="2107"/>
      <c r="DU29" s="2107"/>
      <c r="DV29" s="2107">
        <v>2275</v>
      </c>
      <c r="DW29" s="2107"/>
      <c r="DX29" s="2107"/>
      <c r="DY29" s="2107"/>
      <c r="DZ29" s="2107">
        <v>2275</v>
      </c>
      <c r="EA29" s="2107"/>
      <c r="EB29" s="2107"/>
      <c r="EC29" s="2107"/>
      <c r="ED29" s="2107"/>
      <c r="EE29" s="2107"/>
      <c r="EF29" s="2107"/>
      <c r="EG29" s="2107"/>
      <c r="EH29" s="2107"/>
      <c r="EI29" s="2107"/>
      <c r="EJ29" s="2107"/>
      <c r="EK29" s="2107"/>
      <c r="EL29" s="2107"/>
      <c r="EM29" s="2107"/>
      <c r="EN29" s="2107"/>
      <c r="EO29" s="2107"/>
      <c r="EP29" s="2107"/>
      <c r="EQ29" s="2107"/>
      <c r="ER29" s="2107"/>
      <c r="ES29" s="2107"/>
      <c r="ET29" s="2107"/>
      <c r="EU29" s="2107"/>
      <c r="EV29" s="2107"/>
      <c r="EW29" s="2107"/>
      <c r="EX29" s="2107"/>
      <c r="EY29" s="2107"/>
      <c r="EZ29" s="2107"/>
      <c r="FA29" s="2107"/>
      <c r="FB29" s="2107"/>
      <c r="FC29" s="2107"/>
      <c r="FD29" s="2107"/>
      <c r="FE29" s="2107"/>
      <c r="FF29" s="2107"/>
      <c r="FG29" s="2107"/>
      <c r="FH29" s="2107"/>
      <c r="FI29" s="2107"/>
      <c r="FJ29" s="2107"/>
      <c r="FK29" s="2107"/>
      <c r="FL29" s="2107"/>
      <c r="FM29" s="2107"/>
      <c r="FN29" s="2107"/>
      <c r="FO29" s="2107"/>
      <c r="FP29" s="2107"/>
      <c r="FQ29" s="2107"/>
      <c r="FR29" s="2107"/>
      <c r="FS29" s="2107"/>
      <c r="FT29" s="2107"/>
      <c r="FU29" s="2107"/>
      <c r="FV29" s="2107"/>
      <c r="FW29" s="2107"/>
      <c r="FX29" s="2107"/>
      <c r="FY29" s="2107"/>
      <c r="FZ29" s="2107"/>
      <c r="GA29" s="2107"/>
      <c r="GB29" s="2107"/>
      <c r="GC29" s="2107"/>
      <c r="GD29" s="2107"/>
      <c r="GE29" s="2107"/>
      <c r="GF29" s="2107"/>
      <c r="GG29" s="2107"/>
      <c r="GH29" s="2107"/>
      <c r="GI29" s="2107"/>
      <c r="GJ29" s="2107"/>
      <c r="GK29" s="2107"/>
      <c r="GL29" s="2107"/>
      <c r="GM29" s="2107"/>
      <c r="GN29" s="2107"/>
      <c r="GO29" s="2107"/>
      <c r="GP29" s="2107"/>
      <c r="GQ29" s="2107"/>
      <c r="GR29" s="2107"/>
      <c r="GS29" s="2107"/>
      <c r="GT29" s="2107"/>
      <c r="GU29" s="2107"/>
      <c r="GV29" s="2107"/>
      <c r="GW29" s="2107"/>
      <c r="GX29" s="2107"/>
      <c r="GY29" s="2107"/>
      <c r="GZ29" s="2107"/>
      <c r="HA29" s="2107"/>
      <c r="HB29" s="2107"/>
      <c r="HC29" s="2107"/>
      <c r="HD29" s="2107"/>
      <c r="HE29" s="2107"/>
      <c r="HF29" s="2107"/>
      <c r="HG29" s="2107"/>
      <c r="HH29" s="2107"/>
      <c r="HI29" s="2107"/>
      <c r="HJ29" s="2107"/>
      <c r="HK29" s="2107"/>
      <c r="HL29" s="2107"/>
      <c r="HM29" s="2107"/>
      <c r="HN29" s="2107"/>
      <c r="HO29" s="2107"/>
      <c r="HP29" s="2107"/>
      <c r="HQ29" s="2107"/>
      <c r="HR29" s="2107"/>
      <c r="HS29" s="2107"/>
      <c r="HT29" s="2107"/>
      <c r="HU29" s="2107"/>
      <c r="HV29" s="2107"/>
      <c r="HW29" s="2107"/>
      <c r="HX29" s="2107"/>
      <c r="HY29" s="2107"/>
      <c r="HZ29" s="2107"/>
      <c r="IA29" s="2107"/>
      <c r="IB29" s="2107"/>
      <c r="IC29" s="2107"/>
      <c r="ID29" s="2107"/>
      <c r="IE29" s="2107"/>
      <c r="IF29" s="2107"/>
      <c r="IG29" s="2107"/>
      <c r="IH29" s="2107"/>
      <c r="II29" s="2107"/>
      <c r="IJ29" s="2107"/>
      <c r="IK29" s="2107"/>
      <c r="IL29" s="2107"/>
      <c r="IM29" s="2107"/>
      <c r="IN29" s="2107"/>
      <c r="IO29" s="2107"/>
      <c r="IP29" s="2107"/>
      <c r="IQ29" s="2107"/>
      <c r="IR29" s="2107"/>
      <c r="IS29" s="2107"/>
      <c r="IT29" s="2107"/>
      <c r="IU29" s="2107"/>
      <c r="IV29" s="2107"/>
      <c r="IW29" s="2107"/>
      <c r="IX29" s="2107"/>
      <c r="IY29" s="2107"/>
      <c r="IZ29" s="2107"/>
      <c r="JA29" s="3526"/>
      <c r="JB29" s="3526"/>
      <c r="JC29" s="3526"/>
      <c r="JD29" s="3526"/>
      <c r="JE29" s="3526"/>
      <c r="JF29" s="3526"/>
      <c r="JG29" s="3769"/>
      <c r="JH29" s="1233"/>
      <c r="JI29" s="1393"/>
    </row>
    <row r="30" spans="1:269" x14ac:dyDescent="0.2">
      <c r="C30" s="671" t="s">
        <v>4881</v>
      </c>
      <c r="D30" s="671" t="s">
        <v>4882</v>
      </c>
      <c r="E30" s="34"/>
      <c r="F30" s="34"/>
      <c r="G30" s="34"/>
      <c r="H30" s="34"/>
      <c r="I30" s="34"/>
      <c r="J30" s="34"/>
      <c r="K30" s="34"/>
      <c r="L30" s="34"/>
      <c r="M30" s="34"/>
      <c r="N30" s="34"/>
      <c r="O30" s="34"/>
      <c r="P30" s="34"/>
      <c r="Q30" s="34"/>
      <c r="R30" s="34"/>
      <c r="S30" s="34"/>
      <c r="T30" s="34"/>
      <c r="U30" s="34"/>
      <c r="V30" s="34"/>
      <c r="W30" s="34"/>
      <c r="X30" s="34"/>
      <c r="Y30" s="34"/>
      <c r="Z30" s="34"/>
      <c r="AA30" s="34"/>
      <c r="AB30" s="34"/>
      <c r="AC30" s="34"/>
      <c r="AI30" s="34"/>
      <c r="AJ30" s="34"/>
      <c r="AK30" s="34"/>
      <c r="AL30" s="34"/>
      <c r="AM30" s="34"/>
      <c r="AN30" s="34"/>
      <c r="AO30" s="34"/>
      <c r="AP30" s="34"/>
      <c r="AQ30" s="34"/>
      <c r="AR30" s="34"/>
      <c r="AS30" s="34"/>
      <c r="AT30" s="34"/>
      <c r="AU30" s="34"/>
      <c r="AV30" s="34"/>
      <c r="AW30" s="34"/>
      <c r="AX30" s="34"/>
      <c r="AY30" s="34"/>
      <c r="AZ30" s="34"/>
      <c r="BA30" s="34"/>
      <c r="BB30" s="34"/>
      <c r="BC30" s="34"/>
      <c r="BD30" s="34"/>
      <c r="BE30" s="34"/>
      <c r="BF30" s="34"/>
      <c r="BG30" s="34"/>
      <c r="BH30" s="34"/>
      <c r="BI30" s="34"/>
      <c r="BJ30" s="34"/>
      <c r="BK30" s="34"/>
      <c r="BL30" s="34"/>
      <c r="BM30" s="34"/>
      <c r="BN30" s="34"/>
      <c r="BO30" s="34"/>
      <c r="BP30" s="34"/>
      <c r="BQ30" s="34"/>
      <c r="BR30" s="34"/>
      <c r="BS30" s="34"/>
      <c r="BT30" s="34"/>
      <c r="BU30" s="34"/>
      <c r="BV30" s="34"/>
      <c r="BW30" s="34"/>
      <c r="BX30" s="34"/>
      <c r="BY30" s="34"/>
      <c r="BZ30" s="34"/>
      <c r="CA30" s="34"/>
      <c r="CB30" s="34"/>
      <c r="CC30" s="34"/>
      <c r="CD30" s="34"/>
      <c r="CE30" s="34"/>
      <c r="CF30" s="34"/>
      <c r="CG30" s="34"/>
      <c r="CH30" s="34"/>
      <c r="CI30" s="34"/>
      <c r="CJ30" s="34"/>
      <c r="CK30" s="34"/>
      <c r="CL30" s="34"/>
      <c r="CM30" s="34"/>
      <c r="CN30" s="34"/>
      <c r="CO30" s="34"/>
      <c r="CP30" s="34"/>
      <c r="CQ30" s="34"/>
      <c r="CR30" s="34"/>
      <c r="CS30" s="34"/>
      <c r="CT30" s="34"/>
      <c r="CU30" s="34"/>
      <c r="CV30" s="34"/>
      <c r="CW30" s="34"/>
      <c r="CX30" s="34"/>
      <c r="CY30" s="34"/>
      <c r="CZ30" s="34"/>
      <c r="DA30" s="34"/>
      <c r="DB30" s="34"/>
      <c r="DC30" s="34"/>
      <c r="DD30" s="34"/>
      <c r="DE30" s="34"/>
      <c r="DF30" s="34"/>
      <c r="DG30" s="34"/>
      <c r="DH30" s="34"/>
      <c r="DI30" s="34"/>
      <c r="DJ30" s="34"/>
      <c r="DK30" s="34"/>
      <c r="DL30" s="34"/>
      <c r="DM30" s="34"/>
      <c r="DN30" s="34"/>
      <c r="DO30" s="34"/>
      <c r="DP30" s="34"/>
      <c r="DQ30" s="34"/>
      <c r="DR30" s="34"/>
      <c r="DS30" s="34"/>
      <c r="DT30" s="34"/>
      <c r="DU30" s="34"/>
      <c r="DV30" s="34"/>
      <c r="DW30" s="34"/>
      <c r="DX30" s="34"/>
      <c r="DY30" s="34"/>
      <c r="DZ30" s="34"/>
      <c r="EA30" s="34"/>
      <c r="EB30" s="34"/>
      <c r="EC30" s="34"/>
      <c r="ED30" s="34"/>
      <c r="EE30" s="34"/>
      <c r="EF30" s="34"/>
      <c r="EG30" s="34"/>
      <c r="EH30" s="34"/>
      <c r="EI30" s="34"/>
      <c r="EJ30" s="34"/>
      <c r="EK30" s="34"/>
      <c r="EL30" s="34"/>
      <c r="EM30" s="34"/>
      <c r="EN30" s="34"/>
      <c r="EO30" s="34"/>
      <c r="EP30" s="34"/>
      <c r="EQ30" s="34"/>
      <c r="ER30" s="34"/>
      <c r="ES30" s="34"/>
      <c r="ET30" s="34"/>
      <c r="EU30" s="34"/>
      <c r="EV30" s="34"/>
      <c r="EW30" s="34"/>
      <c r="EX30" s="34"/>
      <c r="EY30" s="34"/>
      <c r="EZ30" s="34"/>
      <c r="FA30" s="34"/>
      <c r="FB30" s="34"/>
      <c r="FC30" s="34"/>
      <c r="FD30" s="34"/>
      <c r="FE30" s="34"/>
      <c r="FF30" s="34"/>
      <c r="FG30" s="34"/>
      <c r="FH30" s="34"/>
      <c r="FI30" s="34"/>
      <c r="FJ30" s="34"/>
      <c r="FK30" s="34"/>
      <c r="FL30" s="34"/>
      <c r="FM30" s="34"/>
      <c r="FN30" s="34"/>
      <c r="FO30" s="34"/>
      <c r="FP30" s="34"/>
      <c r="FQ30" s="34"/>
      <c r="FR30" s="34"/>
      <c r="FS30" s="34"/>
      <c r="FT30" s="34"/>
      <c r="FU30" s="34"/>
      <c r="FV30" s="34"/>
      <c r="FW30" s="34"/>
      <c r="FX30" s="34"/>
      <c r="FY30" s="34"/>
      <c r="FZ30" s="34"/>
      <c r="GA30" s="34"/>
      <c r="GB30" s="34"/>
      <c r="GC30" s="34"/>
      <c r="GD30" s="34"/>
      <c r="GE30" s="34"/>
      <c r="GF30" s="34"/>
      <c r="GG30" s="34"/>
      <c r="GH30" s="34"/>
      <c r="GI30" s="34"/>
      <c r="GJ30" s="34"/>
      <c r="GK30" s="34"/>
      <c r="GL30" s="34"/>
      <c r="GM30" s="34"/>
      <c r="GN30" s="34"/>
      <c r="GO30" s="34"/>
      <c r="GP30" s="34"/>
      <c r="GQ30" s="34"/>
      <c r="GR30" s="34"/>
      <c r="GS30" s="34"/>
      <c r="GT30" s="34"/>
      <c r="GU30" s="34"/>
      <c r="GV30" s="34"/>
      <c r="GW30" s="34"/>
      <c r="GX30" s="34"/>
      <c r="GY30" s="34"/>
      <c r="GZ30" s="34"/>
      <c r="HA30" s="34"/>
      <c r="HB30" s="34"/>
      <c r="HC30" s="34"/>
      <c r="HD30" s="34"/>
      <c r="HE30" s="34"/>
      <c r="HF30" s="34"/>
      <c r="HG30" s="34"/>
      <c r="HH30" s="34"/>
      <c r="HI30" s="34"/>
      <c r="HJ30" s="34"/>
      <c r="HK30" s="34"/>
      <c r="HL30" s="34"/>
      <c r="HM30" s="34"/>
      <c r="HN30" s="34"/>
      <c r="HO30" s="34"/>
      <c r="HP30" s="34"/>
      <c r="HQ30" s="34"/>
      <c r="HR30" s="34"/>
      <c r="HS30" s="34"/>
      <c r="HT30" s="34"/>
      <c r="HU30" s="34"/>
      <c r="HV30" s="34"/>
      <c r="HW30" s="34"/>
      <c r="HX30" s="34"/>
      <c r="HY30" s="34"/>
      <c r="HZ30" s="34"/>
      <c r="IA30" s="34"/>
      <c r="IB30" s="34"/>
      <c r="IC30" s="34"/>
      <c r="ID30" s="34"/>
      <c r="IE30" s="34"/>
      <c r="IF30" s="34"/>
      <c r="IG30" s="34"/>
      <c r="IH30" s="34"/>
      <c r="II30" s="34"/>
      <c r="IJ30" s="34"/>
      <c r="IK30" s="34"/>
      <c r="IL30" s="34"/>
      <c r="IM30" s="34"/>
      <c r="IN30" s="34"/>
      <c r="IO30" s="34"/>
      <c r="IP30" s="34"/>
      <c r="IQ30" s="34"/>
      <c r="IR30" s="34"/>
      <c r="IS30" s="34"/>
      <c r="IT30" s="34"/>
      <c r="IU30" s="34"/>
      <c r="IV30" s="34"/>
      <c r="IW30" s="34"/>
      <c r="IX30" s="34"/>
      <c r="IY30" s="34"/>
      <c r="IZ30" s="34"/>
      <c r="JI30" s="6"/>
    </row>
    <row ht="12.75" r="31" spans="1:269" thickBot="1" x14ac:dyDescent="0.25">
      <c r="C31" s="673" t="s">
        <v>1439</v>
      </c>
      <c r="D31" s="673"/>
      <c r="E31" s="34"/>
      <c r="F31" s="34"/>
      <c r="G31" s="34"/>
      <c r="H31" s="34"/>
      <c r="I31" s="34"/>
      <c r="J31" s="34"/>
      <c r="K31" s="34"/>
      <c r="L31" s="34"/>
      <c r="M31" s="34"/>
      <c r="N31" s="34"/>
      <c r="O31" s="34"/>
      <c r="P31" s="34"/>
      <c r="Q31" s="34"/>
      <c r="R31" s="34"/>
      <c r="S31" s="34"/>
      <c r="T31" s="34"/>
      <c r="U31" s="34"/>
      <c r="V31" s="34"/>
      <c r="W31" s="34"/>
      <c r="X31" s="34"/>
      <c r="Y31" s="34"/>
      <c r="Z31" s="34"/>
      <c r="AA31" s="34"/>
      <c r="AB31" s="34"/>
      <c r="AC31" s="34"/>
      <c r="AI31" s="34"/>
      <c r="AJ31" s="34"/>
      <c r="AK31" s="34"/>
      <c r="AL31" s="34"/>
      <c r="AM31" s="34"/>
      <c r="AN31" s="34"/>
      <c r="AO31" s="34"/>
      <c r="AP31" s="34"/>
      <c r="AQ31" s="34"/>
      <c r="AR31" s="34"/>
      <c r="AS31" s="34"/>
      <c r="AT31" s="34"/>
      <c r="AU31" s="34"/>
      <c r="AV31" s="34"/>
      <c r="AW31" s="34"/>
      <c r="AX31" s="34"/>
      <c r="AY31" s="34"/>
      <c r="AZ31" s="34"/>
      <c r="BA31" s="34"/>
      <c r="BB31" s="34"/>
      <c r="BC31" s="34"/>
      <c r="BD31" s="34"/>
      <c r="BE31" s="34"/>
      <c r="BF31" s="34"/>
      <c r="BG31" s="34"/>
      <c r="BH31" s="34"/>
      <c r="BI31" s="34"/>
      <c r="BJ31" s="34"/>
      <c r="BK31" s="34"/>
      <c r="BL31" s="34"/>
      <c r="BM31" s="34"/>
      <c r="BN31" s="34"/>
      <c r="BO31" s="34"/>
      <c r="BP31" s="34"/>
      <c r="BQ31" s="34"/>
      <c r="BR31" s="34"/>
      <c r="BS31" s="34"/>
      <c r="BT31" s="34"/>
      <c r="BU31" s="34"/>
      <c r="BV31" s="34"/>
      <c r="BW31" s="34"/>
      <c r="BX31" s="34"/>
      <c r="BY31" s="34"/>
      <c r="BZ31" s="34"/>
      <c r="CA31" s="34"/>
      <c r="CB31" s="34"/>
      <c r="CC31" s="34"/>
      <c r="CD31" s="34"/>
      <c r="CE31" s="34"/>
      <c r="CF31" s="34"/>
      <c r="CG31" s="34"/>
      <c r="CH31" s="34"/>
      <c r="CI31" s="34"/>
      <c r="CJ31" s="34"/>
      <c r="CK31" s="34"/>
      <c r="CL31" s="34"/>
      <c r="CM31" s="34"/>
      <c r="CN31" s="34"/>
      <c r="CO31" s="34"/>
      <c r="CP31" s="34"/>
      <c r="CQ31" s="34"/>
      <c r="CR31" s="34"/>
      <c r="CS31" s="34"/>
      <c r="CT31" s="34"/>
      <c r="CU31" s="34"/>
      <c r="CV31" s="34"/>
      <c r="CW31" s="34"/>
      <c r="CX31" s="34"/>
      <c r="CY31" s="34"/>
      <c r="CZ31" s="34"/>
      <c r="DA31" s="34"/>
      <c r="DB31" s="34"/>
      <c r="DC31" s="34"/>
      <c r="DD31" s="34"/>
      <c r="DE31" s="34"/>
      <c r="DF31" s="34"/>
      <c r="DG31" s="34"/>
      <c r="DH31" s="34"/>
      <c r="DI31" s="34"/>
      <c r="DJ31" s="34"/>
      <c r="DK31" s="34"/>
      <c r="DL31" s="34"/>
      <c r="DM31" s="34"/>
      <c r="DN31" s="34"/>
      <c r="DO31" s="34"/>
      <c r="DP31" s="34"/>
      <c r="DQ31" s="34"/>
      <c r="DR31" s="34"/>
      <c r="DS31" s="34"/>
      <c r="DT31" s="34"/>
      <c r="DU31" s="34"/>
      <c r="DV31" s="34"/>
      <c r="DW31" s="34"/>
      <c r="DX31" s="34"/>
      <c r="DY31" s="34"/>
      <c r="DZ31" s="34"/>
      <c r="EA31" s="34"/>
      <c r="EB31" s="34"/>
      <c r="EC31" s="34"/>
      <c r="ED31" s="34"/>
      <c r="EE31" s="34"/>
      <c r="EF31" s="34"/>
      <c r="EG31" s="34"/>
      <c r="EH31" s="34"/>
      <c r="EI31" s="34"/>
      <c r="EJ31" s="34"/>
      <c r="EK31" s="34"/>
      <c r="EL31" s="34"/>
      <c r="EM31" s="34"/>
      <c r="EN31" s="34"/>
      <c r="EO31" s="34"/>
      <c r="EP31" s="34"/>
      <c r="EQ31" s="34"/>
      <c r="ER31" s="34"/>
      <c r="ES31" s="34"/>
      <c r="ET31" s="34"/>
      <c r="EU31" s="34"/>
      <c r="EV31" s="34"/>
      <c r="EW31" s="34"/>
      <c r="EX31" s="34"/>
      <c r="EY31" s="34"/>
      <c r="EZ31" s="34"/>
      <c r="FA31" s="34"/>
      <c r="FB31" s="34"/>
      <c r="FC31" s="34"/>
      <c r="FD31" s="34"/>
      <c r="FE31" s="34"/>
      <c r="FF31" s="34"/>
      <c r="FG31" s="34"/>
      <c r="FH31" s="34"/>
      <c r="FI31" s="34"/>
      <c r="FJ31" s="34"/>
      <c r="FK31" s="34"/>
      <c r="FL31" s="34"/>
      <c r="FM31" s="34"/>
      <c r="FN31" s="34"/>
      <c r="FO31" s="34"/>
      <c r="FP31" s="34"/>
      <c r="FQ31" s="34"/>
      <c r="FR31" s="34"/>
      <c r="FS31" s="34"/>
      <c r="FT31" s="34"/>
      <c r="FU31" s="34"/>
      <c r="FV31" s="34"/>
      <c r="FW31" s="34"/>
      <c r="FX31" s="34"/>
      <c r="FY31" s="34"/>
      <c r="FZ31" s="34"/>
      <c r="GA31" s="34"/>
      <c r="GB31" s="34"/>
      <c r="GC31" s="34"/>
      <c r="GD31" s="34"/>
      <c r="GE31" s="34"/>
      <c r="GF31" s="34"/>
      <c r="GG31" s="34"/>
      <c r="GH31" s="34"/>
      <c r="GI31" s="34"/>
      <c r="GJ31" s="34"/>
      <c r="GK31" s="34"/>
      <c r="GL31" s="34"/>
      <c r="GM31" s="34"/>
      <c r="GN31" s="34"/>
      <c r="GO31" s="34"/>
      <c r="GP31" s="34"/>
      <c r="GQ31" s="34"/>
      <c r="GR31" s="34"/>
      <c r="GS31" s="34"/>
      <c r="GT31" s="34"/>
      <c r="GU31" s="34"/>
      <c r="GV31" s="34"/>
      <c r="GW31" s="34"/>
      <c r="GX31" s="34"/>
      <c r="GY31" s="34"/>
      <c r="GZ31" s="34"/>
      <c r="HA31" s="34"/>
      <c r="HB31" s="34"/>
      <c r="HC31" s="34"/>
      <c r="HD31" s="34"/>
      <c r="HE31" s="34"/>
      <c r="HF31" s="34"/>
      <c r="HG31" s="34"/>
      <c r="HH31" s="34"/>
      <c r="HI31" s="34"/>
      <c r="HJ31" s="34"/>
      <c r="HK31" s="34"/>
      <c r="HL31" s="34"/>
      <c r="HM31" s="34"/>
      <c r="HN31" s="34"/>
      <c r="HO31" s="34"/>
      <c r="HP31" s="34"/>
      <c r="HQ31" s="34"/>
      <c r="HR31" s="34"/>
      <c r="HS31" s="34"/>
      <c r="HT31" s="34"/>
      <c r="HU31" s="34"/>
      <c r="HV31" s="34"/>
      <c r="HW31" s="34"/>
      <c r="HX31" s="34"/>
      <c r="HY31" s="34"/>
      <c r="HZ31" s="34"/>
      <c r="IA31" s="34"/>
      <c r="IB31" s="34"/>
      <c r="IC31" s="34"/>
      <c r="ID31" s="34"/>
      <c r="IE31" s="34"/>
      <c r="IF31" s="34"/>
      <c r="IG31" s="34"/>
      <c r="IH31" s="34"/>
      <c r="II31" s="34"/>
      <c r="IJ31" s="34"/>
      <c r="IK31" s="34"/>
      <c r="IL31" s="34"/>
      <c r="IM31" s="34"/>
      <c r="IN31" s="34"/>
      <c r="IO31" s="34"/>
      <c r="IP31" s="34"/>
      <c r="IQ31" s="34"/>
      <c r="IR31" s="34"/>
      <c r="IS31" s="34"/>
      <c r="IT31" s="34"/>
      <c r="IU31" s="34"/>
      <c r="IV31" s="34"/>
      <c r="IW31" s="34"/>
      <c r="IX31" s="34"/>
      <c r="IY31" s="34"/>
      <c r="IZ31" s="34"/>
      <c r="JI31" s="6"/>
    </row>
    <row r="32" spans="1:269" x14ac:dyDescent="0.2">
      <c r="A32" s="1128" t="s">
        <v>4479</v>
      </c>
      <c r="B32" s="628" t="s">
        <v>3922</v>
      </c>
      <c r="C32" s="1251" t="s">
        <v>2091</v>
      </c>
      <c r="D32" s="1133"/>
      <c r="E32" s="2026">
        <v>1</v>
      </c>
      <c r="F32" s="2427">
        <v>2</v>
      </c>
      <c r="G32" s="2026">
        <v>3</v>
      </c>
      <c r="H32" s="2026">
        <v>4</v>
      </c>
      <c r="I32" s="2026">
        <v>5</v>
      </c>
      <c r="J32" s="2026">
        <v>6</v>
      </c>
      <c r="K32" s="2026">
        <v>7</v>
      </c>
      <c r="L32" s="2026">
        <v>8</v>
      </c>
      <c r="M32" s="2026">
        <v>9</v>
      </c>
      <c r="N32" s="2026">
        <v>10</v>
      </c>
      <c r="O32" s="2026">
        <v>11</v>
      </c>
      <c r="P32" s="2026">
        <v>12</v>
      </c>
      <c r="Q32" s="2026">
        <v>13</v>
      </c>
      <c r="R32" s="2026">
        <v>14</v>
      </c>
      <c r="S32" s="2026">
        <v>15</v>
      </c>
      <c r="T32" s="2026">
        <v>16</v>
      </c>
      <c r="U32" s="2026">
        <v>17</v>
      </c>
      <c r="V32" s="2026">
        <v>18</v>
      </c>
      <c r="W32" s="2026">
        <v>19</v>
      </c>
      <c r="X32" s="2026">
        <v>20</v>
      </c>
      <c r="Y32" s="2026">
        <v>21</v>
      </c>
      <c r="Z32" s="2026">
        <v>22</v>
      </c>
      <c r="AA32" s="2026">
        <v>23</v>
      </c>
      <c r="AB32" s="2026">
        <v>24</v>
      </c>
      <c r="AC32" s="2026">
        <v>25</v>
      </c>
      <c r="AD32" s="3502">
        <v>26</v>
      </c>
      <c r="AE32" s="3502">
        <v>27</v>
      </c>
      <c r="AF32" s="3502">
        <v>28</v>
      </c>
      <c r="AG32" s="3502">
        <v>29</v>
      </c>
      <c r="AH32" s="3502">
        <v>30</v>
      </c>
      <c r="AI32" s="2026">
        <v>31</v>
      </c>
      <c r="AJ32" s="2026">
        <v>32</v>
      </c>
      <c r="AK32" s="2026">
        <v>33</v>
      </c>
      <c r="AL32" s="2026">
        <v>34</v>
      </c>
      <c r="AM32" s="2026">
        <v>35</v>
      </c>
      <c r="AN32" s="2026">
        <v>36</v>
      </c>
      <c r="AO32" s="2026">
        <v>37</v>
      </c>
      <c r="AP32" s="2026">
        <v>38</v>
      </c>
      <c r="AQ32" s="2026">
        <v>39</v>
      </c>
      <c r="AR32" s="2026">
        <v>40</v>
      </c>
      <c r="AS32" s="2026">
        <v>41</v>
      </c>
      <c r="AT32" s="2026">
        <v>42</v>
      </c>
      <c r="AU32" s="2026">
        <v>43</v>
      </c>
      <c r="AV32" s="2026">
        <v>44</v>
      </c>
      <c r="AW32" s="2026">
        <v>45</v>
      </c>
      <c r="AX32" s="2026">
        <v>46</v>
      </c>
      <c r="AY32" s="2026">
        <v>47</v>
      </c>
      <c r="AZ32" s="2026">
        <v>48</v>
      </c>
      <c r="BA32" s="2026">
        <v>49</v>
      </c>
      <c r="BB32" s="2026">
        <v>50</v>
      </c>
      <c r="BC32" s="2026">
        <v>51</v>
      </c>
      <c r="BD32" s="2026">
        <v>52</v>
      </c>
      <c r="BE32" s="2026">
        <v>53</v>
      </c>
      <c r="BF32" s="2026">
        <v>54</v>
      </c>
      <c r="BG32" s="2026">
        <v>55</v>
      </c>
      <c r="BH32" s="2026">
        <v>56</v>
      </c>
      <c r="BI32" s="2026">
        <v>57</v>
      </c>
      <c r="BJ32" s="2026">
        <v>58</v>
      </c>
      <c r="BK32" s="2026">
        <v>59</v>
      </c>
      <c r="BL32" s="2026">
        <v>60</v>
      </c>
      <c r="BM32" s="2026">
        <v>61</v>
      </c>
      <c r="BN32" s="2026">
        <v>62</v>
      </c>
      <c r="BO32" s="2026">
        <v>63</v>
      </c>
      <c r="BP32" s="2026">
        <v>64</v>
      </c>
      <c r="BQ32" s="2026">
        <v>65</v>
      </c>
      <c r="BR32" s="2026">
        <v>66</v>
      </c>
      <c r="BS32" s="2026">
        <v>67</v>
      </c>
      <c r="BT32" s="2026">
        <v>68</v>
      </c>
      <c r="BU32" s="2026">
        <v>69</v>
      </c>
      <c r="BV32" s="2026">
        <v>70</v>
      </c>
      <c r="BW32" s="2026">
        <v>71</v>
      </c>
      <c r="BX32" s="2026">
        <v>72</v>
      </c>
      <c r="BY32" s="2026">
        <v>73</v>
      </c>
      <c r="BZ32" s="2026">
        <v>74</v>
      </c>
      <c r="CA32" s="2026">
        <v>75</v>
      </c>
      <c r="CB32" s="2026">
        <v>76</v>
      </c>
      <c r="CC32" s="2026">
        <v>77</v>
      </c>
      <c r="CD32" s="2026">
        <v>78</v>
      </c>
      <c r="CE32" s="2026">
        <v>79</v>
      </c>
      <c r="CF32" s="2026">
        <v>80</v>
      </c>
      <c r="CG32" s="2026">
        <v>81</v>
      </c>
      <c r="CH32" s="2026">
        <v>82</v>
      </c>
      <c r="CI32" s="2026">
        <v>83</v>
      </c>
      <c r="CJ32" s="2026">
        <v>84</v>
      </c>
      <c r="CK32" s="2026">
        <v>85</v>
      </c>
      <c r="CL32" s="2026">
        <v>86</v>
      </c>
      <c r="CM32" s="2026">
        <v>87</v>
      </c>
      <c r="CN32" s="2026">
        <v>88</v>
      </c>
      <c r="CO32" s="2026">
        <v>89</v>
      </c>
      <c r="CP32" s="2026">
        <v>90</v>
      </c>
      <c r="CQ32" s="2026">
        <v>91</v>
      </c>
      <c r="CR32" s="2026">
        <v>92</v>
      </c>
      <c r="CS32" s="2026">
        <v>93</v>
      </c>
      <c r="CT32" s="2026">
        <v>94</v>
      </c>
      <c r="CU32" s="2026">
        <v>95</v>
      </c>
      <c r="CV32" s="2026">
        <v>96</v>
      </c>
      <c r="CW32" s="2026">
        <v>97</v>
      </c>
      <c r="CX32" s="2026">
        <v>98</v>
      </c>
      <c r="CY32" s="2026">
        <v>99</v>
      </c>
      <c r="CZ32" s="2026">
        <v>100</v>
      </c>
      <c r="DA32" s="2026">
        <v>101</v>
      </c>
      <c r="DB32" s="2026">
        <v>102</v>
      </c>
      <c r="DC32" s="2026">
        <v>103</v>
      </c>
      <c r="DD32" s="2026">
        <v>104</v>
      </c>
      <c r="DE32" s="2026">
        <v>105</v>
      </c>
      <c r="DF32" s="2026">
        <v>106</v>
      </c>
      <c r="DG32" s="2026">
        <v>107</v>
      </c>
      <c r="DH32" s="2026">
        <v>108</v>
      </c>
      <c r="DI32" s="2026">
        <v>109</v>
      </c>
      <c r="DJ32" s="2026">
        <v>110</v>
      </c>
      <c r="DK32" s="2026">
        <v>111</v>
      </c>
      <c r="DL32" s="2026">
        <v>112</v>
      </c>
      <c r="DM32" s="2026">
        <v>113</v>
      </c>
      <c r="DN32" s="2026">
        <v>114</v>
      </c>
      <c r="DO32" s="2026">
        <v>115</v>
      </c>
      <c r="DP32" s="2026">
        <v>116</v>
      </c>
      <c r="DQ32" s="2026">
        <v>117</v>
      </c>
      <c r="DR32" s="2026">
        <v>118</v>
      </c>
      <c r="DS32" s="2026">
        <v>119</v>
      </c>
      <c r="DT32" s="2026">
        <v>120</v>
      </c>
      <c r="DU32" s="2026">
        <v>121</v>
      </c>
      <c r="DV32" s="2026">
        <v>122</v>
      </c>
      <c r="DW32" s="2026">
        <v>123</v>
      </c>
      <c r="DX32" s="2026">
        <v>124</v>
      </c>
      <c r="DY32" s="2026">
        <v>125</v>
      </c>
      <c r="DZ32" s="2026">
        <v>126</v>
      </c>
      <c r="EA32" s="2026">
        <v>127</v>
      </c>
      <c r="EB32" s="2026">
        <v>128</v>
      </c>
      <c r="EC32" s="2026">
        <v>129</v>
      </c>
      <c r="ED32" s="2026">
        <v>130</v>
      </c>
      <c r="EE32" s="2026">
        <v>131</v>
      </c>
      <c r="EF32" s="2026">
        <v>132</v>
      </c>
      <c r="EG32" s="2026">
        <v>133</v>
      </c>
      <c r="EH32" s="2026">
        <v>134</v>
      </c>
      <c r="EI32" s="2026">
        <v>135</v>
      </c>
      <c r="EJ32" s="2026">
        <v>136</v>
      </c>
      <c r="EK32" s="2026">
        <v>137</v>
      </c>
      <c r="EL32" s="2026">
        <v>138</v>
      </c>
      <c r="EM32" s="2026">
        <v>139</v>
      </c>
      <c r="EN32" s="2026">
        <v>140</v>
      </c>
      <c r="EO32" s="2026">
        <v>141</v>
      </c>
      <c r="EP32" s="2026">
        <v>142</v>
      </c>
      <c r="EQ32" s="2026">
        <v>143</v>
      </c>
      <c r="ER32" s="2026">
        <v>144</v>
      </c>
      <c r="ES32" s="2026">
        <v>145</v>
      </c>
      <c r="ET32" s="2026">
        <v>146</v>
      </c>
      <c r="EU32" s="2026">
        <v>147</v>
      </c>
      <c r="EV32" s="2026">
        <v>148</v>
      </c>
      <c r="EW32" s="2026">
        <v>149</v>
      </c>
      <c r="EX32" s="2026">
        <v>150</v>
      </c>
      <c r="EY32" s="2026">
        <v>151</v>
      </c>
      <c r="EZ32" s="2026">
        <v>152</v>
      </c>
      <c r="FA32" s="2026">
        <v>153</v>
      </c>
      <c r="FB32" s="2026">
        <v>154</v>
      </c>
      <c r="FC32" s="2026">
        <v>155</v>
      </c>
      <c r="FD32" s="2026">
        <v>156</v>
      </c>
      <c r="FE32" s="2026">
        <v>157</v>
      </c>
      <c r="FF32" s="2026">
        <v>158</v>
      </c>
      <c r="FG32" s="2026">
        <v>159</v>
      </c>
      <c r="FH32" s="2026">
        <v>160</v>
      </c>
      <c r="FI32" s="2026">
        <v>161</v>
      </c>
      <c r="FJ32" s="2026">
        <v>162</v>
      </c>
      <c r="FK32" s="2026">
        <v>163</v>
      </c>
      <c r="FL32" s="2026">
        <v>164</v>
      </c>
      <c r="FM32" s="2026">
        <v>165</v>
      </c>
      <c r="FN32" s="2026">
        <v>166</v>
      </c>
      <c r="FO32" s="2026">
        <v>167</v>
      </c>
      <c r="FP32" s="2026">
        <v>168</v>
      </c>
      <c r="FQ32" s="2026">
        <v>169</v>
      </c>
      <c r="FR32" s="2026">
        <v>170</v>
      </c>
      <c r="FS32" s="2026">
        <v>171</v>
      </c>
      <c r="FT32" s="2026">
        <v>172</v>
      </c>
      <c r="FU32" s="2026">
        <v>173</v>
      </c>
      <c r="FV32" s="2026">
        <v>174</v>
      </c>
      <c r="FW32" s="2026">
        <v>175</v>
      </c>
      <c r="FX32" s="2026">
        <v>176</v>
      </c>
      <c r="FY32" s="2026">
        <v>177</v>
      </c>
      <c r="FZ32" s="2026">
        <v>178</v>
      </c>
      <c r="GA32" s="2026">
        <v>179</v>
      </c>
      <c r="GB32" s="2026">
        <v>180</v>
      </c>
      <c r="GC32" s="2026">
        <v>181</v>
      </c>
      <c r="GD32" s="2026">
        <v>182</v>
      </c>
      <c r="GE32" s="2026">
        <v>183</v>
      </c>
      <c r="GF32" s="2026">
        <v>184</v>
      </c>
      <c r="GG32" s="2026">
        <v>185</v>
      </c>
      <c r="GH32" s="2026">
        <v>186</v>
      </c>
      <c r="GI32" s="2026">
        <v>187</v>
      </c>
      <c r="GJ32" s="2026">
        <v>188</v>
      </c>
      <c r="GK32" s="2026">
        <v>189</v>
      </c>
      <c r="GL32" s="2026">
        <v>190</v>
      </c>
      <c r="GM32" s="2026">
        <v>191</v>
      </c>
      <c r="GN32" s="2026">
        <v>192</v>
      </c>
      <c r="GO32" s="2026">
        <v>193</v>
      </c>
      <c r="GP32" s="2026">
        <v>194</v>
      </c>
      <c r="GQ32" s="2026">
        <v>195</v>
      </c>
      <c r="GR32" s="2026">
        <v>196</v>
      </c>
      <c r="GS32" s="2026">
        <v>197</v>
      </c>
      <c r="GT32" s="2026">
        <v>198</v>
      </c>
      <c r="GU32" s="2026">
        <v>199</v>
      </c>
      <c r="GV32" s="2026">
        <v>200</v>
      </c>
      <c r="GW32" s="2026">
        <v>201</v>
      </c>
      <c r="GX32" s="2026">
        <v>202</v>
      </c>
      <c r="GY32" s="2026">
        <v>203</v>
      </c>
      <c r="GZ32" s="2026">
        <v>204</v>
      </c>
      <c r="HA32" s="2026">
        <v>205</v>
      </c>
      <c r="HB32" s="2026">
        <v>206</v>
      </c>
      <c r="HC32" s="2026">
        <v>207</v>
      </c>
      <c r="HD32" s="2026">
        <v>208</v>
      </c>
      <c r="HE32" s="2026">
        <v>209</v>
      </c>
      <c r="HF32" s="2026">
        <v>210</v>
      </c>
      <c r="HG32" s="2026">
        <v>211</v>
      </c>
      <c r="HH32" s="2026">
        <v>212</v>
      </c>
      <c r="HI32" s="2026">
        <v>213</v>
      </c>
      <c r="HJ32" s="2026">
        <v>214</v>
      </c>
      <c r="HK32" s="2026">
        <v>215</v>
      </c>
      <c r="HL32" s="2026">
        <v>216</v>
      </c>
      <c r="HM32" s="2026">
        <v>217</v>
      </c>
      <c r="HN32" s="2026">
        <v>218</v>
      </c>
      <c r="HO32" s="2026">
        <v>219</v>
      </c>
      <c r="HP32" s="2026">
        <v>220</v>
      </c>
      <c r="HQ32" s="2026">
        <v>221</v>
      </c>
      <c r="HR32" s="2026">
        <v>222</v>
      </c>
      <c r="HS32" s="2026">
        <v>223</v>
      </c>
      <c r="HT32" s="2026">
        <v>224</v>
      </c>
      <c r="HU32" s="2026">
        <v>225</v>
      </c>
      <c r="HV32" s="2026">
        <v>226</v>
      </c>
      <c r="HW32" s="2026">
        <v>227</v>
      </c>
      <c r="HX32" s="2026">
        <v>228</v>
      </c>
      <c r="HY32" s="2026">
        <v>229</v>
      </c>
      <c r="HZ32" s="2026">
        <v>230</v>
      </c>
      <c r="IA32" s="2026">
        <v>231</v>
      </c>
      <c r="IB32" s="2026">
        <v>232</v>
      </c>
      <c r="IC32" s="2026">
        <v>233</v>
      </c>
      <c r="ID32" s="2026">
        <v>234</v>
      </c>
      <c r="IE32" s="2026">
        <v>235</v>
      </c>
      <c r="IF32" s="2026">
        <v>236</v>
      </c>
      <c r="IG32" s="2026">
        <v>237</v>
      </c>
      <c r="IH32" s="2026">
        <v>238</v>
      </c>
      <c r="II32" s="2026">
        <v>239</v>
      </c>
      <c r="IJ32" s="2026">
        <v>240</v>
      </c>
      <c r="IK32" s="2026">
        <v>241</v>
      </c>
      <c r="IL32" s="2026">
        <v>242</v>
      </c>
      <c r="IM32" s="2026">
        <v>243</v>
      </c>
      <c r="IN32" s="2026">
        <v>244</v>
      </c>
      <c r="IO32" s="2026">
        <v>245</v>
      </c>
      <c r="IP32" s="1134">
        <v>246</v>
      </c>
      <c r="IQ32" s="1134">
        <v>247</v>
      </c>
      <c r="IR32" s="1134">
        <v>248</v>
      </c>
      <c r="IS32" s="1134">
        <v>249</v>
      </c>
      <c r="IT32" s="1134">
        <v>250</v>
      </c>
      <c r="IU32" s="1134">
        <v>251</v>
      </c>
      <c r="IV32" s="1134">
        <v>252</v>
      </c>
      <c r="IW32" s="1134">
        <v>253</v>
      </c>
      <c r="IX32" s="1134">
        <v>254</v>
      </c>
      <c r="IY32" s="1134">
        <v>255</v>
      </c>
      <c r="IZ32" s="1134">
        <v>256</v>
      </c>
      <c r="JA32" s="1134">
        <v>257</v>
      </c>
      <c r="JB32" s="1134">
        <v>258</v>
      </c>
      <c r="JC32" s="1134">
        <v>259</v>
      </c>
      <c r="JD32" s="1134">
        <v>260</v>
      </c>
      <c r="JE32" s="1134">
        <v>261</v>
      </c>
      <c r="JF32" s="1134">
        <v>262</v>
      </c>
      <c r="JG32" s="2485">
        <v>263</v>
      </c>
      <c r="JH32" s="1233"/>
      <c r="JI32" s="1393"/>
    </row>
    <row r="33" spans="1:269" x14ac:dyDescent="0.2">
      <c r="A33" s="1128">
        <v>2</v>
      </c>
      <c r="B33" s="1379" t="str">
        <f ref="B33:B40" si="4" t="shared">IF(ASE_B_IND&gt;1,IF(HLOOKUP(ASE_B_IND-1,ASE_B_RANGE,A33)="","",HLOOKUP(ASE_B_IND-1,ASE_B_RANGE,A33)),"")</f>
        <v/>
      </c>
      <c r="C33" s="1530" t="s">
        <v>1440</v>
      </c>
      <c r="D33" s="1376" t="s">
        <v>4883</v>
      </c>
      <c r="E33" s="2428"/>
      <c r="F33" s="2429"/>
      <c r="G33" s="2428"/>
      <c r="H33" s="2428"/>
      <c r="I33" s="2428"/>
      <c r="J33" s="2428"/>
      <c r="K33" s="2428"/>
      <c r="L33" s="2430"/>
      <c r="M33" s="2430"/>
      <c r="N33" s="2430"/>
      <c r="O33" s="2430"/>
      <c r="P33" s="2430"/>
      <c r="Q33" s="2430"/>
      <c r="R33" s="2430"/>
      <c r="S33" s="2430"/>
      <c r="T33" s="2430"/>
      <c r="U33" s="2430"/>
      <c r="V33" s="2430"/>
      <c r="W33" s="2430"/>
      <c r="X33" s="2430"/>
      <c r="Y33" s="2430"/>
      <c r="Z33" s="2430"/>
      <c r="AA33" s="2430"/>
      <c r="AB33" s="2430"/>
      <c r="AC33" s="2430"/>
      <c r="AD33" s="2430"/>
      <c r="AE33" s="2430"/>
      <c r="AF33" s="2430"/>
      <c r="AG33" s="2430"/>
      <c r="AH33" s="2430"/>
      <c r="AI33" s="2430"/>
      <c r="AJ33" s="2430"/>
      <c r="AK33" s="2430"/>
      <c r="AL33" s="2430"/>
      <c r="AM33" s="2430"/>
      <c r="AN33" s="2430"/>
      <c r="AO33" s="2430"/>
      <c r="AP33" s="2428">
        <v>24850</v>
      </c>
      <c r="AQ33" s="2430"/>
      <c r="AR33" s="2430"/>
      <c r="AS33" s="2430"/>
      <c r="AT33" s="2430"/>
      <c r="AU33" s="2430"/>
      <c r="AV33" s="2430"/>
      <c r="AW33" s="2430"/>
      <c r="AX33" s="2430"/>
      <c r="AY33" s="2430"/>
      <c r="AZ33" s="2430"/>
      <c r="BA33" s="2430"/>
      <c r="BB33" s="2430"/>
      <c r="BC33" s="2430"/>
      <c r="BD33" s="2428"/>
      <c r="BE33" s="3861"/>
      <c r="BF33" s="2430"/>
      <c r="BG33" s="2430"/>
      <c r="BH33" s="2430"/>
      <c r="BI33" s="2430"/>
      <c r="BJ33" s="2430"/>
      <c r="BK33" s="2430"/>
      <c r="BL33" s="2430"/>
      <c r="BM33" s="2430"/>
      <c r="BN33" s="2430"/>
      <c r="BO33" s="2430"/>
      <c r="BP33" s="2430"/>
      <c r="BQ33" s="2430"/>
      <c r="BR33" s="2430"/>
      <c r="BS33" s="2430"/>
      <c r="BT33" s="2430"/>
      <c r="BU33" s="2430"/>
      <c r="BV33" s="2430"/>
      <c r="BW33" s="2430"/>
      <c r="BX33" s="2430"/>
      <c r="BY33" s="2430"/>
      <c r="BZ33" s="2430"/>
      <c r="CA33" s="2430"/>
      <c r="CB33" s="2430"/>
      <c r="CC33" s="2430"/>
      <c r="CD33" s="2430"/>
      <c r="CE33" s="2430"/>
      <c r="CF33" s="2430"/>
      <c r="CG33" s="2430"/>
      <c r="CH33" s="2430"/>
      <c r="CI33" s="2430"/>
      <c r="CJ33" s="2430"/>
      <c r="CK33" s="2430"/>
      <c r="CL33" s="2430"/>
      <c r="CM33" s="2430"/>
      <c r="CN33" s="2430"/>
      <c r="CO33" s="2430"/>
      <c r="CP33" s="2430"/>
      <c r="CQ33" s="2430"/>
      <c r="CR33" s="2430"/>
      <c r="CS33" s="2430"/>
      <c r="CT33" s="2430"/>
      <c r="CU33" s="2430"/>
      <c r="CV33" s="2430"/>
      <c r="CW33" s="2430"/>
      <c r="CX33" s="2430"/>
      <c r="CY33" s="2430"/>
      <c r="CZ33" s="2430"/>
      <c r="DA33" s="2430"/>
      <c r="DB33" s="2430"/>
      <c r="DC33" s="2430"/>
      <c r="DD33" s="2430"/>
      <c r="DE33" s="2430"/>
      <c r="DF33" s="2428"/>
      <c r="DG33" s="2430"/>
      <c r="DH33" s="2430"/>
      <c r="DI33" s="2430"/>
      <c r="DJ33" s="2430"/>
      <c r="DK33" s="2430"/>
      <c r="DL33" s="2429"/>
      <c r="DM33" s="2430"/>
      <c r="DN33" s="2430"/>
      <c r="DO33" s="2430"/>
      <c r="DP33" s="2429"/>
      <c r="DQ33" s="2430"/>
      <c r="DR33" s="2430"/>
      <c r="DS33" s="2430"/>
      <c r="DT33" s="2430"/>
      <c r="DU33" s="2430"/>
      <c r="DV33" s="2430"/>
      <c r="DW33" s="2430"/>
      <c r="DX33" s="2430"/>
      <c r="DY33" s="2430"/>
      <c r="DZ33" s="2430"/>
      <c r="EA33" s="2430"/>
      <c r="EB33" s="2430"/>
      <c r="EC33" s="2430"/>
      <c r="ED33" s="2430"/>
      <c r="EE33" s="2430"/>
      <c r="EF33" s="2430"/>
      <c r="EG33" s="2430"/>
      <c r="EH33" s="2430"/>
      <c r="EI33" s="2430"/>
      <c r="EJ33" s="2430"/>
      <c r="EK33" s="2430"/>
      <c r="EL33" s="2430"/>
      <c r="EM33" s="2430"/>
      <c r="EN33" s="2430"/>
      <c r="EO33" s="2430"/>
      <c r="EP33" s="2430"/>
      <c r="EQ33" s="2430"/>
      <c r="ER33" s="2430"/>
      <c r="ES33" s="2430"/>
      <c r="ET33" s="2430"/>
      <c r="EU33" s="2430"/>
      <c r="EV33" s="2430"/>
      <c r="EW33" s="2430"/>
      <c r="EX33" s="2430"/>
      <c r="EY33" s="2430"/>
      <c r="EZ33" s="2430"/>
      <c r="FA33" s="2428"/>
      <c r="FB33" s="2430"/>
      <c r="FC33" s="2430"/>
      <c r="FD33" s="2430"/>
      <c r="FE33" s="2430"/>
      <c r="FF33" s="2430"/>
      <c r="FG33" s="2430"/>
      <c r="FH33" s="2430"/>
      <c r="FI33" s="2430"/>
      <c r="FJ33" s="2430"/>
      <c r="FK33" s="2430"/>
      <c r="FL33" s="2430"/>
      <c r="FM33" s="2430"/>
      <c r="FN33" s="2430"/>
      <c r="FO33" s="2430"/>
      <c r="FP33" s="2430"/>
      <c r="FQ33" s="2430"/>
      <c r="FR33" s="2428"/>
      <c r="FS33" s="2430"/>
      <c r="FT33" s="2430"/>
      <c r="FU33" s="2430"/>
      <c r="FV33" s="2430"/>
      <c r="FW33" s="2430"/>
      <c r="FX33" s="2430"/>
      <c r="FY33" s="2430"/>
      <c r="FZ33" s="2430"/>
      <c r="GA33" s="2430"/>
      <c r="GB33" s="2430"/>
      <c r="GC33" s="2430"/>
      <c r="GD33" s="2430"/>
      <c r="GE33" s="2430"/>
      <c r="GF33" s="2430"/>
      <c r="GG33" s="2430"/>
      <c r="GH33" s="2430"/>
      <c r="GI33" s="2430"/>
      <c r="GJ33" s="2430"/>
      <c r="GK33" s="2430"/>
      <c r="GL33" s="2430"/>
      <c r="GM33" s="2430"/>
      <c r="GN33" s="2430"/>
      <c r="GO33" s="2430"/>
      <c r="GP33" s="2430"/>
      <c r="GQ33" s="2430"/>
      <c r="GR33" s="2430"/>
      <c r="GS33" s="2430"/>
      <c r="GT33" s="2430"/>
      <c r="GU33" s="2430"/>
      <c r="GV33" s="2430"/>
      <c r="GW33" s="2430"/>
      <c r="GX33" s="2430"/>
      <c r="GY33" s="2430"/>
      <c r="GZ33" s="2430"/>
      <c r="HA33" s="2430"/>
      <c r="HB33" s="2430"/>
      <c r="HC33" s="2430"/>
      <c r="HD33" s="2430"/>
      <c r="HE33" s="2430"/>
      <c r="HF33" s="2430"/>
      <c r="HG33" s="2430"/>
      <c r="HH33" s="2430"/>
      <c r="HI33" s="2430"/>
      <c r="HJ33" s="2430"/>
      <c r="HK33" s="2430"/>
      <c r="HL33" s="2430"/>
      <c r="HM33" s="2430"/>
      <c r="HN33" s="2430"/>
      <c r="HO33" s="2430"/>
      <c r="HP33" s="2430"/>
      <c r="HQ33" s="2430"/>
      <c r="HR33" s="2430"/>
      <c r="HS33" s="2430"/>
      <c r="HT33" s="2430"/>
      <c r="HU33" s="2430"/>
      <c r="HV33" s="2430"/>
      <c r="HW33" s="2430"/>
      <c r="HX33" s="2430"/>
      <c r="HY33" s="2430"/>
      <c r="HZ33" s="2430"/>
      <c r="IA33" s="2430"/>
      <c r="IB33" s="2428"/>
      <c r="IC33" s="2430"/>
      <c r="ID33" s="2430"/>
      <c r="IE33" s="2430"/>
      <c r="IF33" s="2430"/>
      <c r="IG33" s="2430"/>
      <c r="IH33" s="2430"/>
      <c r="II33" s="2430"/>
      <c r="IJ33" s="2428"/>
      <c r="IK33" s="2428"/>
      <c r="IL33" s="2428"/>
      <c r="IM33" s="2430"/>
      <c r="IN33" s="2430"/>
      <c r="IO33" s="2428"/>
      <c r="IP33" s="2430"/>
      <c r="IQ33" s="2430"/>
      <c r="IR33" s="2430"/>
      <c r="IS33" s="2430"/>
      <c r="IT33" s="2430"/>
      <c r="IU33" s="2430"/>
      <c r="IV33" s="2430"/>
      <c r="IW33" s="2430"/>
      <c r="IX33" s="2430"/>
      <c r="IY33" s="2430"/>
      <c r="IZ33" s="2430"/>
      <c r="JA33" s="3755"/>
      <c r="JB33" s="3755"/>
      <c r="JC33" s="3755"/>
      <c r="JD33" s="3755"/>
      <c r="JE33" s="3755"/>
      <c r="JF33" s="3755"/>
      <c r="JG33" s="3696"/>
      <c r="JH33" s="1233"/>
      <c r="JI33" s="1393"/>
    </row>
    <row r="34" spans="1:269" x14ac:dyDescent="0.2">
      <c r="A34" s="1128">
        <v>3</v>
      </c>
      <c r="B34" s="1379" t="str">
        <f si="4" t="shared"/>
        <v/>
      </c>
      <c r="C34" s="1530" t="s">
        <v>1441</v>
      </c>
      <c r="D34" s="1376" t="s">
        <v>4884</v>
      </c>
      <c r="E34" s="2428"/>
      <c r="F34" s="2429"/>
      <c r="G34" s="2428"/>
      <c r="H34" s="2428"/>
      <c r="I34" s="2428"/>
      <c r="J34" s="2428"/>
      <c r="K34" s="2428"/>
      <c r="L34" s="2431"/>
      <c r="M34" s="2431"/>
      <c r="N34" s="2431"/>
      <c r="O34" s="2431"/>
      <c r="P34" s="2431"/>
      <c r="Q34" s="2431"/>
      <c r="R34" s="2431"/>
      <c r="S34" s="2431"/>
      <c r="T34" s="2431"/>
      <c r="U34" s="2431"/>
      <c r="V34" s="2431"/>
      <c r="W34" s="2431"/>
      <c r="X34" s="2431"/>
      <c r="Y34" s="2431"/>
      <c r="Z34" s="2431"/>
      <c r="AA34" s="2431"/>
      <c r="AB34" s="2431"/>
      <c r="AC34" s="2431"/>
      <c r="AD34" s="2431"/>
      <c r="AE34" s="2431"/>
      <c r="AF34" s="2431"/>
      <c r="AG34" s="2431"/>
      <c r="AH34" s="2431"/>
      <c r="AI34" s="2431"/>
      <c r="AJ34" s="2431"/>
      <c r="AK34" s="2431"/>
      <c r="AL34" s="2431"/>
      <c r="AM34" s="2431"/>
      <c r="AN34" s="2431"/>
      <c r="AO34" s="2431"/>
      <c r="AP34" s="2428"/>
      <c r="AQ34" s="2431"/>
      <c r="AR34" s="2431"/>
      <c r="AS34" s="2431"/>
      <c r="AT34" s="2431"/>
      <c r="AU34" s="2431"/>
      <c r="AV34" s="2431"/>
      <c r="AW34" s="2431"/>
      <c r="AX34" s="2431"/>
      <c r="AY34" s="2431"/>
      <c r="AZ34" s="2431"/>
      <c r="BA34" s="2431"/>
      <c r="BB34" s="2431"/>
      <c r="BC34" s="2431"/>
      <c r="BD34" s="2428"/>
      <c r="BE34" s="3862"/>
      <c r="BF34" s="2431"/>
      <c r="BG34" s="2431"/>
      <c r="BH34" s="2431"/>
      <c r="BI34" s="2431"/>
      <c r="BJ34" s="2431"/>
      <c r="BK34" s="2431"/>
      <c r="BL34" s="2431"/>
      <c r="BM34" s="2431"/>
      <c r="BN34" s="2431"/>
      <c r="BO34" s="2431"/>
      <c r="BP34" s="2431"/>
      <c r="BQ34" s="2431"/>
      <c r="BR34" s="2431"/>
      <c r="BS34" s="2431"/>
      <c r="BT34" s="2431"/>
      <c r="BU34" s="2431"/>
      <c r="BV34" s="2431"/>
      <c r="BW34" s="2431"/>
      <c r="BX34" s="2431"/>
      <c r="BY34" s="2431"/>
      <c r="BZ34" s="2431"/>
      <c r="CA34" s="2431"/>
      <c r="CB34" s="2431"/>
      <c r="CC34" s="2431"/>
      <c r="CD34" s="2431"/>
      <c r="CE34" s="2431"/>
      <c r="CF34" s="2431"/>
      <c r="CG34" s="2431"/>
      <c r="CH34" s="2431"/>
      <c r="CI34" s="2431"/>
      <c r="CJ34" s="2431"/>
      <c r="CK34" s="2431"/>
      <c r="CL34" s="2431"/>
      <c r="CM34" s="2431"/>
      <c r="CN34" s="2431"/>
      <c r="CO34" s="2431"/>
      <c r="CP34" s="2431"/>
      <c r="CQ34" s="2431"/>
      <c r="CR34" s="2431"/>
      <c r="CS34" s="2431"/>
      <c r="CT34" s="2431"/>
      <c r="CU34" s="2431"/>
      <c r="CV34" s="2431"/>
      <c r="CW34" s="2431"/>
      <c r="CX34" s="2431"/>
      <c r="CY34" s="2431"/>
      <c r="CZ34" s="2431"/>
      <c r="DA34" s="2431"/>
      <c r="DB34" s="2431"/>
      <c r="DC34" s="2431"/>
      <c r="DD34" s="2431"/>
      <c r="DE34" s="2431"/>
      <c r="DF34" s="2428"/>
      <c r="DG34" s="2431"/>
      <c r="DH34" s="2431"/>
      <c r="DI34" s="2431"/>
      <c r="DJ34" s="2431"/>
      <c r="DK34" s="2431"/>
      <c r="DL34" s="2429">
        <v>2200</v>
      </c>
      <c r="DM34" s="2431"/>
      <c r="DN34" s="2431"/>
      <c r="DO34" s="2431"/>
      <c r="DP34" s="2429">
        <v>2200</v>
      </c>
      <c r="DQ34" s="2431"/>
      <c r="DR34" s="2431"/>
      <c r="DS34" s="2431"/>
      <c r="DT34" s="2431"/>
      <c r="DU34" s="2431"/>
      <c r="DV34" s="2431"/>
      <c r="DW34" s="2431"/>
      <c r="DX34" s="2431"/>
      <c r="DY34" s="2431"/>
      <c r="DZ34" s="2431"/>
      <c r="EA34" s="2431"/>
      <c r="EB34" s="2431"/>
      <c r="EC34" s="2431"/>
      <c r="ED34" s="2431"/>
      <c r="EE34" s="2431"/>
      <c r="EF34" s="2431"/>
      <c r="EG34" s="2431"/>
      <c r="EH34" s="2431"/>
      <c r="EI34" s="2431"/>
      <c r="EJ34" s="2431"/>
      <c r="EK34" s="2431"/>
      <c r="EL34" s="2431"/>
      <c r="EM34" s="2431"/>
      <c r="EN34" s="2431"/>
      <c r="EO34" s="2431"/>
      <c r="EP34" s="2431"/>
      <c r="EQ34" s="2431"/>
      <c r="ER34" s="2431"/>
      <c r="ES34" s="2431"/>
      <c r="ET34" s="2431"/>
      <c r="EU34" s="2431"/>
      <c r="EV34" s="2431"/>
      <c r="EW34" s="2431"/>
      <c r="EX34" s="2431"/>
      <c r="EY34" s="2431"/>
      <c r="EZ34" s="2431"/>
      <c r="FA34" s="2428"/>
      <c r="FB34" s="2431"/>
      <c r="FC34" s="2431"/>
      <c r="FD34" s="2431"/>
      <c r="FE34" s="2431"/>
      <c r="FF34" s="2431"/>
      <c r="FG34" s="2431"/>
      <c r="FH34" s="2431"/>
      <c r="FI34" s="2431"/>
      <c r="FJ34" s="2431"/>
      <c r="FK34" s="2431"/>
      <c r="FL34" s="2431"/>
      <c r="FM34" s="2431"/>
      <c r="FN34" s="2431"/>
      <c r="FO34" s="2431"/>
      <c r="FP34" s="2431"/>
      <c r="FQ34" s="2431"/>
      <c r="FR34" s="2428"/>
      <c r="FS34" s="2431"/>
      <c r="FT34" s="2431"/>
      <c r="FU34" s="2431"/>
      <c r="FV34" s="2431"/>
      <c r="FW34" s="2431"/>
      <c r="FX34" s="2431"/>
      <c r="FY34" s="2431"/>
      <c r="FZ34" s="2431"/>
      <c r="GA34" s="2431"/>
      <c r="GB34" s="2431"/>
      <c r="GC34" s="2431"/>
      <c r="GD34" s="2431"/>
      <c r="GE34" s="2431"/>
      <c r="GF34" s="2431"/>
      <c r="GG34" s="2431"/>
      <c r="GH34" s="2431"/>
      <c r="GI34" s="2431"/>
      <c r="GJ34" s="2431"/>
      <c r="GK34" s="2431"/>
      <c r="GL34" s="2431"/>
      <c r="GM34" s="2431"/>
      <c r="GN34" s="2431"/>
      <c r="GO34" s="2431"/>
      <c r="GP34" s="2431"/>
      <c r="GQ34" s="2431"/>
      <c r="GR34" s="2431"/>
      <c r="GS34" s="2431"/>
      <c r="GT34" s="2431"/>
      <c r="GU34" s="2431"/>
      <c r="GV34" s="2431"/>
      <c r="GW34" s="2431"/>
      <c r="GX34" s="2431"/>
      <c r="GY34" s="2431"/>
      <c r="GZ34" s="2431"/>
      <c r="HA34" s="2431"/>
      <c r="HB34" s="2431"/>
      <c r="HC34" s="2431"/>
      <c r="HD34" s="2431"/>
      <c r="HE34" s="2431"/>
      <c r="HF34" s="2431"/>
      <c r="HG34" s="2431"/>
      <c r="HH34" s="2431"/>
      <c r="HI34" s="2431"/>
      <c r="HJ34" s="2431"/>
      <c r="HK34" s="2431"/>
      <c r="HL34" s="2431"/>
      <c r="HM34" s="2431"/>
      <c r="HN34" s="2431"/>
      <c r="HO34" s="2431"/>
      <c r="HP34" s="2431"/>
      <c r="HQ34" s="2431"/>
      <c r="HR34" s="2431"/>
      <c r="HS34" s="2431"/>
      <c r="HT34" s="2431"/>
      <c r="HU34" s="2431"/>
      <c r="HV34" s="2431"/>
      <c r="HW34" s="2431"/>
      <c r="HX34" s="2431"/>
      <c r="HY34" s="2431"/>
      <c r="HZ34" s="2431"/>
      <c r="IA34" s="2431"/>
      <c r="IB34" s="2428"/>
      <c r="IC34" s="2431"/>
      <c r="ID34" s="2431"/>
      <c r="IE34" s="2431"/>
      <c r="IF34" s="2431"/>
      <c r="IG34" s="2431"/>
      <c r="IH34" s="2431"/>
      <c r="II34" s="2431"/>
      <c r="IJ34" s="2428"/>
      <c r="IK34" s="2428"/>
      <c r="IL34" s="2428"/>
      <c r="IM34" s="2431"/>
      <c r="IN34" s="2431"/>
      <c r="IO34" s="2428"/>
      <c r="IP34" s="2431"/>
      <c r="IQ34" s="2431"/>
      <c r="IR34" s="2431"/>
      <c r="IS34" s="2431"/>
      <c r="IT34" s="2431"/>
      <c r="IU34" s="2431"/>
      <c r="IV34" s="2431"/>
      <c r="IW34" s="2431"/>
      <c r="IX34" s="2431"/>
      <c r="IY34" s="2431"/>
      <c r="IZ34" s="2431"/>
      <c r="JA34" s="3756"/>
      <c r="JB34" s="3756"/>
      <c r="JC34" s="3756"/>
      <c r="JD34" s="3756"/>
      <c r="JE34" s="3756"/>
      <c r="JF34" s="3756"/>
      <c r="JG34" s="3697"/>
      <c r="JH34" s="1233"/>
      <c r="JI34" s="1393"/>
    </row>
    <row r="35" spans="1:269" x14ac:dyDescent="0.2">
      <c r="A35" s="1128">
        <v>4</v>
      </c>
      <c r="B35" s="1379" t="str">
        <f si="4" t="shared"/>
        <v/>
      </c>
      <c r="C35" s="1530" t="s">
        <v>1442</v>
      </c>
      <c r="D35" s="1376" t="s">
        <v>4885</v>
      </c>
      <c r="E35" s="2428"/>
      <c r="F35" s="2429"/>
      <c r="G35" s="2428"/>
      <c r="H35" s="2428"/>
      <c r="I35" s="2428"/>
      <c r="J35" s="2428"/>
      <c r="K35" s="2428"/>
      <c r="L35" s="2430"/>
      <c r="M35" s="2430"/>
      <c r="N35" s="2430"/>
      <c r="O35" s="2430"/>
      <c r="P35" s="2430"/>
      <c r="Q35" s="2430"/>
      <c r="R35" s="2430"/>
      <c r="S35" s="2430"/>
      <c r="T35" s="2430"/>
      <c r="U35" s="2430"/>
      <c r="V35" s="2430"/>
      <c r="W35" s="2430"/>
      <c r="X35" s="2430"/>
      <c r="Y35" s="2430"/>
      <c r="Z35" s="2430"/>
      <c r="AA35" s="2430"/>
      <c r="AB35" s="2430"/>
      <c r="AC35" s="2430"/>
      <c r="AD35" s="2430"/>
      <c r="AE35" s="2430"/>
      <c r="AF35" s="2430"/>
      <c r="AG35" s="2430"/>
      <c r="AH35" s="2430"/>
      <c r="AI35" s="2430"/>
      <c r="AJ35" s="2430"/>
      <c r="AK35" s="2430"/>
      <c r="AL35" s="2430"/>
      <c r="AM35" s="2430"/>
      <c r="AN35" s="2430"/>
      <c r="AO35" s="2430"/>
      <c r="AP35" s="2428"/>
      <c r="AQ35" s="2430"/>
      <c r="AR35" s="2430"/>
      <c r="AS35" s="2430"/>
      <c r="AT35" s="2430"/>
      <c r="AU35" s="2430"/>
      <c r="AV35" s="2430"/>
      <c r="AW35" s="2430"/>
      <c r="AX35" s="2430"/>
      <c r="AY35" s="2430"/>
      <c r="AZ35" s="2430"/>
      <c r="BA35" s="2430"/>
      <c r="BB35" s="2430"/>
      <c r="BC35" s="2430"/>
      <c r="BD35" s="2428">
        <v>15000</v>
      </c>
      <c r="BE35" s="3867">
        <v>7000</v>
      </c>
      <c r="BF35" s="2430"/>
      <c r="BG35" s="2430"/>
      <c r="BH35" s="2430"/>
      <c r="BI35" s="2430"/>
      <c r="BJ35" s="2430"/>
      <c r="BK35" s="2430"/>
      <c r="BL35" s="2430"/>
      <c r="BM35" s="2430"/>
      <c r="BN35" s="2430"/>
      <c r="BO35" s="2430"/>
      <c r="BP35" s="2430"/>
      <c r="BQ35" s="2430"/>
      <c r="BR35" s="2430"/>
      <c r="BS35" s="2430"/>
      <c r="BT35" s="2430"/>
      <c r="BU35" s="2430"/>
      <c r="BV35" s="2430"/>
      <c r="BW35" s="2430"/>
      <c r="BX35" s="2430"/>
      <c r="BY35" s="2430"/>
      <c r="BZ35" s="2430"/>
      <c r="CA35" s="2430"/>
      <c r="CB35" s="2430"/>
      <c r="CC35" s="2430"/>
      <c r="CD35" s="2430"/>
      <c r="CE35" s="2430"/>
      <c r="CF35" s="2430"/>
      <c r="CG35" s="2430"/>
      <c r="CH35" s="2430"/>
      <c r="CI35" s="2430"/>
      <c r="CJ35" s="2430"/>
      <c r="CK35" s="2430"/>
      <c r="CL35" s="2430"/>
      <c r="CM35" s="2430"/>
      <c r="CN35" s="2430"/>
      <c r="CO35" s="2430"/>
      <c r="CP35" s="2430"/>
      <c r="CQ35" s="2430"/>
      <c r="CR35" s="2430"/>
      <c r="CS35" s="2430"/>
      <c r="CT35" s="2430"/>
      <c r="CU35" s="2430"/>
      <c r="CV35" s="2430"/>
      <c r="CW35" s="2430"/>
      <c r="CX35" s="2430"/>
      <c r="CY35" s="2430"/>
      <c r="CZ35" s="2430"/>
      <c r="DA35" s="2430"/>
      <c r="DB35" s="2430"/>
      <c r="DC35" s="2430"/>
      <c r="DD35" s="2430"/>
      <c r="DE35" s="2430"/>
      <c r="DF35" s="2428">
        <v>15000</v>
      </c>
      <c r="DG35" s="2430"/>
      <c r="DH35" s="2430"/>
      <c r="DI35" s="2430"/>
      <c r="DJ35" s="2430"/>
      <c r="DK35" s="2430"/>
      <c r="DL35" s="2429"/>
      <c r="DM35" s="2430"/>
      <c r="DN35" s="2430"/>
      <c r="DO35" s="2430"/>
      <c r="DP35" s="2429"/>
      <c r="DQ35" s="2430"/>
      <c r="DR35" s="2430"/>
      <c r="DS35" s="2430"/>
      <c r="DT35" s="2430"/>
      <c r="DU35" s="2430"/>
      <c r="DV35" s="2430"/>
      <c r="DW35" s="2430"/>
      <c r="DX35" s="2430"/>
      <c r="DY35" s="2430"/>
      <c r="DZ35" s="2430"/>
      <c r="EA35" s="2430"/>
      <c r="EB35" s="2430"/>
      <c r="EC35" s="2430"/>
      <c r="ED35" s="2430"/>
      <c r="EE35" s="2430"/>
      <c r="EF35" s="2430"/>
      <c r="EG35" s="2430"/>
      <c r="EH35" s="2430"/>
      <c r="EI35" s="2430"/>
      <c r="EJ35" s="2430"/>
      <c r="EK35" s="2430"/>
      <c r="EL35" s="2430"/>
      <c r="EM35" s="2430"/>
      <c r="EN35" s="2430"/>
      <c r="EO35" s="2430"/>
      <c r="EP35" s="2430"/>
      <c r="EQ35" s="2430"/>
      <c r="ER35" s="2430"/>
      <c r="ES35" s="2430"/>
      <c r="ET35" s="2430"/>
      <c r="EU35" s="2430"/>
      <c r="EV35" s="2430"/>
      <c r="EW35" s="2430"/>
      <c r="EX35" s="2430"/>
      <c r="EY35" s="2430"/>
      <c r="EZ35" s="2430"/>
      <c r="FA35" s="2428">
        <v>15000</v>
      </c>
      <c r="FB35" s="2430"/>
      <c r="FC35" s="2430"/>
      <c r="FD35" s="2430"/>
      <c r="FE35" s="2430"/>
      <c r="FF35" s="2430"/>
      <c r="FG35" s="2430"/>
      <c r="FH35" s="2430"/>
      <c r="FI35" s="2430"/>
      <c r="FJ35" s="2430"/>
      <c r="FK35" s="2430"/>
      <c r="FL35" s="2430"/>
      <c r="FM35" s="2430"/>
      <c r="FN35" s="2430"/>
      <c r="FO35" s="2430"/>
      <c r="FP35" s="2430"/>
      <c r="FQ35" s="2430"/>
      <c r="FR35" s="2428">
        <v>15000</v>
      </c>
      <c r="FS35" s="2430"/>
      <c r="FT35" s="2430"/>
      <c r="FU35" s="2430"/>
      <c r="FV35" s="2430"/>
      <c r="FW35" s="2430"/>
      <c r="FX35" s="2430"/>
      <c r="FY35" s="2430"/>
      <c r="FZ35" s="2430"/>
      <c r="GA35" s="2430"/>
      <c r="GB35" s="2430"/>
      <c r="GC35" s="2430"/>
      <c r="GD35" s="2430"/>
      <c r="GE35" s="2430"/>
      <c r="GF35" s="2430"/>
      <c r="GG35" s="2430"/>
      <c r="GH35" s="2430"/>
      <c r="GI35" s="2430"/>
      <c r="GJ35" s="2430"/>
      <c r="GK35" s="2430"/>
      <c r="GL35" s="2430"/>
      <c r="GM35" s="2430"/>
      <c r="GN35" s="2430"/>
      <c r="GO35" s="2430"/>
      <c r="GP35" s="2430"/>
      <c r="GQ35" s="2430"/>
      <c r="GR35" s="2430"/>
      <c r="GS35" s="2430"/>
      <c r="GT35" s="2430"/>
      <c r="GU35" s="2430"/>
      <c r="GV35" s="2430"/>
      <c r="GW35" s="2430"/>
      <c r="GX35" s="2430"/>
      <c r="GY35" s="2430"/>
      <c r="GZ35" s="2430"/>
      <c r="HA35" s="2430"/>
      <c r="HB35" s="2430"/>
      <c r="HC35" s="2430"/>
      <c r="HD35" s="2430"/>
      <c r="HE35" s="2430"/>
      <c r="HF35" s="2430"/>
      <c r="HG35" s="2430"/>
      <c r="HH35" s="2430"/>
      <c r="HI35" s="2430"/>
      <c r="HJ35" s="2430"/>
      <c r="HK35" s="2430"/>
      <c r="HL35" s="2430"/>
      <c r="HM35" s="2430"/>
      <c r="HN35" s="2430"/>
      <c r="HO35" s="2430"/>
      <c r="HP35" s="2430"/>
      <c r="HQ35" s="2430"/>
      <c r="HR35" s="2430"/>
      <c r="HS35" s="2430"/>
      <c r="HT35" s="2430"/>
      <c r="HU35" s="2430"/>
      <c r="HV35" s="2430"/>
      <c r="HW35" s="2430"/>
      <c r="HX35" s="2430"/>
      <c r="HY35" s="2430"/>
      <c r="HZ35" s="2430"/>
      <c r="IA35" s="2430"/>
      <c r="IB35" s="2428">
        <v>1000</v>
      </c>
      <c r="IC35" s="2430"/>
      <c r="ID35" s="2430"/>
      <c r="IE35" s="2430"/>
      <c r="IF35" s="2430"/>
      <c r="IG35" s="2430"/>
      <c r="IH35" s="2430"/>
      <c r="II35" s="2430"/>
      <c r="IJ35" s="2428">
        <v>10000</v>
      </c>
      <c r="IK35" s="2428">
        <v>15000</v>
      </c>
      <c r="IL35" s="2428">
        <v>10000</v>
      </c>
      <c r="IM35" s="2430"/>
      <c r="IN35" s="2430"/>
      <c r="IO35" s="2428">
        <v>98038</v>
      </c>
      <c r="IP35" s="2430"/>
      <c r="IQ35" s="2430"/>
      <c r="IR35" s="2430"/>
      <c r="IS35" s="2430"/>
      <c r="IT35" s="2430"/>
      <c r="IU35" s="2430"/>
      <c r="IV35" s="2430"/>
      <c r="IW35" s="2430"/>
      <c r="IX35" s="2430"/>
      <c r="IY35" s="2430"/>
      <c r="IZ35" s="2430"/>
      <c r="JA35" s="3755"/>
      <c r="JB35" s="3755"/>
      <c r="JC35" s="3755"/>
      <c r="JD35" s="3755"/>
      <c r="JE35" s="3755"/>
      <c r="JF35" s="3755"/>
      <c r="JG35" s="3696"/>
      <c r="JH35" s="1233"/>
      <c r="JI35" s="1393"/>
    </row>
    <row r="36" spans="1:269" x14ac:dyDescent="0.2">
      <c r="A36" s="1128">
        <v>5</v>
      </c>
      <c r="B36" s="1379" t="str">
        <f si="4" t="shared"/>
        <v/>
      </c>
      <c r="C36" s="1530" t="s">
        <v>1443</v>
      </c>
      <c r="D36" s="1376" t="s">
        <v>4886</v>
      </c>
      <c r="E36" s="2432"/>
      <c r="F36" s="2432"/>
      <c r="G36" s="2432"/>
      <c r="H36" s="2432"/>
      <c r="I36" s="2432"/>
      <c r="J36" s="2432"/>
      <c r="K36" s="2432"/>
      <c r="L36" s="2433"/>
      <c r="M36" s="2433"/>
      <c r="N36" s="2433"/>
      <c r="O36" s="2433"/>
      <c r="P36" s="2433"/>
      <c r="Q36" s="2433"/>
      <c r="R36" s="2433"/>
      <c r="S36" s="2433"/>
      <c r="T36" s="2433"/>
      <c r="U36" s="2433"/>
      <c r="V36" s="2433"/>
      <c r="W36" s="2433"/>
      <c r="X36" s="2433"/>
      <c r="Y36" s="2433"/>
      <c r="Z36" s="2433"/>
      <c r="AA36" s="2433"/>
      <c r="AB36" s="2433"/>
      <c r="AC36" s="2433"/>
      <c r="AD36" s="2433"/>
      <c r="AE36" s="2433"/>
      <c r="AF36" s="2433"/>
      <c r="AG36" s="2433"/>
      <c r="AH36" s="2433"/>
      <c r="AI36" s="2433"/>
      <c r="AJ36" s="2433"/>
      <c r="AK36" s="2433"/>
      <c r="AL36" s="2433"/>
      <c r="AM36" s="2433"/>
      <c r="AN36" s="2433"/>
      <c r="AO36" s="2433"/>
      <c r="AP36" s="2432">
        <f>(AP33+AP34+AP35)*BR_rate</f>
        <v>4970</v>
      </c>
      <c r="AQ36" s="2433"/>
      <c r="AR36" s="2433"/>
      <c r="AS36" s="2433"/>
      <c r="AT36" s="2433"/>
      <c r="AU36" s="2433"/>
      <c r="AV36" s="2433"/>
      <c r="AW36" s="2433"/>
      <c r="AX36" s="2433"/>
      <c r="AY36" s="2433"/>
      <c r="AZ36" s="2433"/>
      <c r="BA36" s="2433"/>
      <c r="BB36" s="2433"/>
      <c r="BC36" s="2433"/>
      <c r="BD36" s="2432">
        <f>(BD33+BD34+BD35)*BR_rate</f>
        <v>3000</v>
      </c>
      <c r="BE36" s="3863"/>
      <c r="BF36" s="2433"/>
      <c r="BG36" s="2433"/>
      <c r="BH36" s="2433"/>
      <c r="BI36" s="2433"/>
      <c r="BJ36" s="2433"/>
      <c r="BK36" s="2433"/>
      <c r="BL36" s="2433"/>
      <c r="BM36" s="2433"/>
      <c r="BN36" s="2433"/>
      <c r="BO36" s="2433"/>
      <c r="BP36" s="2433"/>
      <c r="BQ36" s="2433"/>
      <c r="BR36" s="2433"/>
      <c r="BS36" s="2433"/>
      <c r="BT36" s="2433"/>
      <c r="BU36" s="2433"/>
      <c r="BV36" s="2433"/>
      <c r="BW36" s="2433"/>
      <c r="BX36" s="2433"/>
      <c r="BY36" s="2433"/>
      <c r="BZ36" s="2433"/>
      <c r="CA36" s="2433"/>
      <c r="CB36" s="2433"/>
      <c r="CC36" s="2433"/>
      <c r="CD36" s="2433"/>
      <c r="CE36" s="2433"/>
      <c r="CF36" s="2433"/>
      <c r="CG36" s="2433"/>
      <c r="CH36" s="2433"/>
      <c r="CI36" s="2433"/>
      <c r="CJ36" s="2433"/>
      <c r="CK36" s="2433"/>
      <c r="CL36" s="2433"/>
      <c r="CM36" s="2433"/>
      <c r="CN36" s="2433"/>
      <c r="CO36" s="2433"/>
      <c r="CP36" s="2433"/>
      <c r="CQ36" s="2433"/>
      <c r="CR36" s="2433"/>
      <c r="CS36" s="2433"/>
      <c r="CT36" s="2433"/>
      <c r="CU36" s="2433"/>
      <c r="CV36" s="2433"/>
      <c r="CW36" s="2433"/>
      <c r="CX36" s="2433"/>
      <c r="CY36" s="2433"/>
      <c r="CZ36" s="2433"/>
      <c r="DA36" s="2433"/>
      <c r="DB36" s="2433"/>
      <c r="DC36" s="2433"/>
      <c r="DD36" s="2433"/>
      <c r="DE36" s="2433"/>
      <c r="DF36" s="2432">
        <f>(DF33+DF34+DF35)*BR_rate</f>
        <v>3000</v>
      </c>
      <c r="DG36" s="2433"/>
      <c r="DH36" s="2433"/>
      <c r="DI36" s="2433"/>
      <c r="DJ36" s="2433"/>
      <c r="DK36" s="2433"/>
      <c r="DL36" s="2432">
        <f>(DL33+DL34+DL35)*BR_rate</f>
        <v>440</v>
      </c>
      <c r="DM36" s="2433"/>
      <c r="DN36" s="2433"/>
      <c r="DO36" s="2433"/>
      <c r="DP36" s="2432">
        <f>(DP33+DP34+DP35)*BR_rate</f>
        <v>440</v>
      </c>
      <c r="DQ36" s="2433"/>
      <c r="DR36" s="2433"/>
      <c r="DS36" s="2433"/>
      <c r="DT36" s="2433"/>
      <c r="DU36" s="2433"/>
      <c r="DV36" s="2433"/>
      <c r="DW36" s="2433"/>
      <c r="DX36" s="2433"/>
      <c r="DY36" s="2433"/>
      <c r="DZ36" s="2433"/>
      <c r="EA36" s="2433"/>
      <c r="EB36" s="2433"/>
      <c r="EC36" s="2433"/>
      <c r="ED36" s="2433"/>
      <c r="EE36" s="2433"/>
      <c r="EF36" s="2433"/>
      <c r="EG36" s="2433"/>
      <c r="EH36" s="2433"/>
      <c r="EI36" s="2433"/>
      <c r="EJ36" s="2433"/>
      <c r="EK36" s="2433"/>
      <c r="EL36" s="2433"/>
      <c r="EM36" s="2433"/>
      <c r="EN36" s="2433"/>
      <c r="EO36" s="2433"/>
      <c r="EP36" s="2433"/>
      <c r="EQ36" s="2433"/>
      <c r="ER36" s="2433"/>
      <c r="ES36" s="2433"/>
      <c r="ET36" s="2433"/>
      <c r="EU36" s="2433"/>
      <c r="EV36" s="2433"/>
      <c r="EW36" s="2433"/>
      <c r="EX36" s="2433"/>
      <c r="EY36" s="2433"/>
      <c r="EZ36" s="2433"/>
      <c r="FA36" s="2432">
        <f>(FA33+FA34+FA35)*BR_rate</f>
        <v>3000</v>
      </c>
      <c r="FB36" s="2433"/>
      <c r="FC36" s="2433"/>
      <c r="FD36" s="2433"/>
      <c r="FE36" s="2433"/>
      <c r="FF36" s="2433"/>
      <c r="FG36" s="2433"/>
      <c r="FH36" s="2433"/>
      <c r="FI36" s="2433"/>
      <c r="FJ36" s="2433"/>
      <c r="FK36" s="2433"/>
      <c r="FL36" s="2433"/>
      <c r="FM36" s="2433"/>
      <c r="FN36" s="2433"/>
      <c r="FO36" s="2433"/>
      <c r="FP36" s="2433"/>
      <c r="FQ36" s="2433"/>
      <c r="FR36" s="2432">
        <f>(FR33+FR34+FR35)*BR_rate</f>
        <v>3000</v>
      </c>
      <c r="FS36" s="2433"/>
      <c r="FT36" s="2433"/>
      <c r="FU36" s="2433"/>
      <c r="FV36" s="2433"/>
      <c r="FW36" s="2433"/>
      <c r="FX36" s="2433"/>
      <c r="FY36" s="2433"/>
      <c r="FZ36" s="2433"/>
      <c r="GA36" s="2433"/>
      <c r="GB36" s="2433"/>
      <c r="GC36" s="2433"/>
      <c r="GD36" s="2433"/>
      <c r="GE36" s="2433"/>
      <c r="GF36" s="2433"/>
      <c r="GG36" s="2433"/>
      <c r="GH36" s="2433"/>
      <c r="GI36" s="2433"/>
      <c r="GJ36" s="2433"/>
      <c r="GK36" s="2433"/>
      <c r="GL36" s="2433"/>
      <c r="GM36" s="2433"/>
      <c r="GN36" s="2433"/>
      <c r="GO36" s="2433"/>
      <c r="GP36" s="2433"/>
      <c r="GQ36" s="2433"/>
      <c r="GR36" s="2433"/>
      <c r="GS36" s="2433"/>
      <c r="GT36" s="2433"/>
      <c r="GU36" s="2433"/>
      <c r="GV36" s="2433"/>
      <c r="GW36" s="2433"/>
      <c r="GX36" s="2433"/>
      <c r="GY36" s="2433"/>
      <c r="GZ36" s="2433"/>
      <c r="HA36" s="2433"/>
      <c r="HB36" s="2433"/>
      <c r="HC36" s="2433"/>
      <c r="HD36" s="2433"/>
      <c r="HE36" s="2433"/>
      <c r="HF36" s="2433"/>
      <c r="HG36" s="2433"/>
      <c r="HH36" s="2433"/>
      <c r="HI36" s="2433"/>
      <c r="HJ36" s="2433"/>
      <c r="HK36" s="2433"/>
      <c r="HL36" s="2433"/>
      <c r="HM36" s="2433"/>
      <c r="HN36" s="2433"/>
      <c r="HO36" s="2433"/>
      <c r="HP36" s="2433"/>
      <c r="HQ36" s="2433"/>
      <c r="HR36" s="2433"/>
      <c r="HS36" s="2433"/>
      <c r="HT36" s="2433"/>
      <c r="HU36" s="2433"/>
      <c r="HV36" s="2433"/>
      <c r="HW36" s="2433"/>
      <c r="HX36" s="2433"/>
      <c r="HY36" s="2433"/>
      <c r="HZ36" s="2433"/>
      <c r="IA36" s="2433"/>
      <c r="IB36" s="2432">
        <f>(IB33+IB34+IB35)*BR_rate</f>
        <v>200</v>
      </c>
      <c r="IC36" s="2433"/>
      <c r="ID36" s="2433"/>
      <c r="IE36" s="2433"/>
      <c r="IF36" s="2433"/>
      <c r="IG36" s="2433"/>
      <c r="IH36" s="2433"/>
      <c r="II36" s="2433"/>
      <c r="IJ36" s="2432">
        <f>(IJ33+IJ34+IJ35)*BR_rate</f>
        <v>2000</v>
      </c>
      <c r="IK36" s="2432">
        <f>(IK33+IK34+IK35)*BR_rate</f>
        <v>3000</v>
      </c>
      <c r="IL36" s="2432">
        <f>(IL33+IL34+IL35)*BR_rate</f>
        <v>2000</v>
      </c>
      <c r="IM36" s="2433"/>
      <c r="IN36" s="2433"/>
      <c r="IO36" s="2432">
        <v>0</v>
      </c>
      <c r="IP36" s="2433"/>
      <c r="IQ36" s="2433"/>
      <c r="IR36" s="2433"/>
      <c r="IS36" s="2433"/>
      <c r="IT36" s="2433"/>
      <c r="IU36" s="2433"/>
      <c r="IV36" s="2433"/>
      <c r="IW36" s="2433"/>
      <c r="IX36" s="2433"/>
      <c r="IY36" s="2433"/>
      <c r="IZ36" s="2433"/>
      <c r="JA36" s="3757"/>
      <c r="JB36" s="3757"/>
      <c r="JC36" s="3757"/>
      <c r="JD36" s="3757"/>
      <c r="JE36" s="3757"/>
      <c r="JF36" s="3757"/>
      <c r="JG36" s="3698"/>
      <c r="JH36" s="1233"/>
      <c r="JI36" s="1393"/>
    </row>
    <row r="37" spans="1:269" x14ac:dyDescent="0.2">
      <c r="A37" s="1128">
        <v>6</v>
      </c>
      <c r="B37" s="1379" t="str">
        <f si="4" t="shared"/>
        <v/>
      </c>
      <c r="C37" s="1136" t="s">
        <v>1444</v>
      </c>
      <c r="D37" s="1376" t="s">
        <v>4887</v>
      </c>
      <c r="E37" s="2434"/>
      <c r="F37" s="2435"/>
      <c r="G37" s="2434"/>
      <c r="H37" s="2434"/>
      <c r="I37" s="2434"/>
      <c r="J37" s="2434"/>
      <c r="K37" s="2434"/>
      <c r="L37" s="2436"/>
      <c r="M37" s="2436"/>
      <c r="N37" s="2436"/>
      <c r="O37" s="2436"/>
      <c r="P37" s="2436"/>
      <c r="Q37" s="2436"/>
      <c r="R37" s="2436"/>
      <c r="S37" s="2436"/>
      <c r="T37" s="2436"/>
      <c r="U37" s="2436"/>
      <c r="V37" s="2436"/>
      <c r="W37" s="2436"/>
      <c r="X37" s="2436"/>
      <c r="Y37" s="2436"/>
      <c r="Z37" s="2436"/>
      <c r="AA37" s="2436"/>
      <c r="AB37" s="2436"/>
      <c r="AC37" s="2436"/>
      <c r="AD37" s="2436"/>
      <c r="AE37" s="2436"/>
      <c r="AF37" s="2436"/>
      <c r="AG37" s="2436"/>
      <c r="AH37" s="2436"/>
      <c r="AI37" s="2436"/>
      <c r="AJ37" s="2436"/>
      <c r="AK37" s="2436"/>
      <c r="AL37" s="2436"/>
      <c r="AM37" s="2436"/>
      <c r="AN37" s="2436"/>
      <c r="AO37" s="2436"/>
      <c r="AP37" s="2434"/>
      <c r="AQ37" s="2436"/>
      <c r="AR37" s="2436"/>
      <c r="AS37" s="2436"/>
      <c r="AT37" s="2436"/>
      <c r="AU37" s="2436"/>
      <c r="AV37" s="2436"/>
      <c r="AW37" s="2436"/>
      <c r="AX37" s="2436"/>
      <c r="AY37" s="2436"/>
      <c r="AZ37" s="2436"/>
      <c r="BA37" s="2436"/>
      <c r="BB37" s="2436"/>
      <c r="BC37" s="2436"/>
      <c r="BD37" s="2434"/>
      <c r="BE37" s="3864"/>
      <c r="BF37" s="2436"/>
      <c r="BG37" s="2436"/>
      <c r="BH37" s="2436"/>
      <c r="BI37" s="2436"/>
      <c r="BJ37" s="2436"/>
      <c r="BK37" s="2436"/>
      <c r="BL37" s="2436"/>
      <c r="BM37" s="2436"/>
      <c r="BN37" s="2436"/>
      <c r="BO37" s="2436"/>
      <c r="BP37" s="2436"/>
      <c r="BQ37" s="2436"/>
      <c r="BR37" s="2436"/>
      <c r="BS37" s="2436"/>
      <c r="BT37" s="2436"/>
      <c r="BU37" s="2436"/>
      <c r="BV37" s="2436"/>
      <c r="BW37" s="2436"/>
      <c r="BX37" s="2436"/>
      <c r="BY37" s="2436"/>
      <c r="BZ37" s="2436"/>
      <c r="CA37" s="2436"/>
      <c r="CB37" s="2436"/>
      <c r="CC37" s="2436"/>
      <c r="CD37" s="2436"/>
      <c r="CE37" s="2436"/>
      <c r="CF37" s="2436"/>
      <c r="CG37" s="2436"/>
      <c r="CH37" s="2436"/>
      <c r="CI37" s="2436"/>
      <c r="CJ37" s="2436"/>
      <c r="CK37" s="2436"/>
      <c r="CL37" s="2436"/>
      <c r="CM37" s="2436"/>
      <c r="CN37" s="2436"/>
      <c r="CO37" s="2436"/>
      <c r="CP37" s="2436"/>
      <c r="CQ37" s="2436"/>
      <c r="CR37" s="2436"/>
      <c r="CS37" s="2436"/>
      <c r="CT37" s="2436"/>
      <c r="CU37" s="2436"/>
      <c r="CV37" s="2436"/>
      <c r="CW37" s="2436"/>
      <c r="CX37" s="2436"/>
      <c r="CY37" s="2436"/>
      <c r="CZ37" s="2436"/>
      <c r="DA37" s="2436"/>
      <c r="DB37" s="2436"/>
      <c r="DC37" s="2436"/>
      <c r="DD37" s="2436"/>
      <c r="DE37" s="2436"/>
      <c r="DF37" s="2434"/>
      <c r="DG37" s="2436"/>
      <c r="DH37" s="2436"/>
      <c r="DI37" s="2436"/>
      <c r="DJ37" s="2436"/>
      <c r="DK37" s="2436"/>
      <c r="DL37" s="2435"/>
      <c r="DM37" s="2436"/>
      <c r="DN37" s="2436"/>
      <c r="DO37" s="2436"/>
      <c r="DP37" s="2435"/>
      <c r="DQ37" s="2436"/>
      <c r="DR37" s="2436"/>
      <c r="DS37" s="2436"/>
      <c r="DT37" s="2436"/>
      <c r="DU37" s="2436"/>
      <c r="DV37" s="2436"/>
      <c r="DW37" s="2436"/>
      <c r="DX37" s="2436"/>
      <c r="DY37" s="2436"/>
      <c r="DZ37" s="2436"/>
      <c r="EA37" s="2436"/>
      <c r="EB37" s="2436"/>
      <c r="EC37" s="2436"/>
      <c r="ED37" s="2436"/>
      <c r="EE37" s="2436"/>
      <c r="EF37" s="2436"/>
      <c r="EG37" s="2436"/>
      <c r="EH37" s="2436"/>
      <c r="EI37" s="2436"/>
      <c r="EJ37" s="2436"/>
      <c r="EK37" s="2436"/>
      <c r="EL37" s="2436"/>
      <c r="EM37" s="2436"/>
      <c r="EN37" s="2436"/>
      <c r="EO37" s="2436"/>
      <c r="EP37" s="2436"/>
      <c r="EQ37" s="2436"/>
      <c r="ER37" s="2436"/>
      <c r="ES37" s="2436"/>
      <c r="ET37" s="2436"/>
      <c r="EU37" s="2436"/>
      <c r="EV37" s="2436"/>
      <c r="EW37" s="2436"/>
      <c r="EX37" s="2436"/>
      <c r="EY37" s="2436"/>
      <c r="EZ37" s="2436"/>
      <c r="FA37" s="2434"/>
      <c r="FB37" s="2436"/>
      <c r="FC37" s="2436"/>
      <c r="FD37" s="2436"/>
      <c r="FE37" s="2436"/>
      <c r="FF37" s="2436"/>
      <c r="FG37" s="2436"/>
      <c r="FH37" s="2436"/>
      <c r="FI37" s="2436"/>
      <c r="FJ37" s="2436"/>
      <c r="FK37" s="2436"/>
      <c r="FL37" s="2436"/>
      <c r="FM37" s="2436"/>
      <c r="FN37" s="2436"/>
      <c r="FO37" s="2436"/>
      <c r="FP37" s="2436"/>
      <c r="FQ37" s="2436"/>
      <c r="FR37" s="2434"/>
      <c r="FS37" s="2436"/>
      <c r="FT37" s="2436"/>
      <c r="FU37" s="2436"/>
      <c r="FV37" s="2436"/>
      <c r="FW37" s="2436"/>
      <c r="FX37" s="2436"/>
      <c r="FY37" s="2436"/>
      <c r="FZ37" s="2436"/>
      <c r="GA37" s="2436"/>
      <c r="GB37" s="2436"/>
      <c r="GC37" s="2436"/>
      <c r="GD37" s="2436"/>
      <c r="GE37" s="2436"/>
      <c r="GF37" s="2436"/>
      <c r="GG37" s="2436"/>
      <c r="GH37" s="2436"/>
      <c r="GI37" s="2436"/>
      <c r="GJ37" s="2436"/>
      <c r="GK37" s="2436"/>
      <c r="GL37" s="2436"/>
      <c r="GM37" s="2436"/>
      <c r="GN37" s="2436"/>
      <c r="GO37" s="2436"/>
      <c r="GP37" s="2436"/>
      <c r="GQ37" s="2436"/>
      <c r="GR37" s="2436"/>
      <c r="GS37" s="2436"/>
      <c r="GT37" s="2436"/>
      <c r="GU37" s="2436"/>
      <c r="GV37" s="2436"/>
      <c r="GW37" s="2436"/>
      <c r="GX37" s="2436"/>
      <c r="GY37" s="2436"/>
      <c r="GZ37" s="2436"/>
      <c r="HA37" s="2436"/>
      <c r="HB37" s="2436"/>
      <c r="HC37" s="2436"/>
      <c r="HD37" s="2436"/>
      <c r="HE37" s="2436"/>
      <c r="HF37" s="2436"/>
      <c r="HG37" s="2436"/>
      <c r="HH37" s="2436"/>
      <c r="HI37" s="2436"/>
      <c r="HJ37" s="2436"/>
      <c r="HK37" s="2436"/>
      <c r="HL37" s="2436"/>
      <c r="HM37" s="2436"/>
      <c r="HN37" s="2436"/>
      <c r="HO37" s="2436"/>
      <c r="HP37" s="2436"/>
      <c r="HQ37" s="2436"/>
      <c r="HR37" s="2436"/>
      <c r="HS37" s="2436"/>
      <c r="HT37" s="2436"/>
      <c r="HU37" s="2436"/>
      <c r="HV37" s="2436"/>
      <c r="HW37" s="2436"/>
      <c r="HX37" s="2436"/>
      <c r="HY37" s="2436"/>
      <c r="HZ37" s="2436"/>
      <c r="IA37" s="2436"/>
      <c r="IB37" s="2434"/>
      <c r="IC37" s="2436"/>
      <c r="ID37" s="2436"/>
      <c r="IE37" s="2436"/>
      <c r="IF37" s="2436"/>
      <c r="IG37" s="2436"/>
      <c r="IH37" s="2436"/>
      <c r="II37" s="2436"/>
      <c r="IJ37" s="2434"/>
      <c r="IK37" s="2434"/>
      <c r="IL37" s="2434"/>
      <c r="IM37" s="2436"/>
      <c r="IN37" s="2436"/>
      <c r="IO37" s="2434"/>
      <c r="IP37" s="2436"/>
      <c r="IQ37" s="2436"/>
      <c r="IR37" s="2436"/>
      <c r="IS37" s="2436"/>
      <c r="IT37" s="2436"/>
      <c r="IU37" s="2436"/>
      <c r="IV37" s="2436"/>
      <c r="IW37" s="2436"/>
      <c r="IX37" s="2436"/>
      <c r="IY37" s="2436"/>
      <c r="IZ37" s="2436"/>
      <c r="JA37" s="3758"/>
      <c r="JB37" s="3758"/>
      <c r="JC37" s="3758"/>
      <c r="JD37" s="3758"/>
      <c r="JE37" s="3758"/>
      <c r="JF37" s="3758"/>
      <c r="JG37" s="3699"/>
      <c r="JH37" s="1233"/>
      <c r="JI37" s="1393" t="s">
        <v>5412</v>
      </c>
    </row>
    <row r="38" spans="1:269" x14ac:dyDescent="0.2">
      <c r="A38" s="1128">
        <v>7</v>
      </c>
      <c r="B38" s="1379" t="str">
        <f si="4" t="shared"/>
        <v/>
      </c>
      <c r="C38" s="1136" t="s">
        <v>1445</v>
      </c>
      <c r="D38" s="1376" t="s">
        <v>4888</v>
      </c>
      <c r="E38" s="2437"/>
      <c r="F38" s="2438"/>
      <c r="G38" s="2437"/>
      <c r="H38" s="2437"/>
      <c r="I38" s="2437"/>
      <c r="J38" s="2437"/>
      <c r="K38" s="2437"/>
      <c r="L38" s="2439"/>
      <c r="M38" s="2439"/>
      <c r="N38" s="2439"/>
      <c r="O38" s="2439"/>
      <c r="P38" s="2439"/>
      <c r="Q38" s="2439"/>
      <c r="R38" s="2439"/>
      <c r="S38" s="2439"/>
      <c r="T38" s="2439"/>
      <c r="U38" s="2439"/>
      <c r="V38" s="2439"/>
      <c r="W38" s="2439"/>
      <c r="X38" s="2439"/>
      <c r="Y38" s="2439"/>
      <c r="Z38" s="2439"/>
      <c r="AA38" s="2439"/>
      <c r="AB38" s="2439"/>
      <c r="AC38" s="2439"/>
      <c r="AD38" s="2439"/>
      <c r="AE38" s="2439"/>
      <c r="AF38" s="2439"/>
      <c r="AG38" s="2439"/>
      <c r="AH38" s="2439"/>
      <c r="AI38" s="2439"/>
      <c r="AJ38" s="2439"/>
      <c r="AK38" s="2439"/>
      <c r="AL38" s="2439"/>
      <c r="AM38" s="2439"/>
      <c r="AN38" s="2439"/>
      <c r="AO38" s="2439"/>
      <c r="AP38" s="2437"/>
      <c r="AQ38" s="2439"/>
      <c r="AR38" s="2439"/>
      <c r="AS38" s="2439"/>
      <c r="AT38" s="2439"/>
      <c r="AU38" s="2439"/>
      <c r="AV38" s="2439"/>
      <c r="AW38" s="2439"/>
      <c r="AX38" s="2439"/>
      <c r="AY38" s="2439"/>
      <c r="AZ38" s="2439"/>
      <c r="BA38" s="2439"/>
      <c r="BB38" s="2439"/>
      <c r="BC38" s="2439"/>
      <c r="BD38" s="2437"/>
      <c r="BE38" s="3865"/>
      <c r="BF38" s="2439"/>
      <c r="BG38" s="2439"/>
      <c r="BH38" s="2439"/>
      <c r="BI38" s="2439"/>
      <c r="BJ38" s="2439"/>
      <c r="BK38" s="2439"/>
      <c r="BL38" s="2439"/>
      <c r="BM38" s="2439"/>
      <c r="BN38" s="2439"/>
      <c r="BO38" s="2439"/>
      <c r="BP38" s="2439"/>
      <c r="BQ38" s="2439"/>
      <c r="BR38" s="2439"/>
      <c r="BS38" s="2439"/>
      <c r="BT38" s="2439"/>
      <c r="BU38" s="2439"/>
      <c r="BV38" s="2439"/>
      <c r="BW38" s="2439"/>
      <c r="BX38" s="2439"/>
      <c r="BY38" s="2439"/>
      <c r="BZ38" s="2439"/>
      <c r="CA38" s="2439"/>
      <c r="CB38" s="2439"/>
      <c r="CC38" s="2439"/>
      <c r="CD38" s="2439"/>
      <c r="CE38" s="2439"/>
      <c r="CF38" s="2439"/>
      <c r="CG38" s="2439"/>
      <c r="CH38" s="2439"/>
      <c r="CI38" s="2439"/>
      <c r="CJ38" s="2439"/>
      <c r="CK38" s="2439"/>
      <c r="CL38" s="2439"/>
      <c r="CM38" s="2439"/>
      <c r="CN38" s="2439"/>
      <c r="CO38" s="2439"/>
      <c r="CP38" s="2439"/>
      <c r="CQ38" s="2439"/>
      <c r="CR38" s="2439"/>
      <c r="CS38" s="2439"/>
      <c r="CT38" s="2439"/>
      <c r="CU38" s="2439"/>
      <c r="CV38" s="2439"/>
      <c r="CW38" s="2439"/>
      <c r="CX38" s="2439"/>
      <c r="CY38" s="2439"/>
      <c r="CZ38" s="2439"/>
      <c r="DA38" s="2439"/>
      <c r="DB38" s="2439"/>
      <c r="DC38" s="2439"/>
      <c r="DD38" s="2439"/>
      <c r="DE38" s="2439"/>
      <c r="DF38" s="2437"/>
      <c r="DG38" s="2439"/>
      <c r="DH38" s="2439"/>
      <c r="DI38" s="2439"/>
      <c r="DJ38" s="2439"/>
      <c r="DK38" s="2439"/>
      <c r="DL38" s="2438">
        <v>300</v>
      </c>
      <c r="DM38" s="2439"/>
      <c r="DN38" s="2439"/>
      <c r="DO38" s="2439"/>
      <c r="DP38" s="2438">
        <v>300</v>
      </c>
      <c r="DQ38" s="2439"/>
      <c r="DR38" s="2439"/>
      <c r="DS38" s="2439"/>
      <c r="DT38" s="2439"/>
      <c r="DU38" s="2439"/>
      <c r="DV38" s="2439"/>
      <c r="DW38" s="2439"/>
      <c r="DX38" s="2439"/>
      <c r="DY38" s="2439"/>
      <c r="DZ38" s="2439"/>
      <c r="EA38" s="2439"/>
      <c r="EB38" s="2439"/>
      <c r="EC38" s="2439"/>
      <c r="ED38" s="2439"/>
      <c r="EE38" s="2439"/>
      <c r="EF38" s="2439"/>
      <c r="EG38" s="2439"/>
      <c r="EH38" s="2439"/>
      <c r="EI38" s="2439"/>
      <c r="EJ38" s="2439"/>
      <c r="EK38" s="2439"/>
      <c r="EL38" s="2439"/>
      <c r="EM38" s="2439"/>
      <c r="EN38" s="2439"/>
      <c r="EO38" s="2439"/>
      <c r="EP38" s="2439"/>
      <c r="EQ38" s="2439"/>
      <c r="ER38" s="2439"/>
      <c r="ES38" s="2439"/>
      <c r="ET38" s="2439"/>
      <c r="EU38" s="2439"/>
      <c r="EV38" s="2439"/>
      <c r="EW38" s="2439"/>
      <c r="EX38" s="2439"/>
      <c r="EY38" s="2439"/>
      <c r="EZ38" s="2439"/>
      <c r="FA38" s="2437"/>
      <c r="FB38" s="2439"/>
      <c r="FC38" s="2439"/>
      <c r="FD38" s="2439"/>
      <c r="FE38" s="2439"/>
      <c r="FF38" s="2439"/>
      <c r="FG38" s="2439"/>
      <c r="FH38" s="2439"/>
      <c r="FI38" s="2439"/>
      <c r="FJ38" s="2439"/>
      <c r="FK38" s="2439"/>
      <c r="FL38" s="2439"/>
      <c r="FM38" s="2439"/>
      <c r="FN38" s="2439"/>
      <c r="FO38" s="2439"/>
      <c r="FP38" s="2439"/>
      <c r="FQ38" s="2439"/>
      <c r="FR38" s="2437"/>
      <c r="FS38" s="2439"/>
      <c r="FT38" s="2439"/>
      <c r="FU38" s="2439"/>
      <c r="FV38" s="2439"/>
      <c r="FW38" s="2439"/>
      <c r="FX38" s="2439"/>
      <c r="FY38" s="2439"/>
      <c r="FZ38" s="2439"/>
      <c r="GA38" s="2439"/>
      <c r="GB38" s="2439"/>
      <c r="GC38" s="2439"/>
      <c r="GD38" s="2439"/>
      <c r="GE38" s="2439"/>
      <c r="GF38" s="2439"/>
      <c r="GG38" s="2439"/>
      <c r="GH38" s="2439"/>
      <c r="GI38" s="2439"/>
      <c r="GJ38" s="2439"/>
      <c r="GK38" s="2439"/>
      <c r="GL38" s="2439"/>
      <c r="GM38" s="2439"/>
      <c r="GN38" s="2439"/>
      <c r="GO38" s="2439"/>
      <c r="GP38" s="2439"/>
      <c r="GQ38" s="2439"/>
      <c r="GR38" s="2439"/>
      <c r="GS38" s="2439"/>
      <c r="GT38" s="2439"/>
      <c r="GU38" s="2439"/>
      <c r="GV38" s="2439"/>
      <c r="GW38" s="2439"/>
      <c r="GX38" s="2439"/>
      <c r="GY38" s="2439"/>
      <c r="GZ38" s="2439"/>
      <c r="HA38" s="2439"/>
      <c r="HB38" s="2439"/>
      <c r="HC38" s="2439"/>
      <c r="HD38" s="2439"/>
      <c r="HE38" s="2439"/>
      <c r="HF38" s="2439"/>
      <c r="HG38" s="2439"/>
      <c r="HH38" s="2439"/>
      <c r="HI38" s="2439"/>
      <c r="HJ38" s="2439"/>
      <c r="HK38" s="2439"/>
      <c r="HL38" s="2439"/>
      <c r="HM38" s="2439"/>
      <c r="HN38" s="2439"/>
      <c r="HO38" s="2439"/>
      <c r="HP38" s="2439"/>
      <c r="HQ38" s="2439"/>
      <c r="HR38" s="2439"/>
      <c r="HS38" s="2439"/>
      <c r="HT38" s="2439"/>
      <c r="HU38" s="2439"/>
      <c r="HV38" s="2439"/>
      <c r="HW38" s="2439"/>
      <c r="HX38" s="2439"/>
      <c r="HY38" s="2439"/>
      <c r="HZ38" s="2439"/>
      <c r="IA38" s="2439"/>
      <c r="IB38" s="2437"/>
      <c r="IC38" s="2439"/>
      <c r="ID38" s="2439"/>
      <c r="IE38" s="2439"/>
      <c r="IF38" s="2439"/>
      <c r="IG38" s="2439"/>
      <c r="IH38" s="2439"/>
      <c r="II38" s="2439"/>
      <c r="IJ38" s="2437"/>
      <c r="IK38" s="2437"/>
      <c r="IL38" s="2437"/>
      <c r="IM38" s="2439"/>
      <c r="IN38" s="2439"/>
      <c r="IO38" s="2437"/>
      <c r="IP38" s="2439"/>
      <c r="IQ38" s="2439"/>
      <c r="IR38" s="2439"/>
      <c r="IS38" s="2439"/>
      <c r="IT38" s="2439"/>
      <c r="IU38" s="2439"/>
      <c r="IV38" s="2439"/>
      <c r="IW38" s="2439"/>
      <c r="IX38" s="2439"/>
      <c r="IY38" s="2439"/>
      <c r="IZ38" s="2439"/>
      <c r="JA38" s="3759"/>
      <c r="JB38" s="3759"/>
      <c r="JC38" s="3759"/>
      <c r="JD38" s="3759"/>
      <c r="JE38" s="3759"/>
      <c r="JF38" s="3759"/>
      <c r="JG38" s="3700"/>
      <c r="JH38" s="1233"/>
      <c r="JI38" s="1393"/>
    </row>
    <row r="39" spans="1:269" x14ac:dyDescent="0.2">
      <c r="A39" s="1128">
        <v>8</v>
      </c>
      <c r="B39" s="1379" t="str">
        <f si="4" t="shared"/>
        <v/>
      </c>
      <c r="C39" s="1136" t="s">
        <v>1446</v>
      </c>
      <c r="D39" s="1376" t="s">
        <v>4889</v>
      </c>
      <c r="E39" s="2434"/>
      <c r="F39" s="2435"/>
      <c r="G39" s="2440"/>
      <c r="H39" s="2440"/>
      <c r="I39" s="2440"/>
      <c r="J39" s="2440"/>
      <c r="K39" s="2440"/>
      <c r="L39" s="2436"/>
      <c r="M39" s="2436"/>
      <c r="N39" s="2436"/>
      <c r="O39" s="2436"/>
      <c r="P39" s="2436"/>
      <c r="Q39" s="2436"/>
      <c r="R39" s="2436"/>
      <c r="S39" s="2436"/>
      <c r="T39" s="2436"/>
      <c r="U39" s="2436"/>
      <c r="V39" s="2436"/>
      <c r="W39" s="2436"/>
      <c r="X39" s="2436"/>
      <c r="Y39" s="2436"/>
      <c r="Z39" s="2436"/>
      <c r="AA39" s="2436"/>
      <c r="AB39" s="2436"/>
      <c r="AC39" s="2436"/>
      <c r="AD39" s="2436"/>
      <c r="AE39" s="2436"/>
      <c r="AF39" s="2436"/>
      <c r="AG39" s="2436"/>
      <c r="AH39" s="2436"/>
      <c r="AI39" s="2436"/>
      <c r="AJ39" s="2436"/>
      <c r="AK39" s="2436"/>
      <c r="AL39" s="2436"/>
      <c r="AM39" s="2436"/>
      <c r="AN39" s="2436"/>
      <c r="AO39" s="2436"/>
      <c r="AP39" s="2434"/>
      <c r="AQ39" s="2436"/>
      <c r="AR39" s="2436"/>
      <c r="AS39" s="2436"/>
      <c r="AT39" s="2436"/>
      <c r="AU39" s="2436"/>
      <c r="AV39" s="2436"/>
      <c r="AW39" s="2436"/>
      <c r="AX39" s="2436"/>
      <c r="AY39" s="2436"/>
      <c r="AZ39" s="2436"/>
      <c r="BA39" s="2436"/>
      <c r="BB39" s="2436"/>
      <c r="BC39" s="2436"/>
      <c r="BD39" s="2440">
        <v>7560</v>
      </c>
      <c r="BE39" s="3864"/>
      <c r="BF39" s="2436"/>
      <c r="BG39" s="2436"/>
      <c r="BH39" s="2436"/>
      <c r="BI39" s="2436"/>
      <c r="BJ39" s="2436"/>
      <c r="BK39" s="2436"/>
      <c r="BL39" s="2436"/>
      <c r="BM39" s="2436"/>
      <c r="BN39" s="2436"/>
      <c r="BO39" s="2436"/>
      <c r="BP39" s="2436"/>
      <c r="BQ39" s="2436"/>
      <c r="BR39" s="2436"/>
      <c r="BS39" s="2436"/>
      <c r="BT39" s="2436"/>
      <c r="BU39" s="2436"/>
      <c r="BV39" s="2436"/>
      <c r="BW39" s="2436"/>
      <c r="BX39" s="2436"/>
      <c r="BY39" s="2436"/>
      <c r="BZ39" s="2436"/>
      <c r="CA39" s="2436"/>
      <c r="CB39" s="2436"/>
      <c r="CC39" s="2436"/>
      <c r="CD39" s="2436"/>
      <c r="CE39" s="2436"/>
      <c r="CF39" s="2436"/>
      <c r="CG39" s="2436"/>
      <c r="CH39" s="2436"/>
      <c r="CI39" s="2436"/>
      <c r="CJ39" s="2436"/>
      <c r="CK39" s="2436"/>
      <c r="CL39" s="2436"/>
      <c r="CM39" s="2436"/>
      <c r="CN39" s="2436"/>
      <c r="CO39" s="2436"/>
      <c r="CP39" s="2436"/>
      <c r="CQ39" s="2436"/>
      <c r="CR39" s="2436"/>
      <c r="CS39" s="2436"/>
      <c r="CT39" s="2436"/>
      <c r="CU39" s="2436"/>
      <c r="CV39" s="2436"/>
      <c r="CW39" s="2436"/>
      <c r="CX39" s="2436"/>
      <c r="CY39" s="2436"/>
      <c r="CZ39" s="2436"/>
      <c r="DA39" s="2436"/>
      <c r="DB39" s="2436"/>
      <c r="DC39" s="2436"/>
      <c r="DD39" s="2436"/>
      <c r="DE39" s="2436"/>
      <c r="DF39" s="2440">
        <v>7560</v>
      </c>
      <c r="DG39" s="2436"/>
      <c r="DH39" s="2436"/>
      <c r="DI39" s="2436"/>
      <c r="DJ39" s="2436"/>
      <c r="DK39" s="2436"/>
      <c r="DL39" s="2435"/>
      <c r="DM39" s="2436"/>
      <c r="DN39" s="2436"/>
      <c r="DO39" s="2436"/>
      <c r="DP39" s="2435"/>
      <c r="DQ39" s="2436"/>
      <c r="DR39" s="2436"/>
      <c r="DS39" s="2436"/>
      <c r="DT39" s="2436"/>
      <c r="DU39" s="2436"/>
      <c r="DV39" s="2436"/>
      <c r="DW39" s="2436"/>
      <c r="DX39" s="2436"/>
      <c r="DY39" s="2436"/>
      <c r="DZ39" s="2436"/>
      <c r="EA39" s="2436"/>
      <c r="EB39" s="2436"/>
      <c r="EC39" s="2436"/>
      <c r="ED39" s="2436"/>
      <c r="EE39" s="2436"/>
      <c r="EF39" s="2436"/>
      <c r="EG39" s="2436"/>
      <c r="EH39" s="2436"/>
      <c r="EI39" s="2436"/>
      <c r="EJ39" s="2436"/>
      <c r="EK39" s="2436"/>
      <c r="EL39" s="2436"/>
      <c r="EM39" s="2436"/>
      <c r="EN39" s="2436"/>
      <c r="EO39" s="2436"/>
      <c r="EP39" s="2436"/>
      <c r="EQ39" s="2436"/>
      <c r="ER39" s="2436"/>
      <c r="ES39" s="2436"/>
      <c r="ET39" s="2436"/>
      <c r="EU39" s="2436"/>
      <c r="EV39" s="2436"/>
      <c r="EW39" s="2436"/>
      <c r="EX39" s="2436"/>
      <c r="EY39" s="2436"/>
      <c r="EZ39" s="2436"/>
      <c r="FA39" s="2440">
        <v>7560</v>
      </c>
      <c r="FB39" s="2436"/>
      <c r="FC39" s="2436"/>
      <c r="FD39" s="2436"/>
      <c r="FE39" s="2436"/>
      <c r="FF39" s="2436"/>
      <c r="FG39" s="2436"/>
      <c r="FH39" s="2436"/>
      <c r="FI39" s="2436"/>
      <c r="FJ39" s="2436"/>
      <c r="FK39" s="2436"/>
      <c r="FL39" s="2436"/>
      <c r="FM39" s="2436"/>
      <c r="FN39" s="2436"/>
      <c r="FO39" s="2436"/>
      <c r="FP39" s="2436"/>
      <c r="FQ39" s="2436"/>
      <c r="FR39" s="2440">
        <v>7560</v>
      </c>
      <c r="FS39" s="2436"/>
      <c r="FT39" s="2436"/>
      <c r="FU39" s="2436"/>
      <c r="FV39" s="2436"/>
      <c r="FW39" s="2436"/>
      <c r="FX39" s="2436"/>
      <c r="FY39" s="2436"/>
      <c r="FZ39" s="2436"/>
      <c r="GA39" s="2436"/>
      <c r="GB39" s="2436"/>
      <c r="GC39" s="2436"/>
      <c r="GD39" s="2436"/>
      <c r="GE39" s="2436"/>
      <c r="GF39" s="2436"/>
      <c r="GG39" s="2436"/>
      <c r="GH39" s="2436"/>
      <c r="GI39" s="2436"/>
      <c r="GJ39" s="2436"/>
      <c r="GK39" s="2436"/>
      <c r="GL39" s="2436"/>
      <c r="GM39" s="2436"/>
      <c r="GN39" s="2436"/>
      <c r="GO39" s="2436"/>
      <c r="GP39" s="2436"/>
      <c r="GQ39" s="2436"/>
      <c r="GR39" s="2436"/>
      <c r="GS39" s="2436"/>
      <c r="GT39" s="2436"/>
      <c r="GU39" s="2436"/>
      <c r="GV39" s="2436"/>
      <c r="GW39" s="2436"/>
      <c r="GX39" s="2436"/>
      <c r="GY39" s="2436"/>
      <c r="GZ39" s="2436"/>
      <c r="HA39" s="2436"/>
      <c r="HB39" s="2436"/>
      <c r="HC39" s="2436"/>
      <c r="HD39" s="2436"/>
      <c r="HE39" s="2436"/>
      <c r="HF39" s="2436"/>
      <c r="HG39" s="2436"/>
      <c r="HH39" s="2436"/>
      <c r="HI39" s="2436"/>
      <c r="HJ39" s="2436"/>
      <c r="HK39" s="2436"/>
      <c r="HL39" s="2436"/>
      <c r="HM39" s="2436"/>
      <c r="HN39" s="2436"/>
      <c r="HO39" s="2436"/>
      <c r="HP39" s="2436"/>
      <c r="HQ39" s="2436"/>
      <c r="HR39" s="2436"/>
      <c r="HS39" s="2436"/>
      <c r="HT39" s="2436"/>
      <c r="HU39" s="2436"/>
      <c r="HV39" s="2436"/>
      <c r="HW39" s="2436"/>
      <c r="HX39" s="2436"/>
      <c r="HY39" s="2436"/>
      <c r="HZ39" s="2436"/>
      <c r="IA39" s="2436"/>
      <c r="IB39" s="2440"/>
      <c r="IC39" s="2436"/>
      <c r="ID39" s="2436"/>
      <c r="IE39" s="2436"/>
      <c r="IF39" s="2436"/>
      <c r="IG39" s="2436"/>
      <c r="IH39" s="2436"/>
      <c r="II39" s="2436"/>
      <c r="IJ39" s="2440"/>
      <c r="IK39" s="2440"/>
      <c r="IL39" s="2440"/>
      <c r="IM39" s="2436"/>
      <c r="IN39" s="2436"/>
      <c r="IO39" s="2440"/>
      <c r="IP39" s="2436"/>
      <c r="IQ39" s="2436"/>
      <c r="IR39" s="2436"/>
      <c r="IS39" s="2436"/>
      <c r="IT39" s="2436"/>
      <c r="IU39" s="2436"/>
      <c r="IV39" s="2436"/>
      <c r="IW39" s="2436"/>
      <c r="IX39" s="2436"/>
      <c r="IY39" s="2436"/>
      <c r="IZ39" s="2436"/>
      <c r="JA39" s="3758"/>
      <c r="JB39" s="3758"/>
      <c r="JC39" s="3758"/>
      <c r="JD39" s="3758"/>
      <c r="JE39" s="3758"/>
      <c r="JF39" s="3758"/>
      <c r="JG39" s="3699"/>
      <c r="JH39" s="1233"/>
      <c r="JI39" s="1393" t="s">
        <v>5413</v>
      </c>
    </row>
    <row ht="12.75" r="40" spans="1:269" thickBot="1" x14ac:dyDescent="0.25">
      <c r="A40" s="1128">
        <v>9</v>
      </c>
      <c r="B40" s="1379" t="str">
        <f si="4" t="shared"/>
        <v/>
      </c>
      <c r="C40" s="1137" t="s">
        <v>2085</v>
      </c>
      <c r="D40" s="1253" t="s">
        <v>4890</v>
      </c>
      <c r="E40" s="2071"/>
      <c r="F40" s="2441"/>
      <c r="G40" s="2071"/>
      <c r="H40" s="2071"/>
      <c r="I40" s="2071"/>
      <c r="J40" s="2071"/>
      <c r="K40" s="2071"/>
      <c r="L40" s="2442"/>
      <c r="M40" s="2442"/>
      <c r="N40" s="2442"/>
      <c r="O40" s="2442"/>
      <c r="P40" s="2442"/>
      <c r="Q40" s="2442"/>
      <c r="R40" s="2442"/>
      <c r="S40" s="2442"/>
      <c r="T40" s="2442"/>
      <c r="U40" s="2442"/>
      <c r="V40" s="2442"/>
      <c r="W40" s="2442"/>
      <c r="X40" s="2442"/>
      <c r="Y40" s="2442"/>
      <c r="Z40" s="2442"/>
      <c r="AA40" s="2442"/>
      <c r="AB40" s="2442"/>
      <c r="AC40" s="2442"/>
      <c r="AD40" s="2442"/>
      <c r="AE40" s="2442"/>
      <c r="AF40" s="2442"/>
      <c r="AG40" s="2442"/>
      <c r="AH40" s="2442"/>
      <c r="AI40" s="2442"/>
      <c r="AJ40" s="2442"/>
      <c r="AK40" s="2442"/>
      <c r="AL40" s="2442"/>
      <c r="AM40" s="2442"/>
      <c r="AN40" s="2442"/>
      <c r="AO40" s="2442"/>
      <c r="AP40" s="2071"/>
      <c r="AQ40" s="2442"/>
      <c r="AR40" s="2442"/>
      <c r="AS40" s="2442"/>
      <c r="AT40" s="2442"/>
      <c r="AU40" s="2442"/>
      <c r="AV40" s="2442"/>
      <c r="AW40" s="2442"/>
      <c r="AX40" s="2442"/>
      <c r="AY40" s="2442"/>
      <c r="AZ40" s="2442"/>
      <c r="BA40" s="2442"/>
      <c r="BB40" s="2442"/>
      <c r="BC40" s="2442"/>
      <c r="BD40" s="2071"/>
      <c r="BE40" s="3866"/>
      <c r="BF40" s="2442"/>
      <c r="BG40" s="2442"/>
      <c r="BH40" s="2442"/>
      <c r="BI40" s="2442"/>
      <c r="BJ40" s="2442"/>
      <c r="BK40" s="2442"/>
      <c r="BL40" s="2442"/>
      <c r="BM40" s="2442"/>
      <c r="BN40" s="2442"/>
      <c r="BO40" s="2442"/>
      <c r="BP40" s="2442"/>
      <c r="BQ40" s="2442"/>
      <c r="BR40" s="2442"/>
      <c r="BS40" s="2442"/>
      <c r="BT40" s="2442"/>
      <c r="BU40" s="2442"/>
      <c r="BV40" s="2442"/>
      <c r="BW40" s="2442"/>
      <c r="BX40" s="2442"/>
      <c r="BY40" s="2442"/>
      <c r="BZ40" s="2442"/>
      <c r="CA40" s="2442"/>
      <c r="CB40" s="2442"/>
      <c r="CC40" s="2442"/>
      <c r="CD40" s="2442"/>
      <c r="CE40" s="2442"/>
      <c r="CF40" s="2442"/>
      <c r="CG40" s="2442"/>
      <c r="CH40" s="2442"/>
      <c r="CI40" s="2442"/>
      <c r="CJ40" s="2442"/>
      <c r="CK40" s="2442"/>
      <c r="CL40" s="2442"/>
      <c r="CM40" s="2442"/>
      <c r="CN40" s="2442"/>
      <c r="CO40" s="2442"/>
      <c r="CP40" s="2442"/>
      <c r="CQ40" s="2442"/>
      <c r="CR40" s="2442"/>
      <c r="CS40" s="2442"/>
      <c r="CT40" s="2442"/>
      <c r="CU40" s="2442"/>
      <c r="CV40" s="2442"/>
      <c r="CW40" s="2442"/>
      <c r="CX40" s="2442"/>
      <c r="CY40" s="2442"/>
      <c r="CZ40" s="2442"/>
      <c r="DA40" s="2442"/>
      <c r="DB40" s="2442"/>
      <c r="DC40" s="2442"/>
      <c r="DD40" s="2442"/>
      <c r="DE40" s="2442"/>
      <c r="DF40" s="2071"/>
      <c r="DG40" s="2442"/>
      <c r="DH40" s="2442"/>
      <c r="DI40" s="2442"/>
      <c r="DJ40" s="2442"/>
      <c r="DK40" s="2442"/>
      <c r="DL40" s="2441"/>
      <c r="DM40" s="2442"/>
      <c r="DN40" s="2442"/>
      <c r="DO40" s="2442"/>
      <c r="DP40" s="2441"/>
      <c r="DQ40" s="2442"/>
      <c r="DR40" s="2442"/>
      <c r="DS40" s="2442"/>
      <c r="DT40" s="2442"/>
      <c r="DU40" s="2442"/>
      <c r="DV40" s="2442"/>
      <c r="DW40" s="2442"/>
      <c r="DX40" s="2442"/>
      <c r="DY40" s="2442"/>
      <c r="DZ40" s="2442"/>
      <c r="EA40" s="2442"/>
      <c r="EB40" s="2442"/>
      <c r="EC40" s="2442"/>
      <c r="ED40" s="2442"/>
      <c r="EE40" s="2442"/>
      <c r="EF40" s="2442"/>
      <c r="EG40" s="2442"/>
      <c r="EH40" s="2442"/>
      <c r="EI40" s="2442"/>
      <c r="EJ40" s="2442"/>
      <c r="EK40" s="2442"/>
      <c r="EL40" s="2442"/>
      <c r="EM40" s="2442"/>
      <c r="EN40" s="2442"/>
      <c r="EO40" s="2442"/>
      <c r="EP40" s="2442"/>
      <c r="EQ40" s="2442"/>
      <c r="ER40" s="2442"/>
      <c r="ES40" s="2442"/>
      <c r="ET40" s="2442"/>
      <c r="EU40" s="2442"/>
      <c r="EV40" s="2442"/>
      <c r="EW40" s="2442"/>
      <c r="EX40" s="2442"/>
      <c r="EY40" s="2442"/>
      <c r="EZ40" s="2442"/>
      <c r="FA40" s="2071"/>
      <c r="FB40" s="2442"/>
      <c r="FC40" s="2442"/>
      <c r="FD40" s="2442"/>
      <c r="FE40" s="2442"/>
      <c r="FF40" s="2442"/>
      <c r="FG40" s="2442"/>
      <c r="FH40" s="2442"/>
      <c r="FI40" s="2442"/>
      <c r="FJ40" s="2442"/>
      <c r="FK40" s="2442"/>
      <c r="FL40" s="2442"/>
      <c r="FM40" s="2442"/>
      <c r="FN40" s="2442"/>
      <c r="FO40" s="2442"/>
      <c r="FP40" s="2442"/>
      <c r="FQ40" s="2442"/>
      <c r="FR40" s="2071"/>
      <c r="FS40" s="2442"/>
      <c r="FT40" s="2442"/>
      <c r="FU40" s="2442"/>
      <c r="FV40" s="2442"/>
      <c r="FW40" s="2442"/>
      <c r="FX40" s="2442"/>
      <c r="FY40" s="2442"/>
      <c r="FZ40" s="2442"/>
      <c r="GA40" s="2442"/>
      <c r="GB40" s="2442"/>
      <c r="GC40" s="2442"/>
      <c r="GD40" s="2442"/>
      <c r="GE40" s="2442"/>
      <c r="GF40" s="2442"/>
      <c r="GG40" s="2442"/>
      <c r="GH40" s="2442"/>
      <c r="GI40" s="2442"/>
      <c r="GJ40" s="2442"/>
      <c r="GK40" s="2442"/>
      <c r="GL40" s="2442"/>
      <c r="GM40" s="2442"/>
      <c r="GN40" s="2442"/>
      <c r="GO40" s="2442"/>
      <c r="GP40" s="2442"/>
      <c r="GQ40" s="2442"/>
      <c r="GR40" s="2442"/>
      <c r="GS40" s="2442"/>
      <c r="GT40" s="2442"/>
      <c r="GU40" s="2442"/>
      <c r="GV40" s="2442"/>
      <c r="GW40" s="2442"/>
      <c r="GX40" s="2442"/>
      <c r="GY40" s="2442"/>
      <c r="GZ40" s="2442"/>
      <c r="HA40" s="2442"/>
      <c r="HB40" s="2442"/>
      <c r="HC40" s="2442"/>
      <c r="HD40" s="2442"/>
      <c r="HE40" s="2442"/>
      <c r="HF40" s="2442"/>
      <c r="HG40" s="2442"/>
      <c r="HH40" s="2442"/>
      <c r="HI40" s="2442"/>
      <c r="HJ40" s="2442"/>
      <c r="HK40" s="2442"/>
      <c r="HL40" s="2442"/>
      <c r="HM40" s="2442"/>
      <c r="HN40" s="2442"/>
      <c r="HO40" s="2442"/>
      <c r="HP40" s="2442"/>
      <c r="HQ40" s="2442"/>
      <c r="HR40" s="2442"/>
      <c r="HS40" s="2442"/>
      <c r="HT40" s="2442"/>
      <c r="HU40" s="2442"/>
      <c r="HV40" s="2442"/>
      <c r="HW40" s="2442"/>
      <c r="HX40" s="2442"/>
      <c r="HY40" s="2442"/>
      <c r="HZ40" s="2442"/>
      <c r="IA40" s="2442"/>
      <c r="IB40" s="2071"/>
      <c r="IC40" s="2442"/>
      <c r="ID40" s="2442"/>
      <c r="IE40" s="2442"/>
      <c r="IF40" s="2442"/>
      <c r="IG40" s="2442"/>
      <c r="IH40" s="2442"/>
      <c r="II40" s="2442"/>
      <c r="IJ40" s="2071"/>
      <c r="IK40" s="2071"/>
      <c r="IL40" s="2071"/>
      <c r="IM40" s="2442"/>
      <c r="IN40" s="2442"/>
      <c r="IO40" s="2071"/>
      <c r="IP40" s="2442"/>
      <c r="IQ40" s="2442"/>
      <c r="IR40" s="2442"/>
      <c r="IS40" s="2442"/>
      <c r="IT40" s="2442"/>
      <c r="IU40" s="2442"/>
      <c r="IV40" s="2442"/>
      <c r="IW40" s="2442"/>
      <c r="IX40" s="2442"/>
      <c r="IY40" s="2442"/>
      <c r="IZ40" s="2442"/>
      <c r="JA40" s="3760"/>
      <c r="JB40" s="3760"/>
      <c r="JC40" s="3760"/>
      <c r="JD40" s="3760"/>
      <c r="JE40" s="3760"/>
      <c r="JF40" s="3760"/>
      <c r="JG40" s="3701"/>
      <c r="JH40" s="1233"/>
      <c r="JI40" s="1393"/>
    </row>
    <row r="41" spans="1:269" x14ac:dyDescent="0.2">
      <c r="C41" s="671"/>
      <c r="D41" s="671"/>
      <c r="E41" s="34"/>
      <c r="F41" s="34"/>
      <c r="G41" s="34"/>
      <c r="H41" s="34"/>
      <c r="I41" s="34"/>
      <c r="J41" s="34"/>
      <c r="K41" s="34"/>
      <c r="L41" s="34"/>
      <c r="M41" s="34"/>
      <c r="N41" s="34"/>
      <c r="O41" s="34"/>
      <c r="P41" s="34"/>
      <c r="Q41" s="34"/>
      <c r="R41" s="34"/>
      <c r="S41" s="34"/>
      <c r="T41" s="34"/>
      <c r="U41" s="34"/>
      <c r="V41" s="34"/>
      <c r="W41" s="34"/>
      <c r="X41" s="34"/>
      <c r="Y41" s="34"/>
      <c r="Z41" s="34"/>
      <c r="AA41" s="34"/>
      <c r="AB41" s="34"/>
      <c r="AC41" s="34"/>
      <c r="AI41" s="34"/>
      <c r="AJ41" s="34"/>
      <c r="AK41" s="34"/>
      <c r="AL41" s="34"/>
      <c r="AM41" s="34"/>
      <c r="AN41" s="34"/>
      <c r="AO41" s="34"/>
      <c r="AP41" s="34"/>
      <c r="AQ41" s="34"/>
      <c r="AR41" s="34"/>
      <c r="AS41" s="34"/>
      <c r="AT41" s="34"/>
      <c r="AU41" s="34"/>
      <c r="AV41" s="34"/>
      <c r="AW41" s="34"/>
      <c r="AX41" s="34"/>
      <c r="AY41" s="34"/>
      <c r="AZ41" s="34"/>
      <c r="BA41" s="34"/>
      <c r="BB41" s="34"/>
      <c r="BC41" s="34"/>
      <c r="BD41" s="34"/>
      <c r="BE41" s="34"/>
      <c r="BF41" s="34"/>
      <c r="BG41" s="34"/>
      <c r="BH41" s="34"/>
      <c r="BI41" s="34"/>
      <c r="BJ41" s="34"/>
      <c r="BK41" s="34"/>
      <c r="BL41" s="34"/>
      <c r="BM41" s="34"/>
      <c r="BN41" s="34"/>
      <c r="BO41" s="34"/>
      <c r="BP41" s="34"/>
      <c r="BQ41" s="34"/>
      <c r="BR41" s="34"/>
      <c r="BS41" s="34"/>
      <c r="BT41" s="34"/>
      <c r="BU41" s="34"/>
      <c r="BV41" s="34"/>
      <c r="BW41" s="34"/>
      <c r="BX41" s="34"/>
      <c r="BY41" s="34"/>
      <c r="BZ41" s="34"/>
      <c r="CA41" s="34"/>
      <c r="CB41" s="34"/>
      <c r="CC41" s="34"/>
      <c r="CD41" s="34"/>
      <c r="CE41" s="34"/>
      <c r="CF41" s="34"/>
      <c r="CG41" s="34"/>
      <c r="CH41" s="34"/>
      <c r="CI41" s="34"/>
      <c r="CJ41" s="34"/>
      <c r="CK41" s="34"/>
      <c r="CL41" s="34"/>
      <c r="CM41" s="34"/>
      <c r="CN41" s="34"/>
      <c r="CO41" s="34"/>
      <c r="CP41" s="34"/>
      <c r="CQ41" s="34"/>
      <c r="CR41" s="34"/>
      <c r="CS41" s="34"/>
      <c r="CT41" s="34"/>
      <c r="CU41" s="34"/>
      <c r="CV41" s="34"/>
      <c r="CW41" s="34"/>
      <c r="CX41" s="34"/>
      <c r="CY41" s="34"/>
      <c r="CZ41" s="34"/>
      <c r="DA41" s="34"/>
      <c r="DB41" s="34"/>
      <c r="DC41" s="34"/>
      <c r="DD41" s="34"/>
      <c r="DE41" s="34"/>
      <c r="DF41" s="34"/>
      <c r="DG41" s="34"/>
      <c r="DH41" s="34"/>
      <c r="DI41" s="34"/>
      <c r="DJ41" s="34"/>
      <c r="DK41" s="34"/>
      <c r="DL41" s="34"/>
      <c r="DM41" s="34"/>
      <c r="DN41" s="34"/>
      <c r="DO41" s="34"/>
      <c r="DP41" s="34"/>
      <c r="DQ41" s="34"/>
      <c r="DR41" s="34"/>
      <c r="DS41" s="34"/>
      <c r="DT41" s="34"/>
      <c r="DU41" s="34"/>
      <c r="DV41" s="34"/>
      <c r="DW41" s="34"/>
      <c r="DX41" s="34"/>
      <c r="DY41" s="34"/>
      <c r="DZ41" s="34"/>
      <c r="EA41" s="34"/>
      <c r="EB41" s="34"/>
      <c r="EC41" s="34"/>
      <c r="ED41" s="34"/>
      <c r="EE41" s="34"/>
      <c r="EF41" s="34"/>
      <c r="EG41" s="34"/>
      <c r="EH41" s="34"/>
      <c r="EI41" s="34"/>
      <c r="EJ41" s="34"/>
      <c r="EK41" s="34"/>
      <c r="EL41" s="34"/>
      <c r="EM41" s="34"/>
      <c r="EN41" s="34"/>
      <c r="EO41" s="34"/>
      <c r="EP41" s="34"/>
      <c r="EQ41" s="34"/>
      <c r="ER41" s="34"/>
      <c r="ES41" s="34"/>
      <c r="ET41" s="34"/>
      <c r="EU41" s="34"/>
      <c r="EV41" s="34"/>
      <c r="EW41" s="34"/>
      <c r="EX41" s="34"/>
      <c r="EY41" s="34"/>
      <c r="EZ41" s="34"/>
      <c r="FA41" s="34"/>
      <c r="FB41" s="34"/>
      <c r="FC41" s="34"/>
      <c r="FD41" s="34"/>
      <c r="FE41" s="34"/>
      <c r="FF41" s="34"/>
      <c r="FG41" s="34"/>
      <c r="FH41" s="34"/>
      <c r="FI41" s="34"/>
      <c r="FJ41" s="34"/>
      <c r="FK41" s="34"/>
      <c r="FL41" s="34"/>
      <c r="FM41" s="34"/>
      <c r="FN41" s="34"/>
      <c r="FO41" s="34"/>
      <c r="FP41" s="34"/>
      <c r="FQ41" s="34"/>
      <c r="FR41" s="34"/>
      <c r="FS41" s="34"/>
      <c r="FT41" s="34"/>
      <c r="FU41" s="34"/>
      <c r="FV41" s="34"/>
      <c r="FW41" s="34"/>
      <c r="FX41" s="34"/>
      <c r="FY41" s="34"/>
      <c r="FZ41" s="34"/>
      <c r="GA41" s="34"/>
      <c r="GB41" s="34"/>
      <c r="GC41" s="34"/>
      <c r="GD41" s="34"/>
      <c r="GE41" s="34"/>
      <c r="GF41" s="34"/>
      <c r="GG41" s="34"/>
      <c r="GH41" s="34"/>
      <c r="GI41" s="34"/>
      <c r="GJ41" s="34"/>
      <c r="GK41" s="34"/>
      <c r="GL41" s="34"/>
      <c r="GM41" s="34"/>
      <c r="GN41" s="34"/>
      <c r="GO41" s="34"/>
      <c r="GP41" s="34"/>
      <c r="GQ41" s="34"/>
      <c r="GR41" s="34"/>
      <c r="GS41" s="34"/>
      <c r="GT41" s="34"/>
      <c r="GU41" s="34"/>
      <c r="GV41" s="34"/>
      <c r="GW41" s="34"/>
      <c r="GX41" s="34"/>
      <c r="GY41" s="34"/>
      <c r="GZ41" s="34"/>
      <c r="HA41" s="34"/>
      <c r="HB41" s="34"/>
      <c r="HC41" s="34"/>
      <c r="HD41" s="34"/>
      <c r="HE41" s="34"/>
      <c r="HF41" s="34"/>
      <c r="HG41" s="34"/>
      <c r="HH41" s="34"/>
      <c r="HI41" s="34"/>
      <c r="HJ41" s="34"/>
      <c r="HK41" s="34"/>
      <c r="HL41" s="34"/>
      <c r="HM41" s="34"/>
      <c r="HN41" s="34"/>
      <c r="HO41" s="34"/>
      <c r="HP41" s="34"/>
      <c r="HQ41" s="34"/>
      <c r="HR41" s="34"/>
      <c r="HS41" s="34"/>
      <c r="HT41" s="34"/>
      <c r="HU41" s="34"/>
      <c r="HV41" s="34"/>
      <c r="HW41" s="34"/>
      <c r="HX41" s="34"/>
      <c r="HY41" s="34"/>
      <c r="HZ41" s="34"/>
      <c r="IA41" s="34"/>
      <c r="IB41" s="34"/>
      <c r="IC41" s="34"/>
      <c r="ID41" s="34"/>
      <c r="IE41" s="34"/>
      <c r="IF41" s="34"/>
      <c r="IG41" s="34"/>
      <c r="IH41" s="34"/>
      <c r="II41" s="34"/>
      <c r="IJ41" s="34"/>
      <c r="IK41" s="34"/>
      <c r="IL41" s="34"/>
      <c r="IM41" s="34"/>
      <c r="IN41" s="34"/>
      <c r="IO41" s="34"/>
      <c r="IP41" s="34"/>
      <c r="IQ41" s="34"/>
      <c r="IR41" s="34"/>
      <c r="IS41" s="34"/>
      <c r="IT41" s="34"/>
      <c r="IU41" s="34"/>
      <c r="IV41" s="34"/>
      <c r="IW41" s="34"/>
      <c r="IX41" s="34"/>
      <c r="IY41" s="34"/>
      <c r="IZ41" s="34"/>
      <c r="JI41" s="6"/>
    </row>
    <row ht="12.75" r="42" spans="1:269" thickBot="1" x14ac:dyDescent="0.25">
      <c r="C42" s="673" t="s">
        <v>655</v>
      </c>
      <c r="D42" s="673"/>
      <c r="E42" s="34"/>
      <c r="F42" s="34"/>
      <c r="G42" s="34"/>
      <c r="H42" s="34"/>
      <c r="I42" s="34"/>
      <c r="J42" s="34"/>
      <c r="K42" s="34"/>
      <c r="L42" s="34"/>
      <c r="M42" s="34"/>
      <c r="N42" s="34"/>
      <c r="O42" s="34"/>
      <c r="P42" s="34"/>
      <c r="Q42" s="34"/>
      <c r="R42" s="34"/>
      <c r="S42" s="34"/>
      <c r="T42" s="34"/>
      <c r="U42" s="34"/>
      <c r="V42" s="34"/>
      <c r="W42" s="34"/>
      <c r="X42" s="34"/>
      <c r="Y42" s="34"/>
      <c r="Z42" s="34"/>
      <c r="AA42" s="34"/>
      <c r="AB42" s="34"/>
      <c r="AC42" s="34"/>
      <c r="AI42" s="34"/>
      <c r="AJ42" s="34"/>
      <c r="AK42" s="34"/>
      <c r="AL42" s="34"/>
      <c r="AM42" s="34"/>
      <c r="AN42" s="34"/>
      <c r="AO42" s="34"/>
      <c r="AP42" s="34"/>
      <c r="AQ42" s="34"/>
      <c r="AR42" s="34"/>
      <c r="AS42" s="34"/>
      <c r="AT42" s="34"/>
      <c r="AU42" s="34"/>
      <c r="AV42" s="34"/>
      <c r="AW42" s="34"/>
      <c r="AX42" s="34"/>
      <c r="AY42" s="34"/>
      <c r="AZ42" s="34"/>
      <c r="BA42" s="34"/>
      <c r="BB42" s="34"/>
      <c r="BC42" s="34"/>
      <c r="BD42" s="34"/>
      <c r="BE42" s="34"/>
      <c r="BF42" s="34"/>
      <c r="BG42" s="34"/>
      <c r="BH42" s="34"/>
      <c r="BI42" s="34"/>
      <c r="BJ42" s="34"/>
      <c r="BK42" s="34"/>
      <c r="BL42" s="34"/>
      <c r="BM42" s="34"/>
      <c r="BN42" s="34"/>
      <c r="BO42" s="34"/>
      <c r="BP42" s="34"/>
      <c r="BQ42" s="34"/>
      <c r="BR42" s="34"/>
      <c r="BS42" s="34"/>
      <c r="BT42" s="34"/>
      <c r="BU42" s="34"/>
      <c r="BV42" s="34"/>
      <c r="BW42" s="34"/>
      <c r="BX42" s="34"/>
      <c r="BY42" s="34"/>
      <c r="BZ42" s="34"/>
      <c r="CA42" s="34"/>
      <c r="CB42" s="34"/>
      <c r="CC42" s="34"/>
      <c r="CD42" s="34"/>
      <c r="CE42" s="34"/>
      <c r="CF42" s="34"/>
      <c r="CG42" s="34"/>
      <c r="CH42" s="34"/>
      <c r="CI42" s="34"/>
      <c r="CJ42" s="34"/>
      <c r="CK42" s="34"/>
      <c r="CL42" s="34"/>
      <c r="CM42" s="34"/>
      <c r="CN42" s="34"/>
      <c r="CO42" s="34"/>
      <c r="CP42" s="34"/>
      <c r="CQ42" s="34"/>
      <c r="CR42" s="34"/>
      <c r="CS42" s="34"/>
      <c r="CT42" s="34"/>
      <c r="CU42" s="34"/>
      <c r="CV42" s="34"/>
      <c r="CW42" s="34"/>
      <c r="CX42" s="34"/>
      <c r="CY42" s="34"/>
      <c r="CZ42" s="34"/>
      <c r="DA42" s="34"/>
      <c r="DB42" s="34"/>
      <c r="DC42" s="34"/>
      <c r="DD42" s="34"/>
      <c r="DE42" s="34"/>
      <c r="DF42" s="34"/>
      <c r="DG42" s="34"/>
      <c r="DH42" s="34"/>
      <c r="DI42" s="34"/>
      <c r="DJ42" s="34"/>
      <c r="DK42" s="34"/>
      <c r="DL42" s="34"/>
      <c r="DM42" s="34"/>
      <c r="DN42" s="34"/>
      <c r="DO42" s="34"/>
      <c r="DP42" s="34"/>
      <c r="DQ42" s="34"/>
      <c r="DR42" s="34"/>
      <c r="DS42" s="34"/>
      <c r="DT42" s="34"/>
      <c r="DU42" s="34"/>
      <c r="DV42" s="34"/>
      <c r="DW42" s="34"/>
      <c r="DX42" s="34"/>
      <c r="DY42" s="34"/>
      <c r="DZ42" s="34"/>
      <c r="EA42" s="34"/>
      <c r="EB42" s="34"/>
      <c r="EC42" s="34"/>
      <c r="ED42" s="34"/>
      <c r="EE42" s="34"/>
      <c r="EF42" s="34"/>
      <c r="EG42" s="34"/>
      <c r="EH42" s="34"/>
      <c r="EI42" s="34"/>
      <c r="EJ42" s="34"/>
      <c r="EK42" s="34"/>
      <c r="EL42" s="34"/>
      <c r="EM42" s="34"/>
      <c r="EN42" s="34"/>
      <c r="EO42" s="34"/>
      <c r="EP42" s="34"/>
      <c r="EQ42" s="34"/>
      <c r="ER42" s="34"/>
      <c r="ES42" s="34"/>
      <c r="ET42" s="34"/>
      <c r="EU42" s="34"/>
      <c r="EV42" s="34"/>
      <c r="EW42" s="34"/>
      <c r="EX42" s="34"/>
      <c r="EY42" s="34"/>
      <c r="EZ42" s="34"/>
      <c r="FA42" s="34"/>
      <c r="FB42" s="34"/>
      <c r="FC42" s="34"/>
      <c r="FD42" s="34"/>
      <c r="FE42" s="34"/>
      <c r="FF42" s="34"/>
      <c r="FG42" s="34"/>
      <c r="FH42" s="34"/>
      <c r="FI42" s="34"/>
      <c r="FJ42" s="34"/>
      <c r="FK42" s="34"/>
      <c r="FL42" s="34"/>
      <c r="FM42" s="34"/>
      <c r="FN42" s="34"/>
      <c r="FO42" s="34"/>
      <c r="FP42" s="34"/>
      <c r="FQ42" s="34"/>
      <c r="FR42" s="34"/>
      <c r="FS42" s="34"/>
      <c r="FT42" s="34"/>
      <c r="FU42" s="34"/>
      <c r="FV42" s="34"/>
      <c r="FW42" s="34"/>
      <c r="FX42" s="34"/>
      <c r="FY42" s="34"/>
      <c r="FZ42" s="34"/>
      <c r="GA42" s="34"/>
      <c r="GB42" s="34"/>
      <c r="GC42" s="34"/>
      <c r="GD42" s="34"/>
      <c r="GE42" s="34"/>
      <c r="GF42" s="34"/>
      <c r="GG42" s="34"/>
      <c r="GH42" s="34"/>
      <c r="GI42" s="34"/>
      <c r="GJ42" s="34"/>
      <c r="GK42" s="34"/>
      <c r="GL42" s="34"/>
      <c r="GM42" s="34"/>
      <c r="GN42" s="34"/>
      <c r="GO42" s="34"/>
      <c r="GP42" s="34"/>
      <c r="GQ42" s="34"/>
      <c r="GR42" s="34"/>
      <c r="GS42" s="34"/>
      <c r="GT42" s="34"/>
      <c r="GU42" s="34"/>
      <c r="GV42" s="34"/>
      <c r="GW42" s="34"/>
      <c r="GX42" s="34"/>
      <c r="GY42" s="34"/>
      <c r="GZ42" s="34"/>
      <c r="HA42" s="34"/>
      <c r="HB42" s="34"/>
      <c r="HC42" s="34"/>
      <c r="HD42" s="34"/>
      <c r="HE42" s="34"/>
      <c r="HF42" s="34"/>
      <c r="HG42" s="34"/>
      <c r="HH42" s="34"/>
      <c r="HI42" s="34"/>
      <c r="HJ42" s="34"/>
      <c r="HK42" s="34"/>
      <c r="HL42" s="34"/>
      <c r="HM42" s="34"/>
      <c r="HN42" s="34"/>
      <c r="HO42" s="34"/>
      <c r="HP42" s="34"/>
      <c r="HQ42" s="34"/>
      <c r="HR42" s="34"/>
      <c r="HS42" s="34"/>
      <c r="HT42" s="34"/>
      <c r="HU42" s="34"/>
      <c r="HV42" s="34"/>
      <c r="HW42" s="34"/>
      <c r="HX42" s="34"/>
      <c r="HY42" s="34"/>
      <c r="HZ42" s="34"/>
      <c r="IA42" s="34"/>
      <c r="IB42" s="34"/>
      <c r="IC42" s="34"/>
      <c r="ID42" s="34"/>
      <c r="IE42" s="34"/>
      <c r="IF42" s="34"/>
      <c r="IG42" s="34"/>
      <c r="IH42" s="34"/>
      <c r="II42" s="34"/>
      <c r="IJ42" s="34"/>
      <c r="IK42" s="34"/>
      <c r="IL42" s="34"/>
      <c r="IM42" s="34"/>
      <c r="IN42" s="34"/>
      <c r="IO42" s="34"/>
      <c r="IP42" s="34"/>
      <c r="IQ42" s="34"/>
      <c r="IR42" s="34"/>
      <c r="IS42" s="34"/>
      <c r="IT42" s="34"/>
      <c r="IU42" s="34"/>
      <c r="IV42" s="34"/>
      <c r="IW42" s="34"/>
      <c r="IX42" s="34"/>
      <c r="IY42" s="34"/>
      <c r="IZ42" s="34"/>
      <c r="JI42" s="6"/>
    </row>
    <row r="43" spans="1:269" x14ac:dyDescent="0.2">
      <c r="A43" s="1128" t="s">
        <v>4479</v>
      </c>
      <c r="B43" s="628" t="s">
        <v>3922</v>
      </c>
      <c r="C43" s="1251" t="s">
        <v>2092</v>
      </c>
      <c r="D43" s="1133"/>
      <c r="E43" s="2026">
        <v>1</v>
      </c>
      <c r="F43" s="2026">
        <v>2</v>
      </c>
      <c r="G43" s="2026">
        <v>3</v>
      </c>
      <c r="H43" s="2026">
        <v>4</v>
      </c>
      <c r="I43" s="2026">
        <v>5</v>
      </c>
      <c r="J43" s="2026">
        <v>6</v>
      </c>
      <c r="K43" s="2026">
        <v>7</v>
      </c>
      <c r="L43" s="2026">
        <v>8</v>
      </c>
      <c r="M43" s="2026">
        <v>9</v>
      </c>
      <c r="N43" s="2026">
        <v>10</v>
      </c>
      <c r="O43" s="2026">
        <v>11</v>
      </c>
      <c r="P43" s="2026">
        <v>12</v>
      </c>
      <c r="Q43" s="2026">
        <v>13</v>
      </c>
      <c r="R43" s="2026">
        <v>14</v>
      </c>
      <c r="S43" s="2026">
        <v>15</v>
      </c>
      <c r="T43" s="2026">
        <v>16</v>
      </c>
      <c r="U43" s="2026">
        <v>17</v>
      </c>
      <c r="V43" s="2026">
        <v>18</v>
      </c>
      <c r="W43" s="2026">
        <v>19</v>
      </c>
      <c r="X43" s="2026">
        <v>20</v>
      </c>
      <c r="Y43" s="2026">
        <v>21</v>
      </c>
      <c r="Z43" s="2026">
        <v>22</v>
      </c>
      <c r="AA43" s="2026">
        <v>23</v>
      </c>
      <c r="AB43" s="2026">
        <v>24</v>
      </c>
      <c r="AC43" s="2026">
        <v>25</v>
      </c>
      <c r="AD43" s="3502">
        <v>26</v>
      </c>
      <c r="AE43" s="3502">
        <v>27</v>
      </c>
      <c r="AF43" s="3502">
        <v>28</v>
      </c>
      <c r="AG43" s="3502">
        <v>29</v>
      </c>
      <c r="AH43" s="3502">
        <v>30</v>
      </c>
      <c r="AI43" s="2026">
        <v>31</v>
      </c>
      <c r="AJ43" s="2026">
        <v>32</v>
      </c>
      <c r="AK43" s="2026">
        <v>33</v>
      </c>
      <c r="AL43" s="2026">
        <v>34</v>
      </c>
      <c r="AM43" s="2026">
        <v>35</v>
      </c>
      <c r="AN43" s="2026">
        <v>36</v>
      </c>
      <c r="AO43" s="2026">
        <v>37</v>
      </c>
      <c r="AP43" s="2026">
        <v>38</v>
      </c>
      <c r="AQ43" s="2026">
        <v>39</v>
      </c>
      <c r="AR43" s="2026">
        <v>40</v>
      </c>
      <c r="AS43" s="2026">
        <v>41</v>
      </c>
      <c r="AT43" s="2026">
        <v>42</v>
      </c>
      <c r="AU43" s="2026">
        <v>43</v>
      </c>
      <c r="AV43" s="2026">
        <v>44</v>
      </c>
      <c r="AW43" s="2026">
        <v>45</v>
      </c>
      <c r="AX43" s="2026">
        <v>46</v>
      </c>
      <c r="AY43" s="2026">
        <v>47</v>
      </c>
      <c r="AZ43" s="2026">
        <v>48</v>
      </c>
      <c r="BA43" s="2026">
        <v>49</v>
      </c>
      <c r="BB43" s="2026">
        <v>50</v>
      </c>
      <c r="BC43" s="2026">
        <v>51</v>
      </c>
      <c r="BD43" s="2026">
        <v>52</v>
      </c>
      <c r="BE43" s="2026">
        <v>53</v>
      </c>
      <c r="BF43" s="2026">
        <v>54</v>
      </c>
      <c r="BG43" s="2026">
        <v>55</v>
      </c>
      <c r="BH43" s="2026">
        <v>56</v>
      </c>
      <c r="BI43" s="2026">
        <v>57</v>
      </c>
      <c r="BJ43" s="2026">
        <v>58</v>
      </c>
      <c r="BK43" s="2026">
        <v>59</v>
      </c>
      <c r="BL43" s="2026">
        <v>60</v>
      </c>
      <c r="BM43" s="2026">
        <v>61</v>
      </c>
      <c r="BN43" s="2026">
        <v>62</v>
      </c>
      <c r="BO43" s="2026">
        <v>63</v>
      </c>
      <c r="BP43" s="2026">
        <v>64</v>
      </c>
      <c r="BQ43" s="2026">
        <v>65</v>
      </c>
      <c r="BR43" s="2026">
        <v>66</v>
      </c>
      <c r="BS43" s="2026">
        <v>67</v>
      </c>
      <c r="BT43" s="2026">
        <v>68</v>
      </c>
      <c r="BU43" s="2026">
        <v>69</v>
      </c>
      <c r="BV43" s="2026">
        <v>70</v>
      </c>
      <c r="BW43" s="2026">
        <v>71</v>
      </c>
      <c r="BX43" s="2026">
        <v>72</v>
      </c>
      <c r="BY43" s="2026">
        <v>73</v>
      </c>
      <c r="BZ43" s="2026">
        <v>74</v>
      </c>
      <c r="CA43" s="2026">
        <v>75</v>
      </c>
      <c r="CB43" s="2026">
        <v>76</v>
      </c>
      <c r="CC43" s="2026">
        <v>77</v>
      </c>
      <c r="CD43" s="2026">
        <v>78</v>
      </c>
      <c r="CE43" s="2026">
        <v>79</v>
      </c>
      <c r="CF43" s="2026">
        <v>80</v>
      </c>
      <c r="CG43" s="2026">
        <v>81</v>
      </c>
      <c r="CH43" s="2026">
        <v>82</v>
      </c>
      <c r="CI43" s="2026">
        <v>83</v>
      </c>
      <c r="CJ43" s="2026">
        <v>84</v>
      </c>
      <c r="CK43" s="2026">
        <v>85</v>
      </c>
      <c r="CL43" s="2026">
        <v>86</v>
      </c>
      <c r="CM43" s="2026">
        <v>87</v>
      </c>
      <c r="CN43" s="2026">
        <v>88</v>
      </c>
      <c r="CO43" s="2026">
        <v>89</v>
      </c>
      <c r="CP43" s="2026">
        <v>90</v>
      </c>
      <c r="CQ43" s="2026">
        <v>91</v>
      </c>
      <c r="CR43" s="2026">
        <v>92</v>
      </c>
      <c r="CS43" s="2026">
        <v>93</v>
      </c>
      <c r="CT43" s="2026">
        <v>94</v>
      </c>
      <c r="CU43" s="2026">
        <v>95</v>
      </c>
      <c r="CV43" s="2026">
        <v>96</v>
      </c>
      <c r="CW43" s="2026">
        <v>97</v>
      </c>
      <c r="CX43" s="2026">
        <v>98</v>
      </c>
      <c r="CY43" s="2026">
        <v>99</v>
      </c>
      <c r="CZ43" s="2026">
        <v>100</v>
      </c>
      <c r="DA43" s="2026">
        <v>101</v>
      </c>
      <c r="DB43" s="2026">
        <v>102</v>
      </c>
      <c r="DC43" s="2026">
        <v>103</v>
      </c>
      <c r="DD43" s="2026">
        <v>104</v>
      </c>
      <c r="DE43" s="2026">
        <v>105</v>
      </c>
      <c r="DF43" s="2026">
        <v>106</v>
      </c>
      <c r="DG43" s="2026">
        <v>107</v>
      </c>
      <c r="DH43" s="2026">
        <v>108</v>
      </c>
      <c r="DI43" s="2026">
        <v>109</v>
      </c>
      <c r="DJ43" s="2026">
        <v>110</v>
      </c>
      <c r="DK43" s="2026">
        <v>111</v>
      </c>
      <c r="DL43" s="2026">
        <v>112</v>
      </c>
      <c r="DM43" s="2026">
        <v>113</v>
      </c>
      <c r="DN43" s="2026">
        <v>114</v>
      </c>
      <c r="DO43" s="2026">
        <v>115</v>
      </c>
      <c r="DP43" s="2026">
        <v>116</v>
      </c>
      <c r="DQ43" s="2026">
        <v>117</v>
      </c>
      <c r="DR43" s="2026">
        <v>118</v>
      </c>
      <c r="DS43" s="2026">
        <v>119</v>
      </c>
      <c r="DT43" s="2026">
        <v>120</v>
      </c>
      <c r="DU43" s="2026">
        <v>121</v>
      </c>
      <c r="DV43" s="2026">
        <v>122</v>
      </c>
      <c r="DW43" s="2026">
        <v>123</v>
      </c>
      <c r="DX43" s="2026">
        <v>124</v>
      </c>
      <c r="DY43" s="2026">
        <v>125</v>
      </c>
      <c r="DZ43" s="2026">
        <v>126</v>
      </c>
      <c r="EA43" s="2026">
        <v>127</v>
      </c>
      <c r="EB43" s="2026">
        <v>128</v>
      </c>
      <c r="EC43" s="2026">
        <v>129</v>
      </c>
      <c r="ED43" s="2026">
        <v>130</v>
      </c>
      <c r="EE43" s="2026">
        <v>131</v>
      </c>
      <c r="EF43" s="2026">
        <v>132</v>
      </c>
      <c r="EG43" s="2026">
        <v>133</v>
      </c>
      <c r="EH43" s="2026">
        <v>134</v>
      </c>
      <c r="EI43" s="2026">
        <v>135</v>
      </c>
      <c r="EJ43" s="2026">
        <v>136</v>
      </c>
      <c r="EK43" s="2026">
        <v>137</v>
      </c>
      <c r="EL43" s="2026">
        <v>138</v>
      </c>
      <c r="EM43" s="2026">
        <v>139</v>
      </c>
      <c r="EN43" s="2026">
        <v>140</v>
      </c>
      <c r="EO43" s="2026">
        <v>141</v>
      </c>
      <c r="EP43" s="2026">
        <v>142</v>
      </c>
      <c r="EQ43" s="2026">
        <v>143</v>
      </c>
      <c r="ER43" s="2026">
        <v>144</v>
      </c>
      <c r="ES43" s="2026">
        <v>145</v>
      </c>
      <c r="ET43" s="2026">
        <v>146</v>
      </c>
      <c r="EU43" s="2026">
        <v>147</v>
      </c>
      <c r="EV43" s="2026">
        <v>148</v>
      </c>
      <c r="EW43" s="2026">
        <v>149</v>
      </c>
      <c r="EX43" s="2026">
        <v>150</v>
      </c>
      <c r="EY43" s="2026">
        <v>151</v>
      </c>
      <c r="EZ43" s="2026">
        <v>152</v>
      </c>
      <c r="FA43" s="2026">
        <v>153</v>
      </c>
      <c r="FB43" s="2026">
        <v>154</v>
      </c>
      <c r="FC43" s="2026">
        <v>155</v>
      </c>
      <c r="FD43" s="2026">
        <v>156</v>
      </c>
      <c r="FE43" s="2026">
        <v>157</v>
      </c>
      <c r="FF43" s="2026">
        <v>158</v>
      </c>
      <c r="FG43" s="2026">
        <v>159</v>
      </c>
      <c r="FH43" s="2026">
        <v>160</v>
      </c>
      <c r="FI43" s="2026">
        <v>161</v>
      </c>
      <c r="FJ43" s="2026">
        <v>162</v>
      </c>
      <c r="FK43" s="2026">
        <v>163</v>
      </c>
      <c r="FL43" s="2026">
        <v>164</v>
      </c>
      <c r="FM43" s="2026">
        <v>165</v>
      </c>
      <c r="FN43" s="2026">
        <v>166</v>
      </c>
      <c r="FO43" s="2026">
        <v>167</v>
      </c>
      <c r="FP43" s="2026">
        <v>168</v>
      </c>
      <c r="FQ43" s="2026">
        <v>169</v>
      </c>
      <c r="FR43" s="2026">
        <v>170</v>
      </c>
      <c r="FS43" s="2026">
        <v>171</v>
      </c>
      <c r="FT43" s="2026">
        <v>172</v>
      </c>
      <c r="FU43" s="2026">
        <v>173</v>
      </c>
      <c r="FV43" s="2026">
        <v>174</v>
      </c>
      <c r="FW43" s="2026">
        <v>175</v>
      </c>
      <c r="FX43" s="2026">
        <v>176</v>
      </c>
      <c r="FY43" s="2026">
        <v>177</v>
      </c>
      <c r="FZ43" s="2026">
        <v>178</v>
      </c>
      <c r="GA43" s="2026">
        <v>179</v>
      </c>
      <c r="GB43" s="2026">
        <v>180</v>
      </c>
      <c r="GC43" s="2026">
        <v>181</v>
      </c>
      <c r="GD43" s="2026">
        <v>182</v>
      </c>
      <c r="GE43" s="2026">
        <v>183</v>
      </c>
      <c r="GF43" s="2026">
        <v>184</v>
      </c>
      <c r="GG43" s="2026">
        <v>185</v>
      </c>
      <c r="GH43" s="2026">
        <v>186</v>
      </c>
      <c r="GI43" s="2026">
        <v>187</v>
      </c>
      <c r="GJ43" s="2026">
        <v>188</v>
      </c>
      <c r="GK43" s="2026">
        <v>189</v>
      </c>
      <c r="GL43" s="2026">
        <v>190</v>
      </c>
      <c r="GM43" s="2026">
        <v>191</v>
      </c>
      <c r="GN43" s="2026">
        <v>192</v>
      </c>
      <c r="GO43" s="2026">
        <v>193</v>
      </c>
      <c r="GP43" s="2026">
        <v>194</v>
      </c>
      <c r="GQ43" s="2026">
        <v>195</v>
      </c>
      <c r="GR43" s="2026">
        <v>196</v>
      </c>
      <c r="GS43" s="2026">
        <v>197</v>
      </c>
      <c r="GT43" s="2026">
        <v>198</v>
      </c>
      <c r="GU43" s="2026">
        <v>199</v>
      </c>
      <c r="GV43" s="2026">
        <v>200</v>
      </c>
      <c r="GW43" s="2026">
        <v>201</v>
      </c>
      <c r="GX43" s="2026">
        <v>202</v>
      </c>
      <c r="GY43" s="2026">
        <v>203</v>
      </c>
      <c r="GZ43" s="2026">
        <v>204</v>
      </c>
      <c r="HA43" s="2026">
        <v>205</v>
      </c>
      <c r="HB43" s="2026">
        <v>206</v>
      </c>
      <c r="HC43" s="2026">
        <v>207</v>
      </c>
      <c r="HD43" s="2026">
        <v>208</v>
      </c>
      <c r="HE43" s="2026">
        <v>209</v>
      </c>
      <c r="HF43" s="2026">
        <v>210</v>
      </c>
      <c r="HG43" s="2026">
        <v>211</v>
      </c>
      <c r="HH43" s="2026">
        <v>212</v>
      </c>
      <c r="HI43" s="2026">
        <v>213</v>
      </c>
      <c r="HJ43" s="2026">
        <v>214</v>
      </c>
      <c r="HK43" s="2026">
        <v>215</v>
      </c>
      <c r="HL43" s="2026">
        <v>216</v>
      </c>
      <c r="HM43" s="2026">
        <v>217</v>
      </c>
      <c r="HN43" s="2026">
        <v>218</v>
      </c>
      <c r="HO43" s="2026">
        <v>219</v>
      </c>
      <c r="HP43" s="2026">
        <v>220</v>
      </c>
      <c r="HQ43" s="2026">
        <v>221</v>
      </c>
      <c r="HR43" s="2026">
        <v>222</v>
      </c>
      <c r="HS43" s="2026">
        <v>223</v>
      </c>
      <c r="HT43" s="2026">
        <v>224</v>
      </c>
      <c r="HU43" s="2026">
        <v>225</v>
      </c>
      <c r="HV43" s="2026">
        <v>226</v>
      </c>
      <c r="HW43" s="2026">
        <v>227</v>
      </c>
      <c r="HX43" s="2026">
        <v>228</v>
      </c>
      <c r="HY43" s="2026">
        <v>229</v>
      </c>
      <c r="HZ43" s="2026">
        <v>230</v>
      </c>
      <c r="IA43" s="2026">
        <v>231</v>
      </c>
      <c r="IB43" s="2026">
        <v>232</v>
      </c>
      <c r="IC43" s="2026">
        <v>233</v>
      </c>
      <c r="ID43" s="2026">
        <v>234</v>
      </c>
      <c r="IE43" s="2026">
        <v>235</v>
      </c>
      <c r="IF43" s="2026">
        <v>236</v>
      </c>
      <c r="IG43" s="2026">
        <v>237</v>
      </c>
      <c r="IH43" s="2026">
        <v>238</v>
      </c>
      <c r="II43" s="2026">
        <v>239</v>
      </c>
      <c r="IJ43" s="2026">
        <v>240</v>
      </c>
      <c r="IK43" s="2026">
        <v>241</v>
      </c>
      <c r="IL43" s="2026">
        <v>242</v>
      </c>
      <c r="IM43" s="2026">
        <v>243</v>
      </c>
      <c r="IN43" s="2026">
        <v>244</v>
      </c>
      <c r="IO43" s="2026">
        <v>245</v>
      </c>
      <c r="IP43" s="1134">
        <v>246</v>
      </c>
      <c r="IQ43" s="1134">
        <v>247</v>
      </c>
      <c r="IR43" s="1134">
        <v>248</v>
      </c>
      <c r="IS43" s="1134">
        <v>249</v>
      </c>
      <c r="IT43" s="1134">
        <v>250</v>
      </c>
      <c r="IU43" s="1134">
        <v>251</v>
      </c>
      <c r="IV43" s="1134">
        <v>252</v>
      </c>
      <c r="IW43" s="1134">
        <v>253</v>
      </c>
      <c r="IX43" s="1134">
        <v>254</v>
      </c>
      <c r="IY43" s="1134">
        <v>255</v>
      </c>
      <c r="IZ43" s="1134">
        <v>256</v>
      </c>
      <c r="JA43" s="1134">
        <v>257</v>
      </c>
      <c r="JB43" s="1134">
        <v>258</v>
      </c>
      <c r="JC43" s="1134">
        <v>259</v>
      </c>
      <c r="JD43" s="1134">
        <v>260</v>
      </c>
      <c r="JE43" s="1134">
        <v>261</v>
      </c>
      <c r="JF43" s="1134">
        <v>262</v>
      </c>
      <c r="JG43" s="2485">
        <v>263</v>
      </c>
      <c r="JH43" s="1233"/>
      <c r="JI43" s="1393"/>
    </row>
    <row r="44" spans="1:269" x14ac:dyDescent="0.2">
      <c r="A44" s="1128">
        <v>2</v>
      </c>
      <c r="B44" s="1375" t="str">
        <f>IF(ASE_C_IND&gt;1,IF(HLOOKUP(ASE_C_IND-1,ASE_C_RANGE,A44)="","",HLOOKUP(ASE_C_IND-1,ASE_C_RANGE,A44)),"")</f>
        <v/>
      </c>
      <c r="C44" s="2626" t="s">
        <v>2086</v>
      </c>
      <c r="D44" s="2826" t="s">
        <v>3290</v>
      </c>
      <c r="E44" s="2429"/>
      <c r="F44" s="2429"/>
      <c r="G44" s="2429"/>
      <c r="H44" s="2429"/>
      <c r="I44" s="2443"/>
      <c r="J44" s="2443"/>
      <c r="K44" s="2443"/>
      <c r="L44" s="2443"/>
      <c r="M44" s="2443"/>
      <c r="N44" s="2443"/>
      <c r="O44" s="2443"/>
      <c r="P44" s="2443"/>
      <c r="Q44" s="2443"/>
      <c r="R44" s="2443"/>
      <c r="S44" s="2443"/>
      <c r="T44" s="2443"/>
      <c r="U44" s="2443"/>
      <c r="V44" s="2443"/>
      <c r="W44" s="2443"/>
      <c r="X44" s="2443"/>
      <c r="Y44" s="2443"/>
      <c r="Z44" s="2443"/>
      <c r="AA44" s="2443"/>
      <c r="AB44" s="2443"/>
      <c r="AC44" s="2443"/>
      <c r="AD44" s="2443"/>
      <c r="AE44" s="2443"/>
      <c r="AF44" s="2443"/>
      <c r="AG44" s="2443"/>
      <c r="AH44" s="2443"/>
      <c r="AI44" s="2443"/>
      <c r="AJ44" s="2443"/>
      <c r="AK44" s="2443"/>
      <c r="AL44" s="2443"/>
      <c r="AM44" s="2443"/>
      <c r="AN44" s="2443"/>
      <c r="AO44" s="2443"/>
      <c r="AP44" s="2443"/>
      <c r="AQ44" s="2443"/>
      <c r="AR44" s="2443"/>
      <c r="AS44" s="2443"/>
      <c r="AT44" s="2443"/>
      <c r="AU44" s="2443"/>
      <c r="AV44" s="2443"/>
      <c r="AW44" s="2443"/>
      <c r="AX44" s="2443"/>
      <c r="AY44" s="2443"/>
      <c r="AZ44" s="2443"/>
      <c r="BA44" s="2443"/>
      <c r="BB44" s="2443"/>
      <c r="BC44" s="2443"/>
      <c r="BD44" s="2429"/>
      <c r="BE44" s="2443"/>
      <c r="BF44" s="2443"/>
      <c r="BG44" s="2443"/>
      <c r="BH44" s="2443"/>
      <c r="BI44" s="2443"/>
      <c r="BJ44" s="2443"/>
      <c r="BK44" s="2443"/>
      <c r="BL44" s="2443"/>
      <c r="BM44" s="2443"/>
      <c r="BN44" s="2443"/>
      <c r="BO44" s="2443"/>
      <c r="BP44" s="2443"/>
      <c r="BQ44" s="2443"/>
      <c r="BR44" s="2443"/>
      <c r="BS44" s="2443"/>
      <c r="BT44" s="2443"/>
      <c r="BU44" s="2443"/>
      <c r="BV44" s="2443"/>
      <c r="BW44" s="2443"/>
      <c r="BX44" s="2443"/>
      <c r="BY44" s="2443"/>
      <c r="BZ44" s="2443"/>
      <c r="CA44" s="2443"/>
      <c r="CB44" s="2443"/>
      <c r="CC44" s="2443"/>
      <c r="CD44" s="2443"/>
      <c r="CE44" s="2443"/>
      <c r="CF44" s="2443"/>
      <c r="CG44" s="2443"/>
      <c r="CH44" s="2443"/>
      <c r="CI44" s="2443"/>
      <c r="CJ44" s="2443"/>
      <c r="CK44" s="2443"/>
      <c r="CL44" s="2443"/>
      <c r="CM44" s="2443"/>
      <c r="CN44" s="2443"/>
      <c r="CO44" s="2443"/>
      <c r="CP44" s="2443"/>
      <c r="CQ44" s="2429">
        <v>2187</v>
      </c>
      <c r="CR44" s="2443"/>
      <c r="CS44" s="2443"/>
      <c r="CT44" s="2443"/>
      <c r="CU44" s="2443"/>
      <c r="CV44" s="2429"/>
      <c r="CW44" s="2443"/>
      <c r="CX44" s="2443"/>
      <c r="CY44" s="2443"/>
      <c r="CZ44" s="2443"/>
      <c r="DA44" s="2443"/>
      <c r="DB44" s="2443"/>
      <c r="DC44" s="2443"/>
      <c r="DD44" s="2443"/>
      <c r="DE44" s="2443"/>
      <c r="DF44" s="2443"/>
      <c r="DG44" s="2443"/>
      <c r="DH44" s="2443"/>
      <c r="DI44" s="2443"/>
      <c r="DJ44" s="2443"/>
      <c r="DK44" s="2443"/>
      <c r="DL44" s="2443"/>
      <c r="DM44" s="2443"/>
      <c r="DN44" s="2443"/>
      <c r="DO44" s="2443"/>
      <c r="DP44" s="2443"/>
      <c r="DQ44" s="2443"/>
      <c r="DR44" s="2443"/>
      <c r="DS44" s="2443"/>
      <c r="DT44" s="2443"/>
      <c r="DU44" s="2443"/>
      <c r="DV44" s="2443"/>
      <c r="DW44" s="2443"/>
      <c r="DX44" s="2443"/>
      <c r="DY44" s="2443"/>
      <c r="DZ44" s="2443"/>
      <c r="EA44" s="2443"/>
      <c r="EB44" s="2443"/>
      <c r="EC44" s="2443"/>
      <c r="ED44" s="2443"/>
      <c r="EE44" s="2443"/>
      <c r="EF44" s="2443"/>
      <c r="EG44" s="2443"/>
      <c r="EH44" s="2443"/>
      <c r="EI44" s="2443"/>
      <c r="EJ44" s="2443"/>
      <c r="EK44" s="2443"/>
      <c r="EL44" s="2443"/>
      <c r="EM44" s="2443"/>
      <c r="EN44" s="2443"/>
      <c r="EO44" s="2443"/>
      <c r="EP44" s="2443"/>
      <c r="EQ44" s="2443"/>
      <c r="ER44" s="2443"/>
      <c r="ES44" s="2443"/>
      <c r="ET44" s="2443"/>
      <c r="EU44" s="2443"/>
      <c r="EV44" s="2443"/>
      <c r="EW44" s="2443"/>
      <c r="EX44" s="2443"/>
      <c r="EY44" s="2443"/>
      <c r="EZ44" s="2443"/>
      <c r="FA44" s="2443"/>
      <c r="FB44" s="2443"/>
      <c r="FC44" s="2443"/>
      <c r="FD44" s="2443"/>
      <c r="FE44" s="2443"/>
      <c r="FF44" s="2443"/>
      <c r="FG44" s="2443"/>
      <c r="FH44" s="2443"/>
      <c r="FI44" s="2443"/>
      <c r="FJ44" s="2443"/>
      <c r="FK44" s="2443"/>
      <c r="FL44" s="2443"/>
      <c r="FM44" s="2443"/>
      <c r="FN44" s="2443"/>
      <c r="FO44" s="2443"/>
      <c r="FP44" s="2443"/>
      <c r="FQ44" s="2443"/>
      <c r="FR44" s="2443"/>
      <c r="FS44" s="2443"/>
      <c r="FT44" s="2443"/>
      <c r="FU44" s="2443"/>
      <c r="FV44" s="2443"/>
      <c r="FW44" s="2443"/>
      <c r="FX44" s="2443"/>
      <c r="FY44" s="2443"/>
      <c r="FZ44" s="2443"/>
      <c r="GA44" s="2443"/>
      <c r="GB44" s="2443"/>
      <c r="GC44" s="2443"/>
      <c r="GD44" s="2443"/>
      <c r="GE44" s="2443"/>
      <c r="GF44" s="2443"/>
      <c r="GG44" s="2443"/>
      <c r="GH44" s="2443"/>
      <c r="GI44" s="2443"/>
      <c r="GJ44" s="2443"/>
      <c r="GK44" s="2443"/>
      <c r="GL44" s="2443"/>
      <c r="GM44" s="2443"/>
      <c r="GN44" s="2443"/>
      <c r="GO44" s="2443"/>
      <c r="GP44" s="2443"/>
      <c r="GQ44" s="2443"/>
      <c r="GR44" s="2443"/>
      <c r="GS44" s="2443"/>
      <c r="GT44" s="2443"/>
      <c r="GU44" s="2443"/>
      <c r="GV44" s="2443"/>
      <c r="GW44" s="2443"/>
      <c r="GX44" s="2443"/>
      <c r="GY44" s="2443"/>
      <c r="GZ44" s="2429"/>
      <c r="HA44" s="2443"/>
      <c r="HB44" s="2443"/>
      <c r="HC44" s="2443"/>
      <c r="HD44" s="2443"/>
      <c r="HE44" s="2443"/>
      <c r="HF44" s="2429"/>
      <c r="HG44" s="2429"/>
      <c r="HH44" s="2443"/>
      <c r="HI44" s="2443"/>
      <c r="HJ44" s="2443"/>
      <c r="HK44" s="2443"/>
      <c r="HL44" s="2443"/>
      <c r="HM44" s="2443"/>
      <c r="HN44" s="2443"/>
      <c r="HO44" s="2443"/>
      <c r="HP44" s="2443"/>
      <c r="HQ44" s="2443"/>
      <c r="HR44" s="2443"/>
      <c r="HS44" s="2443"/>
      <c r="HT44" s="2443"/>
      <c r="HU44" s="2443"/>
      <c r="HV44" s="2443"/>
      <c r="HW44" s="2443"/>
      <c r="HX44" s="2443"/>
      <c r="HY44" s="2443"/>
      <c r="HZ44" s="2443"/>
      <c r="IA44" s="2443"/>
      <c r="IB44" s="2443"/>
      <c r="IC44" s="2443"/>
      <c r="ID44" s="2443"/>
      <c r="IE44" s="2443"/>
      <c r="IF44" s="2443"/>
      <c r="IG44" s="2443"/>
      <c r="IH44" s="2443"/>
      <c r="II44" s="2443"/>
      <c r="IJ44" s="2443"/>
      <c r="IK44" s="2443"/>
      <c r="IL44" s="2443"/>
      <c r="IM44" s="2443"/>
      <c r="IN44" s="2443"/>
      <c r="IO44" s="2443"/>
      <c r="IP44" s="2443"/>
      <c r="IQ44" s="2443"/>
      <c r="IR44" s="2443"/>
      <c r="IS44" s="2443"/>
      <c r="IT44" s="2443"/>
      <c r="IU44" s="2443"/>
      <c r="IV44" s="2443"/>
      <c r="IW44" s="2443"/>
      <c r="IX44" s="2443"/>
      <c r="IY44" s="4037"/>
      <c r="IZ44" s="2443"/>
      <c r="JA44" s="2443"/>
      <c r="JB44" s="2443"/>
      <c r="JC44" s="2443"/>
      <c r="JD44" s="2443"/>
      <c r="JE44" s="2443"/>
      <c r="JF44" s="2443"/>
      <c r="JG44" s="3703"/>
      <c r="JH44" s="1233"/>
      <c r="JI44" s="1393"/>
    </row>
    <row r="45" spans="1:269" x14ac:dyDescent="0.2">
      <c r="A45" s="1128">
        <v>3</v>
      </c>
      <c r="B45" s="1375" t="str">
        <f>IF(ASE_C_IND&gt;1,IF(HLOOKUP(ASE_C_IND-1,ASE_C_RANGE,A45)="","",HLOOKUP(ASE_C_IND-1,ASE_C_RANGE,A45)),"")</f>
        <v/>
      </c>
      <c r="C45" s="2626" t="s">
        <v>2087</v>
      </c>
      <c r="D45" s="2826" t="s">
        <v>3289</v>
      </c>
      <c r="E45" s="2429"/>
      <c r="F45" s="2429"/>
      <c r="G45" s="2429"/>
      <c r="H45" s="2429"/>
      <c r="I45" s="2443"/>
      <c r="J45" s="2443"/>
      <c r="K45" s="2443"/>
      <c r="L45" s="2443"/>
      <c r="M45" s="2443"/>
      <c r="N45" s="2443"/>
      <c r="O45" s="2443"/>
      <c r="P45" s="2443"/>
      <c r="Q45" s="2443"/>
      <c r="R45" s="2443"/>
      <c r="S45" s="2443"/>
      <c r="T45" s="2443"/>
      <c r="U45" s="2443"/>
      <c r="V45" s="2443"/>
      <c r="W45" s="2443"/>
      <c r="X45" s="2443"/>
      <c r="Y45" s="2443"/>
      <c r="Z45" s="2443"/>
      <c r="AA45" s="2443"/>
      <c r="AB45" s="2443"/>
      <c r="AC45" s="2443"/>
      <c r="AD45" s="2443"/>
      <c r="AE45" s="2443"/>
      <c r="AF45" s="2443"/>
      <c r="AG45" s="2443"/>
      <c r="AH45" s="2443"/>
      <c r="AI45" s="2443"/>
      <c r="AJ45" s="2443"/>
      <c r="AK45" s="2443"/>
      <c r="AL45" s="2443"/>
      <c r="AM45" s="2443"/>
      <c r="AN45" s="2443"/>
      <c r="AO45" s="2443"/>
      <c r="AP45" s="2443"/>
      <c r="AQ45" s="2443"/>
      <c r="AR45" s="2443"/>
      <c r="AS45" s="2443"/>
      <c r="AT45" s="2443"/>
      <c r="AU45" s="2443"/>
      <c r="AV45" s="2443"/>
      <c r="AW45" s="2443"/>
      <c r="AX45" s="2443"/>
      <c r="AY45" s="2443"/>
      <c r="AZ45" s="2443"/>
      <c r="BA45" s="2443"/>
      <c r="BB45" s="2443"/>
      <c r="BC45" s="2443"/>
      <c r="BD45" s="2429">
        <v>2000</v>
      </c>
      <c r="BE45" s="2443"/>
      <c r="BF45" s="2443"/>
      <c r="BG45" s="2443"/>
      <c r="BH45" s="2443"/>
      <c r="BI45" s="2443"/>
      <c r="BJ45" s="2443"/>
      <c r="BK45" s="2443"/>
      <c r="BL45" s="2443"/>
      <c r="BM45" s="2443"/>
      <c r="BN45" s="2443"/>
      <c r="BO45" s="2443"/>
      <c r="BP45" s="2443"/>
      <c r="BQ45" s="2443"/>
      <c r="BR45" s="2443"/>
      <c r="BS45" s="2443"/>
      <c r="BT45" s="2443"/>
      <c r="BU45" s="2443"/>
      <c r="BV45" s="2443"/>
      <c r="BW45" s="2443"/>
      <c r="BX45" s="2443"/>
      <c r="BY45" s="2443"/>
      <c r="BZ45" s="2443"/>
      <c r="CA45" s="2443"/>
      <c r="CB45" s="2443"/>
      <c r="CC45" s="2443"/>
      <c r="CD45" s="2443"/>
      <c r="CE45" s="2443"/>
      <c r="CF45" s="2443"/>
      <c r="CG45" s="2443"/>
      <c r="CH45" s="2443"/>
      <c r="CI45" s="2443"/>
      <c r="CJ45" s="2443"/>
      <c r="CK45" s="2443"/>
      <c r="CL45" s="2443"/>
      <c r="CM45" s="2443"/>
      <c r="CN45" s="2443"/>
      <c r="CO45" s="2443"/>
      <c r="CP45" s="2443"/>
      <c r="CQ45" s="2429"/>
      <c r="CR45" s="2443"/>
      <c r="CS45" s="2443"/>
      <c r="CT45" s="2443"/>
      <c r="CU45" s="2443"/>
      <c r="CV45" s="2429">
        <v>2000</v>
      </c>
      <c r="CW45" s="2443"/>
      <c r="CX45" s="2443"/>
      <c r="CY45" s="2443"/>
      <c r="CZ45" s="2443"/>
      <c r="DA45" s="2443"/>
      <c r="DB45" s="2443"/>
      <c r="DC45" s="2443"/>
      <c r="DD45" s="2443"/>
      <c r="DE45" s="2443"/>
      <c r="DF45" s="2443"/>
      <c r="DG45" s="2443"/>
      <c r="DH45" s="2443"/>
      <c r="DI45" s="2443"/>
      <c r="DJ45" s="2443"/>
      <c r="DK45" s="2443"/>
      <c r="DL45" s="2443"/>
      <c r="DM45" s="2443"/>
      <c r="DN45" s="2443"/>
      <c r="DO45" s="2443"/>
      <c r="DP45" s="2443"/>
      <c r="DQ45" s="2443"/>
      <c r="DR45" s="2443"/>
      <c r="DS45" s="2443"/>
      <c r="DT45" s="2443"/>
      <c r="DU45" s="2443"/>
      <c r="DV45" s="2443"/>
      <c r="DW45" s="2443"/>
      <c r="DX45" s="2443"/>
      <c r="DY45" s="2443"/>
      <c r="DZ45" s="2443"/>
      <c r="EA45" s="2443"/>
      <c r="EB45" s="2443"/>
      <c r="EC45" s="2443"/>
      <c r="ED45" s="2443"/>
      <c r="EE45" s="2443"/>
      <c r="EF45" s="2443"/>
      <c r="EG45" s="2443"/>
      <c r="EH45" s="2443"/>
      <c r="EI45" s="2443"/>
      <c r="EJ45" s="2443"/>
      <c r="EK45" s="2443"/>
      <c r="EL45" s="2443"/>
      <c r="EM45" s="2443"/>
      <c r="EN45" s="2443"/>
      <c r="EO45" s="2443"/>
      <c r="EP45" s="2443"/>
      <c r="EQ45" s="2443"/>
      <c r="ER45" s="2443"/>
      <c r="ES45" s="2443"/>
      <c r="ET45" s="2443"/>
      <c r="EU45" s="2443"/>
      <c r="EV45" s="2443"/>
      <c r="EW45" s="2443"/>
      <c r="EX45" s="2443"/>
      <c r="EY45" s="2443"/>
      <c r="EZ45" s="2443"/>
      <c r="FA45" s="2443"/>
      <c r="FB45" s="2443"/>
      <c r="FC45" s="2443"/>
      <c r="FD45" s="2443"/>
      <c r="FE45" s="2443"/>
      <c r="FF45" s="2443"/>
      <c r="FG45" s="2443"/>
      <c r="FH45" s="2443"/>
      <c r="FI45" s="2443"/>
      <c r="FJ45" s="2443"/>
      <c r="FK45" s="2443"/>
      <c r="FL45" s="2443"/>
      <c r="FM45" s="2443"/>
      <c r="FN45" s="2443"/>
      <c r="FO45" s="2443"/>
      <c r="FP45" s="2443"/>
      <c r="FQ45" s="2443"/>
      <c r="FR45" s="2443"/>
      <c r="FS45" s="2443"/>
      <c r="FT45" s="2443"/>
      <c r="FU45" s="2443"/>
      <c r="FV45" s="2443"/>
      <c r="FW45" s="2443"/>
      <c r="FX45" s="2443"/>
      <c r="FY45" s="2443"/>
      <c r="FZ45" s="2443"/>
      <c r="GA45" s="2443"/>
      <c r="GB45" s="2443"/>
      <c r="GC45" s="2443"/>
      <c r="GD45" s="2443"/>
      <c r="GE45" s="2443"/>
      <c r="GF45" s="2443"/>
      <c r="GG45" s="2443"/>
      <c r="GH45" s="2443"/>
      <c r="GI45" s="2443"/>
      <c r="GJ45" s="2443"/>
      <c r="GK45" s="2443"/>
      <c r="GL45" s="2443"/>
      <c r="GM45" s="2443"/>
      <c r="GN45" s="2443"/>
      <c r="GO45" s="2443"/>
      <c r="GP45" s="2443"/>
      <c r="GQ45" s="2443"/>
      <c r="GR45" s="2443"/>
      <c r="GS45" s="2443"/>
      <c r="GT45" s="2443"/>
      <c r="GU45" s="2443"/>
      <c r="GV45" s="2443"/>
      <c r="GW45" s="2443"/>
      <c r="GX45" s="2443"/>
      <c r="GY45" s="2443"/>
      <c r="GZ45" s="2429"/>
      <c r="HA45" s="2443"/>
      <c r="HB45" s="2443"/>
      <c r="HC45" s="2443"/>
      <c r="HD45" s="2443"/>
      <c r="HE45" s="2443"/>
      <c r="HF45" s="2429">
        <v>452916</v>
      </c>
      <c r="HG45" s="2429">
        <v>452916</v>
      </c>
      <c r="HH45" s="2443"/>
      <c r="HI45" s="2443"/>
      <c r="HJ45" s="2443"/>
      <c r="HK45" s="2443"/>
      <c r="HL45" s="2443"/>
      <c r="HM45" s="2443"/>
      <c r="HN45" s="2443"/>
      <c r="HO45" s="2443"/>
      <c r="HP45" s="2443"/>
      <c r="HQ45" s="2443"/>
      <c r="HR45" s="2443"/>
      <c r="HS45" s="2443"/>
      <c r="HT45" s="2443"/>
      <c r="HU45" s="2443"/>
      <c r="HV45" s="2443"/>
      <c r="HW45" s="2443"/>
      <c r="HX45" s="2443"/>
      <c r="HY45" s="2443"/>
      <c r="HZ45" s="2443"/>
      <c r="IA45" s="2443"/>
      <c r="IB45" s="2443"/>
      <c r="IC45" s="2443"/>
      <c r="ID45" s="2443"/>
      <c r="IE45" s="2443"/>
      <c r="IF45" s="2443"/>
      <c r="IG45" s="2443"/>
      <c r="IH45" s="2443"/>
      <c r="II45" s="2443"/>
      <c r="IJ45" s="2443"/>
      <c r="IK45" s="2443"/>
      <c r="IL45" s="2443"/>
      <c r="IM45" s="2443"/>
      <c r="IN45" s="2443"/>
      <c r="IO45" s="2443"/>
      <c r="IP45" s="2443"/>
      <c r="IQ45" s="2443"/>
      <c r="IR45" s="2443"/>
      <c r="IS45" s="2443"/>
      <c r="IT45" s="2443"/>
      <c r="IU45" s="2443"/>
      <c r="IV45" s="2443"/>
      <c r="IW45" s="2443"/>
      <c r="IX45" s="2443"/>
      <c r="IY45" s="4015">
        <v>180325</v>
      </c>
      <c r="IZ45" s="2443"/>
      <c r="JA45" s="2443"/>
      <c r="JB45" s="2443"/>
      <c r="JC45" s="2443"/>
      <c r="JD45" s="2443"/>
      <c r="JE45" s="2443"/>
      <c r="JF45" s="2443"/>
      <c r="JG45" s="3703"/>
      <c r="JH45" s="1233"/>
      <c r="JI45" s="1393"/>
    </row>
    <row r="46" spans="1:269" x14ac:dyDescent="0.2">
      <c r="A46" s="1128">
        <v>4</v>
      </c>
      <c r="B46" s="1375" t="str">
        <f>IF(ASE_C_IND&gt;1,IF(HLOOKUP(ASE_C_IND-1,ASE_C_RANGE,A46)="","",HLOOKUP(ASE_C_IND-1,ASE_C_RANGE,A46)),"")</f>
        <v/>
      </c>
      <c r="C46" s="2626" t="s">
        <v>2088</v>
      </c>
      <c r="D46" s="2826" t="s">
        <v>576</v>
      </c>
      <c r="E46" s="2429"/>
      <c r="F46" s="2429"/>
      <c r="G46" s="2429"/>
      <c r="H46" s="2429"/>
      <c r="I46" s="2443"/>
      <c r="J46" s="2443"/>
      <c r="K46" s="2443"/>
      <c r="L46" s="2443"/>
      <c r="M46" s="2443"/>
      <c r="N46" s="2443"/>
      <c r="O46" s="2443"/>
      <c r="P46" s="2443"/>
      <c r="Q46" s="2443"/>
      <c r="R46" s="2443"/>
      <c r="S46" s="2443"/>
      <c r="T46" s="2443"/>
      <c r="U46" s="2443"/>
      <c r="V46" s="2443"/>
      <c r="W46" s="2443"/>
      <c r="X46" s="2443"/>
      <c r="Y46" s="2443"/>
      <c r="Z46" s="2443"/>
      <c r="AA46" s="2443"/>
      <c r="AB46" s="2443"/>
      <c r="AC46" s="2443"/>
      <c r="AD46" s="2443"/>
      <c r="AE46" s="2443"/>
      <c r="AF46" s="2443"/>
      <c r="AG46" s="2443"/>
      <c r="AH46" s="2443"/>
      <c r="AI46" s="2443"/>
      <c r="AJ46" s="2443"/>
      <c r="AK46" s="2443"/>
      <c r="AL46" s="2443"/>
      <c r="AM46" s="2443"/>
      <c r="AN46" s="2443"/>
      <c r="AO46" s="2443"/>
      <c r="AP46" s="2443"/>
      <c r="AQ46" s="2443"/>
      <c r="AR46" s="2443"/>
      <c r="AS46" s="2443"/>
      <c r="AT46" s="2443"/>
      <c r="AU46" s="2443"/>
      <c r="AV46" s="2443"/>
      <c r="AW46" s="2443"/>
      <c r="AX46" s="2443"/>
      <c r="AY46" s="2443"/>
      <c r="AZ46" s="2443"/>
      <c r="BA46" s="2443"/>
      <c r="BB46" s="2443"/>
      <c r="BC46" s="2443"/>
      <c r="BD46" s="2429"/>
      <c r="BE46" s="2443"/>
      <c r="BF46" s="2443"/>
      <c r="BG46" s="2443"/>
      <c r="BH46" s="2443"/>
      <c r="BI46" s="2443"/>
      <c r="BJ46" s="2443"/>
      <c r="BK46" s="2443"/>
      <c r="BL46" s="2443"/>
      <c r="BM46" s="2443"/>
      <c r="BN46" s="2443"/>
      <c r="BO46" s="2443"/>
      <c r="BP46" s="2443"/>
      <c r="BQ46" s="2443"/>
      <c r="BR46" s="2443"/>
      <c r="BS46" s="2443"/>
      <c r="BT46" s="2443"/>
      <c r="BU46" s="2443"/>
      <c r="BV46" s="2443"/>
      <c r="BW46" s="2443"/>
      <c r="BX46" s="2443"/>
      <c r="BY46" s="2443"/>
      <c r="BZ46" s="2443"/>
      <c r="CA46" s="2443"/>
      <c r="CB46" s="2443"/>
      <c r="CC46" s="2443"/>
      <c r="CD46" s="2443"/>
      <c r="CE46" s="2443"/>
      <c r="CF46" s="2443"/>
      <c r="CG46" s="2443"/>
      <c r="CH46" s="2443"/>
      <c r="CI46" s="2443"/>
      <c r="CJ46" s="2443"/>
      <c r="CK46" s="2443"/>
      <c r="CL46" s="2443"/>
      <c r="CM46" s="2443"/>
      <c r="CN46" s="2443"/>
      <c r="CO46" s="2443"/>
      <c r="CP46" s="2443"/>
      <c r="CQ46" s="2429"/>
      <c r="CR46" s="2443"/>
      <c r="CS46" s="2443"/>
      <c r="CT46" s="2443"/>
      <c r="CU46" s="2443"/>
      <c r="CV46" s="2429"/>
      <c r="CW46" s="2443"/>
      <c r="CX46" s="2443"/>
      <c r="CY46" s="2443"/>
      <c r="CZ46" s="2443"/>
      <c r="DA46" s="2443"/>
      <c r="DB46" s="2443"/>
      <c r="DC46" s="2443"/>
      <c r="DD46" s="2443"/>
      <c r="DE46" s="2443"/>
      <c r="DF46" s="2443"/>
      <c r="DG46" s="2443"/>
      <c r="DH46" s="2443"/>
      <c r="DI46" s="2443"/>
      <c r="DJ46" s="2443"/>
      <c r="DK46" s="2443"/>
      <c r="DL46" s="2443"/>
      <c r="DM46" s="2443"/>
      <c r="DN46" s="2443"/>
      <c r="DO46" s="2443"/>
      <c r="DP46" s="2443"/>
      <c r="DQ46" s="2443"/>
      <c r="DR46" s="2443"/>
      <c r="DS46" s="2443"/>
      <c r="DT46" s="2443"/>
      <c r="DU46" s="2443"/>
      <c r="DV46" s="2443"/>
      <c r="DW46" s="2443"/>
      <c r="DX46" s="2443"/>
      <c r="DY46" s="2443"/>
      <c r="DZ46" s="2443"/>
      <c r="EA46" s="2443"/>
      <c r="EB46" s="2443"/>
      <c r="EC46" s="2443"/>
      <c r="ED46" s="2443"/>
      <c r="EE46" s="2443"/>
      <c r="EF46" s="2443"/>
      <c r="EG46" s="2443"/>
      <c r="EH46" s="2443"/>
      <c r="EI46" s="2443"/>
      <c r="EJ46" s="2443"/>
      <c r="EK46" s="2443"/>
      <c r="EL46" s="2443"/>
      <c r="EM46" s="2443"/>
      <c r="EN46" s="2443"/>
      <c r="EO46" s="2443"/>
      <c r="EP46" s="2443"/>
      <c r="EQ46" s="2443"/>
      <c r="ER46" s="2443"/>
      <c r="ES46" s="2443"/>
      <c r="ET46" s="2443"/>
      <c r="EU46" s="2443"/>
      <c r="EV46" s="2443"/>
      <c r="EW46" s="2443"/>
      <c r="EX46" s="2443"/>
      <c r="EY46" s="2443"/>
      <c r="EZ46" s="2443"/>
      <c r="FA46" s="2443"/>
      <c r="FB46" s="2443"/>
      <c r="FC46" s="2443"/>
      <c r="FD46" s="2443"/>
      <c r="FE46" s="2443"/>
      <c r="FF46" s="2443"/>
      <c r="FG46" s="2443"/>
      <c r="FH46" s="2443"/>
      <c r="FI46" s="2443"/>
      <c r="FJ46" s="2443"/>
      <c r="FK46" s="2443"/>
      <c r="FL46" s="2443"/>
      <c r="FM46" s="2443"/>
      <c r="FN46" s="2443"/>
      <c r="FO46" s="2443"/>
      <c r="FP46" s="2443"/>
      <c r="FQ46" s="2443"/>
      <c r="FR46" s="2443"/>
      <c r="FS46" s="2443"/>
      <c r="FT46" s="2443"/>
      <c r="FU46" s="2443"/>
      <c r="FV46" s="2443"/>
      <c r="FW46" s="2443"/>
      <c r="FX46" s="2443"/>
      <c r="FY46" s="2443"/>
      <c r="FZ46" s="2443"/>
      <c r="GA46" s="2443"/>
      <c r="GB46" s="2443"/>
      <c r="GC46" s="2443"/>
      <c r="GD46" s="2443"/>
      <c r="GE46" s="2443"/>
      <c r="GF46" s="2443"/>
      <c r="GG46" s="2443"/>
      <c r="GH46" s="2443"/>
      <c r="GI46" s="2443"/>
      <c r="GJ46" s="2443"/>
      <c r="GK46" s="2443"/>
      <c r="GL46" s="2443"/>
      <c r="GM46" s="2443"/>
      <c r="GN46" s="2443"/>
      <c r="GO46" s="2443"/>
      <c r="GP46" s="2443"/>
      <c r="GQ46" s="2443"/>
      <c r="GR46" s="2443"/>
      <c r="GS46" s="2443"/>
      <c r="GT46" s="2443"/>
      <c r="GU46" s="2443"/>
      <c r="GV46" s="2443"/>
      <c r="GW46" s="2443"/>
      <c r="GX46" s="2443"/>
      <c r="GY46" s="2443"/>
      <c r="GZ46" s="2429"/>
      <c r="HA46" s="2443"/>
      <c r="HB46" s="2443"/>
      <c r="HC46" s="2443"/>
      <c r="HD46" s="2443"/>
      <c r="HE46" s="2443"/>
      <c r="HF46" s="2429"/>
      <c r="HG46" s="2429"/>
      <c r="HH46" s="2443"/>
      <c r="HI46" s="2443"/>
      <c r="HJ46" s="2443"/>
      <c r="HK46" s="2443"/>
      <c r="HL46" s="2443"/>
      <c r="HM46" s="2443"/>
      <c r="HN46" s="2443"/>
      <c r="HO46" s="2443"/>
      <c r="HP46" s="2443"/>
      <c r="HQ46" s="2443"/>
      <c r="HR46" s="2443"/>
      <c r="HS46" s="2443"/>
      <c r="HT46" s="2443"/>
      <c r="HU46" s="2443"/>
      <c r="HV46" s="2443"/>
      <c r="HW46" s="2443"/>
      <c r="HX46" s="2443"/>
      <c r="HY46" s="2443"/>
      <c r="HZ46" s="2443"/>
      <c r="IA46" s="2443"/>
      <c r="IB46" s="2443"/>
      <c r="IC46" s="2443"/>
      <c r="ID46" s="2443"/>
      <c r="IE46" s="2443"/>
      <c r="IF46" s="2443"/>
      <c r="IG46" s="2443"/>
      <c r="IH46" s="2443"/>
      <c r="II46" s="2443"/>
      <c r="IJ46" s="2443"/>
      <c r="IK46" s="2443"/>
      <c r="IL46" s="2443"/>
      <c r="IM46" s="2443"/>
      <c r="IN46" s="2443"/>
      <c r="IO46" s="2443"/>
      <c r="IP46" s="2443"/>
      <c r="IQ46" s="2443"/>
      <c r="IR46" s="2443"/>
      <c r="IS46" s="2443"/>
      <c r="IT46" s="2443"/>
      <c r="IU46" s="2443"/>
      <c r="IV46" s="2443"/>
      <c r="IW46" s="2443"/>
      <c r="IX46" s="2443"/>
      <c r="IY46" s="4037"/>
      <c r="IZ46" s="2443"/>
      <c r="JA46" s="2443"/>
      <c r="JB46" s="2443"/>
      <c r="JC46" s="2443"/>
      <c r="JD46" s="2443"/>
      <c r="JE46" s="2443"/>
      <c r="JF46" s="2443"/>
      <c r="JG46" s="3703"/>
      <c r="JH46" s="1233"/>
      <c r="JI46" s="1393"/>
    </row>
    <row r="47" spans="1:269" x14ac:dyDescent="0.2">
      <c r="A47" s="1128">
        <v>5</v>
      </c>
      <c r="B47" s="1375" t="str">
        <f>IF(ASE_C_IND&gt;1,IF(HLOOKUP(ASE_C_IND-1,ASE_C_RANGE,A47)="","",HLOOKUP(ASE_C_IND-1,ASE_C_RANGE,A47)),"")</f>
        <v/>
      </c>
      <c r="C47" s="2268" t="s">
        <v>2089</v>
      </c>
      <c r="D47" s="2826" t="s">
        <v>4891</v>
      </c>
      <c r="E47" s="2429"/>
      <c r="F47" s="2429"/>
      <c r="G47" s="2429"/>
      <c r="H47" s="2429"/>
      <c r="I47" s="2444"/>
      <c r="J47" s="2444"/>
      <c r="K47" s="2444"/>
      <c r="L47" s="2444"/>
      <c r="M47" s="2444"/>
      <c r="N47" s="2444"/>
      <c r="O47" s="2444"/>
      <c r="P47" s="2444"/>
      <c r="Q47" s="2444"/>
      <c r="R47" s="2444"/>
      <c r="S47" s="2444"/>
      <c r="T47" s="2444"/>
      <c r="U47" s="2444"/>
      <c r="V47" s="2444"/>
      <c r="W47" s="2444"/>
      <c r="X47" s="2444"/>
      <c r="Y47" s="2444"/>
      <c r="Z47" s="2444"/>
      <c r="AA47" s="2444"/>
      <c r="AB47" s="2444"/>
      <c r="AC47" s="2444"/>
      <c r="AD47" s="2444"/>
      <c r="AE47" s="2444"/>
      <c r="AF47" s="2444"/>
      <c r="AG47" s="2444"/>
      <c r="AH47" s="2444"/>
      <c r="AI47" s="2444"/>
      <c r="AJ47" s="2444"/>
      <c r="AK47" s="2444"/>
      <c r="AL47" s="2444"/>
      <c r="AM47" s="2444"/>
      <c r="AN47" s="2444"/>
      <c r="AO47" s="2444"/>
      <c r="AP47" s="2444"/>
      <c r="AQ47" s="2444"/>
      <c r="AR47" s="2444"/>
      <c r="AS47" s="2444"/>
      <c r="AT47" s="2444"/>
      <c r="AU47" s="2444"/>
      <c r="AV47" s="2444"/>
      <c r="AW47" s="2444"/>
      <c r="AX47" s="2444"/>
      <c r="AY47" s="2444"/>
      <c r="AZ47" s="2444"/>
      <c r="BA47" s="2444"/>
      <c r="BB47" s="2444"/>
      <c r="BC47" s="2444"/>
      <c r="BD47" s="2429"/>
      <c r="BE47" s="2444"/>
      <c r="BF47" s="2444"/>
      <c r="BG47" s="2444"/>
      <c r="BH47" s="2444"/>
      <c r="BI47" s="2444"/>
      <c r="BJ47" s="2444"/>
      <c r="BK47" s="2444"/>
      <c r="BL47" s="2444"/>
      <c r="BM47" s="2444"/>
      <c r="BN47" s="2444"/>
      <c r="BO47" s="2444"/>
      <c r="BP47" s="2444"/>
      <c r="BQ47" s="2444"/>
      <c r="BR47" s="2444"/>
      <c r="BS47" s="2444"/>
      <c r="BT47" s="2444"/>
      <c r="BU47" s="2444"/>
      <c r="BV47" s="2444"/>
      <c r="BW47" s="2444"/>
      <c r="BX47" s="2444"/>
      <c r="BY47" s="2444"/>
      <c r="BZ47" s="2444"/>
      <c r="CA47" s="2444"/>
      <c r="CB47" s="2444"/>
      <c r="CC47" s="2444"/>
      <c r="CD47" s="2444"/>
      <c r="CE47" s="2444"/>
      <c r="CF47" s="2444"/>
      <c r="CG47" s="2444"/>
      <c r="CH47" s="2444"/>
      <c r="CI47" s="2444"/>
      <c r="CJ47" s="2444"/>
      <c r="CK47" s="2444"/>
      <c r="CL47" s="2444"/>
      <c r="CM47" s="2444"/>
      <c r="CN47" s="2444"/>
      <c r="CO47" s="2444"/>
      <c r="CP47" s="2444"/>
      <c r="CQ47" s="2429"/>
      <c r="CR47" s="2444"/>
      <c r="CS47" s="2444"/>
      <c r="CT47" s="2444"/>
      <c r="CU47" s="2444"/>
      <c r="CV47" s="2429"/>
      <c r="CW47" s="2444"/>
      <c r="CX47" s="2444"/>
      <c r="CY47" s="2444"/>
      <c r="CZ47" s="2444"/>
      <c r="DA47" s="2444"/>
      <c r="DB47" s="2444"/>
      <c r="DC47" s="2444"/>
      <c r="DD47" s="2444"/>
      <c r="DE47" s="2444"/>
      <c r="DF47" s="2444"/>
      <c r="DG47" s="2444"/>
      <c r="DH47" s="2444"/>
      <c r="DI47" s="2444"/>
      <c r="DJ47" s="2444"/>
      <c r="DK47" s="2444"/>
      <c r="DL47" s="2444"/>
      <c r="DM47" s="2444"/>
      <c r="DN47" s="2444"/>
      <c r="DO47" s="2444"/>
      <c r="DP47" s="2444"/>
      <c r="DQ47" s="2444"/>
      <c r="DR47" s="2444"/>
      <c r="DS47" s="2444"/>
      <c r="DT47" s="2444"/>
      <c r="DU47" s="2444"/>
      <c r="DV47" s="2444"/>
      <c r="DW47" s="2444"/>
      <c r="DX47" s="2444"/>
      <c r="DY47" s="2444"/>
      <c r="DZ47" s="2444"/>
      <c r="EA47" s="2444"/>
      <c r="EB47" s="2444"/>
      <c r="EC47" s="2444"/>
      <c r="ED47" s="2444"/>
      <c r="EE47" s="2444"/>
      <c r="EF47" s="2444"/>
      <c r="EG47" s="2444"/>
      <c r="EH47" s="2444"/>
      <c r="EI47" s="2444"/>
      <c r="EJ47" s="2444"/>
      <c r="EK47" s="2444"/>
      <c r="EL47" s="2444"/>
      <c r="EM47" s="2444"/>
      <c r="EN47" s="2444"/>
      <c r="EO47" s="2444"/>
      <c r="EP47" s="2444"/>
      <c r="EQ47" s="2444"/>
      <c r="ER47" s="2444"/>
      <c r="ES47" s="2444"/>
      <c r="ET47" s="2444"/>
      <c r="EU47" s="2444"/>
      <c r="EV47" s="2444"/>
      <c r="EW47" s="2444"/>
      <c r="EX47" s="2444"/>
      <c r="EY47" s="2444"/>
      <c r="EZ47" s="2444"/>
      <c r="FA47" s="2444"/>
      <c r="FB47" s="2444"/>
      <c r="FC47" s="2444"/>
      <c r="FD47" s="2444"/>
      <c r="FE47" s="2444"/>
      <c r="FF47" s="2444"/>
      <c r="FG47" s="2444"/>
      <c r="FH47" s="2444"/>
      <c r="FI47" s="2444"/>
      <c r="FJ47" s="2444"/>
      <c r="FK47" s="2444"/>
      <c r="FL47" s="2444"/>
      <c r="FM47" s="2444"/>
      <c r="FN47" s="2444"/>
      <c r="FO47" s="2444"/>
      <c r="FP47" s="2444"/>
      <c r="FQ47" s="2444"/>
      <c r="FR47" s="2444"/>
      <c r="FS47" s="2444"/>
      <c r="FT47" s="2444"/>
      <c r="FU47" s="2444"/>
      <c r="FV47" s="2444"/>
      <c r="FW47" s="2444"/>
      <c r="FX47" s="2444"/>
      <c r="FY47" s="2444"/>
      <c r="FZ47" s="2444"/>
      <c r="GA47" s="2444"/>
      <c r="GB47" s="2444"/>
      <c r="GC47" s="2444"/>
      <c r="GD47" s="2444"/>
      <c r="GE47" s="2444"/>
      <c r="GF47" s="2444"/>
      <c r="GG47" s="2444"/>
      <c r="GH47" s="2444"/>
      <c r="GI47" s="2444"/>
      <c r="GJ47" s="2444"/>
      <c r="GK47" s="2444"/>
      <c r="GL47" s="2444"/>
      <c r="GM47" s="2444"/>
      <c r="GN47" s="2444"/>
      <c r="GO47" s="2444"/>
      <c r="GP47" s="2444"/>
      <c r="GQ47" s="2444"/>
      <c r="GR47" s="2444"/>
      <c r="GS47" s="2444"/>
      <c r="GT47" s="2444"/>
      <c r="GU47" s="2444"/>
      <c r="GV47" s="2444"/>
      <c r="GW47" s="2444"/>
      <c r="GX47" s="2444"/>
      <c r="GY47" s="2444"/>
      <c r="GZ47" s="2429"/>
      <c r="HA47" s="2444"/>
      <c r="HB47" s="2444"/>
      <c r="HC47" s="2444"/>
      <c r="HD47" s="2444"/>
      <c r="HE47" s="2444"/>
      <c r="HF47" s="2429"/>
      <c r="HG47" s="2429"/>
      <c r="HH47" s="2444"/>
      <c r="HI47" s="2444"/>
      <c r="HJ47" s="2444"/>
      <c r="HK47" s="2444"/>
      <c r="HL47" s="2444"/>
      <c r="HM47" s="2444"/>
      <c r="HN47" s="2444"/>
      <c r="HO47" s="2444"/>
      <c r="HP47" s="2444"/>
      <c r="HQ47" s="2444"/>
      <c r="HR47" s="2444"/>
      <c r="HS47" s="2444"/>
      <c r="HT47" s="2444"/>
      <c r="HU47" s="2444"/>
      <c r="HV47" s="2444"/>
      <c r="HW47" s="2444"/>
      <c r="HX47" s="2444"/>
      <c r="HY47" s="2444"/>
      <c r="HZ47" s="2444"/>
      <c r="IA47" s="2444"/>
      <c r="IB47" s="2444"/>
      <c r="IC47" s="2444"/>
      <c r="ID47" s="2444"/>
      <c r="IE47" s="2444"/>
      <c r="IF47" s="2444"/>
      <c r="IG47" s="2444"/>
      <c r="IH47" s="2444"/>
      <c r="II47" s="2444"/>
      <c r="IJ47" s="2444"/>
      <c r="IK47" s="2444"/>
      <c r="IL47" s="2444"/>
      <c r="IM47" s="2444"/>
      <c r="IN47" s="2444"/>
      <c r="IO47" s="2444"/>
      <c r="IP47" s="2444"/>
      <c r="IQ47" s="2444"/>
      <c r="IR47" s="2444"/>
      <c r="IS47" s="2444"/>
      <c r="IT47" s="2444"/>
      <c r="IU47" s="2444"/>
      <c r="IV47" s="2444"/>
      <c r="IW47" s="2444"/>
      <c r="IX47" s="2444"/>
      <c r="IY47" s="4038"/>
      <c r="IZ47" s="2444"/>
      <c r="JA47" s="2444"/>
      <c r="JB47" s="2444"/>
      <c r="JC47" s="2444"/>
      <c r="JD47" s="2444"/>
      <c r="JE47" s="2444"/>
      <c r="JF47" s="2444"/>
      <c r="JG47" s="3704"/>
      <c r="JH47" s="1233"/>
      <c r="JI47" s="1393"/>
    </row>
    <row ht="12.75" r="48" spans="1:269" thickBot="1" x14ac:dyDescent="0.25">
      <c r="A48" s="1128">
        <v>6</v>
      </c>
      <c r="B48" s="1375" t="str">
        <f>IF(ASE_C_IND&gt;1,IF(HLOOKUP(ASE_C_IND-1,ASE_C_RANGE,A48)="","",HLOOKUP(ASE_C_IND-1,ASE_C_RANGE,A48)),"")</f>
        <v/>
      </c>
      <c r="C48" s="2406" t="s">
        <v>712</v>
      </c>
      <c r="D48" s="2827" t="s">
        <v>4892</v>
      </c>
      <c r="E48" s="2828"/>
      <c r="F48" s="2828"/>
      <c r="G48" s="2828"/>
      <c r="H48" s="2828"/>
      <c r="I48" s="2445"/>
      <c r="J48" s="2445"/>
      <c r="K48" s="2445"/>
      <c r="L48" s="2445"/>
      <c r="M48" s="2445"/>
      <c r="N48" s="2445"/>
      <c r="O48" s="2445"/>
      <c r="P48" s="2445"/>
      <c r="Q48" s="2445"/>
      <c r="R48" s="2445"/>
      <c r="S48" s="2445"/>
      <c r="T48" s="2445"/>
      <c r="U48" s="2445"/>
      <c r="V48" s="2445"/>
      <c r="W48" s="2445"/>
      <c r="X48" s="2445"/>
      <c r="Y48" s="2445"/>
      <c r="Z48" s="2445"/>
      <c r="AA48" s="2445"/>
      <c r="AB48" s="2445"/>
      <c r="AC48" s="2445"/>
      <c r="AD48" s="2445"/>
      <c r="AE48" s="2445"/>
      <c r="AF48" s="2445"/>
      <c r="AG48" s="2445"/>
      <c r="AH48" s="2445"/>
      <c r="AI48" s="2445"/>
      <c r="AJ48" s="2445"/>
      <c r="AK48" s="2445"/>
      <c r="AL48" s="2445"/>
      <c r="AM48" s="2445"/>
      <c r="AN48" s="2445"/>
      <c r="AO48" s="2445"/>
      <c r="AP48" s="2445"/>
      <c r="AQ48" s="2445"/>
      <c r="AR48" s="2445"/>
      <c r="AS48" s="2445"/>
      <c r="AT48" s="2445"/>
      <c r="AU48" s="2445"/>
      <c r="AV48" s="2445"/>
      <c r="AW48" s="2445"/>
      <c r="AX48" s="2445"/>
      <c r="AY48" s="2445"/>
      <c r="AZ48" s="2445"/>
      <c r="BA48" s="2445"/>
      <c r="BB48" s="2445"/>
      <c r="BC48" s="2445"/>
      <c r="BD48" s="2828"/>
      <c r="BE48" s="2445"/>
      <c r="BF48" s="2445"/>
      <c r="BG48" s="2445"/>
      <c r="BH48" s="2445"/>
      <c r="BI48" s="2445"/>
      <c r="BJ48" s="2445"/>
      <c r="BK48" s="2445"/>
      <c r="BL48" s="2445"/>
      <c r="BM48" s="2445"/>
      <c r="BN48" s="2445"/>
      <c r="BO48" s="2445"/>
      <c r="BP48" s="2445"/>
      <c r="BQ48" s="2445"/>
      <c r="BR48" s="2445"/>
      <c r="BS48" s="2445"/>
      <c r="BT48" s="2445"/>
      <c r="BU48" s="2445"/>
      <c r="BV48" s="2445"/>
      <c r="BW48" s="2445"/>
      <c r="BX48" s="2445"/>
      <c r="BY48" s="2445"/>
      <c r="BZ48" s="2445"/>
      <c r="CA48" s="2445"/>
      <c r="CB48" s="2445"/>
      <c r="CC48" s="2445"/>
      <c r="CD48" s="2445"/>
      <c r="CE48" s="2445"/>
      <c r="CF48" s="2445"/>
      <c r="CG48" s="2445"/>
      <c r="CH48" s="2445"/>
      <c r="CI48" s="2445"/>
      <c r="CJ48" s="2445"/>
      <c r="CK48" s="2445"/>
      <c r="CL48" s="2445"/>
      <c r="CM48" s="2445"/>
      <c r="CN48" s="2445"/>
      <c r="CO48" s="2445"/>
      <c r="CP48" s="2445"/>
      <c r="CQ48" s="2828"/>
      <c r="CR48" s="2445"/>
      <c r="CS48" s="2445"/>
      <c r="CT48" s="2445"/>
      <c r="CU48" s="2445"/>
      <c r="CV48" s="2828"/>
      <c r="CW48" s="2445"/>
      <c r="CX48" s="2445"/>
      <c r="CY48" s="2445"/>
      <c r="CZ48" s="2445"/>
      <c r="DA48" s="2445"/>
      <c r="DB48" s="2445"/>
      <c r="DC48" s="2445"/>
      <c r="DD48" s="2445"/>
      <c r="DE48" s="2445"/>
      <c r="DF48" s="2445"/>
      <c r="DG48" s="2445"/>
      <c r="DH48" s="2445"/>
      <c r="DI48" s="2445"/>
      <c r="DJ48" s="2445"/>
      <c r="DK48" s="2445"/>
      <c r="DL48" s="2445"/>
      <c r="DM48" s="2445"/>
      <c r="DN48" s="2445"/>
      <c r="DO48" s="2445"/>
      <c r="DP48" s="2445"/>
      <c r="DQ48" s="2445"/>
      <c r="DR48" s="2445"/>
      <c r="DS48" s="2445"/>
      <c r="DT48" s="2445"/>
      <c r="DU48" s="2445"/>
      <c r="DV48" s="2445"/>
      <c r="DW48" s="2445"/>
      <c r="DX48" s="2445"/>
      <c r="DY48" s="2445"/>
      <c r="DZ48" s="2445"/>
      <c r="EA48" s="2445"/>
      <c r="EB48" s="2445"/>
      <c r="EC48" s="2445"/>
      <c r="ED48" s="2445"/>
      <c r="EE48" s="2445"/>
      <c r="EF48" s="2445"/>
      <c r="EG48" s="2445"/>
      <c r="EH48" s="2445"/>
      <c r="EI48" s="2445"/>
      <c r="EJ48" s="2445"/>
      <c r="EK48" s="2445"/>
      <c r="EL48" s="2445"/>
      <c r="EM48" s="2445"/>
      <c r="EN48" s="2445"/>
      <c r="EO48" s="2445"/>
      <c r="EP48" s="2445"/>
      <c r="EQ48" s="2445"/>
      <c r="ER48" s="2445"/>
      <c r="ES48" s="2445"/>
      <c r="ET48" s="2445"/>
      <c r="EU48" s="2445"/>
      <c r="EV48" s="2445"/>
      <c r="EW48" s="2445"/>
      <c r="EX48" s="2445"/>
      <c r="EY48" s="2445"/>
      <c r="EZ48" s="2445"/>
      <c r="FA48" s="2445"/>
      <c r="FB48" s="2445"/>
      <c r="FC48" s="2445"/>
      <c r="FD48" s="2445"/>
      <c r="FE48" s="2445"/>
      <c r="FF48" s="2445"/>
      <c r="FG48" s="2445"/>
      <c r="FH48" s="2445"/>
      <c r="FI48" s="2445"/>
      <c r="FJ48" s="2445"/>
      <c r="FK48" s="2445"/>
      <c r="FL48" s="2445"/>
      <c r="FM48" s="2445"/>
      <c r="FN48" s="2445"/>
      <c r="FO48" s="2445"/>
      <c r="FP48" s="2445"/>
      <c r="FQ48" s="2445"/>
      <c r="FR48" s="2445"/>
      <c r="FS48" s="2445"/>
      <c r="FT48" s="2445"/>
      <c r="FU48" s="2445"/>
      <c r="FV48" s="2445"/>
      <c r="FW48" s="2445"/>
      <c r="FX48" s="2445"/>
      <c r="FY48" s="2445"/>
      <c r="FZ48" s="2445"/>
      <c r="GA48" s="2445"/>
      <c r="GB48" s="2445"/>
      <c r="GC48" s="2445"/>
      <c r="GD48" s="2445"/>
      <c r="GE48" s="2445"/>
      <c r="GF48" s="2445"/>
      <c r="GG48" s="2445"/>
      <c r="GH48" s="2445"/>
      <c r="GI48" s="2445"/>
      <c r="GJ48" s="2445"/>
      <c r="GK48" s="2445"/>
      <c r="GL48" s="2445"/>
      <c r="GM48" s="2445"/>
      <c r="GN48" s="2445"/>
      <c r="GO48" s="2445"/>
      <c r="GP48" s="2445"/>
      <c r="GQ48" s="2445"/>
      <c r="GR48" s="2445"/>
      <c r="GS48" s="2445"/>
      <c r="GT48" s="2445"/>
      <c r="GU48" s="2445"/>
      <c r="GV48" s="2445"/>
      <c r="GW48" s="2445"/>
      <c r="GX48" s="2445"/>
      <c r="GY48" s="2445"/>
      <c r="GZ48" s="2828">
        <v>600</v>
      </c>
      <c r="HA48" s="2445"/>
      <c r="HB48" s="2445"/>
      <c r="HC48" s="2445"/>
      <c r="HD48" s="2445"/>
      <c r="HE48" s="2445"/>
      <c r="HF48" s="2828"/>
      <c r="HG48" s="2828"/>
      <c r="HH48" s="2445"/>
      <c r="HI48" s="2445"/>
      <c r="HJ48" s="2445"/>
      <c r="HK48" s="2445"/>
      <c r="HL48" s="2445"/>
      <c r="HM48" s="2445"/>
      <c r="HN48" s="2445"/>
      <c r="HO48" s="2445"/>
      <c r="HP48" s="2445"/>
      <c r="HQ48" s="2445"/>
      <c r="HR48" s="2445"/>
      <c r="HS48" s="2445"/>
      <c r="HT48" s="2445"/>
      <c r="HU48" s="2445"/>
      <c r="HV48" s="2445"/>
      <c r="HW48" s="2445"/>
      <c r="HX48" s="2445"/>
      <c r="HY48" s="2445"/>
      <c r="HZ48" s="2445"/>
      <c r="IA48" s="2445"/>
      <c r="IB48" s="2445"/>
      <c r="IC48" s="2445"/>
      <c r="ID48" s="2445"/>
      <c r="IE48" s="2445"/>
      <c r="IF48" s="2445"/>
      <c r="IG48" s="2445"/>
      <c r="IH48" s="2445"/>
      <c r="II48" s="2445"/>
      <c r="IJ48" s="2445"/>
      <c r="IK48" s="2445"/>
      <c r="IL48" s="2445"/>
      <c r="IM48" s="2445"/>
      <c r="IN48" s="2445"/>
      <c r="IO48" s="2445"/>
      <c r="IP48" s="2445"/>
      <c r="IQ48" s="2445"/>
      <c r="IR48" s="2445"/>
      <c r="IS48" s="2445"/>
      <c r="IT48" s="2445"/>
      <c r="IU48" s="2445"/>
      <c r="IV48" s="2445"/>
      <c r="IW48" s="2445"/>
      <c r="IX48" s="2445"/>
      <c r="IY48" s="4039"/>
      <c r="IZ48" s="2445"/>
      <c r="JA48" s="2445"/>
      <c r="JB48" s="2445"/>
      <c r="JC48" s="2445"/>
      <c r="JD48" s="2445"/>
      <c r="JE48" s="2445"/>
      <c r="JF48" s="2445"/>
      <c r="JG48" s="2829"/>
      <c r="JH48" s="1233"/>
      <c r="JI48" s="1393"/>
    </row>
    <row ht="12.75" r="49" spans="1:269" thickBot="1" x14ac:dyDescent="0.25">
      <c r="C49" s="673" t="s">
        <v>3831</v>
      </c>
      <c r="D49" s="673"/>
      <c r="E49" s="34"/>
      <c r="F49" s="34"/>
      <c r="G49" s="34"/>
      <c r="H49" s="34"/>
      <c r="I49" s="34"/>
      <c r="J49" s="34"/>
      <c r="K49" s="34"/>
      <c r="L49" s="34"/>
      <c r="M49" s="34"/>
      <c r="N49" s="34"/>
      <c r="O49" s="34"/>
      <c r="P49" s="34"/>
      <c r="Q49" s="34"/>
      <c r="R49" s="34"/>
      <c r="S49" s="34"/>
      <c r="T49" s="34"/>
      <c r="U49" s="34"/>
      <c r="V49" s="34"/>
      <c r="W49" s="34"/>
      <c r="X49" s="34"/>
      <c r="Y49" s="34"/>
      <c r="Z49" s="34"/>
      <c r="AA49" s="34"/>
      <c r="AB49" s="34"/>
      <c r="AC49" s="34"/>
      <c r="AI49" s="34"/>
      <c r="AJ49" s="34"/>
      <c r="AK49" s="34"/>
      <c r="AL49" s="34"/>
      <c r="AM49" s="34"/>
      <c r="AN49" s="34"/>
      <c r="AO49" s="34"/>
      <c r="AP49" s="34"/>
      <c r="AQ49" s="34"/>
      <c r="AR49" s="34"/>
      <c r="AS49" s="34"/>
      <c r="AT49" s="34"/>
      <c r="AU49" s="34"/>
      <c r="AV49" s="34"/>
      <c r="AW49" s="34"/>
      <c r="AX49" s="34"/>
      <c r="AY49" s="34"/>
      <c r="AZ49" s="34"/>
      <c r="BA49" s="34"/>
      <c r="BB49" s="34"/>
      <c r="BC49" s="34"/>
      <c r="BD49" s="34"/>
      <c r="BE49" s="34"/>
      <c r="BF49" s="34"/>
      <c r="BG49" s="34"/>
      <c r="BH49" s="34"/>
      <c r="BI49" s="34"/>
      <c r="BJ49" s="34"/>
      <c r="BK49" s="34"/>
      <c r="BL49" s="34"/>
      <c r="BM49" s="34"/>
      <c r="BN49" s="34"/>
      <c r="BO49" s="34"/>
      <c r="BP49" s="34"/>
      <c r="BQ49" s="34"/>
      <c r="BR49" s="34"/>
      <c r="BS49" s="34"/>
      <c r="BT49" s="34"/>
      <c r="BU49" s="34"/>
      <c r="BV49" s="34"/>
      <c r="BW49" s="34"/>
      <c r="BX49" s="34"/>
      <c r="BY49" s="34"/>
      <c r="BZ49" s="34"/>
      <c r="CA49" s="34"/>
      <c r="CB49" s="34"/>
      <c r="CC49" s="34"/>
      <c r="CD49" s="34"/>
      <c r="CE49" s="34"/>
      <c r="CF49" s="34"/>
      <c r="CG49" s="34"/>
      <c r="CH49" s="34"/>
      <c r="CI49" s="34"/>
      <c r="CJ49" s="34"/>
      <c r="CK49" s="34"/>
      <c r="CL49" s="34"/>
      <c r="CM49" s="34"/>
      <c r="CN49" s="34"/>
      <c r="CO49" s="34"/>
      <c r="CP49" s="34"/>
      <c r="CQ49" s="34"/>
      <c r="CR49" s="34"/>
      <c r="CS49" s="34"/>
      <c r="CT49" s="34"/>
      <c r="CU49" s="34"/>
      <c r="CV49" s="34"/>
      <c r="CW49" s="34"/>
      <c r="CX49" s="34"/>
      <c r="CY49" s="34"/>
      <c r="CZ49" s="34"/>
      <c r="DA49" s="34"/>
      <c r="DB49" s="34"/>
      <c r="DC49" s="34"/>
      <c r="DD49" s="34"/>
      <c r="DE49" s="34"/>
      <c r="DF49" s="34"/>
      <c r="DG49" s="34"/>
      <c r="DH49" s="34"/>
      <c r="DI49" s="34"/>
      <c r="DJ49" s="34"/>
      <c r="DK49" s="34"/>
      <c r="DL49" s="34"/>
      <c r="DM49" s="34"/>
      <c r="DN49" s="34"/>
      <c r="DO49" s="34"/>
      <c r="DP49" s="34"/>
      <c r="DQ49" s="34"/>
      <c r="DR49" s="34"/>
      <c r="DS49" s="34"/>
      <c r="DT49" s="34"/>
      <c r="DU49" s="34"/>
      <c r="DV49" s="34"/>
      <c r="DW49" s="34"/>
      <c r="DX49" s="34"/>
      <c r="DY49" s="34"/>
      <c r="DZ49" s="34"/>
      <c r="EA49" s="34"/>
      <c r="EB49" s="34"/>
      <c r="EC49" s="34"/>
      <c r="ED49" s="34"/>
      <c r="EE49" s="34"/>
      <c r="EF49" s="34"/>
      <c r="EG49" s="34"/>
      <c r="EH49" s="34"/>
      <c r="EI49" s="34"/>
      <c r="EJ49" s="34"/>
      <c r="EK49" s="34"/>
      <c r="EL49" s="34"/>
      <c r="EM49" s="34"/>
      <c r="EN49" s="34"/>
      <c r="EO49" s="34"/>
      <c r="EP49" s="34"/>
      <c r="EQ49" s="34"/>
      <c r="ER49" s="34"/>
      <c r="ES49" s="34"/>
      <c r="ET49" s="34"/>
      <c r="EU49" s="34"/>
      <c r="EV49" s="34"/>
      <c r="EW49" s="34"/>
      <c r="EX49" s="34"/>
      <c r="EY49" s="34"/>
      <c r="EZ49" s="34"/>
      <c r="FA49" s="34"/>
      <c r="FB49" s="34"/>
      <c r="FC49" s="34"/>
      <c r="FD49" s="34"/>
      <c r="FE49" s="34"/>
      <c r="FF49" s="34"/>
      <c r="FG49" s="34"/>
      <c r="FH49" s="34"/>
      <c r="FI49" s="34"/>
      <c r="FJ49" s="34"/>
      <c r="FK49" s="34"/>
      <c r="FL49" s="34"/>
      <c r="FM49" s="34"/>
      <c r="FN49" s="34"/>
      <c r="FO49" s="34"/>
      <c r="FP49" s="34"/>
      <c r="FQ49" s="34"/>
      <c r="FR49" s="34"/>
      <c r="FS49" s="34"/>
      <c r="FT49" s="34"/>
      <c r="FU49" s="34"/>
      <c r="FV49" s="34"/>
      <c r="FW49" s="34"/>
      <c r="FX49" s="34"/>
      <c r="FY49" s="34"/>
      <c r="FZ49" s="34"/>
      <c r="GA49" s="34"/>
      <c r="GB49" s="34"/>
      <c r="GC49" s="34"/>
      <c r="GD49" s="34"/>
      <c r="GE49" s="34"/>
      <c r="GF49" s="34"/>
      <c r="GG49" s="34"/>
      <c r="GH49" s="34"/>
      <c r="GI49" s="34"/>
      <c r="GJ49" s="34"/>
      <c r="GK49" s="34"/>
      <c r="GL49" s="34"/>
      <c r="GM49" s="34"/>
      <c r="GN49" s="34"/>
      <c r="GO49" s="34"/>
      <c r="GP49" s="34"/>
      <c r="GQ49" s="34"/>
      <c r="GR49" s="34"/>
      <c r="GS49" s="34"/>
      <c r="GT49" s="34"/>
      <c r="GU49" s="34"/>
      <c r="GV49" s="34"/>
      <c r="GW49" s="34"/>
      <c r="GX49" s="34"/>
      <c r="GY49" s="34"/>
      <c r="GZ49" s="34"/>
      <c r="HA49" s="34"/>
      <c r="HB49" s="34"/>
      <c r="HC49" s="34"/>
      <c r="HD49" s="34"/>
      <c r="HE49" s="34"/>
      <c r="HF49" s="34"/>
      <c r="HG49" s="34"/>
      <c r="HH49" s="34"/>
      <c r="HI49" s="34"/>
      <c r="HJ49" s="34"/>
      <c r="HK49" s="34"/>
      <c r="HL49" s="34"/>
      <c r="HM49" s="34"/>
      <c r="HN49" s="34"/>
      <c r="HO49" s="34"/>
      <c r="HP49" s="34"/>
      <c r="HQ49" s="34"/>
      <c r="HR49" s="34"/>
      <c r="HS49" s="34"/>
      <c r="HT49" s="34"/>
      <c r="HU49" s="34"/>
      <c r="HV49" s="34"/>
      <c r="HW49" s="34"/>
      <c r="HX49" s="34"/>
      <c r="HY49" s="34"/>
      <c r="HZ49" s="34"/>
      <c r="IA49" s="34"/>
      <c r="IB49" s="34"/>
      <c r="IC49" s="34"/>
      <c r="ID49" s="34"/>
      <c r="IE49" s="34"/>
      <c r="IF49" s="34"/>
      <c r="IG49" s="34"/>
      <c r="IH49" s="34"/>
      <c r="II49" s="34"/>
      <c r="IJ49" s="34"/>
      <c r="IK49" s="34"/>
      <c r="IL49" s="34"/>
      <c r="IM49" s="34"/>
      <c r="IN49" s="34"/>
      <c r="IO49" s="34"/>
      <c r="IP49" s="34"/>
      <c r="IQ49" s="34"/>
      <c r="IR49" s="34"/>
      <c r="IS49" s="34"/>
      <c r="IT49" s="34"/>
      <c r="IU49" s="34"/>
      <c r="IV49" s="34"/>
      <c r="IW49" s="34"/>
      <c r="IX49" s="34"/>
      <c r="IY49" s="34"/>
      <c r="IZ49" s="34"/>
      <c r="JI49" s="6"/>
    </row>
    <row r="50" spans="1:269" x14ac:dyDescent="0.2">
      <c r="A50" s="1128" t="s">
        <v>4479</v>
      </c>
      <c r="B50" s="1945" t="str">
        <f>"selected "&amp;AOR_IND-1</f>
        <v>selected 0</v>
      </c>
      <c r="C50" s="1251" t="s">
        <v>3830</v>
      </c>
      <c r="D50" s="1133"/>
      <c r="E50" s="2026">
        <v>1</v>
      </c>
      <c r="F50" s="2026">
        <v>2</v>
      </c>
      <c r="G50" s="2026">
        <v>3</v>
      </c>
      <c r="H50" s="2026">
        <v>4</v>
      </c>
      <c r="I50" s="2026">
        <v>5</v>
      </c>
      <c r="J50" s="2026">
        <v>6</v>
      </c>
      <c r="K50" s="2026">
        <v>7</v>
      </c>
      <c r="L50" s="2026">
        <v>8</v>
      </c>
      <c r="M50" s="2026">
        <v>9</v>
      </c>
      <c r="N50" s="2026">
        <v>10</v>
      </c>
      <c r="O50" s="2026">
        <v>11</v>
      </c>
      <c r="P50" s="2026">
        <v>12</v>
      </c>
      <c r="Q50" s="2026">
        <v>13</v>
      </c>
      <c r="R50" s="2026">
        <v>14</v>
      </c>
      <c r="S50" s="2026">
        <v>15</v>
      </c>
      <c r="T50" s="2026">
        <v>16</v>
      </c>
      <c r="U50" s="2026">
        <v>17</v>
      </c>
      <c r="V50" s="2026">
        <v>18</v>
      </c>
      <c r="W50" s="2026">
        <v>19</v>
      </c>
      <c r="X50" s="2026">
        <v>20</v>
      </c>
      <c r="Y50" s="2026">
        <v>21</v>
      </c>
      <c r="Z50" s="2026">
        <v>22</v>
      </c>
      <c r="AA50" s="2026">
        <v>23</v>
      </c>
      <c r="AB50" s="2026">
        <v>24</v>
      </c>
      <c r="AC50" s="2026">
        <v>25</v>
      </c>
      <c r="AD50" s="3502">
        <v>26</v>
      </c>
      <c r="AE50" s="3502">
        <v>27</v>
      </c>
      <c r="AF50" s="3502">
        <v>28</v>
      </c>
      <c r="AG50" s="3502">
        <v>29</v>
      </c>
      <c r="AH50" s="3502">
        <v>30</v>
      </c>
      <c r="AI50" s="2026">
        <v>31</v>
      </c>
      <c r="AJ50" s="2026">
        <v>32</v>
      </c>
      <c r="AK50" s="2026">
        <v>33</v>
      </c>
      <c r="AL50" s="2026">
        <v>34</v>
      </c>
      <c r="AM50" s="2026">
        <v>35</v>
      </c>
      <c r="AN50" s="2026">
        <v>36</v>
      </c>
      <c r="AO50" s="2026">
        <v>37</v>
      </c>
      <c r="AP50" s="2026">
        <v>38</v>
      </c>
      <c r="AQ50" s="2026">
        <v>39</v>
      </c>
      <c r="AR50" s="2026">
        <v>40</v>
      </c>
      <c r="AS50" s="2026">
        <v>41</v>
      </c>
      <c r="AT50" s="2026">
        <v>42</v>
      </c>
      <c r="AU50" s="2026">
        <v>43</v>
      </c>
      <c r="AV50" s="2026">
        <v>44</v>
      </c>
      <c r="AW50" s="2026">
        <v>45</v>
      </c>
      <c r="AX50" s="2026">
        <v>46</v>
      </c>
      <c r="AY50" s="2026">
        <v>47</v>
      </c>
      <c r="AZ50" s="2026">
        <v>48</v>
      </c>
      <c r="BA50" s="2026">
        <v>49</v>
      </c>
      <c r="BB50" s="2026">
        <v>50</v>
      </c>
      <c r="BC50" s="2026">
        <v>51</v>
      </c>
      <c r="BD50" s="2026">
        <v>52</v>
      </c>
      <c r="BE50" s="2026">
        <v>53</v>
      </c>
      <c r="BF50" s="2026">
        <v>54</v>
      </c>
      <c r="BG50" s="2026">
        <v>55</v>
      </c>
      <c r="BH50" s="2026">
        <v>56</v>
      </c>
      <c r="BI50" s="2026">
        <v>57</v>
      </c>
      <c r="BJ50" s="2026">
        <v>58</v>
      </c>
      <c r="BK50" s="2026">
        <v>59</v>
      </c>
      <c r="BL50" s="2026">
        <v>60</v>
      </c>
      <c r="BM50" s="2026">
        <v>61</v>
      </c>
      <c r="BN50" s="2026">
        <v>62</v>
      </c>
      <c r="BO50" s="2026">
        <v>63</v>
      </c>
      <c r="BP50" s="2026">
        <v>64</v>
      </c>
      <c r="BQ50" s="2026">
        <v>65</v>
      </c>
      <c r="BR50" s="2026">
        <v>66</v>
      </c>
      <c r="BS50" s="2026">
        <v>67</v>
      </c>
      <c r="BT50" s="2026">
        <v>68</v>
      </c>
      <c r="BU50" s="2026">
        <v>69</v>
      </c>
      <c r="BV50" s="2026">
        <v>70</v>
      </c>
      <c r="BW50" s="2026">
        <v>71</v>
      </c>
      <c r="BX50" s="2026">
        <v>72</v>
      </c>
      <c r="BY50" s="2026">
        <v>73</v>
      </c>
      <c r="BZ50" s="2026">
        <v>74</v>
      </c>
      <c r="CA50" s="2026">
        <v>75</v>
      </c>
      <c r="CB50" s="2026">
        <v>76</v>
      </c>
      <c r="CC50" s="2026">
        <v>77</v>
      </c>
      <c r="CD50" s="2026">
        <v>78</v>
      </c>
      <c r="CE50" s="2026">
        <v>79</v>
      </c>
      <c r="CF50" s="2026">
        <v>80</v>
      </c>
      <c r="CG50" s="2026">
        <v>81</v>
      </c>
      <c r="CH50" s="2026">
        <v>82</v>
      </c>
      <c r="CI50" s="2026">
        <v>83</v>
      </c>
      <c r="CJ50" s="2026">
        <v>84</v>
      </c>
      <c r="CK50" s="2026">
        <v>85</v>
      </c>
      <c r="CL50" s="2026">
        <v>86</v>
      </c>
      <c r="CM50" s="2026">
        <v>87</v>
      </c>
      <c r="CN50" s="2026">
        <v>88</v>
      </c>
      <c r="CO50" s="2026">
        <v>89</v>
      </c>
      <c r="CP50" s="2026">
        <v>90</v>
      </c>
      <c r="CQ50" s="2026">
        <v>91</v>
      </c>
      <c r="CR50" s="2026">
        <v>92</v>
      </c>
      <c r="CS50" s="2026">
        <v>93</v>
      </c>
      <c r="CT50" s="2026">
        <v>94</v>
      </c>
      <c r="CU50" s="2026">
        <v>95</v>
      </c>
      <c r="CV50" s="2026">
        <v>96</v>
      </c>
      <c r="CW50" s="2026">
        <v>97</v>
      </c>
      <c r="CX50" s="2026">
        <v>98</v>
      </c>
      <c r="CY50" s="2026">
        <v>99</v>
      </c>
      <c r="CZ50" s="2026">
        <v>100</v>
      </c>
      <c r="DA50" s="2026">
        <v>101</v>
      </c>
      <c r="DB50" s="2026">
        <v>102</v>
      </c>
      <c r="DC50" s="2026">
        <v>103</v>
      </c>
      <c r="DD50" s="2026">
        <v>104</v>
      </c>
      <c r="DE50" s="2026">
        <v>105</v>
      </c>
      <c r="DF50" s="2026">
        <v>106</v>
      </c>
      <c r="DG50" s="2026">
        <v>107</v>
      </c>
      <c r="DH50" s="2026">
        <v>108</v>
      </c>
      <c r="DI50" s="2026">
        <v>109</v>
      </c>
      <c r="DJ50" s="2026">
        <v>110</v>
      </c>
      <c r="DK50" s="2026">
        <v>111</v>
      </c>
      <c r="DL50" s="2026">
        <v>112</v>
      </c>
      <c r="DM50" s="2026">
        <v>113</v>
      </c>
      <c r="DN50" s="2026">
        <v>114</v>
      </c>
      <c r="DO50" s="2026">
        <v>115</v>
      </c>
      <c r="DP50" s="2026">
        <v>116</v>
      </c>
      <c r="DQ50" s="2026">
        <v>117</v>
      </c>
      <c r="DR50" s="2026">
        <v>118</v>
      </c>
      <c r="DS50" s="2026">
        <v>119</v>
      </c>
      <c r="DT50" s="2026">
        <v>120</v>
      </c>
      <c r="DU50" s="2026">
        <v>121</v>
      </c>
      <c r="DV50" s="2026">
        <v>122</v>
      </c>
      <c r="DW50" s="2026">
        <v>123</v>
      </c>
      <c r="DX50" s="2026">
        <v>124</v>
      </c>
      <c r="DY50" s="2026">
        <v>125</v>
      </c>
      <c r="DZ50" s="2026">
        <v>126</v>
      </c>
      <c r="EA50" s="2026">
        <v>127</v>
      </c>
      <c r="EB50" s="2026">
        <v>128</v>
      </c>
      <c r="EC50" s="2026">
        <v>129</v>
      </c>
      <c r="ED50" s="2026">
        <v>130</v>
      </c>
      <c r="EE50" s="2026">
        <v>131</v>
      </c>
      <c r="EF50" s="2026">
        <v>132</v>
      </c>
      <c r="EG50" s="2026">
        <v>133</v>
      </c>
      <c r="EH50" s="2026">
        <v>134</v>
      </c>
      <c r="EI50" s="2026">
        <v>135</v>
      </c>
      <c r="EJ50" s="2026">
        <v>136</v>
      </c>
      <c r="EK50" s="2026">
        <v>137</v>
      </c>
      <c r="EL50" s="2026">
        <v>138</v>
      </c>
      <c r="EM50" s="2026">
        <v>139</v>
      </c>
      <c r="EN50" s="2026">
        <v>140</v>
      </c>
      <c r="EO50" s="2026">
        <v>141</v>
      </c>
      <c r="EP50" s="2026">
        <v>142</v>
      </c>
      <c r="EQ50" s="2026">
        <v>143</v>
      </c>
      <c r="ER50" s="2026">
        <v>144</v>
      </c>
      <c r="ES50" s="2026">
        <v>145</v>
      </c>
      <c r="ET50" s="2026">
        <v>146</v>
      </c>
      <c r="EU50" s="2026">
        <v>147</v>
      </c>
      <c r="EV50" s="2026">
        <v>148</v>
      </c>
      <c r="EW50" s="2026">
        <v>149</v>
      </c>
      <c r="EX50" s="2026">
        <v>150</v>
      </c>
      <c r="EY50" s="2026">
        <v>151</v>
      </c>
      <c r="EZ50" s="2026">
        <v>152</v>
      </c>
      <c r="FA50" s="2026">
        <v>153</v>
      </c>
      <c r="FB50" s="2026">
        <v>154</v>
      </c>
      <c r="FC50" s="2026">
        <v>155</v>
      </c>
      <c r="FD50" s="2026">
        <v>156</v>
      </c>
      <c r="FE50" s="2026">
        <v>157</v>
      </c>
      <c r="FF50" s="2026">
        <v>158</v>
      </c>
      <c r="FG50" s="2026">
        <v>159</v>
      </c>
      <c r="FH50" s="2026">
        <v>160</v>
      </c>
      <c r="FI50" s="2026">
        <v>161</v>
      </c>
      <c r="FJ50" s="2026">
        <v>162</v>
      </c>
      <c r="FK50" s="2026">
        <v>163</v>
      </c>
      <c r="FL50" s="2026">
        <v>164</v>
      </c>
      <c r="FM50" s="2026">
        <v>165</v>
      </c>
      <c r="FN50" s="2026">
        <v>166</v>
      </c>
      <c r="FO50" s="2026">
        <v>167</v>
      </c>
      <c r="FP50" s="2026">
        <v>168</v>
      </c>
      <c r="FQ50" s="2026">
        <v>169</v>
      </c>
      <c r="FR50" s="2026">
        <v>170</v>
      </c>
      <c r="FS50" s="2026">
        <v>171</v>
      </c>
      <c r="FT50" s="2026">
        <v>172</v>
      </c>
      <c r="FU50" s="2026">
        <v>173</v>
      </c>
      <c r="FV50" s="2026">
        <v>174</v>
      </c>
      <c r="FW50" s="2026">
        <v>175</v>
      </c>
      <c r="FX50" s="2026">
        <v>176</v>
      </c>
      <c r="FY50" s="2026">
        <v>177</v>
      </c>
      <c r="FZ50" s="2026">
        <v>178</v>
      </c>
      <c r="GA50" s="2026">
        <v>179</v>
      </c>
      <c r="GB50" s="2026">
        <v>180</v>
      </c>
      <c r="GC50" s="2026">
        <v>181</v>
      </c>
      <c r="GD50" s="2026">
        <v>182</v>
      </c>
      <c r="GE50" s="2026">
        <v>183</v>
      </c>
      <c r="GF50" s="2026">
        <v>184</v>
      </c>
      <c r="GG50" s="2026">
        <v>185</v>
      </c>
      <c r="GH50" s="2026">
        <v>186</v>
      </c>
      <c r="GI50" s="2026">
        <v>187</v>
      </c>
      <c r="GJ50" s="2026">
        <v>188</v>
      </c>
      <c r="GK50" s="2026">
        <v>189</v>
      </c>
      <c r="GL50" s="2026">
        <v>190</v>
      </c>
      <c r="GM50" s="2026">
        <v>191</v>
      </c>
      <c r="GN50" s="2026">
        <v>192</v>
      </c>
      <c r="GO50" s="2026">
        <v>193</v>
      </c>
      <c r="GP50" s="2026">
        <v>194</v>
      </c>
      <c r="GQ50" s="2026">
        <v>195</v>
      </c>
      <c r="GR50" s="2026">
        <v>196</v>
      </c>
      <c r="GS50" s="2026">
        <v>197</v>
      </c>
      <c r="GT50" s="2026">
        <v>198</v>
      </c>
      <c r="GU50" s="2026">
        <v>199</v>
      </c>
      <c r="GV50" s="2026">
        <v>200</v>
      </c>
      <c r="GW50" s="2026">
        <v>201</v>
      </c>
      <c r="GX50" s="2026">
        <v>202</v>
      </c>
      <c r="GY50" s="2026">
        <v>203</v>
      </c>
      <c r="GZ50" s="2026">
        <v>204</v>
      </c>
      <c r="HA50" s="2026">
        <v>205</v>
      </c>
      <c r="HB50" s="2026">
        <v>206</v>
      </c>
      <c r="HC50" s="2026">
        <v>207</v>
      </c>
      <c r="HD50" s="2026">
        <v>208</v>
      </c>
      <c r="HE50" s="2026">
        <v>209</v>
      </c>
      <c r="HF50" s="2026">
        <v>210</v>
      </c>
      <c r="HG50" s="2026">
        <v>211</v>
      </c>
      <c r="HH50" s="2026">
        <v>212</v>
      </c>
      <c r="HI50" s="2026">
        <v>213</v>
      </c>
      <c r="HJ50" s="2026">
        <v>214</v>
      </c>
      <c r="HK50" s="2026">
        <v>215</v>
      </c>
      <c r="HL50" s="2026">
        <v>216</v>
      </c>
      <c r="HM50" s="2026">
        <v>217</v>
      </c>
      <c r="HN50" s="2026">
        <v>218</v>
      </c>
      <c r="HO50" s="2026">
        <v>219</v>
      </c>
      <c r="HP50" s="2026">
        <v>220</v>
      </c>
      <c r="HQ50" s="2026">
        <v>221</v>
      </c>
      <c r="HR50" s="2026">
        <v>222</v>
      </c>
      <c r="HS50" s="2026">
        <v>223</v>
      </c>
      <c r="HT50" s="2026">
        <v>224</v>
      </c>
      <c r="HU50" s="2026">
        <v>225</v>
      </c>
      <c r="HV50" s="2026">
        <v>226</v>
      </c>
      <c r="HW50" s="2026">
        <v>227</v>
      </c>
      <c r="HX50" s="2026">
        <v>228</v>
      </c>
      <c r="HY50" s="2026">
        <v>229</v>
      </c>
      <c r="HZ50" s="2026">
        <v>230</v>
      </c>
      <c r="IA50" s="2026">
        <v>231</v>
      </c>
      <c r="IB50" s="2026">
        <v>232</v>
      </c>
      <c r="IC50" s="2026">
        <v>233</v>
      </c>
      <c r="ID50" s="2026">
        <v>234</v>
      </c>
      <c r="IE50" s="2026">
        <v>235</v>
      </c>
      <c r="IF50" s="2026">
        <v>236</v>
      </c>
      <c r="IG50" s="2026">
        <v>237</v>
      </c>
      <c r="IH50" s="2026">
        <v>238</v>
      </c>
      <c r="II50" s="2026">
        <v>239</v>
      </c>
      <c r="IJ50" s="2026">
        <v>240</v>
      </c>
      <c r="IK50" s="2026">
        <v>241</v>
      </c>
      <c r="IL50" s="2026">
        <v>242</v>
      </c>
      <c r="IM50" s="2026">
        <v>243</v>
      </c>
      <c r="IN50" s="2026">
        <v>244</v>
      </c>
      <c r="IO50" s="2026">
        <v>245</v>
      </c>
      <c r="IP50" s="1134">
        <v>246</v>
      </c>
      <c r="IQ50" s="1134">
        <v>247</v>
      </c>
      <c r="IR50" s="1134">
        <v>248</v>
      </c>
      <c r="IS50" s="1134">
        <v>249</v>
      </c>
      <c r="IT50" s="1134">
        <v>250</v>
      </c>
      <c r="IU50" s="1134">
        <v>251</v>
      </c>
      <c r="IV50" s="1134">
        <v>252</v>
      </c>
      <c r="IW50" s="1134">
        <v>253</v>
      </c>
      <c r="IX50" s="1134">
        <v>254</v>
      </c>
      <c r="IY50" s="1134">
        <v>255</v>
      </c>
      <c r="IZ50" s="1134">
        <v>256</v>
      </c>
      <c r="JA50" s="1134">
        <v>257</v>
      </c>
      <c r="JB50" s="1134">
        <v>258</v>
      </c>
      <c r="JC50" s="1134">
        <v>259</v>
      </c>
      <c r="JD50" s="1134">
        <v>260</v>
      </c>
      <c r="JE50" s="1134">
        <v>261</v>
      </c>
      <c r="JF50" s="1134">
        <v>262</v>
      </c>
      <c r="JG50" s="2485">
        <v>263</v>
      </c>
      <c r="JH50" s="1233"/>
      <c r="JI50" s="1393"/>
    </row>
    <row r="51" spans="1:269" x14ac:dyDescent="0.2">
      <c r="A51" s="1128">
        <v>2</v>
      </c>
      <c r="B51" s="1132" t="str">
        <f>IF(AOR_IND&gt;1,IF(HLOOKUP(AOR_IND-1,AOR_RANGE,A51)="","",HLOOKUP(AOR_IND-1,AOR_RANGE,A51)),"")</f>
        <v/>
      </c>
      <c r="C51" s="2626" t="s">
        <v>2093</v>
      </c>
      <c r="D51" s="2403" t="s">
        <v>4893</v>
      </c>
      <c r="E51" s="2428"/>
      <c r="F51" s="2428"/>
      <c r="G51" s="2428"/>
      <c r="H51" s="2428"/>
      <c r="I51" s="2428"/>
      <c r="J51" s="2428"/>
      <c r="K51" s="2428"/>
      <c r="L51" s="2428"/>
      <c r="M51" s="2428"/>
      <c r="N51" s="2428"/>
      <c r="O51" s="2428"/>
      <c r="P51" s="2428"/>
      <c r="Q51" s="2428"/>
      <c r="R51" s="2428"/>
      <c r="S51" s="2428"/>
      <c r="T51" s="2428"/>
      <c r="U51" s="2428"/>
      <c r="V51" s="2428"/>
      <c r="W51" s="2428"/>
      <c r="X51" s="2428"/>
      <c r="Y51" s="2428"/>
      <c r="Z51" s="2428"/>
      <c r="AA51" s="2428"/>
      <c r="AB51" s="2428"/>
      <c r="AC51" s="2428"/>
      <c r="AD51" s="2428"/>
      <c r="AE51" s="2428"/>
      <c r="AF51" s="2428"/>
      <c r="AG51" s="2428"/>
      <c r="AH51" s="2428"/>
      <c r="AI51" s="2428"/>
      <c r="AJ51" s="2428"/>
      <c r="AK51" s="2428"/>
      <c r="AL51" s="2428"/>
      <c r="AM51" s="2428"/>
      <c r="AN51" s="2428"/>
      <c r="AO51" s="2428"/>
      <c r="AP51" s="2428"/>
      <c r="AQ51" s="2428">
        <v>20000</v>
      </c>
      <c r="AR51" s="2428"/>
      <c r="AS51" s="2428"/>
      <c r="AT51" s="2428"/>
      <c r="AU51" s="2428"/>
      <c r="AV51" s="2428"/>
      <c r="AW51" s="2428"/>
      <c r="AX51" s="2428"/>
      <c r="AY51" s="2428"/>
      <c r="AZ51" s="2428"/>
      <c r="BA51" s="2428"/>
      <c r="BB51" s="2428"/>
      <c r="BC51" s="2428"/>
      <c r="BD51" s="2428"/>
      <c r="BE51" s="2428"/>
      <c r="BF51" s="2428"/>
      <c r="BG51" s="2428"/>
      <c r="BH51" s="2428"/>
      <c r="BI51" s="2428"/>
      <c r="BJ51" s="2428"/>
      <c r="BK51" s="3945">
        <v>91000</v>
      </c>
      <c r="BL51" s="2428"/>
      <c r="BM51" s="2428"/>
      <c r="BN51" s="2428"/>
      <c r="BO51" s="2428"/>
      <c r="BP51" s="2428"/>
      <c r="BQ51" s="2428"/>
      <c r="BR51" s="2428"/>
      <c r="BS51" s="2428"/>
      <c r="BT51" s="2428"/>
      <c r="BU51" s="2428"/>
      <c r="BV51" s="2428"/>
      <c r="BW51" s="2428"/>
      <c r="BX51" s="2428"/>
      <c r="BY51" s="2428"/>
      <c r="BZ51" s="2428"/>
      <c r="CA51" s="2428"/>
      <c r="CB51" s="2429"/>
      <c r="CC51" s="2428"/>
      <c r="CD51" s="2429"/>
      <c r="CE51" s="2429"/>
      <c r="CF51" s="2429"/>
      <c r="CG51" s="2429"/>
      <c r="CH51" s="2429"/>
      <c r="CI51" s="2428"/>
      <c r="CJ51" s="2429"/>
      <c r="CK51" s="2429"/>
      <c r="CL51" s="2429"/>
      <c r="CM51" s="2429"/>
      <c r="CN51" s="2429"/>
      <c r="CO51" s="2429"/>
      <c r="CP51" s="2429"/>
      <c r="CQ51" s="2429"/>
      <c r="CR51" s="2428"/>
      <c r="CS51" s="2428"/>
      <c r="CT51" s="2429"/>
      <c r="CU51" s="2429"/>
      <c r="CV51" s="2429"/>
      <c r="CW51" s="2428"/>
      <c r="CX51" s="2429"/>
      <c r="CY51" s="2429"/>
      <c r="CZ51" s="2429"/>
      <c r="DA51" s="2428"/>
      <c r="DB51" s="2429"/>
      <c r="DC51" s="2428">
        <v>23998</v>
      </c>
      <c r="DD51" s="2429"/>
      <c r="DE51" s="2429"/>
      <c r="DF51" s="2429"/>
      <c r="DG51" s="2429"/>
      <c r="DH51" s="2428"/>
      <c r="DI51" s="2428"/>
      <c r="DJ51" s="2428">
        <v>23998</v>
      </c>
      <c r="DK51" s="2429"/>
      <c r="DL51" s="2429"/>
      <c r="DM51" s="2429"/>
      <c r="DN51" s="2429"/>
      <c r="DO51" s="2429"/>
      <c r="DP51" s="2429"/>
      <c r="DQ51" s="2429"/>
      <c r="DR51" s="2429"/>
      <c r="DS51" s="2429"/>
      <c r="DT51" s="2429"/>
      <c r="DU51" s="2429"/>
      <c r="DV51" s="2429"/>
      <c r="DW51" s="2429"/>
      <c r="DX51" s="2429"/>
      <c r="DY51" s="2429"/>
      <c r="DZ51" s="2429"/>
      <c r="EA51" s="2429"/>
      <c r="EB51" s="2429"/>
      <c r="EC51" s="2429"/>
      <c r="ED51" s="2429"/>
      <c r="EE51" s="2429"/>
      <c r="EF51" s="2429"/>
      <c r="EG51" s="2429"/>
      <c r="EH51" s="2429"/>
      <c r="EI51" s="2429"/>
      <c r="EJ51" s="2429"/>
      <c r="EK51" s="2429"/>
      <c r="EL51" s="2429"/>
      <c r="EM51" s="2429"/>
      <c r="EN51" s="2429"/>
      <c r="EO51" s="2429"/>
      <c r="EP51" s="2429"/>
      <c r="EQ51" s="2429"/>
      <c r="ER51" s="2429"/>
      <c r="ES51" s="2429"/>
      <c r="ET51" s="2429"/>
      <c r="EU51" s="2429"/>
      <c r="EV51" s="2429"/>
      <c r="EW51" s="2429"/>
      <c r="EX51" s="2429"/>
      <c r="EY51" s="2429"/>
      <c r="EZ51" s="2429"/>
      <c r="FA51" s="2429"/>
      <c r="FB51" s="2429"/>
      <c r="FC51" s="2429"/>
      <c r="FD51" s="2429"/>
      <c r="FE51" s="2429"/>
      <c r="FF51" s="2429"/>
      <c r="FG51" s="2429"/>
      <c r="FH51" s="2429"/>
      <c r="FI51" s="2429"/>
      <c r="FJ51" s="2429"/>
      <c r="FK51" s="2429"/>
      <c r="FL51" s="2429"/>
      <c r="FM51" s="2429"/>
      <c r="FN51" s="2429"/>
      <c r="FO51" s="2429"/>
      <c r="FP51" s="2429"/>
      <c r="FQ51" s="2429"/>
      <c r="FR51" s="2429"/>
      <c r="FS51" s="2429"/>
      <c r="FT51" s="2429"/>
      <c r="FU51" s="2429"/>
      <c r="FV51" s="2429"/>
      <c r="FW51" s="2429"/>
      <c r="FX51" s="2429"/>
      <c r="FY51" s="2429"/>
      <c r="FZ51" s="2429"/>
      <c r="GA51" s="2429"/>
      <c r="GB51" s="2429"/>
      <c r="GC51" s="2429"/>
      <c r="GD51" s="2429"/>
      <c r="GE51" s="2429"/>
      <c r="GF51" s="2429"/>
      <c r="GG51" s="2429"/>
      <c r="GH51" s="2429"/>
      <c r="GI51" s="2429"/>
      <c r="GJ51" s="2429"/>
      <c r="GK51" s="2429"/>
      <c r="GL51" s="2428"/>
      <c r="GM51" s="2428"/>
      <c r="GN51" s="2429"/>
      <c r="GO51" s="2429"/>
      <c r="GP51" s="2429"/>
      <c r="GQ51" s="2429"/>
      <c r="GR51" s="2429"/>
      <c r="GS51" s="2428">
        <v>20000</v>
      </c>
      <c r="GT51" s="2429"/>
      <c r="GU51" s="2429"/>
      <c r="GV51" s="2429"/>
      <c r="GW51" s="2429"/>
      <c r="GX51" s="2428"/>
      <c r="GY51" s="2429"/>
      <c r="GZ51" s="2429"/>
      <c r="HA51" s="2429"/>
      <c r="HB51" s="2429"/>
      <c r="HC51" s="2428"/>
      <c r="HD51" s="2429"/>
      <c r="HE51" s="2429"/>
      <c r="HF51" s="2429"/>
      <c r="HG51" s="2429"/>
      <c r="HH51" s="2429"/>
      <c r="HI51" s="2429"/>
      <c r="HJ51" s="2429"/>
      <c r="HK51" s="2429"/>
      <c r="HL51" s="2429"/>
      <c r="HM51" s="2429"/>
      <c r="HN51" s="2428"/>
      <c r="HO51" s="2429"/>
      <c r="HP51" s="2429"/>
      <c r="HQ51" s="2429"/>
      <c r="HR51" s="2429"/>
      <c r="HS51" s="2429"/>
      <c r="HT51" s="2429"/>
      <c r="HU51" s="2429"/>
      <c r="HV51" s="2429"/>
      <c r="HW51" s="2429"/>
      <c r="HX51" s="2429"/>
      <c r="HY51" s="2429"/>
      <c r="HZ51" s="2429"/>
      <c r="IA51" s="2429"/>
      <c r="IB51" s="2429"/>
      <c r="IC51" s="2429"/>
      <c r="ID51" s="2429"/>
      <c r="IE51" s="2429"/>
      <c r="IF51" s="2429"/>
      <c r="IG51" s="2429"/>
      <c r="IH51" s="2429"/>
      <c r="II51" s="2429"/>
      <c r="IJ51" s="2429"/>
      <c r="IK51" s="2429"/>
      <c r="IL51" s="2429"/>
      <c r="IM51" s="2429"/>
      <c r="IN51" s="2429"/>
      <c r="IO51" s="2429"/>
      <c r="IP51" s="2429"/>
      <c r="IQ51" s="2429"/>
      <c r="IR51" s="2429"/>
      <c r="IS51" s="2429"/>
      <c r="IT51" s="2429"/>
      <c r="IU51" s="2429"/>
      <c r="IV51" s="2429"/>
      <c r="IW51" s="2429"/>
      <c r="IX51" s="2429"/>
      <c r="IY51" s="2429"/>
      <c r="IZ51" s="2429"/>
      <c r="JA51" s="2429"/>
      <c r="JB51" s="2429"/>
      <c r="JC51" s="2429"/>
      <c r="JD51" s="2429"/>
      <c r="JE51" s="2429"/>
      <c r="JF51" s="2429"/>
      <c r="JG51" s="3702"/>
      <c r="JH51" s="1233"/>
      <c r="JI51" s="1393" t="s">
        <v>5414</v>
      </c>
    </row>
    <row r="52" spans="1:269" x14ac:dyDescent="0.2">
      <c r="A52" s="1128">
        <v>3</v>
      </c>
      <c r="B52" s="1132" t="str">
        <f ref="B52:B61" si="5" t="shared">IF(AOR_IND&gt;1,IF(HLOOKUP(AOR_IND-1,AOR_RANGE,A52)="","",HLOOKUP(AOR_IND-1,AOR_RANGE,A52)),"")</f>
        <v/>
      </c>
      <c r="C52" s="2626" t="s">
        <v>2094</v>
      </c>
      <c r="D52" s="2403" t="s">
        <v>4894</v>
      </c>
      <c r="E52" s="2428"/>
      <c r="F52" s="2428"/>
      <c r="G52" s="2428"/>
      <c r="H52" s="2428"/>
      <c r="I52" s="2428"/>
      <c r="J52" s="2428"/>
      <c r="K52" s="2428"/>
      <c r="L52" s="2428"/>
      <c r="M52" s="2428"/>
      <c r="N52" s="2428"/>
      <c r="O52" s="2428"/>
      <c r="P52" s="2428"/>
      <c r="Q52" s="2428"/>
      <c r="R52" s="2428"/>
      <c r="S52" s="2428"/>
      <c r="T52" s="2428"/>
      <c r="U52" s="2428"/>
      <c r="V52" s="2428"/>
      <c r="W52" s="2428"/>
      <c r="X52" s="2428"/>
      <c r="Y52" s="2428"/>
      <c r="Z52" s="2428"/>
      <c r="AA52" s="2428"/>
      <c r="AB52" s="2428"/>
      <c r="AC52" s="2428"/>
      <c r="AD52" s="2428"/>
      <c r="AE52" s="2428"/>
      <c r="AF52" s="2428"/>
      <c r="AG52" s="2428"/>
      <c r="AH52" s="2428"/>
      <c r="AI52" s="2428"/>
      <c r="AJ52" s="2428">
        <v>11000</v>
      </c>
      <c r="AK52" s="2428"/>
      <c r="AL52" s="2428"/>
      <c r="AM52" s="2428"/>
      <c r="AN52" s="2428"/>
      <c r="AO52" s="2428"/>
      <c r="AP52" s="2428"/>
      <c r="AQ52" s="2428"/>
      <c r="AR52" s="2428"/>
      <c r="AS52" s="2428"/>
      <c r="AT52" s="2428"/>
      <c r="AU52" s="2428"/>
      <c r="AV52" s="2428"/>
      <c r="AW52" s="2428"/>
      <c r="AX52" s="2428"/>
      <c r="AY52" s="2428"/>
      <c r="AZ52" s="2428"/>
      <c r="BA52" s="2428">
        <v>11000</v>
      </c>
      <c r="BB52" s="2428"/>
      <c r="BC52" s="2428"/>
      <c r="BD52" s="2428"/>
      <c r="BE52" s="2428"/>
      <c r="BF52" s="2428"/>
      <c r="BG52" s="2428"/>
      <c r="BH52" s="2428"/>
      <c r="BI52" s="2428"/>
      <c r="BJ52" s="2428"/>
      <c r="BK52" s="2428"/>
      <c r="BL52" s="2428"/>
      <c r="BM52" s="2428"/>
      <c r="BN52" s="2428"/>
      <c r="BO52" s="2428">
        <v>10000</v>
      </c>
      <c r="BP52" s="2428"/>
      <c r="BQ52" s="2428"/>
      <c r="BR52" s="2428"/>
      <c r="BS52" s="2428"/>
      <c r="BT52" s="2428"/>
      <c r="BU52" s="2428"/>
      <c r="BV52" s="2428"/>
      <c r="BW52" s="2428"/>
      <c r="BX52" s="2428"/>
      <c r="BY52" s="2428"/>
      <c r="BZ52" s="2428"/>
      <c r="CA52" s="2428"/>
      <c r="CB52" s="2429"/>
      <c r="CC52" s="2428"/>
      <c r="CD52" s="2429"/>
      <c r="CE52" s="2429"/>
      <c r="CF52" s="2429"/>
      <c r="CG52" s="2429"/>
      <c r="CH52" s="2429"/>
      <c r="CI52" s="2428"/>
      <c r="CJ52" s="2429"/>
      <c r="CK52" s="2429"/>
      <c r="CL52" s="2429"/>
      <c r="CM52" s="2429"/>
      <c r="CN52" s="2429"/>
      <c r="CO52" s="2429"/>
      <c r="CP52" s="2429"/>
      <c r="CQ52" s="2429"/>
      <c r="CR52" s="2428"/>
      <c r="CS52" s="2428"/>
      <c r="CT52" s="2429"/>
      <c r="CU52" s="2429"/>
      <c r="CV52" s="2429"/>
      <c r="CW52" s="2428">
        <v>2440</v>
      </c>
      <c r="CX52" s="2429"/>
      <c r="CY52" s="2429"/>
      <c r="CZ52" s="2429"/>
      <c r="DA52" s="2428"/>
      <c r="DB52" s="2429"/>
      <c r="DC52" s="2428">
        <v>13000</v>
      </c>
      <c r="DD52" s="2429"/>
      <c r="DE52" s="2429"/>
      <c r="DF52" s="2429"/>
      <c r="DG52" s="2429"/>
      <c r="DH52" s="2428"/>
      <c r="DI52" s="2428"/>
      <c r="DJ52" s="2428">
        <v>13000</v>
      </c>
      <c r="DK52" s="2429"/>
      <c r="DL52" s="2429"/>
      <c r="DM52" s="2429"/>
      <c r="DN52" s="2429"/>
      <c r="DO52" s="2429"/>
      <c r="DP52" s="2429"/>
      <c r="DQ52" s="2429"/>
      <c r="DR52" s="2429"/>
      <c r="DS52" s="2429"/>
      <c r="DT52" s="2429"/>
      <c r="DU52" s="2429"/>
      <c r="DV52" s="2429"/>
      <c r="DW52" s="2429"/>
      <c r="DX52" s="2429"/>
      <c r="DY52" s="2429"/>
      <c r="DZ52" s="2429"/>
      <c r="EA52" s="2429"/>
      <c r="EB52" s="2429"/>
      <c r="EC52" s="2429"/>
      <c r="ED52" s="2429"/>
      <c r="EE52" s="2429"/>
      <c r="EF52" s="2429"/>
      <c r="EG52" s="2429"/>
      <c r="EH52" s="2429"/>
      <c r="EI52" s="2429"/>
      <c r="EJ52" s="2429"/>
      <c r="EK52" s="2429"/>
      <c r="EL52" s="2429"/>
      <c r="EM52" s="2429"/>
      <c r="EN52" s="2429"/>
      <c r="EO52" s="2429"/>
      <c r="EP52" s="2429"/>
      <c r="EQ52" s="2429"/>
      <c r="ER52" s="2429"/>
      <c r="ES52" s="2429"/>
      <c r="ET52" s="2429"/>
      <c r="EU52" s="2429"/>
      <c r="EV52" s="2429"/>
      <c r="EW52" s="2429"/>
      <c r="EX52" s="2429"/>
      <c r="EY52" s="2429"/>
      <c r="EZ52" s="2429"/>
      <c r="FA52" s="2429"/>
      <c r="FB52" s="2429"/>
      <c r="FC52" s="2429"/>
      <c r="FD52" s="2429"/>
      <c r="FE52" s="2429"/>
      <c r="FF52" s="2429"/>
      <c r="FG52" s="2429"/>
      <c r="FH52" s="2429"/>
      <c r="FI52" s="2429"/>
      <c r="FJ52" s="2429"/>
      <c r="FK52" s="2429"/>
      <c r="FL52" s="2429"/>
      <c r="FM52" s="2429"/>
      <c r="FN52" s="2429"/>
      <c r="FO52" s="2429"/>
      <c r="FP52" s="2429"/>
      <c r="FQ52" s="2429"/>
      <c r="FR52" s="2429"/>
      <c r="FS52" s="2429"/>
      <c r="FT52" s="2429"/>
      <c r="FU52" s="2429"/>
      <c r="FV52" s="2429"/>
      <c r="FW52" s="2429"/>
      <c r="FX52" s="2429"/>
      <c r="FY52" s="2429"/>
      <c r="FZ52" s="2429"/>
      <c r="GA52" s="2429"/>
      <c r="GB52" s="2429"/>
      <c r="GC52" s="2429"/>
      <c r="GD52" s="2429"/>
      <c r="GE52" s="2429"/>
      <c r="GF52" s="2429"/>
      <c r="GG52" s="2429"/>
      <c r="GH52" s="2429"/>
      <c r="GI52" s="2429"/>
      <c r="GJ52" s="2429"/>
      <c r="GK52" s="2429"/>
      <c r="GL52" s="2428"/>
      <c r="GM52" s="2428">
        <v>10000</v>
      </c>
      <c r="GN52" s="2429"/>
      <c r="GO52" s="2429"/>
      <c r="GP52" s="2429"/>
      <c r="GQ52" s="2429"/>
      <c r="GR52" s="2429"/>
      <c r="GS52" s="2428"/>
      <c r="GT52" s="2429"/>
      <c r="GU52" s="2429"/>
      <c r="GV52" s="2429"/>
      <c r="GW52" s="2429"/>
      <c r="GX52" s="2428"/>
      <c r="GY52" s="2429"/>
      <c r="GZ52" s="2429"/>
      <c r="HA52" s="2429"/>
      <c r="HB52" s="2429"/>
      <c r="HC52" s="2428"/>
      <c r="HD52" s="2429"/>
      <c r="HE52" s="2429"/>
      <c r="HF52" s="2429"/>
      <c r="HG52" s="2429"/>
      <c r="HH52" s="2429"/>
      <c r="HI52" s="2429"/>
      <c r="HJ52" s="2429"/>
      <c r="HK52" s="2429"/>
      <c r="HL52" s="2429"/>
      <c r="HM52" s="2429"/>
      <c r="HN52" s="2428">
        <v>63376</v>
      </c>
      <c r="HO52" s="2429"/>
      <c r="HP52" s="2429"/>
      <c r="HQ52" s="2429"/>
      <c r="HR52" s="2429"/>
      <c r="HS52" s="2429"/>
      <c r="HT52" s="2429"/>
      <c r="HU52" s="2429"/>
      <c r="HV52" s="2429"/>
      <c r="HW52" s="2429"/>
      <c r="HX52" s="2429"/>
      <c r="HY52" s="2429"/>
      <c r="HZ52" s="2429"/>
      <c r="IA52" s="2429"/>
      <c r="IB52" s="2429"/>
      <c r="IC52" s="2429"/>
      <c r="ID52" s="2429"/>
      <c r="IE52" s="2429"/>
      <c r="IF52" s="2429"/>
      <c r="IG52" s="2429"/>
      <c r="IH52" s="2429"/>
      <c r="II52" s="2429"/>
      <c r="IJ52" s="2429"/>
      <c r="IK52" s="2429"/>
      <c r="IL52" s="2429"/>
      <c r="IM52" s="2429"/>
      <c r="IN52" s="2429"/>
      <c r="IO52" s="2429"/>
      <c r="IP52" s="2429"/>
      <c r="IQ52" s="2429"/>
      <c r="IR52" s="2429"/>
      <c r="IS52" s="2429"/>
      <c r="IT52" s="2429"/>
      <c r="IU52" s="2429"/>
      <c r="IV52" s="2429"/>
      <c r="IW52" s="2429"/>
      <c r="IX52" s="2429"/>
      <c r="IY52" s="2429"/>
      <c r="IZ52" s="2429"/>
      <c r="JA52" s="2429"/>
      <c r="JB52" s="2429"/>
      <c r="JC52" s="2429"/>
      <c r="JD52" s="2429"/>
      <c r="JE52" s="2429"/>
      <c r="JF52" s="2429"/>
      <c r="JG52" s="3702"/>
      <c r="JH52" s="1233"/>
      <c r="JI52" s="1393" t="s">
        <v>5415</v>
      </c>
    </row>
    <row r="53" spans="1:269" x14ac:dyDescent="0.2">
      <c r="A53" s="1128">
        <v>4</v>
      </c>
      <c r="B53" s="1132" t="str">
        <f si="5" t="shared"/>
        <v/>
      </c>
      <c r="C53" s="2626" t="s">
        <v>2095</v>
      </c>
      <c r="D53" s="2403" t="s">
        <v>2988</v>
      </c>
      <c r="E53" s="2428"/>
      <c r="F53" s="2428"/>
      <c r="G53" s="2428"/>
      <c r="H53" s="2428"/>
      <c r="I53" s="2428"/>
      <c r="J53" s="2428"/>
      <c r="K53" s="2428"/>
      <c r="L53" s="2428"/>
      <c r="M53" s="2428"/>
      <c r="N53" s="2428"/>
      <c r="O53" s="2428"/>
      <c r="P53" s="2428"/>
      <c r="Q53" s="2428"/>
      <c r="R53" s="2428"/>
      <c r="S53" s="2428"/>
      <c r="T53" s="2428"/>
      <c r="U53" s="2428"/>
      <c r="V53" s="2428"/>
      <c r="W53" s="2428"/>
      <c r="X53" s="2428"/>
      <c r="Y53" s="2428"/>
      <c r="Z53" s="2428"/>
      <c r="AA53" s="2428"/>
      <c r="AB53" s="2428"/>
      <c r="AC53" s="2428"/>
      <c r="AD53" s="2428"/>
      <c r="AE53" s="2428"/>
      <c r="AF53" s="2428"/>
      <c r="AG53" s="2428"/>
      <c r="AH53" s="2428"/>
      <c r="AI53" s="2428"/>
      <c r="AJ53" s="2428"/>
      <c r="AK53" s="2428"/>
      <c r="AL53" s="2428"/>
      <c r="AM53" s="2428"/>
      <c r="AN53" s="2428"/>
      <c r="AO53" s="2428"/>
      <c r="AP53" s="2428"/>
      <c r="AQ53" s="2428"/>
      <c r="AR53" s="2428"/>
      <c r="AS53" s="2428"/>
      <c r="AT53" s="2428"/>
      <c r="AU53" s="2428"/>
      <c r="AV53" s="2428"/>
      <c r="AW53" s="2428"/>
      <c r="AX53" s="2428"/>
      <c r="AY53" s="2428"/>
      <c r="AZ53" s="2428"/>
      <c r="BA53" s="2428"/>
      <c r="BB53" s="2428"/>
      <c r="BC53" s="2428"/>
      <c r="BD53" s="2428"/>
      <c r="BE53" s="2428"/>
      <c r="BF53" s="2428"/>
      <c r="BG53" s="2428"/>
      <c r="BH53" s="2428"/>
      <c r="BI53" s="2428"/>
      <c r="BJ53" s="2428"/>
      <c r="BK53" s="2428"/>
      <c r="BL53" s="2428"/>
      <c r="BM53" s="2428"/>
      <c r="BN53" s="2428"/>
      <c r="BO53" s="2428"/>
      <c r="BP53" s="2428"/>
      <c r="BQ53" s="2428"/>
      <c r="BR53" s="2428"/>
      <c r="BS53" s="2428"/>
      <c r="BT53" s="2428"/>
      <c r="BU53" s="2428"/>
      <c r="BV53" s="2428"/>
      <c r="BW53" s="2428"/>
      <c r="BX53" s="2428"/>
      <c r="BY53" s="2428"/>
      <c r="BZ53" s="2428"/>
      <c r="CA53" s="2428"/>
      <c r="CB53" s="2429"/>
      <c r="CC53" s="2428">
        <v>1200</v>
      </c>
      <c r="CD53" s="2429"/>
      <c r="CE53" s="2429"/>
      <c r="CF53" s="2429"/>
      <c r="CG53" s="2429"/>
      <c r="CH53" s="2429"/>
      <c r="CI53" s="2428">
        <v>1200</v>
      </c>
      <c r="CJ53" s="2429"/>
      <c r="CK53" s="2429"/>
      <c r="CL53" s="2429"/>
      <c r="CM53" s="2429"/>
      <c r="CN53" s="2429"/>
      <c r="CO53" s="2429"/>
      <c r="CP53" s="2429"/>
      <c r="CQ53" s="2429"/>
      <c r="CR53" s="2428"/>
      <c r="CS53" s="2428"/>
      <c r="CT53" s="2429"/>
      <c r="CU53" s="2429"/>
      <c r="CV53" s="2429"/>
      <c r="CW53" s="2428"/>
      <c r="CX53" s="2429"/>
      <c r="CY53" s="2429"/>
      <c r="CZ53" s="2429"/>
      <c r="DA53" s="2428"/>
      <c r="DB53" s="2429"/>
      <c r="DC53" s="2428"/>
      <c r="DD53" s="2429"/>
      <c r="DE53" s="2429"/>
      <c r="DF53" s="2429"/>
      <c r="DG53" s="2429"/>
      <c r="DH53" s="2428">
        <v>1200</v>
      </c>
      <c r="DI53" s="2428">
        <v>1200</v>
      </c>
      <c r="DJ53" s="2428"/>
      <c r="DK53" s="2429"/>
      <c r="DL53" s="2429"/>
      <c r="DM53" s="2429"/>
      <c r="DN53" s="2429"/>
      <c r="DO53" s="2429"/>
      <c r="DP53" s="2429"/>
      <c r="DQ53" s="2429"/>
      <c r="DR53" s="2429"/>
      <c r="DS53" s="2429"/>
      <c r="DT53" s="2429"/>
      <c r="DU53" s="2429"/>
      <c r="DV53" s="2429"/>
      <c r="DW53" s="2429"/>
      <c r="DX53" s="2429"/>
      <c r="DY53" s="2429"/>
      <c r="DZ53" s="2429"/>
      <c r="EA53" s="2429"/>
      <c r="EB53" s="2429"/>
      <c r="EC53" s="2429"/>
      <c r="ED53" s="2429"/>
      <c r="EE53" s="2429"/>
      <c r="EF53" s="2429"/>
      <c r="EG53" s="2429"/>
      <c r="EH53" s="2429"/>
      <c r="EI53" s="2429"/>
      <c r="EJ53" s="2429"/>
      <c r="EK53" s="2429"/>
      <c r="EL53" s="2429"/>
      <c r="EM53" s="2429"/>
      <c r="EN53" s="2429"/>
      <c r="EO53" s="2429"/>
      <c r="EP53" s="2429"/>
      <c r="EQ53" s="2429"/>
      <c r="ER53" s="2429"/>
      <c r="ES53" s="2429"/>
      <c r="ET53" s="2429"/>
      <c r="EU53" s="2429"/>
      <c r="EV53" s="2429"/>
      <c r="EW53" s="2429"/>
      <c r="EX53" s="2429"/>
      <c r="EY53" s="2429"/>
      <c r="EZ53" s="2429"/>
      <c r="FA53" s="2429"/>
      <c r="FB53" s="2429"/>
      <c r="FC53" s="2429"/>
      <c r="FD53" s="2429"/>
      <c r="FE53" s="2429"/>
      <c r="FF53" s="2429"/>
      <c r="FG53" s="2429"/>
      <c r="FH53" s="2429"/>
      <c r="FI53" s="2429"/>
      <c r="FJ53" s="2429"/>
      <c r="FK53" s="2429"/>
      <c r="FL53" s="2429"/>
      <c r="FM53" s="2429"/>
      <c r="FN53" s="2429"/>
      <c r="FO53" s="2429"/>
      <c r="FP53" s="2429"/>
      <c r="FQ53" s="2429"/>
      <c r="FR53" s="2429"/>
      <c r="FS53" s="2429"/>
      <c r="FT53" s="2429"/>
      <c r="FU53" s="2429"/>
      <c r="FV53" s="2429"/>
      <c r="FW53" s="2429"/>
      <c r="FX53" s="2429"/>
      <c r="FY53" s="2429"/>
      <c r="FZ53" s="2429"/>
      <c r="GA53" s="2429"/>
      <c r="GB53" s="2429"/>
      <c r="GC53" s="2429"/>
      <c r="GD53" s="2429"/>
      <c r="GE53" s="2429"/>
      <c r="GF53" s="2429"/>
      <c r="GG53" s="2429"/>
      <c r="GH53" s="2429"/>
      <c r="GI53" s="2429"/>
      <c r="GJ53" s="2429"/>
      <c r="GK53" s="2429"/>
      <c r="GL53" s="2428"/>
      <c r="GM53" s="2428"/>
      <c r="GN53" s="2429"/>
      <c r="GO53" s="2429"/>
      <c r="GP53" s="2429"/>
      <c r="GQ53" s="2429"/>
      <c r="GR53" s="2429"/>
      <c r="GS53" s="2428"/>
      <c r="GT53" s="2429"/>
      <c r="GU53" s="2429"/>
      <c r="GV53" s="2429"/>
      <c r="GW53" s="2429"/>
      <c r="GX53" s="2428">
        <v>1200</v>
      </c>
      <c r="GY53" s="2429"/>
      <c r="GZ53" s="2429"/>
      <c r="HA53" s="2429"/>
      <c r="HB53" s="2429"/>
      <c r="HC53" s="2428"/>
      <c r="HD53" s="2429"/>
      <c r="HE53" s="2429"/>
      <c r="HF53" s="2429"/>
      <c r="HG53" s="2429"/>
      <c r="HH53" s="2429"/>
      <c r="HI53" s="2429"/>
      <c r="HJ53" s="2429"/>
      <c r="HK53" s="2429"/>
      <c r="HL53" s="2429"/>
      <c r="HM53" s="2429"/>
      <c r="HN53" s="2428"/>
      <c r="HO53" s="2429"/>
      <c r="HP53" s="2429"/>
      <c r="HQ53" s="2429"/>
      <c r="HR53" s="2429"/>
      <c r="HS53" s="2429"/>
      <c r="HT53" s="2429"/>
      <c r="HU53" s="2429"/>
      <c r="HV53" s="2429"/>
      <c r="HW53" s="2429"/>
      <c r="HX53" s="2429"/>
      <c r="HY53" s="2429"/>
      <c r="HZ53" s="2429"/>
      <c r="IA53" s="2429"/>
      <c r="IB53" s="2429"/>
      <c r="IC53" s="2429"/>
      <c r="ID53" s="2429"/>
      <c r="IE53" s="2429"/>
      <c r="IF53" s="2429"/>
      <c r="IG53" s="2429"/>
      <c r="IH53" s="2429"/>
      <c r="II53" s="2429"/>
      <c r="IJ53" s="2429"/>
      <c r="IK53" s="2429"/>
      <c r="IL53" s="2429"/>
      <c r="IM53" s="2429"/>
      <c r="IN53" s="2429"/>
      <c r="IO53" s="2429"/>
      <c r="IP53" s="2429"/>
      <c r="IQ53" s="2429"/>
      <c r="IR53" s="2429"/>
      <c r="IS53" s="2429"/>
      <c r="IT53" s="2429"/>
      <c r="IU53" s="2429"/>
      <c r="IV53" s="2429"/>
      <c r="IW53" s="2429"/>
      <c r="IX53" s="2429"/>
      <c r="IY53" s="2429"/>
      <c r="IZ53" s="2429"/>
      <c r="JA53" s="2429"/>
      <c r="JB53" s="2429"/>
      <c r="JC53" s="2429"/>
      <c r="JD53" s="2429"/>
      <c r="JE53" s="2429"/>
      <c r="JF53" s="2429"/>
      <c r="JG53" s="3702"/>
      <c r="JH53" s="1233"/>
      <c r="JI53" s="1393"/>
    </row>
    <row r="54" spans="1:269" x14ac:dyDescent="0.2">
      <c r="A54" s="1128">
        <v>5</v>
      </c>
      <c r="B54" s="1132" t="str">
        <f si="5" t="shared"/>
        <v/>
      </c>
      <c r="C54" s="2626" t="s">
        <v>2096</v>
      </c>
      <c r="D54" s="2403" t="s">
        <v>4895</v>
      </c>
      <c r="E54" s="2428"/>
      <c r="F54" s="2428"/>
      <c r="G54" s="2428"/>
      <c r="H54" s="2428"/>
      <c r="I54" s="2428"/>
      <c r="J54" s="2428"/>
      <c r="K54" s="2428"/>
      <c r="L54" s="2428"/>
      <c r="M54" s="2428"/>
      <c r="N54" s="2428"/>
      <c r="O54" s="2428"/>
      <c r="P54" s="2428"/>
      <c r="Q54" s="2428"/>
      <c r="R54" s="2428"/>
      <c r="S54" s="2428"/>
      <c r="T54" s="2428"/>
      <c r="U54" s="2428"/>
      <c r="V54" s="2428"/>
      <c r="W54" s="2428"/>
      <c r="X54" s="2428"/>
      <c r="Y54" s="2428"/>
      <c r="Z54" s="2428"/>
      <c r="AA54" s="2428"/>
      <c r="AB54" s="2428"/>
      <c r="AC54" s="2428"/>
      <c r="AD54" s="2428"/>
      <c r="AE54" s="2428"/>
      <c r="AF54" s="2428"/>
      <c r="AG54" s="2428"/>
      <c r="AH54" s="2428"/>
      <c r="AI54" s="2428"/>
      <c r="AJ54" s="2428"/>
      <c r="AK54" s="2428"/>
      <c r="AL54" s="2428"/>
      <c r="AM54" s="2428"/>
      <c r="AN54" s="2428"/>
      <c r="AO54" s="2428"/>
      <c r="AP54" s="2428"/>
      <c r="AQ54" s="2428"/>
      <c r="AR54" s="2428"/>
      <c r="AS54" s="2428"/>
      <c r="AT54" s="2428"/>
      <c r="AU54" s="2428"/>
      <c r="AV54" s="2428"/>
      <c r="AW54" s="2428"/>
      <c r="AX54" s="2428"/>
      <c r="AY54" s="2428"/>
      <c r="AZ54" s="2428"/>
      <c r="BA54" s="2428"/>
      <c r="BB54" s="2428"/>
      <c r="BC54" s="2428">
        <v>470</v>
      </c>
      <c r="BD54" s="2428"/>
      <c r="BE54" s="2428"/>
      <c r="BF54" s="2428"/>
      <c r="BG54" s="2428"/>
      <c r="BH54" s="2428"/>
      <c r="BI54" s="2428"/>
      <c r="BJ54" s="2428"/>
      <c r="BK54" s="2428"/>
      <c r="BL54" s="2428"/>
      <c r="BM54" s="2428"/>
      <c r="BN54" s="2428"/>
      <c r="BO54" s="2428"/>
      <c r="BP54" s="2428"/>
      <c r="BQ54" s="2428"/>
      <c r="BR54" s="2428"/>
      <c r="BS54" s="2428"/>
      <c r="BT54" s="2428"/>
      <c r="BU54" s="2428"/>
      <c r="BV54" s="2428"/>
      <c r="BW54" s="2428"/>
      <c r="BX54" s="2428"/>
      <c r="BY54" s="2428"/>
      <c r="BZ54" s="2428"/>
      <c r="CA54" s="2428"/>
      <c r="CB54" s="2429"/>
      <c r="CC54" s="2428"/>
      <c r="CD54" s="2429"/>
      <c r="CE54" s="2429"/>
      <c r="CF54" s="2429"/>
      <c r="CG54" s="2429"/>
      <c r="CH54" s="2429"/>
      <c r="CI54" s="2428"/>
      <c r="CJ54" s="2429"/>
      <c r="CK54" s="2429"/>
      <c r="CL54" s="2429"/>
      <c r="CM54" s="2429"/>
      <c r="CN54" s="2429"/>
      <c r="CO54" s="2429"/>
      <c r="CP54" s="2429"/>
      <c r="CQ54" s="2429"/>
      <c r="CR54" s="2428">
        <v>470</v>
      </c>
      <c r="CS54" s="2428">
        <v>470</v>
      </c>
      <c r="CT54" s="2429"/>
      <c r="CU54" s="2429"/>
      <c r="CV54" s="2429"/>
      <c r="CW54" s="2428"/>
      <c r="CX54" s="2429"/>
      <c r="CY54" s="2429"/>
      <c r="CZ54" s="2429"/>
      <c r="DA54" s="2428"/>
      <c r="DB54" s="2429"/>
      <c r="DC54" s="2428"/>
      <c r="DD54" s="2429"/>
      <c r="DE54" s="2429"/>
      <c r="DF54" s="2429"/>
      <c r="DG54" s="2429"/>
      <c r="DH54" s="2428"/>
      <c r="DI54" s="2428"/>
      <c r="DJ54" s="2428"/>
      <c r="DK54" s="2429"/>
      <c r="DL54" s="2429"/>
      <c r="DM54" s="2429"/>
      <c r="DN54" s="2429"/>
      <c r="DO54" s="2429"/>
      <c r="DP54" s="2429"/>
      <c r="DQ54" s="2429"/>
      <c r="DR54" s="2429"/>
      <c r="DS54" s="2429"/>
      <c r="DT54" s="2429"/>
      <c r="DU54" s="2429"/>
      <c r="DV54" s="2429"/>
      <c r="DW54" s="2429"/>
      <c r="DX54" s="2429"/>
      <c r="DY54" s="2429"/>
      <c r="DZ54" s="2429"/>
      <c r="EA54" s="2429"/>
      <c r="EB54" s="2429"/>
      <c r="EC54" s="2429"/>
      <c r="ED54" s="2429"/>
      <c r="EE54" s="2429"/>
      <c r="EF54" s="2429"/>
      <c r="EG54" s="2429"/>
      <c r="EH54" s="2429"/>
      <c r="EI54" s="2429"/>
      <c r="EJ54" s="2429"/>
      <c r="EK54" s="2429"/>
      <c r="EL54" s="2429"/>
      <c r="EM54" s="2429"/>
      <c r="EN54" s="2429"/>
      <c r="EO54" s="2429"/>
      <c r="EP54" s="2429"/>
      <c r="EQ54" s="2429"/>
      <c r="ER54" s="2429"/>
      <c r="ES54" s="2429"/>
      <c r="ET54" s="2429"/>
      <c r="EU54" s="2429"/>
      <c r="EV54" s="2429"/>
      <c r="EW54" s="2429"/>
      <c r="EX54" s="2429"/>
      <c r="EY54" s="2429"/>
      <c r="EZ54" s="2429"/>
      <c r="FA54" s="2429"/>
      <c r="FB54" s="2429"/>
      <c r="FC54" s="2429"/>
      <c r="FD54" s="2429"/>
      <c r="FE54" s="2429"/>
      <c r="FF54" s="2429"/>
      <c r="FG54" s="2429"/>
      <c r="FH54" s="2429"/>
      <c r="FI54" s="2429"/>
      <c r="FJ54" s="2429"/>
      <c r="FK54" s="2429"/>
      <c r="FL54" s="2429"/>
      <c r="FM54" s="2429"/>
      <c r="FN54" s="2429"/>
      <c r="FO54" s="2429"/>
      <c r="FP54" s="2429"/>
      <c r="FQ54" s="2429"/>
      <c r="FR54" s="2429"/>
      <c r="FS54" s="2429"/>
      <c r="FT54" s="2429"/>
      <c r="FU54" s="2429"/>
      <c r="FV54" s="2429"/>
      <c r="FW54" s="2429"/>
      <c r="FX54" s="2429"/>
      <c r="FY54" s="2429"/>
      <c r="FZ54" s="2429"/>
      <c r="GA54" s="2429"/>
      <c r="GB54" s="2429"/>
      <c r="GC54" s="2429"/>
      <c r="GD54" s="2429"/>
      <c r="GE54" s="2429"/>
      <c r="GF54" s="2429"/>
      <c r="GG54" s="2429"/>
      <c r="GH54" s="2429"/>
      <c r="GI54" s="2429"/>
      <c r="GJ54" s="2429"/>
      <c r="GK54" s="2429"/>
      <c r="GL54" s="2428"/>
      <c r="GM54" s="2428"/>
      <c r="GN54" s="2429"/>
      <c r="GO54" s="2429"/>
      <c r="GP54" s="2429"/>
      <c r="GQ54" s="2429"/>
      <c r="GR54" s="2429"/>
      <c r="GS54" s="2428"/>
      <c r="GT54" s="2429"/>
      <c r="GU54" s="2429"/>
      <c r="GV54" s="2429"/>
      <c r="GW54" s="2429"/>
      <c r="GX54" s="2428"/>
      <c r="GY54" s="2429"/>
      <c r="GZ54" s="2429"/>
      <c r="HA54" s="2429"/>
      <c r="HB54" s="2429"/>
      <c r="HC54" s="2428"/>
      <c r="HD54" s="2429"/>
      <c r="HE54" s="2429"/>
      <c r="HF54" s="2429"/>
      <c r="HG54" s="2429"/>
      <c r="HH54" s="2429"/>
      <c r="HI54" s="2429"/>
      <c r="HJ54" s="2429"/>
      <c r="HK54" s="2429"/>
      <c r="HL54" s="2429"/>
      <c r="HM54" s="2429"/>
      <c r="HN54" s="2428"/>
      <c r="HO54" s="2429"/>
      <c r="HP54" s="2429"/>
      <c r="HQ54" s="2429"/>
      <c r="HR54" s="2429"/>
      <c r="HS54" s="2429"/>
      <c r="HT54" s="2429"/>
      <c r="HU54" s="2429"/>
      <c r="HV54" s="2429"/>
      <c r="HW54" s="2429"/>
      <c r="HX54" s="2429"/>
      <c r="HY54" s="2429"/>
      <c r="HZ54" s="2429"/>
      <c r="IA54" s="2429"/>
      <c r="IB54" s="2429"/>
      <c r="IC54" s="2429"/>
      <c r="ID54" s="2429"/>
      <c r="IE54" s="2429"/>
      <c r="IF54" s="2429"/>
      <c r="IG54" s="2429"/>
      <c r="IH54" s="2429"/>
      <c r="II54" s="2429"/>
      <c r="IJ54" s="2429"/>
      <c r="IK54" s="2429"/>
      <c r="IL54" s="2429"/>
      <c r="IM54" s="2429"/>
      <c r="IN54" s="2429"/>
      <c r="IO54" s="2429"/>
      <c r="IP54" s="2429"/>
      <c r="IQ54" s="2429"/>
      <c r="IR54" s="2429"/>
      <c r="IS54" s="2429"/>
      <c r="IT54" s="2429"/>
      <c r="IU54" s="2429"/>
      <c r="IV54" s="2429"/>
      <c r="IW54" s="2429"/>
      <c r="IX54" s="2429"/>
      <c r="IY54" s="2429"/>
      <c r="IZ54" s="2429"/>
      <c r="JA54" s="2429"/>
      <c r="JB54" s="2429"/>
      <c r="JC54" s="4253">
        <v>9000</v>
      </c>
      <c r="JD54" s="2429"/>
      <c r="JE54" s="2429"/>
      <c r="JF54" s="2429"/>
      <c r="JG54" s="3702"/>
      <c r="JH54" s="1233"/>
      <c r="JI54" s="1393"/>
    </row>
    <row r="55" spans="1:269" x14ac:dyDescent="0.2">
      <c r="A55" s="1128">
        <v>6</v>
      </c>
      <c r="B55" s="1132" t="str">
        <f si="5" t="shared"/>
        <v/>
      </c>
      <c r="C55" s="2626" t="s">
        <v>2097</v>
      </c>
      <c r="D55" s="2403" t="s">
        <v>4171</v>
      </c>
      <c r="E55" s="2428"/>
      <c r="F55" s="2428"/>
      <c r="G55" s="2428"/>
      <c r="H55" s="2428"/>
      <c r="I55" s="2428"/>
      <c r="J55" s="2428"/>
      <c r="K55" s="2428"/>
      <c r="L55" s="2428"/>
      <c r="M55" s="2428"/>
      <c r="N55" s="2428"/>
      <c r="O55" s="2428"/>
      <c r="P55" s="2428"/>
      <c r="Q55" s="2428"/>
      <c r="R55" s="2428"/>
      <c r="S55" s="2428"/>
      <c r="T55" s="2428"/>
      <c r="U55" s="2428"/>
      <c r="V55" s="2428"/>
      <c r="W55" s="2428"/>
      <c r="X55" s="2428"/>
      <c r="Y55" s="2428"/>
      <c r="Z55" s="2428"/>
      <c r="AA55" s="2428"/>
      <c r="AB55" s="2428"/>
      <c r="AC55" s="2428"/>
      <c r="AD55" s="2428"/>
      <c r="AE55" s="2428"/>
      <c r="AF55" s="2428"/>
      <c r="AG55" s="2428"/>
      <c r="AH55" s="2428"/>
      <c r="AI55" s="2428"/>
      <c r="AJ55" s="3127">
        <v>4225</v>
      </c>
      <c r="AK55" s="2428"/>
      <c r="AL55" s="2428"/>
      <c r="AM55" s="2428"/>
      <c r="AN55" s="2428"/>
      <c r="AO55" s="2428"/>
      <c r="AP55" s="2428"/>
      <c r="AQ55" s="2428"/>
      <c r="AR55" s="2428"/>
      <c r="AS55" s="2428"/>
      <c r="AT55" s="2428"/>
      <c r="AU55" s="2428"/>
      <c r="AV55" s="2428"/>
      <c r="AW55" s="2428"/>
      <c r="AX55" s="2428"/>
      <c r="AY55" s="2428"/>
      <c r="AZ55" s="2428"/>
      <c r="BA55" s="2428"/>
      <c r="BB55" s="2428"/>
      <c r="BC55" s="2428"/>
      <c r="BD55" s="2428">
        <v>228</v>
      </c>
      <c r="BE55" s="2428"/>
      <c r="BF55" s="2428"/>
      <c r="BG55" s="2428"/>
      <c r="BH55" s="2428"/>
      <c r="BI55" s="3945">
        <f>P_A+3100</f>
        <v>15600</v>
      </c>
      <c r="BJ55" s="2428"/>
      <c r="BK55" s="2428"/>
      <c r="BL55" s="2428"/>
      <c r="BM55" s="2428"/>
      <c r="BN55" s="2428"/>
      <c r="BO55" s="2428"/>
      <c r="BP55" s="2428"/>
      <c r="BQ55" s="2428"/>
      <c r="BR55" s="2428"/>
      <c r="BS55" s="2428"/>
      <c r="BT55" s="2428"/>
      <c r="BU55" s="2428"/>
      <c r="BV55" s="2428"/>
      <c r="BW55" s="2428"/>
      <c r="BX55" s="2428"/>
      <c r="BY55" s="2428"/>
      <c r="BZ55" s="2428"/>
      <c r="CA55" s="2428"/>
      <c r="CB55" s="4253">
        <v>53000</v>
      </c>
      <c r="CC55" s="2428">
        <v>2360</v>
      </c>
      <c r="CD55" s="2429"/>
      <c r="CE55" s="2429"/>
      <c r="CF55" s="2429"/>
      <c r="CG55" s="2429"/>
      <c r="CH55" s="2429"/>
      <c r="CI55" s="2428">
        <v>2360</v>
      </c>
      <c r="CJ55" s="2429"/>
      <c r="CK55" s="2429"/>
      <c r="CL55" s="2429"/>
      <c r="CM55" s="2429"/>
      <c r="CN55" s="2429"/>
      <c r="CO55" s="2429"/>
      <c r="CP55" s="2429"/>
      <c r="CQ55" s="2429"/>
      <c r="CR55" s="2428"/>
      <c r="CS55" s="2428"/>
      <c r="CT55" s="2429"/>
      <c r="CU55" s="2429"/>
      <c r="CV55" s="2429">
        <v>1000</v>
      </c>
      <c r="CW55" s="2428"/>
      <c r="CX55" s="2429"/>
      <c r="CY55" s="2429"/>
      <c r="CZ55" s="2429"/>
      <c r="DA55" s="2428">
        <v>228</v>
      </c>
      <c r="DB55" s="2429"/>
      <c r="DC55" s="2428"/>
      <c r="DD55" s="2429"/>
      <c r="DE55" s="2429"/>
      <c r="DF55" s="2429"/>
      <c r="DG55" s="2429"/>
      <c r="DH55" s="2428">
        <v>2360</v>
      </c>
      <c r="DI55" s="2428">
        <v>2360</v>
      </c>
      <c r="DJ55" s="2428"/>
      <c r="DK55" s="2429"/>
      <c r="DL55" s="2429"/>
      <c r="DM55" s="2429"/>
      <c r="DN55" s="2429"/>
      <c r="DO55" s="2429"/>
      <c r="DP55" s="2429"/>
      <c r="DQ55" s="2429"/>
      <c r="DR55" s="2429"/>
      <c r="DS55" s="2429"/>
      <c r="DT55" s="2429"/>
      <c r="DU55" s="2429"/>
      <c r="DV55" s="2429"/>
      <c r="DW55" s="2429"/>
      <c r="DX55" s="2429"/>
      <c r="DY55" s="2429"/>
      <c r="DZ55" s="2429"/>
      <c r="EA55" s="2429"/>
      <c r="EB55" s="2429"/>
      <c r="EC55" s="2429"/>
      <c r="ED55" s="2429"/>
      <c r="EE55" s="2429"/>
      <c r="EF55" s="2429"/>
      <c r="EG55" s="2429"/>
      <c r="EH55" s="2429"/>
      <c r="EI55" s="2429"/>
      <c r="EJ55" s="2429"/>
      <c r="EK55" s="2429"/>
      <c r="EL55" s="2429"/>
      <c r="EM55" s="2429"/>
      <c r="EN55" s="2429"/>
      <c r="EO55" s="2429"/>
      <c r="EP55" s="2429"/>
      <c r="EQ55" s="2429"/>
      <c r="ER55" s="2429"/>
      <c r="ES55" s="2429"/>
      <c r="ET55" s="2429"/>
      <c r="EU55" s="2429"/>
      <c r="EV55" s="2429"/>
      <c r="EW55" s="2429"/>
      <c r="EX55" s="2429"/>
      <c r="EY55" s="2429"/>
      <c r="EZ55" s="2429"/>
      <c r="FA55" s="2429"/>
      <c r="FB55" s="2429"/>
      <c r="FC55" s="2429"/>
      <c r="FD55" s="2429"/>
      <c r="FE55" s="2429"/>
      <c r="FF55" s="2429"/>
      <c r="FG55" s="2429"/>
      <c r="FH55" s="2429"/>
      <c r="FI55" s="2429"/>
      <c r="FJ55" s="2429"/>
      <c r="FK55" s="2429"/>
      <c r="FL55" s="2429"/>
      <c r="FM55" s="2429"/>
      <c r="FN55" s="2429"/>
      <c r="FO55" s="2429"/>
      <c r="FP55" s="2429"/>
      <c r="FQ55" s="2429"/>
      <c r="FR55" s="2429"/>
      <c r="FS55" s="2429"/>
      <c r="FT55" s="2429"/>
      <c r="FU55" s="2429"/>
      <c r="FV55" s="2429"/>
      <c r="FW55" s="2429"/>
      <c r="FX55" s="2429"/>
      <c r="FY55" s="2429"/>
      <c r="FZ55" s="2429"/>
      <c r="GA55" s="2429"/>
      <c r="GB55" s="2429"/>
      <c r="GC55" s="2429"/>
      <c r="GD55" s="2429"/>
      <c r="GE55" s="2429"/>
      <c r="GF55" s="2429"/>
      <c r="GG55" s="2429"/>
      <c r="GH55" s="2429"/>
      <c r="GI55" s="2429"/>
      <c r="GJ55" s="2429"/>
      <c r="GK55" s="2429"/>
      <c r="GL55" s="2428"/>
      <c r="GM55" s="2428"/>
      <c r="GN55" s="2429"/>
      <c r="GO55" s="2429"/>
      <c r="GP55" s="2429"/>
      <c r="GQ55" s="2429"/>
      <c r="GR55" s="2429"/>
      <c r="GS55" s="2428"/>
      <c r="GT55" s="2429"/>
      <c r="GU55" s="2429"/>
      <c r="GV55" s="2429"/>
      <c r="GW55" s="2429"/>
      <c r="GX55" s="2428">
        <v>2360</v>
      </c>
      <c r="GY55" s="2429"/>
      <c r="GZ55" s="2429"/>
      <c r="HA55" s="2429"/>
      <c r="HB55" s="2429"/>
      <c r="HC55" s="2428">
        <v>60000</v>
      </c>
      <c r="HD55" s="2429"/>
      <c r="HE55" s="2429"/>
      <c r="HF55" s="2429"/>
      <c r="HG55" s="2429"/>
      <c r="HH55" s="2429"/>
      <c r="HI55" s="2429"/>
      <c r="HJ55" s="2429"/>
      <c r="HK55" s="2429"/>
      <c r="HL55" s="2429"/>
      <c r="HM55" s="2429"/>
      <c r="HN55" s="2428"/>
      <c r="HO55" s="2429"/>
      <c r="HP55" s="2429"/>
      <c r="HQ55" s="2429"/>
      <c r="HR55" s="2429"/>
      <c r="HS55" s="2429"/>
      <c r="HT55" s="2429"/>
      <c r="HU55" s="2429"/>
      <c r="HV55" s="2429"/>
      <c r="HW55" s="2429"/>
      <c r="HX55" s="2429"/>
      <c r="HY55" s="2429"/>
      <c r="HZ55" s="2429"/>
      <c r="IA55" s="2429"/>
      <c r="IB55" s="2429"/>
      <c r="IC55" s="2429"/>
      <c r="ID55" s="2429"/>
      <c r="IE55" s="2429"/>
      <c r="IF55" s="2429"/>
      <c r="IG55" s="2429"/>
      <c r="IH55" s="2429"/>
      <c r="II55" s="2429"/>
      <c r="IJ55" s="2429"/>
      <c r="IK55" s="2429"/>
      <c r="IL55" s="2429"/>
      <c r="IM55" s="2429"/>
      <c r="IN55" s="2429"/>
      <c r="IO55" s="2429"/>
      <c r="IP55" s="2429"/>
      <c r="IQ55" s="3849">
        <v>355</v>
      </c>
      <c r="IR55" s="3849"/>
      <c r="IS55" s="2429"/>
      <c r="IT55" s="2429"/>
      <c r="IU55" s="2429"/>
      <c r="IV55" s="2429"/>
      <c r="IW55" s="2429"/>
      <c r="IX55" s="2429"/>
      <c r="IY55" s="2429"/>
      <c r="IZ55" s="2429"/>
      <c r="JA55" s="2429"/>
      <c r="JB55" s="2429"/>
      <c r="JC55" s="2429"/>
      <c r="JD55" s="2429"/>
      <c r="JE55" s="2429"/>
      <c r="JF55" s="2429"/>
      <c r="JG55" s="3702"/>
      <c r="JH55" s="1233"/>
      <c r="JI55" s="1393"/>
    </row>
    <row r="56" spans="1:269" x14ac:dyDescent="0.2">
      <c r="A56" s="1128">
        <v>7</v>
      </c>
      <c r="B56" s="1132" t="str">
        <f si="5" t="shared"/>
        <v/>
      </c>
      <c r="C56" s="2626" t="s">
        <v>2098</v>
      </c>
      <c r="D56" s="2403" t="s">
        <v>1882</v>
      </c>
      <c r="E56" s="2428"/>
      <c r="F56" s="2428"/>
      <c r="G56" s="2428"/>
      <c r="H56" s="2428"/>
      <c r="I56" s="2428"/>
      <c r="J56" s="2428"/>
      <c r="K56" s="2428"/>
      <c r="L56" s="2428"/>
      <c r="M56" s="2428"/>
      <c r="N56" s="2428"/>
      <c r="O56" s="2428"/>
      <c r="P56" s="2428"/>
      <c r="Q56" s="2428"/>
      <c r="R56" s="2428"/>
      <c r="S56" s="2428"/>
      <c r="T56" s="2428"/>
      <c r="U56" s="2428"/>
      <c r="V56" s="2428"/>
      <c r="W56" s="2428"/>
      <c r="X56" s="2428"/>
      <c r="Y56" s="2428"/>
      <c r="Z56" s="2428"/>
      <c r="AA56" s="2428"/>
      <c r="AB56" s="2428"/>
      <c r="AC56" s="2428"/>
      <c r="AD56" s="2428"/>
      <c r="AE56" s="2428"/>
      <c r="AF56" s="2428"/>
      <c r="AG56" s="2428"/>
      <c r="AH56" s="2428"/>
      <c r="AI56" s="2428"/>
      <c r="AJ56" s="2428"/>
      <c r="AK56" s="2428"/>
      <c r="AL56" s="2428"/>
      <c r="AM56" s="2428"/>
      <c r="AN56" s="2428"/>
      <c r="AO56" s="2428"/>
      <c r="AP56" s="2428"/>
      <c r="AQ56" s="2428"/>
      <c r="AR56" s="2428"/>
      <c r="AS56" s="2428"/>
      <c r="AT56" s="2428"/>
      <c r="AU56" s="2428"/>
      <c r="AV56" s="2428"/>
      <c r="AW56" s="2428"/>
      <c r="AX56" s="2428"/>
      <c r="AY56" s="2428"/>
      <c r="AZ56" s="2428"/>
      <c r="BA56" s="2428"/>
      <c r="BB56" s="2428"/>
      <c r="BC56" s="2428"/>
      <c r="BD56" s="2428">
        <v>1295</v>
      </c>
      <c r="BE56" s="2428"/>
      <c r="BF56" s="2428"/>
      <c r="BG56" s="2428"/>
      <c r="BH56" s="2428"/>
      <c r="BI56" s="2428"/>
      <c r="BJ56" s="2428"/>
      <c r="BK56" s="2428"/>
      <c r="BL56" s="2428"/>
      <c r="BM56" s="2428"/>
      <c r="BN56" s="2428"/>
      <c r="BO56" s="2428"/>
      <c r="BP56" s="2428"/>
      <c r="BQ56" s="2428"/>
      <c r="BR56" s="2428"/>
      <c r="BS56" s="2428"/>
      <c r="BT56" s="2428"/>
      <c r="BU56" s="2428"/>
      <c r="BV56" s="2428"/>
      <c r="BW56" s="2428"/>
      <c r="BX56" s="2428"/>
      <c r="BY56" s="2428"/>
      <c r="BZ56" s="2428"/>
      <c r="CA56" s="2428"/>
      <c r="CB56" s="2429"/>
      <c r="CC56" s="2428"/>
      <c r="CD56" s="2429"/>
      <c r="CE56" s="2429"/>
      <c r="CF56" s="2429"/>
      <c r="CG56" s="2429"/>
      <c r="CH56" s="2429"/>
      <c r="CI56" s="2428"/>
      <c r="CJ56" s="2429"/>
      <c r="CK56" s="2429"/>
      <c r="CL56" s="2429"/>
      <c r="CM56" s="2429"/>
      <c r="CN56" s="2429"/>
      <c r="CO56" s="2429"/>
      <c r="CP56" s="2429"/>
      <c r="CQ56" s="2429"/>
      <c r="CR56" s="2428"/>
      <c r="CS56" s="2428"/>
      <c r="CT56" s="2429"/>
      <c r="CU56" s="2429"/>
      <c r="CV56" s="2429"/>
      <c r="CW56" s="2428"/>
      <c r="CX56" s="2429"/>
      <c r="CY56" s="2429"/>
      <c r="CZ56" s="2429"/>
      <c r="DA56" s="2428">
        <v>1295</v>
      </c>
      <c r="DB56" s="2429"/>
      <c r="DC56" s="2428"/>
      <c r="DD56" s="2429"/>
      <c r="DE56" s="2429"/>
      <c r="DF56" s="2429"/>
      <c r="DG56" s="2429"/>
      <c r="DH56" s="2428"/>
      <c r="DI56" s="2428"/>
      <c r="DJ56" s="2428"/>
      <c r="DK56" s="2429"/>
      <c r="DL56" s="2429"/>
      <c r="DM56" s="2429"/>
      <c r="DN56" s="2429"/>
      <c r="DO56" s="2429"/>
      <c r="DP56" s="2429"/>
      <c r="DQ56" s="2429"/>
      <c r="DR56" s="2429"/>
      <c r="DS56" s="2429"/>
      <c r="DT56" s="2429"/>
      <c r="DU56" s="2429"/>
      <c r="DV56" s="2429"/>
      <c r="DW56" s="2429"/>
      <c r="DX56" s="2429"/>
      <c r="DY56" s="2429"/>
      <c r="DZ56" s="2429"/>
      <c r="EA56" s="2429"/>
      <c r="EB56" s="2429"/>
      <c r="EC56" s="2429"/>
      <c r="ED56" s="2429"/>
      <c r="EE56" s="2429"/>
      <c r="EF56" s="2429"/>
      <c r="EG56" s="2429"/>
      <c r="EH56" s="2429"/>
      <c r="EI56" s="2429"/>
      <c r="EJ56" s="2429"/>
      <c r="EK56" s="2429"/>
      <c r="EL56" s="2429"/>
      <c r="EM56" s="2429"/>
      <c r="EN56" s="2429"/>
      <c r="EO56" s="2429"/>
      <c r="EP56" s="2429"/>
      <c r="EQ56" s="2429"/>
      <c r="ER56" s="2429"/>
      <c r="ES56" s="2429"/>
      <c r="ET56" s="2429"/>
      <c r="EU56" s="2429"/>
      <c r="EV56" s="2429"/>
      <c r="EW56" s="2429"/>
      <c r="EX56" s="2429"/>
      <c r="EY56" s="2429"/>
      <c r="EZ56" s="2429"/>
      <c r="FA56" s="2429"/>
      <c r="FB56" s="2429"/>
      <c r="FC56" s="2429"/>
      <c r="FD56" s="2429"/>
      <c r="FE56" s="2429"/>
      <c r="FF56" s="2429"/>
      <c r="FG56" s="2429"/>
      <c r="FH56" s="2429"/>
      <c r="FI56" s="2429"/>
      <c r="FJ56" s="2429"/>
      <c r="FK56" s="2429"/>
      <c r="FL56" s="2429"/>
      <c r="FM56" s="2429"/>
      <c r="FN56" s="2429"/>
      <c r="FO56" s="2429"/>
      <c r="FP56" s="2429"/>
      <c r="FQ56" s="2429"/>
      <c r="FR56" s="2429"/>
      <c r="FS56" s="2429"/>
      <c r="FT56" s="2429"/>
      <c r="FU56" s="2429"/>
      <c r="FV56" s="2429"/>
      <c r="FW56" s="2429"/>
      <c r="FX56" s="2429"/>
      <c r="FY56" s="2429"/>
      <c r="FZ56" s="2429"/>
      <c r="GA56" s="2429"/>
      <c r="GB56" s="2429"/>
      <c r="GC56" s="2429"/>
      <c r="GD56" s="2429"/>
      <c r="GE56" s="2429"/>
      <c r="GF56" s="2429"/>
      <c r="GG56" s="2429"/>
      <c r="GH56" s="2429"/>
      <c r="GI56" s="2429"/>
      <c r="GJ56" s="2429"/>
      <c r="GK56" s="2429"/>
      <c r="GL56" s="2428"/>
      <c r="GM56" s="2428"/>
      <c r="GN56" s="2429"/>
      <c r="GO56" s="2429"/>
      <c r="GP56" s="2429"/>
      <c r="GQ56" s="2429"/>
      <c r="GR56" s="2429"/>
      <c r="GS56" s="2428"/>
      <c r="GT56" s="2429"/>
      <c r="GU56" s="2429"/>
      <c r="GV56" s="2429"/>
      <c r="GW56" s="2429"/>
      <c r="GX56" s="2428"/>
      <c r="GY56" s="2429"/>
      <c r="GZ56" s="2429"/>
      <c r="HA56" s="2429"/>
      <c r="HB56" s="2429"/>
      <c r="HC56" s="2428"/>
      <c r="HD56" s="2429"/>
      <c r="HE56" s="2429"/>
      <c r="HF56" s="2429"/>
      <c r="HG56" s="2429"/>
      <c r="HH56" s="2429"/>
      <c r="HI56" s="2429"/>
      <c r="HJ56" s="2429"/>
      <c r="HK56" s="2429"/>
      <c r="HL56" s="2429"/>
      <c r="HM56" s="2429"/>
      <c r="HN56" s="2428"/>
      <c r="HO56" s="2429"/>
      <c r="HP56" s="2429"/>
      <c r="HQ56" s="2429"/>
      <c r="HR56" s="2429"/>
      <c r="HS56" s="2429"/>
      <c r="HT56" s="2429"/>
      <c r="HU56" s="2429"/>
      <c r="HV56" s="2429"/>
      <c r="HW56" s="2429"/>
      <c r="HX56" s="2429"/>
      <c r="HY56" s="2429"/>
      <c r="HZ56" s="2429"/>
      <c r="IA56" s="2429"/>
      <c r="IB56" s="2429"/>
      <c r="IC56" s="2429"/>
      <c r="ID56" s="2429"/>
      <c r="IE56" s="2429"/>
      <c r="IF56" s="2429"/>
      <c r="IG56" s="2429"/>
      <c r="IH56" s="2429"/>
      <c r="II56" s="2429"/>
      <c r="IJ56" s="2429"/>
      <c r="IK56" s="2429"/>
      <c r="IL56" s="2429"/>
      <c r="IM56" s="2429"/>
      <c r="IN56" s="2429"/>
      <c r="IO56" s="2429"/>
      <c r="IP56" s="2429"/>
      <c r="IQ56" s="2429"/>
      <c r="IR56" s="2429"/>
      <c r="IS56" s="2429"/>
      <c r="IT56" s="2429"/>
      <c r="IU56" s="2429"/>
      <c r="IV56" s="2429"/>
      <c r="IW56" s="2429"/>
      <c r="IX56" s="2429"/>
      <c r="IY56" s="2429"/>
      <c r="IZ56" s="2429"/>
      <c r="JA56" s="2429"/>
      <c r="JB56" s="2429"/>
      <c r="JC56" s="2429"/>
      <c r="JD56" s="2429"/>
      <c r="JE56" s="2429"/>
      <c r="JF56" s="2429"/>
      <c r="JG56" s="3702"/>
      <c r="JH56" s="1233"/>
      <c r="JI56" s="1393"/>
    </row>
    <row r="57" spans="1:269" x14ac:dyDescent="0.2">
      <c r="A57" s="1128">
        <v>8</v>
      </c>
      <c r="B57" s="1132" t="str">
        <f si="5" t="shared"/>
        <v/>
      </c>
      <c r="C57" s="2626" t="s">
        <v>2099</v>
      </c>
      <c r="D57" s="2403" t="str">
        <f>"Maintenance payments (maximum "&amp;DOLLAR(SMP,0)&amp;")"</f>
        <v>Maintenance payments (maximum $3,450)</v>
      </c>
      <c r="E57" s="2428"/>
      <c r="F57" s="2428"/>
      <c r="G57" s="2428"/>
      <c r="H57" s="2428"/>
      <c r="I57" s="2428"/>
      <c r="J57" s="2428"/>
      <c r="K57" s="2428"/>
      <c r="L57" s="2428"/>
      <c r="M57" s="2428"/>
      <c r="N57" s="2428"/>
      <c r="O57" s="2428"/>
      <c r="P57" s="2428"/>
      <c r="Q57" s="2428"/>
      <c r="R57" s="2428"/>
      <c r="S57" s="2428"/>
      <c r="T57" s="2428"/>
      <c r="U57" s="2428"/>
      <c r="V57" s="2428"/>
      <c r="W57" s="2428"/>
      <c r="X57" s="2428"/>
      <c r="Y57" s="2428"/>
      <c r="Z57" s="2428"/>
      <c r="AA57" s="2428"/>
      <c r="AB57" s="2428"/>
      <c r="AC57" s="2428"/>
      <c r="AD57" s="2428"/>
      <c r="AE57" s="2428"/>
      <c r="AF57" s="2428"/>
      <c r="AG57" s="2428"/>
      <c r="AH57" s="2428"/>
      <c r="AI57" s="2428"/>
      <c r="AJ57" s="2428"/>
      <c r="AK57" s="2428"/>
      <c r="AL57" s="2428"/>
      <c r="AM57" s="2428"/>
      <c r="AN57" s="2428"/>
      <c r="AO57" s="2428"/>
      <c r="AP57" s="2428"/>
      <c r="AQ57" s="2428">
        <v>1820</v>
      </c>
      <c r="AR57" s="2428"/>
      <c r="AS57" s="2428"/>
      <c r="AT57" s="2428"/>
      <c r="AU57" s="2428"/>
      <c r="AV57" s="2428"/>
      <c r="AW57" s="2428"/>
      <c r="AX57" s="2428"/>
      <c r="AY57" s="2428"/>
      <c r="AZ57" s="2428"/>
      <c r="BA57" s="2428"/>
      <c r="BB57" s="2428"/>
      <c r="BC57" s="2428"/>
      <c r="BD57" s="2428"/>
      <c r="BE57" s="2428"/>
      <c r="BF57" s="2428"/>
      <c r="BG57" s="2428"/>
      <c r="BH57" s="2428"/>
      <c r="BI57" s="2428"/>
      <c r="BJ57" s="2428"/>
      <c r="BK57" s="2428"/>
      <c r="BL57" s="2428"/>
      <c r="BM57" s="2428"/>
      <c r="BN57" s="2428"/>
      <c r="BO57" s="2428"/>
      <c r="BP57" s="2428"/>
      <c r="BQ57" s="2428"/>
      <c r="BR57" s="2428"/>
      <c r="BS57" s="2428"/>
      <c r="BT57" s="2428"/>
      <c r="BU57" s="2428"/>
      <c r="BV57" s="2428"/>
      <c r="BW57" s="2428"/>
      <c r="BX57" s="2428"/>
      <c r="BY57" s="2428"/>
      <c r="BZ57" s="2428"/>
      <c r="CA57" s="2428"/>
      <c r="CB57" s="2429"/>
      <c r="CC57" s="2428"/>
      <c r="CD57" s="2429"/>
      <c r="CE57" s="2429"/>
      <c r="CF57" s="2429"/>
      <c r="CG57" s="2429"/>
      <c r="CH57" s="2429"/>
      <c r="CI57" s="2428"/>
      <c r="CJ57" s="2429"/>
      <c r="CK57" s="2429"/>
      <c r="CL57" s="2429"/>
      <c r="CM57" s="2429"/>
      <c r="CN57" s="2429"/>
      <c r="CO57" s="2429"/>
      <c r="CP57" s="2429"/>
      <c r="CQ57" s="2429"/>
      <c r="CR57" s="2428"/>
      <c r="CS57" s="2428"/>
      <c r="CT57" s="2429"/>
      <c r="CU57" s="2429"/>
      <c r="CV57" s="2429"/>
      <c r="CW57" s="2428"/>
      <c r="CX57" s="2429"/>
      <c r="CY57" s="2429"/>
      <c r="CZ57" s="2429"/>
      <c r="DA57" s="2428"/>
      <c r="DB57" s="2429"/>
      <c r="DC57" s="2428"/>
      <c r="DD57" s="2429"/>
      <c r="DE57" s="2429"/>
      <c r="DF57" s="2429"/>
      <c r="DG57" s="2429"/>
      <c r="DH57" s="2428"/>
      <c r="DI57" s="2428"/>
      <c r="DJ57" s="2428"/>
      <c r="DK57" s="2429"/>
      <c r="DL57" s="2429"/>
      <c r="DM57" s="2429"/>
      <c r="DN57" s="2429"/>
      <c r="DO57" s="2429"/>
      <c r="DP57" s="2429"/>
      <c r="DQ57" s="2429"/>
      <c r="DR57" s="2429"/>
      <c r="DS57" s="2429"/>
      <c r="DT57" s="2429"/>
      <c r="DU57" s="2429"/>
      <c r="DV57" s="2429"/>
      <c r="DW57" s="2429"/>
      <c r="DX57" s="2429"/>
      <c r="DY57" s="2429"/>
      <c r="DZ57" s="2429"/>
      <c r="EA57" s="2429"/>
      <c r="EB57" s="2429"/>
      <c r="EC57" s="2429"/>
      <c r="ED57" s="2429"/>
      <c r="EE57" s="2429"/>
      <c r="EF57" s="2429"/>
      <c r="EG57" s="2429"/>
      <c r="EH57" s="2429"/>
      <c r="EI57" s="2429"/>
      <c r="EJ57" s="2429"/>
      <c r="EK57" s="2429"/>
      <c r="EL57" s="2429"/>
      <c r="EM57" s="2429"/>
      <c r="EN57" s="2429"/>
      <c r="EO57" s="2429"/>
      <c r="EP57" s="2429"/>
      <c r="EQ57" s="2429"/>
      <c r="ER57" s="2429"/>
      <c r="ES57" s="2429"/>
      <c r="ET57" s="2429"/>
      <c r="EU57" s="2429"/>
      <c r="EV57" s="2429"/>
      <c r="EW57" s="2429"/>
      <c r="EX57" s="2429"/>
      <c r="EY57" s="2429"/>
      <c r="EZ57" s="2429"/>
      <c r="FA57" s="2429"/>
      <c r="FB57" s="2429"/>
      <c r="FC57" s="2429"/>
      <c r="FD57" s="2429"/>
      <c r="FE57" s="2429"/>
      <c r="FF57" s="2429"/>
      <c r="FG57" s="2429"/>
      <c r="FH57" s="2429"/>
      <c r="FI57" s="2429"/>
      <c r="FJ57" s="2429"/>
      <c r="FK57" s="2429"/>
      <c r="FL57" s="2429"/>
      <c r="FM57" s="2429"/>
      <c r="FN57" s="2429"/>
      <c r="FO57" s="2429"/>
      <c r="FP57" s="2429"/>
      <c r="FQ57" s="2429"/>
      <c r="FR57" s="2429"/>
      <c r="FS57" s="2429"/>
      <c r="FT57" s="2429"/>
      <c r="FU57" s="2429"/>
      <c r="FV57" s="2429"/>
      <c r="FW57" s="2429"/>
      <c r="FX57" s="2429"/>
      <c r="FY57" s="2429"/>
      <c r="FZ57" s="2429"/>
      <c r="GA57" s="2429"/>
      <c r="GB57" s="2429"/>
      <c r="GC57" s="2429"/>
      <c r="GD57" s="2429"/>
      <c r="GE57" s="2429"/>
      <c r="GF57" s="2429"/>
      <c r="GG57" s="2429"/>
      <c r="GH57" s="2429"/>
      <c r="GI57" s="2429"/>
      <c r="GJ57" s="2429"/>
      <c r="GK57" s="2429"/>
      <c r="GL57" s="2428"/>
      <c r="GM57" s="2428"/>
      <c r="GN57" s="2429"/>
      <c r="GO57" s="2429"/>
      <c r="GP57" s="2429"/>
      <c r="GQ57" s="2429"/>
      <c r="GR57" s="2429"/>
      <c r="GS57" s="2428">
        <v>1820</v>
      </c>
      <c r="GT57" s="2429"/>
      <c r="GU57" s="2429"/>
      <c r="GV57" s="2429"/>
      <c r="GW57" s="2429"/>
      <c r="GX57" s="2428"/>
      <c r="GY57" s="2429"/>
      <c r="GZ57" s="2429"/>
      <c r="HA57" s="2429"/>
      <c r="HB57" s="2429"/>
      <c r="HC57" s="2428"/>
      <c r="HD57" s="2429"/>
      <c r="HE57" s="2429"/>
      <c r="HF57" s="2429"/>
      <c r="HG57" s="2429"/>
      <c r="HH57" s="2429"/>
      <c r="HI57" s="2429"/>
      <c r="HJ57" s="2429"/>
      <c r="HK57" s="2429"/>
      <c r="HL57" s="2429"/>
      <c r="HM57" s="2429"/>
      <c r="HN57" s="2428"/>
      <c r="HO57" s="2429"/>
      <c r="HP57" s="2429"/>
      <c r="HQ57" s="2429"/>
      <c r="HR57" s="2429"/>
      <c r="HS57" s="2429"/>
      <c r="HT57" s="2429"/>
      <c r="HU57" s="2429"/>
      <c r="HV57" s="2429"/>
      <c r="HW57" s="2429"/>
      <c r="HX57" s="2429"/>
      <c r="HY57" s="2429"/>
      <c r="HZ57" s="2429"/>
      <c r="IA57" s="2429"/>
      <c r="IB57" s="2429"/>
      <c r="IC57" s="2429"/>
      <c r="ID57" s="2429"/>
      <c r="IE57" s="2429"/>
      <c r="IF57" s="2429"/>
      <c r="IG57" s="2429"/>
      <c r="IH57" s="2429"/>
      <c r="II57" s="2429"/>
      <c r="IJ57" s="2429"/>
      <c r="IK57" s="2429"/>
      <c r="IL57" s="2429"/>
      <c r="IM57" s="2429"/>
      <c r="IN57" s="2429"/>
      <c r="IO57" s="2429"/>
      <c r="IP57" s="2429"/>
      <c r="IQ57" s="2429"/>
      <c r="IR57" s="2429"/>
      <c r="IS57" s="2429"/>
      <c r="IT57" s="2429"/>
      <c r="IU57" s="2429"/>
      <c r="IV57" s="2429"/>
      <c r="IW57" s="2429"/>
      <c r="IX57" s="2429"/>
      <c r="IY57" s="2429"/>
      <c r="IZ57" s="2429"/>
      <c r="JA57" s="2429"/>
      <c r="JB57" s="2429"/>
      <c r="JC57" s="2429"/>
      <c r="JD57" s="2429"/>
      <c r="JE57" s="2429"/>
      <c r="JF57" s="2429"/>
      <c r="JG57" s="3702"/>
      <c r="JH57" s="1233"/>
      <c r="JI57" s="2248" t="s">
        <v>7285</v>
      </c>
    </row>
    <row r="58" spans="1:269" x14ac:dyDescent="0.2">
      <c r="A58" s="1128">
        <v>9</v>
      </c>
      <c r="B58" s="1132" t="str">
        <f si="5" t="shared"/>
        <v/>
      </c>
      <c r="C58" s="2626" t="s">
        <v>2100</v>
      </c>
      <c r="D58" s="2403" t="s">
        <v>4896</v>
      </c>
      <c r="E58" s="2428"/>
      <c r="F58" s="2428"/>
      <c r="G58" s="2428"/>
      <c r="H58" s="2428"/>
      <c r="I58" s="2428"/>
      <c r="J58" s="2428"/>
      <c r="K58" s="2428"/>
      <c r="L58" s="2428"/>
      <c r="M58" s="2428"/>
      <c r="N58" s="2428"/>
      <c r="O58" s="2428"/>
      <c r="P58" s="2428"/>
      <c r="Q58" s="2428"/>
      <c r="R58" s="2428"/>
      <c r="S58" s="2428"/>
      <c r="T58" s="2428"/>
      <c r="U58" s="2428"/>
      <c r="V58" s="2428"/>
      <c r="W58" s="2428"/>
      <c r="X58" s="2428"/>
      <c r="Y58" s="2428"/>
      <c r="Z58" s="2428"/>
      <c r="AA58" s="2428"/>
      <c r="AB58" s="2428"/>
      <c r="AC58" s="2428"/>
      <c r="AD58" s="2428"/>
      <c r="AE58" s="2428"/>
      <c r="AF58" s="2428"/>
      <c r="AG58" s="2428"/>
      <c r="AH58" s="2428"/>
      <c r="AI58" s="2428"/>
      <c r="AJ58" s="2428"/>
      <c r="AK58" s="2428"/>
      <c r="AL58" s="2428"/>
      <c r="AM58" s="2428"/>
      <c r="AN58" s="2428"/>
      <c r="AO58" s="2428"/>
      <c r="AP58" s="2428"/>
      <c r="AQ58" s="2428"/>
      <c r="AR58" s="2428"/>
      <c r="AS58" s="2428"/>
      <c r="AT58" s="2428"/>
      <c r="AU58" s="2428"/>
      <c r="AV58" s="2428"/>
      <c r="AW58" s="2428"/>
      <c r="AX58" s="2428"/>
      <c r="AY58" s="2428"/>
      <c r="AZ58" s="2428"/>
      <c r="BA58" s="2428"/>
      <c r="BB58" s="2428"/>
      <c r="BC58" s="2428">
        <v>88</v>
      </c>
      <c r="BD58" s="2428"/>
      <c r="BE58" s="2428"/>
      <c r="BF58" s="2428"/>
      <c r="BG58" s="2428"/>
      <c r="BH58" s="2428"/>
      <c r="BI58" s="2428"/>
      <c r="BJ58" s="2428"/>
      <c r="BK58" s="2428"/>
      <c r="BL58" s="2428"/>
      <c r="BM58" s="2428"/>
      <c r="BN58" s="2428"/>
      <c r="BO58" s="2428"/>
      <c r="BP58" s="2428"/>
      <c r="BQ58" s="2428"/>
      <c r="BR58" s="2428"/>
      <c r="BS58" s="2428"/>
      <c r="BT58" s="2428"/>
      <c r="BU58" s="2428"/>
      <c r="BV58" s="2428"/>
      <c r="BW58" s="2428"/>
      <c r="BX58" s="2428"/>
      <c r="BY58" s="2428"/>
      <c r="BZ58" s="2428"/>
      <c r="CA58" s="2428"/>
      <c r="CB58" s="2429"/>
      <c r="CC58" s="2428"/>
      <c r="CD58" s="2429"/>
      <c r="CE58" s="2429"/>
      <c r="CF58" s="2429"/>
      <c r="CG58" s="2429"/>
      <c r="CH58" s="2429"/>
      <c r="CI58" s="2428"/>
      <c r="CJ58" s="2429"/>
      <c r="CK58" s="2429"/>
      <c r="CL58" s="2429"/>
      <c r="CM58" s="2429"/>
      <c r="CN58" s="2429"/>
      <c r="CO58" s="2429"/>
      <c r="CP58" s="2429"/>
      <c r="CQ58" s="2429"/>
      <c r="CR58" s="2428">
        <v>88</v>
      </c>
      <c r="CS58" s="2428">
        <v>88</v>
      </c>
      <c r="CT58" s="2429"/>
      <c r="CU58" s="2429"/>
      <c r="CV58" s="2429"/>
      <c r="CW58" s="2428"/>
      <c r="CX58" s="2429"/>
      <c r="CY58" s="2429"/>
      <c r="CZ58" s="2429"/>
      <c r="DA58" s="2428"/>
      <c r="DB58" s="2429"/>
      <c r="DC58" s="2428"/>
      <c r="DD58" s="2429"/>
      <c r="DE58" s="2429"/>
      <c r="DF58" s="2429"/>
      <c r="DG58" s="2429"/>
      <c r="DH58" s="2428"/>
      <c r="DI58" s="2428"/>
      <c r="DJ58" s="2428"/>
      <c r="DK58" s="2429"/>
      <c r="DL58" s="2429"/>
      <c r="DM58" s="2429"/>
      <c r="DN58" s="2429"/>
      <c r="DO58" s="2429"/>
      <c r="DP58" s="2429"/>
      <c r="DQ58" s="2429"/>
      <c r="DR58" s="2429"/>
      <c r="DS58" s="2429"/>
      <c r="DT58" s="2429"/>
      <c r="DU58" s="2429"/>
      <c r="DV58" s="2429"/>
      <c r="DW58" s="2429"/>
      <c r="DX58" s="2429"/>
      <c r="DY58" s="2429"/>
      <c r="DZ58" s="2429"/>
      <c r="EA58" s="2429"/>
      <c r="EB58" s="2429"/>
      <c r="EC58" s="2429"/>
      <c r="ED58" s="2429"/>
      <c r="EE58" s="2429"/>
      <c r="EF58" s="2429"/>
      <c r="EG58" s="2429"/>
      <c r="EH58" s="2429"/>
      <c r="EI58" s="2429"/>
      <c r="EJ58" s="2429"/>
      <c r="EK58" s="2429"/>
      <c r="EL58" s="2429"/>
      <c r="EM58" s="2429"/>
      <c r="EN58" s="2429"/>
      <c r="EO58" s="2429"/>
      <c r="EP58" s="2429"/>
      <c r="EQ58" s="2429"/>
      <c r="ER58" s="2429"/>
      <c r="ES58" s="2429"/>
      <c r="ET58" s="2429"/>
      <c r="EU58" s="2429"/>
      <c r="EV58" s="2429"/>
      <c r="EW58" s="2429"/>
      <c r="EX58" s="2429"/>
      <c r="EY58" s="2429"/>
      <c r="EZ58" s="2429"/>
      <c r="FA58" s="2429"/>
      <c r="FB58" s="2429"/>
      <c r="FC58" s="2429"/>
      <c r="FD58" s="2429"/>
      <c r="FE58" s="2429"/>
      <c r="FF58" s="2429"/>
      <c r="FG58" s="2429"/>
      <c r="FH58" s="2429"/>
      <c r="FI58" s="2429"/>
      <c r="FJ58" s="2429"/>
      <c r="FK58" s="2429"/>
      <c r="FL58" s="2429"/>
      <c r="FM58" s="2429"/>
      <c r="FN58" s="2429"/>
      <c r="FO58" s="2429"/>
      <c r="FP58" s="2429"/>
      <c r="FQ58" s="2429"/>
      <c r="FR58" s="2429"/>
      <c r="FS58" s="2429"/>
      <c r="FT58" s="2429"/>
      <c r="FU58" s="2429"/>
      <c r="FV58" s="2429"/>
      <c r="FW58" s="2429"/>
      <c r="FX58" s="2429"/>
      <c r="FY58" s="2429"/>
      <c r="FZ58" s="2429"/>
      <c r="GA58" s="2429"/>
      <c r="GB58" s="2429"/>
      <c r="GC58" s="2429"/>
      <c r="GD58" s="2429"/>
      <c r="GE58" s="2429"/>
      <c r="GF58" s="2429"/>
      <c r="GG58" s="2429"/>
      <c r="GH58" s="2429"/>
      <c r="GI58" s="2429"/>
      <c r="GJ58" s="2429"/>
      <c r="GK58" s="2429"/>
      <c r="GL58" s="2428"/>
      <c r="GM58" s="2428"/>
      <c r="GN58" s="2429"/>
      <c r="GO58" s="2429"/>
      <c r="GP58" s="2429"/>
      <c r="GQ58" s="2429"/>
      <c r="GR58" s="2429"/>
      <c r="GS58" s="2428"/>
      <c r="GT58" s="2429"/>
      <c r="GU58" s="2429"/>
      <c r="GV58" s="2429"/>
      <c r="GW58" s="2429"/>
      <c r="GX58" s="2428"/>
      <c r="GY58" s="2429"/>
      <c r="GZ58" s="2429"/>
      <c r="HA58" s="2429"/>
      <c r="HB58" s="2429"/>
      <c r="HC58" s="2428"/>
      <c r="HD58" s="2429"/>
      <c r="HE58" s="2429"/>
      <c r="HF58" s="2429"/>
      <c r="HG58" s="2429"/>
      <c r="HH58" s="2429"/>
      <c r="HI58" s="2429"/>
      <c r="HJ58" s="2429"/>
      <c r="HK58" s="2429"/>
      <c r="HL58" s="2429"/>
      <c r="HM58" s="2429"/>
      <c r="HN58" s="2428"/>
      <c r="HO58" s="2429"/>
      <c r="HP58" s="2429"/>
      <c r="HQ58" s="2429"/>
      <c r="HR58" s="2429"/>
      <c r="HS58" s="2429"/>
      <c r="HT58" s="2429"/>
      <c r="HU58" s="2429"/>
      <c r="HV58" s="2429"/>
      <c r="HW58" s="2429"/>
      <c r="HX58" s="2429"/>
      <c r="HY58" s="2429"/>
      <c r="HZ58" s="2429"/>
      <c r="IA58" s="2429"/>
      <c r="IB58" s="2429"/>
      <c r="IC58" s="2429"/>
      <c r="ID58" s="2429"/>
      <c r="IE58" s="2429"/>
      <c r="IF58" s="2429"/>
      <c r="IG58" s="2429"/>
      <c r="IH58" s="2429"/>
      <c r="II58" s="2429"/>
      <c r="IJ58" s="2429"/>
      <c r="IK58" s="2429"/>
      <c r="IL58" s="2429"/>
      <c r="IM58" s="2429"/>
      <c r="IN58" s="2429"/>
      <c r="IO58" s="2429"/>
      <c r="IP58" s="2429"/>
      <c r="IQ58" s="2429"/>
      <c r="IR58" s="2429"/>
      <c r="IS58" s="2429"/>
      <c r="IT58" s="2429"/>
      <c r="IU58" s="2429"/>
      <c r="IV58" s="2429"/>
      <c r="IW58" s="2429"/>
      <c r="IX58" s="2429"/>
      <c r="IY58" s="2429"/>
      <c r="IZ58" s="2429"/>
      <c r="JA58" s="2429"/>
      <c r="JB58" s="2429"/>
      <c r="JC58" s="2429"/>
      <c r="JD58" s="2429"/>
      <c r="JE58" s="2429"/>
      <c r="JF58" s="2429"/>
      <c r="JG58" s="3702"/>
      <c r="JH58" s="1233"/>
      <c r="JI58" s="1393" t="s">
        <v>5416</v>
      </c>
    </row>
    <row r="59" spans="1:269" x14ac:dyDescent="0.2">
      <c r="A59" s="1128">
        <v>10</v>
      </c>
      <c r="B59" s="1132" t="str">
        <f si="5" t="shared"/>
        <v/>
      </c>
      <c r="C59" s="2626" t="s">
        <v>2101</v>
      </c>
      <c r="D59" s="2403" t="s">
        <v>4897</v>
      </c>
      <c r="E59" s="2428"/>
      <c r="F59" s="2428"/>
      <c r="G59" s="2428"/>
      <c r="H59" s="2428"/>
      <c r="I59" s="2428"/>
      <c r="J59" s="2428"/>
      <c r="K59" s="2428"/>
      <c r="L59" s="2428"/>
      <c r="M59" s="2428"/>
      <c r="N59" s="2428"/>
      <c r="O59" s="2428"/>
      <c r="P59" s="2428"/>
      <c r="Q59" s="2428"/>
      <c r="R59" s="2428"/>
      <c r="S59" s="2428"/>
      <c r="T59" s="2428"/>
      <c r="U59" s="2428"/>
      <c r="V59" s="2428"/>
      <c r="W59" s="2428"/>
      <c r="X59" s="2428"/>
      <c r="Y59" s="2428"/>
      <c r="Z59" s="2428"/>
      <c r="AA59" s="2428"/>
      <c r="AB59" s="2428"/>
      <c r="AC59" s="2428"/>
      <c r="AD59" s="2428"/>
      <c r="AE59" s="2428"/>
      <c r="AF59" s="2428"/>
      <c r="AG59" s="2428"/>
      <c r="AH59" s="2428"/>
      <c r="AI59" s="2428"/>
      <c r="AJ59" s="2428"/>
      <c r="AK59" s="2428"/>
      <c r="AL59" s="2428"/>
      <c r="AM59" s="2428"/>
      <c r="AN59" s="2428"/>
      <c r="AO59" s="2428"/>
      <c r="AP59" s="2428"/>
      <c r="AQ59" s="2428"/>
      <c r="AR59" s="2428"/>
      <c r="AS59" s="2428"/>
      <c r="AT59" s="2428"/>
      <c r="AU59" s="2428"/>
      <c r="AV59" s="2428"/>
      <c r="AW59" s="2428"/>
      <c r="AX59" s="2428"/>
      <c r="AY59" s="2428"/>
      <c r="AZ59" s="2428"/>
      <c r="BA59" s="2428"/>
      <c r="BB59" s="2428"/>
      <c r="BC59" s="2428"/>
      <c r="BD59" s="2428"/>
      <c r="BE59" s="2428"/>
      <c r="BF59" s="2428"/>
      <c r="BG59" s="2428"/>
      <c r="BH59" s="2428"/>
      <c r="BI59" s="2428"/>
      <c r="BJ59" s="2428"/>
      <c r="BK59" s="2428"/>
      <c r="BL59" s="2428"/>
      <c r="BM59" s="2428"/>
      <c r="BN59" s="2428"/>
      <c r="BO59" s="2428">
        <v>12000</v>
      </c>
      <c r="BP59" s="2428"/>
      <c r="BQ59" s="2428"/>
      <c r="BR59" s="2428"/>
      <c r="BS59" s="2428"/>
      <c r="BT59" s="2428"/>
      <c r="BU59" s="2428"/>
      <c r="BV59" s="2428"/>
      <c r="BW59" s="2428"/>
      <c r="BX59" s="2428"/>
      <c r="BY59" s="2428"/>
      <c r="BZ59" s="2428"/>
      <c r="CA59" s="2428"/>
      <c r="CB59" s="2429"/>
      <c r="CC59" s="2428"/>
      <c r="CD59" s="2429"/>
      <c r="CE59" s="2429"/>
      <c r="CF59" s="2429"/>
      <c r="CG59" s="2429"/>
      <c r="CH59" s="2429"/>
      <c r="CI59" s="2428"/>
      <c r="CJ59" s="2429"/>
      <c r="CK59" s="2429"/>
      <c r="CL59" s="2429"/>
      <c r="CM59" s="2429"/>
      <c r="CN59" s="2429"/>
      <c r="CO59" s="2429"/>
      <c r="CP59" s="2429"/>
      <c r="CQ59" s="2429"/>
      <c r="CR59" s="2428"/>
      <c r="CS59" s="2428"/>
      <c r="CT59" s="2429"/>
      <c r="CU59" s="2429"/>
      <c r="CV59" s="2429"/>
      <c r="CW59" s="2428"/>
      <c r="CX59" s="2429"/>
      <c r="CY59" s="2429"/>
      <c r="CZ59" s="2429"/>
      <c r="DA59" s="2428"/>
      <c r="DB59" s="2429"/>
      <c r="DC59" s="2428"/>
      <c r="DD59" s="2429"/>
      <c r="DE59" s="2429"/>
      <c r="DF59" s="2429"/>
      <c r="DG59" s="2429"/>
      <c r="DH59" s="2428"/>
      <c r="DI59" s="2428"/>
      <c r="DJ59" s="2428"/>
      <c r="DK59" s="2429"/>
      <c r="DL59" s="2429"/>
      <c r="DM59" s="2429"/>
      <c r="DN59" s="2429"/>
      <c r="DO59" s="2429"/>
      <c r="DP59" s="2429"/>
      <c r="DQ59" s="2429"/>
      <c r="DR59" s="2429"/>
      <c r="DS59" s="2429"/>
      <c r="DT59" s="2429"/>
      <c r="DU59" s="2429"/>
      <c r="DV59" s="2429"/>
      <c r="DW59" s="2429"/>
      <c r="DX59" s="2429"/>
      <c r="DY59" s="2429"/>
      <c r="DZ59" s="2429"/>
      <c r="EA59" s="2429"/>
      <c r="EB59" s="2429"/>
      <c r="EC59" s="2429"/>
      <c r="ED59" s="2429"/>
      <c r="EE59" s="2429"/>
      <c r="EF59" s="2429"/>
      <c r="EG59" s="2429"/>
      <c r="EH59" s="2429"/>
      <c r="EI59" s="2429"/>
      <c r="EJ59" s="2429"/>
      <c r="EK59" s="2429"/>
      <c r="EL59" s="2429"/>
      <c r="EM59" s="2429"/>
      <c r="EN59" s="2429"/>
      <c r="EO59" s="2429"/>
      <c r="EP59" s="2429"/>
      <c r="EQ59" s="2429"/>
      <c r="ER59" s="2429"/>
      <c r="ES59" s="2429"/>
      <c r="ET59" s="2429"/>
      <c r="EU59" s="2429"/>
      <c r="EV59" s="2429"/>
      <c r="EW59" s="2429"/>
      <c r="EX59" s="2429"/>
      <c r="EY59" s="2429"/>
      <c r="EZ59" s="2429"/>
      <c r="FA59" s="2429"/>
      <c r="FB59" s="2429"/>
      <c r="FC59" s="2429"/>
      <c r="FD59" s="2429"/>
      <c r="FE59" s="2429"/>
      <c r="FF59" s="2429"/>
      <c r="FG59" s="2429"/>
      <c r="FH59" s="2429"/>
      <c r="FI59" s="2429"/>
      <c r="FJ59" s="2429"/>
      <c r="FK59" s="2429"/>
      <c r="FL59" s="2429"/>
      <c r="FM59" s="2429"/>
      <c r="FN59" s="2429"/>
      <c r="FO59" s="2429"/>
      <c r="FP59" s="2429"/>
      <c r="FQ59" s="2429"/>
      <c r="FR59" s="2429"/>
      <c r="FS59" s="2429"/>
      <c r="FT59" s="2429"/>
      <c r="FU59" s="2429"/>
      <c r="FV59" s="2429"/>
      <c r="FW59" s="2429"/>
      <c r="FX59" s="2429"/>
      <c r="FY59" s="2429"/>
      <c r="FZ59" s="2429"/>
      <c r="GA59" s="2429"/>
      <c r="GB59" s="2429"/>
      <c r="GC59" s="2429"/>
      <c r="GD59" s="2429"/>
      <c r="GE59" s="2429"/>
      <c r="GF59" s="2429"/>
      <c r="GG59" s="2429"/>
      <c r="GH59" s="2429"/>
      <c r="GI59" s="2429"/>
      <c r="GJ59" s="2429"/>
      <c r="GK59" s="2429"/>
      <c r="GL59" s="2428">
        <v>20000</v>
      </c>
      <c r="GM59" s="2428">
        <v>12000</v>
      </c>
      <c r="GN59" s="2429"/>
      <c r="GO59" s="2429"/>
      <c r="GP59" s="2429"/>
      <c r="GQ59" s="2429"/>
      <c r="GR59" s="2429"/>
      <c r="GS59" s="2428"/>
      <c r="GT59" s="2429"/>
      <c r="GU59" s="2429"/>
      <c r="GV59" s="2429"/>
      <c r="GW59" s="2429"/>
      <c r="GX59" s="2428"/>
      <c r="GY59" s="2429"/>
      <c r="GZ59" s="2429"/>
      <c r="HA59" s="2429"/>
      <c r="HB59" s="2429"/>
      <c r="HC59" s="2428"/>
      <c r="HD59" s="2429"/>
      <c r="HE59" s="2429"/>
      <c r="HF59" s="2429"/>
      <c r="HG59" s="2429"/>
      <c r="HH59" s="2429"/>
      <c r="HI59" s="2429"/>
      <c r="HJ59" s="2429"/>
      <c r="HK59" s="2429"/>
      <c r="HL59" s="2429"/>
      <c r="HM59" s="2429"/>
      <c r="HN59" s="2428"/>
      <c r="HO59" s="2429"/>
      <c r="HP59" s="2429"/>
      <c r="HQ59" s="2429"/>
      <c r="HR59" s="2429"/>
      <c r="HS59" s="2429"/>
      <c r="HT59" s="2429"/>
      <c r="HU59" s="2429"/>
      <c r="HV59" s="2429"/>
      <c r="HW59" s="2429"/>
      <c r="HX59" s="2429"/>
      <c r="HY59" s="2429"/>
      <c r="HZ59" s="2429"/>
      <c r="IA59" s="2429"/>
      <c r="IB59" s="2429"/>
      <c r="IC59" s="2429"/>
      <c r="ID59" s="2429"/>
      <c r="IE59" s="2429"/>
      <c r="IF59" s="2429"/>
      <c r="IG59" s="2429"/>
      <c r="IH59" s="2429"/>
      <c r="II59" s="2429"/>
      <c r="IJ59" s="2429"/>
      <c r="IK59" s="2429"/>
      <c r="IL59" s="2429"/>
      <c r="IM59" s="2429"/>
      <c r="IN59" s="2429"/>
      <c r="IO59" s="2429"/>
      <c r="IP59" s="2429"/>
      <c r="IQ59" s="2429"/>
      <c r="IR59" s="2429"/>
      <c r="IS59" s="2429"/>
      <c r="IT59" s="2429"/>
      <c r="IU59" s="2429"/>
      <c r="IV59" s="2429"/>
      <c r="IW59" s="2429"/>
      <c r="IX59" s="2429"/>
      <c r="IY59" s="2429"/>
      <c r="IZ59" s="2429"/>
      <c r="JA59" s="2429"/>
      <c r="JB59" s="2429"/>
      <c r="JC59" s="2429"/>
      <c r="JD59" s="2429"/>
      <c r="JE59" s="2429"/>
      <c r="JF59" s="2429"/>
      <c r="JG59" s="3702"/>
      <c r="JH59" s="1233"/>
      <c r="JI59" s="1393"/>
    </row>
    <row r="60" spans="1:269" x14ac:dyDescent="0.2">
      <c r="A60" s="1128">
        <v>11</v>
      </c>
      <c r="B60" s="1132" t="str">
        <f si="5" t="shared"/>
        <v/>
      </c>
      <c r="C60" s="2626" t="s">
        <v>2102</v>
      </c>
      <c r="D60" s="2403" t="s">
        <v>4898</v>
      </c>
      <c r="E60" s="2428"/>
      <c r="F60" s="2428"/>
      <c r="G60" s="2428"/>
      <c r="H60" s="2428"/>
      <c r="I60" s="2428"/>
      <c r="J60" s="2428"/>
      <c r="K60" s="2428"/>
      <c r="L60" s="2428"/>
      <c r="M60" s="2428"/>
      <c r="N60" s="2428"/>
      <c r="O60" s="2428"/>
      <c r="P60" s="2428"/>
      <c r="Q60" s="2428"/>
      <c r="R60" s="2428"/>
      <c r="S60" s="2428"/>
      <c r="T60" s="2428"/>
      <c r="U60" s="2428"/>
      <c r="V60" s="2428"/>
      <c r="W60" s="2428"/>
      <c r="X60" s="2428"/>
      <c r="Y60" s="2428"/>
      <c r="Z60" s="2428"/>
      <c r="AA60" s="2428"/>
      <c r="AB60" s="2428"/>
      <c r="AC60" s="2428"/>
      <c r="AD60" s="2428"/>
      <c r="AE60" s="2428"/>
      <c r="AF60" s="2428"/>
      <c r="AG60" s="2428"/>
      <c r="AH60" s="2428"/>
      <c r="AI60" s="2428"/>
      <c r="AJ60" s="2428"/>
      <c r="AK60" s="2428"/>
      <c r="AL60" s="2428"/>
      <c r="AM60" s="2428"/>
      <c r="AN60" s="2428"/>
      <c r="AO60" s="2428"/>
      <c r="AP60" s="2428"/>
      <c r="AQ60" s="2428"/>
      <c r="AR60" s="2428"/>
      <c r="AS60" s="2428"/>
      <c r="AT60" s="2428"/>
      <c r="AU60" s="2428"/>
      <c r="AV60" s="2428"/>
      <c r="AW60" s="2428"/>
      <c r="AX60" s="2428"/>
      <c r="AY60" s="2428"/>
      <c r="AZ60" s="2428"/>
      <c r="BA60" s="2428"/>
      <c r="BB60" s="2428"/>
      <c r="BC60" s="2428"/>
      <c r="BD60" s="2428"/>
      <c r="BE60" s="2428"/>
      <c r="BF60" s="2428"/>
      <c r="BG60" s="2428"/>
      <c r="BH60" s="2428"/>
      <c r="BI60" s="2428"/>
      <c r="BJ60" s="2428"/>
      <c r="BK60" s="2428"/>
      <c r="BL60" s="2428"/>
      <c r="BM60" s="2428"/>
      <c r="BN60" s="2428"/>
      <c r="BO60" s="2428"/>
      <c r="BP60" s="2428"/>
      <c r="BQ60" s="2428"/>
      <c r="BR60" s="2428"/>
      <c r="BS60" s="2428"/>
      <c r="BT60" s="2428"/>
      <c r="BU60" s="2428"/>
      <c r="BV60" s="2428"/>
      <c r="BW60" s="2428"/>
      <c r="BX60" s="2428"/>
      <c r="BY60" s="2428"/>
      <c r="BZ60" s="2428"/>
      <c r="CA60" s="2428"/>
      <c r="CB60" s="2429"/>
      <c r="CC60" s="2428"/>
      <c r="CD60" s="2429"/>
      <c r="CE60" s="2429"/>
      <c r="CF60" s="2429"/>
      <c r="CG60" s="2429"/>
      <c r="CH60" s="2429"/>
      <c r="CI60" s="2428"/>
      <c r="CJ60" s="2429"/>
      <c r="CK60" s="2429"/>
      <c r="CL60" s="2429"/>
      <c r="CM60" s="2429"/>
      <c r="CN60" s="2429"/>
      <c r="CO60" s="2429"/>
      <c r="CP60" s="2429"/>
      <c r="CQ60" s="2429"/>
      <c r="CR60" s="2428"/>
      <c r="CS60" s="2428"/>
      <c r="CT60" s="2429"/>
      <c r="CU60" s="2429"/>
      <c r="CV60" s="2429"/>
      <c r="CW60" s="2428"/>
      <c r="CX60" s="2429"/>
      <c r="CY60" s="2429"/>
      <c r="CZ60" s="2429"/>
      <c r="DA60" s="2428"/>
      <c r="DB60" s="2429"/>
      <c r="DC60" s="2428">
        <v>1200</v>
      </c>
      <c r="DD60" s="2429"/>
      <c r="DE60" s="2429"/>
      <c r="DF60" s="2429"/>
      <c r="DG60" s="2429"/>
      <c r="DH60" s="2428"/>
      <c r="DI60" s="2428"/>
      <c r="DJ60" s="2428">
        <v>1200</v>
      </c>
      <c r="DK60" s="2429"/>
      <c r="DL60" s="2429"/>
      <c r="DM60" s="2429"/>
      <c r="DN60" s="2429"/>
      <c r="DO60" s="2429"/>
      <c r="DP60" s="2429"/>
      <c r="DQ60" s="2429"/>
      <c r="DR60" s="2429"/>
      <c r="DS60" s="2429"/>
      <c r="DT60" s="2429"/>
      <c r="DU60" s="2429"/>
      <c r="DV60" s="2429"/>
      <c r="DW60" s="2429"/>
      <c r="DX60" s="2429"/>
      <c r="DY60" s="2429"/>
      <c r="DZ60" s="2429"/>
      <c r="EA60" s="2429"/>
      <c r="EB60" s="2429"/>
      <c r="EC60" s="2429"/>
      <c r="ED60" s="2429"/>
      <c r="EE60" s="2429"/>
      <c r="EF60" s="2429"/>
      <c r="EG60" s="2429"/>
      <c r="EH60" s="2429"/>
      <c r="EI60" s="2429"/>
      <c r="EJ60" s="2429"/>
      <c r="EK60" s="2429"/>
      <c r="EL60" s="2429"/>
      <c r="EM60" s="2429"/>
      <c r="EN60" s="2429"/>
      <c r="EO60" s="2429"/>
      <c r="EP60" s="2429"/>
      <c r="EQ60" s="2429"/>
      <c r="ER60" s="2429"/>
      <c r="ES60" s="2429"/>
      <c r="ET60" s="2429"/>
      <c r="EU60" s="2429"/>
      <c r="EV60" s="2429"/>
      <c r="EW60" s="2429"/>
      <c r="EX60" s="2429"/>
      <c r="EY60" s="2429"/>
      <c r="EZ60" s="2429"/>
      <c r="FA60" s="2429"/>
      <c r="FB60" s="2429"/>
      <c r="FC60" s="2429"/>
      <c r="FD60" s="2429"/>
      <c r="FE60" s="2429"/>
      <c r="FF60" s="2429"/>
      <c r="FG60" s="2429"/>
      <c r="FH60" s="2429"/>
      <c r="FI60" s="2429"/>
      <c r="FJ60" s="2429"/>
      <c r="FK60" s="2429"/>
      <c r="FL60" s="2429"/>
      <c r="FM60" s="2429"/>
      <c r="FN60" s="2429"/>
      <c r="FO60" s="2429"/>
      <c r="FP60" s="2429"/>
      <c r="FQ60" s="2429"/>
      <c r="FR60" s="2429"/>
      <c r="FS60" s="2429"/>
      <c r="FT60" s="2429"/>
      <c r="FU60" s="2429"/>
      <c r="FV60" s="2429"/>
      <c r="FW60" s="2429"/>
      <c r="FX60" s="2429"/>
      <c r="FY60" s="2429"/>
      <c r="FZ60" s="2429"/>
      <c r="GA60" s="2429"/>
      <c r="GB60" s="2429"/>
      <c r="GC60" s="2429"/>
      <c r="GD60" s="2429"/>
      <c r="GE60" s="2429"/>
      <c r="GF60" s="2429"/>
      <c r="GG60" s="2429"/>
      <c r="GH60" s="2429"/>
      <c r="GI60" s="2429"/>
      <c r="GJ60" s="2429"/>
      <c r="GK60" s="2429"/>
      <c r="GL60" s="2428"/>
      <c r="GM60" s="2428"/>
      <c r="GN60" s="2429"/>
      <c r="GO60" s="2429"/>
      <c r="GP60" s="2429"/>
      <c r="GQ60" s="2429"/>
      <c r="GR60" s="2429"/>
      <c r="GS60" s="2428"/>
      <c r="GT60" s="2429"/>
      <c r="GU60" s="2429"/>
      <c r="GV60" s="2429"/>
      <c r="GW60" s="2429"/>
      <c r="GX60" s="2428"/>
      <c r="GY60" s="2429"/>
      <c r="GZ60" s="2429"/>
      <c r="HA60" s="2429"/>
      <c r="HB60" s="2429"/>
      <c r="HC60" s="2428"/>
      <c r="HD60" s="2429"/>
      <c r="HE60" s="2429"/>
      <c r="HF60" s="2429"/>
      <c r="HG60" s="2429"/>
      <c r="HH60" s="2429"/>
      <c r="HI60" s="2429"/>
      <c r="HJ60" s="2429"/>
      <c r="HK60" s="2429"/>
      <c r="HL60" s="2429"/>
      <c r="HM60" s="2429"/>
      <c r="HN60" s="2428">
        <v>16632</v>
      </c>
      <c r="HO60" s="2429"/>
      <c r="HP60" s="2429"/>
      <c r="HQ60" s="2429"/>
      <c r="HR60" s="2429"/>
      <c r="HS60" s="2429"/>
      <c r="HT60" s="2429"/>
      <c r="HU60" s="2429"/>
      <c r="HV60" s="2429"/>
      <c r="HW60" s="2429"/>
      <c r="HX60" s="2429"/>
      <c r="HY60" s="2429"/>
      <c r="HZ60" s="2429"/>
      <c r="IA60" s="2429"/>
      <c r="IB60" s="2429"/>
      <c r="IC60" s="2429"/>
      <c r="ID60" s="2429"/>
      <c r="IE60" s="2429"/>
      <c r="IF60" s="2429"/>
      <c r="IG60" s="2429"/>
      <c r="IH60" s="2429"/>
      <c r="II60" s="2429"/>
      <c r="IJ60" s="2429"/>
      <c r="IK60" s="2429"/>
      <c r="IL60" s="2429"/>
      <c r="IM60" s="2429"/>
      <c r="IN60" s="2429"/>
      <c r="IO60" s="2429"/>
      <c r="IP60" s="2429"/>
      <c r="IQ60" s="2429"/>
      <c r="IR60" s="2429"/>
      <c r="IS60" s="2429"/>
      <c r="IT60" s="2429"/>
      <c r="IU60" s="2429"/>
      <c r="IV60" s="2429"/>
      <c r="IW60" s="2429"/>
      <c r="IX60" s="2429"/>
      <c r="IY60" s="2429"/>
      <c r="IZ60" s="2429"/>
      <c r="JA60" s="2429"/>
      <c r="JB60" s="2429"/>
      <c r="JC60" s="2429"/>
      <c r="JD60" s="2429"/>
      <c r="JE60" s="2429"/>
      <c r="JF60" s="2429"/>
      <c r="JG60" s="3702"/>
      <c r="JH60" s="1233"/>
      <c r="JI60" s="1393" t="s">
        <v>5036</v>
      </c>
    </row>
    <row r="61" spans="1:269" x14ac:dyDescent="0.2">
      <c r="A61" s="1128">
        <v>12</v>
      </c>
      <c r="B61" s="1132" t="str">
        <f si="5" t="shared"/>
        <v/>
      </c>
      <c r="C61" s="2626" t="s">
        <v>1494</v>
      </c>
      <c r="D61" s="2403" t="s">
        <v>1493</v>
      </c>
      <c r="E61" s="2428"/>
      <c r="F61" s="2428"/>
      <c r="G61" s="2428"/>
      <c r="H61" s="2428"/>
      <c r="I61" s="2428"/>
      <c r="J61" s="2428"/>
      <c r="K61" s="2428"/>
      <c r="L61" s="2428"/>
      <c r="M61" s="2428"/>
      <c r="N61" s="2428"/>
      <c r="O61" s="2428"/>
      <c r="P61" s="2428"/>
      <c r="Q61" s="2428"/>
      <c r="R61" s="2428"/>
      <c r="S61" s="2428"/>
      <c r="T61" s="2428"/>
      <c r="U61" s="2428"/>
      <c r="V61" s="2428"/>
      <c r="W61" s="2428"/>
      <c r="X61" s="2428"/>
      <c r="Y61" s="2428"/>
      <c r="Z61" s="2428"/>
      <c r="AA61" s="2428"/>
      <c r="AB61" s="2428"/>
      <c r="AC61" s="2428"/>
      <c r="AD61" s="2428"/>
      <c r="AE61" s="2428"/>
      <c r="AF61" s="2428"/>
      <c r="AG61" s="2428"/>
      <c r="AH61" s="2428"/>
      <c r="AI61" s="2428"/>
      <c r="AJ61" s="2428">
        <v>25000</v>
      </c>
      <c r="AK61" s="2428"/>
      <c r="AL61" s="2428"/>
      <c r="AM61" s="2428"/>
      <c r="AN61" s="2428"/>
      <c r="AO61" s="2428"/>
      <c r="AP61" s="2428"/>
      <c r="AQ61" s="2428"/>
      <c r="AR61" s="2428"/>
      <c r="AS61" s="2428"/>
      <c r="AT61" s="2428"/>
      <c r="AU61" s="2428"/>
      <c r="AV61" s="2428"/>
      <c r="AW61" s="2428"/>
      <c r="AX61" s="2428"/>
      <c r="AY61" s="2428"/>
      <c r="AZ61" s="2428"/>
      <c r="BA61" s="2428">
        <v>25000</v>
      </c>
      <c r="BB61" s="2428"/>
      <c r="BC61" s="2428"/>
      <c r="BD61" s="2428"/>
      <c r="BE61" s="2428"/>
      <c r="BF61" s="2428"/>
      <c r="BG61" s="2428"/>
      <c r="BH61" s="2428"/>
      <c r="BI61" s="2428"/>
      <c r="BJ61" s="2428"/>
      <c r="BK61" s="2428"/>
      <c r="BL61" s="2428"/>
      <c r="BM61" s="2428"/>
      <c r="BN61" s="2428"/>
      <c r="BO61" s="2428"/>
      <c r="BP61" s="2428"/>
      <c r="BQ61" s="2428"/>
      <c r="BR61" s="2428"/>
      <c r="BS61" s="2428"/>
      <c r="BT61" s="2428"/>
      <c r="BU61" s="2428"/>
      <c r="BV61" s="2428"/>
      <c r="BW61" s="2428"/>
      <c r="BX61" s="2428"/>
      <c r="BY61" s="2428"/>
      <c r="BZ61" s="2428"/>
      <c r="CA61" s="2428"/>
      <c r="CB61" s="2429"/>
      <c r="CC61" s="2428"/>
      <c r="CD61" s="2429"/>
      <c r="CE61" s="2429"/>
      <c r="CF61" s="2429"/>
      <c r="CG61" s="2429"/>
      <c r="CH61" s="2429"/>
      <c r="CI61" s="2428"/>
      <c r="CJ61" s="2429"/>
      <c r="CK61" s="2429"/>
      <c r="CL61" s="2429"/>
      <c r="CM61" s="2429"/>
      <c r="CN61" s="2429"/>
      <c r="CO61" s="2429"/>
      <c r="CP61" s="2429"/>
      <c r="CQ61" s="2429"/>
      <c r="CR61" s="2428"/>
      <c r="CS61" s="2428"/>
      <c r="CT61" s="2429"/>
      <c r="CU61" s="2429"/>
      <c r="CV61" s="2429"/>
      <c r="CW61" s="2428"/>
      <c r="CX61" s="2429"/>
      <c r="CY61" s="2429"/>
      <c r="CZ61" s="2429"/>
      <c r="DA61" s="2428"/>
      <c r="DB61" s="2429"/>
      <c r="DC61" s="2428"/>
      <c r="DD61" s="2429"/>
      <c r="DE61" s="2429"/>
      <c r="DF61" s="2429"/>
      <c r="DG61" s="2429"/>
      <c r="DH61" s="2428"/>
      <c r="DI61" s="2428"/>
      <c r="DJ61" s="2428"/>
      <c r="DK61" s="2429"/>
      <c r="DL61" s="2429"/>
      <c r="DM61" s="2429"/>
      <c r="DN61" s="2429"/>
      <c r="DO61" s="2429"/>
      <c r="DP61" s="2429"/>
      <c r="DQ61" s="2429"/>
      <c r="DR61" s="2429"/>
      <c r="DS61" s="2429"/>
      <c r="DT61" s="2429"/>
      <c r="DU61" s="2429"/>
      <c r="DV61" s="2429"/>
      <c r="DW61" s="2429"/>
      <c r="DX61" s="2429"/>
      <c r="DY61" s="2429"/>
      <c r="DZ61" s="2429"/>
      <c r="EA61" s="2429"/>
      <c r="EB61" s="2429"/>
      <c r="EC61" s="2429"/>
      <c r="ED61" s="2429"/>
      <c r="EE61" s="2429"/>
      <c r="EF61" s="2429"/>
      <c r="EG61" s="2429"/>
      <c r="EH61" s="2429"/>
      <c r="EI61" s="2429"/>
      <c r="EJ61" s="2429"/>
      <c r="EK61" s="2429"/>
      <c r="EL61" s="2429"/>
      <c r="EM61" s="2429"/>
      <c r="EN61" s="2429"/>
      <c r="EO61" s="2429"/>
      <c r="EP61" s="2429"/>
      <c r="EQ61" s="2429"/>
      <c r="ER61" s="2429"/>
      <c r="ES61" s="2429"/>
      <c r="ET61" s="2429"/>
      <c r="EU61" s="2429"/>
      <c r="EV61" s="2429"/>
      <c r="EW61" s="2429"/>
      <c r="EX61" s="2429"/>
      <c r="EY61" s="2429"/>
      <c r="EZ61" s="2429"/>
      <c r="FA61" s="2429"/>
      <c r="FB61" s="2429"/>
      <c r="FC61" s="2429"/>
      <c r="FD61" s="2429"/>
      <c r="FE61" s="2429"/>
      <c r="FF61" s="2429"/>
      <c r="FG61" s="2429"/>
      <c r="FH61" s="2429"/>
      <c r="FI61" s="2429"/>
      <c r="FJ61" s="2429"/>
      <c r="FK61" s="2429"/>
      <c r="FL61" s="2429"/>
      <c r="FM61" s="2429"/>
      <c r="FN61" s="2429"/>
      <c r="FO61" s="2429"/>
      <c r="FP61" s="2429"/>
      <c r="FQ61" s="2429"/>
      <c r="FR61" s="2429"/>
      <c r="FS61" s="2429"/>
      <c r="FT61" s="2429"/>
      <c r="FU61" s="2429"/>
      <c r="FV61" s="2429"/>
      <c r="FW61" s="2429"/>
      <c r="FX61" s="2429"/>
      <c r="FY61" s="2429"/>
      <c r="FZ61" s="2429"/>
      <c r="GA61" s="2429"/>
      <c r="GB61" s="2429"/>
      <c r="GC61" s="2429"/>
      <c r="GD61" s="2429"/>
      <c r="GE61" s="2429"/>
      <c r="GF61" s="2429"/>
      <c r="GG61" s="2429"/>
      <c r="GH61" s="2429"/>
      <c r="GI61" s="2429"/>
      <c r="GJ61" s="2429"/>
      <c r="GK61" s="2429"/>
      <c r="GL61" s="2428"/>
      <c r="GM61" s="2428"/>
      <c r="GN61" s="2429"/>
      <c r="GO61" s="2429"/>
      <c r="GP61" s="2429"/>
      <c r="GQ61" s="2429"/>
      <c r="GR61" s="2429"/>
      <c r="GS61" s="2428"/>
      <c r="GT61" s="2429"/>
      <c r="GU61" s="2429"/>
      <c r="GV61" s="2429"/>
      <c r="GW61" s="2429"/>
      <c r="GX61" s="2428"/>
      <c r="GY61" s="2429"/>
      <c r="GZ61" s="2429"/>
      <c r="HA61" s="2429"/>
      <c r="HB61" s="2429"/>
      <c r="HC61" s="2428"/>
      <c r="HD61" s="2429"/>
      <c r="HE61" s="2429"/>
      <c r="HF61" s="2429"/>
      <c r="HG61" s="2429"/>
      <c r="HH61" s="2429"/>
      <c r="HI61" s="2429"/>
      <c r="HJ61" s="2429"/>
      <c r="HK61" s="2429"/>
      <c r="HL61" s="2429"/>
      <c r="HM61" s="2429"/>
      <c r="HN61" s="2428"/>
      <c r="HO61" s="2429"/>
      <c r="HP61" s="2429"/>
      <c r="HQ61" s="2429"/>
      <c r="HR61" s="2429"/>
      <c r="HS61" s="2429"/>
      <c r="HT61" s="2429"/>
      <c r="HU61" s="2429"/>
      <c r="HV61" s="2429"/>
      <c r="HW61" s="2429"/>
      <c r="HX61" s="2429"/>
      <c r="HY61" s="2429"/>
      <c r="HZ61" s="2429"/>
      <c r="IA61" s="2429"/>
      <c r="IB61" s="2429"/>
      <c r="IC61" s="2429"/>
      <c r="ID61" s="2429"/>
      <c r="IE61" s="2429"/>
      <c r="IF61" s="2429"/>
      <c r="IG61" s="2429"/>
      <c r="IH61" s="2429"/>
      <c r="II61" s="2429"/>
      <c r="IJ61" s="2429"/>
      <c r="IK61" s="2429"/>
      <c r="IL61" s="2429"/>
      <c r="IM61" s="2429"/>
      <c r="IN61" s="2429"/>
      <c r="IO61" s="2429"/>
      <c r="IP61" s="2429"/>
      <c r="IQ61" s="2429"/>
      <c r="IR61" s="2429"/>
      <c r="IS61" s="2429"/>
      <c r="IT61" s="2429"/>
      <c r="IU61" s="2429"/>
      <c r="IV61" s="2429"/>
      <c r="IW61" s="2429"/>
      <c r="IX61" s="2429"/>
      <c r="IY61" s="2429"/>
      <c r="IZ61" s="2429"/>
      <c r="JA61" s="2429"/>
      <c r="JB61" s="2429"/>
      <c r="JC61" s="2429"/>
      <c r="JD61" s="2429"/>
      <c r="JE61" s="2429"/>
      <c r="JF61" s="2429"/>
      <c r="JG61" s="3702"/>
      <c r="JH61" s="1233"/>
      <c r="JI61" s="2248" t="s">
        <v>5417</v>
      </c>
    </row>
    <row ht="12.75" r="62" spans="1:269" thickBot="1" x14ac:dyDescent="0.25">
      <c r="A62" s="1128">
        <v>13</v>
      </c>
      <c r="B62" s="1132" t="str">
        <f>IF(AOR_IND&gt;1,IF(HLOOKUP(AOR_IND-1,AOR_RANGE,A62)="","",HLOOKUP(AOR_IND-1,AOR_RANGE,A62)),"")</f>
        <v/>
      </c>
      <c r="C62" s="2406" t="s">
        <v>6853</v>
      </c>
      <c r="D62" s="2404" t="s">
        <v>6854</v>
      </c>
      <c r="E62" s="3079"/>
      <c r="F62" s="3079"/>
      <c r="G62" s="3079"/>
      <c r="H62" s="3079"/>
      <c r="I62" s="3079"/>
      <c r="J62" s="3079"/>
      <c r="K62" s="3079"/>
      <c r="L62" s="3079"/>
      <c r="M62" s="3079"/>
      <c r="N62" s="3079"/>
      <c r="O62" s="3079"/>
      <c r="P62" s="3079"/>
      <c r="Q62" s="3079"/>
      <c r="R62" s="3079"/>
      <c r="S62" s="3079"/>
      <c r="T62" s="3079"/>
      <c r="U62" s="3079"/>
      <c r="V62" s="3079"/>
      <c r="W62" s="3079"/>
      <c r="X62" s="3079"/>
      <c r="Y62" s="3079"/>
      <c r="Z62" s="3079"/>
      <c r="AA62" s="3079"/>
      <c r="AB62" s="3079"/>
      <c r="AC62" s="3079"/>
      <c r="AD62" s="3079"/>
      <c r="AE62" s="3079"/>
      <c r="AF62" s="3079"/>
      <c r="AG62" s="3079"/>
      <c r="AH62" s="3079"/>
      <c r="AI62" s="3079"/>
      <c r="AJ62" s="3079"/>
      <c r="AK62" s="3079"/>
      <c r="AL62" s="3079"/>
      <c r="AM62" s="3079"/>
      <c r="AN62" s="3079"/>
      <c r="AO62" s="3079"/>
      <c r="AP62" s="3079"/>
      <c r="AQ62" s="3079"/>
      <c r="AR62" s="3079"/>
      <c r="AS62" s="3079"/>
      <c r="AT62" s="3079"/>
      <c r="AU62" s="3079"/>
      <c r="AV62" s="3079"/>
      <c r="AW62" s="3079"/>
      <c r="AX62" s="3079"/>
      <c r="AY62" s="3079"/>
      <c r="AZ62" s="3079"/>
      <c r="BA62" s="3079"/>
      <c r="BB62" s="3079"/>
      <c r="BC62" s="3079"/>
      <c r="BD62" s="3079"/>
      <c r="BE62" s="3079"/>
      <c r="BF62" s="3079"/>
      <c r="BG62" s="3079"/>
      <c r="BH62" s="3079"/>
      <c r="BI62" s="3079"/>
      <c r="BJ62" s="3079"/>
      <c r="BK62" s="3079"/>
      <c r="BL62" s="3079"/>
      <c r="BM62" s="3079"/>
      <c r="BN62" s="3079"/>
      <c r="BO62" s="3079"/>
      <c r="BP62" s="3079"/>
      <c r="BQ62" s="3079"/>
      <c r="BR62" s="3079"/>
      <c r="BS62" s="3079"/>
      <c r="BT62" s="3079"/>
      <c r="BU62" s="3079"/>
      <c r="BV62" s="3079"/>
      <c r="BW62" s="3079"/>
      <c r="BX62" s="3079"/>
      <c r="BY62" s="3079"/>
      <c r="BZ62" s="3079"/>
      <c r="CA62" s="3079"/>
      <c r="CB62" s="3080"/>
      <c r="CC62" s="3079"/>
      <c r="CD62" s="3080"/>
      <c r="CE62" s="3080"/>
      <c r="CF62" s="3080"/>
      <c r="CG62" s="3080"/>
      <c r="CH62" s="3080"/>
      <c r="CI62" s="3079"/>
      <c r="CJ62" s="3080"/>
      <c r="CK62" s="3080"/>
      <c r="CL62" s="3080"/>
      <c r="CM62" s="3080"/>
      <c r="CN62" s="3080"/>
      <c r="CO62" s="3080"/>
      <c r="CP62" s="3080"/>
      <c r="CQ62" s="3080"/>
      <c r="CR62" s="3079"/>
      <c r="CS62" s="3079"/>
      <c r="CT62" s="3080"/>
      <c r="CU62" s="3080"/>
      <c r="CV62" s="3081">
        <v>1000</v>
      </c>
      <c r="CW62" s="3079"/>
      <c r="CX62" s="3080"/>
      <c r="CY62" s="3080"/>
      <c r="CZ62" s="3080"/>
      <c r="DA62" s="3079"/>
      <c r="DB62" s="3080"/>
      <c r="DC62" s="3079"/>
      <c r="DD62" s="3080"/>
      <c r="DE62" s="3080"/>
      <c r="DF62" s="3080"/>
      <c r="DG62" s="3080"/>
      <c r="DH62" s="3079"/>
      <c r="DI62" s="3079"/>
      <c r="DJ62" s="3079"/>
      <c r="DK62" s="3080"/>
      <c r="DL62" s="3080"/>
      <c r="DM62" s="3080"/>
      <c r="DN62" s="3080"/>
      <c r="DO62" s="3080"/>
      <c r="DP62" s="3080"/>
      <c r="DQ62" s="3080"/>
      <c r="DR62" s="3080"/>
      <c r="DS62" s="3080"/>
      <c r="DT62" s="3080"/>
      <c r="DU62" s="3080"/>
      <c r="DV62" s="3080"/>
      <c r="DW62" s="3080"/>
      <c r="DX62" s="3080"/>
      <c r="DY62" s="3080"/>
      <c r="DZ62" s="3080"/>
      <c r="EA62" s="3080"/>
      <c r="EB62" s="3080"/>
      <c r="EC62" s="3080"/>
      <c r="ED62" s="3080"/>
      <c r="EE62" s="3080"/>
      <c r="EF62" s="3080"/>
      <c r="EG62" s="3080"/>
      <c r="EH62" s="3080"/>
      <c r="EI62" s="3080"/>
      <c r="EJ62" s="3080"/>
      <c r="EK62" s="3080"/>
      <c r="EL62" s="3080"/>
      <c r="EM62" s="3080"/>
      <c r="EN62" s="3080"/>
      <c r="EO62" s="3080"/>
      <c r="EP62" s="3080"/>
      <c r="EQ62" s="3080"/>
      <c r="ER62" s="3080"/>
      <c r="ES62" s="3080"/>
      <c r="ET62" s="3080"/>
      <c r="EU62" s="3080"/>
      <c r="EV62" s="3080"/>
      <c r="EW62" s="3080"/>
      <c r="EX62" s="3080"/>
      <c r="EY62" s="3080"/>
      <c r="EZ62" s="3080"/>
      <c r="FA62" s="3080"/>
      <c r="FB62" s="3080"/>
      <c r="FC62" s="3080"/>
      <c r="FD62" s="3080"/>
      <c r="FE62" s="3080"/>
      <c r="FF62" s="3080"/>
      <c r="FG62" s="3080"/>
      <c r="FH62" s="3080"/>
      <c r="FI62" s="3080"/>
      <c r="FJ62" s="3080"/>
      <c r="FK62" s="3080"/>
      <c r="FL62" s="3080"/>
      <c r="FM62" s="3080"/>
      <c r="FN62" s="3080"/>
      <c r="FO62" s="3080"/>
      <c r="FP62" s="3080"/>
      <c r="FQ62" s="3080"/>
      <c r="FR62" s="3080"/>
      <c r="FS62" s="3080"/>
      <c r="FT62" s="3080"/>
      <c r="FU62" s="3080"/>
      <c r="FV62" s="3080"/>
      <c r="FW62" s="3080"/>
      <c r="FX62" s="3080"/>
      <c r="FY62" s="3080"/>
      <c r="FZ62" s="3080"/>
      <c r="GA62" s="3080"/>
      <c r="GB62" s="3080"/>
      <c r="GC62" s="3080"/>
      <c r="GD62" s="3080"/>
      <c r="GE62" s="3080"/>
      <c r="GF62" s="3080"/>
      <c r="GG62" s="3080"/>
      <c r="GH62" s="3080"/>
      <c r="GI62" s="3080"/>
      <c r="GJ62" s="3080"/>
      <c r="GK62" s="3080"/>
      <c r="GL62" s="3079"/>
      <c r="GM62" s="3079"/>
      <c r="GN62" s="3080"/>
      <c r="GO62" s="3080"/>
      <c r="GP62" s="3080"/>
      <c r="GQ62" s="3080"/>
      <c r="GR62" s="3080"/>
      <c r="GS62" s="3080"/>
      <c r="GT62" s="3080"/>
      <c r="GU62" s="3080"/>
      <c r="GV62" s="3080"/>
      <c r="GW62" s="3080"/>
      <c r="GX62" s="3079"/>
      <c r="GY62" s="3080"/>
      <c r="GZ62" s="3080"/>
      <c r="HA62" s="3080"/>
      <c r="HB62" s="3080"/>
      <c r="HC62" s="3079"/>
      <c r="HD62" s="3080"/>
      <c r="HE62" s="3080"/>
      <c r="HF62" s="3080"/>
      <c r="HG62" s="3080"/>
      <c r="HH62" s="3080"/>
      <c r="HI62" s="3080"/>
      <c r="HJ62" s="3080"/>
      <c r="HK62" s="3080"/>
      <c r="HL62" s="3080"/>
      <c r="HM62" s="3080"/>
      <c r="HN62" s="3079"/>
      <c r="HO62" s="3080"/>
      <c r="HP62" s="3080"/>
      <c r="HQ62" s="3080"/>
      <c r="HR62" s="3080"/>
      <c r="HS62" s="3080"/>
      <c r="HT62" s="3080"/>
      <c r="HU62" s="3080"/>
      <c r="HV62" s="3080"/>
      <c r="HW62" s="3080"/>
      <c r="HX62" s="3080"/>
      <c r="HY62" s="3080"/>
      <c r="HZ62" s="3080"/>
      <c r="IA62" s="3080"/>
      <c r="IB62" s="3080"/>
      <c r="IC62" s="3080"/>
      <c r="ID62" s="3080"/>
      <c r="IE62" s="3080"/>
      <c r="IF62" s="3080"/>
      <c r="IG62" s="3080"/>
      <c r="IH62" s="3080"/>
      <c r="II62" s="3080"/>
      <c r="IJ62" s="3080"/>
      <c r="IK62" s="3080"/>
      <c r="IL62" s="3080"/>
      <c r="IM62" s="3080"/>
      <c r="IN62" s="3080"/>
      <c r="IO62" s="3080"/>
      <c r="IP62" s="3080"/>
      <c r="IQ62" s="3080"/>
      <c r="IR62" s="3080"/>
      <c r="IS62" s="3080"/>
      <c r="IT62" s="3080"/>
      <c r="IU62" s="3080"/>
      <c r="IV62" s="3080"/>
      <c r="IW62" s="3080"/>
      <c r="IX62" s="3080"/>
      <c r="IY62" s="3080"/>
      <c r="IZ62" s="3080"/>
      <c r="JA62" s="3080"/>
      <c r="JB62" s="3080"/>
      <c r="JC62" s="3080"/>
      <c r="JD62" s="3080"/>
      <c r="JE62" s="3080"/>
      <c r="JF62" s="3080"/>
      <c r="JG62" s="3082"/>
      <c r="JH62" s="1233"/>
      <c r="JI62" s="2248"/>
    </row>
    <row customFormat="1" ht="12.75" r="63" s="2346" spans="1:269" thickBot="1" x14ac:dyDescent="0.25">
      <c r="A63" s="37"/>
      <c r="B63" s="584"/>
      <c r="C63" s="51"/>
      <c r="D63" s="561" t="s">
        <v>1764</v>
      </c>
      <c r="AD63" s="3500"/>
      <c r="AE63" s="3500"/>
      <c r="AF63" s="3500"/>
      <c r="AG63" s="3500"/>
      <c r="AH63" s="3500"/>
      <c r="CB63" s="2810"/>
      <c r="CC63" s="2810"/>
      <c r="CD63" s="2810"/>
      <c r="CE63" s="2810"/>
      <c r="CF63" s="2810"/>
      <c r="CG63" s="2810"/>
      <c r="CH63" s="2810"/>
      <c r="CI63" s="2810"/>
      <c r="CJ63" s="2810"/>
      <c r="CK63" s="2810"/>
      <c r="CL63" s="2810"/>
      <c r="CM63" s="2810"/>
      <c r="CN63" s="2810"/>
      <c r="CO63" s="2810"/>
      <c r="CP63" s="2810"/>
      <c r="CQ63" s="2810"/>
      <c r="CR63" s="2810"/>
      <c r="CS63" s="2810"/>
      <c r="CT63" s="2810"/>
      <c r="CU63" s="2810"/>
      <c r="CV63" s="2810"/>
      <c r="CW63" s="2810"/>
      <c r="CX63" s="2810"/>
      <c r="CY63" s="2810"/>
      <c r="CZ63" s="2810"/>
      <c r="DA63" s="2810"/>
      <c r="DB63" s="2810"/>
      <c r="DC63" s="2810"/>
      <c r="DD63" s="2810"/>
      <c r="DE63" s="2810"/>
      <c r="DF63" s="2810"/>
      <c r="DG63" s="2810"/>
      <c r="DH63" s="2810"/>
      <c r="DI63" s="2810"/>
      <c r="DJ63" s="2810"/>
      <c r="DK63" s="2810"/>
      <c r="DL63" s="2810"/>
      <c r="DM63" s="2810"/>
      <c r="DN63" s="2810"/>
      <c r="DO63" s="2810"/>
      <c r="DP63" s="2810"/>
      <c r="DQ63" s="2810"/>
      <c r="DR63" s="2810"/>
      <c r="DS63" s="2810"/>
      <c r="DT63" s="2810"/>
      <c r="DU63" s="2810"/>
      <c r="DV63" s="2810"/>
      <c r="DW63" s="2810"/>
      <c r="DX63" s="2810"/>
      <c r="DY63" s="2810"/>
      <c r="DZ63" s="2810"/>
      <c r="EA63" s="2810"/>
      <c r="EB63" s="2810"/>
      <c r="EC63" s="2810"/>
      <c r="ED63" s="2810"/>
      <c r="EE63" s="2810"/>
      <c r="EF63" s="2810"/>
      <c r="EG63" s="2810"/>
      <c r="EH63" s="2810"/>
      <c r="EI63" s="2810"/>
      <c r="EJ63" s="2810"/>
      <c r="EK63" s="2810"/>
      <c r="EL63" s="2810"/>
      <c r="EM63" s="2810"/>
      <c r="EN63" s="2810"/>
      <c r="EO63" s="2810"/>
      <c r="EP63" s="2810"/>
      <c r="EQ63" s="2810"/>
      <c r="ER63" s="2810"/>
      <c r="ES63" s="2810"/>
      <c r="ET63" s="2810"/>
      <c r="EU63" s="2810"/>
      <c r="EV63" s="2810"/>
      <c r="EW63" s="2810"/>
      <c r="EX63" s="2810"/>
      <c r="EY63" s="2810"/>
      <c r="EZ63" s="2810"/>
      <c r="FA63" s="2810"/>
      <c r="FB63" s="2810"/>
      <c r="FC63" s="2810"/>
      <c r="FD63" s="2810"/>
      <c r="FE63" s="2810"/>
      <c r="FF63" s="2810"/>
      <c r="FG63" s="2810"/>
      <c r="FH63" s="2810"/>
      <c r="FI63" s="2810"/>
      <c r="FJ63" s="2810"/>
      <c r="FK63" s="2810"/>
      <c r="FL63" s="2810"/>
      <c r="FM63" s="2810"/>
      <c r="FN63" s="2810"/>
      <c r="FO63" s="2810"/>
      <c r="FP63" s="2810"/>
      <c r="FQ63" s="2810"/>
      <c r="FR63" s="2810"/>
      <c r="FS63" s="2810"/>
      <c r="FT63" s="2810"/>
      <c r="FU63" s="2810"/>
      <c r="FV63" s="2810"/>
      <c r="FW63" s="2810"/>
      <c r="FX63" s="2810"/>
      <c r="FY63" s="2810"/>
      <c r="FZ63" s="2810"/>
      <c r="GA63" s="2810"/>
      <c r="GB63" s="2810"/>
      <c r="GC63" s="2810"/>
      <c r="GD63" s="2810"/>
      <c r="GE63" s="2810"/>
      <c r="GF63" s="2810"/>
      <c r="GG63" s="2810"/>
      <c r="GH63" s="2810"/>
      <c r="GI63" s="2810"/>
      <c r="GJ63" s="2810"/>
      <c r="GK63" s="2810"/>
      <c r="GL63" s="2810"/>
      <c r="GM63" s="2810"/>
      <c r="GN63" s="2810"/>
      <c r="GO63" s="2810"/>
      <c r="GP63" s="2810"/>
      <c r="GQ63" s="2810"/>
      <c r="GR63" s="2810"/>
      <c r="GS63" s="2810"/>
      <c r="GT63" s="2810"/>
      <c r="GU63" s="2810"/>
      <c r="GV63" s="2810"/>
      <c r="GW63" s="2810"/>
      <c r="GX63" s="2810"/>
      <c r="GY63" s="2810"/>
      <c r="GZ63" s="2810"/>
      <c r="HA63" s="2810"/>
      <c r="HB63" s="2810"/>
      <c r="HC63" s="2810"/>
      <c r="HD63" s="2810"/>
      <c r="HE63" s="2810"/>
      <c r="HF63" s="2810"/>
      <c r="HG63" s="2810"/>
      <c r="HH63" s="2810"/>
      <c r="HI63" s="2810"/>
      <c r="HJ63" s="2810"/>
      <c r="HK63" s="2810"/>
      <c r="HL63" s="2810"/>
      <c r="HM63" s="2810"/>
      <c r="HN63" s="2810"/>
      <c r="HO63" s="2810"/>
      <c r="HP63" s="2810"/>
      <c r="HQ63" s="2810"/>
      <c r="HR63" s="2810"/>
      <c r="HS63" s="2810"/>
      <c r="HT63" s="2810"/>
      <c r="HU63" s="2810"/>
      <c r="HV63" s="2810"/>
      <c r="HW63" s="2810"/>
      <c r="HX63" s="2810"/>
      <c r="HY63" s="2810"/>
      <c r="HZ63" s="2810"/>
      <c r="IA63" s="2810"/>
      <c r="IB63" s="2810"/>
      <c r="IC63" s="2810"/>
      <c r="ID63" s="2810"/>
      <c r="IE63" s="2810"/>
      <c r="IF63" s="2810"/>
      <c r="IG63" s="2810"/>
      <c r="IH63" s="2810"/>
      <c r="II63" s="2810"/>
      <c r="IJ63" s="2810"/>
      <c r="IK63" s="2810"/>
      <c r="IL63" s="2810"/>
      <c r="IM63" s="2810"/>
      <c r="IN63" s="2810"/>
      <c r="IO63" s="2810"/>
      <c r="IP63" s="2810"/>
      <c r="IQ63" s="2810"/>
      <c r="IR63" s="3889"/>
      <c r="IS63" s="2810"/>
      <c r="IT63" s="2810"/>
      <c r="IU63" s="2810"/>
      <c r="IV63" s="2810"/>
      <c r="IW63" s="2810"/>
      <c r="IX63" s="2810"/>
      <c r="IY63" s="2810"/>
      <c r="IZ63" s="2810"/>
      <c r="JA63" s="3724"/>
      <c r="JB63" s="3724"/>
      <c r="JC63" s="3724"/>
      <c r="JD63" s="4202"/>
      <c r="JE63" s="4202"/>
      <c r="JF63" s="4202"/>
      <c r="JG63" s="2625"/>
      <c r="JH63" s="50"/>
      <c r="JI63" s="2624"/>
    </row>
    <row r="64" spans="1:269" x14ac:dyDescent="0.2">
      <c r="A64" s="2756" t="s">
        <v>4479</v>
      </c>
      <c r="B64" s="1945" t="str">
        <f>"selected "&amp;MCA_IND-1</f>
        <v>selected 0</v>
      </c>
      <c r="D64" s="2757"/>
      <c r="E64" s="2026">
        <v>1</v>
      </c>
      <c r="F64" s="2026">
        <v>2</v>
      </c>
      <c r="G64" s="2026">
        <v>3</v>
      </c>
      <c r="H64" s="2026">
        <v>4</v>
      </c>
      <c r="I64" s="2026">
        <v>5</v>
      </c>
      <c r="J64" s="2026">
        <v>6</v>
      </c>
      <c r="K64" s="2026">
        <v>7</v>
      </c>
      <c r="L64" s="2026">
        <v>8</v>
      </c>
      <c r="M64" s="2026">
        <v>9</v>
      </c>
      <c r="N64" s="2026">
        <v>10</v>
      </c>
      <c r="O64" s="2026">
        <v>11</v>
      </c>
      <c r="P64" s="2026">
        <v>12</v>
      </c>
      <c r="Q64" s="2026">
        <v>13</v>
      </c>
      <c r="R64" s="2026">
        <v>14</v>
      </c>
      <c r="S64" s="2026">
        <v>15</v>
      </c>
      <c r="T64" s="2026">
        <v>16</v>
      </c>
      <c r="U64" s="2026">
        <v>17</v>
      </c>
      <c r="V64" s="2026">
        <v>18</v>
      </c>
      <c r="W64" s="2026">
        <v>19</v>
      </c>
      <c r="X64" s="2026">
        <v>20</v>
      </c>
      <c r="Y64" s="2026">
        <v>21</v>
      </c>
      <c r="Z64" s="2026">
        <v>22</v>
      </c>
      <c r="AA64" s="2026">
        <v>23</v>
      </c>
      <c r="AB64" s="2026">
        <v>24</v>
      </c>
      <c r="AC64" s="2026">
        <v>25</v>
      </c>
      <c r="AD64" s="3502">
        <v>26</v>
      </c>
      <c r="AE64" s="3502">
        <v>27</v>
      </c>
      <c r="AF64" s="3502">
        <v>28</v>
      </c>
      <c r="AG64" s="3502">
        <v>29</v>
      </c>
      <c r="AH64" s="3502">
        <v>30</v>
      </c>
      <c r="AI64" s="2026">
        <v>31</v>
      </c>
      <c r="AJ64" s="2026">
        <v>32</v>
      </c>
      <c r="AK64" s="2026">
        <v>33</v>
      </c>
      <c r="AL64" s="2026">
        <v>34</v>
      </c>
      <c r="AM64" s="2026">
        <v>35</v>
      </c>
      <c r="AN64" s="2026">
        <v>36</v>
      </c>
      <c r="AO64" s="2026">
        <v>37</v>
      </c>
      <c r="AP64" s="2026">
        <v>38</v>
      </c>
      <c r="AQ64" s="2026">
        <v>39</v>
      </c>
      <c r="AR64" s="2026">
        <v>40</v>
      </c>
      <c r="AS64" s="2026">
        <v>41</v>
      </c>
      <c r="AT64" s="2026">
        <v>42</v>
      </c>
      <c r="AU64" s="2026">
        <v>43</v>
      </c>
      <c r="AV64" s="2026">
        <v>44</v>
      </c>
      <c r="AW64" s="2026">
        <v>45</v>
      </c>
      <c r="AX64" s="2026">
        <v>46</v>
      </c>
      <c r="AY64" s="2026">
        <v>47</v>
      </c>
      <c r="AZ64" s="2026">
        <v>48</v>
      </c>
      <c r="BA64" s="2026">
        <v>49</v>
      </c>
      <c r="BB64" s="2026">
        <v>50</v>
      </c>
      <c r="BC64" s="2026">
        <v>51</v>
      </c>
      <c r="BD64" s="2026">
        <v>52</v>
      </c>
      <c r="BE64" s="2026">
        <v>53</v>
      </c>
      <c r="BF64" s="2026">
        <v>54</v>
      </c>
      <c r="BG64" s="2026">
        <v>55</v>
      </c>
      <c r="BH64" s="2026">
        <v>56</v>
      </c>
      <c r="BI64" s="2026">
        <v>57</v>
      </c>
      <c r="BJ64" s="2026">
        <v>58</v>
      </c>
      <c r="BK64" s="2026">
        <v>59</v>
      </c>
      <c r="BL64" s="2026">
        <v>60</v>
      </c>
      <c r="BM64" s="2026">
        <v>61</v>
      </c>
      <c r="BN64" s="2026">
        <v>62</v>
      </c>
      <c r="BO64" s="2026">
        <v>63</v>
      </c>
      <c r="BP64" s="2026">
        <v>64</v>
      </c>
      <c r="BQ64" s="2026">
        <v>65</v>
      </c>
      <c r="BR64" s="2026">
        <v>66</v>
      </c>
      <c r="BS64" s="2026">
        <v>67</v>
      </c>
      <c r="BT64" s="2026">
        <v>68</v>
      </c>
      <c r="BU64" s="2026">
        <v>69</v>
      </c>
      <c r="BV64" s="2026">
        <v>70</v>
      </c>
      <c r="BW64" s="2026">
        <v>71</v>
      </c>
      <c r="BX64" s="2026">
        <v>72</v>
      </c>
      <c r="BY64" s="2026">
        <v>73</v>
      </c>
      <c r="BZ64" s="2026">
        <v>74</v>
      </c>
      <c r="CA64" s="2026">
        <v>75</v>
      </c>
      <c r="CB64" s="2026">
        <v>76</v>
      </c>
      <c r="CC64" s="2026">
        <v>77</v>
      </c>
      <c r="CD64" s="2026">
        <v>78</v>
      </c>
      <c r="CE64" s="2026">
        <v>79</v>
      </c>
      <c r="CF64" s="2026">
        <v>80</v>
      </c>
      <c r="CG64" s="2026">
        <v>81</v>
      </c>
      <c r="CH64" s="2026">
        <v>82</v>
      </c>
      <c r="CI64" s="2026">
        <v>83</v>
      </c>
      <c r="CJ64" s="2026">
        <v>84</v>
      </c>
      <c r="CK64" s="2026">
        <v>85</v>
      </c>
      <c r="CL64" s="2026">
        <v>86</v>
      </c>
      <c r="CM64" s="2026">
        <v>87</v>
      </c>
      <c r="CN64" s="2026">
        <v>88</v>
      </c>
      <c r="CO64" s="2026">
        <v>89</v>
      </c>
      <c r="CP64" s="2026">
        <v>90</v>
      </c>
      <c r="CQ64" s="2026">
        <v>91</v>
      </c>
      <c r="CR64" s="2026">
        <v>92</v>
      </c>
      <c r="CS64" s="2026">
        <v>93</v>
      </c>
      <c r="CT64" s="2026">
        <v>94</v>
      </c>
      <c r="CU64" s="2026">
        <v>95</v>
      </c>
      <c r="CV64" s="2026">
        <v>96</v>
      </c>
      <c r="CW64" s="2026">
        <v>97</v>
      </c>
      <c r="CX64" s="2026">
        <v>98</v>
      </c>
      <c r="CY64" s="2026">
        <v>99</v>
      </c>
      <c r="CZ64" s="2026">
        <v>100</v>
      </c>
      <c r="DA64" s="2026">
        <v>101</v>
      </c>
      <c r="DB64" s="2026">
        <v>102</v>
      </c>
      <c r="DC64" s="2026">
        <v>103</v>
      </c>
      <c r="DD64" s="2026">
        <v>104</v>
      </c>
      <c r="DE64" s="2026">
        <v>105</v>
      </c>
      <c r="DF64" s="2026">
        <v>106</v>
      </c>
      <c r="DG64" s="2026">
        <v>107</v>
      </c>
      <c r="DH64" s="2026">
        <v>108</v>
      </c>
      <c r="DI64" s="2026">
        <v>109</v>
      </c>
      <c r="DJ64" s="2026">
        <v>110</v>
      </c>
      <c r="DK64" s="2026">
        <v>111</v>
      </c>
      <c r="DL64" s="2026">
        <v>112</v>
      </c>
      <c r="DM64" s="2026">
        <v>113</v>
      </c>
      <c r="DN64" s="2026">
        <v>114</v>
      </c>
      <c r="DO64" s="2026">
        <v>115</v>
      </c>
      <c r="DP64" s="2026">
        <v>116</v>
      </c>
      <c r="DQ64" s="2026">
        <v>117</v>
      </c>
      <c r="DR64" s="2026">
        <v>118</v>
      </c>
      <c r="DS64" s="2026">
        <v>119</v>
      </c>
      <c r="DT64" s="2026">
        <v>120</v>
      </c>
      <c r="DU64" s="2026">
        <v>121</v>
      </c>
      <c r="DV64" s="2026">
        <v>122</v>
      </c>
      <c r="DW64" s="2026">
        <v>123</v>
      </c>
      <c r="DX64" s="2026">
        <v>124</v>
      </c>
      <c r="DY64" s="2026">
        <v>125</v>
      </c>
      <c r="DZ64" s="2026">
        <v>126</v>
      </c>
      <c r="EA64" s="2026">
        <v>127</v>
      </c>
      <c r="EB64" s="2026">
        <v>128</v>
      </c>
      <c r="EC64" s="2026">
        <v>129</v>
      </c>
      <c r="ED64" s="2026">
        <v>130</v>
      </c>
      <c r="EE64" s="2026">
        <v>131</v>
      </c>
      <c r="EF64" s="2026">
        <v>132</v>
      </c>
      <c r="EG64" s="2026">
        <v>133</v>
      </c>
      <c r="EH64" s="2026">
        <v>134</v>
      </c>
      <c r="EI64" s="2026">
        <v>135</v>
      </c>
      <c r="EJ64" s="2026">
        <v>136</v>
      </c>
      <c r="EK64" s="2026">
        <v>137</v>
      </c>
      <c r="EL64" s="2026">
        <v>138</v>
      </c>
      <c r="EM64" s="2026">
        <v>139</v>
      </c>
      <c r="EN64" s="2026">
        <v>140</v>
      </c>
      <c r="EO64" s="2026">
        <v>141</v>
      </c>
      <c r="EP64" s="2026">
        <v>142</v>
      </c>
      <c r="EQ64" s="2026">
        <v>143</v>
      </c>
      <c r="ER64" s="2026">
        <v>144</v>
      </c>
      <c r="ES64" s="2026">
        <v>145</v>
      </c>
      <c r="ET64" s="2026">
        <v>146</v>
      </c>
      <c r="EU64" s="2026">
        <v>147</v>
      </c>
      <c r="EV64" s="2026">
        <v>148</v>
      </c>
      <c r="EW64" s="2026">
        <v>149</v>
      </c>
      <c r="EX64" s="2026">
        <v>150</v>
      </c>
      <c r="EY64" s="2026">
        <v>151</v>
      </c>
      <c r="EZ64" s="2026">
        <v>152</v>
      </c>
      <c r="FA64" s="2026">
        <v>153</v>
      </c>
      <c r="FB64" s="2026">
        <v>154</v>
      </c>
      <c r="FC64" s="2026">
        <v>155</v>
      </c>
      <c r="FD64" s="2026">
        <v>156</v>
      </c>
      <c r="FE64" s="2026">
        <v>157</v>
      </c>
      <c r="FF64" s="2026">
        <v>158</v>
      </c>
      <c r="FG64" s="2026">
        <v>159</v>
      </c>
      <c r="FH64" s="2026">
        <v>160</v>
      </c>
      <c r="FI64" s="2026">
        <v>161</v>
      </c>
      <c r="FJ64" s="2026">
        <v>162</v>
      </c>
      <c r="FK64" s="2026">
        <v>163</v>
      </c>
      <c r="FL64" s="2026">
        <v>164</v>
      </c>
      <c r="FM64" s="2026">
        <v>165</v>
      </c>
      <c r="FN64" s="2026">
        <v>166</v>
      </c>
      <c r="FO64" s="2026">
        <v>167</v>
      </c>
      <c r="FP64" s="2026">
        <v>168</v>
      </c>
      <c r="FQ64" s="2026">
        <v>169</v>
      </c>
      <c r="FR64" s="2026">
        <v>170</v>
      </c>
      <c r="FS64" s="2026">
        <v>171</v>
      </c>
      <c r="FT64" s="2026">
        <v>172</v>
      </c>
      <c r="FU64" s="2026">
        <v>173</v>
      </c>
      <c r="FV64" s="2026">
        <v>174</v>
      </c>
      <c r="FW64" s="2026">
        <v>175</v>
      </c>
      <c r="FX64" s="2026">
        <v>176</v>
      </c>
      <c r="FY64" s="2026">
        <v>177</v>
      </c>
      <c r="FZ64" s="2026">
        <v>178</v>
      </c>
      <c r="GA64" s="2026">
        <v>179</v>
      </c>
      <c r="GB64" s="2026">
        <v>180</v>
      </c>
      <c r="GC64" s="2026">
        <v>181</v>
      </c>
      <c r="GD64" s="2026">
        <v>182</v>
      </c>
      <c r="GE64" s="2026">
        <v>183</v>
      </c>
      <c r="GF64" s="2026">
        <v>184</v>
      </c>
      <c r="GG64" s="2026">
        <v>185</v>
      </c>
      <c r="GH64" s="2026">
        <v>186</v>
      </c>
      <c r="GI64" s="2026">
        <v>187</v>
      </c>
      <c r="GJ64" s="2026">
        <v>188</v>
      </c>
      <c r="GK64" s="2026">
        <v>189</v>
      </c>
      <c r="GL64" s="2026">
        <v>190</v>
      </c>
      <c r="GM64" s="2026">
        <v>191</v>
      </c>
      <c r="GN64" s="2026">
        <v>192</v>
      </c>
      <c r="GO64" s="2026">
        <v>193</v>
      </c>
      <c r="GP64" s="2026">
        <v>194</v>
      </c>
      <c r="GQ64" s="2026">
        <v>195</v>
      </c>
      <c r="GR64" s="2026">
        <v>196</v>
      </c>
      <c r="GS64" s="2026">
        <v>197</v>
      </c>
      <c r="GT64" s="2026">
        <v>198</v>
      </c>
      <c r="GU64" s="2026">
        <v>199</v>
      </c>
      <c r="GV64" s="2026">
        <v>200</v>
      </c>
      <c r="GW64" s="2026">
        <v>201</v>
      </c>
      <c r="GX64" s="2026">
        <v>202</v>
      </c>
      <c r="GY64" s="2026">
        <v>203</v>
      </c>
      <c r="GZ64" s="2026">
        <v>204</v>
      </c>
      <c r="HA64" s="2026">
        <v>205</v>
      </c>
      <c r="HB64" s="2026">
        <v>206</v>
      </c>
      <c r="HC64" s="2026">
        <v>207</v>
      </c>
      <c r="HD64" s="2026">
        <v>208</v>
      </c>
      <c r="HE64" s="2026">
        <v>209</v>
      </c>
      <c r="HF64" s="2026">
        <v>210</v>
      </c>
      <c r="HG64" s="2026">
        <v>211</v>
      </c>
      <c r="HH64" s="2026">
        <v>212</v>
      </c>
      <c r="HI64" s="2026">
        <v>213</v>
      </c>
      <c r="HJ64" s="2026">
        <v>214</v>
      </c>
      <c r="HK64" s="2026">
        <v>215</v>
      </c>
      <c r="HL64" s="2026">
        <v>216</v>
      </c>
      <c r="HM64" s="2026">
        <v>217</v>
      </c>
      <c r="HN64" s="2026">
        <v>218</v>
      </c>
      <c r="HO64" s="2026">
        <v>219</v>
      </c>
      <c r="HP64" s="2026">
        <v>220</v>
      </c>
      <c r="HQ64" s="2026">
        <v>221</v>
      </c>
      <c r="HR64" s="2026">
        <v>222</v>
      </c>
      <c r="HS64" s="2026">
        <v>223</v>
      </c>
      <c r="HT64" s="2026">
        <v>224</v>
      </c>
      <c r="HU64" s="2026">
        <v>225</v>
      </c>
      <c r="HV64" s="2026">
        <v>226</v>
      </c>
      <c r="HW64" s="2026">
        <v>227</v>
      </c>
      <c r="HX64" s="2026">
        <v>228</v>
      </c>
      <c r="HY64" s="2026">
        <v>229</v>
      </c>
      <c r="HZ64" s="2026">
        <v>230</v>
      </c>
      <c r="IA64" s="2026">
        <v>231</v>
      </c>
      <c r="IB64" s="2026">
        <v>232</v>
      </c>
      <c r="IC64" s="2026">
        <v>233</v>
      </c>
      <c r="ID64" s="2026">
        <v>234</v>
      </c>
      <c r="IE64" s="2026">
        <v>235</v>
      </c>
      <c r="IF64" s="2026">
        <v>236</v>
      </c>
      <c r="IG64" s="2026">
        <v>237</v>
      </c>
      <c r="IH64" s="2026">
        <v>238</v>
      </c>
      <c r="II64" s="2026">
        <v>239</v>
      </c>
      <c r="IJ64" s="2026">
        <v>240</v>
      </c>
      <c r="IK64" s="2026">
        <v>241</v>
      </c>
      <c r="IL64" s="2026">
        <v>242</v>
      </c>
      <c r="IM64" s="2026">
        <v>243</v>
      </c>
      <c r="IN64" s="2026">
        <v>244</v>
      </c>
      <c r="IO64" s="2026">
        <v>245</v>
      </c>
      <c r="IP64" s="1134">
        <v>246</v>
      </c>
      <c r="IQ64" s="1134">
        <v>247</v>
      </c>
      <c r="IR64" s="1134">
        <v>248</v>
      </c>
      <c r="IS64" s="1134">
        <v>249</v>
      </c>
      <c r="IT64" s="1134">
        <v>250</v>
      </c>
      <c r="IU64" s="1134">
        <v>251</v>
      </c>
      <c r="IV64" s="1134">
        <v>252</v>
      </c>
      <c r="IW64" s="1134">
        <v>253</v>
      </c>
      <c r="IX64" s="1134">
        <v>254</v>
      </c>
      <c r="IY64" s="1134">
        <v>255</v>
      </c>
      <c r="IZ64" s="1134">
        <v>256</v>
      </c>
      <c r="JA64" s="1134">
        <v>257</v>
      </c>
      <c r="JB64" s="1134">
        <v>258</v>
      </c>
      <c r="JC64" s="1134">
        <v>259</v>
      </c>
      <c r="JD64" s="1134">
        <v>260</v>
      </c>
      <c r="JE64" s="1134">
        <v>261</v>
      </c>
      <c r="JF64" s="1134">
        <v>262</v>
      </c>
      <c r="JG64" s="2485">
        <v>263</v>
      </c>
      <c r="JI64" s="6"/>
    </row>
    <row r="65" spans="1:269" x14ac:dyDescent="0.2">
      <c r="A65" s="1128">
        <v>2</v>
      </c>
      <c r="B65" s="1375" t="str">
        <f ref="B65:B71" si="6" t="shared">IF(MCA_IND&gt;1,IF(HLOOKUP(MCA_IND-1,MCA_CONTROL_RANGE,A75)="","",HLOOKUP(MCA_IND-1,MCA_CONTROL_RANGE,A75)),"")</f>
        <v/>
      </c>
      <c r="D65" s="2758" t="s">
        <v>1760</v>
      </c>
      <c r="E65" s="2379"/>
      <c r="F65" s="2379"/>
      <c r="G65" s="2379"/>
      <c r="H65" s="2379"/>
      <c r="I65" s="2379"/>
      <c r="J65" s="2379"/>
      <c r="K65" s="3515">
        <v>2</v>
      </c>
      <c r="L65" s="2379">
        <v>2</v>
      </c>
      <c r="M65" s="2379"/>
      <c r="N65" s="2379"/>
      <c r="O65" s="2379"/>
      <c r="P65" s="2379"/>
      <c r="Q65" s="2379">
        <v>3</v>
      </c>
      <c r="R65" s="2379"/>
      <c r="S65" s="2379"/>
      <c r="T65" s="2379"/>
      <c r="U65" s="2379"/>
      <c r="V65" s="2379"/>
      <c r="W65" s="2379"/>
      <c r="X65" s="2379"/>
      <c r="Y65" s="2379"/>
      <c r="Z65" s="2379"/>
      <c r="AA65" s="2379"/>
      <c r="AB65" s="2379"/>
      <c r="AC65" s="2379"/>
      <c r="AD65" s="2379"/>
      <c r="AE65" s="2379"/>
      <c r="AF65" s="2379"/>
      <c r="AG65" s="2379"/>
      <c r="AH65" s="2379"/>
      <c r="AI65" s="2379"/>
      <c r="AJ65" s="2379"/>
      <c r="AK65" s="2379"/>
      <c r="AL65" s="2379"/>
      <c r="AM65" s="2379"/>
      <c r="AN65" s="2379"/>
      <c r="AO65" s="2379"/>
      <c r="AP65" s="2379"/>
      <c r="AQ65" s="2379"/>
      <c r="AR65" s="2379"/>
      <c r="AS65" s="2379"/>
      <c r="AT65" s="2379"/>
      <c r="AU65" s="2379"/>
      <c r="AV65" s="2379"/>
      <c r="AW65" s="2379">
        <v>3</v>
      </c>
      <c r="AX65" s="2379"/>
      <c r="AY65" s="2379"/>
      <c r="AZ65" s="2379"/>
      <c r="BA65" s="2379"/>
      <c r="BB65" s="2379"/>
      <c r="BC65" s="2379"/>
      <c r="BD65" s="2379">
        <v>2</v>
      </c>
      <c r="BE65" s="2379"/>
      <c r="BF65" s="2379"/>
      <c r="BG65" s="2379"/>
      <c r="BH65" s="2379"/>
      <c r="BI65" s="3641"/>
      <c r="BJ65" s="2379"/>
      <c r="BK65" s="2379"/>
      <c r="BL65" s="2379"/>
      <c r="BM65" s="2379"/>
      <c r="BN65" s="2379">
        <v>2</v>
      </c>
      <c r="BO65" s="2379"/>
      <c r="BP65" s="2379"/>
      <c r="BQ65" s="2379"/>
      <c r="BR65" s="2379"/>
      <c r="BS65" s="2379"/>
      <c r="BT65" s="2379"/>
      <c r="BU65" s="2379"/>
      <c r="BV65" s="2379">
        <v>2</v>
      </c>
      <c r="BW65" s="2379">
        <v>2</v>
      </c>
      <c r="BX65" s="2379">
        <v>2</v>
      </c>
      <c r="BY65" s="2379">
        <v>2</v>
      </c>
      <c r="BZ65" s="2379"/>
      <c r="CA65" s="2379">
        <v>2</v>
      </c>
      <c r="CB65" s="2379">
        <v>2</v>
      </c>
      <c r="CC65" s="2815"/>
      <c r="CD65" s="2379">
        <v>2</v>
      </c>
      <c r="CE65" s="2815"/>
      <c r="CF65" s="2379">
        <v>2</v>
      </c>
      <c r="CG65" s="2815"/>
      <c r="CH65" s="2379">
        <v>2</v>
      </c>
      <c r="CI65" s="2815"/>
      <c r="CJ65" s="2815"/>
      <c r="CK65" s="2815"/>
      <c r="CL65" s="2815"/>
      <c r="CM65" s="2815"/>
      <c r="CN65" s="2815"/>
      <c r="CO65" s="2815"/>
      <c r="CP65" s="2815"/>
      <c r="CQ65" s="2815"/>
      <c r="CR65" s="2815"/>
      <c r="CS65" s="2815"/>
      <c r="CT65" s="2815"/>
      <c r="CU65" s="2815"/>
      <c r="CV65" s="2815"/>
      <c r="CW65" s="2815"/>
      <c r="CX65" s="2815"/>
      <c r="CY65" s="2815"/>
      <c r="CZ65" s="2815"/>
      <c r="DA65" s="2815"/>
      <c r="DB65" s="2815"/>
      <c r="DC65" s="2815"/>
      <c r="DD65" s="2815"/>
      <c r="DE65" s="2815"/>
      <c r="DF65" s="2815"/>
      <c r="DG65" s="2815"/>
      <c r="DH65" s="2815"/>
      <c r="DI65" s="2815"/>
      <c r="DJ65" s="2815"/>
      <c r="DK65" s="2815"/>
      <c r="DL65" s="2815"/>
      <c r="DM65" s="2815"/>
      <c r="DN65" s="2815"/>
      <c r="DO65" s="2815"/>
      <c r="DP65" s="2815"/>
      <c r="DQ65" s="2815"/>
      <c r="DR65" s="2815"/>
      <c r="DS65" s="2379">
        <v>2</v>
      </c>
      <c r="DT65" s="2815"/>
      <c r="DU65" s="2815"/>
      <c r="DV65" s="2815"/>
      <c r="DW65" s="2379">
        <v>2</v>
      </c>
      <c r="DX65" s="2379">
        <v>2</v>
      </c>
      <c r="DY65" s="2379">
        <v>2</v>
      </c>
      <c r="DZ65" s="2379">
        <v>2</v>
      </c>
      <c r="EA65" s="2815"/>
      <c r="EB65" s="2815"/>
      <c r="EC65" s="2815"/>
      <c r="ED65" s="2815"/>
      <c r="EE65" s="2815"/>
      <c r="EF65" s="2815"/>
      <c r="EG65" s="2815"/>
      <c r="EH65" s="2815"/>
      <c r="EI65" s="2815"/>
      <c r="EJ65" s="2815"/>
      <c r="EK65" s="2815"/>
      <c r="EL65" s="2815"/>
      <c r="EM65" s="2815"/>
      <c r="EN65" s="2815"/>
      <c r="EO65" s="2815"/>
      <c r="EP65" s="2815"/>
      <c r="EQ65" s="2815"/>
      <c r="ER65" s="2815"/>
      <c r="ES65" s="2815"/>
      <c r="ET65" s="2815"/>
      <c r="EU65" s="2815"/>
      <c r="EV65" s="2815"/>
      <c r="EW65" s="2815"/>
      <c r="EX65" s="2815"/>
      <c r="EY65" s="2815"/>
      <c r="EZ65" s="2815"/>
      <c r="FA65" s="2815"/>
      <c r="FB65" s="2379">
        <v>2</v>
      </c>
      <c r="FC65" s="2815"/>
      <c r="FD65" s="2815"/>
      <c r="FE65" s="2815"/>
      <c r="FF65" s="2815"/>
      <c r="FG65" s="2815"/>
      <c r="FH65" s="2815"/>
      <c r="FI65" s="2815"/>
      <c r="FJ65" s="2815"/>
      <c r="FK65" s="2815"/>
      <c r="FL65" s="2815"/>
      <c r="FM65" s="2815"/>
      <c r="FN65" s="2815"/>
      <c r="FO65" s="2815"/>
      <c r="FP65" s="2815"/>
      <c r="FQ65" s="2815"/>
      <c r="FR65" s="2815"/>
      <c r="FS65" s="2815"/>
      <c r="FT65" s="2815"/>
      <c r="FU65" s="2815"/>
      <c r="FV65" s="2815"/>
      <c r="FW65" s="2815"/>
      <c r="FX65" s="2815"/>
      <c r="FY65" s="2379">
        <v>2</v>
      </c>
      <c r="FZ65" s="2379">
        <v>2</v>
      </c>
      <c r="GA65" s="2379">
        <v>2</v>
      </c>
      <c r="GB65" s="2379">
        <v>3</v>
      </c>
      <c r="GC65" s="2815"/>
      <c r="GD65" s="2815"/>
      <c r="GE65" s="2815"/>
      <c r="GF65" s="2815"/>
      <c r="GG65" s="2815"/>
      <c r="GH65" s="2815"/>
      <c r="GI65" s="2815"/>
      <c r="GJ65" s="2815"/>
      <c r="GK65" s="2815"/>
      <c r="GL65" s="2815"/>
      <c r="GM65" s="2815"/>
      <c r="GN65" s="2815"/>
      <c r="GO65" s="2815"/>
      <c r="GP65" s="2815"/>
      <c r="GQ65" s="2815"/>
      <c r="GR65" s="2815"/>
      <c r="GS65" s="2815"/>
      <c r="GT65" s="2815"/>
      <c r="GU65" s="2815"/>
      <c r="GV65" s="2815"/>
      <c r="GW65" s="2815"/>
      <c r="GX65" s="2815"/>
      <c r="GY65" s="2815"/>
      <c r="GZ65" s="2815"/>
      <c r="HA65" s="2815"/>
      <c r="HB65" s="2815"/>
      <c r="HC65" s="2815"/>
      <c r="HD65" s="2815"/>
      <c r="HE65" s="2815"/>
      <c r="HF65" s="2815"/>
      <c r="HG65" s="2815"/>
      <c r="HH65" s="2815"/>
      <c r="HI65" s="2815"/>
      <c r="HJ65" s="2815"/>
      <c r="HK65" s="2815"/>
      <c r="HL65" s="2815"/>
      <c r="HM65" s="2815"/>
      <c r="HN65" s="2815"/>
      <c r="HO65" s="2815"/>
      <c r="HP65" s="2815"/>
      <c r="HQ65" s="2815"/>
      <c r="HR65" s="2815"/>
      <c r="HS65" s="2815"/>
      <c r="HT65" s="2815"/>
      <c r="HU65" s="2815"/>
      <c r="HV65" s="2815"/>
      <c r="HW65" s="2815"/>
      <c r="HX65" s="2815"/>
      <c r="HY65" s="2815"/>
      <c r="HZ65" s="2815"/>
      <c r="IA65" s="2815"/>
      <c r="IB65" s="2815"/>
      <c r="IC65" s="2815"/>
      <c r="ID65" s="2815"/>
      <c r="IE65" s="2815"/>
      <c r="IF65" s="2815"/>
      <c r="IG65" s="2815"/>
      <c r="IH65" s="2815"/>
      <c r="II65" s="2815"/>
      <c r="IJ65" s="2815"/>
      <c r="IK65" s="2815"/>
      <c r="IL65" s="2815"/>
      <c r="IM65" s="2815"/>
      <c r="IN65" s="2815"/>
      <c r="IO65" s="2815"/>
      <c r="IP65" s="2815"/>
      <c r="IQ65" s="2815"/>
      <c r="IR65" s="2815"/>
      <c r="IS65" s="2815"/>
      <c r="IT65" s="2815"/>
      <c r="IU65" s="2815"/>
      <c r="IV65" s="2815"/>
      <c r="IW65" s="2815"/>
      <c r="IX65" s="2815"/>
      <c r="IY65" s="2815"/>
      <c r="IZ65" s="2815"/>
      <c r="JA65" s="2815"/>
      <c r="JB65" s="2815"/>
      <c r="JC65" s="2815"/>
      <c r="JD65" s="2815"/>
      <c r="JE65" s="2815"/>
      <c r="JF65" s="2815"/>
      <c r="JG65" s="3348"/>
      <c r="JI65" s="6"/>
    </row>
    <row r="66" spans="1:269" x14ac:dyDescent="0.2">
      <c r="A66" s="1128">
        <v>3</v>
      </c>
      <c r="B66" s="1375" t="str">
        <f si="6" t="shared"/>
        <v/>
      </c>
      <c r="D66" s="2759" t="str">
        <f>data!B173&amp;" = "&amp;data!C173</f>
        <v>1 = 1) Not Claimed</v>
      </c>
      <c r="E66" s="2760" t="str">
        <f>data!B174&amp;" = "&amp;data!C174</f>
        <v>2 = 2) husband / higher income partner (box 1 present)</v>
      </c>
      <c r="F66" s="2760"/>
      <c r="G66" s="35"/>
      <c r="H66" s="2760"/>
      <c r="I66" s="2760" t="str">
        <f>data!B175&amp;" = "&amp;data!C175</f>
        <v>3 = 3) wife / lower income partner (box 8 present)</v>
      </c>
      <c r="J66" s="35"/>
      <c r="K66" s="35"/>
      <c r="L66" s="2760"/>
      <c r="M66" s="35"/>
      <c r="N66" s="35"/>
      <c r="O66" s="35"/>
      <c r="P66" s="35"/>
      <c r="Q66" s="35"/>
      <c r="R66" s="35"/>
      <c r="S66" s="35"/>
      <c r="T66" s="35"/>
      <c r="U66" s="35"/>
      <c r="V66" s="35"/>
      <c r="W66" s="35"/>
      <c r="X66" s="35"/>
      <c r="Y66" s="35"/>
      <c r="Z66" s="35"/>
      <c r="AA66" s="35"/>
      <c r="AB66" s="35"/>
      <c r="AC66" s="35"/>
      <c r="AD66" s="35"/>
      <c r="AE66" s="35"/>
      <c r="AF66" s="35"/>
      <c r="AG66" s="35"/>
      <c r="AH66" s="35"/>
      <c r="AI66" s="35"/>
      <c r="AJ66" s="35"/>
      <c r="AK66" s="35"/>
      <c r="AL66" s="35"/>
      <c r="AM66" s="35"/>
      <c r="AN66" s="35"/>
      <c r="AO66" s="35"/>
      <c r="AP66" s="35"/>
      <c r="AQ66" s="35"/>
      <c r="AR66" s="35"/>
      <c r="AS66" s="2760" t="str">
        <f>data!B174&amp;" = "&amp;data!C174</f>
        <v>2 = 2) husband / higher income partner (box 1 present)</v>
      </c>
      <c r="AT66" s="2760"/>
      <c r="AU66" s="35"/>
      <c r="AV66" s="2760"/>
      <c r="AW66" s="35"/>
      <c r="AX66" s="2760" t="str">
        <f>data!B175&amp;" = "&amp;data!C175</f>
        <v>3 = 3) wife / lower income partner (box 8 present)</v>
      </c>
      <c r="AY66" s="35"/>
      <c r="AZ66" s="35"/>
      <c r="BA66" s="35"/>
      <c r="BB66" s="35"/>
      <c r="BC66" s="35"/>
      <c r="BD66" s="2760"/>
      <c r="BE66" s="35"/>
      <c r="BF66" s="35"/>
      <c r="BG66" s="35"/>
      <c r="BH66" s="35"/>
      <c r="BI66" s="2324"/>
      <c r="BJ66" s="35"/>
      <c r="BK66" s="35"/>
      <c r="BL66" s="35"/>
      <c r="BM66" s="35"/>
      <c r="BN66" s="2760"/>
      <c r="BO66" s="35"/>
      <c r="BP66" s="35"/>
      <c r="BQ66" s="35"/>
      <c r="BR66" s="35"/>
      <c r="BS66" s="35"/>
      <c r="BT66" s="35"/>
      <c r="BU66" s="35"/>
      <c r="BV66" s="2760"/>
      <c r="BW66" s="2760"/>
      <c r="BX66" s="2760"/>
      <c r="BY66" s="2760"/>
      <c r="BZ66" s="35"/>
      <c r="CA66" s="2760"/>
      <c r="CB66" s="2760"/>
      <c r="CC66" s="2760"/>
      <c r="CD66" s="2760"/>
      <c r="CE66" s="2760"/>
      <c r="CF66" s="2760"/>
      <c r="CG66" s="2760"/>
      <c r="CH66" s="2760"/>
      <c r="CI66" s="2760"/>
      <c r="CJ66" s="2760"/>
      <c r="CK66" s="2760"/>
      <c r="CL66" s="2760"/>
      <c r="CM66" s="2760"/>
      <c r="CN66" s="2760"/>
      <c r="CO66" s="2760"/>
      <c r="CP66" s="2760"/>
      <c r="CQ66" s="2760"/>
      <c r="CR66" s="2760"/>
      <c r="CS66" s="2760"/>
      <c r="CT66" s="2760"/>
      <c r="CU66" s="2760"/>
      <c r="CV66" s="2760"/>
      <c r="CW66" s="2760"/>
      <c r="CX66" s="2760"/>
      <c r="CY66" s="2760"/>
      <c r="CZ66" s="2760"/>
      <c r="DA66" s="2760"/>
      <c r="DB66" s="2760"/>
      <c r="DC66" s="2760"/>
      <c r="DD66" s="2760"/>
      <c r="DE66" s="2760"/>
      <c r="DF66" s="2760"/>
      <c r="DG66" s="2760"/>
      <c r="DH66" s="2760"/>
      <c r="DI66" s="2760"/>
      <c r="DJ66" s="2760"/>
      <c r="DK66" s="2760"/>
      <c r="DL66" s="2760"/>
      <c r="DM66" s="2760"/>
      <c r="DN66" s="2760"/>
      <c r="DO66" s="2760"/>
      <c r="DP66" s="2760"/>
      <c r="DQ66" s="2760"/>
      <c r="DR66" s="2760"/>
      <c r="DS66" s="2760"/>
      <c r="DT66" s="2760"/>
      <c r="DU66" s="2760"/>
      <c r="DV66" s="2760"/>
      <c r="DW66" s="35"/>
      <c r="DX66" s="2760"/>
      <c r="DY66" s="2760"/>
      <c r="DZ66" s="2760"/>
      <c r="EA66" s="2760"/>
      <c r="EB66" s="2760"/>
      <c r="EC66" s="2760"/>
      <c r="ED66" s="2760"/>
      <c r="EE66" s="2760"/>
      <c r="EF66" s="2760"/>
      <c r="EG66" s="2760"/>
      <c r="EH66" s="2760"/>
      <c r="EI66" s="2760"/>
      <c r="EJ66" s="2760"/>
      <c r="EK66" s="2760"/>
      <c r="EL66" s="2760"/>
      <c r="EM66" s="2760"/>
      <c r="EN66" s="2760"/>
      <c r="EO66" s="2760"/>
      <c r="EP66" s="2760"/>
      <c r="EQ66" s="2760"/>
      <c r="ER66" s="2760"/>
      <c r="ES66" s="2760"/>
      <c r="ET66" s="2760"/>
      <c r="EU66" s="2760"/>
      <c r="EV66" s="2760"/>
      <c r="EW66" s="2760"/>
      <c r="EX66" s="2760"/>
      <c r="EY66" s="2760"/>
      <c r="EZ66" s="2760"/>
      <c r="FA66" s="2760"/>
      <c r="FB66" s="2760"/>
      <c r="FC66" s="2760"/>
      <c r="FD66" s="2760"/>
      <c r="FE66" s="2760"/>
      <c r="FF66" s="2760"/>
      <c r="FG66" s="2760"/>
      <c r="FH66" s="2760"/>
      <c r="FI66" s="2760"/>
      <c r="FJ66" s="2760"/>
      <c r="FK66" s="2760"/>
      <c r="FL66" s="2760"/>
      <c r="FM66" s="2760"/>
      <c r="FN66" s="2760"/>
      <c r="FO66" s="2760"/>
      <c r="FP66" s="2760"/>
      <c r="FQ66" s="2760"/>
      <c r="FR66" s="2760"/>
      <c r="FS66" s="2760"/>
      <c r="FT66" s="2760"/>
      <c r="FU66" s="2760"/>
      <c r="FV66" s="2760"/>
      <c r="FW66" s="2760"/>
      <c r="FX66" s="2760"/>
      <c r="FY66" s="2760"/>
      <c r="FZ66" s="2760"/>
      <c r="GA66" s="2760"/>
      <c r="GB66" s="35"/>
      <c r="GC66" s="2760"/>
      <c r="GD66" s="2760"/>
      <c r="GE66" s="2760"/>
      <c r="GF66" s="2760"/>
      <c r="GG66" s="2760"/>
      <c r="GH66" s="2760"/>
      <c r="GI66" s="2760"/>
      <c r="GJ66" s="2760"/>
      <c r="GK66" s="2760"/>
      <c r="GL66" s="2760"/>
      <c r="GM66" s="2760"/>
      <c r="GN66" s="2760"/>
      <c r="GO66" s="2760"/>
      <c r="GP66" s="2760"/>
      <c r="GQ66" s="2760"/>
      <c r="GR66" s="2760"/>
      <c r="GS66" s="2760"/>
      <c r="GT66" s="2760"/>
      <c r="GU66" s="2760"/>
      <c r="GV66" s="2760"/>
      <c r="GW66" s="2760"/>
      <c r="GX66" s="2760"/>
      <c r="GY66" s="2760"/>
      <c r="GZ66" s="2760"/>
      <c r="HA66" s="2760"/>
      <c r="HB66" s="2760"/>
      <c r="HC66" s="2760"/>
      <c r="HD66" s="2760"/>
      <c r="HE66" s="2760"/>
      <c r="HF66" s="2760"/>
      <c r="HG66" s="2760"/>
      <c r="HH66" s="2760"/>
      <c r="HI66" s="2760"/>
      <c r="HJ66" s="2760"/>
      <c r="HK66" s="2760"/>
      <c r="HL66" s="2760"/>
      <c r="HM66" s="2760"/>
      <c r="HN66" s="2760"/>
      <c r="HO66" s="2760"/>
      <c r="HP66" s="2760"/>
      <c r="HQ66" s="2760"/>
      <c r="HR66" s="2760"/>
      <c r="HS66" s="2760"/>
      <c r="HT66" s="2760"/>
      <c r="HU66" s="2760"/>
      <c r="HV66" s="2760"/>
      <c r="HW66" s="2760"/>
      <c r="HX66" s="2760"/>
      <c r="HY66" s="2760"/>
      <c r="HZ66" s="2760"/>
      <c r="IA66" s="2760"/>
      <c r="IB66" s="2760"/>
      <c r="IC66" s="2760"/>
      <c r="ID66" s="2760"/>
      <c r="IE66" s="2760"/>
      <c r="IF66" s="2760"/>
      <c r="IG66" s="2760"/>
      <c r="IH66" s="2760"/>
      <c r="II66" s="2760"/>
      <c r="IJ66" s="2760"/>
      <c r="IK66" s="2760"/>
      <c r="IL66" s="2760"/>
      <c r="IM66" s="2760"/>
      <c r="IN66" s="2760"/>
      <c r="IO66" s="2760"/>
      <c r="IP66" s="2760"/>
      <c r="IQ66" s="2760"/>
      <c r="IR66" s="2760"/>
      <c r="IS66" s="2760"/>
      <c r="IT66" s="2760"/>
      <c r="IU66" s="2760"/>
      <c r="IV66" s="2760"/>
      <c r="IW66" s="2760"/>
      <c r="IX66" s="2760"/>
      <c r="IY66" s="2760"/>
      <c r="IZ66" s="2760"/>
      <c r="JA66" s="2760"/>
      <c r="JB66" s="2760"/>
      <c r="JC66" s="2760"/>
      <c r="JD66" s="2760"/>
      <c r="JE66" s="2760"/>
      <c r="JF66" s="2760"/>
      <c r="JG66" s="3770"/>
      <c r="JI66" s="6"/>
    </row>
    <row r="67" spans="1:269" x14ac:dyDescent="0.2">
      <c r="A67" s="1128">
        <v>4</v>
      </c>
      <c r="B67" s="1375" t="str">
        <f si="6" t="shared"/>
        <v/>
      </c>
      <c r="D67" s="2761" t="s">
        <v>1761</v>
      </c>
      <c r="E67" s="2379"/>
      <c r="F67" s="2379"/>
      <c r="G67" s="2379"/>
      <c r="H67" s="2379"/>
      <c r="I67" s="2379"/>
      <c r="J67" s="2379"/>
      <c r="K67" s="3515">
        <v>1</v>
      </c>
      <c r="L67" s="2379">
        <v>1</v>
      </c>
      <c r="M67" s="2379"/>
      <c r="N67" s="2379"/>
      <c r="O67" s="2379"/>
      <c r="P67" s="2379"/>
      <c r="Q67" s="2379">
        <v>2</v>
      </c>
      <c r="R67" s="2379"/>
      <c r="S67" s="2379"/>
      <c r="T67" s="2379"/>
      <c r="U67" s="2379"/>
      <c r="V67" s="2379"/>
      <c r="W67" s="2379"/>
      <c r="X67" s="2379"/>
      <c r="Y67" s="2379"/>
      <c r="Z67" s="2379"/>
      <c r="AA67" s="2379"/>
      <c r="AB67" s="2379"/>
      <c r="AC67" s="2379"/>
      <c r="AD67" s="2379"/>
      <c r="AE67" s="2379"/>
      <c r="AF67" s="2379"/>
      <c r="AG67" s="2379"/>
      <c r="AH67" s="2379"/>
      <c r="AI67" s="2379"/>
      <c r="AJ67" s="2379"/>
      <c r="AK67" s="2379"/>
      <c r="AL67" s="2379"/>
      <c r="AM67" s="2379"/>
      <c r="AN67" s="2379"/>
      <c r="AO67" s="2379"/>
      <c r="AP67" s="2379"/>
      <c r="AQ67" s="2379"/>
      <c r="AR67" s="2379"/>
      <c r="AS67" s="2379"/>
      <c r="AT67" s="2379"/>
      <c r="AU67" s="2379"/>
      <c r="AV67" s="2379"/>
      <c r="AW67" s="2379">
        <v>2</v>
      </c>
      <c r="AX67" s="2379"/>
      <c r="AY67" s="2379"/>
      <c r="AZ67" s="2379"/>
      <c r="BA67" s="2379"/>
      <c r="BB67" s="2379"/>
      <c r="BC67" s="2379"/>
      <c r="BD67" s="2379">
        <v>1</v>
      </c>
      <c r="BE67" s="2379"/>
      <c r="BF67" s="2379"/>
      <c r="BG67" s="2379"/>
      <c r="BH67" s="2379"/>
      <c r="BI67" s="3641"/>
      <c r="BJ67" s="2379"/>
      <c r="BK67" s="2379"/>
      <c r="BL67" s="2379"/>
      <c r="BM67" s="2379"/>
      <c r="BN67" s="2379">
        <v>1</v>
      </c>
      <c r="BO67" s="2379"/>
      <c r="BP67" s="2379"/>
      <c r="BQ67" s="2379"/>
      <c r="BR67" s="2379"/>
      <c r="BS67" s="2379"/>
      <c r="BT67" s="2379"/>
      <c r="BU67" s="2379"/>
      <c r="BV67" s="2379">
        <v>2</v>
      </c>
      <c r="BW67" s="2379">
        <v>2</v>
      </c>
      <c r="BX67" s="2379">
        <v>2</v>
      </c>
      <c r="BY67" s="2379">
        <v>2</v>
      </c>
      <c r="BZ67" s="2379"/>
      <c r="CA67" s="2379">
        <v>1</v>
      </c>
      <c r="CB67" s="2379">
        <v>1</v>
      </c>
      <c r="CC67" s="2815"/>
      <c r="CD67" s="2379">
        <v>2</v>
      </c>
      <c r="CE67" s="2815"/>
      <c r="CF67" s="2379">
        <v>1</v>
      </c>
      <c r="CG67" s="2815"/>
      <c r="CH67" s="2379">
        <v>2</v>
      </c>
      <c r="CI67" s="2815"/>
      <c r="CJ67" s="2815"/>
      <c r="CK67" s="2815"/>
      <c r="CL67" s="2815"/>
      <c r="CM67" s="2815"/>
      <c r="CN67" s="2815"/>
      <c r="CO67" s="2815"/>
      <c r="CP67" s="2815"/>
      <c r="CQ67" s="2815"/>
      <c r="CR67" s="2815"/>
      <c r="CS67" s="2815"/>
      <c r="CT67" s="2815"/>
      <c r="CU67" s="2815"/>
      <c r="CV67" s="2815"/>
      <c r="CW67" s="2815"/>
      <c r="CX67" s="2815"/>
      <c r="CY67" s="2815"/>
      <c r="CZ67" s="2815"/>
      <c r="DA67" s="2815"/>
      <c r="DB67" s="2815"/>
      <c r="DC67" s="2815"/>
      <c r="DD67" s="2815"/>
      <c r="DE67" s="2815"/>
      <c r="DF67" s="2815"/>
      <c r="DG67" s="2815"/>
      <c r="DH67" s="2815"/>
      <c r="DI67" s="2815"/>
      <c r="DJ67" s="2815"/>
      <c r="DK67" s="2815"/>
      <c r="DL67" s="2815"/>
      <c r="DM67" s="2815"/>
      <c r="DN67" s="2815"/>
      <c r="DO67" s="2815"/>
      <c r="DP67" s="2815"/>
      <c r="DQ67" s="2815"/>
      <c r="DR67" s="2815"/>
      <c r="DS67" s="2379">
        <v>2</v>
      </c>
      <c r="DT67" s="2815"/>
      <c r="DU67" s="2815"/>
      <c r="DV67" s="2815"/>
      <c r="DW67" s="2379">
        <v>1</v>
      </c>
      <c r="DX67" s="2379">
        <v>2</v>
      </c>
      <c r="DY67" s="2379">
        <v>1</v>
      </c>
      <c r="DZ67" s="2379">
        <v>2</v>
      </c>
      <c r="EA67" s="2815"/>
      <c r="EB67" s="2815"/>
      <c r="EC67" s="2815"/>
      <c r="ED67" s="2815"/>
      <c r="EE67" s="2815"/>
      <c r="EF67" s="2815"/>
      <c r="EG67" s="2815"/>
      <c r="EH67" s="2815"/>
      <c r="EI67" s="2815"/>
      <c r="EJ67" s="2815"/>
      <c r="EK67" s="2815"/>
      <c r="EL67" s="2815"/>
      <c r="EM67" s="2815"/>
      <c r="EN67" s="2815"/>
      <c r="EO67" s="2815"/>
      <c r="EP67" s="2815"/>
      <c r="EQ67" s="2815"/>
      <c r="ER67" s="2815"/>
      <c r="ES67" s="2815"/>
      <c r="ET67" s="2815"/>
      <c r="EU67" s="2815"/>
      <c r="EV67" s="2815"/>
      <c r="EW67" s="2815"/>
      <c r="EX67" s="2815"/>
      <c r="EY67" s="2815"/>
      <c r="EZ67" s="2815"/>
      <c r="FA67" s="2815"/>
      <c r="FB67" s="2379">
        <v>1</v>
      </c>
      <c r="FC67" s="2815"/>
      <c r="FD67" s="2815"/>
      <c r="FE67" s="2815"/>
      <c r="FF67" s="2815"/>
      <c r="FG67" s="2815"/>
      <c r="FH67" s="2815"/>
      <c r="FI67" s="2815"/>
      <c r="FJ67" s="2815"/>
      <c r="FK67" s="2815"/>
      <c r="FL67" s="2815"/>
      <c r="FM67" s="2815"/>
      <c r="FN67" s="2815"/>
      <c r="FO67" s="2815"/>
      <c r="FP67" s="2815"/>
      <c r="FQ67" s="2815"/>
      <c r="FR67" s="2815"/>
      <c r="FS67" s="2815"/>
      <c r="FT67" s="2815"/>
      <c r="FU67" s="2815"/>
      <c r="FV67" s="2815"/>
      <c r="FW67" s="2815"/>
      <c r="FX67" s="2815"/>
      <c r="FY67" s="2379">
        <v>2</v>
      </c>
      <c r="FZ67" s="2379">
        <v>2</v>
      </c>
      <c r="GA67" s="2379">
        <v>2</v>
      </c>
      <c r="GB67" s="2379">
        <v>2</v>
      </c>
      <c r="GC67" s="2815"/>
      <c r="GD67" s="2815"/>
      <c r="GE67" s="2815"/>
      <c r="GF67" s="2815"/>
      <c r="GG67" s="2815"/>
      <c r="GH67" s="2815"/>
      <c r="GI67" s="2815"/>
      <c r="GJ67" s="2815"/>
      <c r="GK67" s="2815"/>
      <c r="GL67" s="2815"/>
      <c r="GM67" s="2815"/>
      <c r="GN67" s="2815"/>
      <c r="GO67" s="2815"/>
      <c r="GP67" s="2815"/>
      <c r="GQ67" s="2815"/>
      <c r="GR67" s="2815"/>
      <c r="GS67" s="2815"/>
      <c r="GT67" s="2815"/>
      <c r="GU67" s="2815"/>
      <c r="GV67" s="2815"/>
      <c r="GW67" s="2815"/>
      <c r="GX67" s="2815"/>
      <c r="GY67" s="2815"/>
      <c r="GZ67" s="2815"/>
      <c r="HA67" s="2815"/>
      <c r="HB67" s="2815"/>
      <c r="HC67" s="2815"/>
      <c r="HD67" s="2815"/>
      <c r="HE67" s="2815"/>
      <c r="HF67" s="2815"/>
      <c r="HG67" s="2815"/>
      <c r="HH67" s="2815"/>
      <c r="HI67" s="2815"/>
      <c r="HJ67" s="2815"/>
      <c r="HK67" s="2815"/>
      <c r="HL67" s="2815"/>
      <c r="HM67" s="2815"/>
      <c r="HN67" s="2815"/>
      <c r="HO67" s="2815"/>
      <c r="HP67" s="2815"/>
      <c r="HQ67" s="2815"/>
      <c r="HR67" s="2815"/>
      <c r="HS67" s="2815"/>
      <c r="HT67" s="2815"/>
      <c r="HU67" s="2815"/>
      <c r="HV67" s="2815"/>
      <c r="HW67" s="2815"/>
      <c r="HX67" s="2815"/>
      <c r="HY67" s="2815"/>
      <c r="HZ67" s="2815"/>
      <c r="IA67" s="2815"/>
      <c r="IB67" s="2815"/>
      <c r="IC67" s="2815"/>
      <c r="ID67" s="2815"/>
      <c r="IE67" s="2815"/>
      <c r="IF67" s="2815"/>
      <c r="IG67" s="2815"/>
      <c r="IH67" s="2815"/>
      <c r="II67" s="2815"/>
      <c r="IJ67" s="2815"/>
      <c r="IK67" s="2815"/>
      <c r="IL67" s="2815"/>
      <c r="IM67" s="2815"/>
      <c r="IN67" s="2815"/>
      <c r="IO67" s="2815"/>
      <c r="IP67" s="2815"/>
      <c r="IQ67" s="2815"/>
      <c r="IR67" s="2815"/>
      <c r="IS67" s="2815"/>
      <c r="IT67" s="2815"/>
      <c r="IU67" s="2815"/>
      <c r="IV67" s="2815"/>
      <c r="IW67" s="2815"/>
      <c r="IX67" s="2815"/>
      <c r="IY67" s="2815"/>
      <c r="IZ67" s="2815"/>
      <c r="JA67" s="2815"/>
      <c r="JB67" s="2815"/>
      <c r="JC67" s="2815"/>
      <c r="JD67" s="2815"/>
      <c r="JE67" s="2815"/>
      <c r="JF67" s="2815"/>
      <c r="JG67" s="3348"/>
      <c r="JI67" s="6"/>
    </row>
    <row r="68" spans="1:269" x14ac:dyDescent="0.2">
      <c r="A68" s="1128">
        <v>5</v>
      </c>
      <c r="B68" s="1375" t="str">
        <f si="6" t="shared"/>
        <v/>
      </c>
      <c r="D68" s="2759" t="str">
        <f>data!B173&amp;" = "&amp;"Before 6/4/"&amp;MCA_year</f>
        <v>1 = Before 6/4/1935</v>
      </c>
      <c r="E68" s="35"/>
      <c r="F68" s="35"/>
      <c r="G68" s="2760" t="str">
        <f>data!B171&amp;" = "&amp;"After 5/4/"&amp;MCA_year&amp;" or not present"</f>
        <v>2 = After 5/4/1935 or not present</v>
      </c>
      <c r="H68" s="35"/>
      <c r="I68" s="35"/>
      <c r="J68" s="35"/>
      <c r="K68" s="35"/>
      <c r="L68" s="35"/>
      <c r="M68" s="35"/>
      <c r="N68" s="35"/>
      <c r="O68" s="35"/>
      <c r="P68" s="35"/>
      <c r="Q68" s="35"/>
      <c r="R68" s="35"/>
      <c r="S68" s="35"/>
      <c r="T68" s="35"/>
      <c r="U68" s="35"/>
      <c r="V68" s="35"/>
      <c r="W68" s="35"/>
      <c r="X68" s="35"/>
      <c r="Y68" s="35"/>
      <c r="Z68" s="35"/>
      <c r="AA68" s="35"/>
      <c r="AB68" s="35"/>
      <c r="AC68" s="35"/>
      <c r="AD68" s="35"/>
      <c r="AE68" s="35"/>
      <c r="AF68" s="35"/>
      <c r="AG68" s="35"/>
      <c r="AH68" s="35"/>
      <c r="AI68" s="35"/>
      <c r="AJ68" s="35"/>
      <c r="AK68" s="35"/>
      <c r="AL68" s="35"/>
      <c r="AM68" s="35"/>
      <c r="AN68" s="35"/>
      <c r="AO68" s="35"/>
      <c r="AP68" s="35"/>
      <c r="AQ68" s="35"/>
      <c r="AR68" s="35"/>
      <c r="AS68" s="35"/>
      <c r="AT68" s="35"/>
      <c r="AU68" s="2760" t="str">
        <f>data!B171&amp;" = "&amp;"After 5/4/"&amp;MCA_year&amp;" or not present"</f>
        <v>2 = After 5/4/1935 or not present</v>
      </c>
      <c r="AV68" s="35"/>
      <c r="AW68" s="35"/>
      <c r="AX68" s="35"/>
      <c r="AY68" s="35"/>
      <c r="AZ68" s="35"/>
      <c r="BA68" s="35"/>
      <c r="BB68" s="35"/>
      <c r="BC68" s="35"/>
      <c r="BD68" s="35"/>
      <c r="BE68" s="35"/>
      <c r="BF68" s="35"/>
      <c r="BG68" s="35"/>
      <c r="BH68" s="35"/>
      <c r="BI68" s="2324"/>
      <c r="BJ68" s="35"/>
      <c r="BK68" s="35"/>
      <c r="BL68" s="35"/>
      <c r="BM68" s="35"/>
      <c r="BN68" s="35"/>
      <c r="BO68" s="35"/>
      <c r="BP68" s="35"/>
      <c r="BQ68" s="35"/>
      <c r="BR68" s="35"/>
      <c r="BS68" s="35"/>
      <c r="BT68" s="35"/>
      <c r="BU68" s="35"/>
      <c r="BV68" s="35"/>
      <c r="BW68" s="35"/>
      <c r="BX68" s="35"/>
      <c r="BY68" s="35"/>
      <c r="BZ68" s="35"/>
      <c r="CA68" s="35"/>
      <c r="CB68" s="35"/>
      <c r="CC68" s="35"/>
      <c r="CD68" s="35"/>
      <c r="CE68" s="35"/>
      <c r="CF68" s="35"/>
      <c r="CG68" s="35"/>
      <c r="CH68" s="35"/>
      <c r="CI68" s="35"/>
      <c r="CJ68" s="35"/>
      <c r="CK68" s="35"/>
      <c r="CL68" s="35"/>
      <c r="CM68" s="35"/>
      <c r="CN68" s="35"/>
      <c r="CO68" s="35"/>
      <c r="CP68" s="35"/>
      <c r="CQ68" s="35"/>
      <c r="CR68" s="35"/>
      <c r="CS68" s="35"/>
      <c r="CT68" s="35"/>
      <c r="CU68" s="35"/>
      <c r="CV68" s="35"/>
      <c r="CW68" s="35"/>
      <c r="CX68" s="35"/>
      <c r="CY68" s="35"/>
      <c r="CZ68" s="35"/>
      <c r="DA68" s="35"/>
      <c r="DB68" s="35"/>
      <c r="DC68" s="35"/>
      <c r="DD68" s="35"/>
      <c r="DE68" s="35"/>
      <c r="DF68" s="35"/>
      <c r="DG68" s="35"/>
      <c r="DH68" s="35"/>
      <c r="DI68" s="35"/>
      <c r="DJ68" s="35"/>
      <c r="DK68" s="35"/>
      <c r="DL68" s="35"/>
      <c r="DM68" s="35"/>
      <c r="DN68" s="35"/>
      <c r="DO68" s="35"/>
      <c r="DP68" s="35"/>
      <c r="DQ68" s="35"/>
      <c r="DR68" s="35"/>
      <c r="DS68" s="35"/>
      <c r="DT68" s="35"/>
      <c r="DU68" s="35"/>
      <c r="DV68" s="35"/>
      <c r="DW68" s="2760"/>
      <c r="DX68" s="35"/>
      <c r="DY68" s="35"/>
      <c r="DZ68" s="35"/>
      <c r="EA68" s="35"/>
      <c r="EB68" s="35"/>
      <c r="EC68" s="35"/>
      <c r="ED68" s="35"/>
      <c r="EE68" s="35"/>
      <c r="EF68" s="35"/>
      <c r="EG68" s="35"/>
      <c r="EH68" s="35"/>
      <c r="EI68" s="35"/>
      <c r="EJ68" s="35"/>
      <c r="EK68" s="35"/>
      <c r="EL68" s="35"/>
      <c r="EM68" s="35"/>
      <c r="EN68" s="35"/>
      <c r="EO68" s="35"/>
      <c r="EP68" s="35"/>
      <c r="EQ68" s="35"/>
      <c r="ER68" s="35"/>
      <c r="ES68" s="35"/>
      <c r="ET68" s="35"/>
      <c r="EU68" s="35"/>
      <c r="EV68" s="35"/>
      <c r="EW68" s="35"/>
      <c r="EX68" s="35"/>
      <c r="EY68" s="35"/>
      <c r="EZ68" s="35"/>
      <c r="FA68" s="35"/>
      <c r="FB68" s="35"/>
      <c r="FC68" s="35"/>
      <c r="FD68" s="35"/>
      <c r="FE68" s="35"/>
      <c r="FF68" s="35"/>
      <c r="FG68" s="35"/>
      <c r="FH68" s="35"/>
      <c r="FI68" s="35"/>
      <c r="FJ68" s="35"/>
      <c r="FK68" s="35"/>
      <c r="FL68" s="35"/>
      <c r="FM68" s="35"/>
      <c r="FN68" s="35"/>
      <c r="FO68" s="35"/>
      <c r="FP68" s="35"/>
      <c r="FQ68" s="35"/>
      <c r="FR68" s="35"/>
      <c r="FS68" s="35"/>
      <c r="FT68" s="35"/>
      <c r="FU68" s="35"/>
      <c r="FV68" s="35"/>
      <c r="FW68" s="35"/>
      <c r="FX68" s="35"/>
      <c r="FY68" s="35"/>
      <c r="FZ68" s="35"/>
      <c r="GA68" s="35"/>
      <c r="GB68" s="35"/>
      <c r="GC68" s="35"/>
      <c r="GD68" s="35"/>
      <c r="GE68" s="35"/>
      <c r="GF68" s="35"/>
      <c r="GG68" s="35"/>
      <c r="GH68" s="35"/>
      <c r="GI68" s="35"/>
      <c r="GJ68" s="35"/>
      <c r="GK68" s="35"/>
      <c r="GL68" s="35"/>
      <c r="GM68" s="35"/>
      <c r="GN68" s="35"/>
      <c r="GO68" s="35"/>
      <c r="GP68" s="35"/>
      <c r="GQ68" s="35"/>
      <c r="GR68" s="35"/>
      <c r="GS68" s="35"/>
      <c r="GT68" s="35"/>
      <c r="GU68" s="35"/>
      <c r="GV68" s="35"/>
      <c r="GW68" s="35"/>
      <c r="GX68" s="35"/>
      <c r="GY68" s="35"/>
      <c r="GZ68" s="35"/>
      <c r="HA68" s="35"/>
      <c r="HB68" s="35"/>
      <c r="HC68" s="35"/>
      <c r="HD68" s="35"/>
      <c r="HE68" s="35"/>
      <c r="HF68" s="35"/>
      <c r="HG68" s="35"/>
      <c r="HH68" s="35"/>
      <c r="HI68" s="35"/>
      <c r="HJ68" s="35"/>
      <c r="HK68" s="35"/>
      <c r="HL68" s="35"/>
      <c r="HM68" s="35"/>
      <c r="HN68" s="35"/>
      <c r="HO68" s="35"/>
      <c r="HP68" s="35"/>
      <c r="HQ68" s="35"/>
      <c r="HR68" s="35"/>
      <c r="HS68" s="35"/>
      <c r="HT68" s="35"/>
      <c r="HU68" s="35"/>
      <c r="HV68" s="35"/>
      <c r="HW68" s="35"/>
      <c r="HX68" s="35"/>
      <c r="HY68" s="35"/>
      <c r="HZ68" s="35"/>
      <c r="IA68" s="35"/>
      <c r="IB68" s="35"/>
      <c r="IC68" s="35"/>
      <c r="ID68" s="35"/>
      <c r="IE68" s="35"/>
      <c r="IF68" s="35"/>
      <c r="IG68" s="35"/>
      <c r="IH68" s="35"/>
      <c r="II68" s="35"/>
      <c r="IJ68" s="35"/>
      <c r="IK68" s="35"/>
      <c r="IL68" s="35"/>
      <c r="IM68" s="35"/>
      <c r="IN68" s="35"/>
      <c r="IO68" s="35"/>
      <c r="IP68" s="35"/>
      <c r="IQ68" s="35"/>
      <c r="IR68" s="35"/>
      <c r="IS68" s="35"/>
      <c r="IT68" s="35"/>
      <c r="IU68" s="35"/>
      <c r="IV68" s="35"/>
      <c r="IW68" s="35"/>
      <c r="IX68" s="35"/>
      <c r="IY68" s="35"/>
      <c r="IZ68" s="35"/>
      <c r="JA68" s="35"/>
      <c r="JB68" s="35"/>
      <c r="JC68" s="35"/>
      <c r="JD68" s="35"/>
      <c r="JE68" s="35"/>
      <c r="JF68" s="35"/>
      <c r="JG68" s="3770"/>
      <c r="JI68" s="6"/>
    </row>
    <row r="69" spans="1:269" x14ac:dyDescent="0.2">
      <c r="A69" s="1128">
        <v>6</v>
      </c>
      <c r="B69" s="1375" t="str">
        <f si="6" t="shared"/>
        <v/>
      </c>
      <c r="D69" s="2758" t="s">
        <v>1762</v>
      </c>
      <c r="E69" s="2379"/>
      <c r="F69" s="2379"/>
      <c r="G69" s="2379"/>
      <c r="H69" s="2379"/>
      <c r="I69" s="2379"/>
      <c r="J69" s="2379"/>
      <c r="K69" s="3515">
        <v>1</v>
      </c>
      <c r="L69" s="2379">
        <v>1</v>
      </c>
      <c r="M69" s="2379"/>
      <c r="N69" s="2379"/>
      <c r="O69" s="2379"/>
      <c r="P69" s="2379"/>
      <c r="Q69" s="2379">
        <v>3</v>
      </c>
      <c r="R69" s="2379"/>
      <c r="S69" s="2379"/>
      <c r="T69" s="2379"/>
      <c r="U69" s="2379"/>
      <c r="V69" s="2379"/>
      <c r="W69" s="2379"/>
      <c r="X69" s="2379"/>
      <c r="Y69" s="2379"/>
      <c r="Z69" s="2379"/>
      <c r="AA69" s="2379"/>
      <c r="AB69" s="2379"/>
      <c r="AC69" s="2379"/>
      <c r="AD69" s="2379"/>
      <c r="AE69" s="2379"/>
      <c r="AF69" s="2379"/>
      <c r="AG69" s="2379"/>
      <c r="AH69" s="2379"/>
      <c r="AI69" s="2379"/>
      <c r="AJ69" s="2379"/>
      <c r="AK69" s="2379"/>
      <c r="AL69" s="2379"/>
      <c r="AM69" s="2379"/>
      <c r="AN69" s="2379"/>
      <c r="AO69" s="2379"/>
      <c r="AP69" s="2379"/>
      <c r="AQ69" s="2379"/>
      <c r="AR69" s="2379"/>
      <c r="AS69" s="2379"/>
      <c r="AT69" s="2379"/>
      <c r="AU69" s="2379"/>
      <c r="AV69" s="2379"/>
      <c r="AW69" s="2379">
        <v>2</v>
      </c>
      <c r="AX69" s="2379"/>
      <c r="AY69" s="2379"/>
      <c r="AZ69" s="2379"/>
      <c r="BA69" s="2379"/>
      <c r="BB69" s="2379"/>
      <c r="BC69" s="2379"/>
      <c r="BD69" s="2379">
        <v>1</v>
      </c>
      <c r="BE69" s="2379"/>
      <c r="BF69" s="2379"/>
      <c r="BG69" s="2379"/>
      <c r="BH69" s="2379"/>
      <c r="BI69" s="3641"/>
      <c r="BJ69" s="2379"/>
      <c r="BK69" s="2379"/>
      <c r="BL69" s="2379"/>
      <c r="BM69" s="2379"/>
      <c r="BN69" s="2379">
        <v>1</v>
      </c>
      <c r="BO69" s="2379"/>
      <c r="BP69" s="2379"/>
      <c r="BQ69" s="2379"/>
      <c r="BR69" s="2379"/>
      <c r="BS69" s="2379"/>
      <c r="BT69" s="2379"/>
      <c r="BU69" s="2379"/>
      <c r="BV69" s="2379">
        <v>1</v>
      </c>
      <c r="BW69" s="2379">
        <v>1</v>
      </c>
      <c r="BX69" s="2379">
        <v>1</v>
      </c>
      <c r="BY69" s="2379">
        <v>1</v>
      </c>
      <c r="BZ69" s="2379"/>
      <c r="CA69" s="2379">
        <v>1</v>
      </c>
      <c r="CB69" s="2379">
        <v>1</v>
      </c>
      <c r="CC69" s="2815"/>
      <c r="CD69" s="2379">
        <v>1</v>
      </c>
      <c r="CE69" s="2815"/>
      <c r="CF69" s="2379">
        <v>1</v>
      </c>
      <c r="CG69" s="2815"/>
      <c r="CH69" s="2379">
        <v>1</v>
      </c>
      <c r="CI69" s="2815"/>
      <c r="CJ69" s="2815"/>
      <c r="CK69" s="2815"/>
      <c r="CL69" s="2815"/>
      <c r="CM69" s="2815"/>
      <c r="CN69" s="2815"/>
      <c r="CO69" s="2815"/>
      <c r="CP69" s="2815"/>
      <c r="CQ69" s="2815"/>
      <c r="CR69" s="2815"/>
      <c r="CS69" s="2815"/>
      <c r="CT69" s="2815"/>
      <c r="CU69" s="2815"/>
      <c r="CV69" s="2815"/>
      <c r="CW69" s="2815"/>
      <c r="CX69" s="2815"/>
      <c r="CY69" s="2815"/>
      <c r="CZ69" s="2815"/>
      <c r="DA69" s="2815"/>
      <c r="DB69" s="2815"/>
      <c r="DC69" s="2815"/>
      <c r="DD69" s="2815"/>
      <c r="DE69" s="2815"/>
      <c r="DF69" s="2815"/>
      <c r="DG69" s="2815"/>
      <c r="DH69" s="2815"/>
      <c r="DI69" s="2815"/>
      <c r="DJ69" s="2815"/>
      <c r="DK69" s="2815"/>
      <c r="DL69" s="2815"/>
      <c r="DM69" s="2815"/>
      <c r="DN69" s="2815"/>
      <c r="DO69" s="2815"/>
      <c r="DP69" s="2815"/>
      <c r="DQ69" s="2815"/>
      <c r="DR69" s="2815"/>
      <c r="DS69" s="2379">
        <v>1</v>
      </c>
      <c r="DT69" s="2815"/>
      <c r="DU69" s="2815"/>
      <c r="DV69" s="2815"/>
      <c r="DW69" s="2379">
        <v>1</v>
      </c>
      <c r="DX69" s="2379">
        <v>2</v>
      </c>
      <c r="DY69" s="2379">
        <v>1</v>
      </c>
      <c r="DZ69" s="2379">
        <v>3</v>
      </c>
      <c r="EA69" s="2815"/>
      <c r="EB69" s="2815"/>
      <c r="EC69" s="2815"/>
      <c r="ED69" s="2815"/>
      <c r="EE69" s="2815"/>
      <c r="EF69" s="2815"/>
      <c r="EG69" s="2815"/>
      <c r="EH69" s="2815"/>
      <c r="EI69" s="2815"/>
      <c r="EJ69" s="2815"/>
      <c r="EK69" s="2815"/>
      <c r="EL69" s="2815"/>
      <c r="EM69" s="2815"/>
      <c r="EN69" s="2815"/>
      <c r="EO69" s="2815"/>
      <c r="EP69" s="2815"/>
      <c r="EQ69" s="2815"/>
      <c r="ER69" s="2815"/>
      <c r="ES69" s="2815"/>
      <c r="ET69" s="2815"/>
      <c r="EU69" s="2815"/>
      <c r="EV69" s="2815"/>
      <c r="EW69" s="2815"/>
      <c r="EX69" s="2815"/>
      <c r="EY69" s="2815"/>
      <c r="EZ69" s="2815"/>
      <c r="FA69" s="2815"/>
      <c r="FB69" s="2379">
        <v>1</v>
      </c>
      <c r="FC69" s="2815"/>
      <c r="FD69" s="2815"/>
      <c r="FE69" s="2815"/>
      <c r="FF69" s="2815"/>
      <c r="FG69" s="2815"/>
      <c r="FH69" s="2815"/>
      <c r="FI69" s="2815"/>
      <c r="FJ69" s="2815"/>
      <c r="FK69" s="2815"/>
      <c r="FL69" s="2815"/>
      <c r="FM69" s="2815"/>
      <c r="FN69" s="2815"/>
      <c r="FO69" s="2815"/>
      <c r="FP69" s="2815"/>
      <c r="FQ69" s="2815"/>
      <c r="FR69" s="2815"/>
      <c r="FS69" s="2815"/>
      <c r="FT69" s="2815"/>
      <c r="FU69" s="2815"/>
      <c r="FV69" s="2815"/>
      <c r="FW69" s="2815"/>
      <c r="FX69" s="2815"/>
      <c r="FY69" s="2379">
        <v>1</v>
      </c>
      <c r="FZ69" s="2379">
        <v>2</v>
      </c>
      <c r="GA69" s="2379">
        <v>3</v>
      </c>
      <c r="GB69" s="2379">
        <v>3</v>
      </c>
      <c r="GC69" s="2815"/>
      <c r="GD69" s="2815"/>
      <c r="GE69" s="2815"/>
      <c r="GF69" s="2815"/>
      <c r="GG69" s="2815"/>
      <c r="GH69" s="2815"/>
      <c r="GI69" s="2815"/>
      <c r="GJ69" s="2815"/>
      <c r="GK69" s="2815"/>
      <c r="GL69" s="2815"/>
      <c r="GM69" s="2815"/>
      <c r="GN69" s="2815"/>
      <c r="GO69" s="2815"/>
      <c r="GP69" s="2815"/>
      <c r="GQ69" s="2815"/>
      <c r="GR69" s="2815"/>
      <c r="GS69" s="2815"/>
      <c r="GT69" s="2815"/>
      <c r="GU69" s="2815"/>
      <c r="GV69" s="2815"/>
      <c r="GW69" s="2815"/>
      <c r="GX69" s="2815"/>
      <c r="GY69" s="2815"/>
      <c r="GZ69" s="2815"/>
      <c r="HA69" s="2815"/>
      <c r="HB69" s="2815"/>
      <c r="HC69" s="2815"/>
      <c r="HD69" s="2815"/>
      <c r="HE69" s="2815"/>
      <c r="HF69" s="2815"/>
      <c r="HG69" s="2815"/>
      <c r="HH69" s="2815"/>
      <c r="HI69" s="2815"/>
      <c r="HJ69" s="2815"/>
      <c r="HK69" s="2815"/>
      <c r="HL69" s="2815"/>
      <c r="HM69" s="2815"/>
      <c r="HN69" s="2815"/>
      <c r="HO69" s="2815"/>
      <c r="HP69" s="2815"/>
      <c r="HQ69" s="2815"/>
      <c r="HR69" s="2815"/>
      <c r="HS69" s="2815"/>
      <c r="HT69" s="2815"/>
      <c r="HU69" s="2815"/>
      <c r="HV69" s="2815"/>
      <c r="HW69" s="2815"/>
      <c r="HX69" s="2815"/>
      <c r="HY69" s="2815"/>
      <c r="HZ69" s="2815"/>
      <c r="IA69" s="2815"/>
      <c r="IB69" s="2815"/>
      <c r="IC69" s="2815"/>
      <c r="ID69" s="2815"/>
      <c r="IE69" s="2815"/>
      <c r="IF69" s="2815"/>
      <c r="IG69" s="2815"/>
      <c r="IH69" s="2815"/>
      <c r="II69" s="2815"/>
      <c r="IJ69" s="2815"/>
      <c r="IK69" s="2815"/>
      <c r="IL69" s="2815"/>
      <c r="IM69" s="2815"/>
      <c r="IN69" s="2815"/>
      <c r="IO69" s="2815"/>
      <c r="IP69" s="2815"/>
      <c r="IQ69" s="2815"/>
      <c r="IR69" s="2815"/>
      <c r="IS69" s="2815"/>
      <c r="IT69" s="2815"/>
      <c r="IU69" s="2815"/>
      <c r="IV69" s="2815"/>
      <c r="IW69" s="2815"/>
      <c r="IX69" s="2815"/>
      <c r="IY69" s="2815"/>
      <c r="IZ69" s="2815"/>
      <c r="JA69" s="2815"/>
      <c r="JB69" s="2815"/>
      <c r="JC69" s="2815"/>
      <c r="JD69" s="2815"/>
      <c r="JE69" s="2815"/>
      <c r="JF69" s="2815"/>
      <c r="JG69" s="3348"/>
      <c r="JI69" s="6"/>
    </row>
    <row r="70" spans="1:269" x14ac:dyDescent="0.2">
      <c r="A70" s="1128">
        <v>7</v>
      </c>
      <c r="B70" s="1375" t="str">
        <f si="6" t="shared"/>
        <v/>
      </c>
      <c r="D70" s="2759" t="s">
        <v>1765</v>
      </c>
      <c r="E70" s="35"/>
      <c r="F70" s="35"/>
      <c r="G70" s="2760" t="s">
        <v>1766</v>
      </c>
      <c r="H70" s="35"/>
      <c r="I70" s="35"/>
      <c r="J70" s="2760" t="s">
        <v>1767</v>
      </c>
      <c r="K70" s="2760"/>
      <c r="L70" s="35"/>
      <c r="M70" s="35"/>
      <c r="N70" s="35"/>
      <c r="O70" s="35"/>
      <c r="P70" s="35"/>
      <c r="Q70" s="2760"/>
      <c r="R70" s="35"/>
      <c r="S70" s="35"/>
      <c r="T70" s="35"/>
      <c r="U70" s="35"/>
      <c r="V70" s="35"/>
      <c r="W70" s="35"/>
      <c r="X70" s="35"/>
      <c r="Y70" s="35"/>
      <c r="Z70" s="35"/>
      <c r="AA70" s="35"/>
      <c r="AB70" s="35"/>
      <c r="AC70" s="35"/>
      <c r="AD70" s="35"/>
      <c r="AE70" s="35"/>
      <c r="AF70" s="35"/>
      <c r="AG70" s="35"/>
      <c r="AH70" s="35"/>
      <c r="AI70" s="35"/>
      <c r="AJ70" s="35"/>
      <c r="AK70" s="35"/>
      <c r="AL70" s="35"/>
      <c r="AM70" s="35"/>
      <c r="AN70" s="35"/>
      <c r="AO70" s="35"/>
      <c r="AP70" s="35"/>
      <c r="AQ70" s="35"/>
      <c r="AR70" s="35"/>
      <c r="AS70" s="35"/>
      <c r="AT70" s="35"/>
      <c r="AU70" s="2760" t="s">
        <v>1766</v>
      </c>
      <c r="AV70" s="35"/>
      <c r="AW70" s="2760"/>
      <c r="AX70" s="2760" t="s">
        <v>1767</v>
      </c>
      <c r="AY70" s="2760"/>
      <c r="AZ70" s="35"/>
      <c r="BA70" s="35"/>
      <c r="BB70" s="35"/>
      <c r="BC70" s="35"/>
      <c r="BD70" s="35"/>
      <c r="BE70" s="35"/>
      <c r="BF70" s="35"/>
      <c r="BG70" s="35"/>
      <c r="BH70" s="35"/>
      <c r="BI70" s="2324"/>
      <c r="BJ70" s="35"/>
      <c r="BK70" s="35"/>
      <c r="BL70" s="35"/>
      <c r="BM70" s="35"/>
      <c r="BN70" s="35"/>
      <c r="BO70" s="35"/>
      <c r="BP70" s="35"/>
      <c r="BQ70" s="35"/>
      <c r="BR70" s="35"/>
      <c r="BS70" s="35"/>
      <c r="BT70" s="35"/>
      <c r="BU70" s="35"/>
      <c r="BV70" s="35"/>
      <c r="BW70" s="35"/>
      <c r="BX70" s="35"/>
      <c r="BY70" s="35"/>
      <c r="BZ70" s="35"/>
      <c r="CA70" s="35"/>
      <c r="CB70" s="35"/>
      <c r="CC70" s="35"/>
      <c r="CD70" s="35"/>
      <c r="CE70" s="35"/>
      <c r="CF70" s="35"/>
      <c r="CG70" s="35"/>
      <c r="CH70" s="35"/>
      <c r="CI70" s="35"/>
      <c r="CJ70" s="35"/>
      <c r="CK70" s="35"/>
      <c r="CL70" s="35"/>
      <c r="CM70" s="35"/>
      <c r="CN70" s="35"/>
      <c r="CO70" s="35"/>
      <c r="CP70" s="35"/>
      <c r="CQ70" s="35"/>
      <c r="CR70" s="35"/>
      <c r="CS70" s="35"/>
      <c r="CT70" s="35"/>
      <c r="CU70" s="35"/>
      <c r="CV70" s="35"/>
      <c r="CW70" s="35"/>
      <c r="CX70" s="35"/>
      <c r="CY70" s="35"/>
      <c r="CZ70" s="35"/>
      <c r="DA70" s="35"/>
      <c r="DB70" s="35"/>
      <c r="DC70" s="35"/>
      <c r="DD70" s="35"/>
      <c r="DE70" s="35"/>
      <c r="DF70" s="35"/>
      <c r="DG70" s="35"/>
      <c r="DH70" s="35"/>
      <c r="DI70" s="35"/>
      <c r="DJ70" s="35"/>
      <c r="DK70" s="35"/>
      <c r="DL70" s="35"/>
      <c r="DM70" s="35"/>
      <c r="DN70" s="35"/>
      <c r="DO70" s="35"/>
      <c r="DP70" s="35"/>
      <c r="DQ70" s="35"/>
      <c r="DR70" s="35"/>
      <c r="DS70" s="35"/>
      <c r="DT70" s="35"/>
      <c r="DU70" s="35"/>
      <c r="DV70" s="35"/>
      <c r="DW70" s="2760"/>
      <c r="DX70" s="35"/>
      <c r="DY70" s="35"/>
      <c r="DZ70" s="35"/>
      <c r="EA70" s="35"/>
      <c r="EB70" s="35"/>
      <c r="EC70" s="35"/>
      <c r="ED70" s="35"/>
      <c r="EE70" s="35"/>
      <c r="EF70" s="35"/>
      <c r="EG70" s="35"/>
      <c r="EH70" s="35"/>
      <c r="EI70" s="35"/>
      <c r="EJ70" s="35"/>
      <c r="EK70" s="35"/>
      <c r="EL70" s="35"/>
      <c r="EM70" s="35"/>
      <c r="EN70" s="35"/>
      <c r="EO70" s="35"/>
      <c r="EP70" s="35"/>
      <c r="EQ70" s="35"/>
      <c r="ER70" s="35"/>
      <c r="ES70" s="35"/>
      <c r="ET70" s="35"/>
      <c r="EU70" s="35"/>
      <c r="EV70" s="35"/>
      <c r="EW70" s="35"/>
      <c r="EX70" s="35"/>
      <c r="EY70" s="35"/>
      <c r="EZ70" s="35"/>
      <c r="FA70" s="35"/>
      <c r="FB70" s="35"/>
      <c r="FC70" s="35"/>
      <c r="FD70" s="35"/>
      <c r="FE70" s="35"/>
      <c r="FF70" s="35"/>
      <c r="FG70" s="35"/>
      <c r="FH70" s="35"/>
      <c r="FI70" s="35"/>
      <c r="FJ70" s="35"/>
      <c r="FK70" s="35"/>
      <c r="FL70" s="35"/>
      <c r="FM70" s="35"/>
      <c r="FN70" s="35"/>
      <c r="FO70" s="35"/>
      <c r="FP70" s="35"/>
      <c r="FQ70" s="35"/>
      <c r="FR70" s="35"/>
      <c r="FS70" s="35"/>
      <c r="FT70" s="35"/>
      <c r="FU70" s="35"/>
      <c r="FV70" s="35"/>
      <c r="FW70" s="35"/>
      <c r="FX70" s="35"/>
      <c r="FY70" s="35"/>
      <c r="FZ70" s="35"/>
      <c r="GA70" s="35"/>
      <c r="GB70" s="2760"/>
      <c r="GC70" s="35"/>
      <c r="GD70" s="35"/>
      <c r="GE70" s="35"/>
      <c r="GF70" s="35"/>
      <c r="GG70" s="35"/>
      <c r="GH70" s="35"/>
      <c r="GI70" s="35"/>
      <c r="GJ70" s="35"/>
      <c r="GK70" s="35"/>
      <c r="GL70" s="35"/>
      <c r="GM70" s="35"/>
      <c r="GN70" s="35"/>
      <c r="GO70" s="35"/>
      <c r="GP70" s="35"/>
      <c r="GQ70" s="35"/>
      <c r="GR70" s="35"/>
      <c r="GS70" s="35"/>
      <c r="GT70" s="35"/>
      <c r="GU70" s="35"/>
      <c r="GV70" s="35"/>
      <c r="GW70" s="35"/>
      <c r="GX70" s="35"/>
      <c r="GY70" s="35"/>
      <c r="GZ70" s="35"/>
      <c r="HA70" s="35"/>
      <c r="HB70" s="35"/>
      <c r="HC70" s="35"/>
      <c r="HD70" s="35"/>
      <c r="HE70" s="35"/>
      <c r="HF70" s="35"/>
      <c r="HG70" s="35"/>
      <c r="HH70" s="35"/>
      <c r="HI70" s="35"/>
      <c r="HJ70" s="35"/>
      <c r="HK70" s="35"/>
      <c r="HL70" s="35"/>
      <c r="HM70" s="35"/>
      <c r="HN70" s="35"/>
      <c r="HO70" s="35"/>
      <c r="HP70" s="35"/>
      <c r="HQ70" s="35"/>
      <c r="HR70" s="35"/>
      <c r="HS70" s="35"/>
      <c r="HT70" s="35"/>
      <c r="HU70" s="35"/>
      <c r="HV70" s="35"/>
      <c r="HW70" s="35"/>
      <c r="HX70" s="35"/>
      <c r="HY70" s="35"/>
      <c r="HZ70" s="35"/>
      <c r="IA70" s="35"/>
      <c r="IB70" s="35"/>
      <c r="IC70" s="35"/>
      <c r="ID70" s="35"/>
      <c r="IE70" s="35"/>
      <c r="IF70" s="35"/>
      <c r="IG70" s="35"/>
      <c r="IH70" s="35"/>
      <c r="II70" s="35"/>
      <c r="IJ70" s="35"/>
      <c r="IK70" s="35"/>
      <c r="IL70" s="35"/>
      <c r="IM70" s="35"/>
      <c r="IN70" s="35"/>
      <c r="IO70" s="35"/>
      <c r="IP70" s="35"/>
      <c r="IQ70" s="35"/>
      <c r="IR70" s="35"/>
      <c r="IS70" s="35"/>
      <c r="IT70" s="35"/>
      <c r="IU70" s="35"/>
      <c r="IV70" s="35"/>
      <c r="IW70" s="35"/>
      <c r="IX70" s="35"/>
      <c r="IY70" s="35"/>
      <c r="IZ70" s="35"/>
      <c r="JA70" s="35"/>
      <c r="JB70" s="35"/>
      <c r="JC70" s="35"/>
      <c r="JD70" s="35"/>
      <c r="JE70" s="35"/>
      <c r="JF70" s="35"/>
      <c r="JG70" s="3770"/>
      <c r="JI70" s="6"/>
    </row>
    <row ht="12.75" r="71" spans="1:269" thickBot="1" x14ac:dyDescent="0.25">
      <c r="A71" s="1128">
        <v>8</v>
      </c>
      <c r="B71" s="1375" t="str">
        <f si="6" t="shared"/>
        <v/>
      </c>
      <c r="D71" s="2762" t="s">
        <v>1763</v>
      </c>
      <c r="E71" s="2380"/>
      <c r="F71" s="2380"/>
      <c r="G71" s="2380"/>
      <c r="H71" s="2380"/>
      <c r="I71" s="2380"/>
      <c r="J71" s="2380"/>
      <c r="K71" s="4384">
        <v>10</v>
      </c>
      <c r="L71" s="2380">
        <v>2</v>
      </c>
      <c r="M71" s="2380"/>
      <c r="N71" s="2380"/>
      <c r="O71" s="2380"/>
      <c r="P71" s="2380"/>
      <c r="Q71" s="2380">
        <v>5</v>
      </c>
      <c r="R71" s="2380"/>
      <c r="S71" s="2380"/>
      <c r="T71" s="2380"/>
      <c r="U71" s="2380"/>
      <c r="V71" s="2380"/>
      <c r="W71" s="2380"/>
      <c r="X71" s="2380"/>
      <c r="Y71" s="2380"/>
      <c r="Z71" s="2380"/>
      <c r="AA71" s="2380"/>
      <c r="AB71" s="2380"/>
      <c r="AC71" s="2380"/>
      <c r="AD71" s="2380"/>
      <c r="AE71" s="2380"/>
      <c r="AF71" s="2380"/>
      <c r="AG71" s="2380"/>
      <c r="AH71" s="2380"/>
      <c r="AI71" s="2380"/>
      <c r="AJ71" s="2380"/>
      <c r="AK71" s="2380"/>
      <c r="AL71" s="2380"/>
      <c r="AM71" s="2380"/>
      <c r="AN71" s="2380"/>
      <c r="AO71" s="2380"/>
      <c r="AP71" s="2380"/>
      <c r="AQ71" s="2380"/>
      <c r="AR71" s="2380"/>
      <c r="AS71" s="2380"/>
      <c r="AT71" s="2380"/>
      <c r="AU71" s="2380"/>
      <c r="AV71" s="2380"/>
      <c r="AW71" s="2380">
        <v>1</v>
      </c>
      <c r="AX71" s="2380"/>
      <c r="AY71" s="2380"/>
      <c r="AZ71" s="2380"/>
      <c r="BA71" s="2380"/>
      <c r="BB71" s="2380"/>
      <c r="BC71" s="2380"/>
      <c r="BD71" s="2380">
        <v>2</v>
      </c>
      <c r="BE71" s="2380"/>
      <c r="BF71" s="2380"/>
      <c r="BG71" s="2380"/>
      <c r="BH71" s="2380"/>
      <c r="BI71" s="3642"/>
      <c r="BJ71" s="2380"/>
      <c r="BK71" s="2380"/>
      <c r="BL71" s="2380"/>
      <c r="BM71" s="2380"/>
      <c r="BN71" s="2380">
        <v>2</v>
      </c>
      <c r="BO71" s="2380"/>
      <c r="BP71" s="2380"/>
      <c r="BQ71" s="2380"/>
      <c r="BR71" s="2380"/>
      <c r="BS71" s="2380"/>
      <c r="BT71" s="2380"/>
      <c r="BU71" s="2380"/>
      <c r="BV71" s="2380">
        <v>1</v>
      </c>
      <c r="BW71" s="2380">
        <v>1</v>
      </c>
      <c r="BX71" s="2380">
        <v>1</v>
      </c>
      <c r="BY71" s="2380">
        <v>1</v>
      </c>
      <c r="BZ71" s="2380"/>
      <c r="CA71" s="2380">
        <v>2</v>
      </c>
      <c r="CB71" s="2380">
        <v>2</v>
      </c>
      <c r="CC71" s="2426"/>
      <c r="CD71" s="2380">
        <v>1</v>
      </c>
      <c r="CE71" s="2426"/>
      <c r="CF71" s="2380">
        <v>2</v>
      </c>
      <c r="CG71" s="2426"/>
      <c r="CH71" s="2380">
        <v>1</v>
      </c>
      <c r="CI71" s="2426"/>
      <c r="CJ71" s="2426"/>
      <c r="CK71" s="2426"/>
      <c r="CL71" s="2426"/>
      <c r="CM71" s="2426"/>
      <c r="CN71" s="2426"/>
      <c r="CO71" s="2426"/>
      <c r="CP71" s="2426"/>
      <c r="CQ71" s="2426"/>
      <c r="CR71" s="2426"/>
      <c r="CS71" s="2426"/>
      <c r="CT71" s="2426"/>
      <c r="CU71" s="2426"/>
      <c r="CV71" s="2426"/>
      <c r="CW71" s="2426"/>
      <c r="CX71" s="2426"/>
      <c r="CY71" s="2426"/>
      <c r="CZ71" s="2426"/>
      <c r="DA71" s="2426"/>
      <c r="DB71" s="2426"/>
      <c r="DC71" s="2426"/>
      <c r="DD71" s="2426"/>
      <c r="DE71" s="2426"/>
      <c r="DF71" s="2426"/>
      <c r="DG71" s="2426"/>
      <c r="DH71" s="2426"/>
      <c r="DI71" s="2426"/>
      <c r="DJ71" s="2426"/>
      <c r="DK71" s="2426"/>
      <c r="DL71" s="2426"/>
      <c r="DM71" s="2426"/>
      <c r="DN71" s="2426"/>
      <c r="DO71" s="2426"/>
      <c r="DP71" s="2426"/>
      <c r="DQ71" s="2426"/>
      <c r="DR71" s="2426"/>
      <c r="DS71" s="2380">
        <v>1</v>
      </c>
      <c r="DT71" s="2426"/>
      <c r="DU71" s="2426"/>
      <c r="DV71" s="2426"/>
      <c r="DW71" s="2380">
        <v>1</v>
      </c>
      <c r="DX71" s="2380">
        <v>1</v>
      </c>
      <c r="DY71" s="2380">
        <v>2</v>
      </c>
      <c r="DZ71" s="2380">
        <v>1</v>
      </c>
      <c r="EA71" s="2426"/>
      <c r="EB71" s="2426"/>
      <c r="EC71" s="2426"/>
      <c r="ED71" s="2426"/>
      <c r="EE71" s="2426"/>
      <c r="EF71" s="2426"/>
      <c r="EG71" s="2426"/>
      <c r="EH71" s="2426"/>
      <c r="EI71" s="2426"/>
      <c r="EJ71" s="2426"/>
      <c r="EK71" s="2426"/>
      <c r="EL71" s="2426"/>
      <c r="EM71" s="2426"/>
      <c r="EN71" s="2426"/>
      <c r="EO71" s="2426"/>
      <c r="EP71" s="2426"/>
      <c r="EQ71" s="2426"/>
      <c r="ER71" s="2426"/>
      <c r="ES71" s="2426"/>
      <c r="ET71" s="2426"/>
      <c r="EU71" s="2426"/>
      <c r="EV71" s="2426"/>
      <c r="EW71" s="2426"/>
      <c r="EX71" s="2426"/>
      <c r="EY71" s="2426"/>
      <c r="EZ71" s="2426"/>
      <c r="FA71" s="2426"/>
      <c r="FB71" s="2380">
        <v>2</v>
      </c>
      <c r="FC71" s="2426"/>
      <c r="FD71" s="2426"/>
      <c r="FE71" s="2426"/>
      <c r="FF71" s="2426"/>
      <c r="FG71" s="2426"/>
      <c r="FH71" s="2426"/>
      <c r="FI71" s="2426"/>
      <c r="FJ71" s="2426"/>
      <c r="FK71" s="2426"/>
      <c r="FL71" s="2426"/>
      <c r="FM71" s="2426"/>
      <c r="FN71" s="2426"/>
      <c r="FO71" s="2426"/>
      <c r="FP71" s="2426"/>
      <c r="FQ71" s="2426"/>
      <c r="FR71" s="2426"/>
      <c r="FS71" s="2426"/>
      <c r="FT71" s="2426"/>
      <c r="FU71" s="2426"/>
      <c r="FV71" s="2426"/>
      <c r="FW71" s="2426"/>
      <c r="FX71" s="2426"/>
      <c r="FY71" s="2380">
        <v>1</v>
      </c>
      <c r="FZ71" s="2380">
        <v>1</v>
      </c>
      <c r="GA71" s="2380">
        <v>1</v>
      </c>
      <c r="GB71" s="2380">
        <v>5</v>
      </c>
      <c r="GC71" s="2426"/>
      <c r="GD71" s="2426"/>
      <c r="GE71" s="2426"/>
      <c r="GF71" s="2426"/>
      <c r="GG71" s="2426"/>
      <c r="GH71" s="2426"/>
      <c r="GI71" s="2426"/>
      <c r="GJ71" s="2426"/>
      <c r="GK71" s="2426"/>
      <c r="GL71" s="2426"/>
      <c r="GM71" s="2426"/>
      <c r="GN71" s="2426"/>
      <c r="GO71" s="2426"/>
      <c r="GP71" s="2426"/>
      <c r="GQ71" s="2426"/>
      <c r="GR71" s="2426"/>
      <c r="GS71" s="2426"/>
      <c r="GT71" s="2426"/>
      <c r="GU71" s="2426"/>
      <c r="GV71" s="2426"/>
      <c r="GW71" s="2426"/>
      <c r="GX71" s="2426"/>
      <c r="GY71" s="2426"/>
      <c r="GZ71" s="2426"/>
      <c r="HA71" s="2426"/>
      <c r="HB71" s="2426"/>
      <c r="HC71" s="2426"/>
      <c r="HD71" s="2426"/>
      <c r="HE71" s="2426"/>
      <c r="HF71" s="2426"/>
      <c r="HG71" s="2426"/>
      <c r="HH71" s="2426"/>
      <c r="HI71" s="2426"/>
      <c r="HJ71" s="2426"/>
      <c r="HK71" s="2426"/>
      <c r="HL71" s="2426"/>
      <c r="HM71" s="2426"/>
      <c r="HN71" s="2426"/>
      <c r="HO71" s="2426"/>
      <c r="HP71" s="2426"/>
      <c r="HQ71" s="2426"/>
      <c r="HR71" s="2426"/>
      <c r="HS71" s="2426"/>
      <c r="HT71" s="2426"/>
      <c r="HU71" s="2426"/>
      <c r="HV71" s="2426"/>
      <c r="HW71" s="2426"/>
      <c r="HX71" s="2426"/>
      <c r="HY71" s="2426"/>
      <c r="HZ71" s="2426"/>
      <c r="IA71" s="2426"/>
      <c r="IB71" s="2426"/>
      <c r="IC71" s="2426"/>
      <c r="ID71" s="2426"/>
      <c r="IE71" s="2426"/>
      <c r="IF71" s="2426"/>
      <c r="IG71" s="2426"/>
      <c r="IH71" s="2426"/>
      <c r="II71" s="2426"/>
      <c r="IJ71" s="2426"/>
      <c r="IK71" s="2426"/>
      <c r="IL71" s="2426"/>
      <c r="IM71" s="2426"/>
      <c r="IN71" s="2426"/>
      <c r="IO71" s="2426"/>
      <c r="IP71" s="2426"/>
      <c r="IQ71" s="2426"/>
      <c r="IR71" s="2426"/>
      <c r="IS71" s="2426"/>
      <c r="IT71" s="2426"/>
      <c r="IU71" s="2426"/>
      <c r="IV71" s="2426"/>
      <c r="IW71" s="2426"/>
      <c r="IX71" s="2426"/>
      <c r="IY71" s="2426"/>
      <c r="IZ71" s="2426"/>
      <c r="JA71" s="2426"/>
      <c r="JB71" s="2426"/>
      <c r="JC71" s="2426"/>
      <c r="JD71" s="2426"/>
      <c r="JE71" s="2426"/>
      <c r="JF71" s="2426"/>
      <c r="JG71" s="3768"/>
      <c r="JI71" s="6"/>
    </row>
    <row r="72" spans="1:269" x14ac:dyDescent="0.2">
      <c r="D72" s="560" t="str">
        <f>"1 = "&amp;'allowances (c14c15)'!C104</f>
        <v>1 = Before 6 May 2019 (or no date entered)</v>
      </c>
      <c r="E72" s="34"/>
      <c r="F72" s="34"/>
      <c r="G72" s="34"/>
      <c r="H72" s="2446" t="str">
        <f>"Whole months since 6/4/"&amp;Tax_year_start&amp;" + 1"</f>
        <v>Whole months since 6/4/2019 + 1</v>
      </c>
      <c r="I72" s="34"/>
      <c r="J72" s="34"/>
      <c r="K72" s="34"/>
      <c r="L72" s="34"/>
      <c r="M72" s="34"/>
      <c r="N72" s="34"/>
      <c r="O72" s="34"/>
      <c r="P72" s="34"/>
      <c r="Q72" s="34"/>
      <c r="R72" s="34"/>
      <c r="S72" s="34"/>
      <c r="T72" s="34"/>
      <c r="U72" s="34"/>
      <c r="V72" s="34"/>
      <c r="W72" s="34"/>
      <c r="X72" s="34"/>
      <c r="Y72" s="34"/>
      <c r="Z72" s="34"/>
      <c r="AA72" s="34"/>
      <c r="AB72" s="34"/>
      <c r="AC72" s="34"/>
      <c r="AI72" s="34"/>
      <c r="AJ72" s="34"/>
      <c r="AK72" s="34"/>
      <c r="AL72" s="34"/>
      <c r="AM72" s="34"/>
      <c r="AN72" s="34"/>
      <c r="AO72" s="34"/>
      <c r="AP72" s="34"/>
      <c r="AQ72" s="34"/>
      <c r="AR72" s="34"/>
      <c r="AS72" s="34"/>
      <c r="AT72" s="34"/>
      <c r="AU72" s="34"/>
      <c r="AV72" s="2446" t="str">
        <f>"Whole months since 6/4/"&amp;Tax_year_start&amp;" + 1"</f>
        <v>Whole months since 6/4/2019 + 1</v>
      </c>
      <c r="AW72" s="34"/>
      <c r="AX72" s="34"/>
      <c r="AY72" s="34"/>
      <c r="AZ72" s="34"/>
      <c r="BA72" s="34"/>
      <c r="BB72" s="34"/>
      <c r="BC72" s="34"/>
      <c r="BD72" s="34"/>
      <c r="BE72" s="34"/>
      <c r="BF72" s="34"/>
      <c r="BG72" s="34"/>
      <c r="BH72" s="34"/>
      <c r="BI72" s="34"/>
      <c r="BJ72" s="34"/>
      <c r="BK72" s="34"/>
      <c r="BL72" s="34"/>
      <c r="BM72" s="34"/>
      <c r="BN72" s="34"/>
      <c r="BO72" s="34"/>
      <c r="BP72" s="34"/>
      <c r="BQ72" s="34"/>
      <c r="BR72" s="34"/>
      <c r="BS72" s="34"/>
      <c r="BT72" s="34"/>
      <c r="BU72" s="34"/>
      <c r="BV72" s="34"/>
      <c r="BW72" s="34"/>
      <c r="BX72" s="34"/>
      <c r="BY72" s="34"/>
      <c r="BZ72" s="34"/>
      <c r="CA72" s="34"/>
      <c r="CB72" s="34"/>
      <c r="CC72" s="34"/>
      <c r="CD72" s="34"/>
      <c r="CE72" s="34"/>
      <c r="CF72" s="34"/>
      <c r="CG72" s="34"/>
      <c r="CH72" s="34"/>
      <c r="CI72" s="34"/>
      <c r="CJ72" s="34"/>
      <c r="CK72" s="34"/>
      <c r="CL72" s="34"/>
      <c r="CM72" s="34"/>
      <c r="CN72" s="34"/>
      <c r="CO72" s="34"/>
      <c r="CP72" s="34"/>
      <c r="CQ72" s="34"/>
      <c r="CR72" s="34"/>
      <c r="CS72" s="34"/>
      <c r="CT72" s="34"/>
      <c r="CU72" s="34"/>
      <c r="CV72" s="34"/>
      <c r="CW72" s="34"/>
      <c r="CX72" s="34"/>
      <c r="CY72" s="34"/>
      <c r="CZ72" s="34"/>
      <c r="DA72" s="34"/>
      <c r="DB72" s="34"/>
      <c r="DC72" s="34"/>
      <c r="DD72" s="34"/>
      <c r="DE72" s="34"/>
      <c r="DF72" s="34"/>
      <c r="DG72" s="34"/>
      <c r="DH72" s="34"/>
      <c r="DI72" s="34"/>
      <c r="DJ72" s="34"/>
      <c r="DK72" s="34"/>
      <c r="DL72" s="34"/>
      <c r="DM72" s="34"/>
      <c r="DN72" s="34"/>
      <c r="DO72" s="34"/>
      <c r="DP72" s="34"/>
      <c r="DQ72" s="34"/>
      <c r="DR72" s="34"/>
      <c r="DS72" s="34"/>
      <c r="DT72" s="34"/>
      <c r="DU72" s="34"/>
      <c r="DV72" s="34"/>
      <c r="DW72" s="34"/>
      <c r="DX72" s="34"/>
      <c r="DY72" s="34"/>
      <c r="DZ72" s="34"/>
      <c r="EA72" s="34"/>
      <c r="EB72" s="34"/>
      <c r="EC72" s="34"/>
      <c r="ED72" s="34"/>
      <c r="EE72" s="34"/>
      <c r="EF72" s="34"/>
      <c r="EG72" s="34"/>
      <c r="EH72" s="34"/>
      <c r="EI72" s="34"/>
      <c r="EJ72" s="34"/>
      <c r="EK72" s="34"/>
      <c r="EL72" s="34"/>
      <c r="EM72" s="34"/>
      <c r="EN72" s="34"/>
      <c r="EO72" s="34"/>
      <c r="EP72" s="34"/>
      <c r="EQ72" s="34"/>
      <c r="ER72" s="34"/>
      <c r="ES72" s="34"/>
      <c r="ET72" s="34"/>
      <c r="EU72" s="34"/>
      <c r="EV72" s="34"/>
      <c r="EW72" s="34"/>
      <c r="EX72" s="34"/>
      <c r="EY72" s="34"/>
      <c r="EZ72" s="34"/>
      <c r="FA72" s="34"/>
      <c r="FB72" s="34"/>
      <c r="FC72" s="34"/>
      <c r="FD72" s="34"/>
      <c r="FE72" s="34"/>
      <c r="FF72" s="34"/>
      <c r="FG72" s="34"/>
      <c r="FH72" s="34"/>
      <c r="FI72" s="34"/>
      <c r="FJ72" s="34"/>
      <c r="FK72" s="34"/>
      <c r="FL72" s="34"/>
      <c r="FM72" s="34"/>
      <c r="FN72" s="34"/>
      <c r="FO72" s="34"/>
      <c r="FP72" s="34"/>
      <c r="FQ72" s="34"/>
      <c r="FR72" s="34"/>
      <c r="FS72" s="34"/>
      <c r="FT72" s="34"/>
      <c r="FU72" s="34"/>
      <c r="FV72" s="34"/>
      <c r="FW72" s="34"/>
      <c r="FX72" s="34"/>
      <c r="FY72" s="34"/>
      <c r="FZ72" s="34"/>
      <c r="GA72" s="34"/>
      <c r="GB72" s="34"/>
      <c r="GC72" s="34"/>
      <c r="GD72" s="34"/>
      <c r="GE72" s="34"/>
      <c r="GF72" s="34"/>
      <c r="GG72" s="34"/>
      <c r="GH72" s="34"/>
      <c r="GI72" s="34"/>
      <c r="GJ72" s="34"/>
      <c r="GK72" s="34"/>
      <c r="GL72" s="34"/>
      <c r="GM72" s="34"/>
      <c r="GN72" s="34"/>
      <c r="GO72" s="34"/>
      <c r="GP72" s="34"/>
      <c r="GQ72" s="34"/>
      <c r="GR72" s="34"/>
      <c r="GS72" s="34"/>
      <c r="GT72" s="34"/>
      <c r="GU72" s="34"/>
      <c r="GV72" s="34"/>
      <c r="GW72" s="34"/>
      <c r="GX72" s="34"/>
      <c r="GY72" s="34"/>
      <c r="GZ72" s="34"/>
      <c r="HA72" s="34"/>
      <c r="HB72" s="34"/>
      <c r="HC72" s="34"/>
      <c r="HD72" s="34"/>
      <c r="HE72" s="34"/>
      <c r="HF72" s="34"/>
      <c r="HG72" s="34"/>
      <c r="HH72" s="34"/>
      <c r="HI72" s="34"/>
      <c r="HJ72" s="34"/>
      <c r="HK72" s="34"/>
      <c r="HL72" s="34"/>
      <c r="HM72" s="34"/>
      <c r="HN72" s="34"/>
      <c r="HO72" s="34"/>
      <c r="HP72" s="34"/>
      <c r="HQ72" s="34"/>
      <c r="HR72" s="34"/>
      <c r="HS72" s="34"/>
      <c r="HT72" s="34"/>
      <c r="HU72" s="34"/>
      <c r="HV72" s="34"/>
      <c r="HW72" s="34"/>
      <c r="HX72" s="34"/>
      <c r="HY72" s="34"/>
      <c r="HZ72" s="34"/>
      <c r="IA72" s="34"/>
      <c r="IB72" s="34"/>
      <c r="IC72" s="34"/>
      <c r="ID72" s="34"/>
      <c r="IE72" s="34"/>
      <c r="IF72" s="34"/>
      <c r="IG72" s="34"/>
      <c r="IH72" s="34"/>
      <c r="II72" s="34"/>
      <c r="IJ72" s="34"/>
      <c r="IK72" s="34"/>
      <c r="IL72" s="34"/>
      <c r="IM72" s="34"/>
      <c r="IN72" s="34"/>
      <c r="IO72" s="34"/>
      <c r="IP72" s="34"/>
      <c r="IQ72" s="34"/>
      <c r="IR72" s="34"/>
      <c r="IS72" s="34"/>
      <c r="IT72" s="34"/>
      <c r="IU72" s="34"/>
      <c r="IV72" s="34"/>
      <c r="IW72" s="34"/>
      <c r="IX72" s="34"/>
      <c r="IY72" s="34"/>
      <c r="IZ72" s="34"/>
      <c r="JI72" s="6"/>
    </row>
    <row ht="12.75" r="73" spans="1:269" thickBot="1" x14ac:dyDescent="0.25">
      <c r="C73" s="2636" t="s">
        <v>4924</v>
      </c>
      <c r="D73" s="2637"/>
    </row>
    <row r="74" spans="1:269" x14ac:dyDescent="0.2">
      <c r="A74" s="1128" t="s">
        <v>4479</v>
      </c>
      <c r="B74" s="2755" t="str">
        <f>"selected "&amp;MCA_IND-1</f>
        <v>selected 0</v>
      </c>
      <c r="C74" s="1251" t="s">
        <v>614</v>
      </c>
      <c r="D74" s="1133"/>
      <c r="E74" s="2026">
        <v>1</v>
      </c>
      <c r="F74" s="2026">
        <v>2</v>
      </c>
      <c r="G74" s="2026">
        <v>3</v>
      </c>
      <c r="H74" s="2026">
        <v>4</v>
      </c>
      <c r="I74" s="2026">
        <v>5</v>
      </c>
      <c r="J74" s="2026">
        <v>6</v>
      </c>
      <c r="K74" s="2026">
        <v>7</v>
      </c>
      <c r="L74" s="2026">
        <v>8</v>
      </c>
      <c r="M74" s="2026">
        <v>9</v>
      </c>
      <c r="N74" s="2026">
        <v>10</v>
      </c>
      <c r="O74" s="2026">
        <v>11</v>
      </c>
      <c r="P74" s="2026">
        <v>12</v>
      </c>
      <c r="Q74" s="2026">
        <v>13</v>
      </c>
      <c r="R74" s="2026">
        <v>14</v>
      </c>
      <c r="S74" s="2026">
        <v>15</v>
      </c>
      <c r="T74" s="2026">
        <v>16</v>
      </c>
      <c r="U74" s="2026">
        <v>17</v>
      </c>
      <c r="V74" s="2026">
        <v>18</v>
      </c>
      <c r="W74" s="2026">
        <v>19</v>
      </c>
      <c r="X74" s="2026">
        <v>20</v>
      </c>
      <c r="Y74" s="2026">
        <v>21</v>
      </c>
      <c r="Z74" s="2026">
        <v>22</v>
      </c>
      <c r="AA74" s="2026">
        <v>23</v>
      </c>
      <c r="AB74" s="2026">
        <v>24</v>
      </c>
      <c r="AC74" s="2026">
        <v>25</v>
      </c>
      <c r="AD74" s="3502">
        <v>26</v>
      </c>
      <c r="AE74" s="3502">
        <v>27</v>
      </c>
      <c r="AF74" s="3502">
        <v>28</v>
      </c>
      <c r="AG74" s="3502">
        <v>29</v>
      </c>
      <c r="AH74" s="3502">
        <v>30</v>
      </c>
      <c r="AI74" s="2026">
        <v>31</v>
      </c>
      <c r="AJ74" s="2026">
        <v>32</v>
      </c>
      <c r="AK74" s="2026">
        <v>33</v>
      </c>
      <c r="AL74" s="2026">
        <v>34</v>
      </c>
      <c r="AM74" s="2026">
        <v>35</v>
      </c>
      <c r="AN74" s="2026">
        <v>36</v>
      </c>
      <c r="AO74" s="2026">
        <v>37</v>
      </c>
      <c r="AP74" s="2026">
        <v>38</v>
      </c>
      <c r="AQ74" s="2026">
        <v>39</v>
      </c>
      <c r="AR74" s="2026">
        <v>40</v>
      </c>
      <c r="AS74" s="2026">
        <v>41</v>
      </c>
      <c r="AT74" s="2026">
        <v>42</v>
      </c>
      <c r="AU74" s="2026">
        <v>43</v>
      </c>
      <c r="AV74" s="2026">
        <v>44</v>
      </c>
      <c r="AW74" s="2026">
        <v>45</v>
      </c>
      <c r="AX74" s="2026">
        <v>46</v>
      </c>
      <c r="AY74" s="2026">
        <v>47</v>
      </c>
      <c r="AZ74" s="2026">
        <v>48</v>
      </c>
      <c r="BA74" s="2026">
        <v>49</v>
      </c>
      <c r="BB74" s="2026">
        <v>50</v>
      </c>
      <c r="BC74" s="2026">
        <v>51</v>
      </c>
      <c r="BD74" s="2026">
        <v>52</v>
      </c>
      <c r="BE74" s="2026">
        <v>53</v>
      </c>
      <c r="BF74" s="2026">
        <v>54</v>
      </c>
      <c r="BG74" s="2026">
        <v>55</v>
      </c>
      <c r="BH74" s="2026">
        <v>56</v>
      </c>
      <c r="BI74" s="2026">
        <v>57</v>
      </c>
      <c r="BJ74" s="2026">
        <v>58</v>
      </c>
      <c r="BK74" s="2026">
        <v>59</v>
      </c>
      <c r="BL74" s="2026">
        <v>60</v>
      </c>
      <c r="BM74" s="2026">
        <v>61</v>
      </c>
      <c r="BN74" s="2026">
        <v>62</v>
      </c>
      <c r="BO74" s="2026">
        <v>63</v>
      </c>
      <c r="BP74" s="2026">
        <v>64</v>
      </c>
      <c r="BQ74" s="2026">
        <v>65</v>
      </c>
      <c r="BR74" s="2026">
        <v>66</v>
      </c>
      <c r="BS74" s="2026">
        <v>67</v>
      </c>
      <c r="BT74" s="2026">
        <v>68</v>
      </c>
      <c r="BU74" s="2026">
        <v>69</v>
      </c>
      <c r="BV74" s="2026">
        <v>70</v>
      </c>
      <c r="BW74" s="2026">
        <v>71</v>
      </c>
      <c r="BX74" s="2026">
        <v>72</v>
      </c>
      <c r="BY74" s="2026">
        <v>73</v>
      </c>
      <c r="BZ74" s="2026">
        <v>74</v>
      </c>
      <c r="CA74" s="2026">
        <v>75</v>
      </c>
      <c r="CB74" s="2026">
        <v>76</v>
      </c>
      <c r="CC74" s="2026">
        <v>77</v>
      </c>
      <c r="CD74" s="2026">
        <v>78</v>
      </c>
      <c r="CE74" s="2026">
        <v>79</v>
      </c>
      <c r="CF74" s="2026">
        <v>80</v>
      </c>
      <c r="CG74" s="2026">
        <v>81</v>
      </c>
      <c r="CH74" s="2026">
        <v>82</v>
      </c>
      <c r="CI74" s="2026">
        <v>83</v>
      </c>
      <c r="CJ74" s="2026">
        <v>84</v>
      </c>
      <c r="CK74" s="2026">
        <v>85</v>
      </c>
      <c r="CL74" s="2026">
        <v>86</v>
      </c>
      <c r="CM74" s="2026">
        <v>87</v>
      </c>
      <c r="CN74" s="2026">
        <v>88</v>
      </c>
      <c r="CO74" s="2026">
        <v>89</v>
      </c>
      <c r="CP74" s="2026">
        <v>90</v>
      </c>
      <c r="CQ74" s="2026">
        <v>91</v>
      </c>
      <c r="CR74" s="2026">
        <v>92</v>
      </c>
      <c r="CS74" s="2026">
        <v>93</v>
      </c>
      <c r="CT74" s="2026">
        <v>94</v>
      </c>
      <c r="CU74" s="2026">
        <v>95</v>
      </c>
      <c r="CV74" s="2026">
        <v>96</v>
      </c>
      <c r="CW74" s="2026">
        <v>97</v>
      </c>
      <c r="CX74" s="2026">
        <v>98</v>
      </c>
      <c r="CY74" s="2026">
        <v>99</v>
      </c>
      <c r="CZ74" s="2026">
        <v>100</v>
      </c>
      <c r="DA74" s="2026">
        <v>101</v>
      </c>
      <c r="DB74" s="2026">
        <v>102</v>
      </c>
      <c r="DC74" s="2026">
        <v>103</v>
      </c>
      <c r="DD74" s="2026">
        <v>104</v>
      </c>
      <c r="DE74" s="2026">
        <v>105</v>
      </c>
      <c r="DF74" s="2026">
        <v>106</v>
      </c>
      <c r="DG74" s="2026">
        <v>107</v>
      </c>
      <c r="DH74" s="2026">
        <v>108</v>
      </c>
      <c r="DI74" s="2026">
        <v>109</v>
      </c>
      <c r="DJ74" s="2026">
        <v>110</v>
      </c>
      <c r="DK74" s="2026">
        <v>111</v>
      </c>
      <c r="DL74" s="2026">
        <v>112</v>
      </c>
      <c r="DM74" s="2026">
        <v>113</v>
      </c>
      <c r="DN74" s="2026">
        <v>114</v>
      </c>
      <c r="DO74" s="2026">
        <v>115</v>
      </c>
      <c r="DP74" s="2026">
        <v>116</v>
      </c>
      <c r="DQ74" s="2026">
        <v>117</v>
      </c>
      <c r="DR74" s="2026">
        <v>118</v>
      </c>
      <c r="DS74" s="2026">
        <v>119</v>
      </c>
      <c r="DT74" s="2026">
        <v>120</v>
      </c>
      <c r="DU74" s="2026">
        <v>121</v>
      </c>
      <c r="DV74" s="2026">
        <v>122</v>
      </c>
      <c r="DW74" s="2026">
        <v>123</v>
      </c>
      <c r="DX74" s="2026">
        <v>124</v>
      </c>
      <c r="DY74" s="2026">
        <v>125</v>
      </c>
      <c r="DZ74" s="2026">
        <v>126</v>
      </c>
      <c r="EA74" s="2026">
        <v>127</v>
      </c>
      <c r="EB74" s="2026">
        <v>128</v>
      </c>
      <c r="EC74" s="2026">
        <v>129</v>
      </c>
      <c r="ED74" s="2026">
        <v>130</v>
      </c>
      <c r="EE74" s="2026">
        <v>131</v>
      </c>
      <c r="EF74" s="2026">
        <v>132</v>
      </c>
      <c r="EG74" s="2026">
        <v>133</v>
      </c>
      <c r="EH74" s="2026">
        <v>134</v>
      </c>
      <c r="EI74" s="2026">
        <v>135</v>
      </c>
      <c r="EJ74" s="2026">
        <v>136</v>
      </c>
      <c r="EK74" s="2026">
        <v>137</v>
      </c>
      <c r="EL74" s="2026">
        <v>138</v>
      </c>
      <c r="EM74" s="2026">
        <v>139</v>
      </c>
      <c r="EN74" s="2026">
        <v>140</v>
      </c>
      <c r="EO74" s="2026">
        <v>141</v>
      </c>
      <c r="EP74" s="2026">
        <v>142</v>
      </c>
      <c r="EQ74" s="2026">
        <v>143</v>
      </c>
      <c r="ER74" s="2026">
        <v>144</v>
      </c>
      <c r="ES74" s="2026">
        <v>145</v>
      </c>
      <c r="ET74" s="2026">
        <v>146</v>
      </c>
      <c r="EU74" s="2026">
        <v>147</v>
      </c>
      <c r="EV74" s="2026">
        <v>148</v>
      </c>
      <c r="EW74" s="2026">
        <v>149</v>
      </c>
      <c r="EX74" s="2026">
        <v>150</v>
      </c>
      <c r="EY74" s="2026">
        <v>151</v>
      </c>
      <c r="EZ74" s="2026">
        <v>152</v>
      </c>
      <c r="FA74" s="2026">
        <v>153</v>
      </c>
      <c r="FB74" s="2026">
        <v>154</v>
      </c>
      <c r="FC74" s="2026">
        <v>155</v>
      </c>
      <c r="FD74" s="2026">
        <v>156</v>
      </c>
      <c r="FE74" s="2026">
        <v>157</v>
      </c>
      <c r="FF74" s="2026">
        <v>158</v>
      </c>
      <c r="FG74" s="2026">
        <v>159</v>
      </c>
      <c r="FH74" s="2026">
        <v>160</v>
      </c>
      <c r="FI74" s="2026">
        <v>161</v>
      </c>
      <c r="FJ74" s="2026">
        <v>162</v>
      </c>
      <c r="FK74" s="2026">
        <v>163</v>
      </c>
      <c r="FL74" s="2026">
        <v>164</v>
      </c>
      <c r="FM74" s="2026">
        <v>165</v>
      </c>
      <c r="FN74" s="2026">
        <v>166</v>
      </c>
      <c r="FO74" s="2026">
        <v>167</v>
      </c>
      <c r="FP74" s="2026">
        <v>168</v>
      </c>
      <c r="FQ74" s="2026">
        <v>169</v>
      </c>
      <c r="FR74" s="2026">
        <v>170</v>
      </c>
      <c r="FS74" s="2026">
        <v>171</v>
      </c>
      <c r="FT74" s="2026">
        <v>172</v>
      </c>
      <c r="FU74" s="2026">
        <v>173</v>
      </c>
      <c r="FV74" s="2026">
        <v>174</v>
      </c>
      <c r="FW74" s="2026">
        <v>175</v>
      </c>
      <c r="FX74" s="2026">
        <v>176</v>
      </c>
      <c r="FY74" s="2026">
        <v>177</v>
      </c>
      <c r="FZ74" s="2026">
        <v>178</v>
      </c>
      <c r="GA74" s="2026">
        <v>179</v>
      </c>
      <c r="GB74" s="2026">
        <v>180</v>
      </c>
      <c r="GC74" s="2026">
        <v>181</v>
      </c>
      <c r="GD74" s="2026">
        <v>182</v>
      </c>
      <c r="GE74" s="2026">
        <v>183</v>
      </c>
      <c r="GF74" s="2026">
        <v>184</v>
      </c>
      <c r="GG74" s="2026">
        <v>185</v>
      </c>
      <c r="GH74" s="2026">
        <v>186</v>
      </c>
      <c r="GI74" s="2026">
        <v>187</v>
      </c>
      <c r="GJ74" s="2026">
        <v>188</v>
      </c>
      <c r="GK74" s="2026">
        <v>189</v>
      </c>
      <c r="GL74" s="2026">
        <v>190</v>
      </c>
      <c r="GM74" s="2026">
        <v>191</v>
      </c>
      <c r="GN74" s="2026">
        <v>192</v>
      </c>
      <c r="GO74" s="2026">
        <v>193</v>
      </c>
      <c r="GP74" s="2026">
        <v>194</v>
      </c>
      <c r="GQ74" s="2026">
        <v>195</v>
      </c>
      <c r="GR74" s="2026">
        <v>196</v>
      </c>
      <c r="GS74" s="2026">
        <v>197</v>
      </c>
      <c r="GT74" s="2026">
        <v>198</v>
      </c>
      <c r="GU74" s="2026">
        <v>199</v>
      </c>
      <c r="GV74" s="2026">
        <v>200</v>
      </c>
      <c r="GW74" s="2026">
        <v>201</v>
      </c>
      <c r="GX74" s="2026">
        <v>202</v>
      </c>
      <c r="GY74" s="2026">
        <v>203</v>
      </c>
      <c r="GZ74" s="2026">
        <v>204</v>
      </c>
      <c r="HA74" s="2026">
        <v>205</v>
      </c>
      <c r="HB74" s="2026">
        <v>206</v>
      </c>
      <c r="HC74" s="2026">
        <v>207</v>
      </c>
      <c r="HD74" s="2026">
        <v>208</v>
      </c>
      <c r="HE74" s="2026">
        <v>209</v>
      </c>
      <c r="HF74" s="2026">
        <v>210</v>
      </c>
      <c r="HG74" s="2026">
        <v>211</v>
      </c>
      <c r="HH74" s="2026">
        <v>212</v>
      </c>
      <c r="HI74" s="2026">
        <v>213</v>
      </c>
      <c r="HJ74" s="2026">
        <v>214</v>
      </c>
      <c r="HK74" s="2026">
        <v>215</v>
      </c>
      <c r="HL74" s="2026">
        <v>216</v>
      </c>
      <c r="HM74" s="2026">
        <v>217</v>
      </c>
      <c r="HN74" s="2026">
        <v>218</v>
      </c>
      <c r="HO74" s="2026">
        <v>219</v>
      </c>
      <c r="HP74" s="2026">
        <v>220</v>
      </c>
      <c r="HQ74" s="2026">
        <v>221</v>
      </c>
      <c r="HR74" s="2026">
        <v>222</v>
      </c>
      <c r="HS74" s="2026">
        <v>223</v>
      </c>
      <c r="HT74" s="2026">
        <v>224</v>
      </c>
      <c r="HU74" s="2026">
        <v>225</v>
      </c>
      <c r="HV74" s="2026">
        <v>226</v>
      </c>
      <c r="HW74" s="2026">
        <v>227</v>
      </c>
      <c r="HX74" s="2026">
        <v>228</v>
      </c>
      <c r="HY74" s="2026">
        <v>229</v>
      </c>
      <c r="HZ74" s="2026">
        <v>230</v>
      </c>
      <c r="IA74" s="2026">
        <v>231</v>
      </c>
      <c r="IB74" s="2026">
        <v>232</v>
      </c>
      <c r="IC74" s="2026">
        <v>233</v>
      </c>
      <c r="ID74" s="2026">
        <v>234</v>
      </c>
      <c r="IE74" s="2026">
        <v>235</v>
      </c>
      <c r="IF74" s="2026">
        <v>236</v>
      </c>
      <c r="IG74" s="2026">
        <v>237</v>
      </c>
      <c r="IH74" s="2026">
        <v>238</v>
      </c>
      <c r="II74" s="2026">
        <v>239</v>
      </c>
      <c r="IJ74" s="2026">
        <v>240</v>
      </c>
      <c r="IK74" s="2026">
        <v>241</v>
      </c>
      <c r="IL74" s="2026">
        <v>242</v>
      </c>
      <c r="IM74" s="2026">
        <v>243</v>
      </c>
      <c r="IN74" s="2026">
        <v>244</v>
      </c>
      <c r="IO74" s="2026">
        <v>245</v>
      </c>
      <c r="IP74" s="1134">
        <v>246</v>
      </c>
      <c r="IQ74" s="1134">
        <v>247</v>
      </c>
      <c r="IR74" s="1134">
        <v>248</v>
      </c>
      <c r="IS74" s="1134">
        <v>249</v>
      </c>
      <c r="IT74" s="1134">
        <v>250</v>
      </c>
      <c r="IU74" s="1134">
        <v>251</v>
      </c>
      <c r="IV74" s="1134">
        <v>252</v>
      </c>
      <c r="IW74" s="1134">
        <v>253</v>
      </c>
      <c r="IX74" s="1134">
        <v>254</v>
      </c>
      <c r="IY74" s="1134">
        <v>255</v>
      </c>
      <c r="IZ74" s="1134">
        <v>256</v>
      </c>
      <c r="JA74" s="1134">
        <v>257</v>
      </c>
      <c r="JB74" s="1134">
        <v>258</v>
      </c>
      <c r="JC74" s="1134">
        <v>259</v>
      </c>
      <c r="JD74" s="1134">
        <v>260</v>
      </c>
      <c r="JE74" s="1134">
        <v>261</v>
      </c>
      <c r="JF74" s="1134">
        <v>262</v>
      </c>
      <c r="JG74" s="2485">
        <v>263</v>
      </c>
      <c r="JH74" s="1233"/>
      <c r="JI74" s="1393"/>
    </row>
    <row r="75" spans="1:269" x14ac:dyDescent="0.2">
      <c r="A75" s="1128">
        <v>2</v>
      </c>
      <c r="B75" s="1375" t="str">
        <f>IF(MCA_IND&gt;1,IF(HLOOKUP(MCA_IND-1,MCA_RANGE,A75)="","",HLOOKUP(MCA_IND-1,MCA_RANGE,A75)),"")</f>
        <v/>
      </c>
      <c r="C75" s="2268" t="s">
        <v>2103</v>
      </c>
      <c r="D75" s="2403" t="s">
        <v>4899</v>
      </c>
      <c r="E75" s="2447"/>
      <c r="F75" s="2447"/>
      <c r="G75" s="2447"/>
      <c r="H75" s="2447"/>
      <c r="I75" s="2447"/>
      <c r="J75" s="2447"/>
      <c r="K75" s="2447" t="s">
        <v>3114</v>
      </c>
      <c r="L75" s="2447" t="s">
        <v>3114</v>
      </c>
      <c r="M75" s="2447"/>
      <c r="N75" s="2447"/>
      <c r="O75" s="2447"/>
      <c r="P75" s="2447"/>
      <c r="Q75" s="2447"/>
      <c r="R75" s="2447"/>
      <c r="S75" s="2447"/>
      <c r="T75" s="2447"/>
      <c r="U75" s="2447"/>
      <c r="V75" s="2447"/>
      <c r="W75" s="2447"/>
      <c r="X75" s="2447"/>
      <c r="Y75" s="2447"/>
      <c r="Z75" s="2447"/>
      <c r="AA75" s="2447"/>
      <c r="AB75" s="2447"/>
      <c r="AC75" s="2447"/>
      <c r="AD75" s="2447"/>
      <c r="AE75" s="2447"/>
      <c r="AF75" s="2447"/>
      <c r="AG75" s="2447"/>
      <c r="AH75" s="2447"/>
      <c r="AI75" s="2447"/>
      <c r="AJ75" s="2447"/>
      <c r="AK75" s="2447"/>
      <c r="AL75" s="2447"/>
      <c r="AM75" s="2447"/>
      <c r="AN75" s="2447"/>
      <c r="AO75" s="2447"/>
      <c r="AP75" s="2447"/>
      <c r="AQ75" s="2447"/>
      <c r="AR75" s="2447"/>
      <c r="AS75" s="2447"/>
      <c r="AT75" s="2447"/>
      <c r="AU75" s="2447"/>
      <c r="AV75" s="2447"/>
      <c r="AW75" s="2447"/>
      <c r="AX75" s="2447"/>
      <c r="AY75" s="2447"/>
      <c r="AZ75" s="2447"/>
      <c r="BA75" s="2447"/>
      <c r="BB75" s="2447"/>
      <c r="BC75" s="2447"/>
      <c r="BD75" s="2447" t="s">
        <v>3114</v>
      </c>
      <c r="BE75" s="2447"/>
      <c r="BF75" s="2447"/>
      <c r="BG75" s="2447"/>
      <c r="BH75" s="2447"/>
      <c r="BI75" s="3967"/>
      <c r="BJ75" s="2447"/>
      <c r="BK75" s="2447"/>
      <c r="BL75" s="2447"/>
      <c r="BM75" s="2447"/>
      <c r="BN75" s="2447" t="s">
        <v>3114</v>
      </c>
      <c r="BO75" s="2447"/>
      <c r="BP75" s="2447"/>
      <c r="BQ75" s="2447"/>
      <c r="BR75" s="2447"/>
      <c r="BS75" s="2447"/>
      <c r="BT75" s="2447"/>
      <c r="BU75" s="2447"/>
      <c r="BV75" s="2447" t="s">
        <v>3113</v>
      </c>
      <c r="BW75" s="2447" t="s">
        <v>3113</v>
      </c>
      <c r="BX75" s="2447" t="s">
        <v>3113</v>
      </c>
      <c r="BY75" s="2447" t="s">
        <v>3113</v>
      </c>
      <c r="BZ75" s="2447"/>
      <c r="CA75" s="2447" t="s">
        <v>3114</v>
      </c>
      <c r="CB75" s="4287"/>
      <c r="CC75" s="2816"/>
      <c r="CD75" s="2447" t="s">
        <v>3113</v>
      </c>
      <c r="CE75" s="2816"/>
      <c r="CF75" s="2447" t="s">
        <v>3114</v>
      </c>
      <c r="CG75" s="2816"/>
      <c r="CH75" s="2447" t="s">
        <v>3113</v>
      </c>
      <c r="CI75" s="2816"/>
      <c r="CJ75" s="2816"/>
      <c r="CK75" s="2816"/>
      <c r="CL75" s="2816"/>
      <c r="CM75" s="2816"/>
      <c r="CN75" s="2816"/>
      <c r="CO75" s="2816"/>
      <c r="CP75" s="2816"/>
      <c r="CQ75" s="2816"/>
      <c r="CR75" s="2816"/>
      <c r="CS75" s="2816"/>
      <c r="CT75" s="2816"/>
      <c r="CU75" s="2816"/>
      <c r="CV75" s="2816"/>
      <c r="CW75" s="2816"/>
      <c r="CX75" s="2816"/>
      <c r="CY75" s="2816"/>
      <c r="CZ75" s="2816"/>
      <c r="DA75" s="2816"/>
      <c r="DB75" s="2816"/>
      <c r="DC75" s="2816"/>
      <c r="DD75" s="2816"/>
      <c r="DE75" s="2816"/>
      <c r="DF75" s="2816"/>
      <c r="DG75" s="2816"/>
      <c r="DH75" s="2816"/>
      <c r="DI75" s="2816"/>
      <c r="DJ75" s="2816"/>
      <c r="DK75" s="2816"/>
      <c r="DL75" s="2816"/>
      <c r="DM75" s="2816"/>
      <c r="DN75" s="2816"/>
      <c r="DO75" s="2816"/>
      <c r="DP75" s="2816"/>
      <c r="DQ75" s="2816"/>
      <c r="DR75" s="2816"/>
      <c r="DS75" s="2447" t="s">
        <v>3113</v>
      </c>
      <c r="DT75" s="2816"/>
      <c r="DU75" s="2816"/>
      <c r="DV75" s="2816"/>
      <c r="DW75" s="2447" t="s">
        <v>3115</v>
      </c>
      <c r="DX75" s="2447" t="s">
        <v>3116</v>
      </c>
      <c r="DY75" s="2447" t="s">
        <v>3114</v>
      </c>
      <c r="DZ75" s="2447" t="s">
        <v>3117</v>
      </c>
      <c r="EA75" s="2816"/>
      <c r="EB75" s="2816"/>
      <c r="EC75" s="2816"/>
      <c r="ED75" s="2816"/>
      <c r="EE75" s="2816"/>
      <c r="EF75" s="2816"/>
      <c r="EG75" s="2816"/>
      <c r="EH75" s="2816"/>
      <c r="EI75" s="2816"/>
      <c r="EJ75" s="2816"/>
      <c r="EK75" s="2816"/>
      <c r="EL75" s="2816"/>
      <c r="EM75" s="2816"/>
      <c r="EN75" s="2816"/>
      <c r="EO75" s="2816"/>
      <c r="EP75" s="2816"/>
      <c r="EQ75" s="2816"/>
      <c r="ER75" s="2816"/>
      <c r="ES75" s="2816"/>
      <c r="ET75" s="2816"/>
      <c r="EU75" s="2816"/>
      <c r="EV75" s="2816"/>
      <c r="EW75" s="2816"/>
      <c r="EX75" s="2816"/>
      <c r="EY75" s="2816"/>
      <c r="EZ75" s="2816"/>
      <c r="FA75" s="2816"/>
      <c r="FB75" s="2447" t="s">
        <v>3114</v>
      </c>
      <c r="FC75" s="2816"/>
      <c r="FD75" s="2816"/>
      <c r="FE75" s="2816"/>
      <c r="FF75" s="2816"/>
      <c r="FG75" s="2816"/>
      <c r="FH75" s="2816"/>
      <c r="FI75" s="2816"/>
      <c r="FJ75" s="2816"/>
      <c r="FK75" s="2816"/>
      <c r="FL75" s="2816"/>
      <c r="FM75" s="2816"/>
      <c r="FN75" s="2816"/>
      <c r="FO75" s="2816"/>
      <c r="FP75" s="2816"/>
      <c r="FQ75" s="2816"/>
      <c r="FR75" s="2816"/>
      <c r="FS75" s="2816"/>
      <c r="FT75" s="2816"/>
      <c r="FU75" s="2816"/>
      <c r="FV75" s="2816"/>
      <c r="FW75" s="2816"/>
      <c r="FX75" s="2816"/>
      <c r="FY75" s="2447" t="s">
        <v>3113</v>
      </c>
      <c r="FZ75" s="2447" t="s">
        <v>3116</v>
      </c>
      <c r="GA75" s="2447" t="s">
        <v>3117</v>
      </c>
      <c r="GB75" s="2447"/>
      <c r="GC75" s="2816"/>
      <c r="GD75" s="2816"/>
      <c r="GE75" s="2816"/>
      <c r="GF75" s="2816"/>
      <c r="GG75" s="2816"/>
      <c r="GH75" s="2816"/>
      <c r="GI75" s="2816"/>
      <c r="GJ75" s="2816"/>
      <c r="GK75" s="2816"/>
      <c r="GL75" s="2816"/>
      <c r="GM75" s="2816"/>
      <c r="GN75" s="2816"/>
      <c r="GO75" s="2816"/>
      <c r="GP75" s="2816"/>
      <c r="GQ75" s="2816"/>
      <c r="GR75" s="2816"/>
      <c r="GS75" s="2816"/>
      <c r="GT75" s="2816"/>
      <c r="GU75" s="2816"/>
      <c r="GV75" s="2816"/>
      <c r="GW75" s="2816"/>
      <c r="GX75" s="2816"/>
      <c r="GY75" s="2816"/>
      <c r="GZ75" s="2816"/>
      <c r="HA75" s="2816"/>
      <c r="HB75" s="2816"/>
      <c r="HC75" s="2816"/>
      <c r="HD75" s="2816"/>
      <c r="HE75" s="2816"/>
      <c r="HF75" s="2816"/>
      <c r="HG75" s="2816"/>
      <c r="HH75" s="2816"/>
      <c r="HI75" s="2816"/>
      <c r="HJ75" s="2816"/>
      <c r="HK75" s="2816"/>
      <c r="HL75" s="2816"/>
      <c r="HM75" s="2816"/>
      <c r="HN75" s="2816"/>
      <c r="HO75" s="2816"/>
      <c r="HP75" s="2816"/>
      <c r="HQ75" s="2816"/>
      <c r="HR75" s="2816"/>
      <c r="HS75" s="2816"/>
      <c r="HT75" s="2816"/>
      <c r="HU75" s="2816"/>
      <c r="HV75" s="2816"/>
      <c r="HW75" s="2816"/>
      <c r="HX75" s="2816"/>
      <c r="HY75" s="2816"/>
      <c r="HZ75" s="2816"/>
      <c r="IA75" s="2816"/>
      <c r="IB75" s="2816"/>
      <c r="IC75" s="2816"/>
      <c r="ID75" s="2816"/>
      <c r="IE75" s="2816"/>
      <c r="IF75" s="2816"/>
      <c r="IG75" s="2816"/>
      <c r="IH75" s="2816"/>
      <c r="II75" s="2816"/>
      <c r="IJ75" s="2816"/>
      <c r="IK75" s="2816"/>
      <c r="IL75" s="2816"/>
      <c r="IM75" s="2816"/>
      <c r="IN75" s="2816"/>
      <c r="IO75" s="2816"/>
      <c r="IP75" s="2816"/>
      <c r="IQ75" s="2816"/>
      <c r="IR75" s="2816"/>
      <c r="IS75" s="2816"/>
      <c r="IT75" s="2816"/>
      <c r="IU75" s="2816"/>
      <c r="IV75" s="2816"/>
      <c r="IW75" s="2816"/>
      <c r="IX75" s="2816"/>
      <c r="IY75" s="2816"/>
      <c r="IZ75" s="2816"/>
      <c r="JA75" s="2816"/>
      <c r="JB75" s="2816"/>
      <c r="JC75" s="2816"/>
      <c r="JD75" s="2816"/>
      <c r="JE75" s="2816"/>
      <c r="JF75" s="2816"/>
      <c r="JG75" s="3771"/>
      <c r="JH75" s="1233"/>
      <c r="JI75" s="1393" t="s">
        <v>5418</v>
      </c>
    </row>
    <row r="76" spans="1:269" x14ac:dyDescent="0.2">
      <c r="A76" s="1128">
        <v>3</v>
      </c>
      <c r="B76" s="1375" t="str">
        <f ref="B76:B85" si="7" t="shared">IF(MCA_IND&gt;1,IF(HLOOKUP(MCA_IND-1,MCA_RANGE,A76)="","",HLOOKUP(MCA_IND-1,MCA_RANGE,A76)),"")</f>
        <v/>
      </c>
      <c r="C76" s="2626" t="s">
        <v>3118</v>
      </c>
      <c r="D76" s="2403" t="s">
        <v>4900</v>
      </c>
      <c r="E76" s="2448"/>
      <c r="F76" s="2448"/>
      <c r="G76" s="2448"/>
      <c r="H76" s="2448"/>
      <c r="I76" s="2448"/>
      <c r="J76" s="2448"/>
      <c r="K76" s="2448" t="str">
        <f>"01/12/"&amp;MCA_year-3</f>
        <v>01/12/1932</v>
      </c>
      <c r="L76" s="2448" t="str">
        <f>"10/09/"&amp;MCA_year-1</f>
        <v>10/09/1934</v>
      </c>
      <c r="M76" s="2448"/>
      <c r="N76" s="2448"/>
      <c r="O76" s="2448"/>
      <c r="P76" s="2448"/>
      <c r="Q76" s="2448"/>
      <c r="R76" s="2448"/>
      <c r="S76" s="2448"/>
      <c r="T76" s="2448"/>
      <c r="U76" s="2448"/>
      <c r="V76" s="2448"/>
      <c r="W76" s="2448"/>
      <c r="X76" s="2448"/>
      <c r="Y76" s="2448"/>
      <c r="Z76" s="2448"/>
      <c r="AA76" s="2448"/>
      <c r="AB76" s="2448"/>
      <c r="AC76" s="2448"/>
      <c r="AD76" s="2448"/>
      <c r="AE76" s="2448"/>
      <c r="AF76" s="2448"/>
      <c r="AG76" s="2448"/>
      <c r="AH76" s="2448"/>
      <c r="AI76" s="2448"/>
      <c r="AJ76" s="2448"/>
      <c r="AK76" s="2448"/>
      <c r="AL76" s="2448"/>
      <c r="AM76" s="2448"/>
      <c r="AN76" s="2448"/>
      <c r="AO76" s="2448"/>
      <c r="AP76" s="2448"/>
      <c r="AQ76" s="2448"/>
      <c r="AR76" s="2448"/>
      <c r="AS76" s="2448"/>
      <c r="AT76" s="2448"/>
      <c r="AU76" s="2448"/>
      <c r="AV76" s="2448"/>
      <c r="AW76" s="2448"/>
      <c r="AX76" s="2448"/>
      <c r="AY76" s="2448"/>
      <c r="AZ76" s="2448"/>
      <c r="BA76" s="2448"/>
      <c r="BB76" s="2448"/>
      <c r="BC76" s="2448"/>
      <c r="BD76" s="2448" t="str">
        <f>"10/09/"&amp;MCA_year-1</f>
        <v>10/09/1934</v>
      </c>
      <c r="BE76" s="2448"/>
      <c r="BF76" s="2448"/>
      <c r="BG76" s="2448"/>
      <c r="BH76" s="2448"/>
      <c r="BI76" s="3968"/>
      <c r="BJ76" s="2448"/>
      <c r="BK76" s="2448"/>
      <c r="BL76" s="2448"/>
      <c r="BM76" s="2448"/>
      <c r="BN76" s="2448" t="str">
        <f>"10/09/"&amp;MCA_year-1</f>
        <v>10/09/1934</v>
      </c>
      <c r="BO76" s="2448"/>
      <c r="BP76" s="2448"/>
      <c r="BQ76" s="2448"/>
      <c r="BR76" s="2448"/>
      <c r="BS76" s="2448"/>
      <c r="BT76" s="2448"/>
      <c r="BU76" s="2448"/>
      <c r="BV76" s="2448"/>
      <c r="BW76" s="2448"/>
      <c r="BX76" s="2448"/>
      <c r="BY76" s="2448"/>
      <c r="BZ76" s="2448"/>
      <c r="CA76" s="2448" t="str">
        <f>"10/09/"&amp;MCA_year-1</f>
        <v>10/09/1934</v>
      </c>
      <c r="CB76" s="4288"/>
      <c r="CC76" s="2817"/>
      <c r="CD76" s="2448"/>
      <c r="CE76" s="2817"/>
      <c r="CF76" s="2448" t="str">
        <f>"10/09/"&amp;MCA_year-1</f>
        <v>10/09/1934</v>
      </c>
      <c r="CG76" s="2817"/>
      <c r="CH76" s="2448"/>
      <c r="CI76" s="2817"/>
      <c r="CJ76" s="2817"/>
      <c r="CK76" s="2817"/>
      <c r="CL76" s="2817"/>
      <c r="CM76" s="2817"/>
      <c r="CN76" s="2817"/>
      <c r="CO76" s="2817"/>
      <c r="CP76" s="2817"/>
      <c r="CQ76" s="2817"/>
      <c r="CR76" s="2817"/>
      <c r="CS76" s="2817"/>
      <c r="CT76" s="2817"/>
      <c r="CU76" s="2817"/>
      <c r="CV76" s="2817"/>
      <c r="CW76" s="2817"/>
      <c r="CX76" s="2817"/>
      <c r="CY76" s="2817"/>
      <c r="CZ76" s="2817"/>
      <c r="DA76" s="2817"/>
      <c r="DB76" s="2817"/>
      <c r="DC76" s="2817"/>
      <c r="DD76" s="2817"/>
      <c r="DE76" s="2817"/>
      <c r="DF76" s="2817"/>
      <c r="DG76" s="2817"/>
      <c r="DH76" s="2817"/>
      <c r="DI76" s="2817"/>
      <c r="DJ76" s="2817"/>
      <c r="DK76" s="2817"/>
      <c r="DL76" s="2817"/>
      <c r="DM76" s="2817"/>
      <c r="DN76" s="2817"/>
      <c r="DO76" s="2817"/>
      <c r="DP76" s="2817"/>
      <c r="DQ76" s="2817"/>
      <c r="DR76" s="2817"/>
      <c r="DS76" s="2448"/>
      <c r="DT76" s="2817"/>
      <c r="DU76" s="2817"/>
      <c r="DV76" s="2817"/>
      <c r="DW76" s="2448" t="str">
        <f>"01/07/"&amp;MCA_year-5</f>
        <v>01/07/1930</v>
      </c>
      <c r="DX76" s="2448"/>
      <c r="DY76" s="2448" t="str">
        <f>"10/09/"&amp;MCA_year-1</f>
        <v>10/09/1934</v>
      </c>
      <c r="DZ76" s="2448"/>
      <c r="EA76" s="2817"/>
      <c r="EB76" s="2817"/>
      <c r="EC76" s="2817"/>
      <c r="ED76" s="2817"/>
      <c r="EE76" s="2817"/>
      <c r="EF76" s="2817"/>
      <c r="EG76" s="2817"/>
      <c r="EH76" s="2817"/>
      <c r="EI76" s="2817"/>
      <c r="EJ76" s="2817"/>
      <c r="EK76" s="2817"/>
      <c r="EL76" s="2817"/>
      <c r="EM76" s="2817"/>
      <c r="EN76" s="2817"/>
      <c r="EO76" s="2817"/>
      <c r="EP76" s="2817"/>
      <c r="EQ76" s="2817"/>
      <c r="ER76" s="2817"/>
      <c r="ES76" s="2817"/>
      <c r="ET76" s="2817"/>
      <c r="EU76" s="2817"/>
      <c r="EV76" s="2817"/>
      <c r="EW76" s="2817"/>
      <c r="EX76" s="2817"/>
      <c r="EY76" s="2817"/>
      <c r="EZ76" s="2817"/>
      <c r="FA76" s="2817"/>
      <c r="FB76" s="2448" t="str">
        <f>"10/09/"&amp;MCA_year-1</f>
        <v>10/09/1934</v>
      </c>
      <c r="FC76" s="2817"/>
      <c r="FD76" s="2817"/>
      <c r="FE76" s="2817"/>
      <c r="FF76" s="2817"/>
      <c r="FG76" s="2817"/>
      <c r="FH76" s="2817"/>
      <c r="FI76" s="2817"/>
      <c r="FJ76" s="2817"/>
      <c r="FK76" s="2817"/>
      <c r="FL76" s="2817"/>
      <c r="FM76" s="2817"/>
      <c r="FN76" s="2817"/>
      <c r="FO76" s="2817"/>
      <c r="FP76" s="2817"/>
      <c r="FQ76" s="2817"/>
      <c r="FR76" s="2817"/>
      <c r="FS76" s="2817"/>
      <c r="FT76" s="2817"/>
      <c r="FU76" s="2817"/>
      <c r="FV76" s="2817"/>
      <c r="FW76" s="2817"/>
      <c r="FX76" s="2817"/>
      <c r="FY76" s="2448"/>
      <c r="FZ76" s="2448"/>
      <c r="GA76" s="2448"/>
      <c r="GB76" s="2448"/>
      <c r="GC76" s="2817"/>
      <c r="GD76" s="2817"/>
      <c r="GE76" s="2817"/>
      <c r="GF76" s="2817"/>
      <c r="GG76" s="2817"/>
      <c r="GH76" s="2817"/>
      <c r="GI76" s="2817"/>
      <c r="GJ76" s="2817"/>
      <c r="GK76" s="2817"/>
      <c r="GL76" s="2817"/>
      <c r="GM76" s="2817"/>
      <c r="GN76" s="2817"/>
      <c r="GO76" s="2817"/>
      <c r="GP76" s="2817"/>
      <c r="GQ76" s="2817"/>
      <c r="GR76" s="2817"/>
      <c r="GS76" s="2817"/>
      <c r="GT76" s="2817"/>
      <c r="GU76" s="2817"/>
      <c r="GV76" s="2817"/>
      <c r="GW76" s="2817"/>
      <c r="GX76" s="2817"/>
      <c r="GY76" s="2817"/>
      <c r="GZ76" s="2817"/>
      <c r="HA76" s="2817"/>
      <c r="HB76" s="2817"/>
      <c r="HC76" s="2817"/>
      <c r="HD76" s="2817"/>
      <c r="HE76" s="2817"/>
      <c r="HF76" s="2817"/>
      <c r="HG76" s="2817"/>
      <c r="HH76" s="2817"/>
      <c r="HI76" s="2817"/>
      <c r="HJ76" s="2817"/>
      <c r="HK76" s="2817"/>
      <c r="HL76" s="2817"/>
      <c r="HM76" s="2817"/>
      <c r="HN76" s="2817"/>
      <c r="HO76" s="2817"/>
      <c r="HP76" s="2817"/>
      <c r="HQ76" s="2817"/>
      <c r="HR76" s="2817"/>
      <c r="HS76" s="2817"/>
      <c r="HT76" s="2817"/>
      <c r="HU76" s="2817"/>
      <c r="HV76" s="2817"/>
      <c r="HW76" s="2817"/>
      <c r="HX76" s="2817"/>
      <c r="HY76" s="2817"/>
      <c r="HZ76" s="2817"/>
      <c r="IA76" s="2817"/>
      <c r="IB76" s="2817"/>
      <c r="IC76" s="2817"/>
      <c r="ID76" s="2817"/>
      <c r="IE76" s="2817"/>
      <c r="IF76" s="2817"/>
      <c r="IG76" s="2817"/>
      <c r="IH76" s="2817"/>
      <c r="II76" s="2817"/>
      <c r="IJ76" s="2817"/>
      <c r="IK76" s="2817"/>
      <c r="IL76" s="2817"/>
      <c r="IM76" s="2817"/>
      <c r="IN76" s="2817"/>
      <c r="IO76" s="2817"/>
      <c r="IP76" s="2817"/>
      <c r="IQ76" s="2817"/>
      <c r="IR76" s="2817"/>
      <c r="IS76" s="2817"/>
      <c r="IT76" s="2817"/>
      <c r="IU76" s="2817"/>
      <c r="IV76" s="2817"/>
      <c r="IW76" s="2817"/>
      <c r="IX76" s="2817"/>
      <c r="IY76" s="2817"/>
      <c r="IZ76" s="2817"/>
      <c r="JA76" s="2817"/>
      <c r="JB76" s="2817"/>
      <c r="JC76" s="2817"/>
      <c r="JD76" s="2817"/>
      <c r="JE76" s="2817"/>
      <c r="JF76" s="2817"/>
      <c r="JG76" s="3772"/>
      <c r="JH76" s="1233"/>
      <c r="JI76" s="1393" t="s">
        <v>5419</v>
      </c>
    </row>
    <row r="77" spans="1:269" x14ac:dyDescent="0.2">
      <c r="A77" s="1128">
        <v>4</v>
      </c>
      <c r="B77" s="1375" t="str">
        <f si="7" t="shared"/>
        <v/>
      </c>
      <c r="C77" s="2626" t="s">
        <v>3119</v>
      </c>
      <c r="D77" s="2403" t="s">
        <v>4901</v>
      </c>
      <c r="E77" s="2449"/>
      <c r="F77" s="2449"/>
      <c r="G77" s="2449"/>
      <c r="H77" s="2449"/>
      <c r="I77" s="2449"/>
      <c r="J77" s="2450"/>
      <c r="K77" s="2450" t="s">
        <v>1189</v>
      </c>
      <c r="L77" s="2449" t="s">
        <v>1189</v>
      </c>
      <c r="M77" s="2449"/>
      <c r="N77" s="2449"/>
      <c r="O77" s="2449"/>
      <c r="P77" s="2449"/>
      <c r="Q77" s="2450"/>
      <c r="R77" s="2449"/>
      <c r="S77" s="2449"/>
      <c r="T77" s="2449"/>
      <c r="U77" s="2449"/>
      <c r="V77" s="2449"/>
      <c r="W77" s="2449"/>
      <c r="X77" s="2449"/>
      <c r="Y77" s="2449"/>
      <c r="Z77" s="2449"/>
      <c r="AA77" s="2449"/>
      <c r="AB77" s="2449"/>
      <c r="AC77" s="2449"/>
      <c r="AD77" s="2449"/>
      <c r="AE77" s="2449"/>
      <c r="AF77" s="2449"/>
      <c r="AG77" s="2449"/>
      <c r="AH77" s="2449"/>
      <c r="AI77" s="2449"/>
      <c r="AJ77" s="2449"/>
      <c r="AK77" s="2449"/>
      <c r="AL77" s="2449"/>
      <c r="AM77" s="2449"/>
      <c r="AN77" s="2449"/>
      <c r="AO77" s="2449"/>
      <c r="AP77" s="2449"/>
      <c r="AQ77" s="2449"/>
      <c r="AR77" s="2449"/>
      <c r="AS77" s="2449"/>
      <c r="AT77" s="2449"/>
      <c r="AU77" s="2449"/>
      <c r="AV77" s="2449"/>
      <c r="AW77" s="2450"/>
      <c r="AX77" s="2450"/>
      <c r="AY77" s="2450"/>
      <c r="AZ77" s="2449"/>
      <c r="BA77" s="2449"/>
      <c r="BB77" s="2449"/>
      <c r="BC77" s="2449"/>
      <c r="BD77" s="2449" t="s">
        <v>1189</v>
      </c>
      <c r="BE77" s="2449"/>
      <c r="BF77" s="2449"/>
      <c r="BG77" s="2449"/>
      <c r="BH77" s="2449"/>
      <c r="BI77" s="3969"/>
      <c r="BJ77" s="2449"/>
      <c r="BK77" s="2449"/>
      <c r="BL77" s="2449"/>
      <c r="BM77" s="2449"/>
      <c r="BN77" s="2449" t="s">
        <v>1189</v>
      </c>
      <c r="BO77" s="2449"/>
      <c r="BP77" s="2449"/>
      <c r="BQ77" s="2449"/>
      <c r="BR77" s="2449"/>
      <c r="BS77" s="2449"/>
      <c r="BT77" s="2449"/>
      <c r="BU77" s="2449"/>
      <c r="BV77" s="2449" t="s">
        <v>1189</v>
      </c>
      <c r="BW77" s="2449" t="s">
        <v>1189</v>
      </c>
      <c r="BX77" s="2449" t="s">
        <v>1189</v>
      </c>
      <c r="BY77" s="2449" t="s">
        <v>1189</v>
      </c>
      <c r="BZ77" s="2449"/>
      <c r="CA77" s="2449" t="s">
        <v>1189</v>
      </c>
      <c r="CB77" s="4289"/>
      <c r="CC77" s="2818"/>
      <c r="CD77" s="2449" t="s">
        <v>1189</v>
      </c>
      <c r="CE77" s="2818"/>
      <c r="CF77" s="2449" t="s">
        <v>1189</v>
      </c>
      <c r="CG77" s="2818"/>
      <c r="CH77" s="2449" t="s">
        <v>1189</v>
      </c>
      <c r="CI77" s="2818"/>
      <c r="CJ77" s="2818"/>
      <c r="CK77" s="2818"/>
      <c r="CL77" s="2818"/>
      <c r="CM77" s="2818"/>
      <c r="CN77" s="2818"/>
      <c r="CO77" s="2818"/>
      <c r="CP77" s="2818"/>
      <c r="CQ77" s="2818"/>
      <c r="CR77" s="2818"/>
      <c r="CS77" s="2818"/>
      <c r="CT77" s="2818"/>
      <c r="CU77" s="2818"/>
      <c r="CV77" s="2818"/>
      <c r="CW77" s="2818"/>
      <c r="CX77" s="2818"/>
      <c r="CY77" s="2818"/>
      <c r="CZ77" s="2818"/>
      <c r="DA77" s="2818"/>
      <c r="DB77" s="2818"/>
      <c r="DC77" s="2818"/>
      <c r="DD77" s="2818"/>
      <c r="DE77" s="2818"/>
      <c r="DF77" s="2818"/>
      <c r="DG77" s="2818"/>
      <c r="DH77" s="2818"/>
      <c r="DI77" s="2818"/>
      <c r="DJ77" s="2818"/>
      <c r="DK77" s="2818"/>
      <c r="DL77" s="2818"/>
      <c r="DM77" s="2818"/>
      <c r="DN77" s="2818"/>
      <c r="DO77" s="2818"/>
      <c r="DP77" s="2818"/>
      <c r="DQ77" s="2818"/>
      <c r="DR77" s="2818"/>
      <c r="DS77" s="2449" t="s">
        <v>1189</v>
      </c>
      <c r="DT77" s="2818"/>
      <c r="DU77" s="2818"/>
      <c r="DV77" s="2818"/>
      <c r="DW77" s="2449" t="s">
        <v>1189</v>
      </c>
      <c r="DX77" s="2449" t="s">
        <v>572</v>
      </c>
      <c r="DY77" s="2449" t="s">
        <v>1189</v>
      </c>
      <c r="DZ77" s="2449" t="s">
        <v>1189</v>
      </c>
      <c r="EA77" s="2818"/>
      <c r="EB77" s="2818"/>
      <c r="EC77" s="2818"/>
      <c r="ED77" s="2818"/>
      <c r="EE77" s="2818"/>
      <c r="EF77" s="2818"/>
      <c r="EG77" s="2818"/>
      <c r="EH77" s="2818"/>
      <c r="EI77" s="2818"/>
      <c r="EJ77" s="2818"/>
      <c r="EK77" s="2818"/>
      <c r="EL77" s="2818"/>
      <c r="EM77" s="2818"/>
      <c r="EN77" s="2818"/>
      <c r="EO77" s="2818"/>
      <c r="EP77" s="2818"/>
      <c r="EQ77" s="2818"/>
      <c r="ER77" s="2818"/>
      <c r="ES77" s="2818"/>
      <c r="ET77" s="2818"/>
      <c r="EU77" s="2818"/>
      <c r="EV77" s="2818"/>
      <c r="EW77" s="2818"/>
      <c r="EX77" s="2818"/>
      <c r="EY77" s="2818"/>
      <c r="EZ77" s="2818"/>
      <c r="FA77" s="2818"/>
      <c r="FB77" s="2449" t="s">
        <v>1189</v>
      </c>
      <c r="FC77" s="2818"/>
      <c r="FD77" s="2818"/>
      <c r="FE77" s="2818"/>
      <c r="FF77" s="2818"/>
      <c r="FG77" s="2818"/>
      <c r="FH77" s="2818"/>
      <c r="FI77" s="2818"/>
      <c r="FJ77" s="2818"/>
      <c r="FK77" s="2818"/>
      <c r="FL77" s="2818"/>
      <c r="FM77" s="2818"/>
      <c r="FN77" s="2818"/>
      <c r="FO77" s="2818"/>
      <c r="FP77" s="2818"/>
      <c r="FQ77" s="2818"/>
      <c r="FR77" s="2818"/>
      <c r="FS77" s="2818"/>
      <c r="FT77" s="2818"/>
      <c r="FU77" s="2818"/>
      <c r="FV77" s="2818"/>
      <c r="FW77" s="2818"/>
      <c r="FX77" s="2818"/>
      <c r="FY77" s="2449" t="s">
        <v>1189</v>
      </c>
      <c r="FZ77" s="2449" t="s">
        <v>572</v>
      </c>
      <c r="GA77" s="2449" t="s">
        <v>1189</v>
      </c>
      <c r="GB77" s="2450"/>
      <c r="GC77" s="2818"/>
      <c r="GD77" s="2818"/>
      <c r="GE77" s="2818"/>
      <c r="GF77" s="2818"/>
      <c r="GG77" s="2818"/>
      <c r="GH77" s="2818"/>
      <c r="GI77" s="2818"/>
      <c r="GJ77" s="2818"/>
      <c r="GK77" s="2818"/>
      <c r="GL77" s="2818"/>
      <c r="GM77" s="2818"/>
      <c r="GN77" s="2818"/>
      <c r="GO77" s="2818"/>
      <c r="GP77" s="2818"/>
      <c r="GQ77" s="2818"/>
      <c r="GR77" s="2818"/>
      <c r="GS77" s="2818"/>
      <c r="GT77" s="2818"/>
      <c r="GU77" s="2818"/>
      <c r="GV77" s="2818"/>
      <c r="GW77" s="2818"/>
      <c r="GX77" s="2818"/>
      <c r="GY77" s="2818"/>
      <c r="GZ77" s="2818"/>
      <c r="HA77" s="2818"/>
      <c r="HB77" s="2818"/>
      <c r="HC77" s="2818"/>
      <c r="HD77" s="2818"/>
      <c r="HE77" s="2818"/>
      <c r="HF77" s="2818"/>
      <c r="HG77" s="2818"/>
      <c r="HH77" s="2818"/>
      <c r="HI77" s="2818"/>
      <c r="HJ77" s="2818"/>
      <c r="HK77" s="2818"/>
      <c r="HL77" s="2818"/>
      <c r="HM77" s="2818"/>
      <c r="HN77" s="2818"/>
      <c r="HO77" s="2818"/>
      <c r="HP77" s="2818"/>
      <c r="HQ77" s="2818"/>
      <c r="HR77" s="2818"/>
      <c r="HS77" s="2818"/>
      <c r="HT77" s="2818"/>
      <c r="HU77" s="2818"/>
      <c r="HV77" s="2818"/>
      <c r="HW77" s="2818"/>
      <c r="HX77" s="2818"/>
      <c r="HY77" s="2818"/>
      <c r="HZ77" s="2818"/>
      <c r="IA77" s="2818"/>
      <c r="IB77" s="2818"/>
      <c r="IC77" s="2818"/>
      <c r="ID77" s="2818"/>
      <c r="IE77" s="2818"/>
      <c r="IF77" s="2818"/>
      <c r="IG77" s="2818"/>
      <c r="IH77" s="2818"/>
      <c r="II77" s="2818"/>
      <c r="IJ77" s="2818"/>
      <c r="IK77" s="2818"/>
      <c r="IL77" s="2818"/>
      <c r="IM77" s="2818"/>
      <c r="IN77" s="2818"/>
      <c r="IO77" s="2818"/>
      <c r="IP77" s="2818"/>
      <c r="IQ77" s="2818"/>
      <c r="IR77" s="2818"/>
      <c r="IS77" s="2818"/>
      <c r="IT77" s="2818"/>
      <c r="IU77" s="2818"/>
      <c r="IV77" s="2818"/>
      <c r="IW77" s="2818"/>
      <c r="IX77" s="2818"/>
      <c r="IY77" s="2818"/>
      <c r="IZ77" s="2818"/>
      <c r="JA77" s="2818"/>
      <c r="JB77" s="2818"/>
      <c r="JC77" s="2818"/>
      <c r="JD77" s="2818"/>
      <c r="JE77" s="2818"/>
      <c r="JF77" s="2818"/>
      <c r="JG77" s="3773"/>
      <c r="JH77" s="1233"/>
      <c r="JI77" s="1393" t="s">
        <v>5420</v>
      </c>
    </row>
    <row ht="22.5" r="78" spans="1:269" x14ac:dyDescent="0.2">
      <c r="A78" s="1128">
        <v>5</v>
      </c>
      <c r="B78" s="1375" t="str">
        <f si="7" t="shared"/>
        <v/>
      </c>
      <c r="C78" s="2626" t="s">
        <v>3120</v>
      </c>
      <c r="D78" s="2403" t="s">
        <v>4902</v>
      </c>
      <c r="E78" s="2377"/>
      <c r="F78" s="2377"/>
      <c r="G78" s="2377"/>
      <c r="H78" s="2377"/>
      <c r="I78" s="2377"/>
      <c r="J78" s="2450"/>
      <c r="K78" s="2450" t="s">
        <v>1189</v>
      </c>
      <c r="L78" s="2377" t="s">
        <v>1189</v>
      </c>
      <c r="M78" s="2377"/>
      <c r="N78" s="2377"/>
      <c r="O78" s="2377"/>
      <c r="P78" s="2377"/>
      <c r="Q78" s="2450"/>
      <c r="R78" s="2377"/>
      <c r="S78" s="2377"/>
      <c r="T78" s="2377"/>
      <c r="U78" s="2377"/>
      <c r="V78" s="2377"/>
      <c r="W78" s="2377"/>
      <c r="X78" s="2377"/>
      <c r="Y78" s="2377"/>
      <c r="Z78" s="2377"/>
      <c r="AA78" s="2377"/>
      <c r="AB78" s="2377"/>
      <c r="AC78" s="2377"/>
      <c r="AD78" s="2377"/>
      <c r="AE78" s="2377"/>
      <c r="AF78" s="2377"/>
      <c r="AG78" s="2377"/>
      <c r="AH78" s="2377"/>
      <c r="AI78" s="2377"/>
      <c r="AJ78" s="2377"/>
      <c r="AK78" s="2377"/>
      <c r="AL78" s="2377"/>
      <c r="AM78" s="2377"/>
      <c r="AN78" s="2377"/>
      <c r="AO78" s="2377"/>
      <c r="AP78" s="2377"/>
      <c r="AQ78" s="2377"/>
      <c r="AR78" s="2377"/>
      <c r="AS78" s="2377"/>
      <c r="AT78" s="2377"/>
      <c r="AU78" s="2377"/>
      <c r="AV78" s="2377"/>
      <c r="AW78" s="2450"/>
      <c r="AX78" s="2450"/>
      <c r="AY78" s="2450"/>
      <c r="AZ78" s="2449"/>
      <c r="BA78" s="2377"/>
      <c r="BB78" s="2377"/>
      <c r="BC78" s="2377"/>
      <c r="BD78" s="2377" t="s">
        <v>1189</v>
      </c>
      <c r="BE78" s="2377"/>
      <c r="BF78" s="2377"/>
      <c r="BG78" s="2377"/>
      <c r="BH78" s="2377"/>
      <c r="BI78" s="3639"/>
      <c r="BJ78" s="2377"/>
      <c r="BK78" s="2377"/>
      <c r="BL78" s="2377"/>
      <c r="BM78" s="2377"/>
      <c r="BN78" s="2377" t="s">
        <v>1189</v>
      </c>
      <c r="BO78" s="2377"/>
      <c r="BP78" s="2377"/>
      <c r="BQ78" s="2377"/>
      <c r="BR78" s="2377"/>
      <c r="BS78" s="2377"/>
      <c r="BT78" s="2377"/>
      <c r="BU78" s="2377"/>
      <c r="BV78" s="2377" t="s">
        <v>1189</v>
      </c>
      <c r="BW78" s="2377" t="s">
        <v>1189</v>
      </c>
      <c r="BX78" s="2377" t="s">
        <v>1189</v>
      </c>
      <c r="BY78" s="2377" t="s">
        <v>1189</v>
      </c>
      <c r="BZ78" s="2377"/>
      <c r="CA78" s="2377" t="s">
        <v>1189</v>
      </c>
      <c r="CB78" s="3946"/>
      <c r="CC78" s="2384"/>
      <c r="CD78" s="2377" t="s">
        <v>1189</v>
      </c>
      <c r="CE78" s="2384"/>
      <c r="CF78" s="2377" t="s">
        <v>1189</v>
      </c>
      <c r="CG78" s="2384"/>
      <c r="CH78" s="2377" t="s">
        <v>1189</v>
      </c>
      <c r="CI78" s="2384"/>
      <c r="CJ78" s="2384"/>
      <c r="CK78" s="2384"/>
      <c r="CL78" s="2384"/>
      <c r="CM78" s="2384"/>
      <c r="CN78" s="2384"/>
      <c r="CO78" s="2384"/>
      <c r="CP78" s="2384"/>
      <c r="CQ78" s="2384"/>
      <c r="CR78" s="2384"/>
      <c r="CS78" s="2384"/>
      <c r="CT78" s="2384"/>
      <c r="CU78" s="2384"/>
      <c r="CV78" s="2384"/>
      <c r="CW78" s="2384"/>
      <c r="CX78" s="2384"/>
      <c r="CY78" s="2384"/>
      <c r="CZ78" s="2384"/>
      <c r="DA78" s="2384"/>
      <c r="DB78" s="2384"/>
      <c r="DC78" s="2384"/>
      <c r="DD78" s="2384"/>
      <c r="DE78" s="2384"/>
      <c r="DF78" s="2384"/>
      <c r="DG78" s="2384"/>
      <c r="DH78" s="2384"/>
      <c r="DI78" s="2384"/>
      <c r="DJ78" s="2384"/>
      <c r="DK78" s="2384"/>
      <c r="DL78" s="2384"/>
      <c r="DM78" s="2384"/>
      <c r="DN78" s="2384"/>
      <c r="DO78" s="2384"/>
      <c r="DP78" s="2384"/>
      <c r="DQ78" s="2384"/>
      <c r="DR78" s="2384"/>
      <c r="DS78" s="2377" t="s">
        <v>1189</v>
      </c>
      <c r="DT78" s="2384"/>
      <c r="DU78" s="2384"/>
      <c r="DV78" s="2384"/>
      <c r="DW78" s="2377" t="s">
        <v>1189</v>
      </c>
      <c r="DX78" s="2377" t="s">
        <v>1189</v>
      </c>
      <c r="DY78" s="2377" t="s">
        <v>1189</v>
      </c>
      <c r="DZ78" s="2377" t="s">
        <v>572</v>
      </c>
      <c r="EA78" s="2384"/>
      <c r="EB78" s="2384"/>
      <c r="EC78" s="2384"/>
      <c r="ED78" s="2384"/>
      <c r="EE78" s="2384"/>
      <c r="EF78" s="2384"/>
      <c r="EG78" s="2384"/>
      <c r="EH78" s="2384"/>
      <c r="EI78" s="2384"/>
      <c r="EJ78" s="2384"/>
      <c r="EK78" s="2384"/>
      <c r="EL78" s="2384"/>
      <c r="EM78" s="2384"/>
      <c r="EN78" s="2384"/>
      <c r="EO78" s="2384"/>
      <c r="EP78" s="2384"/>
      <c r="EQ78" s="2384"/>
      <c r="ER78" s="2384"/>
      <c r="ES78" s="2384"/>
      <c r="ET78" s="2384"/>
      <c r="EU78" s="2384"/>
      <c r="EV78" s="2384"/>
      <c r="EW78" s="2384"/>
      <c r="EX78" s="2384"/>
      <c r="EY78" s="2384"/>
      <c r="EZ78" s="2384"/>
      <c r="FA78" s="2384"/>
      <c r="FB78" s="2377" t="s">
        <v>1189</v>
      </c>
      <c r="FC78" s="2384"/>
      <c r="FD78" s="2384"/>
      <c r="FE78" s="2384"/>
      <c r="FF78" s="2384"/>
      <c r="FG78" s="2384"/>
      <c r="FH78" s="2384"/>
      <c r="FI78" s="2384"/>
      <c r="FJ78" s="2384"/>
      <c r="FK78" s="2384"/>
      <c r="FL78" s="2384"/>
      <c r="FM78" s="2384"/>
      <c r="FN78" s="2384"/>
      <c r="FO78" s="2384"/>
      <c r="FP78" s="2384"/>
      <c r="FQ78" s="2384"/>
      <c r="FR78" s="2384"/>
      <c r="FS78" s="2384"/>
      <c r="FT78" s="2384"/>
      <c r="FU78" s="2384"/>
      <c r="FV78" s="2384"/>
      <c r="FW78" s="2384"/>
      <c r="FX78" s="2384"/>
      <c r="FY78" s="2377" t="s">
        <v>1189</v>
      </c>
      <c r="FZ78" s="2377" t="s">
        <v>1189</v>
      </c>
      <c r="GA78" s="2377" t="s">
        <v>572</v>
      </c>
      <c r="GB78" s="2450"/>
      <c r="GC78" s="2384"/>
      <c r="GD78" s="2384"/>
      <c r="GE78" s="2384"/>
      <c r="GF78" s="2384"/>
      <c r="GG78" s="2384"/>
      <c r="GH78" s="2384"/>
      <c r="GI78" s="2384"/>
      <c r="GJ78" s="2384"/>
      <c r="GK78" s="2384"/>
      <c r="GL78" s="2384"/>
      <c r="GM78" s="2384"/>
      <c r="GN78" s="2384"/>
      <c r="GO78" s="2384"/>
      <c r="GP78" s="2384"/>
      <c r="GQ78" s="2384"/>
      <c r="GR78" s="2384"/>
      <c r="GS78" s="2384"/>
      <c r="GT78" s="2384"/>
      <c r="GU78" s="2384"/>
      <c r="GV78" s="2384"/>
      <c r="GW78" s="2384"/>
      <c r="GX78" s="2384"/>
      <c r="GY78" s="2384"/>
      <c r="GZ78" s="2384"/>
      <c r="HA78" s="2384"/>
      <c r="HB78" s="2384"/>
      <c r="HC78" s="2384"/>
      <c r="HD78" s="2384"/>
      <c r="HE78" s="2384"/>
      <c r="HF78" s="2384"/>
      <c r="HG78" s="2384"/>
      <c r="HH78" s="2384"/>
      <c r="HI78" s="2384"/>
      <c r="HJ78" s="2384"/>
      <c r="HK78" s="2384"/>
      <c r="HL78" s="2384"/>
      <c r="HM78" s="2384"/>
      <c r="HN78" s="2384"/>
      <c r="HO78" s="2384"/>
      <c r="HP78" s="2384"/>
      <c r="HQ78" s="2384"/>
      <c r="HR78" s="2384"/>
      <c r="HS78" s="2384"/>
      <c r="HT78" s="2384"/>
      <c r="HU78" s="2384"/>
      <c r="HV78" s="2384"/>
      <c r="HW78" s="2384"/>
      <c r="HX78" s="2384"/>
      <c r="HY78" s="2384"/>
      <c r="HZ78" s="2384"/>
      <c r="IA78" s="2384"/>
      <c r="IB78" s="2384"/>
      <c r="IC78" s="2384"/>
      <c r="ID78" s="2384"/>
      <c r="IE78" s="2384"/>
      <c r="IF78" s="2384"/>
      <c r="IG78" s="2384"/>
      <c r="IH78" s="2384"/>
      <c r="II78" s="2384"/>
      <c r="IJ78" s="2384"/>
      <c r="IK78" s="2384"/>
      <c r="IL78" s="2384"/>
      <c r="IM78" s="2384"/>
      <c r="IN78" s="2384"/>
      <c r="IO78" s="2384"/>
      <c r="IP78" s="2384"/>
      <c r="IQ78" s="2384"/>
      <c r="IR78" s="2384"/>
      <c r="IS78" s="2384"/>
      <c r="IT78" s="2384"/>
      <c r="IU78" s="2384"/>
      <c r="IV78" s="2384"/>
      <c r="IW78" s="2384"/>
      <c r="IX78" s="2384"/>
      <c r="IY78" s="2384"/>
      <c r="IZ78" s="2384"/>
      <c r="JA78" s="2384"/>
      <c r="JB78" s="2384"/>
      <c r="JC78" s="2384"/>
      <c r="JD78" s="2384"/>
      <c r="JE78" s="2384"/>
      <c r="JF78" s="2384"/>
      <c r="JG78" s="3773"/>
      <c r="JH78" s="1233"/>
      <c r="JI78" s="1393" t="s">
        <v>5421</v>
      </c>
    </row>
    <row r="79" spans="1:269" x14ac:dyDescent="0.2">
      <c r="A79" s="1128">
        <v>6</v>
      </c>
      <c r="B79" s="1375" t="str">
        <f si="7" t="shared"/>
        <v/>
      </c>
      <c r="C79" s="2626" t="s">
        <v>3121</v>
      </c>
      <c r="D79" s="2403" t="str">
        <f>"If, in the year to 5 April "&amp;Tax_year_end&amp;", you lived with any previous spouse or civil partner, enter their date of birth"</f>
        <v>If, in the year to 5 April 2020, you lived with any previous spouse or civil partner, enter their date of birth</v>
      </c>
      <c r="E79" s="2448"/>
      <c r="F79" s="2448"/>
      <c r="G79" s="2448"/>
      <c r="H79" s="2448"/>
      <c r="I79" s="2448"/>
      <c r="J79" s="2448"/>
      <c r="K79" s="2448"/>
      <c r="L79" s="2448"/>
      <c r="M79" s="2448"/>
      <c r="N79" s="2448"/>
      <c r="O79" s="2448"/>
      <c r="P79" s="2448"/>
      <c r="Q79" s="2448"/>
      <c r="R79" s="2448"/>
      <c r="S79" s="2448"/>
      <c r="T79" s="2448"/>
      <c r="U79" s="2448"/>
      <c r="V79" s="2448"/>
      <c r="W79" s="2448"/>
      <c r="X79" s="2448"/>
      <c r="Y79" s="2448"/>
      <c r="Z79" s="2448"/>
      <c r="AA79" s="2448"/>
      <c r="AB79" s="2448"/>
      <c r="AC79" s="2448"/>
      <c r="AD79" s="2448"/>
      <c r="AE79" s="2448"/>
      <c r="AF79" s="2448"/>
      <c r="AG79" s="2448"/>
      <c r="AH79" s="2448"/>
      <c r="AI79" s="2448"/>
      <c r="AJ79" s="2448"/>
      <c r="AK79" s="2448"/>
      <c r="AL79" s="2448"/>
      <c r="AM79" s="2448"/>
      <c r="AN79" s="2448"/>
      <c r="AO79" s="2448"/>
      <c r="AP79" s="2448"/>
      <c r="AQ79" s="2448"/>
      <c r="AR79" s="2448"/>
      <c r="AS79" s="2448"/>
      <c r="AT79" s="2448"/>
      <c r="AU79" s="2448"/>
      <c r="AV79" s="2448"/>
      <c r="AW79" s="2448"/>
      <c r="AX79" s="2448"/>
      <c r="AY79" s="2448"/>
      <c r="AZ79" s="2448"/>
      <c r="BA79" s="2448"/>
      <c r="BB79" s="2448"/>
      <c r="BC79" s="2448"/>
      <c r="BD79" s="2448"/>
      <c r="BE79" s="2448"/>
      <c r="BF79" s="2448"/>
      <c r="BG79" s="2448"/>
      <c r="BH79" s="2448"/>
      <c r="BI79" s="3968"/>
      <c r="BJ79" s="2448"/>
      <c r="BK79" s="2448"/>
      <c r="BL79" s="2448"/>
      <c r="BM79" s="2448"/>
      <c r="BN79" s="2448"/>
      <c r="BO79" s="2448"/>
      <c r="BP79" s="2448"/>
      <c r="BQ79" s="2448"/>
      <c r="BR79" s="2448"/>
      <c r="BS79" s="2448"/>
      <c r="BT79" s="2448"/>
      <c r="BU79" s="2448"/>
      <c r="BV79" s="2448"/>
      <c r="BW79" s="2448"/>
      <c r="BX79" s="2448"/>
      <c r="BY79" s="2448"/>
      <c r="BZ79" s="2448"/>
      <c r="CA79" s="2448"/>
      <c r="CB79" s="4288"/>
      <c r="CC79" s="2817"/>
      <c r="CD79" s="2448"/>
      <c r="CE79" s="2817"/>
      <c r="CF79" s="2448"/>
      <c r="CG79" s="2817"/>
      <c r="CH79" s="2448"/>
      <c r="CI79" s="2817"/>
      <c r="CJ79" s="2817"/>
      <c r="CK79" s="2817"/>
      <c r="CL79" s="2817"/>
      <c r="CM79" s="2817"/>
      <c r="CN79" s="2817"/>
      <c r="CO79" s="2817"/>
      <c r="CP79" s="2817"/>
      <c r="CQ79" s="2817"/>
      <c r="CR79" s="2817"/>
      <c r="CS79" s="2817"/>
      <c r="CT79" s="2817"/>
      <c r="CU79" s="2817"/>
      <c r="CV79" s="2817"/>
      <c r="CW79" s="2817"/>
      <c r="CX79" s="2817"/>
      <c r="CY79" s="2817"/>
      <c r="CZ79" s="2817"/>
      <c r="DA79" s="2817"/>
      <c r="DB79" s="2817"/>
      <c r="DC79" s="2817"/>
      <c r="DD79" s="2817"/>
      <c r="DE79" s="2817"/>
      <c r="DF79" s="2817"/>
      <c r="DG79" s="2817"/>
      <c r="DH79" s="2817"/>
      <c r="DI79" s="2817"/>
      <c r="DJ79" s="2817"/>
      <c r="DK79" s="2817"/>
      <c r="DL79" s="2817"/>
      <c r="DM79" s="2817"/>
      <c r="DN79" s="2817"/>
      <c r="DO79" s="2817"/>
      <c r="DP79" s="2817"/>
      <c r="DQ79" s="2817"/>
      <c r="DR79" s="2817"/>
      <c r="DS79" s="2448"/>
      <c r="DT79" s="2817"/>
      <c r="DU79" s="2817"/>
      <c r="DV79" s="2817"/>
      <c r="DW79" s="2448"/>
      <c r="DX79" s="2448"/>
      <c r="DY79" s="2448"/>
      <c r="DZ79" s="2448"/>
      <c r="EA79" s="2817"/>
      <c r="EB79" s="2817"/>
      <c r="EC79" s="2817"/>
      <c r="ED79" s="2817"/>
      <c r="EE79" s="2817"/>
      <c r="EF79" s="2817"/>
      <c r="EG79" s="2817"/>
      <c r="EH79" s="2817"/>
      <c r="EI79" s="2817"/>
      <c r="EJ79" s="2817"/>
      <c r="EK79" s="2817"/>
      <c r="EL79" s="2817"/>
      <c r="EM79" s="2817"/>
      <c r="EN79" s="2817"/>
      <c r="EO79" s="2817"/>
      <c r="EP79" s="2817"/>
      <c r="EQ79" s="2817"/>
      <c r="ER79" s="2817"/>
      <c r="ES79" s="2817"/>
      <c r="ET79" s="2817"/>
      <c r="EU79" s="2817"/>
      <c r="EV79" s="2817"/>
      <c r="EW79" s="2817"/>
      <c r="EX79" s="2817"/>
      <c r="EY79" s="2817"/>
      <c r="EZ79" s="2817"/>
      <c r="FA79" s="2817"/>
      <c r="FB79" s="2448"/>
      <c r="FC79" s="2817"/>
      <c r="FD79" s="2817"/>
      <c r="FE79" s="2817"/>
      <c r="FF79" s="2817"/>
      <c r="FG79" s="2817"/>
      <c r="FH79" s="2817"/>
      <c r="FI79" s="2817"/>
      <c r="FJ79" s="2817"/>
      <c r="FK79" s="2817"/>
      <c r="FL79" s="2817"/>
      <c r="FM79" s="2817"/>
      <c r="FN79" s="2817"/>
      <c r="FO79" s="2817"/>
      <c r="FP79" s="2817"/>
      <c r="FQ79" s="2817"/>
      <c r="FR79" s="2817"/>
      <c r="FS79" s="2817"/>
      <c r="FT79" s="2817"/>
      <c r="FU79" s="2817"/>
      <c r="FV79" s="2817"/>
      <c r="FW79" s="2817"/>
      <c r="FX79" s="2817"/>
      <c r="FY79" s="2448"/>
      <c r="FZ79" s="2448"/>
      <c r="GA79" s="2448"/>
      <c r="GB79" s="2448"/>
      <c r="GC79" s="2817"/>
      <c r="GD79" s="2817"/>
      <c r="GE79" s="2817"/>
      <c r="GF79" s="2817"/>
      <c r="GG79" s="2817"/>
      <c r="GH79" s="2817"/>
      <c r="GI79" s="2817"/>
      <c r="GJ79" s="2817"/>
      <c r="GK79" s="2817"/>
      <c r="GL79" s="2817"/>
      <c r="GM79" s="2817"/>
      <c r="GN79" s="2817"/>
      <c r="GO79" s="2817"/>
      <c r="GP79" s="2817"/>
      <c r="GQ79" s="2817"/>
      <c r="GR79" s="2817"/>
      <c r="GS79" s="2817"/>
      <c r="GT79" s="2817"/>
      <c r="GU79" s="2817"/>
      <c r="GV79" s="2817"/>
      <c r="GW79" s="2817"/>
      <c r="GX79" s="2817"/>
      <c r="GY79" s="2817"/>
      <c r="GZ79" s="2817"/>
      <c r="HA79" s="2817"/>
      <c r="HB79" s="2817"/>
      <c r="HC79" s="2817"/>
      <c r="HD79" s="2817"/>
      <c r="HE79" s="2817"/>
      <c r="HF79" s="2817"/>
      <c r="HG79" s="2817"/>
      <c r="HH79" s="2817"/>
      <c r="HI79" s="2817"/>
      <c r="HJ79" s="2817"/>
      <c r="HK79" s="2817"/>
      <c r="HL79" s="2817"/>
      <c r="HM79" s="2817"/>
      <c r="HN79" s="2817"/>
      <c r="HO79" s="2817"/>
      <c r="HP79" s="2817"/>
      <c r="HQ79" s="2817"/>
      <c r="HR79" s="2817"/>
      <c r="HS79" s="2817"/>
      <c r="HT79" s="2817"/>
      <c r="HU79" s="2817"/>
      <c r="HV79" s="2817"/>
      <c r="HW79" s="2817"/>
      <c r="HX79" s="2817"/>
      <c r="HY79" s="2817"/>
      <c r="HZ79" s="2817"/>
      <c r="IA79" s="2817"/>
      <c r="IB79" s="2817"/>
      <c r="IC79" s="2817"/>
      <c r="ID79" s="2817"/>
      <c r="IE79" s="2817"/>
      <c r="IF79" s="2817"/>
      <c r="IG79" s="2817"/>
      <c r="IH79" s="2817"/>
      <c r="II79" s="2817"/>
      <c r="IJ79" s="2817"/>
      <c r="IK79" s="2817"/>
      <c r="IL79" s="2817"/>
      <c r="IM79" s="2817"/>
      <c r="IN79" s="2817"/>
      <c r="IO79" s="2817"/>
      <c r="IP79" s="2817"/>
      <c r="IQ79" s="2817"/>
      <c r="IR79" s="2817"/>
      <c r="IS79" s="2817"/>
      <c r="IT79" s="2817"/>
      <c r="IU79" s="2817"/>
      <c r="IV79" s="2817"/>
      <c r="IW79" s="2817"/>
      <c r="IX79" s="2817"/>
      <c r="IY79" s="2817"/>
      <c r="IZ79" s="2817"/>
      <c r="JA79" s="2817"/>
      <c r="JB79" s="2817"/>
      <c r="JC79" s="2817"/>
      <c r="JD79" s="2817"/>
      <c r="JE79" s="2817"/>
      <c r="JF79" s="2817"/>
      <c r="JG79" s="3772"/>
      <c r="JH79" s="1233"/>
      <c r="JI79" s="1393"/>
    </row>
    <row r="80" spans="1:269" x14ac:dyDescent="0.2">
      <c r="A80" s="1128">
        <v>7</v>
      </c>
      <c r="B80" s="1375" t="str">
        <f si="7" t="shared"/>
        <v/>
      </c>
      <c r="C80" s="2268" t="s">
        <v>3122</v>
      </c>
      <c r="D80" s="2403" t="s">
        <v>4903</v>
      </c>
      <c r="E80" s="2379"/>
      <c r="F80" s="2379"/>
      <c r="G80" s="2379"/>
      <c r="H80" s="2379"/>
      <c r="I80" s="2379"/>
      <c r="J80" s="2379"/>
      <c r="K80" s="2379" t="s">
        <v>1189</v>
      </c>
      <c r="L80" s="2379" t="s">
        <v>1189</v>
      </c>
      <c r="M80" s="2379"/>
      <c r="N80" s="2379"/>
      <c r="O80" s="2379"/>
      <c r="P80" s="2379"/>
      <c r="Q80" s="2379" t="s">
        <v>1189</v>
      </c>
      <c r="R80" s="2379"/>
      <c r="S80" s="2379"/>
      <c r="T80" s="2379"/>
      <c r="U80" s="2379"/>
      <c r="V80" s="2379"/>
      <c r="W80" s="2379"/>
      <c r="X80" s="2379"/>
      <c r="Y80" s="2379"/>
      <c r="Z80" s="2379"/>
      <c r="AA80" s="2379"/>
      <c r="AB80" s="2379"/>
      <c r="AC80" s="2379"/>
      <c r="AD80" s="2379"/>
      <c r="AE80" s="2379"/>
      <c r="AF80" s="2379"/>
      <c r="AG80" s="2379"/>
      <c r="AH80" s="2379"/>
      <c r="AI80" s="2379"/>
      <c r="AJ80" s="2379"/>
      <c r="AK80" s="2379"/>
      <c r="AL80" s="2379"/>
      <c r="AM80" s="2379"/>
      <c r="AN80" s="2379"/>
      <c r="AO80" s="2379"/>
      <c r="AP80" s="2379"/>
      <c r="AQ80" s="2379"/>
      <c r="AR80" s="2379"/>
      <c r="AS80" s="2379"/>
      <c r="AT80" s="2379"/>
      <c r="AU80" s="2379"/>
      <c r="AV80" s="2379"/>
      <c r="AW80" s="2379" t="s">
        <v>572</v>
      </c>
      <c r="AX80" s="2379"/>
      <c r="AY80" s="2379"/>
      <c r="AZ80" s="2379"/>
      <c r="BA80" s="2379"/>
      <c r="BB80" s="2379"/>
      <c r="BC80" s="2379"/>
      <c r="BD80" s="2379" t="s">
        <v>1189</v>
      </c>
      <c r="BE80" s="2379"/>
      <c r="BF80" s="2379"/>
      <c r="BG80" s="2379"/>
      <c r="BH80" s="2379"/>
      <c r="BI80" s="3641"/>
      <c r="BJ80" s="2379"/>
      <c r="BK80" s="2379"/>
      <c r="BL80" s="2379"/>
      <c r="BM80" s="2379"/>
      <c r="BN80" s="2379" t="s">
        <v>1189</v>
      </c>
      <c r="BO80" s="2379"/>
      <c r="BP80" s="2379"/>
      <c r="BQ80" s="2379"/>
      <c r="BR80" s="2379"/>
      <c r="BS80" s="2379"/>
      <c r="BT80" s="2379"/>
      <c r="BU80" s="2379"/>
      <c r="BV80" s="2379" t="s">
        <v>1189</v>
      </c>
      <c r="BW80" s="2379" t="s">
        <v>1189</v>
      </c>
      <c r="BX80" s="2379" t="s">
        <v>1189</v>
      </c>
      <c r="BY80" s="2379" t="s">
        <v>1189</v>
      </c>
      <c r="BZ80" s="2379"/>
      <c r="CA80" s="2379" t="s">
        <v>1189</v>
      </c>
      <c r="CB80" s="3952"/>
      <c r="CC80" s="2815"/>
      <c r="CD80" s="2379" t="s">
        <v>1189</v>
      </c>
      <c r="CE80" s="2815"/>
      <c r="CF80" s="2379" t="s">
        <v>1189</v>
      </c>
      <c r="CG80" s="2815"/>
      <c r="CH80" s="2379" t="s">
        <v>1189</v>
      </c>
      <c r="CI80" s="2815"/>
      <c r="CJ80" s="2815"/>
      <c r="CK80" s="2815"/>
      <c r="CL80" s="2815"/>
      <c r="CM80" s="2815"/>
      <c r="CN80" s="2815"/>
      <c r="CO80" s="2815"/>
      <c r="CP80" s="2815"/>
      <c r="CQ80" s="2815"/>
      <c r="CR80" s="2815"/>
      <c r="CS80" s="2815"/>
      <c r="CT80" s="2815"/>
      <c r="CU80" s="2815"/>
      <c r="CV80" s="2815"/>
      <c r="CW80" s="2815"/>
      <c r="CX80" s="2815"/>
      <c r="CY80" s="2815"/>
      <c r="CZ80" s="2815"/>
      <c r="DA80" s="2815"/>
      <c r="DB80" s="2815"/>
      <c r="DC80" s="2815"/>
      <c r="DD80" s="2815"/>
      <c r="DE80" s="2815"/>
      <c r="DF80" s="2815"/>
      <c r="DG80" s="2815"/>
      <c r="DH80" s="2815"/>
      <c r="DI80" s="2815"/>
      <c r="DJ80" s="2815"/>
      <c r="DK80" s="2815"/>
      <c r="DL80" s="2815"/>
      <c r="DM80" s="2815"/>
      <c r="DN80" s="2815"/>
      <c r="DO80" s="2815"/>
      <c r="DP80" s="2815"/>
      <c r="DQ80" s="2815"/>
      <c r="DR80" s="2815"/>
      <c r="DS80" s="2379" t="s">
        <v>1189</v>
      </c>
      <c r="DT80" s="2815"/>
      <c r="DU80" s="2815"/>
      <c r="DV80" s="2815"/>
      <c r="DW80" s="2379" t="s">
        <v>1189</v>
      </c>
      <c r="DX80" s="2379" t="s">
        <v>1189</v>
      </c>
      <c r="DY80" s="2379" t="s">
        <v>1189</v>
      </c>
      <c r="DZ80" s="2379" t="s">
        <v>1189</v>
      </c>
      <c r="EA80" s="2815"/>
      <c r="EB80" s="2815"/>
      <c r="EC80" s="2815"/>
      <c r="ED80" s="2815"/>
      <c r="EE80" s="2815"/>
      <c r="EF80" s="2815"/>
      <c r="EG80" s="2815"/>
      <c r="EH80" s="2815"/>
      <c r="EI80" s="2815"/>
      <c r="EJ80" s="2815"/>
      <c r="EK80" s="2815"/>
      <c r="EL80" s="2815"/>
      <c r="EM80" s="2815"/>
      <c r="EN80" s="2815"/>
      <c r="EO80" s="2815"/>
      <c r="EP80" s="2815"/>
      <c r="EQ80" s="2815"/>
      <c r="ER80" s="2815"/>
      <c r="ES80" s="2815"/>
      <c r="ET80" s="2815"/>
      <c r="EU80" s="2815"/>
      <c r="EV80" s="2815"/>
      <c r="EW80" s="2815"/>
      <c r="EX80" s="2815"/>
      <c r="EY80" s="2815"/>
      <c r="EZ80" s="2815"/>
      <c r="FA80" s="2815"/>
      <c r="FB80" s="2379" t="s">
        <v>1189</v>
      </c>
      <c r="FC80" s="2815"/>
      <c r="FD80" s="2815"/>
      <c r="FE80" s="2815"/>
      <c r="FF80" s="2815"/>
      <c r="FG80" s="2815"/>
      <c r="FH80" s="2815"/>
      <c r="FI80" s="2815"/>
      <c r="FJ80" s="2815"/>
      <c r="FK80" s="2815"/>
      <c r="FL80" s="2815"/>
      <c r="FM80" s="2815"/>
      <c r="FN80" s="2815"/>
      <c r="FO80" s="2815"/>
      <c r="FP80" s="2815"/>
      <c r="FQ80" s="2815"/>
      <c r="FR80" s="2815"/>
      <c r="FS80" s="2815"/>
      <c r="FT80" s="2815"/>
      <c r="FU80" s="2815"/>
      <c r="FV80" s="2815"/>
      <c r="FW80" s="2815"/>
      <c r="FX80" s="2815"/>
      <c r="FY80" s="2379" t="s">
        <v>1189</v>
      </c>
      <c r="FZ80" s="2379" t="s">
        <v>1189</v>
      </c>
      <c r="GA80" s="2379" t="s">
        <v>1189</v>
      </c>
      <c r="GB80" s="2379" t="s">
        <v>1189</v>
      </c>
      <c r="GC80" s="2815"/>
      <c r="GD80" s="2815"/>
      <c r="GE80" s="2815"/>
      <c r="GF80" s="2815"/>
      <c r="GG80" s="2815"/>
      <c r="GH80" s="2815"/>
      <c r="GI80" s="2815"/>
      <c r="GJ80" s="2815"/>
      <c r="GK80" s="2815"/>
      <c r="GL80" s="2815"/>
      <c r="GM80" s="2815"/>
      <c r="GN80" s="2815"/>
      <c r="GO80" s="2815"/>
      <c r="GP80" s="2815"/>
      <c r="GQ80" s="2815"/>
      <c r="GR80" s="2815"/>
      <c r="GS80" s="2815"/>
      <c r="GT80" s="2815"/>
      <c r="GU80" s="2815"/>
      <c r="GV80" s="2815"/>
      <c r="GW80" s="2815"/>
      <c r="GX80" s="2815"/>
      <c r="GY80" s="2815"/>
      <c r="GZ80" s="2815"/>
      <c r="HA80" s="2815"/>
      <c r="HB80" s="2815"/>
      <c r="HC80" s="2815"/>
      <c r="HD80" s="2815"/>
      <c r="HE80" s="2815"/>
      <c r="HF80" s="2815"/>
      <c r="HG80" s="2815"/>
      <c r="HH80" s="2815"/>
      <c r="HI80" s="2815"/>
      <c r="HJ80" s="2815"/>
      <c r="HK80" s="2815"/>
      <c r="HL80" s="2815"/>
      <c r="HM80" s="2815"/>
      <c r="HN80" s="2815"/>
      <c r="HO80" s="2815"/>
      <c r="HP80" s="2815"/>
      <c r="HQ80" s="2815"/>
      <c r="HR80" s="2815"/>
      <c r="HS80" s="2815"/>
      <c r="HT80" s="2815"/>
      <c r="HU80" s="2815"/>
      <c r="HV80" s="2815"/>
      <c r="HW80" s="2815"/>
      <c r="HX80" s="2815"/>
      <c r="HY80" s="2815"/>
      <c r="HZ80" s="2815"/>
      <c r="IA80" s="2815"/>
      <c r="IB80" s="2815"/>
      <c r="IC80" s="2815"/>
      <c r="ID80" s="2815"/>
      <c r="IE80" s="2815"/>
      <c r="IF80" s="2815"/>
      <c r="IG80" s="2815"/>
      <c r="IH80" s="2815"/>
      <c r="II80" s="2815"/>
      <c r="IJ80" s="2815"/>
      <c r="IK80" s="2815"/>
      <c r="IL80" s="2815"/>
      <c r="IM80" s="2815"/>
      <c r="IN80" s="2815"/>
      <c r="IO80" s="2815"/>
      <c r="IP80" s="2815"/>
      <c r="IQ80" s="2815"/>
      <c r="IR80" s="2815"/>
      <c r="IS80" s="2815"/>
      <c r="IT80" s="2815"/>
      <c r="IU80" s="2815"/>
      <c r="IV80" s="2815"/>
      <c r="IW80" s="2815"/>
      <c r="IX80" s="2815"/>
      <c r="IY80" s="2815"/>
      <c r="IZ80" s="2815"/>
      <c r="JA80" s="2815"/>
      <c r="JB80" s="2815"/>
      <c r="JC80" s="2815"/>
      <c r="JD80" s="2815"/>
      <c r="JE80" s="2815"/>
      <c r="JF80" s="2815"/>
      <c r="JG80" s="3348"/>
      <c r="JH80" s="1233"/>
      <c r="JI80" s="1393" t="s">
        <v>5422</v>
      </c>
    </row>
    <row ht="22.5" r="81" spans="1:269" x14ac:dyDescent="0.2">
      <c r="A81" s="1128">
        <v>8</v>
      </c>
      <c r="B81" s="1375" t="str">
        <f si="7" t="shared"/>
        <v/>
      </c>
      <c r="C81" s="2268" t="s">
        <v>3123</v>
      </c>
      <c r="D81" s="2403" t="s">
        <v>4904</v>
      </c>
      <c r="E81" s="2447"/>
      <c r="F81" s="2447"/>
      <c r="G81" s="2447"/>
      <c r="H81" s="2447"/>
      <c r="I81" s="2447"/>
      <c r="J81" s="2447"/>
      <c r="K81" s="2447" t="s">
        <v>1189</v>
      </c>
      <c r="L81" s="2447" t="s">
        <v>1189</v>
      </c>
      <c r="M81" s="2447"/>
      <c r="N81" s="2447"/>
      <c r="O81" s="2447"/>
      <c r="P81" s="2447"/>
      <c r="Q81" s="2447" t="s">
        <v>572</v>
      </c>
      <c r="R81" s="2447"/>
      <c r="S81" s="2447"/>
      <c r="T81" s="2447"/>
      <c r="U81" s="2447"/>
      <c r="V81" s="2447"/>
      <c r="W81" s="2447"/>
      <c r="X81" s="2447"/>
      <c r="Y81" s="2447"/>
      <c r="Z81" s="2447"/>
      <c r="AA81" s="2447"/>
      <c r="AB81" s="2447"/>
      <c r="AC81" s="2447"/>
      <c r="AD81" s="2447"/>
      <c r="AE81" s="2447"/>
      <c r="AF81" s="2447"/>
      <c r="AG81" s="2447"/>
      <c r="AH81" s="2447"/>
      <c r="AI81" s="2447"/>
      <c r="AJ81" s="2447"/>
      <c r="AK81" s="2447"/>
      <c r="AL81" s="2447"/>
      <c r="AM81" s="2447"/>
      <c r="AN81" s="2447"/>
      <c r="AO81" s="2447"/>
      <c r="AP81" s="2447"/>
      <c r="AQ81" s="2447"/>
      <c r="AR81" s="2447"/>
      <c r="AS81" s="2447"/>
      <c r="AT81" s="2447"/>
      <c r="AU81" s="2447"/>
      <c r="AV81" s="2447"/>
      <c r="AW81" s="2447" t="s">
        <v>1189</v>
      </c>
      <c r="AX81" s="2447"/>
      <c r="AY81" s="2447"/>
      <c r="AZ81" s="2447"/>
      <c r="BA81" s="2447"/>
      <c r="BB81" s="2447"/>
      <c r="BC81" s="2447"/>
      <c r="BD81" s="2447" t="s">
        <v>1189</v>
      </c>
      <c r="BE81" s="2447"/>
      <c r="BF81" s="2447"/>
      <c r="BG81" s="2447"/>
      <c r="BH81" s="2447"/>
      <c r="BI81" s="3967"/>
      <c r="BJ81" s="2447"/>
      <c r="BK81" s="2447"/>
      <c r="BL81" s="2447"/>
      <c r="BM81" s="2447"/>
      <c r="BN81" s="2447" t="s">
        <v>1189</v>
      </c>
      <c r="BO81" s="2447"/>
      <c r="BP81" s="2447"/>
      <c r="BQ81" s="2447"/>
      <c r="BR81" s="2447"/>
      <c r="BS81" s="2447"/>
      <c r="BT81" s="2447"/>
      <c r="BU81" s="2447"/>
      <c r="BV81" s="2447" t="s">
        <v>1189</v>
      </c>
      <c r="BW81" s="2447" t="s">
        <v>1189</v>
      </c>
      <c r="BX81" s="2447" t="s">
        <v>1189</v>
      </c>
      <c r="BY81" s="2447" t="s">
        <v>1189</v>
      </c>
      <c r="BZ81" s="2447"/>
      <c r="CA81" s="2447" t="s">
        <v>1189</v>
      </c>
      <c r="CB81" s="4287"/>
      <c r="CC81" s="2816"/>
      <c r="CD81" s="2447" t="s">
        <v>1189</v>
      </c>
      <c r="CE81" s="2816"/>
      <c r="CF81" s="2447" t="s">
        <v>1189</v>
      </c>
      <c r="CG81" s="2816"/>
      <c r="CH81" s="2447" t="s">
        <v>1189</v>
      </c>
      <c r="CI81" s="2816"/>
      <c r="CJ81" s="2816"/>
      <c r="CK81" s="2816"/>
      <c r="CL81" s="2816"/>
      <c r="CM81" s="2816"/>
      <c r="CN81" s="2816"/>
      <c r="CO81" s="2816"/>
      <c r="CP81" s="2816"/>
      <c r="CQ81" s="2816"/>
      <c r="CR81" s="2816"/>
      <c r="CS81" s="2816"/>
      <c r="CT81" s="2816"/>
      <c r="CU81" s="2816"/>
      <c r="CV81" s="2816"/>
      <c r="CW81" s="2816"/>
      <c r="CX81" s="2816"/>
      <c r="CY81" s="2816"/>
      <c r="CZ81" s="2816"/>
      <c r="DA81" s="2816"/>
      <c r="DB81" s="2816"/>
      <c r="DC81" s="2816"/>
      <c r="DD81" s="2816"/>
      <c r="DE81" s="2816"/>
      <c r="DF81" s="2816"/>
      <c r="DG81" s="2816"/>
      <c r="DH81" s="2816"/>
      <c r="DI81" s="2816"/>
      <c r="DJ81" s="2816"/>
      <c r="DK81" s="2816"/>
      <c r="DL81" s="2816"/>
      <c r="DM81" s="2816"/>
      <c r="DN81" s="2816"/>
      <c r="DO81" s="2816"/>
      <c r="DP81" s="2816"/>
      <c r="DQ81" s="2816"/>
      <c r="DR81" s="2816"/>
      <c r="DS81" s="2447" t="s">
        <v>1189</v>
      </c>
      <c r="DT81" s="2816"/>
      <c r="DU81" s="2816"/>
      <c r="DV81" s="2816"/>
      <c r="DW81" s="2447" t="s">
        <v>1189</v>
      </c>
      <c r="DX81" s="2447" t="s">
        <v>1189</v>
      </c>
      <c r="DY81" s="2447" t="s">
        <v>1189</v>
      </c>
      <c r="DZ81" s="2447" t="s">
        <v>1189</v>
      </c>
      <c r="EA81" s="2816"/>
      <c r="EB81" s="2816"/>
      <c r="EC81" s="2816"/>
      <c r="ED81" s="2816"/>
      <c r="EE81" s="2816"/>
      <c r="EF81" s="2816"/>
      <c r="EG81" s="2816"/>
      <c r="EH81" s="2816"/>
      <c r="EI81" s="2816"/>
      <c r="EJ81" s="2816"/>
      <c r="EK81" s="2816"/>
      <c r="EL81" s="2816"/>
      <c r="EM81" s="2816"/>
      <c r="EN81" s="2816"/>
      <c r="EO81" s="2816"/>
      <c r="EP81" s="2816"/>
      <c r="EQ81" s="2816"/>
      <c r="ER81" s="2816"/>
      <c r="ES81" s="2816"/>
      <c r="ET81" s="2816"/>
      <c r="EU81" s="2816"/>
      <c r="EV81" s="2816"/>
      <c r="EW81" s="2816"/>
      <c r="EX81" s="2816"/>
      <c r="EY81" s="2816"/>
      <c r="EZ81" s="2816"/>
      <c r="FA81" s="2816"/>
      <c r="FB81" s="2447" t="s">
        <v>1189</v>
      </c>
      <c r="FC81" s="2816"/>
      <c r="FD81" s="2816"/>
      <c r="FE81" s="2816"/>
      <c r="FF81" s="2816"/>
      <c r="FG81" s="2816"/>
      <c r="FH81" s="2816"/>
      <c r="FI81" s="2816"/>
      <c r="FJ81" s="2816"/>
      <c r="FK81" s="2816"/>
      <c r="FL81" s="2816"/>
      <c r="FM81" s="2816"/>
      <c r="FN81" s="2816"/>
      <c r="FO81" s="2816"/>
      <c r="FP81" s="2816"/>
      <c r="FQ81" s="2816"/>
      <c r="FR81" s="2816"/>
      <c r="FS81" s="2816"/>
      <c r="FT81" s="2816"/>
      <c r="FU81" s="2816"/>
      <c r="FV81" s="2816"/>
      <c r="FW81" s="2816"/>
      <c r="FX81" s="2816"/>
      <c r="FY81" s="2447" t="s">
        <v>1189</v>
      </c>
      <c r="FZ81" s="2447" t="s">
        <v>1189</v>
      </c>
      <c r="GA81" s="2447" t="s">
        <v>1189</v>
      </c>
      <c r="GB81" s="2447" t="s">
        <v>572</v>
      </c>
      <c r="GC81" s="2816"/>
      <c r="GD81" s="2816"/>
      <c r="GE81" s="2816"/>
      <c r="GF81" s="2816"/>
      <c r="GG81" s="2816"/>
      <c r="GH81" s="2816"/>
      <c r="GI81" s="2816"/>
      <c r="GJ81" s="2816"/>
      <c r="GK81" s="2816"/>
      <c r="GL81" s="2816"/>
      <c r="GM81" s="2816"/>
      <c r="GN81" s="2816"/>
      <c r="GO81" s="2816"/>
      <c r="GP81" s="2816"/>
      <c r="GQ81" s="2816"/>
      <c r="GR81" s="2816"/>
      <c r="GS81" s="2816"/>
      <c r="GT81" s="2816"/>
      <c r="GU81" s="2816"/>
      <c r="GV81" s="2816"/>
      <c r="GW81" s="2816"/>
      <c r="GX81" s="2816"/>
      <c r="GY81" s="2816"/>
      <c r="GZ81" s="2816"/>
      <c r="HA81" s="2816"/>
      <c r="HB81" s="2816"/>
      <c r="HC81" s="2816"/>
      <c r="HD81" s="2816"/>
      <c r="HE81" s="2816"/>
      <c r="HF81" s="2816"/>
      <c r="HG81" s="2816"/>
      <c r="HH81" s="2816"/>
      <c r="HI81" s="2816"/>
      <c r="HJ81" s="2816"/>
      <c r="HK81" s="2816"/>
      <c r="HL81" s="2816"/>
      <c r="HM81" s="2816"/>
      <c r="HN81" s="2816"/>
      <c r="HO81" s="2816"/>
      <c r="HP81" s="2816"/>
      <c r="HQ81" s="2816"/>
      <c r="HR81" s="2816"/>
      <c r="HS81" s="2816"/>
      <c r="HT81" s="2816"/>
      <c r="HU81" s="2816"/>
      <c r="HV81" s="2816"/>
      <c r="HW81" s="2816"/>
      <c r="HX81" s="2816"/>
      <c r="HY81" s="2816"/>
      <c r="HZ81" s="2816"/>
      <c r="IA81" s="2816"/>
      <c r="IB81" s="2816"/>
      <c r="IC81" s="2816"/>
      <c r="ID81" s="2816"/>
      <c r="IE81" s="2816"/>
      <c r="IF81" s="2816"/>
      <c r="IG81" s="2816"/>
      <c r="IH81" s="2816"/>
      <c r="II81" s="2816"/>
      <c r="IJ81" s="2816"/>
      <c r="IK81" s="2816"/>
      <c r="IL81" s="2816"/>
      <c r="IM81" s="2816"/>
      <c r="IN81" s="2816"/>
      <c r="IO81" s="2816"/>
      <c r="IP81" s="2816"/>
      <c r="IQ81" s="2816"/>
      <c r="IR81" s="2816"/>
      <c r="IS81" s="2816"/>
      <c r="IT81" s="2816"/>
      <c r="IU81" s="2816"/>
      <c r="IV81" s="2816"/>
      <c r="IW81" s="2816"/>
      <c r="IX81" s="2816"/>
      <c r="IY81" s="2816"/>
      <c r="IZ81" s="2816"/>
      <c r="JA81" s="2816"/>
      <c r="JB81" s="2816"/>
      <c r="JC81" s="2816"/>
      <c r="JD81" s="2816"/>
      <c r="JE81" s="2816"/>
      <c r="JF81" s="2816"/>
      <c r="JG81" s="3771"/>
      <c r="JH81" s="1233"/>
      <c r="JI81" s="1393" t="s">
        <v>5423</v>
      </c>
    </row>
    <row ht="33.75" r="82" spans="1:269" x14ac:dyDescent="0.2">
      <c r="A82" s="1128">
        <v>9</v>
      </c>
      <c r="B82" s="1375" t="str">
        <f si="7" t="shared"/>
        <v/>
      </c>
      <c r="C82" s="2268" t="s">
        <v>3124</v>
      </c>
      <c r="D82" s="2403" t="s">
        <v>4899</v>
      </c>
      <c r="E82" s="2447"/>
      <c r="F82" s="2447"/>
      <c r="G82" s="2447"/>
      <c r="H82" s="2447"/>
      <c r="I82" s="2447"/>
      <c r="J82" s="2447"/>
      <c r="K82" s="2447"/>
      <c r="L82" s="2447"/>
      <c r="M82" s="2447"/>
      <c r="N82" s="2447"/>
      <c r="O82" s="2447"/>
      <c r="P82" s="2447"/>
      <c r="Q82" s="2447" t="s">
        <v>3125</v>
      </c>
      <c r="R82" s="2447"/>
      <c r="S82" s="2447"/>
      <c r="T82" s="2447"/>
      <c r="U82" s="2447"/>
      <c r="V82" s="2447"/>
      <c r="W82" s="2447"/>
      <c r="X82" s="2447"/>
      <c r="Y82" s="2447"/>
      <c r="Z82" s="2447"/>
      <c r="AA82" s="2447"/>
      <c r="AB82" s="2447"/>
      <c r="AC82" s="2447"/>
      <c r="AD82" s="2447"/>
      <c r="AE82" s="2447"/>
      <c r="AF82" s="2447"/>
      <c r="AG82" s="2447"/>
      <c r="AH82" s="2447"/>
      <c r="AI82" s="2447"/>
      <c r="AJ82" s="2447"/>
      <c r="AK82" s="2447"/>
      <c r="AL82" s="2447"/>
      <c r="AM82" s="2447"/>
      <c r="AN82" s="2447"/>
      <c r="AO82" s="2447"/>
      <c r="AP82" s="2447"/>
      <c r="AQ82" s="2447"/>
      <c r="AR82" s="2447"/>
      <c r="AS82" s="2447"/>
      <c r="AT82" s="2447"/>
      <c r="AU82" s="2447"/>
      <c r="AV82" s="2447"/>
      <c r="AW82" s="2447" t="s">
        <v>3125</v>
      </c>
      <c r="AX82" s="2447"/>
      <c r="AY82" s="2447"/>
      <c r="AZ82" s="2447"/>
      <c r="BA82" s="2447"/>
      <c r="BB82" s="2447"/>
      <c r="BC82" s="2447"/>
      <c r="BD82" s="2447"/>
      <c r="BE82" s="2447"/>
      <c r="BF82" s="2447"/>
      <c r="BG82" s="2447"/>
      <c r="BH82" s="2447"/>
      <c r="BI82" s="3967"/>
      <c r="BJ82" s="2447"/>
      <c r="BK82" s="2447"/>
      <c r="BL82" s="2447"/>
      <c r="BM82" s="2447"/>
      <c r="BN82" s="2447"/>
      <c r="BO82" s="2447"/>
      <c r="BP82" s="2447"/>
      <c r="BQ82" s="2447"/>
      <c r="BR82" s="2447"/>
      <c r="BS82" s="2447"/>
      <c r="BT82" s="2447"/>
      <c r="BU82" s="2447"/>
      <c r="BV82" s="2447"/>
      <c r="BW82" s="2447"/>
      <c r="BX82" s="2447"/>
      <c r="BY82" s="2447"/>
      <c r="BZ82" s="2447"/>
      <c r="CA82" s="2447"/>
      <c r="CB82" s="4287"/>
      <c r="CC82" s="2816"/>
      <c r="CD82" s="2447"/>
      <c r="CE82" s="2816"/>
      <c r="CF82" s="2447"/>
      <c r="CG82" s="2816"/>
      <c r="CH82" s="2447"/>
      <c r="CI82" s="2816"/>
      <c r="CJ82" s="2816"/>
      <c r="CK82" s="2816"/>
      <c r="CL82" s="2816"/>
      <c r="CM82" s="2816"/>
      <c r="CN82" s="2816"/>
      <c r="CO82" s="2816"/>
      <c r="CP82" s="2816"/>
      <c r="CQ82" s="2816"/>
      <c r="CR82" s="2816"/>
      <c r="CS82" s="2816"/>
      <c r="CT82" s="2816"/>
      <c r="CU82" s="2816"/>
      <c r="CV82" s="2816"/>
      <c r="CW82" s="2816"/>
      <c r="CX82" s="2816"/>
      <c r="CY82" s="2816"/>
      <c r="CZ82" s="2816"/>
      <c r="DA82" s="2816"/>
      <c r="DB82" s="2816"/>
      <c r="DC82" s="2816"/>
      <c r="DD82" s="2816"/>
      <c r="DE82" s="2816"/>
      <c r="DF82" s="2816"/>
      <c r="DG82" s="2816"/>
      <c r="DH82" s="2816"/>
      <c r="DI82" s="2816"/>
      <c r="DJ82" s="2816"/>
      <c r="DK82" s="2816"/>
      <c r="DL82" s="2816"/>
      <c r="DM82" s="2816"/>
      <c r="DN82" s="2816"/>
      <c r="DO82" s="2816"/>
      <c r="DP82" s="2816"/>
      <c r="DQ82" s="2816"/>
      <c r="DR82" s="2816"/>
      <c r="DS82" s="2447"/>
      <c r="DT82" s="2816"/>
      <c r="DU82" s="2816"/>
      <c r="DV82" s="2816"/>
      <c r="DW82" s="2447"/>
      <c r="DX82" s="2447"/>
      <c r="DY82" s="2447"/>
      <c r="DZ82" s="2447"/>
      <c r="EA82" s="2816"/>
      <c r="EB82" s="2816"/>
      <c r="EC82" s="2816"/>
      <c r="ED82" s="2816"/>
      <c r="EE82" s="2816"/>
      <c r="EF82" s="2816"/>
      <c r="EG82" s="2816"/>
      <c r="EH82" s="2816"/>
      <c r="EI82" s="2816"/>
      <c r="EJ82" s="2816"/>
      <c r="EK82" s="2816"/>
      <c r="EL82" s="2816"/>
      <c r="EM82" s="2816"/>
      <c r="EN82" s="2816"/>
      <c r="EO82" s="2816"/>
      <c r="EP82" s="2816"/>
      <c r="EQ82" s="2816"/>
      <c r="ER82" s="2816"/>
      <c r="ES82" s="2816"/>
      <c r="ET82" s="2816"/>
      <c r="EU82" s="2816"/>
      <c r="EV82" s="2816"/>
      <c r="EW82" s="2816"/>
      <c r="EX82" s="2816"/>
      <c r="EY82" s="2816"/>
      <c r="EZ82" s="2816"/>
      <c r="FA82" s="2816"/>
      <c r="FB82" s="2447"/>
      <c r="FC82" s="2816"/>
      <c r="FD82" s="2816"/>
      <c r="FE82" s="2816"/>
      <c r="FF82" s="2816"/>
      <c r="FG82" s="2816"/>
      <c r="FH82" s="2816"/>
      <c r="FI82" s="2816"/>
      <c r="FJ82" s="2816"/>
      <c r="FK82" s="2816"/>
      <c r="FL82" s="2816"/>
      <c r="FM82" s="2816"/>
      <c r="FN82" s="2816"/>
      <c r="FO82" s="2816"/>
      <c r="FP82" s="2816"/>
      <c r="FQ82" s="2816"/>
      <c r="FR82" s="2816"/>
      <c r="FS82" s="2816"/>
      <c r="FT82" s="2816"/>
      <c r="FU82" s="2816"/>
      <c r="FV82" s="2816"/>
      <c r="FW82" s="2816"/>
      <c r="FX82" s="2816"/>
      <c r="FY82" s="2447"/>
      <c r="FZ82" s="2447"/>
      <c r="GA82" s="2447"/>
      <c r="GB82" s="2447" t="s">
        <v>3125</v>
      </c>
      <c r="GC82" s="2816"/>
      <c r="GD82" s="2816"/>
      <c r="GE82" s="2816"/>
      <c r="GF82" s="2816"/>
      <c r="GG82" s="2816"/>
      <c r="GH82" s="2816"/>
      <c r="GI82" s="2816"/>
      <c r="GJ82" s="2816"/>
      <c r="GK82" s="2816"/>
      <c r="GL82" s="2816"/>
      <c r="GM82" s="2816"/>
      <c r="GN82" s="2816"/>
      <c r="GO82" s="2816"/>
      <c r="GP82" s="2816"/>
      <c r="GQ82" s="2816"/>
      <c r="GR82" s="2816"/>
      <c r="GS82" s="2816"/>
      <c r="GT82" s="2816"/>
      <c r="GU82" s="2816"/>
      <c r="GV82" s="2816"/>
      <c r="GW82" s="2816"/>
      <c r="GX82" s="2816"/>
      <c r="GY82" s="2816"/>
      <c r="GZ82" s="2816"/>
      <c r="HA82" s="2816"/>
      <c r="HB82" s="2816"/>
      <c r="HC82" s="2816"/>
      <c r="HD82" s="2816"/>
      <c r="HE82" s="2816"/>
      <c r="HF82" s="2816"/>
      <c r="HG82" s="2816"/>
      <c r="HH82" s="2816"/>
      <c r="HI82" s="2816"/>
      <c r="HJ82" s="2816"/>
      <c r="HK82" s="2816"/>
      <c r="HL82" s="2816"/>
      <c r="HM82" s="2816"/>
      <c r="HN82" s="2816"/>
      <c r="HO82" s="2816"/>
      <c r="HP82" s="2816"/>
      <c r="HQ82" s="2816"/>
      <c r="HR82" s="2816"/>
      <c r="HS82" s="2816"/>
      <c r="HT82" s="2816"/>
      <c r="HU82" s="2816"/>
      <c r="HV82" s="2816"/>
      <c r="HW82" s="2816"/>
      <c r="HX82" s="2816"/>
      <c r="HY82" s="2816"/>
      <c r="HZ82" s="2816"/>
      <c r="IA82" s="2816"/>
      <c r="IB82" s="2816"/>
      <c r="IC82" s="2816"/>
      <c r="ID82" s="2816"/>
      <c r="IE82" s="2816"/>
      <c r="IF82" s="2816"/>
      <c r="IG82" s="2816"/>
      <c r="IH82" s="2816"/>
      <c r="II82" s="2816"/>
      <c r="IJ82" s="2816"/>
      <c r="IK82" s="2816"/>
      <c r="IL82" s="2816"/>
      <c r="IM82" s="2816"/>
      <c r="IN82" s="2816"/>
      <c r="IO82" s="2816"/>
      <c r="IP82" s="2816"/>
      <c r="IQ82" s="2816"/>
      <c r="IR82" s="2816"/>
      <c r="IS82" s="2816"/>
      <c r="IT82" s="2816"/>
      <c r="IU82" s="2816"/>
      <c r="IV82" s="2816"/>
      <c r="IW82" s="2816"/>
      <c r="IX82" s="2816"/>
      <c r="IY82" s="2816"/>
      <c r="IZ82" s="2816"/>
      <c r="JA82" s="2816"/>
      <c r="JB82" s="2816"/>
      <c r="JC82" s="2816"/>
      <c r="JD82" s="2816"/>
      <c r="JE82" s="2816"/>
      <c r="JF82" s="2816"/>
      <c r="JG82" s="3771"/>
      <c r="JH82" s="1233"/>
      <c r="JI82" s="1393" t="s">
        <v>5424</v>
      </c>
    </row>
    <row ht="22.5" r="83" spans="1:269" x14ac:dyDescent="0.2">
      <c r="A83" s="1128">
        <v>10</v>
      </c>
      <c r="B83" s="1375" t="str">
        <f si="7" t="shared"/>
        <v/>
      </c>
      <c r="C83" s="2626" t="s">
        <v>3126</v>
      </c>
      <c r="D83" s="2403" t="str">
        <f>"If you were married or formed a civil partnership after 5 April "&amp;Tax_year_start&amp;", enter the date of marriage or civil partnership DD MM YYYY"</f>
        <v>If you were married or formed a civil partnership after 5 April 2019, enter the date of marriage or civil partnership DD MM YYYY</v>
      </c>
      <c r="E83" s="2451"/>
      <c r="F83" s="2451"/>
      <c r="G83" s="2451"/>
      <c r="H83" s="2451"/>
      <c r="I83" s="2451"/>
      <c r="J83" s="2628"/>
      <c r="K83" s="2451" t="str">
        <f>"22/01/"&amp;Tax_year_end</f>
        <v>22/01/2020</v>
      </c>
      <c r="L83" s="2451" t="str">
        <f>"05/06/"&amp;Tax_year_start</f>
        <v>05/06/2019</v>
      </c>
      <c r="M83" s="2451"/>
      <c r="N83" s="2451"/>
      <c r="O83" s="2451"/>
      <c r="P83" s="2451"/>
      <c r="Q83" s="2451" t="str">
        <f>"04/09/"&amp;Tax_year_start</f>
        <v>04/09/2019</v>
      </c>
      <c r="R83" s="2451"/>
      <c r="S83" s="2451"/>
      <c r="T83" s="2451"/>
      <c r="U83" s="2451"/>
      <c r="V83" s="2451"/>
      <c r="W83" s="2451"/>
      <c r="X83" s="2451"/>
      <c r="Y83" s="2451"/>
      <c r="Z83" s="2451"/>
      <c r="AA83" s="2451"/>
      <c r="AB83" s="2451"/>
      <c r="AC83" s="2451"/>
      <c r="AD83" s="2451"/>
      <c r="AE83" s="2451"/>
      <c r="AF83" s="2451"/>
      <c r="AG83" s="2451"/>
      <c r="AH83" s="2451"/>
      <c r="AI83" s="2451"/>
      <c r="AJ83" s="2451"/>
      <c r="AK83" s="2451"/>
      <c r="AL83" s="2451"/>
      <c r="AM83" s="2451"/>
      <c r="AN83" s="2451"/>
      <c r="AO83" s="2451"/>
      <c r="AP83" s="2451"/>
      <c r="AQ83" s="2451"/>
      <c r="AR83" s="2451"/>
      <c r="AS83" s="2451"/>
      <c r="AT83" s="2451"/>
      <c r="AU83" s="2451"/>
      <c r="AV83" s="2451"/>
      <c r="AW83" s="2628"/>
      <c r="AX83" s="2628"/>
      <c r="AY83" s="2451"/>
      <c r="AZ83" s="2451"/>
      <c r="BA83" s="2451"/>
      <c r="BB83" s="2451"/>
      <c r="BC83" s="2451"/>
      <c r="BD83" s="2451" t="str">
        <f>"05/06/"&amp;Tax_year_start</f>
        <v>05/06/2019</v>
      </c>
      <c r="BE83" s="2451"/>
      <c r="BF83" s="2451"/>
      <c r="BG83" s="2451"/>
      <c r="BH83" s="2451"/>
      <c r="BI83" s="3970"/>
      <c r="BJ83" s="2451"/>
      <c r="BK83" s="2451"/>
      <c r="BL83" s="2451"/>
      <c r="BM83" s="2451"/>
      <c r="BN83" s="2451" t="str">
        <f>"05/06/"&amp;Tax_year_start</f>
        <v>05/06/2019</v>
      </c>
      <c r="BO83" s="2451"/>
      <c r="BP83" s="2451"/>
      <c r="BQ83" s="2451"/>
      <c r="BR83" s="2451"/>
      <c r="BS83" s="2451"/>
      <c r="BT83" s="2451"/>
      <c r="BU83" s="2451"/>
      <c r="BV83" s="2451"/>
      <c r="BW83" s="2451"/>
      <c r="BX83" s="2451"/>
      <c r="BY83" s="2451"/>
      <c r="BZ83" s="2451"/>
      <c r="CA83" s="2451" t="str">
        <f>"05/06/"&amp;Tax_year_start</f>
        <v>05/06/2019</v>
      </c>
      <c r="CB83" s="4290"/>
      <c r="CC83" s="2819"/>
      <c r="CD83" s="2451"/>
      <c r="CE83" s="2819"/>
      <c r="CF83" s="2451" t="str">
        <f>"05/06/"&amp;Tax_year_start</f>
        <v>05/06/2019</v>
      </c>
      <c r="CG83" s="2819"/>
      <c r="CH83" s="2451"/>
      <c r="CI83" s="2819"/>
      <c r="CJ83" s="2819"/>
      <c r="CK83" s="2819"/>
      <c r="CL83" s="2819"/>
      <c r="CM83" s="2819"/>
      <c r="CN83" s="2819"/>
      <c r="CO83" s="2819"/>
      <c r="CP83" s="2819"/>
      <c r="CQ83" s="2819"/>
      <c r="CR83" s="2819"/>
      <c r="CS83" s="2819"/>
      <c r="CT83" s="2819"/>
      <c r="CU83" s="2819"/>
      <c r="CV83" s="2819"/>
      <c r="CW83" s="2819"/>
      <c r="CX83" s="2819"/>
      <c r="CY83" s="2819"/>
      <c r="CZ83" s="2819"/>
      <c r="DA83" s="2819"/>
      <c r="DB83" s="2819"/>
      <c r="DC83" s="2819"/>
      <c r="DD83" s="2819"/>
      <c r="DE83" s="2819"/>
      <c r="DF83" s="2819"/>
      <c r="DG83" s="2819"/>
      <c r="DH83" s="2819"/>
      <c r="DI83" s="2819"/>
      <c r="DJ83" s="2819"/>
      <c r="DK83" s="2819"/>
      <c r="DL83" s="2819"/>
      <c r="DM83" s="2819"/>
      <c r="DN83" s="2819"/>
      <c r="DO83" s="2819"/>
      <c r="DP83" s="2819"/>
      <c r="DQ83" s="2819"/>
      <c r="DR83" s="2819"/>
      <c r="DS83" s="2451"/>
      <c r="DT83" s="2819"/>
      <c r="DU83" s="2819"/>
      <c r="DV83" s="2819"/>
      <c r="DW83" s="2451"/>
      <c r="DX83" s="2451"/>
      <c r="DY83" s="2451" t="str">
        <f>"05/06/"&amp;Tax_year_start</f>
        <v>05/06/2019</v>
      </c>
      <c r="DZ83" s="2451"/>
      <c r="EA83" s="2819"/>
      <c r="EB83" s="2819"/>
      <c r="EC83" s="2819"/>
      <c r="ED83" s="2819"/>
      <c r="EE83" s="2819"/>
      <c r="EF83" s="2819"/>
      <c r="EG83" s="2819"/>
      <c r="EH83" s="2819"/>
      <c r="EI83" s="2819"/>
      <c r="EJ83" s="2819"/>
      <c r="EK83" s="2819"/>
      <c r="EL83" s="2819"/>
      <c r="EM83" s="2819"/>
      <c r="EN83" s="2819"/>
      <c r="EO83" s="2819"/>
      <c r="EP83" s="2819"/>
      <c r="EQ83" s="2819"/>
      <c r="ER83" s="2819"/>
      <c r="ES83" s="2819"/>
      <c r="ET83" s="2819"/>
      <c r="EU83" s="2819"/>
      <c r="EV83" s="2819"/>
      <c r="EW83" s="2819"/>
      <c r="EX83" s="2819"/>
      <c r="EY83" s="2819"/>
      <c r="EZ83" s="2819"/>
      <c r="FA83" s="2819"/>
      <c r="FB83" s="2451" t="str">
        <f>"05/06/"&amp;Tax_year_start</f>
        <v>05/06/2019</v>
      </c>
      <c r="FC83" s="2819"/>
      <c r="FD83" s="2819"/>
      <c r="FE83" s="2819"/>
      <c r="FF83" s="2819"/>
      <c r="FG83" s="2819"/>
      <c r="FH83" s="2819"/>
      <c r="FI83" s="2819"/>
      <c r="FJ83" s="2819"/>
      <c r="FK83" s="2819"/>
      <c r="FL83" s="2819"/>
      <c r="FM83" s="2819"/>
      <c r="FN83" s="2819"/>
      <c r="FO83" s="2819"/>
      <c r="FP83" s="2819"/>
      <c r="FQ83" s="2819"/>
      <c r="FR83" s="2819"/>
      <c r="FS83" s="2819"/>
      <c r="FT83" s="2819"/>
      <c r="FU83" s="2819"/>
      <c r="FV83" s="2819"/>
      <c r="FW83" s="2819"/>
      <c r="FX83" s="2819"/>
      <c r="FY83" s="2451"/>
      <c r="FZ83" s="2451"/>
      <c r="GA83" s="2451"/>
      <c r="GB83" s="2451" t="str">
        <f>"04/09/"&amp;Tax_year_start</f>
        <v>04/09/2019</v>
      </c>
      <c r="GC83" s="2819"/>
      <c r="GD83" s="2819"/>
      <c r="GE83" s="2819"/>
      <c r="GF83" s="2819"/>
      <c r="GG83" s="2819"/>
      <c r="GH83" s="2819"/>
      <c r="GI83" s="2819"/>
      <c r="GJ83" s="2819"/>
      <c r="GK83" s="2819"/>
      <c r="GL83" s="2819"/>
      <c r="GM83" s="2819"/>
      <c r="GN83" s="2819"/>
      <c r="GO83" s="2819"/>
      <c r="GP83" s="2819"/>
      <c r="GQ83" s="2819"/>
      <c r="GR83" s="2819"/>
      <c r="GS83" s="2819"/>
      <c r="GT83" s="2819"/>
      <c r="GU83" s="2819"/>
      <c r="GV83" s="2819"/>
      <c r="GW83" s="2819"/>
      <c r="GX83" s="2819"/>
      <c r="GY83" s="2819"/>
      <c r="GZ83" s="2819"/>
      <c r="HA83" s="2819"/>
      <c r="HB83" s="2819"/>
      <c r="HC83" s="2819"/>
      <c r="HD83" s="2819"/>
      <c r="HE83" s="2819"/>
      <c r="HF83" s="2819"/>
      <c r="HG83" s="2819"/>
      <c r="HH83" s="2819"/>
      <c r="HI83" s="2819"/>
      <c r="HJ83" s="2819"/>
      <c r="HK83" s="2819"/>
      <c r="HL83" s="2819"/>
      <c r="HM83" s="2819"/>
      <c r="HN83" s="2819"/>
      <c r="HO83" s="2819"/>
      <c r="HP83" s="2819"/>
      <c r="HQ83" s="2819"/>
      <c r="HR83" s="2819"/>
      <c r="HS83" s="2819"/>
      <c r="HT83" s="2819"/>
      <c r="HU83" s="2819"/>
      <c r="HV83" s="2819"/>
      <c r="HW83" s="2819"/>
      <c r="HX83" s="2819"/>
      <c r="HY83" s="2819"/>
      <c r="HZ83" s="2819"/>
      <c r="IA83" s="2819"/>
      <c r="IB83" s="2819"/>
      <c r="IC83" s="2819"/>
      <c r="ID83" s="2819"/>
      <c r="IE83" s="2819"/>
      <c r="IF83" s="2819"/>
      <c r="IG83" s="2819"/>
      <c r="IH83" s="2819"/>
      <c r="II83" s="2819"/>
      <c r="IJ83" s="2819"/>
      <c r="IK83" s="2819"/>
      <c r="IL83" s="2819"/>
      <c r="IM83" s="2819"/>
      <c r="IN83" s="2819"/>
      <c r="IO83" s="2819"/>
      <c r="IP83" s="2819"/>
      <c r="IQ83" s="2819"/>
      <c r="IR83" s="2819"/>
      <c r="IS83" s="2819"/>
      <c r="IT83" s="2819"/>
      <c r="IU83" s="2819"/>
      <c r="IV83" s="2819"/>
      <c r="IW83" s="2819"/>
      <c r="IX83" s="2819"/>
      <c r="IY83" s="2819"/>
      <c r="IZ83" s="2819"/>
      <c r="JA83" s="2819"/>
      <c r="JB83" s="2819"/>
      <c r="JC83" s="2819"/>
      <c r="JD83" s="2819"/>
      <c r="JE83" s="2819"/>
      <c r="JF83" s="2819"/>
      <c r="JG83" s="3774"/>
      <c r="JH83" s="1233"/>
      <c r="JI83" s="1393" t="s">
        <v>5425</v>
      </c>
    </row>
    <row r="84" spans="1:269" x14ac:dyDescent="0.2">
      <c r="A84" s="1128">
        <v>11</v>
      </c>
      <c r="B84" s="1375" t="str">
        <f si="7" t="shared"/>
        <v/>
      </c>
      <c r="C84" s="2268" t="s">
        <v>3127</v>
      </c>
      <c r="D84" s="2403" t="s">
        <v>4918</v>
      </c>
      <c r="E84" s="2379"/>
      <c r="F84" s="2379"/>
      <c r="G84" s="2379"/>
      <c r="H84" s="2379"/>
      <c r="I84" s="2379"/>
      <c r="J84" s="2379"/>
      <c r="K84" s="2379" t="s">
        <v>1189</v>
      </c>
      <c r="L84" s="2379" t="s">
        <v>1189</v>
      </c>
      <c r="M84" s="2379"/>
      <c r="N84" s="2379"/>
      <c r="O84" s="2379"/>
      <c r="P84" s="2379"/>
      <c r="Q84" s="2379" t="s">
        <v>1189</v>
      </c>
      <c r="R84" s="2379"/>
      <c r="S84" s="2379"/>
      <c r="T84" s="2379"/>
      <c r="U84" s="2379"/>
      <c r="V84" s="2379"/>
      <c r="W84" s="2379"/>
      <c r="X84" s="2379"/>
      <c r="Y84" s="2379"/>
      <c r="Z84" s="2379"/>
      <c r="AA84" s="2379"/>
      <c r="AB84" s="2379"/>
      <c r="AC84" s="2379"/>
      <c r="AD84" s="2379"/>
      <c r="AE84" s="2379"/>
      <c r="AF84" s="2379"/>
      <c r="AG84" s="2379"/>
      <c r="AH84" s="2379"/>
      <c r="AI84" s="2379"/>
      <c r="AJ84" s="2379"/>
      <c r="AK84" s="2379"/>
      <c r="AL84" s="2379"/>
      <c r="AM84" s="2379"/>
      <c r="AN84" s="2379"/>
      <c r="AO84" s="2379"/>
      <c r="AP84" s="2379"/>
      <c r="AQ84" s="2379"/>
      <c r="AR84" s="2379"/>
      <c r="AS84" s="2379"/>
      <c r="AT84" s="2379"/>
      <c r="AU84" s="2379"/>
      <c r="AV84" s="2379"/>
      <c r="AW84" s="2379" t="s">
        <v>1189</v>
      </c>
      <c r="AX84" s="2379"/>
      <c r="AY84" s="2379"/>
      <c r="AZ84" s="2379"/>
      <c r="BA84" s="2379"/>
      <c r="BB84" s="2379"/>
      <c r="BC84" s="2379"/>
      <c r="BD84" s="2379" t="s">
        <v>1189</v>
      </c>
      <c r="BE84" s="2379"/>
      <c r="BF84" s="2379"/>
      <c r="BG84" s="2379"/>
      <c r="BH84" s="2379"/>
      <c r="BI84" s="3641"/>
      <c r="BJ84" s="2379"/>
      <c r="BK84" s="2379"/>
      <c r="BL84" s="2379"/>
      <c r="BM84" s="2379"/>
      <c r="BN84" s="2379" t="s">
        <v>1189</v>
      </c>
      <c r="BO84" s="2379"/>
      <c r="BP84" s="2379"/>
      <c r="BQ84" s="2379"/>
      <c r="BR84" s="2379"/>
      <c r="BS84" s="2379"/>
      <c r="BT84" s="2379"/>
      <c r="BU84" s="2379"/>
      <c r="BV84" s="2379" t="s">
        <v>1189</v>
      </c>
      <c r="BW84" s="2379" t="s">
        <v>1189</v>
      </c>
      <c r="BX84" s="2379" t="s">
        <v>1189</v>
      </c>
      <c r="BY84" s="2379" t="s">
        <v>1189</v>
      </c>
      <c r="BZ84" s="2379"/>
      <c r="CA84" s="2379" t="s">
        <v>1189</v>
      </c>
      <c r="CB84" s="3952"/>
      <c r="CC84" s="2815"/>
      <c r="CD84" s="2379" t="s">
        <v>1189</v>
      </c>
      <c r="CE84" s="2815"/>
      <c r="CF84" s="2379" t="s">
        <v>1189</v>
      </c>
      <c r="CG84" s="2815"/>
      <c r="CH84" s="2379" t="s">
        <v>1189</v>
      </c>
      <c r="CI84" s="2815"/>
      <c r="CJ84" s="2815"/>
      <c r="CK84" s="2815"/>
      <c r="CL84" s="2815"/>
      <c r="CM84" s="2815"/>
      <c r="CN84" s="2815"/>
      <c r="CO84" s="2815"/>
      <c r="CP84" s="2815"/>
      <c r="CQ84" s="2815"/>
      <c r="CR84" s="2815"/>
      <c r="CS84" s="2815"/>
      <c r="CT84" s="2815"/>
      <c r="CU84" s="2815"/>
      <c r="CV84" s="2815"/>
      <c r="CW84" s="2815"/>
      <c r="CX84" s="2815"/>
      <c r="CY84" s="2815"/>
      <c r="CZ84" s="2815"/>
      <c r="DA84" s="2815"/>
      <c r="DB84" s="2815"/>
      <c r="DC84" s="2815"/>
      <c r="DD84" s="2815"/>
      <c r="DE84" s="2815"/>
      <c r="DF84" s="2815"/>
      <c r="DG84" s="2815"/>
      <c r="DH84" s="2815"/>
      <c r="DI84" s="2815"/>
      <c r="DJ84" s="2815"/>
      <c r="DK84" s="2815"/>
      <c r="DL84" s="2815"/>
      <c r="DM84" s="2815"/>
      <c r="DN84" s="2815"/>
      <c r="DO84" s="2815"/>
      <c r="DP84" s="2815"/>
      <c r="DQ84" s="2815"/>
      <c r="DR84" s="2815"/>
      <c r="DS84" s="2379" t="s">
        <v>1189</v>
      </c>
      <c r="DT84" s="2815"/>
      <c r="DU84" s="2815"/>
      <c r="DV84" s="2815"/>
      <c r="DW84" s="2379" t="s">
        <v>1189</v>
      </c>
      <c r="DX84" s="2379" t="s">
        <v>1189</v>
      </c>
      <c r="DY84" s="2379" t="s">
        <v>1189</v>
      </c>
      <c r="DZ84" s="2379" t="s">
        <v>1189</v>
      </c>
      <c r="EA84" s="2815"/>
      <c r="EB84" s="2815"/>
      <c r="EC84" s="2815"/>
      <c r="ED84" s="2815"/>
      <c r="EE84" s="2815"/>
      <c r="EF84" s="2815"/>
      <c r="EG84" s="2815"/>
      <c r="EH84" s="2815"/>
      <c r="EI84" s="2815"/>
      <c r="EJ84" s="2815"/>
      <c r="EK84" s="2815"/>
      <c r="EL84" s="2815"/>
      <c r="EM84" s="2815"/>
      <c r="EN84" s="2815"/>
      <c r="EO84" s="2815"/>
      <c r="EP84" s="2815"/>
      <c r="EQ84" s="2815"/>
      <c r="ER84" s="2815"/>
      <c r="ES84" s="2815"/>
      <c r="ET84" s="2815"/>
      <c r="EU84" s="2815"/>
      <c r="EV84" s="2815"/>
      <c r="EW84" s="2815"/>
      <c r="EX84" s="2815"/>
      <c r="EY84" s="2815"/>
      <c r="EZ84" s="2815"/>
      <c r="FA84" s="2815"/>
      <c r="FB84" s="2379" t="s">
        <v>1189</v>
      </c>
      <c r="FC84" s="2815"/>
      <c r="FD84" s="2815"/>
      <c r="FE84" s="2815"/>
      <c r="FF84" s="2815"/>
      <c r="FG84" s="2815"/>
      <c r="FH84" s="2815"/>
      <c r="FI84" s="2815"/>
      <c r="FJ84" s="2815"/>
      <c r="FK84" s="2815"/>
      <c r="FL84" s="2815"/>
      <c r="FM84" s="2815"/>
      <c r="FN84" s="2815"/>
      <c r="FO84" s="2815"/>
      <c r="FP84" s="2815"/>
      <c r="FQ84" s="2815"/>
      <c r="FR84" s="2815"/>
      <c r="FS84" s="2815"/>
      <c r="FT84" s="2815"/>
      <c r="FU84" s="2815"/>
      <c r="FV84" s="2815"/>
      <c r="FW84" s="2815"/>
      <c r="FX84" s="2815"/>
      <c r="FY84" s="2379" t="s">
        <v>1189</v>
      </c>
      <c r="FZ84" s="2379" t="s">
        <v>1189</v>
      </c>
      <c r="GA84" s="2379" t="s">
        <v>1189</v>
      </c>
      <c r="GB84" s="2379" t="s">
        <v>1189</v>
      </c>
      <c r="GC84" s="2815"/>
      <c r="GD84" s="2815"/>
      <c r="GE84" s="2815"/>
      <c r="GF84" s="2815"/>
      <c r="GG84" s="2815"/>
      <c r="GH84" s="2815"/>
      <c r="GI84" s="2815"/>
      <c r="GJ84" s="2815"/>
      <c r="GK84" s="2815"/>
      <c r="GL84" s="2815"/>
      <c r="GM84" s="2815"/>
      <c r="GN84" s="2815"/>
      <c r="GO84" s="2815"/>
      <c r="GP84" s="2815"/>
      <c r="GQ84" s="2815"/>
      <c r="GR84" s="2815"/>
      <c r="GS84" s="2815"/>
      <c r="GT84" s="2815"/>
      <c r="GU84" s="2815"/>
      <c r="GV84" s="2815"/>
      <c r="GW84" s="2815"/>
      <c r="GX84" s="2815"/>
      <c r="GY84" s="2815"/>
      <c r="GZ84" s="2815"/>
      <c r="HA84" s="2815"/>
      <c r="HB84" s="2815"/>
      <c r="HC84" s="2815"/>
      <c r="HD84" s="2815"/>
      <c r="HE84" s="2815"/>
      <c r="HF84" s="2815"/>
      <c r="HG84" s="2815"/>
      <c r="HH84" s="2815"/>
      <c r="HI84" s="2815"/>
      <c r="HJ84" s="2815"/>
      <c r="HK84" s="2815"/>
      <c r="HL84" s="2815"/>
      <c r="HM84" s="2815"/>
      <c r="HN84" s="2815"/>
      <c r="HO84" s="2815"/>
      <c r="HP84" s="2815"/>
      <c r="HQ84" s="2815"/>
      <c r="HR84" s="2815"/>
      <c r="HS84" s="2815"/>
      <c r="HT84" s="2815"/>
      <c r="HU84" s="2815"/>
      <c r="HV84" s="2815"/>
      <c r="HW84" s="2815"/>
      <c r="HX84" s="2815"/>
      <c r="HY84" s="2815"/>
      <c r="HZ84" s="2815"/>
      <c r="IA84" s="2815"/>
      <c r="IB84" s="2815"/>
      <c r="IC84" s="2815"/>
      <c r="ID84" s="2815"/>
      <c r="IE84" s="2815"/>
      <c r="IF84" s="2815"/>
      <c r="IG84" s="2815"/>
      <c r="IH84" s="2815"/>
      <c r="II84" s="2815"/>
      <c r="IJ84" s="2815"/>
      <c r="IK84" s="2815"/>
      <c r="IL84" s="2815"/>
      <c r="IM84" s="2815"/>
      <c r="IN84" s="2815"/>
      <c r="IO84" s="2815"/>
      <c r="IP84" s="2815"/>
      <c r="IQ84" s="2815"/>
      <c r="IR84" s="2815"/>
      <c r="IS84" s="2815"/>
      <c r="IT84" s="2815"/>
      <c r="IU84" s="2815"/>
      <c r="IV84" s="2815"/>
      <c r="IW84" s="2815"/>
      <c r="IX84" s="2815"/>
      <c r="IY84" s="2815"/>
      <c r="IZ84" s="2815"/>
      <c r="JA84" s="2815"/>
      <c r="JB84" s="2815"/>
      <c r="JC84" s="2815"/>
      <c r="JD84" s="2815"/>
      <c r="JE84" s="2815"/>
      <c r="JF84" s="2815"/>
      <c r="JG84" s="3348"/>
      <c r="JH84" s="1233"/>
      <c r="JI84" s="1393"/>
    </row>
    <row ht="45.75" r="85" spans="1:269" thickBot="1" x14ac:dyDescent="0.25">
      <c r="A85" s="1128">
        <v>12</v>
      </c>
      <c r="B85" s="1375" t="str">
        <f si="7" t="shared"/>
        <v/>
      </c>
      <c r="C85" s="1813" t="s">
        <v>3128</v>
      </c>
      <c r="D85" s="2404" t="s">
        <v>4919</v>
      </c>
      <c r="E85" s="2380"/>
      <c r="F85" s="2380"/>
      <c r="G85" s="2380"/>
      <c r="H85" s="2380"/>
      <c r="I85" s="2380"/>
      <c r="J85" s="2380"/>
      <c r="K85" s="2380" t="s">
        <v>1189</v>
      </c>
      <c r="L85" s="2380" t="s">
        <v>1189</v>
      </c>
      <c r="M85" s="2380"/>
      <c r="N85" s="2380"/>
      <c r="O85" s="2380"/>
      <c r="P85" s="2380"/>
      <c r="Q85" s="2380" t="s">
        <v>1189</v>
      </c>
      <c r="R85" s="2380"/>
      <c r="S85" s="2380"/>
      <c r="T85" s="2380"/>
      <c r="U85" s="2380"/>
      <c r="V85" s="2380"/>
      <c r="W85" s="2380"/>
      <c r="X85" s="2380"/>
      <c r="Y85" s="2380"/>
      <c r="Z85" s="2380"/>
      <c r="AA85" s="2380"/>
      <c r="AB85" s="2380"/>
      <c r="AC85" s="2380"/>
      <c r="AD85" s="2380"/>
      <c r="AE85" s="2380"/>
      <c r="AF85" s="2380"/>
      <c r="AG85" s="2380"/>
      <c r="AH85" s="2380"/>
      <c r="AI85" s="2380"/>
      <c r="AJ85" s="2380"/>
      <c r="AK85" s="2380"/>
      <c r="AL85" s="2380"/>
      <c r="AM85" s="2380"/>
      <c r="AN85" s="2380"/>
      <c r="AO85" s="2380"/>
      <c r="AP85" s="2380"/>
      <c r="AQ85" s="2380"/>
      <c r="AR85" s="2380"/>
      <c r="AS85" s="2380"/>
      <c r="AT85" s="2380"/>
      <c r="AU85" s="2380"/>
      <c r="AV85" s="2380"/>
      <c r="AW85" s="2380" t="s">
        <v>1189</v>
      </c>
      <c r="AX85" s="2380"/>
      <c r="AY85" s="2380"/>
      <c r="AZ85" s="2380"/>
      <c r="BA85" s="2380"/>
      <c r="BB85" s="2380"/>
      <c r="BC85" s="2380"/>
      <c r="BD85" s="2380" t="s">
        <v>1189</v>
      </c>
      <c r="BE85" s="2380"/>
      <c r="BF85" s="2380"/>
      <c r="BG85" s="2380"/>
      <c r="BH85" s="2380"/>
      <c r="BI85" s="3642"/>
      <c r="BJ85" s="2380"/>
      <c r="BK85" s="2380"/>
      <c r="BL85" s="2380"/>
      <c r="BM85" s="2380"/>
      <c r="BN85" s="2380" t="s">
        <v>1189</v>
      </c>
      <c r="BO85" s="2380"/>
      <c r="BP85" s="2380"/>
      <c r="BQ85" s="2380"/>
      <c r="BR85" s="2380"/>
      <c r="BS85" s="2380"/>
      <c r="BT85" s="2380"/>
      <c r="BU85" s="2380"/>
      <c r="BV85" s="2380" t="s">
        <v>1189</v>
      </c>
      <c r="BW85" s="2380" t="s">
        <v>1189</v>
      </c>
      <c r="BX85" s="2380" t="s">
        <v>1189</v>
      </c>
      <c r="BY85" s="2380" t="s">
        <v>1189</v>
      </c>
      <c r="BZ85" s="2380"/>
      <c r="CA85" s="2380" t="s">
        <v>1189</v>
      </c>
      <c r="CB85" s="4291"/>
      <c r="CC85" s="2426"/>
      <c r="CD85" s="2380" t="s">
        <v>1189</v>
      </c>
      <c r="CE85" s="2426"/>
      <c r="CF85" s="2380" t="s">
        <v>1189</v>
      </c>
      <c r="CG85" s="2426"/>
      <c r="CH85" s="2380" t="s">
        <v>1189</v>
      </c>
      <c r="CI85" s="2426"/>
      <c r="CJ85" s="2426"/>
      <c r="CK85" s="2426"/>
      <c r="CL85" s="2426"/>
      <c r="CM85" s="2426"/>
      <c r="CN85" s="2426"/>
      <c r="CO85" s="2426"/>
      <c r="CP85" s="2426"/>
      <c r="CQ85" s="2426"/>
      <c r="CR85" s="2426"/>
      <c r="CS85" s="2426"/>
      <c r="CT85" s="2426"/>
      <c r="CU85" s="2426"/>
      <c r="CV85" s="2426"/>
      <c r="CW85" s="2426"/>
      <c r="CX85" s="2426"/>
      <c r="CY85" s="2426"/>
      <c r="CZ85" s="2426"/>
      <c r="DA85" s="2426"/>
      <c r="DB85" s="2426"/>
      <c r="DC85" s="2426"/>
      <c r="DD85" s="2426"/>
      <c r="DE85" s="2426"/>
      <c r="DF85" s="2426"/>
      <c r="DG85" s="2426"/>
      <c r="DH85" s="2426"/>
      <c r="DI85" s="2426"/>
      <c r="DJ85" s="2426"/>
      <c r="DK85" s="2426"/>
      <c r="DL85" s="2426"/>
      <c r="DM85" s="2426"/>
      <c r="DN85" s="2426"/>
      <c r="DO85" s="2426"/>
      <c r="DP85" s="2426"/>
      <c r="DQ85" s="2426"/>
      <c r="DR85" s="2426"/>
      <c r="DS85" s="2380" t="s">
        <v>1189</v>
      </c>
      <c r="DT85" s="2426"/>
      <c r="DU85" s="2426"/>
      <c r="DV85" s="2426"/>
      <c r="DW85" s="2380" t="s">
        <v>1189</v>
      </c>
      <c r="DX85" s="2380" t="s">
        <v>1189</v>
      </c>
      <c r="DY85" s="2380" t="s">
        <v>1189</v>
      </c>
      <c r="DZ85" s="2380" t="s">
        <v>1189</v>
      </c>
      <c r="EA85" s="2426"/>
      <c r="EB85" s="2426"/>
      <c r="EC85" s="2426"/>
      <c r="ED85" s="2426"/>
      <c r="EE85" s="2426"/>
      <c r="EF85" s="2426"/>
      <c r="EG85" s="2426"/>
      <c r="EH85" s="2426"/>
      <c r="EI85" s="2426"/>
      <c r="EJ85" s="2426"/>
      <c r="EK85" s="2426"/>
      <c r="EL85" s="2426"/>
      <c r="EM85" s="2426"/>
      <c r="EN85" s="2426"/>
      <c r="EO85" s="2426"/>
      <c r="EP85" s="2426"/>
      <c r="EQ85" s="2426"/>
      <c r="ER85" s="2426"/>
      <c r="ES85" s="2426"/>
      <c r="ET85" s="2426"/>
      <c r="EU85" s="2426"/>
      <c r="EV85" s="2426"/>
      <c r="EW85" s="2426"/>
      <c r="EX85" s="2426"/>
      <c r="EY85" s="2426"/>
      <c r="EZ85" s="2426"/>
      <c r="FA85" s="2426"/>
      <c r="FB85" s="2380" t="s">
        <v>1189</v>
      </c>
      <c r="FC85" s="2426"/>
      <c r="FD85" s="2426"/>
      <c r="FE85" s="2426"/>
      <c r="FF85" s="2426"/>
      <c r="FG85" s="2426"/>
      <c r="FH85" s="2426"/>
      <c r="FI85" s="2426"/>
      <c r="FJ85" s="2426"/>
      <c r="FK85" s="2426"/>
      <c r="FL85" s="2426"/>
      <c r="FM85" s="2426"/>
      <c r="FN85" s="2426"/>
      <c r="FO85" s="2426"/>
      <c r="FP85" s="2426"/>
      <c r="FQ85" s="2426"/>
      <c r="FR85" s="2426"/>
      <c r="FS85" s="2426"/>
      <c r="FT85" s="2426"/>
      <c r="FU85" s="2426"/>
      <c r="FV85" s="2426"/>
      <c r="FW85" s="2426"/>
      <c r="FX85" s="2426"/>
      <c r="FY85" s="2380" t="s">
        <v>1189</v>
      </c>
      <c r="FZ85" s="2380" t="s">
        <v>1189</v>
      </c>
      <c r="GA85" s="2380" t="s">
        <v>1189</v>
      </c>
      <c r="GB85" s="2380" t="s">
        <v>1189</v>
      </c>
      <c r="GC85" s="2426"/>
      <c r="GD85" s="2426"/>
      <c r="GE85" s="2426"/>
      <c r="GF85" s="2426"/>
      <c r="GG85" s="2426"/>
      <c r="GH85" s="2426"/>
      <c r="GI85" s="2426"/>
      <c r="GJ85" s="2426"/>
      <c r="GK85" s="2426"/>
      <c r="GL85" s="2426"/>
      <c r="GM85" s="2426"/>
      <c r="GN85" s="2426"/>
      <c r="GO85" s="2426"/>
      <c r="GP85" s="2426"/>
      <c r="GQ85" s="2426"/>
      <c r="GR85" s="2426"/>
      <c r="GS85" s="2426"/>
      <c r="GT85" s="2426"/>
      <c r="GU85" s="2426"/>
      <c r="GV85" s="2426"/>
      <c r="GW85" s="2426"/>
      <c r="GX85" s="2426"/>
      <c r="GY85" s="2426"/>
      <c r="GZ85" s="2426"/>
      <c r="HA85" s="2426"/>
      <c r="HB85" s="2426"/>
      <c r="HC85" s="2426"/>
      <c r="HD85" s="2426"/>
      <c r="HE85" s="2426"/>
      <c r="HF85" s="2426"/>
      <c r="HG85" s="2426"/>
      <c r="HH85" s="2426"/>
      <c r="HI85" s="2426"/>
      <c r="HJ85" s="2426"/>
      <c r="HK85" s="2426"/>
      <c r="HL85" s="2426"/>
      <c r="HM85" s="2426"/>
      <c r="HN85" s="2426"/>
      <c r="HO85" s="2426"/>
      <c r="HP85" s="2426"/>
      <c r="HQ85" s="2426"/>
      <c r="HR85" s="2426"/>
      <c r="HS85" s="2426"/>
      <c r="HT85" s="2426"/>
      <c r="HU85" s="2426"/>
      <c r="HV85" s="2426"/>
      <c r="HW85" s="2426"/>
      <c r="HX85" s="2426"/>
      <c r="HY85" s="2426"/>
      <c r="HZ85" s="2426"/>
      <c r="IA85" s="2426"/>
      <c r="IB85" s="2426"/>
      <c r="IC85" s="2426"/>
      <c r="ID85" s="2426"/>
      <c r="IE85" s="2426"/>
      <c r="IF85" s="2426"/>
      <c r="IG85" s="2426"/>
      <c r="IH85" s="2426"/>
      <c r="II85" s="2426"/>
      <c r="IJ85" s="2426"/>
      <c r="IK85" s="2426"/>
      <c r="IL85" s="2426"/>
      <c r="IM85" s="2426"/>
      <c r="IN85" s="2426"/>
      <c r="IO85" s="2426"/>
      <c r="IP85" s="2426"/>
      <c r="IQ85" s="2426"/>
      <c r="IR85" s="2426"/>
      <c r="IS85" s="2426"/>
      <c r="IT85" s="2426"/>
      <c r="IU85" s="2426"/>
      <c r="IV85" s="2426"/>
      <c r="IW85" s="2426"/>
      <c r="IX85" s="2426"/>
      <c r="IY85" s="2426"/>
      <c r="IZ85" s="2426"/>
      <c r="JA85" s="2426"/>
      <c r="JB85" s="2426"/>
      <c r="JC85" s="2426"/>
      <c r="JD85" s="2426"/>
      <c r="JE85" s="2426"/>
      <c r="JF85" s="2426"/>
      <c r="JG85" s="3768"/>
      <c r="JH85" s="1233"/>
      <c r="JI85" s="1393" t="s">
        <v>5426</v>
      </c>
    </row>
    <row ht="12.75" r="86" spans="1:269" thickBot="1" x14ac:dyDescent="0.25">
      <c r="C86" s="1131" t="s">
        <v>4923</v>
      </c>
      <c r="D86" s="671"/>
      <c r="E86" s="2635"/>
      <c r="F86" s="2635"/>
      <c r="G86" s="2635"/>
      <c r="H86" s="2635"/>
      <c r="I86" s="2635"/>
      <c r="J86" s="2635"/>
      <c r="K86" s="2635"/>
      <c r="L86" s="2635"/>
      <c r="M86" s="2635"/>
      <c r="N86" s="2635"/>
      <c r="O86" s="2635"/>
      <c r="P86" s="2635"/>
      <c r="Q86" s="2635"/>
      <c r="R86" s="2635"/>
      <c r="S86" s="2635"/>
      <c r="T86" s="2635"/>
      <c r="U86" s="2635"/>
      <c r="V86" s="2635"/>
      <c r="W86" s="2635"/>
      <c r="X86" s="2635"/>
      <c r="Y86" s="2635"/>
      <c r="Z86" s="2635"/>
      <c r="AA86" s="2635"/>
      <c r="AB86" s="2635"/>
      <c r="AC86" s="2635"/>
      <c r="AD86" s="2635"/>
      <c r="AE86" s="2635"/>
      <c r="AF86" s="2635"/>
      <c r="AG86" s="2635"/>
      <c r="AH86" s="2635"/>
      <c r="AI86" s="2635"/>
      <c r="AJ86" s="2635"/>
      <c r="AK86" s="2635"/>
      <c r="AL86" s="2635"/>
      <c r="AM86" s="2635"/>
      <c r="AN86" s="2635"/>
      <c r="AO86" s="2635"/>
      <c r="AP86" s="2635"/>
      <c r="AQ86" s="2635"/>
      <c r="AR86" s="2635"/>
      <c r="AS86" s="2635"/>
      <c r="AT86" s="2635"/>
      <c r="AU86" s="2635"/>
      <c r="AV86" s="2635"/>
      <c r="AW86" s="2635"/>
      <c r="AX86" s="2635"/>
      <c r="AY86" s="2635"/>
      <c r="AZ86" s="2635"/>
      <c r="BA86" s="2635"/>
      <c r="BB86" s="2635"/>
      <c r="BC86" s="2635"/>
      <c r="BD86" s="2635"/>
      <c r="BE86" s="2635"/>
      <c r="BF86" s="2635"/>
      <c r="BG86" s="2635"/>
      <c r="BH86" s="2635"/>
      <c r="BI86" s="2635"/>
      <c r="BJ86" s="2635"/>
      <c r="BK86" s="2635"/>
      <c r="BL86" s="2635"/>
      <c r="BM86" s="2635"/>
      <c r="BN86" s="2635"/>
      <c r="BO86" s="2635"/>
      <c r="BP86" s="2635"/>
      <c r="BQ86" s="2635"/>
      <c r="BR86" s="2635"/>
      <c r="BS86" s="2635"/>
      <c r="BT86" s="2635"/>
      <c r="BU86" s="2635"/>
      <c r="BV86" s="2635"/>
      <c r="BW86" s="2635"/>
      <c r="BX86" s="2635"/>
      <c r="BY86" s="2635"/>
      <c r="BZ86" s="2635"/>
      <c r="CA86" s="2635"/>
      <c r="CB86" s="35"/>
      <c r="CC86" s="35"/>
      <c r="CD86" s="35"/>
      <c r="CE86" s="35"/>
      <c r="CF86" s="35"/>
      <c r="CG86" s="35"/>
      <c r="CH86" s="35"/>
      <c r="CI86" s="35"/>
      <c r="CJ86" s="35"/>
      <c r="CK86" s="35"/>
      <c r="CL86" s="35"/>
      <c r="CM86" s="35"/>
      <c r="CN86" s="35"/>
      <c r="CO86" s="35"/>
      <c r="CP86" s="35"/>
      <c r="CQ86" s="35"/>
      <c r="CR86" s="35"/>
      <c r="CS86" s="35"/>
      <c r="CT86" s="35"/>
      <c r="CU86" s="35"/>
      <c r="CV86" s="35"/>
      <c r="CW86" s="35"/>
      <c r="CX86" s="35"/>
      <c r="CY86" s="35"/>
      <c r="CZ86" s="35"/>
      <c r="DA86" s="35"/>
      <c r="DB86" s="35"/>
      <c r="DC86" s="35"/>
      <c r="DD86" s="35"/>
      <c r="DE86" s="35"/>
      <c r="DF86" s="35"/>
      <c r="DG86" s="35"/>
      <c r="DH86" s="35"/>
      <c r="DI86" s="35"/>
      <c r="DJ86" s="35"/>
      <c r="DK86" s="35"/>
      <c r="DL86" s="35"/>
      <c r="DM86" s="35"/>
      <c r="DN86" s="35"/>
      <c r="DO86" s="35"/>
      <c r="DP86" s="35"/>
      <c r="DQ86" s="35"/>
      <c r="DR86" s="35"/>
      <c r="DS86" s="35"/>
      <c r="DT86" s="35"/>
      <c r="DU86" s="35"/>
      <c r="DV86" s="35"/>
      <c r="DW86" s="35"/>
      <c r="DX86" s="35"/>
      <c r="DY86" s="35"/>
      <c r="DZ86" s="35"/>
      <c r="EA86" s="35"/>
      <c r="EB86" s="35"/>
      <c r="EC86" s="35"/>
      <c r="ED86" s="35"/>
      <c r="EE86" s="35"/>
      <c r="EF86" s="35"/>
      <c r="EG86" s="35"/>
      <c r="EH86" s="35"/>
      <c r="EI86" s="35"/>
      <c r="EJ86" s="35"/>
      <c r="EK86" s="35"/>
      <c r="EL86" s="35"/>
      <c r="EM86" s="35"/>
      <c r="EN86" s="35"/>
      <c r="EO86" s="35"/>
      <c r="EP86" s="35"/>
      <c r="EQ86" s="35"/>
      <c r="ER86" s="35"/>
      <c r="ES86" s="35"/>
      <c r="ET86" s="35"/>
      <c r="EU86" s="35"/>
      <c r="EV86" s="35"/>
      <c r="EW86" s="35"/>
      <c r="EX86" s="35"/>
      <c r="EY86" s="35"/>
      <c r="EZ86" s="35"/>
      <c r="FA86" s="35"/>
      <c r="FB86" s="35"/>
      <c r="FC86" s="35"/>
      <c r="FD86" s="35"/>
      <c r="FE86" s="35"/>
      <c r="FF86" s="35"/>
      <c r="FG86" s="35"/>
      <c r="FH86" s="35"/>
      <c r="FI86" s="35"/>
      <c r="FJ86" s="35"/>
      <c r="FK86" s="35"/>
      <c r="FL86" s="35"/>
      <c r="FM86" s="35"/>
      <c r="FN86" s="35"/>
      <c r="FO86" s="35"/>
      <c r="FP86" s="35"/>
      <c r="FQ86" s="35"/>
      <c r="FR86" s="35"/>
      <c r="FS86" s="35"/>
      <c r="FT86" s="35"/>
      <c r="FU86" s="35"/>
      <c r="FV86" s="35"/>
      <c r="FW86" s="35"/>
      <c r="FX86" s="35"/>
      <c r="FY86" s="35"/>
      <c r="FZ86" s="35"/>
      <c r="GA86" s="35"/>
      <c r="GB86" s="35"/>
      <c r="GC86" s="35"/>
      <c r="GD86" s="35"/>
      <c r="GE86" s="35"/>
      <c r="GF86" s="35"/>
      <c r="GG86" s="35"/>
      <c r="GH86" s="35"/>
      <c r="GI86" s="35"/>
      <c r="GJ86" s="35"/>
      <c r="GK86" s="35"/>
      <c r="GL86" s="35"/>
      <c r="GM86" s="35"/>
      <c r="GN86" s="35"/>
      <c r="GO86" s="35"/>
      <c r="GP86" s="35"/>
      <c r="GQ86" s="35"/>
      <c r="GR86" s="35"/>
      <c r="GS86" s="35"/>
      <c r="GT86" s="35"/>
      <c r="GU86" s="35"/>
      <c r="GV86" s="35"/>
      <c r="GW86" s="35"/>
      <c r="GX86" s="35"/>
      <c r="GY86" s="35"/>
      <c r="GZ86" s="35"/>
      <c r="HA86" s="35"/>
      <c r="HB86" s="35"/>
      <c r="HC86" s="35"/>
      <c r="HD86" s="35"/>
      <c r="HE86" s="35"/>
      <c r="HF86" s="35"/>
      <c r="HG86" s="35"/>
      <c r="HH86" s="35"/>
      <c r="HI86" s="35"/>
      <c r="HJ86" s="35"/>
      <c r="HK86" s="35"/>
      <c r="HL86" s="35"/>
      <c r="HM86" s="35"/>
      <c r="HN86" s="35"/>
      <c r="HO86" s="35"/>
      <c r="HP86" s="35"/>
      <c r="HQ86" s="35"/>
      <c r="HR86" s="35"/>
      <c r="HS86" s="35"/>
      <c r="HT86" s="35"/>
      <c r="HU86" s="35"/>
      <c r="HV86" s="35"/>
      <c r="HW86" s="35"/>
      <c r="HX86" s="35"/>
      <c r="HY86" s="35"/>
      <c r="HZ86" s="35"/>
      <c r="IA86" s="35"/>
      <c r="IB86" s="35"/>
      <c r="IC86" s="35"/>
      <c r="ID86" s="35"/>
      <c r="IE86" s="35"/>
      <c r="IF86" s="35"/>
      <c r="IG86" s="35"/>
      <c r="IH86" s="35"/>
      <c r="II86" s="35"/>
      <c r="IJ86" s="35"/>
      <c r="IK86" s="35"/>
      <c r="IL86" s="35"/>
      <c r="IM86" s="35"/>
      <c r="IN86" s="35"/>
      <c r="IO86" s="35"/>
      <c r="IP86" s="35"/>
      <c r="IQ86" s="35"/>
      <c r="IR86" s="35"/>
      <c r="IS86" s="35"/>
      <c r="IT86" s="35"/>
      <c r="IU86" s="35"/>
      <c r="IV86" s="35"/>
      <c r="IW86" s="35"/>
      <c r="IX86" s="35"/>
      <c r="IY86" s="35"/>
      <c r="IZ86" s="35"/>
      <c r="JA86" s="35"/>
      <c r="JB86" s="35"/>
      <c r="JC86" s="35"/>
      <c r="JD86" s="35"/>
      <c r="JE86" s="35"/>
      <c r="JF86" s="35"/>
      <c r="JI86" s="6"/>
    </row>
    <row r="87" spans="1:269" x14ac:dyDescent="0.2">
      <c r="A87" s="1128" t="s">
        <v>4479</v>
      </c>
      <c r="B87" s="628" t="s">
        <v>3922</v>
      </c>
      <c r="C87" s="1251" t="s">
        <v>3832</v>
      </c>
      <c r="D87" s="1133"/>
      <c r="E87" s="2026">
        <v>1</v>
      </c>
      <c r="F87" s="2026">
        <v>2</v>
      </c>
      <c r="G87" s="2026">
        <v>3</v>
      </c>
      <c r="H87" s="2026">
        <v>4</v>
      </c>
      <c r="I87" s="2026">
        <v>5</v>
      </c>
      <c r="J87" s="2026">
        <v>6</v>
      </c>
      <c r="K87" s="2026">
        <v>7</v>
      </c>
      <c r="L87" s="2026">
        <v>8</v>
      </c>
      <c r="M87" s="2026">
        <v>9</v>
      </c>
      <c r="N87" s="2026">
        <v>10</v>
      </c>
      <c r="O87" s="2026">
        <v>11</v>
      </c>
      <c r="P87" s="2026">
        <v>12</v>
      </c>
      <c r="Q87" s="2026">
        <v>13</v>
      </c>
      <c r="R87" s="2026">
        <v>14</v>
      </c>
      <c r="S87" s="2026">
        <v>15</v>
      </c>
      <c r="T87" s="2026">
        <v>16</v>
      </c>
      <c r="U87" s="2026">
        <v>17</v>
      </c>
      <c r="V87" s="2026">
        <v>18</v>
      </c>
      <c r="W87" s="2026">
        <v>19</v>
      </c>
      <c r="X87" s="2026">
        <v>20</v>
      </c>
      <c r="Y87" s="2026">
        <v>21</v>
      </c>
      <c r="Z87" s="2026">
        <v>22</v>
      </c>
      <c r="AA87" s="2026">
        <v>23</v>
      </c>
      <c r="AB87" s="2026">
        <v>24</v>
      </c>
      <c r="AC87" s="2026">
        <v>25</v>
      </c>
      <c r="AD87" s="3502">
        <v>26</v>
      </c>
      <c r="AE87" s="3502">
        <v>27</v>
      </c>
      <c r="AF87" s="3502">
        <v>28</v>
      </c>
      <c r="AG87" s="3502">
        <v>29</v>
      </c>
      <c r="AH87" s="3502">
        <v>30</v>
      </c>
      <c r="AI87" s="2026">
        <v>31</v>
      </c>
      <c r="AJ87" s="2026">
        <v>32</v>
      </c>
      <c r="AK87" s="2026">
        <v>33</v>
      </c>
      <c r="AL87" s="2026">
        <v>34</v>
      </c>
      <c r="AM87" s="2026">
        <v>35</v>
      </c>
      <c r="AN87" s="2026">
        <v>36</v>
      </c>
      <c r="AO87" s="2026">
        <v>37</v>
      </c>
      <c r="AP87" s="2026">
        <v>38</v>
      </c>
      <c r="AQ87" s="2026">
        <v>39</v>
      </c>
      <c r="AR87" s="2026">
        <v>40</v>
      </c>
      <c r="AS87" s="2026">
        <v>41</v>
      </c>
      <c r="AT87" s="2026">
        <v>42</v>
      </c>
      <c r="AU87" s="2026">
        <v>43</v>
      </c>
      <c r="AV87" s="2026">
        <v>44</v>
      </c>
      <c r="AW87" s="2026">
        <v>45</v>
      </c>
      <c r="AX87" s="2026">
        <v>46</v>
      </c>
      <c r="AY87" s="2026">
        <v>47</v>
      </c>
      <c r="AZ87" s="2026">
        <v>48</v>
      </c>
      <c r="BA87" s="2026">
        <v>49</v>
      </c>
      <c r="BB87" s="2026">
        <v>50</v>
      </c>
      <c r="BC87" s="2026">
        <v>51</v>
      </c>
      <c r="BD87" s="2026">
        <v>52</v>
      </c>
      <c r="BE87" s="2026">
        <v>53</v>
      </c>
      <c r="BF87" s="2026">
        <v>54</v>
      </c>
      <c r="BG87" s="2026">
        <v>55</v>
      </c>
      <c r="BH87" s="2026">
        <v>56</v>
      </c>
      <c r="BI87" s="2026">
        <v>57</v>
      </c>
      <c r="BJ87" s="2026">
        <v>58</v>
      </c>
      <c r="BK87" s="2026">
        <v>59</v>
      </c>
      <c r="BL87" s="2026">
        <v>60</v>
      </c>
      <c r="BM87" s="2026">
        <v>61</v>
      </c>
      <c r="BN87" s="2026">
        <v>62</v>
      </c>
      <c r="BO87" s="2026">
        <v>63</v>
      </c>
      <c r="BP87" s="2026">
        <v>64</v>
      </c>
      <c r="BQ87" s="2026">
        <v>65</v>
      </c>
      <c r="BR87" s="2026">
        <v>66</v>
      </c>
      <c r="BS87" s="2026">
        <v>67</v>
      </c>
      <c r="BT87" s="2026">
        <v>68</v>
      </c>
      <c r="BU87" s="2026">
        <v>69</v>
      </c>
      <c r="BV87" s="2026">
        <v>70</v>
      </c>
      <c r="BW87" s="2026">
        <v>71</v>
      </c>
      <c r="BX87" s="2026">
        <v>72</v>
      </c>
      <c r="BY87" s="2026">
        <v>73</v>
      </c>
      <c r="BZ87" s="2026">
        <v>74</v>
      </c>
      <c r="CA87" s="2026">
        <v>75</v>
      </c>
      <c r="CB87" s="2026">
        <v>76</v>
      </c>
      <c r="CC87" s="2026">
        <v>77</v>
      </c>
      <c r="CD87" s="2026">
        <v>78</v>
      </c>
      <c r="CE87" s="2026">
        <v>79</v>
      </c>
      <c r="CF87" s="2026">
        <v>80</v>
      </c>
      <c r="CG87" s="2026">
        <v>81</v>
      </c>
      <c r="CH87" s="2026">
        <v>82</v>
      </c>
      <c r="CI87" s="2026">
        <v>83</v>
      </c>
      <c r="CJ87" s="2026">
        <v>84</v>
      </c>
      <c r="CK87" s="2026">
        <v>85</v>
      </c>
      <c r="CL87" s="2026">
        <v>86</v>
      </c>
      <c r="CM87" s="2026">
        <v>87</v>
      </c>
      <c r="CN87" s="2026">
        <v>88</v>
      </c>
      <c r="CO87" s="2026">
        <v>89</v>
      </c>
      <c r="CP87" s="2026">
        <v>90</v>
      </c>
      <c r="CQ87" s="2026">
        <v>91</v>
      </c>
      <c r="CR87" s="2026">
        <v>92</v>
      </c>
      <c r="CS87" s="2026">
        <v>93</v>
      </c>
      <c r="CT87" s="2026">
        <v>94</v>
      </c>
      <c r="CU87" s="2026">
        <v>95</v>
      </c>
      <c r="CV87" s="2026">
        <v>96</v>
      </c>
      <c r="CW87" s="2026">
        <v>97</v>
      </c>
      <c r="CX87" s="2026">
        <v>98</v>
      </c>
      <c r="CY87" s="2026">
        <v>99</v>
      </c>
      <c r="CZ87" s="2026">
        <v>100</v>
      </c>
      <c r="DA87" s="2026">
        <v>101</v>
      </c>
      <c r="DB87" s="2026">
        <v>102</v>
      </c>
      <c r="DC87" s="2026">
        <v>103</v>
      </c>
      <c r="DD87" s="2026">
        <v>104</v>
      </c>
      <c r="DE87" s="2026">
        <v>105</v>
      </c>
      <c r="DF87" s="2026">
        <v>106</v>
      </c>
      <c r="DG87" s="2026">
        <v>107</v>
      </c>
      <c r="DH87" s="2026">
        <v>108</v>
      </c>
      <c r="DI87" s="2026">
        <v>109</v>
      </c>
      <c r="DJ87" s="2026">
        <v>110</v>
      </c>
      <c r="DK87" s="2026">
        <v>111</v>
      </c>
      <c r="DL87" s="2026">
        <v>112</v>
      </c>
      <c r="DM87" s="2026">
        <v>113</v>
      </c>
      <c r="DN87" s="2026">
        <v>114</v>
      </c>
      <c r="DO87" s="2026">
        <v>115</v>
      </c>
      <c r="DP87" s="2026">
        <v>116</v>
      </c>
      <c r="DQ87" s="2026">
        <v>117</v>
      </c>
      <c r="DR87" s="2026">
        <v>118</v>
      </c>
      <c r="DS87" s="2026">
        <v>119</v>
      </c>
      <c r="DT87" s="2026">
        <v>120</v>
      </c>
      <c r="DU87" s="2026">
        <v>121</v>
      </c>
      <c r="DV87" s="2026">
        <v>122</v>
      </c>
      <c r="DW87" s="2026">
        <v>123</v>
      </c>
      <c r="DX87" s="2026">
        <v>124</v>
      </c>
      <c r="DY87" s="2026">
        <v>125</v>
      </c>
      <c r="DZ87" s="2026">
        <v>126</v>
      </c>
      <c r="EA87" s="2026">
        <v>127</v>
      </c>
      <c r="EB87" s="2026">
        <v>128</v>
      </c>
      <c r="EC87" s="2026">
        <v>129</v>
      </c>
      <c r="ED87" s="2026">
        <v>130</v>
      </c>
      <c r="EE87" s="2026">
        <v>131</v>
      </c>
      <c r="EF87" s="2026">
        <v>132</v>
      </c>
      <c r="EG87" s="2026">
        <v>133</v>
      </c>
      <c r="EH87" s="2026">
        <v>134</v>
      </c>
      <c r="EI87" s="2026">
        <v>135</v>
      </c>
      <c r="EJ87" s="2026">
        <v>136</v>
      </c>
      <c r="EK87" s="2026">
        <v>137</v>
      </c>
      <c r="EL87" s="2026">
        <v>138</v>
      </c>
      <c r="EM87" s="2026">
        <v>139</v>
      </c>
      <c r="EN87" s="2026">
        <v>140</v>
      </c>
      <c r="EO87" s="2026">
        <v>141</v>
      </c>
      <c r="EP87" s="2026">
        <v>142</v>
      </c>
      <c r="EQ87" s="2026">
        <v>143</v>
      </c>
      <c r="ER87" s="2026">
        <v>144</v>
      </c>
      <c r="ES87" s="2026">
        <v>145</v>
      </c>
      <c r="ET87" s="2026">
        <v>146</v>
      </c>
      <c r="EU87" s="2026">
        <v>147</v>
      </c>
      <c r="EV87" s="2026">
        <v>148</v>
      </c>
      <c r="EW87" s="2026">
        <v>149</v>
      </c>
      <c r="EX87" s="2026">
        <v>150</v>
      </c>
      <c r="EY87" s="2026">
        <v>151</v>
      </c>
      <c r="EZ87" s="2026">
        <v>152</v>
      </c>
      <c r="FA87" s="2026">
        <v>153</v>
      </c>
      <c r="FB87" s="2026">
        <v>154</v>
      </c>
      <c r="FC87" s="2026">
        <v>155</v>
      </c>
      <c r="FD87" s="2026">
        <v>156</v>
      </c>
      <c r="FE87" s="2026">
        <v>157</v>
      </c>
      <c r="FF87" s="2026">
        <v>158</v>
      </c>
      <c r="FG87" s="2026">
        <v>159</v>
      </c>
      <c r="FH87" s="2026">
        <v>160</v>
      </c>
      <c r="FI87" s="2026">
        <v>161</v>
      </c>
      <c r="FJ87" s="2026">
        <v>162</v>
      </c>
      <c r="FK87" s="2026">
        <v>163</v>
      </c>
      <c r="FL87" s="2026">
        <v>164</v>
      </c>
      <c r="FM87" s="2026">
        <v>165</v>
      </c>
      <c r="FN87" s="2026">
        <v>166</v>
      </c>
      <c r="FO87" s="2026">
        <v>167</v>
      </c>
      <c r="FP87" s="2026">
        <v>168</v>
      </c>
      <c r="FQ87" s="2026">
        <v>169</v>
      </c>
      <c r="FR87" s="2026">
        <v>170</v>
      </c>
      <c r="FS87" s="2026">
        <v>171</v>
      </c>
      <c r="FT87" s="2026">
        <v>172</v>
      </c>
      <c r="FU87" s="2026">
        <v>173</v>
      </c>
      <c r="FV87" s="2026">
        <v>174</v>
      </c>
      <c r="FW87" s="2026">
        <v>175</v>
      </c>
      <c r="FX87" s="2026">
        <v>176</v>
      </c>
      <c r="FY87" s="2026">
        <v>177</v>
      </c>
      <c r="FZ87" s="2026">
        <v>178</v>
      </c>
      <c r="GA87" s="2026">
        <v>179</v>
      </c>
      <c r="GB87" s="2026">
        <v>180</v>
      </c>
      <c r="GC87" s="2026">
        <v>181</v>
      </c>
      <c r="GD87" s="2026">
        <v>182</v>
      </c>
      <c r="GE87" s="2026">
        <v>183</v>
      </c>
      <c r="GF87" s="2026">
        <v>184</v>
      </c>
      <c r="GG87" s="2026">
        <v>185</v>
      </c>
      <c r="GH87" s="2026">
        <v>186</v>
      </c>
      <c r="GI87" s="2026">
        <v>187</v>
      </c>
      <c r="GJ87" s="2026">
        <v>188</v>
      </c>
      <c r="GK87" s="2026">
        <v>189</v>
      </c>
      <c r="GL87" s="2026">
        <v>190</v>
      </c>
      <c r="GM87" s="2026">
        <v>191</v>
      </c>
      <c r="GN87" s="2026">
        <v>192</v>
      </c>
      <c r="GO87" s="2026">
        <v>193</v>
      </c>
      <c r="GP87" s="2026">
        <v>194</v>
      </c>
      <c r="GQ87" s="2026">
        <v>195</v>
      </c>
      <c r="GR87" s="2026">
        <v>196</v>
      </c>
      <c r="GS87" s="2026">
        <v>197</v>
      </c>
      <c r="GT87" s="2026">
        <v>198</v>
      </c>
      <c r="GU87" s="2026">
        <v>199</v>
      </c>
      <c r="GV87" s="2026">
        <v>200</v>
      </c>
      <c r="GW87" s="2026">
        <v>201</v>
      </c>
      <c r="GX87" s="2026">
        <v>202</v>
      </c>
      <c r="GY87" s="2026">
        <v>203</v>
      </c>
      <c r="GZ87" s="2026">
        <v>204</v>
      </c>
      <c r="HA87" s="2026">
        <v>205</v>
      </c>
      <c r="HB87" s="2026">
        <v>206</v>
      </c>
      <c r="HC87" s="2026">
        <v>207</v>
      </c>
      <c r="HD87" s="2026">
        <v>208</v>
      </c>
      <c r="HE87" s="2026">
        <v>209</v>
      </c>
      <c r="HF87" s="2026">
        <v>210</v>
      </c>
      <c r="HG87" s="2026">
        <v>211</v>
      </c>
      <c r="HH87" s="2026">
        <v>212</v>
      </c>
      <c r="HI87" s="2026">
        <v>213</v>
      </c>
      <c r="HJ87" s="2026">
        <v>214</v>
      </c>
      <c r="HK87" s="2026">
        <v>215</v>
      </c>
      <c r="HL87" s="2026">
        <v>216</v>
      </c>
      <c r="HM87" s="2026">
        <v>217</v>
      </c>
      <c r="HN87" s="2026">
        <v>218</v>
      </c>
      <c r="HO87" s="2026">
        <v>219</v>
      </c>
      <c r="HP87" s="2026">
        <v>220</v>
      </c>
      <c r="HQ87" s="2026">
        <v>221</v>
      </c>
      <c r="HR87" s="2026">
        <v>222</v>
      </c>
      <c r="HS87" s="2026">
        <v>223</v>
      </c>
      <c r="HT87" s="2026">
        <v>224</v>
      </c>
      <c r="HU87" s="2026">
        <v>225</v>
      </c>
      <c r="HV87" s="2026">
        <v>226</v>
      </c>
      <c r="HW87" s="2026">
        <v>227</v>
      </c>
      <c r="HX87" s="2026">
        <v>228</v>
      </c>
      <c r="HY87" s="2026">
        <v>229</v>
      </c>
      <c r="HZ87" s="2026">
        <v>230</v>
      </c>
      <c r="IA87" s="2026">
        <v>231</v>
      </c>
      <c r="IB87" s="2026">
        <v>232</v>
      </c>
      <c r="IC87" s="2026">
        <v>233</v>
      </c>
      <c r="ID87" s="2026">
        <v>234</v>
      </c>
      <c r="IE87" s="2026">
        <v>235</v>
      </c>
      <c r="IF87" s="2026">
        <v>236</v>
      </c>
      <c r="IG87" s="2026">
        <v>237</v>
      </c>
      <c r="IH87" s="2026">
        <v>238</v>
      </c>
      <c r="II87" s="2026">
        <v>239</v>
      </c>
      <c r="IJ87" s="2026">
        <v>240</v>
      </c>
      <c r="IK87" s="2026">
        <v>241</v>
      </c>
      <c r="IL87" s="2026">
        <v>242</v>
      </c>
      <c r="IM87" s="2026">
        <v>243</v>
      </c>
      <c r="IN87" s="2026">
        <v>244</v>
      </c>
      <c r="IO87" s="2026">
        <v>245</v>
      </c>
      <c r="IP87" s="1134">
        <v>246</v>
      </c>
      <c r="IQ87" s="1134">
        <v>247</v>
      </c>
      <c r="IR87" s="1134">
        <v>248</v>
      </c>
      <c r="IS87" s="1134">
        <v>249</v>
      </c>
      <c r="IT87" s="1134">
        <v>250</v>
      </c>
      <c r="IU87" s="1134">
        <v>251</v>
      </c>
      <c r="IV87" s="1134">
        <v>252</v>
      </c>
      <c r="IW87" s="1134">
        <v>253</v>
      </c>
      <c r="IX87" s="1134">
        <v>254</v>
      </c>
      <c r="IY87" s="1134">
        <v>255</v>
      </c>
      <c r="IZ87" s="1134">
        <v>256</v>
      </c>
      <c r="JA87" s="1134">
        <v>257</v>
      </c>
      <c r="JB87" s="1134">
        <v>258</v>
      </c>
      <c r="JC87" s="1134">
        <v>259</v>
      </c>
      <c r="JD87" s="1134">
        <v>260</v>
      </c>
      <c r="JE87" s="1134">
        <v>261</v>
      </c>
      <c r="JF87" s="1134">
        <v>262</v>
      </c>
      <c r="JG87" s="2485">
        <v>263</v>
      </c>
      <c r="JH87" s="1233"/>
      <c r="JI87" s="1393"/>
    </row>
    <row r="88" spans="1:269" x14ac:dyDescent="0.2">
      <c r="A88" s="1128">
        <v>2</v>
      </c>
      <c r="B88" s="1375" t="str">
        <f ref="B88:B98" si="8" t="shared">IF(AIL_IND&gt;1,IF(HLOOKUP(AIL_IND-1,AIL_RANGE,A88)="","",HLOOKUP(AIL_IND-1,AIL_RANGE,A88)),"")</f>
        <v/>
      </c>
      <c r="C88" s="2268" t="s">
        <v>3129</v>
      </c>
      <c r="D88" s="2403" t="str">
        <f>"Earlier years’ losses – which can be set against certain other income in "&amp;tax_year</f>
        <v>Earlier years’ losses – which can be set against certain other income in 2019-20</v>
      </c>
      <c r="E88" s="2830"/>
      <c r="F88" s="2830"/>
      <c r="G88" s="2830"/>
      <c r="H88" s="2830"/>
      <c r="I88" s="2830"/>
      <c r="J88" s="2830"/>
      <c r="K88" s="2830"/>
      <c r="L88" s="2830"/>
      <c r="M88" s="2830"/>
      <c r="N88" s="2830"/>
      <c r="O88" s="2830"/>
      <c r="P88" s="2830"/>
      <c r="Q88" s="2830"/>
      <c r="R88" s="2830"/>
      <c r="S88" s="2830"/>
      <c r="T88" s="2830"/>
      <c r="U88" s="2830"/>
      <c r="V88" s="2830"/>
      <c r="W88" s="2830"/>
      <c r="X88" s="2830"/>
      <c r="Y88" s="2830"/>
      <c r="Z88" s="2830"/>
      <c r="AA88" s="2830"/>
      <c r="AB88" s="2830"/>
      <c r="AC88" s="2830"/>
      <c r="AD88" s="2830"/>
      <c r="AE88" s="2830"/>
      <c r="AF88" s="2830"/>
      <c r="AG88" s="2830"/>
      <c r="AH88" s="2830"/>
      <c r="AI88" s="2830"/>
      <c r="AJ88" s="2830"/>
      <c r="AK88" s="2830"/>
      <c r="AL88" s="2830"/>
      <c r="AM88" s="2830"/>
      <c r="AN88" s="2830"/>
      <c r="AO88" s="2830"/>
      <c r="AP88" s="2830"/>
      <c r="AQ88" s="2830"/>
      <c r="AR88" s="2830"/>
      <c r="AS88" s="2830"/>
      <c r="AT88" s="2830"/>
      <c r="AU88" s="2830"/>
      <c r="AV88" s="2830"/>
      <c r="AW88" s="2830"/>
      <c r="AX88" s="2830"/>
      <c r="AY88" s="2830"/>
      <c r="AZ88" s="2830"/>
      <c r="BA88" s="2830"/>
      <c r="BB88" s="2830"/>
      <c r="BC88" s="2830"/>
      <c r="BD88" s="2830"/>
      <c r="BE88" s="2830"/>
      <c r="BF88" s="2830"/>
      <c r="BG88" s="2830"/>
      <c r="BH88" s="2830"/>
      <c r="BI88" s="2830"/>
      <c r="BJ88" s="2830"/>
      <c r="BK88" s="2830"/>
      <c r="BL88" s="2830"/>
      <c r="BM88" s="2830"/>
      <c r="BN88" s="2830"/>
      <c r="BO88" s="2830"/>
      <c r="BP88" s="2830"/>
      <c r="BQ88" s="2830"/>
      <c r="BR88" s="2830"/>
      <c r="BS88" s="2830"/>
      <c r="BT88" s="2830"/>
      <c r="BU88" s="2830"/>
      <c r="BV88" s="2830"/>
      <c r="BW88" s="2830"/>
      <c r="BX88" s="2830"/>
      <c r="BY88" s="2830"/>
      <c r="BZ88" s="2830"/>
      <c r="CA88" s="2830"/>
      <c r="CB88" s="2831"/>
      <c r="CC88" s="2831"/>
      <c r="CD88" s="2831"/>
      <c r="CE88" s="2831"/>
      <c r="CF88" s="2831"/>
      <c r="CG88" s="2831"/>
      <c r="CH88" s="2831"/>
      <c r="CI88" s="2831"/>
      <c r="CJ88" s="2831"/>
      <c r="CK88" s="2831"/>
      <c r="CL88" s="2831"/>
      <c r="CM88" s="2831"/>
      <c r="CN88" s="2830"/>
      <c r="CO88" s="2831"/>
      <c r="CP88" s="2831"/>
      <c r="CQ88" s="2423"/>
      <c r="CR88" s="2831"/>
      <c r="CS88" s="2831"/>
      <c r="CT88" s="2831"/>
      <c r="CU88" s="2831"/>
      <c r="CV88" s="2831"/>
      <c r="CW88" s="2831"/>
      <c r="CX88" s="2831"/>
      <c r="CY88" s="2831"/>
      <c r="CZ88" s="2831"/>
      <c r="DA88" s="2831"/>
      <c r="DB88" s="2831"/>
      <c r="DC88" s="2831"/>
      <c r="DD88" s="2831"/>
      <c r="DE88" s="2831"/>
      <c r="DF88" s="2831"/>
      <c r="DG88" s="2831"/>
      <c r="DH88" s="2831"/>
      <c r="DI88" s="2831"/>
      <c r="DJ88" s="2831"/>
      <c r="DK88" s="2831"/>
      <c r="DL88" s="2831"/>
      <c r="DM88" s="2831"/>
      <c r="DN88" s="2831"/>
      <c r="DO88" s="2831"/>
      <c r="DP88" s="2831"/>
      <c r="DQ88" s="2831"/>
      <c r="DR88" s="2831"/>
      <c r="DS88" s="2831"/>
      <c r="DT88" s="2831"/>
      <c r="DU88" s="2831"/>
      <c r="DV88" s="2831"/>
      <c r="DW88" s="2423">
        <v>200</v>
      </c>
      <c r="DX88" s="2831"/>
      <c r="DY88" s="2831"/>
      <c r="DZ88" s="2831"/>
      <c r="EA88" s="2831"/>
      <c r="EB88" s="2831"/>
      <c r="EC88" s="2831"/>
      <c r="ED88" s="2831"/>
      <c r="EE88" s="2831"/>
      <c r="EF88" s="2831"/>
      <c r="EG88" s="2831"/>
      <c r="EH88" s="2831"/>
      <c r="EI88" s="2831"/>
      <c r="EJ88" s="2831"/>
      <c r="EK88" s="2831"/>
      <c r="EL88" s="2831"/>
      <c r="EM88" s="2423"/>
      <c r="EN88" s="2423"/>
      <c r="EO88" s="2423"/>
      <c r="EP88" s="2423"/>
      <c r="EQ88" s="2831"/>
      <c r="ER88" s="2831"/>
      <c r="ES88" s="2831"/>
      <c r="ET88" s="2831"/>
      <c r="EU88" s="2831"/>
      <c r="EV88" s="2423"/>
      <c r="EW88" s="2831"/>
      <c r="EX88" s="2831"/>
      <c r="EY88" s="2831"/>
      <c r="EZ88" s="2831"/>
      <c r="FA88" s="2831"/>
      <c r="FB88" s="2831"/>
      <c r="FC88" s="2831"/>
      <c r="FD88" s="2831"/>
      <c r="FE88" s="2831"/>
      <c r="FF88" s="2831"/>
      <c r="FG88" s="2831"/>
      <c r="FH88" s="2831"/>
      <c r="FI88" s="2831"/>
      <c r="FJ88" s="2831"/>
      <c r="FK88" s="2831"/>
      <c r="FL88" s="2831"/>
      <c r="FM88" s="2831"/>
      <c r="FN88" s="2831"/>
      <c r="FO88" s="2831"/>
      <c r="FP88" s="2831"/>
      <c r="FQ88" s="2423"/>
      <c r="FR88" s="2831"/>
      <c r="FS88" s="2831"/>
      <c r="FT88" s="2831"/>
      <c r="FU88" s="2831"/>
      <c r="FV88" s="2831"/>
      <c r="FW88" s="2831"/>
      <c r="FX88" s="2423"/>
      <c r="FY88" s="2831"/>
      <c r="FZ88" s="2831"/>
      <c r="GA88" s="2831"/>
      <c r="GB88" s="2831"/>
      <c r="GC88" s="2831"/>
      <c r="GD88" s="2831"/>
      <c r="GE88" s="2831"/>
      <c r="GF88" s="2831"/>
      <c r="GG88" s="2831"/>
      <c r="GH88" s="2423"/>
      <c r="GI88" s="2423"/>
      <c r="GJ88" s="2423"/>
      <c r="GK88" s="2831"/>
      <c r="GL88" s="2831"/>
      <c r="GM88" s="2831"/>
      <c r="GN88" s="2831"/>
      <c r="GO88" s="2831"/>
      <c r="GP88" s="2831"/>
      <c r="GQ88" s="2831"/>
      <c r="GR88" s="2831"/>
      <c r="GS88" s="2423"/>
      <c r="GT88" s="2423"/>
      <c r="GU88" s="2423"/>
      <c r="GV88" s="2831"/>
      <c r="GW88" s="2831"/>
      <c r="GX88" s="2423"/>
      <c r="GY88" s="2831"/>
      <c r="GZ88" s="2423"/>
      <c r="HA88" s="2423"/>
      <c r="HB88" s="2831"/>
      <c r="HC88" s="2831"/>
      <c r="HD88" s="2831"/>
      <c r="HE88" s="2831"/>
      <c r="HF88" s="2423"/>
      <c r="HG88" s="2423"/>
      <c r="HH88" s="2831"/>
      <c r="HI88" s="2831"/>
      <c r="HJ88" s="2831"/>
      <c r="HK88" s="2831"/>
      <c r="HL88" s="2831"/>
      <c r="HM88" s="2831"/>
      <c r="HN88" s="2831"/>
      <c r="HO88" s="2831"/>
      <c r="HP88" s="2831"/>
      <c r="HQ88" s="2831"/>
      <c r="HR88" s="2831"/>
      <c r="HS88" s="2831"/>
      <c r="HT88" s="2831"/>
      <c r="HU88" s="2831"/>
      <c r="HV88" s="2831"/>
      <c r="HW88" s="2831"/>
      <c r="HX88" s="2831"/>
      <c r="HY88" s="2831"/>
      <c r="HZ88" s="2831"/>
      <c r="IA88" s="2831"/>
      <c r="IB88" s="2831"/>
      <c r="IC88" s="2831"/>
      <c r="ID88" s="2831"/>
      <c r="IE88" s="2831"/>
      <c r="IF88" s="2831"/>
      <c r="IG88" s="2831"/>
      <c r="IH88" s="2831"/>
      <c r="II88" s="2831"/>
      <c r="IJ88" s="2831"/>
      <c r="IK88" s="2831"/>
      <c r="IL88" s="2831"/>
      <c r="IM88" s="2831"/>
      <c r="IN88" s="2831"/>
      <c r="IO88" s="2831"/>
      <c r="IP88" s="2831"/>
      <c r="IQ88" s="2831"/>
      <c r="IR88" s="2831"/>
      <c r="IS88" s="2831"/>
      <c r="IT88" s="2831"/>
      <c r="IU88" s="2831"/>
      <c r="IV88" s="2831"/>
      <c r="IW88" s="2831"/>
      <c r="IX88" s="2831"/>
      <c r="IY88" s="2831"/>
      <c r="IZ88" s="2831"/>
      <c r="JA88" s="2831"/>
      <c r="JB88" s="2831"/>
      <c r="JC88" s="2831"/>
      <c r="JD88" s="4231"/>
      <c r="JE88" s="4231"/>
      <c r="JF88" s="4231"/>
      <c r="JG88" s="3775"/>
      <c r="JH88" s="1233"/>
      <c r="JI88" s="1393"/>
    </row>
    <row r="89" spans="1:269" x14ac:dyDescent="0.2">
      <c r="A89" s="1128">
        <v>3</v>
      </c>
      <c r="B89" s="1375" t="str">
        <f si="8" t="shared"/>
        <v/>
      </c>
      <c r="C89" s="2268" t="s">
        <v>3130</v>
      </c>
      <c r="D89" s="2403" t="s">
        <v>4920</v>
      </c>
      <c r="E89" s="2378"/>
      <c r="F89" s="2379"/>
      <c r="G89" s="2379"/>
      <c r="H89" s="2379"/>
      <c r="I89" s="2379"/>
      <c r="J89" s="2379"/>
      <c r="K89" s="2379"/>
      <c r="L89" s="2379"/>
      <c r="M89" s="2379"/>
      <c r="N89" s="2379"/>
      <c r="O89" s="2379"/>
      <c r="P89" s="2379"/>
      <c r="Q89" s="2379"/>
      <c r="R89" s="2379"/>
      <c r="S89" s="2379"/>
      <c r="T89" s="2379"/>
      <c r="U89" s="2379"/>
      <c r="V89" s="2379"/>
      <c r="W89" s="2379"/>
      <c r="X89" s="2379"/>
      <c r="Y89" s="2379"/>
      <c r="Z89" s="2379"/>
      <c r="AA89" s="2379"/>
      <c r="AB89" s="2379"/>
      <c r="AC89" s="2379"/>
      <c r="AD89" s="2379"/>
      <c r="AE89" s="2379"/>
      <c r="AF89" s="2379"/>
      <c r="AG89" s="2379"/>
      <c r="AH89" s="2379"/>
      <c r="AI89" s="2379"/>
      <c r="AJ89" s="2379"/>
      <c r="AK89" s="2379"/>
      <c r="AL89" s="2379"/>
      <c r="AM89" s="2379"/>
      <c r="AN89" s="2379"/>
      <c r="AO89" s="2379"/>
      <c r="AP89" s="2379"/>
      <c r="AQ89" s="2379"/>
      <c r="AR89" s="2379"/>
      <c r="AS89" s="2379"/>
      <c r="AT89" s="2379"/>
      <c r="AU89" s="2379"/>
      <c r="AV89" s="2379"/>
      <c r="AW89" s="2379"/>
      <c r="AX89" s="2379"/>
      <c r="AY89" s="2379"/>
      <c r="AZ89" s="2379"/>
      <c r="BA89" s="2379"/>
      <c r="BB89" s="2379"/>
      <c r="BC89" s="2379"/>
      <c r="BD89" s="2379"/>
      <c r="BE89" s="2379"/>
      <c r="BF89" s="2379"/>
      <c r="BG89" s="2379"/>
      <c r="BH89" s="2379"/>
      <c r="BI89" s="2379"/>
      <c r="BJ89" s="2379"/>
      <c r="BK89" s="2379"/>
      <c r="BL89" s="2379"/>
      <c r="BM89" s="2379"/>
      <c r="BN89" s="2379"/>
      <c r="BO89" s="2379"/>
      <c r="BP89" s="2379"/>
      <c r="BQ89" s="2379"/>
      <c r="BR89" s="2379"/>
      <c r="BS89" s="2379"/>
      <c r="BT89" s="2379"/>
      <c r="BU89" s="2379"/>
      <c r="BV89" s="2379"/>
      <c r="BW89" s="2379"/>
      <c r="BX89" s="2379"/>
      <c r="BY89" s="2379"/>
      <c r="BZ89" s="2379"/>
      <c r="CA89" s="2379"/>
      <c r="CB89" s="2815"/>
      <c r="CC89" s="2815"/>
      <c r="CD89" s="2815"/>
      <c r="CE89" s="2815"/>
      <c r="CF89" s="2815"/>
      <c r="CG89" s="2815"/>
      <c r="CH89" s="2815"/>
      <c r="CI89" s="2815"/>
      <c r="CJ89" s="2815"/>
      <c r="CK89" s="2815"/>
      <c r="CL89" s="2815"/>
      <c r="CM89" s="2815"/>
      <c r="CN89" s="2379"/>
      <c r="CO89" s="2815"/>
      <c r="CP89" s="2815"/>
      <c r="CQ89" s="2379"/>
      <c r="CR89" s="2815"/>
      <c r="CS89" s="2815"/>
      <c r="CT89" s="2815"/>
      <c r="CU89" s="2815"/>
      <c r="CV89" s="2815"/>
      <c r="CW89" s="2815"/>
      <c r="CX89" s="2815"/>
      <c r="CY89" s="2815"/>
      <c r="CZ89" s="2815"/>
      <c r="DA89" s="2815"/>
      <c r="DB89" s="2815"/>
      <c r="DC89" s="2815"/>
      <c r="DD89" s="2815"/>
      <c r="DE89" s="2815"/>
      <c r="DF89" s="2815"/>
      <c r="DG89" s="2815"/>
      <c r="DH89" s="2815"/>
      <c r="DI89" s="2815"/>
      <c r="DJ89" s="2815"/>
      <c r="DK89" s="2815"/>
      <c r="DL89" s="2815"/>
      <c r="DM89" s="2815"/>
      <c r="DN89" s="2815"/>
      <c r="DO89" s="2815"/>
      <c r="DP89" s="2815"/>
      <c r="DQ89" s="2815"/>
      <c r="DR89" s="2815"/>
      <c r="DS89" s="2815"/>
      <c r="DT89" s="2815"/>
      <c r="DU89" s="2815"/>
      <c r="DV89" s="2815"/>
      <c r="DW89" s="2379"/>
      <c r="DX89" s="2815"/>
      <c r="DY89" s="2815"/>
      <c r="DZ89" s="2815"/>
      <c r="EA89" s="2815"/>
      <c r="EB89" s="2815"/>
      <c r="EC89" s="2815"/>
      <c r="ED89" s="2815"/>
      <c r="EE89" s="2815"/>
      <c r="EF89" s="2815"/>
      <c r="EG89" s="2815"/>
      <c r="EH89" s="2815"/>
      <c r="EI89" s="2815"/>
      <c r="EJ89" s="2815"/>
      <c r="EK89" s="2815"/>
      <c r="EL89" s="2815"/>
      <c r="EM89" s="2379"/>
      <c r="EN89" s="2379"/>
      <c r="EO89" s="2379"/>
      <c r="EP89" s="2378"/>
      <c r="EQ89" s="2815"/>
      <c r="ER89" s="2815"/>
      <c r="ES89" s="2815"/>
      <c r="ET89" s="2815"/>
      <c r="EU89" s="2815"/>
      <c r="EV89" s="2379"/>
      <c r="EW89" s="2815"/>
      <c r="EX89" s="2815"/>
      <c r="EY89" s="2815"/>
      <c r="EZ89" s="2815"/>
      <c r="FA89" s="2815"/>
      <c r="FB89" s="2815"/>
      <c r="FC89" s="2815"/>
      <c r="FD89" s="2815"/>
      <c r="FE89" s="2815"/>
      <c r="FF89" s="2815"/>
      <c r="FG89" s="2815"/>
      <c r="FH89" s="2815"/>
      <c r="FI89" s="2815"/>
      <c r="FJ89" s="2815"/>
      <c r="FK89" s="2815"/>
      <c r="FL89" s="2815"/>
      <c r="FM89" s="2815"/>
      <c r="FN89" s="2815"/>
      <c r="FO89" s="2815"/>
      <c r="FP89" s="2815"/>
      <c r="FQ89" s="2379"/>
      <c r="FR89" s="2815"/>
      <c r="FS89" s="2815"/>
      <c r="FT89" s="2815"/>
      <c r="FU89" s="2815"/>
      <c r="FV89" s="2815"/>
      <c r="FW89" s="2815"/>
      <c r="FX89" s="2379"/>
      <c r="FY89" s="2815"/>
      <c r="FZ89" s="2815"/>
      <c r="GA89" s="2815"/>
      <c r="GB89" s="2815"/>
      <c r="GC89" s="2815"/>
      <c r="GD89" s="2815"/>
      <c r="GE89" s="2815"/>
      <c r="GF89" s="2815"/>
      <c r="GG89" s="2815"/>
      <c r="GH89" s="2379"/>
      <c r="GI89" s="2378"/>
      <c r="GJ89" s="2379"/>
      <c r="GK89" s="2815"/>
      <c r="GL89" s="2815"/>
      <c r="GM89" s="2815"/>
      <c r="GN89" s="2815"/>
      <c r="GO89" s="2815"/>
      <c r="GP89" s="2815"/>
      <c r="GQ89" s="2815"/>
      <c r="GR89" s="2815"/>
      <c r="GS89" s="2379"/>
      <c r="GT89" s="2379"/>
      <c r="GU89" s="2379"/>
      <c r="GV89" s="2815"/>
      <c r="GW89" s="2815"/>
      <c r="GX89" s="2379"/>
      <c r="GY89" s="2815"/>
      <c r="GZ89" s="2379"/>
      <c r="HA89" s="2379"/>
      <c r="HB89" s="2815"/>
      <c r="HC89" s="2815"/>
      <c r="HD89" s="2815"/>
      <c r="HE89" s="2815"/>
      <c r="HF89" s="2379"/>
      <c r="HG89" s="2379"/>
      <c r="HH89" s="2815"/>
      <c r="HI89" s="2815"/>
      <c r="HJ89" s="2815"/>
      <c r="HK89" s="2815"/>
      <c r="HL89" s="2815"/>
      <c r="HM89" s="2815"/>
      <c r="HN89" s="2815"/>
      <c r="HO89" s="2815"/>
      <c r="HP89" s="2815"/>
      <c r="HQ89" s="2815"/>
      <c r="HR89" s="2815"/>
      <c r="HS89" s="2815"/>
      <c r="HT89" s="2815"/>
      <c r="HU89" s="2815"/>
      <c r="HV89" s="2815"/>
      <c r="HW89" s="2815"/>
      <c r="HX89" s="2815"/>
      <c r="HY89" s="2815"/>
      <c r="HZ89" s="2815"/>
      <c r="IA89" s="2815"/>
      <c r="IB89" s="2815"/>
      <c r="IC89" s="2815"/>
      <c r="ID89" s="2815"/>
      <c r="IE89" s="2815"/>
      <c r="IF89" s="2815"/>
      <c r="IG89" s="2815"/>
      <c r="IH89" s="2815"/>
      <c r="II89" s="2815"/>
      <c r="IJ89" s="2815"/>
      <c r="IK89" s="2815"/>
      <c r="IL89" s="2815"/>
      <c r="IM89" s="2815"/>
      <c r="IN89" s="2815"/>
      <c r="IO89" s="2815"/>
      <c r="IP89" s="2815"/>
      <c r="IQ89" s="2815"/>
      <c r="IR89" s="2815"/>
      <c r="IS89" s="2815"/>
      <c r="IT89" s="2815"/>
      <c r="IU89" s="2815"/>
      <c r="IV89" s="2815"/>
      <c r="IW89" s="2815"/>
      <c r="IX89" s="2815"/>
      <c r="IY89" s="2815"/>
      <c r="IZ89" s="2815"/>
      <c r="JA89" s="2815"/>
      <c r="JB89" s="2815"/>
      <c r="JC89" s="2815"/>
      <c r="JD89" s="2815"/>
      <c r="JE89" s="2815"/>
      <c r="JF89" s="2815"/>
      <c r="JG89" s="3348"/>
      <c r="JH89" s="1233"/>
      <c r="JI89" s="1393"/>
    </row>
    <row r="90" spans="1:269" x14ac:dyDescent="0.2">
      <c r="A90" s="1128">
        <v>4</v>
      </c>
      <c r="B90" s="1375" t="str">
        <f si="8" t="shared"/>
        <v/>
      </c>
      <c r="C90" s="2268" t="s">
        <v>3131</v>
      </c>
      <c r="D90" s="2403" t="str">
        <f>"Relief now for "&amp;next_year&amp;" trade losses or certain capital losses"</f>
        <v>Relief now for 2020-21 trade losses or certain capital losses</v>
      </c>
      <c r="E90" s="2423"/>
      <c r="F90" s="2423"/>
      <c r="G90" s="2423"/>
      <c r="H90" s="2423"/>
      <c r="I90" s="2423"/>
      <c r="J90" s="2423"/>
      <c r="K90" s="2423"/>
      <c r="L90" s="2423"/>
      <c r="M90" s="2423"/>
      <c r="N90" s="2423"/>
      <c r="O90" s="2423"/>
      <c r="P90" s="2423"/>
      <c r="Q90" s="2423"/>
      <c r="R90" s="2423"/>
      <c r="S90" s="2423"/>
      <c r="T90" s="2423"/>
      <c r="U90" s="2423"/>
      <c r="V90" s="2423"/>
      <c r="W90" s="2423"/>
      <c r="X90" s="2423"/>
      <c r="Y90" s="2423"/>
      <c r="Z90" s="2423"/>
      <c r="AA90" s="2423"/>
      <c r="AB90" s="2423"/>
      <c r="AC90" s="2423"/>
      <c r="AD90" s="2423"/>
      <c r="AE90" s="2423"/>
      <c r="AF90" s="2423"/>
      <c r="AG90" s="2423"/>
      <c r="AH90" s="2423"/>
      <c r="AI90" s="2423"/>
      <c r="AJ90" s="2423"/>
      <c r="AK90" s="2423"/>
      <c r="AL90" s="2423"/>
      <c r="AM90" s="2423"/>
      <c r="AN90" s="2423"/>
      <c r="AO90" s="2423"/>
      <c r="AP90" s="2423"/>
      <c r="AQ90" s="2423"/>
      <c r="AR90" s="2423"/>
      <c r="AS90" s="2423"/>
      <c r="AT90" s="2423"/>
      <c r="AU90" s="2423"/>
      <c r="AV90" s="2423"/>
      <c r="AW90" s="2423"/>
      <c r="AX90" s="2423"/>
      <c r="AY90" s="2423"/>
      <c r="AZ90" s="2423"/>
      <c r="BA90" s="2423"/>
      <c r="BB90" s="2423"/>
      <c r="BC90" s="2423"/>
      <c r="BD90" s="2423"/>
      <c r="BE90" s="2423"/>
      <c r="BF90" s="2423"/>
      <c r="BG90" s="2423"/>
      <c r="BH90" s="2423"/>
      <c r="BI90" s="2423"/>
      <c r="BJ90" s="2423"/>
      <c r="BK90" s="2423"/>
      <c r="BL90" s="2423"/>
      <c r="BM90" s="2423"/>
      <c r="BN90" s="2423"/>
      <c r="BO90" s="2423"/>
      <c r="BP90" s="2423"/>
      <c r="BQ90" s="2423"/>
      <c r="BR90" s="2423"/>
      <c r="BS90" s="2423"/>
      <c r="BT90" s="2423"/>
      <c r="BU90" s="2423"/>
      <c r="BV90" s="2423"/>
      <c r="BW90" s="2423"/>
      <c r="BX90" s="2423"/>
      <c r="BY90" s="2423"/>
      <c r="BZ90" s="2423"/>
      <c r="CA90" s="2423"/>
      <c r="CB90" s="2424"/>
      <c r="CC90" s="2424"/>
      <c r="CD90" s="2424"/>
      <c r="CE90" s="2424"/>
      <c r="CF90" s="2424"/>
      <c r="CG90" s="2424"/>
      <c r="CH90" s="2424"/>
      <c r="CI90" s="2424"/>
      <c r="CJ90" s="2424"/>
      <c r="CK90" s="2424"/>
      <c r="CL90" s="2424"/>
      <c r="CM90" s="2424"/>
      <c r="CN90" s="2423"/>
      <c r="CO90" s="2424"/>
      <c r="CP90" s="2424"/>
      <c r="CQ90" s="2423"/>
      <c r="CR90" s="2424"/>
      <c r="CS90" s="2424"/>
      <c r="CT90" s="2424"/>
      <c r="CU90" s="2424"/>
      <c r="CV90" s="2424"/>
      <c r="CW90" s="2424"/>
      <c r="CX90" s="2424"/>
      <c r="CY90" s="2424"/>
      <c r="CZ90" s="2424"/>
      <c r="DA90" s="2424"/>
      <c r="DB90" s="2424"/>
      <c r="DC90" s="2424"/>
      <c r="DD90" s="2424"/>
      <c r="DE90" s="2424"/>
      <c r="DF90" s="2424"/>
      <c r="DG90" s="2424"/>
      <c r="DH90" s="2424"/>
      <c r="DI90" s="2424"/>
      <c r="DJ90" s="2424"/>
      <c r="DK90" s="2424"/>
      <c r="DL90" s="2424"/>
      <c r="DM90" s="2424"/>
      <c r="DN90" s="2424"/>
      <c r="DO90" s="2424"/>
      <c r="DP90" s="2424"/>
      <c r="DQ90" s="2424"/>
      <c r="DR90" s="2424"/>
      <c r="DS90" s="2424"/>
      <c r="DT90" s="2424"/>
      <c r="DU90" s="2424"/>
      <c r="DV90" s="2424"/>
      <c r="DW90" s="2423">
        <v>1600</v>
      </c>
      <c r="DX90" s="2424"/>
      <c r="DY90" s="2424"/>
      <c r="DZ90" s="2424"/>
      <c r="EA90" s="2424"/>
      <c r="EB90" s="2424"/>
      <c r="EC90" s="2424"/>
      <c r="ED90" s="2424"/>
      <c r="EE90" s="2424"/>
      <c r="EF90" s="2424"/>
      <c r="EG90" s="2424"/>
      <c r="EH90" s="2424"/>
      <c r="EI90" s="2424"/>
      <c r="EJ90" s="2424"/>
      <c r="EK90" s="2424"/>
      <c r="EL90" s="2424"/>
      <c r="EM90" s="2423"/>
      <c r="EN90" s="2423"/>
      <c r="EO90" s="2423"/>
      <c r="EP90" s="2423"/>
      <c r="EQ90" s="2424"/>
      <c r="ER90" s="2424"/>
      <c r="ES90" s="2424"/>
      <c r="ET90" s="2424"/>
      <c r="EU90" s="2424"/>
      <c r="EV90" s="2423"/>
      <c r="EW90" s="2424"/>
      <c r="EX90" s="2424"/>
      <c r="EY90" s="2424"/>
      <c r="EZ90" s="2424"/>
      <c r="FA90" s="2424"/>
      <c r="FB90" s="2424"/>
      <c r="FC90" s="2424"/>
      <c r="FD90" s="2424"/>
      <c r="FE90" s="2424"/>
      <c r="FF90" s="2424"/>
      <c r="FG90" s="2424"/>
      <c r="FH90" s="2424"/>
      <c r="FI90" s="2424"/>
      <c r="FJ90" s="2424"/>
      <c r="FK90" s="2424"/>
      <c r="FL90" s="2424"/>
      <c r="FM90" s="2424"/>
      <c r="FN90" s="2424"/>
      <c r="FO90" s="2424"/>
      <c r="FP90" s="2424"/>
      <c r="FQ90" s="2423"/>
      <c r="FR90" s="2424"/>
      <c r="FS90" s="2424"/>
      <c r="FT90" s="2424"/>
      <c r="FU90" s="2424"/>
      <c r="FV90" s="2424"/>
      <c r="FW90" s="2424"/>
      <c r="FX90" s="2423"/>
      <c r="FY90" s="2424"/>
      <c r="FZ90" s="2424"/>
      <c r="GA90" s="2424"/>
      <c r="GB90" s="2424"/>
      <c r="GC90" s="2424"/>
      <c r="GD90" s="2424"/>
      <c r="GE90" s="2424"/>
      <c r="GF90" s="2424"/>
      <c r="GG90" s="2424"/>
      <c r="GH90" s="2423"/>
      <c r="GI90" s="2423"/>
      <c r="GJ90" s="2423"/>
      <c r="GK90" s="2424"/>
      <c r="GL90" s="2424"/>
      <c r="GM90" s="2424"/>
      <c r="GN90" s="2424"/>
      <c r="GO90" s="2424"/>
      <c r="GP90" s="2424"/>
      <c r="GQ90" s="2424"/>
      <c r="GR90" s="2424"/>
      <c r="GS90" s="2423"/>
      <c r="GT90" s="2423"/>
      <c r="GU90" s="2423"/>
      <c r="GV90" s="2424"/>
      <c r="GW90" s="2424"/>
      <c r="GX90" s="2423"/>
      <c r="GY90" s="2424"/>
      <c r="GZ90" s="2423"/>
      <c r="HA90" s="2423"/>
      <c r="HB90" s="2424"/>
      <c r="HC90" s="2424"/>
      <c r="HD90" s="2424"/>
      <c r="HE90" s="2424"/>
      <c r="HF90" s="2423"/>
      <c r="HG90" s="2423"/>
      <c r="HH90" s="2424"/>
      <c r="HI90" s="2424"/>
      <c r="HJ90" s="2424"/>
      <c r="HK90" s="2424"/>
      <c r="HL90" s="2424"/>
      <c r="HM90" s="2424"/>
      <c r="HN90" s="2424"/>
      <c r="HO90" s="2424"/>
      <c r="HP90" s="2424"/>
      <c r="HQ90" s="2424"/>
      <c r="HR90" s="2424"/>
      <c r="HS90" s="2424"/>
      <c r="HT90" s="2424"/>
      <c r="HU90" s="2424"/>
      <c r="HV90" s="2424"/>
      <c r="HW90" s="2424"/>
      <c r="HX90" s="2424"/>
      <c r="HY90" s="2424"/>
      <c r="HZ90" s="2424"/>
      <c r="IA90" s="2424"/>
      <c r="IB90" s="2424"/>
      <c r="IC90" s="2424"/>
      <c r="ID90" s="2424"/>
      <c r="IE90" s="2424"/>
      <c r="IF90" s="2424"/>
      <c r="IG90" s="2424"/>
      <c r="IH90" s="2424"/>
      <c r="II90" s="2424"/>
      <c r="IJ90" s="2424"/>
      <c r="IK90" s="2424"/>
      <c r="IL90" s="2424"/>
      <c r="IM90" s="2424"/>
      <c r="IN90" s="2424"/>
      <c r="IO90" s="2424"/>
      <c r="IP90" s="2424"/>
      <c r="IQ90" s="2424"/>
      <c r="IR90" s="2424"/>
      <c r="IS90" s="2424"/>
      <c r="IT90" s="2424"/>
      <c r="IU90" s="2424"/>
      <c r="IV90" s="2424"/>
      <c r="IW90" s="2424"/>
      <c r="IX90" s="2424"/>
      <c r="IY90" s="2424"/>
      <c r="IZ90" s="2424"/>
      <c r="JA90" s="2424"/>
      <c r="JB90" s="2424"/>
      <c r="JC90" s="2424"/>
      <c r="JD90" s="2424"/>
      <c r="JE90" s="2424"/>
      <c r="JF90" s="2424"/>
      <c r="JG90" s="3767"/>
      <c r="JH90" s="1233"/>
      <c r="JI90" s="1393"/>
    </row>
    <row r="91" spans="1:269" x14ac:dyDescent="0.2">
      <c r="A91" s="1128">
        <v>5</v>
      </c>
      <c r="B91" s="1375" t="str">
        <f si="8" t="shared"/>
        <v/>
      </c>
      <c r="C91" s="2268" t="s">
        <v>3132</v>
      </c>
      <c r="D91" s="2403" t="s">
        <v>4921</v>
      </c>
      <c r="E91" s="2423"/>
      <c r="F91" s="2423"/>
      <c r="G91" s="2423"/>
      <c r="H91" s="2423"/>
      <c r="I91" s="2423"/>
      <c r="J91" s="2423"/>
      <c r="K91" s="2423"/>
      <c r="L91" s="2423"/>
      <c r="M91" s="2423"/>
      <c r="N91" s="2423"/>
      <c r="O91" s="2423"/>
      <c r="P91" s="2423"/>
      <c r="Q91" s="2423"/>
      <c r="R91" s="2423"/>
      <c r="S91" s="2423"/>
      <c r="T91" s="2423"/>
      <c r="U91" s="2423"/>
      <c r="V91" s="2423"/>
      <c r="W91" s="2423"/>
      <c r="X91" s="2423"/>
      <c r="Y91" s="2423"/>
      <c r="Z91" s="2423"/>
      <c r="AA91" s="2423"/>
      <c r="AB91" s="2423"/>
      <c r="AC91" s="2423"/>
      <c r="AD91" s="2423"/>
      <c r="AE91" s="2423"/>
      <c r="AF91" s="2423"/>
      <c r="AG91" s="2423"/>
      <c r="AH91" s="2423"/>
      <c r="AI91" s="2423"/>
      <c r="AJ91" s="2423"/>
      <c r="AK91" s="2423"/>
      <c r="AL91" s="2423"/>
      <c r="AM91" s="2423"/>
      <c r="AN91" s="2423"/>
      <c r="AO91" s="2423"/>
      <c r="AP91" s="2423"/>
      <c r="AQ91" s="2423"/>
      <c r="AR91" s="2423"/>
      <c r="AS91" s="2423"/>
      <c r="AT91" s="2423"/>
      <c r="AU91" s="2423"/>
      <c r="AV91" s="2423"/>
      <c r="AW91" s="2423"/>
      <c r="AX91" s="2423"/>
      <c r="AY91" s="2423"/>
      <c r="AZ91" s="2423"/>
      <c r="BA91" s="2423"/>
      <c r="BB91" s="2423"/>
      <c r="BC91" s="2423"/>
      <c r="BD91" s="2423"/>
      <c r="BE91" s="2423"/>
      <c r="BF91" s="2423"/>
      <c r="BG91" s="2423"/>
      <c r="BH91" s="2423"/>
      <c r="BI91" s="2423"/>
      <c r="BJ91" s="2423"/>
      <c r="BK91" s="2423"/>
      <c r="BL91" s="2423"/>
      <c r="BM91" s="2423"/>
      <c r="BN91" s="2423"/>
      <c r="BO91" s="2423"/>
      <c r="BP91" s="2423"/>
      <c r="BQ91" s="2423"/>
      <c r="BR91" s="2423"/>
      <c r="BS91" s="2423"/>
      <c r="BT91" s="2423"/>
      <c r="BU91" s="2423"/>
      <c r="BV91" s="2423"/>
      <c r="BW91" s="2423"/>
      <c r="BX91" s="2423"/>
      <c r="BY91" s="2423"/>
      <c r="BZ91" s="2423"/>
      <c r="CA91" s="2423"/>
      <c r="CB91" s="2424"/>
      <c r="CC91" s="2424"/>
      <c r="CD91" s="2424"/>
      <c r="CE91" s="2424"/>
      <c r="CF91" s="2424"/>
      <c r="CG91" s="2424"/>
      <c r="CH91" s="2424"/>
      <c r="CI91" s="2424"/>
      <c r="CJ91" s="2424"/>
      <c r="CK91" s="2424"/>
      <c r="CL91" s="2424"/>
      <c r="CM91" s="2424"/>
      <c r="CN91" s="2423"/>
      <c r="CO91" s="2424"/>
      <c r="CP91" s="2424"/>
      <c r="CQ91" s="2423"/>
      <c r="CR91" s="2424"/>
      <c r="CS91" s="2424"/>
      <c r="CT91" s="2424"/>
      <c r="CU91" s="2424"/>
      <c r="CV91" s="2424"/>
      <c r="CW91" s="2424"/>
      <c r="CX91" s="2424"/>
      <c r="CY91" s="2424"/>
      <c r="CZ91" s="2424"/>
      <c r="DA91" s="2424"/>
      <c r="DB91" s="2424"/>
      <c r="DC91" s="2424"/>
      <c r="DD91" s="2424"/>
      <c r="DE91" s="2424"/>
      <c r="DF91" s="2424"/>
      <c r="DG91" s="2424"/>
      <c r="DH91" s="2424"/>
      <c r="DI91" s="2424"/>
      <c r="DJ91" s="2424"/>
      <c r="DK91" s="2424"/>
      <c r="DL91" s="2424"/>
      <c r="DM91" s="2424"/>
      <c r="DN91" s="2424"/>
      <c r="DO91" s="2424"/>
      <c r="DP91" s="2424"/>
      <c r="DQ91" s="2424"/>
      <c r="DR91" s="2424"/>
      <c r="DS91" s="2424"/>
      <c r="DT91" s="2424"/>
      <c r="DU91" s="2424"/>
      <c r="DV91" s="2424"/>
      <c r="DW91" s="2423"/>
      <c r="DX91" s="2424"/>
      <c r="DY91" s="2424"/>
      <c r="DZ91" s="2424"/>
      <c r="EA91" s="2424"/>
      <c r="EB91" s="2424"/>
      <c r="EC91" s="2424"/>
      <c r="ED91" s="2424"/>
      <c r="EE91" s="2424"/>
      <c r="EF91" s="2424"/>
      <c r="EG91" s="2424"/>
      <c r="EH91" s="2424"/>
      <c r="EI91" s="2424"/>
      <c r="EJ91" s="2424"/>
      <c r="EK91" s="2424"/>
      <c r="EL91" s="2424"/>
      <c r="EM91" s="2423"/>
      <c r="EN91" s="2423"/>
      <c r="EO91" s="2423"/>
      <c r="EP91" s="2423"/>
      <c r="EQ91" s="2424"/>
      <c r="ER91" s="2424"/>
      <c r="ES91" s="2424"/>
      <c r="ET91" s="2424"/>
      <c r="EU91" s="2424"/>
      <c r="EV91" s="2423"/>
      <c r="EW91" s="2424"/>
      <c r="EX91" s="2424"/>
      <c r="EY91" s="2424"/>
      <c r="EZ91" s="2424"/>
      <c r="FA91" s="2424"/>
      <c r="FB91" s="2424"/>
      <c r="FC91" s="2424"/>
      <c r="FD91" s="2424"/>
      <c r="FE91" s="2424"/>
      <c r="FF91" s="2424"/>
      <c r="FG91" s="2424"/>
      <c r="FH91" s="2424"/>
      <c r="FI91" s="2424"/>
      <c r="FJ91" s="2424"/>
      <c r="FK91" s="2424"/>
      <c r="FL91" s="2424"/>
      <c r="FM91" s="2424"/>
      <c r="FN91" s="2424"/>
      <c r="FO91" s="2424"/>
      <c r="FP91" s="2424"/>
      <c r="FQ91" s="2423"/>
      <c r="FR91" s="2424"/>
      <c r="FS91" s="2424"/>
      <c r="FT91" s="2424"/>
      <c r="FU91" s="2424"/>
      <c r="FV91" s="2424"/>
      <c r="FW91" s="2424"/>
      <c r="FX91" s="2423"/>
      <c r="FY91" s="2424"/>
      <c r="FZ91" s="2424"/>
      <c r="GA91" s="2424"/>
      <c r="GB91" s="2424"/>
      <c r="GC91" s="2424"/>
      <c r="GD91" s="2424"/>
      <c r="GE91" s="2424"/>
      <c r="GF91" s="2424"/>
      <c r="GG91" s="2424"/>
      <c r="GH91" s="2423"/>
      <c r="GI91" s="2423"/>
      <c r="GJ91" s="2423"/>
      <c r="GK91" s="2424"/>
      <c r="GL91" s="2424"/>
      <c r="GM91" s="2424"/>
      <c r="GN91" s="2424"/>
      <c r="GO91" s="2424"/>
      <c r="GP91" s="2424"/>
      <c r="GQ91" s="2424"/>
      <c r="GR91" s="2424"/>
      <c r="GS91" s="2423"/>
      <c r="GT91" s="2423"/>
      <c r="GU91" s="2423"/>
      <c r="GV91" s="2424"/>
      <c r="GW91" s="2424"/>
      <c r="GX91" s="2423"/>
      <c r="GY91" s="2424"/>
      <c r="GZ91" s="2423"/>
      <c r="HA91" s="2423"/>
      <c r="HB91" s="2424"/>
      <c r="HC91" s="2424"/>
      <c r="HD91" s="2424"/>
      <c r="HE91" s="2424"/>
      <c r="HF91" s="2423"/>
      <c r="HG91" s="2423"/>
      <c r="HH91" s="2424"/>
      <c r="HI91" s="2424"/>
      <c r="HJ91" s="2424"/>
      <c r="HK91" s="2424"/>
      <c r="HL91" s="2424"/>
      <c r="HM91" s="2424"/>
      <c r="HN91" s="2424"/>
      <c r="HO91" s="2424"/>
      <c r="HP91" s="2424"/>
      <c r="HQ91" s="2424"/>
      <c r="HR91" s="2424"/>
      <c r="HS91" s="2424"/>
      <c r="HT91" s="2424"/>
      <c r="HU91" s="2424"/>
      <c r="HV91" s="2424"/>
      <c r="HW91" s="2424"/>
      <c r="HX91" s="2424"/>
      <c r="HY91" s="2424"/>
      <c r="HZ91" s="2424"/>
      <c r="IA91" s="2424"/>
      <c r="IB91" s="2424"/>
      <c r="IC91" s="2424"/>
      <c r="ID91" s="2424"/>
      <c r="IE91" s="2424"/>
      <c r="IF91" s="2424"/>
      <c r="IG91" s="2424"/>
      <c r="IH91" s="2424"/>
      <c r="II91" s="2424"/>
      <c r="IJ91" s="2424"/>
      <c r="IK91" s="2424"/>
      <c r="IL91" s="2424"/>
      <c r="IM91" s="2424"/>
      <c r="IN91" s="2424"/>
      <c r="IO91" s="2424"/>
      <c r="IP91" s="2424"/>
      <c r="IQ91" s="2424"/>
      <c r="IR91" s="2424"/>
      <c r="IS91" s="2424"/>
      <c r="IT91" s="2424"/>
      <c r="IU91" s="2424"/>
      <c r="IV91" s="2424"/>
      <c r="IW91" s="2424"/>
      <c r="IX91" s="2424"/>
      <c r="IY91" s="2424"/>
      <c r="IZ91" s="2424"/>
      <c r="JA91" s="2424"/>
      <c r="JB91" s="2424"/>
      <c r="JC91" s="2424"/>
      <c r="JD91" s="2424"/>
      <c r="JE91" s="2424"/>
      <c r="JF91" s="2424"/>
      <c r="JG91" s="3767"/>
      <c r="JH91" s="1233"/>
      <c r="JI91" s="1393" t="s">
        <v>5427</v>
      </c>
    </row>
    <row r="92" spans="1:269" x14ac:dyDescent="0.2">
      <c r="A92" s="1128">
        <v>6</v>
      </c>
      <c r="B92" s="1375" t="str">
        <f si="8" t="shared"/>
        <v/>
      </c>
      <c r="C92" s="2268" t="s">
        <v>3133</v>
      </c>
      <c r="D92" s="2403" t="str">
        <f>"Tax year for which you are claiming relief in box 3, for example, "&amp;last_year&amp;" YYYY YY"</f>
        <v>Tax year for which you are claiming relief in box 3, for example, 2018-19 YYYY YY</v>
      </c>
      <c r="E92" s="2452"/>
      <c r="F92" s="2452"/>
      <c r="G92" s="2452"/>
      <c r="H92" s="2452"/>
      <c r="I92" s="2452"/>
      <c r="J92" s="2452"/>
      <c r="K92" s="2453"/>
      <c r="L92" s="2452"/>
      <c r="M92" s="2452"/>
      <c r="N92" s="2452"/>
      <c r="O92" s="2452"/>
      <c r="P92" s="2452"/>
      <c r="Q92" s="2452"/>
      <c r="R92" s="2452"/>
      <c r="S92" s="2452"/>
      <c r="T92" s="2452"/>
      <c r="U92" s="2452"/>
      <c r="V92" s="2452"/>
      <c r="W92" s="2452"/>
      <c r="X92" s="2452"/>
      <c r="Y92" s="2452"/>
      <c r="Z92" s="2452"/>
      <c r="AA92" s="2452"/>
      <c r="AB92" s="2452"/>
      <c r="AC92" s="2452"/>
      <c r="AD92" s="2452"/>
      <c r="AE92" s="2452"/>
      <c r="AF92" s="2452"/>
      <c r="AG92" s="2452"/>
      <c r="AH92" s="2452"/>
      <c r="AI92" s="2452"/>
      <c r="AJ92" s="2452"/>
      <c r="AK92" s="2452"/>
      <c r="AL92" s="2452"/>
      <c r="AM92" s="2452"/>
      <c r="AN92" s="2452"/>
      <c r="AO92" s="2452"/>
      <c r="AP92" s="2452"/>
      <c r="AQ92" s="2452"/>
      <c r="AR92" s="2452"/>
      <c r="AS92" s="2452"/>
      <c r="AT92" s="2452"/>
      <c r="AU92" s="2452"/>
      <c r="AV92" s="2452"/>
      <c r="AW92" s="2452"/>
      <c r="AX92" s="2452"/>
      <c r="AY92" s="2452"/>
      <c r="AZ92" s="2452"/>
      <c r="BA92" s="2452"/>
      <c r="BB92" s="2452"/>
      <c r="BC92" s="2452"/>
      <c r="BD92" s="2452"/>
      <c r="BE92" s="2452"/>
      <c r="BF92" s="2452"/>
      <c r="BG92" s="2452"/>
      <c r="BH92" s="2452"/>
      <c r="BI92" s="2452"/>
      <c r="BJ92" s="2452"/>
      <c r="BK92" s="2452"/>
      <c r="BL92" s="2452"/>
      <c r="BM92" s="2452"/>
      <c r="BN92" s="2452"/>
      <c r="BO92" s="2452"/>
      <c r="BP92" s="2452"/>
      <c r="BQ92" s="2452"/>
      <c r="BR92" s="2452"/>
      <c r="BS92" s="2452"/>
      <c r="BT92" s="2452"/>
      <c r="BU92" s="2452"/>
      <c r="BV92" s="2452"/>
      <c r="BW92" s="2452"/>
      <c r="BX92" s="2452"/>
      <c r="BY92" s="2452"/>
      <c r="BZ92" s="2452"/>
      <c r="CA92" s="2452"/>
      <c r="CB92" s="2820"/>
      <c r="CC92" s="2820"/>
      <c r="CD92" s="2820"/>
      <c r="CE92" s="2820"/>
      <c r="CF92" s="2820"/>
      <c r="CG92" s="2820"/>
      <c r="CH92" s="2820"/>
      <c r="CI92" s="2820"/>
      <c r="CJ92" s="2820"/>
      <c r="CK92" s="2820"/>
      <c r="CL92" s="2820"/>
      <c r="CM92" s="2820"/>
      <c r="CN92" s="2452"/>
      <c r="CO92" s="2820"/>
      <c r="CP92" s="2820"/>
      <c r="CQ92" s="2452"/>
      <c r="CR92" s="2820"/>
      <c r="CS92" s="2820"/>
      <c r="CT92" s="2820"/>
      <c r="CU92" s="2820"/>
      <c r="CV92" s="2820"/>
      <c r="CW92" s="2820"/>
      <c r="CX92" s="2820"/>
      <c r="CY92" s="2820"/>
      <c r="CZ92" s="2820"/>
      <c r="DA92" s="2820"/>
      <c r="DB92" s="2820"/>
      <c r="DC92" s="2820"/>
      <c r="DD92" s="2820"/>
      <c r="DE92" s="2820"/>
      <c r="DF92" s="2820"/>
      <c r="DG92" s="2820"/>
      <c r="DH92" s="2820"/>
      <c r="DI92" s="2820"/>
      <c r="DJ92" s="2820"/>
      <c r="DK92" s="2820"/>
      <c r="DL92" s="2820"/>
      <c r="DM92" s="2820"/>
      <c r="DN92" s="2820"/>
      <c r="DO92" s="2820"/>
      <c r="DP92" s="2820"/>
      <c r="DQ92" s="2820"/>
      <c r="DR92" s="2820"/>
      <c r="DS92" s="2820"/>
      <c r="DT92" s="2820"/>
      <c r="DU92" s="2820"/>
      <c r="DV92" s="2820"/>
      <c r="DW92" s="2453" t="str">
        <f>last_year</f>
        <v>2018-19</v>
      </c>
      <c r="DX92" s="2820"/>
      <c r="DY92" s="2820"/>
      <c r="DZ92" s="2820"/>
      <c r="EA92" s="2820"/>
      <c r="EB92" s="2820"/>
      <c r="EC92" s="2820"/>
      <c r="ED92" s="2820"/>
      <c r="EE92" s="2820"/>
      <c r="EF92" s="2820"/>
      <c r="EG92" s="2820"/>
      <c r="EH92" s="2820"/>
      <c r="EI92" s="2820"/>
      <c r="EJ92" s="2820"/>
      <c r="EK92" s="2820"/>
      <c r="EL92" s="2820"/>
      <c r="EM92" s="2452"/>
      <c r="EN92" s="2452"/>
      <c r="EO92" s="2452"/>
      <c r="EP92" s="2452"/>
      <c r="EQ92" s="2820"/>
      <c r="ER92" s="2820"/>
      <c r="ES92" s="2820"/>
      <c r="ET92" s="2820"/>
      <c r="EU92" s="2820"/>
      <c r="EV92" s="2452"/>
      <c r="EW92" s="2820"/>
      <c r="EX92" s="2820"/>
      <c r="EY92" s="2820"/>
      <c r="EZ92" s="2820"/>
      <c r="FA92" s="2820"/>
      <c r="FB92" s="2820"/>
      <c r="FC92" s="2820"/>
      <c r="FD92" s="2820"/>
      <c r="FE92" s="2820"/>
      <c r="FF92" s="2820"/>
      <c r="FG92" s="2820"/>
      <c r="FH92" s="2820"/>
      <c r="FI92" s="2820"/>
      <c r="FJ92" s="2820"/>
      <c r="FK92" s="2820"/>
      <c r="FL92" s="2820"/>
      <c r="FM92" s="2820"/>
      <c r="FN92" s="2820"/>
      <c r="FO92" s="2820"/>
      <c r="FP92" s="2820"/>
      <c r="FQ92" s="2452"/>
      <c r="FR92" s="2820"/>
      <c r="FS92" s="2820"/>
      <c r="FT92" s="2820"/>
      <c r="FU92" s="2820"/>
      <c r="FV92" s="2820"/>
      <c r="FW92" s="2820"/>
      <c r="FX92" s="2452"/>
      <c r="FY92" s="2820"/>
      <c r="FZ92" s="2820"/>
      <c r="GA92" s="2820"/>
      <c r="GB92" s="2820"/>
      <c r="GC92" s="2820"/>
      <c r="GD92" s="2820"/>
      <c r="GE92" s="2820"/>
      <c r="GF92" s="2820"/>
      <c r="GG92" s="2820"/>
      <c r="GH92" s="2452"/>
      <c r="GI92" s="2452"/>
      <c r="GJ92" s="2452"/>
      <c r="GK92" s="2820"/>
      <c r="GL92" s="2820"/>
      <c r="GM92" s="2820"/>
      <c r="GN92" s="2820"/>
      <c r="GO92" s="2820"/>
      <c r="GP92" s="2820"/>
      <c r="GQ92" s="2820"/>
      <c r="GR92" s="2820"/>
      <c r="GS92" s="2452"/>
      <c r="GT92" s="2452"/>
      <c r="GU92" s="2452"/>
      <c r="GV92" s="2820"/>
      <c r="GW92" s="2820"/>
      <c r="GX92" s="2452"/>
      <c r="GY92" s="2820"/>
      <c r="GZ92" s="2452"/>
      <c r="HA92" s="2452"/>
      <c r="HB92" s="2820"/>
      <c r="HC92" s="2820"/>
      <c r="HD92" s="2820"/>
      <c r="HE92" s="2820"/>
      <c r="HF92" s="2452"/>
      <c r="HG92" s="2452"/>
      <c r="HH92" s="2820"/>
      <c r="HI92" s="2820"/>
      <c r="HJ92" s="2820"/>
      <c r="HK92" s="2820"/>
      <c r="HL92" s="2820"/>
      <c r="HM92" s="2820"/>
      <c r="HN92" s="2820"/>
      <c r="HO92" s="2820"/>
      <c r="HP92" s="2820"/>
      <c r="HQ92" s="2820"/>
      <c r="HR92" s="2820"/>
      <c r="HS92" s="2820"/>
      <c r="HT92" s="2820"/>
      <c r="HU92" s="2820"/>
      <c r="HV92" s="2820"/>
      <c r="HW92" s="2820"/>
      <c r="HX92" s="2820"/>
      <c r="HY92" s="2820"/>
      <c r="HZ92" s="2820"/>
      <c r="IA92" s="2820"/>
      <c r="IB92" s="2820"/>
      <c r="IC92" s="2820"/>
      <c r="ID92" s="2820"/>
      <c r="IE92" s="2820"/>
      <c r="IF92" s="2820"/>
      <c r="IG92" s="2820"/>
      <c r="IH92" s="2820"/>
      <c r="II92" s="2820"/>
      <c r="IJ92" s="2820"/>
      <c r="IK92" s="2820"/>
      <c r="IL92" s="2820"/>
      <c r="IM92" s="2820"/>
      <c r="IN92" s="2820"/>
      <c r="IO92" s="2820"/>
      <c r="IP92" s="2820"/>
      <c r="IQ92" s="2820"/>
      <c r="IR92" s="2820"/>
      <c r="IS92" s="2820"/>
      <c r="IT92" s="2820"/>
      <c r="IU92" s="2820"/>
      <c r="IV92" s="2820"/>
      <c r="IW92" s="2820"/>
      <c r="IX92" s="2820"/>
      <c r="IY92" s="2820"/>
      <c r="IZ92" s="2820"/>
      <c r="JA92" s="2820"/>
      <c r="JB92" s="2820"/>
      <c r="JC92" s="2820"/>
      <c r="JD92" s="2820"/>
      <c r="JE92" s="2820"/>
      <c r="JF92" s="2820"/>
      <c r="JG92" s="3776"/>
      <c r="JH92" s="1233"/>
      <c r="JI92" s="1393" t="s">
        <v>5428</v>
      </c>
    </row>
    <row r="93" spans="1:269" x14ac:dyDescent="0.2">
      <c r="A93" s="1128">
        <v>7</v>
      </c>
      <c r="B93" s="1375" t="str">
        <f si="8" t="shared"/>
        <v/>
      </c>
      <c r="C93" s="2268" t="s">
        <v>3134</v>
      </c>
      <c r="D93" s="2403" t="s">
        <v>4922</v>
      </c>
      <c r="E93" s="2315"/>
      <c r="F93" s="2315"/>
      <c r="G93" s="2315"/>
      <c r="H93" s="2315"/>
      <c r="I93" s="2315"/>
      <c r="J93" s="2315"/>
      <c r="K93" s="2315"/>
      <c r="L93" s="2315"/>
      <c r="M93" s="2315"/>
      <c r="N93" s="2315"/>
      <c r="O93" s="2315"/>
      <c r="P93" s="2315"/>
      <c r="Q93" s="2315"/>
      <c r="R93" s="2315"/>
      <c r="S93" s="2315"/>
      <c r="T93" s="2315"/>
      <c r="U93" s="2315"/>
      <c r="V93" s="2315"/>
      <c r="W93" s="2315"/>
      <c r="X93" s="2315"/>
      <c r="Y93" s="2315"/>
      <c r="Z93" s="2315"/>
      <c r="AA93" s="2315"/>
      <c r="AB93" s="2315"/>
      <c r="AC93" s="2315"/>
      <c r="AD93" s="2315"/>
      <c r="AE93" s="2315"/>
      <c r="AF93" s="2315"/>
      <c r="AG93" s="2315"/>
      <c r="AH93" s="2315"/>
      <c r="AI93" s="2315"/>
      <c r="AJ93" s="2315"/>
      <c r="AK93" s="2315"/>
      <c r="AL93" s="2315"/>
      <c r="AM93" s="2315"/>
      <c r="AN93" s="2315"/>
      <c r="AO93" s="2315"/>
      <c r="AP93" s="2315"/>
      <c r="AQ93" s="2315"/>
      <c r="AR93" s="2315"/>
      <c r="AS93" s="2315"/>
      <c r="AT93" s="2315"/>
      <c r="AU93" s="2315"/>
      <c r="AV93" s="2315"/>
      <c r="AW93" s="2315"/>
      <c r="AX93" s="2315"/>
      <c r="AY93" s="2315"/>
      <c r="AZ93" s="2315"/>
      <c r="BA93" s="2315"/>
      <c r="BB93" s="2315"/>
      <c r="BC93" s="2315"/>
      <c r="BD93" s="2315"/>
      <c r="BE93" s="2315"/>
      <c r="BF93" s="2315"/>
      <c r="BG93" s="2315"/>
      <c r="BH93" s="2315"/>
      <c r="BI93" s="2315"/>
      <c r="BJ93" s="2315"/>
      <c r="BK93" s="2315"/>
      <c r="BL93" s="2315"/>
      <c r="BM93" s="2315"/>
      <c r="BN93" s="2315"/>
      <c r="BO93" s="2315"/>
      <c r="BP93" s="2315"/>
      <c r="BQ93" s="2315"/>
      <c r="BR93" s="2315"/>
      <c r="BS93" s="2315"/>
      <c r="BT93" s="2315"/>
      <c r="BU93" s="2315"/>
      <c r="BV93" s="2315"/>
      <c r="BW93" s="2315"/>
      <c r="BX93" s="2315"/>
      <c r="BY93" s="2315"/>
      <c r="BZ93" s="2315"/>
      <c r="CA93" s="2315"/>
      <c r="CB93" s="2350"/>
      <c r="CC93" s="2350"/>
      <c r="CD93" s="2350"/>
      <c r="CE93" s="2350"/>
      <c r="CF93" s="2350"/>
      <c r="CG93" s="2350"/>
      <c r="CH93" s="2350"/>
      <c r="CI93" s="2350"/>
      <c r="CJ93" s="2350"/>
      <c r="CK93" s="2350"/>
      <c r="CL93" s="2350"/>
      <c r="CM93" s="2350"/>
      <c r="CN93" s="2315"/>
      <c r="CO93" s="2350"/>
      <c r="CP93" s="2350"/>
      <c r="CQ93" s="2315"/>
      <c r="CR93" s="2350"/>
      <c r="CS93" s="2350"/>
      <c r="CT93" s="2350"/>
      <c r="CU93" s="2350"/>
      <c r="CV93" s="2350"/>
      <c r="CW93" s="2350"/>
      <c r="CX93" s="2350"/>
      <c r="CY93" s="2350"/>
      <c r="CZ93" s="2350"/>
      <c r="DA93" s="2350"/>
      <c r="DB93" s="2350"/>
      <c r="DC93" s="2350"/>
      <c r="DD93" s="2350"/>
      <c r="DE93" s="2350"/>
      <c r="DF93" s="2350"/>
      <c r="DG93" s="2350"/>
      <c r="DH93" s="2350"/>
      <c r="DI93" s="2350"/>
      <c r="DJ93" s="2350"/>
      <c r="DK93" s="2350"/>
      <c r="DL93" s="2350"/>
      <c r="DM93" s="2350"/>
      <c r="DN93" s="2350"/>
      <c r="DO93" s="2350"/>
      <c r="DP93" s="2350"/>
      <c r="DQ93" s="2350"/>
      <c r="DR93" s="2350"/>
      <c r="DS93" s="2350"/>
      <c r="DT93" s="2350"/>
      <c r="DU93" s="2350"/>
      <c r="DV93" s="2350"/>
      <c r="DW93" s="2315"/>
      <c r="DX93" s="2350"/>
      <c r="DY93" s="2350"/>
      <c r="DZ93" s="2350"/>
      <c r="EA93" s="2350"/>
      <c r="EB93" s="2350"/>
      <c r="EC93" s="2350"/>
      <c r="ED93" s="2350"/>
      <c r="EE93" s="2350"/>
      <c r="EF93" s="2350"/>
      <c r="EG93" s="2350"/>
      <c r="EH93" s="2350"/>
      <c r="EI93" s="2350"/>
      <c r="EJ93" s="2350"/>
      <c r="EK93" s="2350"/>
      <c r="EL93" s="2350"/>
      <c r="EM93" s="2315"/>
      <c r="EN93" s="2315"/>
      <c r="EO93" s="2315"/>
      <c r="EP93" s="2315"/>
      <c r="EQ93" s="2350"/>
      <c r="ER93" s="2350"/>
      <c r="ES93" s="2350"/>
      <c r="ET93" s="2350"/>
      <c r="EU93" s="2350"/>
      <c r="EV93" s="2315"/>
      <c r="EW93" s="2350"/>
      <c r="EX93" s="2350"/>
      <c r="EY93" s="2350"/>
      <c r="EZ93" s="2350"/>
      <c r="FA93" s="2350"/>
      <c r="FB93" s="2350"/>
      <c r="FC93" s="2350"/>
      <c r="FD93" s="2350"/>
      <c r="FE93" s="2350"/>
      <c r="FF93" s="2350"/>
      <c r="FG93" s="2350"/>
      <c r="FH93" s="2350"/>
      <c r="FI93" s="2350"/>
      <c r="FJ93" s="2350"/>
      <c r="FK93" s="2350"/>
      <c r="FL93" s="2350"/>
      <c r="FM93" s="2350"/>
      <c r="FN93" s="2350"/>
      <c r="FO93" s="2350"/>
      <c r="FP93" s="2350"/>
      <c r="FQ93" s="2315"/>
      <c r="FR93" s="2350"/>
      <c r="FS93" s="2350"/>
      <c r="FT93" s="2350"/>
      <c r="FU93" s="2350"/>
      <c r="FV93" s="2350"/>
      <c r="FW93" s="2350"/>
      <c r="FX93" s="2315"/>
      <c r="FY93" s="2350"/>
      <c r="FZ93" s="2350"/>
      <c r="GA93" s="2350"/>
      <c r="GB93" s="2350"/>
      <c r="GC93" s="2350"/>
      <c r="GD93" s="2350"/>
      <c r="GE93" s="2350"/>
      <c r="GF93" s="2350"/>
      <c r="GG93" s="2350"/>
      <c r="GH93" s="2315"/>
      <c r="GI93" s="2315"/>
      <c r="GJ93" s="2315"/>
      <c r="GK93" s="2350"/>
      <c r="GL93" s="2350"/>
      <c r="GM93" s="2350"/>
      <c r="GN93" s="2350"/>
      <c r="GO93" s="2350"/>
      <c r="GP93" s="2350"/>
      <c r="GQ93" s="2350"/>
      <c r="GR93" s="2350"/>
      <c r="GS93" s="2315"/>
      <c r="GT93" s="2315"/>
      <c r="GU93" s="2315"/>
      <c r="GV93" s="2350"/>
      <c r="GW93" s="2350"/>
      <c r="GX93" s="2315">
        <v>12000</v>
      </c>
      <c r="GY93" s="2350"/>
      <c r="GZ93" s="2315"/>
      <c r="HA93" s="2315"/>
      <c r="HB93" s="2350"/>
      <c r="HC93" s="2350"/>
      <c r="HD93" s="2350"/>
      <c r="HE93" s="2350"/>
      <c r="HF93" s="2315"/>
      <c r="HG93" s="2315"/>
      <c r="HH93" s="2350"/>
      <c r="HI93" s="2350"/>
      <c r="HJ93" s="2350"/>
      <c r="HK93" s="2350"/>
      <c r="HL93" s="2350"/>
      <c r="HM93" s="2350"/>
      <c r="HN93" s="2350"/>
      <c r="HO93" s="2350"/>
      <c r="HP93" s="2350"/>
      <c r="HQ93" s="2350"/>
      <c r="HR93" s="2350"/>
      <c r="HS93" s="2350"/>
      <c r="HT93" s="2350"/>
      <c r="HU93" s="2350"/>
      <c r="HV93" s="2350"/>
      <c r="HW93" s="2350"/>
      <c r="HX93" s="2350"/>
      <c r="HY93" s="2350"/>
      <c r="HZ93" s="2350"/>
      <c r="IA93" s="2350"/>
      <c r="IB93" s="2350"/>
      <c r="IC93" s="2350"/>
      <c r="ID93" s="2350"/>
      <c r="IE93" s="2350"/>
      <c r="IF93" s="2350"/>
      <c r="IG93" s="2350"/>
      <c r="IH93" s="2350"/>
      <c r="II93" s="2350"/>
      <c r="IJ93" s="2350"/>
      <c r="IK93" s="2350"/>
      <c r="IL93" s="2350"/>
      <c r="IM93" s="2350"/>
      <c r="IN93" s="2350"/>
      <c r="IO93" s="2350"/>
      <c r="IP93" s="2350"/>
      <c r="IQ93" s="2350"/>
      <c r="IR93" s="2350"/>
      <c r="IS93" s="2350"/>
      <c r="IT93" s="2350"/>
      <c r="IU93" s="2350"/>
      <c r="IV93" s="2350"/>
      <c r="IW93" s="2350"/>
      <c r="IX93" s="2350"/>
      <c r="IY93" s="2350"/>
      <c r="IZ93" s="2350"/>
      <c r="JA93" s="2350"/>
      <c r="JB93" s="2350"/>
      <c r="JC93" s="2350"/>
      <c r="JD93" s="2350"/>
      <c r="JE93" s="2350"/>
      <c r="JF93" s="2350"/>
      <c r="JG93" s="3348"/>
      <c r="JH93" s="1233"/>
      <c r="JI93" s="1393"/>
    </row>
    <row r="94" spans="1:269" x14ac:dyDescent="0.2">
      <c r="A94" s="1128">
        <v>8</v>
      </c>
      <c r="B94" s="1375" t="str">
        <f si="8" t="shared"/>
        <v/>
      </c>
      <c r="C94" s="2268" t="s">
        <v>3135</v>
      </c>
      <c r="D94" s="2403" t="s">
        <v>4925</v>
      </c>
      <c r="E94" s="2454"/>
      <c r="F94" s="2454"/>
      <c r="G94" s="2454"/>
      <c r="H94" s="2454"/>
      <c r="I94" s="2454"/>
      <c r="J94" s="2454"/>
      <c r="K94" s="2454"/>
      <c r="L94" s="2454"/>
      <c r="M94" s="2454"/>
      <c r="N94" s="2454"/>
      <c r="O94" s="2454"/>
      <c r="P94" s="2454"/>
      <c r="Q94" s="2454"/>
      <c r="R94" s="2454"/>
      <c r="S94" s="2454"/>
      <c r="T94" s="2454"/>
      <c r="U94" s="2454"/>
      <c r="V94" s="2454"/>
      <c r="W94" s="2454"/>
      <c r="X94" s="2454"/>
      <c r="Y94" s="2454"/>
      <c r="Z94" s="2454"/>
      <c r="AA94" s="2454"/>
      <c r="AB94" s="2454"/>
      <c r="AC94" s="2454"/>
      <c r="AD94" s="2454"/>
      <c r="AE94" s="2454"/>
      <c r="AF94" s="2454"/>
      <c r="AG94" s="2454"/>
      <c r="AH94" s="2454"/>
      <c r="AI94" s="2454"/>
      <c r="AJ94" s="2454"/>
      <c r="AK94" s="2454"/>
      <c r="AL94" s="2454"/>
      <c r="AM94" s="2454"/>
      <c r="AN94" s="2454"/>
      <c r="AO94" s="2454"/>
      <c r="AP94" s="2454"/>
      <c r="AQ94" s="2454"/>
      <c r="AR94" s="2454"/>
      <c r="AS94" s="2454"/>
      <c r="AT94" s="2454"/>
      <c r="AU94" s="2454"/>
      <c r="AV94" s="2454"/>
      <c r="AW94" s="2454"/>
      <c r="AX94" s="2454"/>
      <c r="AY94" s="2454"/>
      <c r="AZ94" s="2454"/>
      <c r="BA94" s="2454"/>
      <c r="BB94" s="2454"/>
      <c r="BC94" s="2454"/>
      <c r="BD94" s="2454"/>
      <c r="BE94" s="2454"/>
      <c r="BF94" s="2454"/>
      <c r="BG94" s="2454"/>
      <c r="BH94" s="2454"/>
      <c r="BI94" s="2454"/>
      <c r="BJ94" s="2454"/>
      <c r="BK94" s="2454"/>
      <c r="BL94" s="2454"/>
      <c r="BM94" s="2454"/>
      <c r="BN94" s="2454"/>
      <c r="BO94" s="2454"/>
      <c r="BP94" s="2454"/>
      <c r="BQ94" s="2454"/>
      <c r="BR94" s="2454"/>
      <c r="BS94" s="2454"/>
      <c r="BT94" s="2454"/>
      <c r="BU94" s="2454"/>
      <c r="BV94" s="2454"/>
      <c r="BW94" s="2454"/>
      <c r="BX94" s="2454"/>
      <c r="BY94" s="2454"/>
      <c r="BZ94" s="2454"/>
      <c r="CA94" s="2454"/>
      <c r="CB94" s="2821"/>
      <c r="CC94" s="2821"/>
      <c r="CD94" s="2821"/>
      <c r="CE94" s="2821"/>
      <c r="CF94" s="2821"/>
      <c r="CG94" s="2821"/>
      <c r="CH94" s="2821"/>
      <c r="CI94" s="2821"/>
      <c r="CJ94" s="2821"/>
      <c r="CK94" s="2821"/>
      <c r="CL94" s="2821"/>
      <c r="CM94" s="2821"/>
      <c r="CN94" s="2454"/>
      <c r="CO94" s="2821"/>
      <c r="CP94" s="2821"/>
      <c r="CQ94" s="2454"/>
      <c r="CR94" s="2821"/>
      <c r="CS94" s="2821"/>
      <c r="CT94" s="2821"/>
      <c r="CU94" s="2821"/>
      <c r="CV94" s="2821"/>
      <c r="CW94" s="2821"/>
      <c r="CX94" s="2821"/>
      <c r="CY94" s="2821"/>
      <c r="CZ94" s="2821"/>
      <c r="DA94" s="2821"/>
      <c r="DB94" s="2821"/>
      <c r="DC94" s="2821"/>
      <c r="DD94" s="2821"/>
      <c r="DE94" s="2821"/>
      <c r="DF94" s="2821"/>
      <c r="DG94" s="2821"/>
      <c r="DH94" s="2821"/>
      <c r="DI94" s="2821"/>
      <c r="DJ94" s="2821"/>
      <c r="DK94" s="2821"/>
      <c r="DL94" s="2821"/>
      <c r="DM94" s="2821"/>
      <c r="DN94" s="2821"/>
      <c r="DO94" s="2821"/>
      <c r="DP94" s="2821"/>
      <c r="DQ94" s="2821"/>
      <c r="DR94" s="2821"/>
      <c r="DS94" s="2821"/>
      <c r="DT94" s="2821"/>
      <c r="DU94" s="2821"/>
      <c r="DV94" s="2821"/>
      <c r="DW94" s="2454"/>
      <c r="DX94" s="2821"/>
      <c r="DY94" s="2821"/>
      <c r="DZ94" s="2821"/>
      <c r="EA94" s="2821"/>
      <c r="EB94" s="2821"/>
      <c r="EC94" s="2821"/>
      <c r="ED94" s="2821"/>
      <c r="EE94" s="2821"/>
      <c r="EF94" s="2821"/>
      <c r="EG94" s="2821"/>
      <c r="EH94" s="2821"/>
      <c r="EI94" s="2821"/>
      <c r="EJ94" s="2821"/>
      <c r="EK94" s="2821"/>
      <c r="EL94" s="2821"/>
      <c r="EM94" s="2454"/>
      <c r="EN94" s="2454"/>
      <c r="EO94" s="2454"/>
      <c r="EP94" s="2454">
        <v>39504</v>
      </c>
      <c r="EQ94" s="2821"/>
      <c r="ER94" s="2821"/>
      <c r="ES94" s="2821"/>
      <c r="ET94" s="2821"/>
      <c r="EU94" s="2821"/>
      <c r="EV94" s="2454"/>
      <c r="EW94" s="2821"/>
      <c r="EX94" s="2821"/>
      <c r="EY94" s="2821"/>
      <c r="EZ94" s="2821"/>
      <c r="FA94" s="2821"/>
      <c r="FB94" s="2821"/>
      <c r="FC94" s="2821"/>
      <c r="FD94" s="2821"/>
      <c r="FE94" s="2821"/>
      <c r="FF94" s="2821"/>
      <c r="FG94" s="2821"/>
      <c r="FH94" s="2821"/>
      <c r="FI94" s="2821"/>
      <c r="FJ94" s="2821"/>
      <c r="FK94" s="2821"/>
      <c r="FL94" s="2821"/>
      <c r="FM94" s="2821"/>
      <c r="FN94" s="2821"/>
      <c r="FO94" s="2821"/>
      <c r="FP94" s="2821"/>
      <c r="FQ94" s="2454"/>
      <c r="FR94" s="2821"/>
      <c r="FS94" s="2821"/>
      <c r="FT94" s="2821"/>
      <c r="FU94" s="2821"/>
      <c r="FV94" s="2821"/>
      <c r="FW94" s="2821"/>
      <c r="FX94" s="2454"/>
      <c r="FY94" s="2821"/>
      <c r="FZ94" s="2821"/>
      <c r="GA94" s="2821"/>
      <c r="GB94" s="2821"/>
      <c r="GC94" s="2821"/>
      <c r="GD94" s="2821"/>
      <c r="GE94" s="2821"/>
      <c r="GF94" s="2821"/>
      <c r="GG94" s="2821"/>
      <c r="GH94" s="2454">
        <v>365400</v>
      </c>
      <c r="GI94" s="2454">
        <v>39504</v>
      </c>
      <c r="GJ94" s="2454"/>
      <c r="GK94" s="2821"/>
      <c r="GL94" s="2821"/>
      <c r="GM94" s="2821"/>
      <c r="GN94" s="2821"/>
      <c r="GO94" s="2821"/>
      <c r="GP94" s="2821"/>
      <c r="GQ94" s="2821"/>
      <c r="GR94" s="2821"/>
      <c r="GS94" s="2454"/>
      <c r="GT94" s="2454"/>
      <c r="GU94" s="2454"/>
      <c r="GV94" s="2821"/>
      <c r="GW94" s="2821"/>
      <c r="GX94" s="2454"/>
      <c r="GY94" s="2821"/>
      <c r="GZ94" s="2454"/>
      <c r="HA94" s="2454"/>
      <c r="HB94" s="2821"/>
      <c r="HC94" s="2821"/>
      <c r="HD94" s="2821"/>
      <c r="HE94" s="2821"/>
      <c r="HF94" s="2454"/>
      <c r="HG94" s="2454"/>
      <c r="HH94" s="2821"/>
      <c r="HI94" s="2821"/>
      <c r="HJ94" s="2821"/>
      <c r="HK94" s="2821"/>
      <c r="HL94" s="2821"/>
      <c r="HM94" s="2821"/>
      <c r="HN94" s="2821"/>
      <c r="HO94" s="2821"/>
      <c r="HP94" s="2821"/>
      <c r="HQ94" s="2821"/>
      <c r="HR94" s="2821"/>
      <c r="HS94" s="2821"/>
      <c r="HT94" s="2821"/>
      <c r="HU94" s="2821"/>
      <c r="HV94" s="2821"/>
      <c r="HW94" s="2821"/>
      <c r="HX94" s="2821"/>
      <c r="HY94" s="2821"/>
      <c r="HZ94" s="2821"/>
      <c r="IA94" s="2821"/>
      <c r="IB94" s="2821"/>
      <c r="IC94" s="2821"/>
      <c r="ID94" s="2821"/>
      <c r="IE94" s="2821"/>
      <c r="IF94" s="2821"/>
      <c r="IG94" s="2821"/>
      <c r="IH94" s="2821"/>
      <c r="II94" s="2821"/>
      <c r="IJ94" s="2821"/>
      <c r="IK94" s="2821"/>
      <c r="IL94" s="2821"/>
      <c r="IM94" s="2821"/>
      <c r="IN94" s="2821"/>
      <c r="IO94" s="2821"/>
      <c r="IP94" s="2821"/>
      <c r="IQ94" s="2821"/>
      <c r="IR94" s="2821"/>
      <c r="IS94" s="2821"/>
      <c r="IT94" s="2821"/>
      <c r="IU94" s="2821"/>
      <c r="IV94" s="2821"/>
      <c r="IW94" s="2821"/>
      <c r="IX94" s="2821"/>
      <c r="IY94" s="2821"/>
      <c r="IZ94" s="2821"/>
      <c r="JA94" s="2821"/>
      <c r="JB94" s="2821"/>
      <c r="JC94" s="2821"/>
      <c r="JD94" s="2821"/>
      <c r="JE94" s="2821"/>
      <c r="JF94" s="2821"/>
      <c r="JG94" s="3767"/>
      <c r="JH94" s="1233"/>
      <c r="JI94" s="1393"/>
    </row>
    <row r="95" spans="1:269" x14ac:dyDescent="0.2">
      <c r="A95" s="1128">
        <v>9</v>
      </c>
      <c r="B95" s="1375" t="str">
        <f si="8" t="shared"/>
        <v/>
      </c>
      <c r="C95" s="2268" t="s">
        <v>1447</v>
      </c>
      <c r="D95" s="2403" t="s">
        <v>4926</v>
      </c>
      <c r="E95" s="2454"/>
      <c r="F95" s="2454"/>
      <c r="G95" s="2454"/>
      <c r="H95" s="2454"/>
      <c r="I95" s="2454"/>
      <c r="J95" s="2454"/>
      <c r="K95" s="2454"/>
      <c r="L95" s="2454"/>
      <c r="M95" s="2454"/>
      <c r="N95" s="2454"/>
      <c r="O95" s="2454"/>
      <c r="P95" s="2454"/>
      <c r="Q95" s="2454"/>
      <c r="R95" s="2454"/>
      <c r="S95" s="2454"/>
      <c r="T95" s="2454"/>
      <c r="U95" s="2454"/>
      <c r="V95" s="2454"/>
      <c r="W95" s="2454"/>
      <c r="X95" s="2454"/>
      <c r="Y95" s="2454"/>
      <c r="Z95" s="2454"/>
      <c r="AA95" s="2454"/>
      <c r="AB95" s="2454"/>
      <c r="AC95" s="2454"/>
      <c r="AD95" s="2454"/>
      <c r="AE95" s="2454"/>
      <c r="AF95" s="2454"/>
      <c r="AG95" s="2454"/>
      <c r="AH95" s="2454"/>
      <c r="AI95" s="2454"/>
      <c r="AJ95" s="2454"/>
      <c r="AK95" s="2454"/>
      <c r="AL95" s="2454"/>
      <c r="AM95" s="2454"/>
      <c r="AN95" s="2454"/>
      <c r="AO95" s="2454"/>
      <c r="AP95" s="2454"/>
      <c r="AQ95" s="2454"/>
      <c r="AR95" s="2454"/>
      <c r="AS95" s="2454"/>
      <c r="AT95" s="2454"/>
      <c r="AU95" s="2454"/>
      <c r="AV95" s="2454"/>
      <c r="AW95" s="2454"/>
      <c r="AX95" s="2454"/>
      <c r="AY95" s="2454"/>
      <c r="AZ95" s="2454"/>
      <c r="BA95" s="2454"/>
      <c r="BB95" s="2454"/>
      <c r="BC95" s="2454"/>
      <c r="BD95" s="2454"/>
      <c r="BE95" s="2454"/>
      <c r="BF95" s="2454"/>
      <c r="BG95" s="2454"/>
      <c r="BH95" s="2454"/>
      <c r="BI95" s="2454"/>
      <c r="BJ95" s="2454"/>
      <c r="BK95" s="2454"/>
      <c r="BL95" s="2454"/>
      <c r="BM95" s="2454"/>
      <c r="BN95" s="2454"/>
      <c r="BO95" s="2454"/>
      <c r="BP95" s="2454"/>
      <c r="BQ95" s="2454"/>
      <c r="BR95" s="2454"/>
      <c r="BS95" s="2454"/>
      <c r="BT95" s="2454"/>
      <c r="BU95" s="2454"/>
      <c r="BV95" s="2454"/>
      <c r="BW95" s="2454"/>
      <c r="BX95" s="2454"/>
      <c r="BY95" s="2454"/>
      <c r="BZ95" s="2454"/>
      <c r="CA95" s="2454"/>
      <c r="CB95" s="2821"/>
      <c r="CC95" s="2821"/>
      <c r="CD95" s="2821"/>
      <c r="CE95" s="2821"/>
      <c r="CF95" s="2821"/>
      <c r="CG95" s="2821"/>
      <c r="CH95" s="2821"/>
      <c r="CI95" s="2821"/>
      <c r="CJ95" s="2821"/>
      <c r="CK95" s="2821"/>
      <c r="CL95" s="2821"/>
      <c r="CM95" s="2821"/>
      <c r="CN95" s="2454"/>
      <c r="CO95" s="2821"/>
      <c r="CP95" s="2821"/>
      <c r="CQ95" s="2454"/>
      <c r="CR95" s="2821"/>
      <c r="CS95" s="2821"/>
      <c r="CT95" s="2821"/>
      <c r="CU95" s="2821"/>
      <c r="CV95" s="2821"/>
      <c r="CW95" s="2821"/>
      <c r="CX95" s="2821"/>
      <c r="CY95" s="2821"/>
      <c r="CZ95" s="2821"/>
      <c r="DA95" s="2821"/>
      <c r="DB95" s="2821"/>
      <c r="DC95" s="2821"/>
      <c r="DD95" s="2821"/>
      <c r="DE95" s="2821"/>
      <c r="DF95" s="2821"/>
      <c r="DG95" s="2821"/>
      <c r="DH95" s="2821"/>
      <c r="DI95" s="2821"/>
      <c r="DJ95" s="2821"/>
      <c r="DK95" s="2821"/>
      <c r="DL95" s="2821"/>
      <c r="DM95" s="2821"/>
      <c r="DN95" s="2821"/>
      <c r="DO95" s="2821"/>
      <c r="DP95" s="2821"/>
      <c r="DQ95" s="2821"/>
      <c r="DR95" s="2821"/>
      <c r="DS95" s="2821"/>
      <c r="DT95" s="2821"/>
      <c r="DU95" s="2821"/>
      <c r="DV95" s="2821"/>
      <c r="DW95" s="2454"/>
      <c r="DX95" s="2821"/>
      <c r="DY95" s="2821"/>
      <c r="DZ95" s="2821"/>
      <c r="EA95" s="2821"/>
      <c r="EB95" s="2821"/>
      <c r="EC95" s="2821"/>
      <c r="ED95" s="2821"/>
      <c r="EE95" s="2821"/>
      <c r="EF95" s="2821"/>
      <c r="EG95" s="2821"/>
      <c r="EH95" s="2821"/>
      <c r="EI95" s="2821"/>
      <c r="EJ95" s="2821"/>
      <c r="EK95" s="2821"/>
      <c r="EL95" s="2821"/>
      <c r="EM95" s="2454"/>
      <c r="EN95" s="2454"/>
      <c r="EO95" s="2454"/>
      <c r="EP95" s="2454">
        <v>67514</v>
      </c>
      <c r="EQ95" s="2821"/>
      <c r="ER95" s="2821"/>
      <c r="ES95" s="2821"/>
      <c r="ET95" s="2821"/>
      <c r="EU95" s="2821"/>
      <c r="EV95" s="2454"/>
      <c r="EW95" s="2821"/>
      <c r="EX95" s="2821"/>
      <c r="EY95" s="2821"/>
      <c r="EZ95" s="2821"/>
      <c r="FA95" s="2821"/>
      <c r="FB95" s="2821"/>
      <c r="FC95" s="2821"/>
      <c r="FD95" s="2821"/>
      <c r="FE95" s="2821"/>
      <c r="FF95" s="2821"/>
      <c r="FG95" s="2821"/>
      <c r="FH95" s="2821"/>
      <c r="FI95" s="2821"/>
      <c r="FJ95" s="2821"/>
      <c r="FK95" s="2821"/>
      <c r="FL95" s="2821"/>
      <c r="FM95" s="2821"/>
      <c r="FN95" s="2821"/>
      <c r="FO95" s="2821"/>
      <c r="FP95" s="2821"/>
      <c r="FQ95" s="2454"/>
      <c r="FR95" s="2821"/>
      <c r="FS95" s="2821"/>
      <c r="FT95" s="2821"/>
      <c r="FU95" s="2821"/>
      <c r="FV95" s="2821"/>
      <c r="FW95" s="2821"/>
      <c r="FX95" s="2454"/>
      <c r="FY95" s="2821"/>
      <c r="FZ95" s="2821"/>
      <c r="GA95" s="2821"/>
      <c r="GB95" s="2821"/>
      <c r="GC95" s="2821"/>
      <c r="GD95" s="2821"/>
      <c r="GE95" s="2821"/>
      <c r="GF95" s="2821"/>
      <c r="GG95" s="2821"/>
      <c r="GH95" s="2454"/>
      <c r="GI95" s="2454">
        <v>67514</v>
      </c>
      <c r="GJ95" s="2454"/>
      <c r="GK95" s="2821"/>
      <c r="GL95" s="2821"/>
      <c r="GM95" s="2821"/>
      <c r="GN95" s="2821"/>
      <c r="GO95" s="2821"/>
      <c r="GP95" s="2821"/>
      <c r="GQ95" s="2821"/>
      <c r="GR95" s="2821"/>
      <c r="GS95" s="2454"/>
      <c r="GT95" s="2454"/>
      <c r="GU95" s="2454"/>
      <c r="GV95" s="2821"/>
      <c r="GW95" s="2821"/>
      <c r="GX95" s="2454"/>
      <c r="GY95" s="2821"/>
      <c r="GZ95" s="2454"/>
      <c r="HA95" s="2454"/>
      <c r="HB95" s="2821"/>
      <c r="HC95" s="2821"/>
      <c r="HD95" s="2821"/>
      <c r="HE95" s="2821"/>
      <c r="HF95" s="2454"/>
      <c r="HG95" s="2454"/>
      <c r="HH95" s="2821"/>
      <c r="HI95" s="2821"/>
      <c r="HJ95" s="2821"/>
      <c r="HK95" s="2821"/>
      <c r="HL95" s="2821"/>
      <c r="HM95" s="2821"/>
      <c r="HN95" s="2821"/>
      <c r="HO95" s="2821"/>
      <c r="HP95" s="2821"/>
      <c r="HQ95" s="2821"/>
      <c r="HR95" s="2821"/>
      <c r="HS95" s="2821"/>
      <c r="HT95" s="2821"/>
      <c r="HU95" s="2821"/>
      <c r="HV95" s="2821"/>
      <c r="HW95" s="2821"/>
      <c r="HX95" s="2821"/>
      <c r="HY95" s="2821"/>
      <c r="HZ95" s="2821"/>
      <c r="IA95" s="2821"/>
      <c r="IB95" s="2821"/>
      <c r="IC95" s="2821"/>
      <c r="ID95" s="2821"/>
      <c r="IE95" s="2821"/>
      <c r="IF95" s="2821"/>
      <c r="IG95" s="2821"/>
      <c r="IH95" s="2821"/>
      <c r="II95" s="2821"/>
      <c r="IJ95" s="2821"/>
      <c r="IK95" s="2821"/>
      <c r="IL95" s="2821"/>
      <c r="IM95" s="2821"/>
      <c r="IN95" s="2821"/>
      <c r="IO95" s="2821"/>
      <c r="IP95" s="2821"/>
      <c r="IQ95" s="2821"/>
      <c r="IR95" s="2821"/>
      <c r="IS95" s="2821"/>
      <c r="IT95" s="2821"/>
      <c r="IU95" s="2821"/>
      <c r="IV95" s="2821"/>
      <c r="IW95" s="2821"/>
      <c r="IX95" s="2821"/>
      <c r="IY95" s="2821"/>
      <c r="IZ95" s="2821"/>
      <c r="JA95" s="2821"/>
      <c r="JB95" s="2821"/>
      <c r="JC95" s="2821"/>
      <c r="JD95" s="2821"/>
      <c r="JE95" s="2821"/>
      <c r="JF95" s="2821"/>
      <c r="JG95" s="3771"/>
      <c r="JH95" s="1233"/>
      <c r="JI95" s="1393"/>
    </row>
    <row r="96" spans="1:269" x14ac:dyDescent="0.2">
      <c r="A96" s="1128">
        <v>10</v>
      </c>
      <c r="B96" s="1375" t="str">
        <f si="8" t="shared"/>
        <v/>
      </c>
      <c r="C96" s="2268" t="s">
        <v>1448</v>
      </c>
      <c r="D96" s="2403" t="s">
        <v>4927</v>
      </c>
      <c r="E96" s="2454"/>
      <c r="F96" s="2454"/>
      <c r="G96" s="2454"/>
      <c r="H96" s="2454"/>
      <c r="I96" s="2454"/>
      <c r="J96" s="2454"/>
      <c r="K96" s="2454"/>
      <c r="L96" s="2454"/>
      <c r="M96" s="2454"/>
      <c r="N96" s="2454"/>
      <c r="O96" s="2454"/>
      <c r="P96" s="2454"/>
      <c r="Q96" s="2454"/>
      <c r="R96" s="2454"/>
      <c r="S96" s="2454"/>
      <c r="T96" s="2454"/>
      <c r="U96" s="2454"/>
      <c r="V96" s="2454"/>
      <c r="W96" s="2454"/>
      <c r="X96" s="2454"/>
      <c r="Y96" s="2454"/>
      <c r="Z96" s="2454"/>
      <c r="AA96" s="2454"/>
      <c r="AB96" s="2454"/>
      <c r="AC96" s="2454"/>
      <c r="AD96" s="2454"/>
      <c r="AE96" s="2454"/>
      <c r="AF96" s="2454"/>
      <c r="AG96" s="2454"/>
      <c r="AH96" s="2454"/>
      <c r="AI96" s="2454"/>
      <c r="AJ96" s="2454"/>
      <c r="AK96" s="2454"/>
      <c r="AL96" s="2454"/>
      <c r="AM96" s="2454"/>
      <c r="AN96" s="2454"/>
      <c r="AO96" s="2454"/>
      <c r="AP96" s="2454"/>
      <c r="AQ96" s="2454"/>
      <c r="AR96" s="2454"/>
      <c r="AS96" s="2454"/>
      <c r="AT96" s="2454"/>
      <c r="AU96" s="2454"/>
      <c r="AV96" s="2454"/>
      <c r="AW96" s="2454"/>
      <c r="AX96" s="2454"/>
      <c r="AY96" s="2454"/>
      <c r="AZ96" s="2454"/>
      <c r="BA96" s="2454"/>
      <c r="BB96" s="2454"/>
      <c r="BC96" s="2454"/>
      <c r="BD96" s="2454"/>
      <c r="BE96" s="2454"/>
      <c r="BF96" s="2454"/>
      <c r="BG96" s="2454"/>
      <c r="BH96" s="2454"/>
      <c r="BI96" s="2454"/>
      <c r="BJ96" s="2454"/>
      <c r="BK96" s="2454"/>
      <c r="BL96" s="2454"/>
      <c r="BM96" s="2454"/>
      <c r="BN96" s="2454"/>
      <c r="BO96" s="2454"/>
      <c r="BP96" s="2454"/>
      <c r="BQ96" s="2454"/>
      <c r="BR96" s="2454"/>
      <c r="BS96" s="2454"/>
      <c r="BT96" s="2454"/>
      <c r="BU96" s="2454"/>
      <c r="BV96" s="2454"/>
      <c r="BW96" s="2454"/>
      <c r="BX96" s="2454"/>
      <c r="BY96" s="2454"/>
      <c r="BZ96" s="2454"/>
      <c r="CA96" s="2454"/>
      <c r="CB96" s="2821"/>
      <c r="CC96" s="2821"/>
      <c r="CD96" s="2821"/>
      <c r="CE96" s="2821"/>
      <c r="CF96" s="2821"/>
      <c r="CG96" s="2821"/>
      <c r="CH96" s="2821"/>
      <c r="CI96" s="2821"/>
      <c r="CJ96" s="2821"/>
      <c r="CK96" s="2821"/>
      <c r="CL96" s="2821"/>
      <c r="CM96" s="2821"/>
      <c r="CN96" s="2454"/>
      <c r="CO96" s="2821"/>
      <c r="CP96" s="2821"/>
      <c r="CQ96" s="2454"/>
      <c r="CR96" s="2821"/>
      <c r="CS96" s="2821"/>
      <c r="CT96" s="2821"/>
      <c r="CU96" s="2821"/>
      <c r="CV96" s="2821"/>
      <c r="CW96" s="2821"/>
      <c r="CX96" s="2821"/>
      <c r="CY96" s="2821"/>
      <c r="CZ96" s="2821"/>
      <c r="DA96" s="2821"/>
      <c r="DB96" s="2821"/>
      <c r="DC96" s="2821"/>
      <c r="DD96" s="2821"/>
      <c r="DE96" s="2821"/>
      <c r="DF96" s="2821"/>
      <c r="DG96" s="2821"/>
      <c r="DH96" s="2821"/>
      <c r="DI96" s="2821"/>
      <c r="DJ96" s="2821"/>
      <c r="DK96" s="2821"/>
      <c r="DL96" s="2821"/>
      <c r="DM96" s="2821"/>
      <c r="DN96" s="2821"/>
      <c r="DO96" s="2821"/>
      <c r="DP96" s="2821"/>
      <c r="DQ96" s="2821"/>
      <c r="DR96" s="2821"/>
      <c r="DS96" s="2821"/>
      <c r="DT96" s="2821"/>
      <c r="DU96" s="2821"/>
      <c r="DV96" s="2821"/>
      <c r="DW96" s="2454"/>
      <c r="DX96" s="2821"/>
      <c r="DY96" s="2821"/>
      <c r="DZ96" s="2821"/>
      <c r="EA96" s="2821"/>
      <c r="EB96" s="2821"/>
      <c r="EC96" s="2821"/>
      <c r="ED96" s="2821"/>
      <c r="EE96" s="2821"/>
      <c r="EF96" s="2821"/>
      <c r="EG96" s="2821"/>
      <c r="EH96" s="2821"/>
      <c r="EI96" s="2821"/>
      <c r="EJ96" s="2821"/>
      <c r="EK96" s="2821"/>
      <c r="EL96" s="2821"/>
      <c r="EM96" s="2454"/>
      <c r="EN96" s="2454"/>
      <c r="EO96" s="2454"/>
      <c r="EP96" s="2454">
        <v>7900.8</v>
      </c>
      <c r="EQ96" s="2821"/>
      <c r="ER96" s="2821"/>
      <c r="ES96" s="2821"/>
      <c r="ET96" s="2821"/>
      <c r="EU96" s="2821"/>
      <c r="EV96" s="2454"/>
      <c r="EW96" s="2821"/>
      <c r="EX96" s="2821"/>
      <c r="EY96" s="2821"/>
      <c r="EZ96" s="2821"/>
      <c r="FA96" s="2821"/>
      <c r="FB96" s="2821"/>
      <c r="FC96" s="2821"/>
      <c r="FD96" s="2821"/>
      <c r="FE96" s="2821"/>
      <c r="FF96" s="2821"/>
      <c r="FG96" s="2821"/>
      <c r="FH96" s="2821"/>
      <c r="FI96" s="2821"/>
      <c r="FJ96" s="2821"/>
      <c r="FK96" s="2821"/>
      <c r="FL96" s="2821"/>
      <c r="FM96" s="2821"/>
      <c r="FN96" s="2821"/>
      <c r="FO96" s="2821"/>
      <c r="FP96" s="2821"/>
      <c r="FQ96" s="2454"/>
      <c r="FR96" s="2821"/>
      <c r="FS96" s="2821"/>
      <c r="FT96" s="2821"/>
      <c r="FU96" s="2821"/>
      <c r="FV96" s="2821"/>
      <c r="FW96" s="2821"/>
      <c r="FX96" s="2454"/>
      <c r="FY96" s="2821"/>
      <c r="FZ96" s="2821"/>
      <c r="GA96" s="2821"/>
      <c r="GB96" s="2821"/>
      <c r="GC96" s="2821"/>
      <c r="GD96" s="2821"/>
      <c r="GE96" s="2821"/>
      <c r="GF96" s="2821"/>
      <c r="GG96" s="2821"/>
      <c r="GH96" s="2454">
        <v>200900</v>
      </c>
      <c r="GI96" s="2454">
        <v>7900.8</v>
      </c>
      <c r="GJ96" s="2454"/>
      <c r="GK96" s="2821"/>
      <c r="GL96" s="2821"/>
      <c r="GM96" s="2821"/>
      <c r="GN96" s="2821"/>
      <c r="GO96" s="2821"/>
      <c r="GP96" s="2821"/>
      <c r="GQ96" s="2821"/>
      <c r="GR96" s="2821"/>
      <c r="GS96" s="2454"/>
      <c r="GT96" s="2454"/>
      <c r="GU96" s="2454"/>
      <c r="GV96" s="2821"/>
      <c r="GW96" s="2821"/>
      <c r="GX96" s="2454"/>
      <c r="GY96" s="2821"/>
      <c r="GZ96" s="2454"/>
      <c r="HA96" s="2454"/>
      <c r="HB96" s="2821"/>
      <c r="HC96" s="2821"/>
      <c r="HD96" s="2821"/>
      <c r="HE96" s="2821"/>
      <c r="HF96" s="2454"/>
      <c r="HG96" s="2454"/>
      <c r="HH96" s="2821"/>
      <c r="HI96" s="2821"/>
      <c r="HJ96" s="2821"/>
      <c r="HK96" s="2821"/>
      <c r="HL96" s="2821"/>
      <c r="HM96" s="2821"/>
      <c r="HN96" s="2821"/>
      <c r="HO96" s="2821"/>
      <c r="HP96" s="2821"/>
      <c r="HQ96" s="2821"/>
      <c r="HR96" s="2821"/>
      <c r="HS96" s="2821"/>
      <c r="HT96" s="2821"/>
      <c r="HU96" s="2821"/>
      <c r="HV96" s="2821"/>
      <c r="HW96" s="2821"/>
      <c r="HX96" s="2821"/>
      <c r="HY96" s="2821"/>
      <c r="HZ96" s="2821"/>
      <c r="IA96" s="2821"/>
      <c r="IB96" s="2821"/>
      <c r="IC96" s="2821"/>
      <c r="ID96" s="2821"/>
      <c r="IE96" s="2821"/>
      <c r="IF96" s="2821"/>
      <c r="IG96" s="2821"/>
      <c r="IH96" s="2821"/>
      <c r="II96" s="2821"/>
      <c r="IJ96" s="2821"/>
      <c r="IK96" s="2821"/>
      <c r="IL96" s="2821"/>
      <c r="IM96" s="2821"/>
      <c r="IN96" s="2821"/>
      <c r="IO96" s="2821"/>
      <c r="IP96" s="2821"/>
      <c r="IQ96" s="2821"/>
      <c r="IR96" s="2821"/>
      <c r="IS96" s="2821"/>
      <c r="IT96" s="2821"/>
      <c r="IU96" s="2821"/>
      <c r="IV96" s="2821"/>
      <c r="IW96" s="2821"/>
      <c r="IX96" s="2821"/>
      <c r="IY96" s="2821"/>
      <c r="IZ96" s="2821"/>
      <c r="JA96" s="2821"/>
      <c r="JB96" s="2821"/>
      <c r="JC96" s="2821"/>
      <c r="JD96" s="2821"/>
      <c r="JE96" s="2821"/>
      <c r="JF96" s="2821"/>
      <c r="JG96" s="3767"/>
      <c r="JH96" s="1233"/>
      <c r="JI96" s="1393"/>
    </row>
    <row r="97" spans="1:269" x14ac:dyDescent="0.2">
      <c r="A97" s="1128">
        <v>11</v>
      </c>
      <c r="B97" s="1375" t="str">
        <f si="8" t="shared"/>
        <v/>
      </c>
      <c r="C97" s="2268" t="s">
        <v>1449</v>
      </c>
      <c r="D97" s="2403" t="s">
        <v>4928</v>
      </c>
      <c r="E97" s="2454"/>
      <c r="F97" s="2454"/>
      <c r="G97" s="2454"/>
      <c r="H97" s="2454"/>
      <c r="I97" s="2454"/>
      <c r="J97" s="2454"/>
      <c r="K97" s="2454"/>
      <c r="L97" s="2454"/>
      <c r="M97" s="2454"/>
      <c r="N97" s="2454"/>
      <c r="O97" s="2454"/>
      <c r="P97" s="2454"/>
      <c r="Q97" s="2454"/>
      <c r="R97" s="2454"/>
      <c r="S97" s="2454"/>
      <c r="T97" s="2454"/>
      <c r="U97" s="2454"/>
      <c r="V97" s="2454"/>
      <c r="W97" s="2454"/>
      <c r="X97" s="2454"/>
      <c r="Y97" s="2454"/>
      <c r="Z97" s="2454"/>
      <c r="AA97" s="2454"/>
      <c r="AB97" s="2454"/>
      <c r="AC97" s="2454"/>
      <c r="AD97" s="2454"/>
      <c r="AE97" s="2454"/>
      <c r="AF97" s="2454"/>
      <c r="AG97" s="2454"/>
      <c r="AH97" s="2454"/>
      <c r="AI97" s="2454"/>
      <c r="AJ97" s="2454"/>
      <c r="AK97" s="2454"/>
      <c r="AL97" s="2454"/>
      <c r="AM97" s="2454"/>
      <c r="AN97" s="2454"/>
      <c r="AO97" s="2454"/>
      <c r="AP97" s="2454"/>
      <c r="AQ97" s="2454"/>
      <c r="AR97" s="2454"/>
      <c r="AS97" s="2454"/>
      <c r="AT97" s="2454"/>
      <c r="AU97" s="2454"/>
      <c r="AV97" s="2454"/>
      <c r="AW97" s="2454"/>
      <c r="AX97" s="2454"/>
      <c r="AY97" s="2454"/>
      <c r="AZ97" s="2454"/>
      <c r="BA97" s="2454"/>
      <c r="BB97" s="2454"/>
      <c r="BC97" s="2454"/>
      <c r="BD97" s="2454"/>
      <c r="BE97" s="2454"/>
      <c r="BF97" s="2454"/>
      <c r="BG97" s="2454"/>
      <c r="BH97" s="2454"/>
      <c r="BI97" s="2454"/>
      <c r="BJ97" s="2454"/>
      <c r="BK97" s="2454"/>
      <c r="BL97" s="2454"/>
      <c r="BM97" s="2454"/>
      <c r="BN97" s="2454"/>
      <c r="BO97" s="2454"/>
      <c r="BP97" s="2454"/>
      <c r="BQ97" s="2454"/>
      <c r="BR97" s="2454"/>
      <c r="BS97" s="2454"/>
      <c r="BT97" s="2454"/>
      <c r="BU97" s="2454"/>
      <c r="BV97" s="2454"/>
      <c r="BW97" s="2454"/>
      <c r="BX97" s="2454"/>
      <c r="BY97" s="2454"/>
      <c r="BZ97" s="2454"/>
      <c r="CA97" s="2454"/>
      <c r="CB97" s="2821"/>
      <c r="CC97" s="2821"/>
      <c r="CD97" s="2821"/>
      <c r="CE97" s="2821"/>
      <c r="CF97" s="2821"/>
      <c r="CG97" s="2821"/>
      <c r="CH97" s="2821"/>
      <c r="CI97" s="2821"/>
      <c r="CJ97" s="2821"/>
      <c r="CK97" s="2821"/>
      <c r="CL97" s="2821"/>
      <c r="CM97" s="2821"/>
      <c r="CN97" s="2454"/>
      <c r="CO97" s="2821"/>
      <c r="CP97" s="2821"/>
      <c r="CQ97" s="4219">
        <v>1415</v>
      </c>
      <c r="CR97" s="2821"/>
      <c r="CS97" s="2821"/>
      <c r="CT97" s="2821"/>
      <c r="CU97" s="2821"/>
      <c r="CV97" s="2821"/>
      <c r="CW97" s="2821"/>
      <c r="CX97" s="2821"/>
      <c r="CY97" s="2821"/>
      <c r="CZ97" s="2821"/>
      <c r="DA97" s="2821"/>
      <c r="DB97" s="2821"/>
      <c r="DC97" s="2821"/>
      <c r="DD97" s="2821"/>
      <c r="DE97" s="2821"/>
      <c r="DF97" s="2821"/>
      <c r="DG97" s="2821"/>
      <c r="DH97" s="2821"/>
      <c r="DI97" s="2821"/>
      <c r="DJ97" s="2821"/>
      <c r="DK97" s="2821"/>
      <c r="DL97" s="2821"/>
      <c r="DM97" s="2821"/>
      <c r="DN97" s="2821"/>
      <c r="DO97" s="2821"/>
      <c r="DP97" s="2821"/>
      <c r="DQ97" s="2821"/>
      <c r="DR97" s="2821"/>
      <c r="DS97" s="2821"/>
      <c r="DT97" s="2821"/>
      <c r="DU97" s="2821"/>
      <c r="DV97" s="2821"/>
      <c r="DW97" s="2454"/>
      <c r="DX97" s="2821"/>
      <c r="DY97" s="2821"/>
      <c r="DZ97" s="2821"/>
      <c r="EA97" s="2821"/>
      <c r="EB97" s="2821"/>
      <c r="EC97" s="2821"/>
      <c r="ED97" s="2821"/>
      <c r="EE97" s="2821"/>
      <c r="EF97" s="2821"/>
      <c r="EG97" s="2821"/>
      <c r="EH97" s="2821"/>
      <c r="EI97" s="2821"/>
      <c r="EJ97" s="2821"/>
      <c r="EK97" s="2821"/>
      <c r="EL97" s="4222">
        <v>23000</v>
      </c>
      <c r="EM97" s="2454">
        <v>15000</v>
      </c>
      <c r="EN97" s="2454">
        <v>15000</v>
      </c>
      <c r="EO97" s="2454"/>
      <c r="EP97" s="2454"/>
      <c r="EQ97" s="2821"/>
      <c r="ER97" s="2821"/>
      <c r="ES97" s="2821"/>
      <c r="ET97" s="2821"/>
      <c r="EU97" s="2821"/>
      <c r="EV97" s="2454"/>
      <c r="EW97" s="2821"/>
      <c r="EX97" s="2821"/>
      <c r="EY97" s="2821"/>
      <c r="EZ97" s="2821"/>
      <c r="FA97" s="2821"/>
      <c r="FB97" s="2821"/>
      <c r="FC97" s="2821"/>
      <c r="FD97" s="2821"/>
      <c r="FE97" s="2821"/>
      <c r="FF97" s="2821"/>
      <c r="FG97" s="2821"/>
      <c r="FH97" s="2821"/>
      <c r="FI97" s="2821"/>
      <c r="FJ97" s="2821"/>
      <c r="FK97" s="2821"/>
      <c r="FL97" s="2821"/>
      <c r="FM97" s="2821"/>
      <c r="FN97" s="2821"/>
      <c r="FO97" s="2821"/>
      <c r="FP97" s="2821"/>
      <c r="FQ97" s="2454"/>
      <c r="FR97" s="2821"/>
      <c r="FS97" s="2821"/>
      <c r="FT97" s="2821"/>
      <c r="FU97" s="2821"/>
      <c r="FV97" s="2821"/>
      <c r="FW97" s="2821"/>
      <c r="FX97" s="2454"/>
      <c r="FY97" s="2821"/>
      <c r="FZ97" s="2821"/>
      <c r="GA97" s="2821"/>
      <c r="GB97" s="2821"/>
      <c r="GC97" s="2821"/>
      <c r="GD97" s="2821"/>
      <c r="GE97" s="2821"/>
      <c r="GF97" s="2821"/>
      <c r="GG97" s="2821"/>
      <c r="GH97" s="2454"/>
      <c r="GI97" s="2454"/>
      <c r="GJ97" s="2454">
        <v>166200</v>
      </c>
      <c r="GK97" s="2821"/>
      <c r="GL97" s="2821"/>
      <c r="GM97" s="2821"/>
      <c r="GN97" s="2821"/>
      <c r="GO97" s="2821"/>
      <c r="GP97" s="2821"/>
      <c r="GQ97" s="2821"/>
      <c r="GR97" s="2821"/>
      <c r="GS97" s="2454"/>
      <c r="GT97" s="2454"/>
      <c r="GU97" s="2454"/>
      <c r="GV97" s="2821"/>
      <c r="GW97" s="2821"/>
      <c r="GX97" s="2454"/>
      <c r="GY97" s="2821"/>
      <c r="GZ97" s="2454">
        <v>15000</v>
      </c>
      <c r="HA97" s="2454">
        <v>15000</v>
      </c>
      <c r="HB97" s="2821"/>
      <c r="HC97" s="2821"/>
      <c r="HD97" s="2821"/>
      <c r="HE97" s="2821"/>
      <c r="HF97" s="2454">
        <v>91415</v>
      </c>
      <c r="HG97" s="2454">
        <v>91415</v>
      </c>
      <c r="HH97" s="2821"/>
      <c r="HI97" s="2821"/>
      <c r="HJ97" s="2821"/>
      <c r="HK97" s="2821"/>
      <c r="HL97" s="2821"/>
      <c r="HM97" s="2821"/>
      <c r="HN97" s="2821"/>
      <c r="HO97" s="2821"/>
      <c r="HP97" s="2821"/>
      <c r="HQ97" s="2821"/>
      <c r="HR97" s="2821"/>
      <c r="HS97" s="2821"/>
      <c r="HT97" s="2821"/>
      <c r="HU97" s="2821"/>
      <c r="HV97" s="2821"/>
      <c r="HW97" s="2821"/>
      <c r="HX97" s="2821"/>
      <c r="HY97" s="2821"/>
      <c r="HZ97" s="2821"/>
      <c r="IA97" s="2821"/>
      <c r="IB97" s="2821"/>
      <c r="IC97" s="2821"/>
      <c r="ID97" s="2821"/>
      <c r="IE97" s="2821"/>
      <c r="IF97" s="2821"/>
      <c r="IG97" s="2821"/>
      <c r="IH97" s="2821"/>
      <c r="II97" s="2821"/>
      <c r="IJ97" s="2821"/>
      <c r="IK97" s="2821"/>
      <c r="IL97" s="2821"/>
      <c r="IM97" s="2821"/>
      <c r="IN97" s="2821"/>
      <c r="IO97" s="2821"/>
      <c r="IP97" s="2821"/>
      <c r="IQ97" s="2821"/>
      <c r="IR97" s="2821"/>
      <c r="IS97" s="2821"/>
      <c r="IT97" s="2821"/>
      <c r="IU97" s="2821"/>
      <c r="IV97" s="2821"/>
      <c r="IW97" s="2821"/>
      <c r="IX97" s="2821"/>
      <c r="IY97" s="2821"/>
      <c r="IZ97" s="2821"/>
      <c r="JA97" s="2821"/>
      <c r="JB97" s="2821"/>
      <c r="JC97" s="2821"/>
      <c r="JD97" s="2821"/>
      <c r="JE97" s="2821"/>
      <c r="JF97" s="2821"/>
      <c r="JG97" s="3767"/>
      <c r="JH97" s="1233"/>
      <c r="JI97" s="1393"/>
    </row>
    <row r="98" spans="1:269" x14ac:dyDescent="0.2">
      <c r="A98" s="1128">
        <v>12</v>
      </c>
      <c r="B98" s="1375" t="str">
        <f si="8" t="shared"/>
        <v/>
      </c>
      <c r="C98" s="2268" t="s">
        <v>1450</v>
      </c>
      <c r="D98" s="2403" t="s">
        <v>4929</v>
      </c>
      <c r="E98" s="2454"/>
      <c r="F98" s="2454"/>
      <c r="G98" s="2454"/>
      <c r="H98" s="2454"/>
      <c r="I98" s="2454"/>
      <c r="J98" s="2454"/>
      <c r="K98" s="2454"/>
      <c r="L98" s="2454"/>
      <c r="M98" s="2454"/>
      <c r="N98" s="2454"/>
      <c r="O98" s="2454"/>
      <c r="P98" s="2454"/>
      <c r="Q98" s="2454"/>
      <c r="R98" s="2454"/>
      <c r="S98" s="2454"/>
      <c r="T98" s="2454"/>
      <c r="U98" s="2454"/>
      <c r="V98" s="2454"/>
      <c r="W98" s="2454"/>
      <c r="X98" s="2454"/>
      <c r="Y98" s="2454"/>
      <c r="Z98" s="2454"/>
      <c r="AA98" s="2454"/>
      <c r="AB98" s="2454"/>
      <c r="AC98" s="2454"/>
      <c r="AD98" s="2454"/>
      <c r="AE98" s="2454"/>
      <c r="AF98" s="2454"/>
      <c r="AG98" s="2454"/>
      <c r="AH98" s="2454"/>
      <c r="AI98" s="2454"/>
      <c r="AJ98" s="2454"/>
      <c r="AK98" s="2454"/>
      <c r="AL98" s="2454"/>
      <c r="AM98" s="2454"/>
      <c r="AN98" s="2454"/>
      <c r="AO98" s="2454"/>
      <c r="AP98" s="2454"/>
      <c r="AQ98" s="2454"/>
      <c r="AR98" s="2454"/>
      <c r="AS98" s="2454"/>
      <c r="AT98" s="2454"/>
      <c r="AU98" s="2454"/>
      <c r="AV98" s="2454"/>
      <c r="AW98" s="2454"/>
      <c r="AX98" s="2454"/>
      <c r="AY98" s="2454"/>
      <c r="AZ98" s="2454"/>
      <c r="BA98" s="2454"/>
      <c r="BB98" s="2454"/>
      <c r="BC98" s="2454"/>
      <c r="BD98" s="2454"/>
      <c r="BE98" s="2454"/>
      <c r="BF98" s="2454"/>
      <c r="BG98" s="2454"/>
      <c r="BH98" s="2454"/>
      <c r="BI98" s="2454"/>
      <c r="BJ98" s="2454"/>
      <c r="BK98" s="2454"/>
      <c r="BL98" s="2454"/>
      <c r="BM98" s="2454"/>
      <c r="BN98" s="2454"/>
      <c r="BO98" s="2454"/>
      <c r="BP98" s="2454"/>
      <c r="BQ98" s="2454"/>
      <c r="BR98" s="2454"/>
      <c r="BS98" s="2454"/>
      <c r="BT98" s="2454"/>
      <c r="BU98" s="2454"/>
      <c r="BV98" s="2454"/>
      <c r="BW98" s="2454"/>
      <c r="BX98" s="2454"/>
      <c r="BY98" s="2454"/>
      <c r="BZ98" s="2454"/>
      <c r="CA98" s="2454"/>
      <c r="CB98" s="2821"/>
      <c r="CC98" s="2821"/>
      <c r="CD98" s="2821"/>
      <c r="CE98" s="2821"/>
      <c r="CF98" s="2821"/>
      <c r="CG98" s="2821"/>
      <c r="CH98" s="2821"/>
      <c r="CI98" s="2821"/>
      <c r="CJ98" s="2821"/>
      <c r="CK98" s="2821"/>
      <c r="CL98" s="2821"/>
      <c r="CM98" s="2821"/>
      <c r="CN98" s="2454"/>
      <c r="CO98" s="2821"/>
      <c r="CP98" s="2821"/>
      <c r="CQ98" s="2454"/>
      <c r="CR98" s="2821"/>
      <c r="CS98" s="2821"/>
      <c r="CT98" s="2821"/>
      <c r="CU98" s="2821"/>
      <c r="CV98" s="2821"/>
      <c r="CW98" s="2821"/>
      <c r="CX98" s="2821"/>
      <c r="CY98" s="2821"/>
      <c r="CZ98" s="2821"/>
      <c r="DA98" s="2821"/>
      <c r="DB98" s="2821"/>
      <c r="DC98" s="2821"/>
      <c r="DD98" s="2821"/>
      <c r="DE98" s="2821"/>
      <c r="DF98" s="2821"/>
      <c r="DG98" s="2821"/>
      <c r="DH98" s="2821"/>
      <c r="DI98" s="2821"/>
      <c r="DJ98" s="2821"/>
      <c r="DK98" s="2821"/>
      <c r="DL98" s="2821"/>
      <c r="DM98" s="2821"/>
      <c r="DN98" s="2821"/>
      <c r="DO98" s="2821"/>
      <c r="DP98" s="2821"/>
      <c r="DQ98" s="2821"/>
      <c r="DR98" s="2821"/>
      <c r="DS98" s="2821"/>
      <c r="DT98" s="2821"/>
      <c r="DU98" s="2821"/>
      <c r="DV98" s="2821"/>
      <c r="DW98" s="2454"/>
      <c r="DX98" s="2821"/>
      <c r="DY98" s="2821"/>
      <c r="DZ98" s="2821"/>
      <c r="EA98" s="2821"/>
      <c r="EB98" s="2821"/>
      <c r="EC98" s="2821"/>
      <c r="ED98" s="2821"/>
      <c r="EE98" s="2821"/>
      <c r="EF98" s="2821"/>
      <c r="EG98" s="2821"/>
      <c r="EH98" s="2821"/>
      <c r="EI98" s="2821"/>
      <c r="EJ98" s="2821"/>
      <c r="EK98" s="2821"/>
      <c r="EL98" s="4222">
        <v>0</v>
      </c>
      <c r="EM98" s="2454">
        <v>3000</v>
      </c>
      <c r="EN98" s="2454">
        <v>3000</v>
      </c>
      <c r="EO98" s="2454"/>
      <c r="EP98" s="2454"/>
      <c r="EQ98" s="2821"/>
      <c r="ER98" s="2821"/>
      <c r="ES98" s="2821"/>
      <c r="ET98" s="2821"/>
      <c r="EU98" s="2821"/>
      <c r="EV98" s="2454"/>
      <c r="EW98" s="2821"/>
      <c r="EX98" s="2821"/>
      <c r="EY98" s="2821"/>
      <c r="EZ98" s="2821"/>
      <c r="FA98" s="2821"/>
      <c r="FB98" s="2821"/>
      <c r="FC98" s="2821"/>
      <c r="FD98" s="2821"/>
      <c r="FE98" s="2821"/>
      <c r="FF98" s="2821"/>
      <c r="FG98" s="2821"/>
      <c r="FH98" s="2821"/>
      <c r="FI98" s="2821"/>
      <c r="FJ98" s="2821"/>
      <c r="FK98" s="2821"/>
      <c r="FL98" s="2821"/>
      <c r="FM98" s="2821"/>
      <c r="FN98" s="2821"/>
      <c r="FO98" s="2821"/>
      <c r="FP98" s="2821"/>
      <c r="FQ98" s="2454"/>
      <c r="FR98" s="2821"/>
      <c r="FS98" s="2821"/>
      <c r="FT98" s="2821"/>
      <c r="FU98" s="2821"/>
      <c r="FV98" s="2821"/>
      <c r="FW98" s="2821"/>
      <c r="FX98" s="2454"/>
      <c r="FY98" s="2821"/>
      <c r="FZ98" s="2821"/>
      <c r="GA98" s="2821"/>
      <c r="GB98" s="2821"/>
      <c r="GC98" s="2821"/>
      <c r="GD98" s="2821"/>
      <c r="GE98" s="2821"/>
      <c r="GF98" s="2821"/>
      <c r="GG98" s="2821"/>
      <c r="GH98" s="2454"/>
      <c r="GI98" s="2454"/>
      <c r="GJ98" s="2454"/>
      <c r="GK98" s="2821"/>
      <c r="GL98" s="2821"/>
      <c r="GM98" s="2821"/>
      <c r="GN98" s="2821"/>
      <c r="GO98" s="2821"/>
      <c r="GP98" s="2821"/>
      <c r="GQ98" s="2821"/>
      <c r="GR98" s="2821"/>
      <c r="GS98" s="2454"/>
      <c r="GT98" s="2454"/>
      <c r="GU98" s="2454"/>
      <c r="GV98" s="2821"/>
      <c r="GW98" s="2821"/>
      <c r="GX98" s="2454"/>
      <c r="GY98" s="2821"/>
      <c r="GZ98" s="2454">
        <v>3000</v>
      </c>
      <c r="HA98" s="2454">
        <v>3000</v>
      </c>
      <c r="HB98" s="2821"/>
      <c r="HC98" s="2821"/>
      <c r="HD98" s="2821"/>
      <c r="HE98" s="2821"/>
      <c r="HF98" s="2454"/>
      <c r="HG98" s="2454"/>
      <c r="HH98" s="2821"/>
      <c r="HI98" s="2821"/>
      <c r="HJ98" s="2821"/>
      <c r="HK98" s="2821"/>
      <c r="HL98" s="2821"/>
      <c r="HM98" s="2821"/>
      <c r="HN98" s="2821"/>
      <c r="HO98" s="2821"/>
      <c r="HP98" s="2821"/>
      <c r="HQ98" s="2821"/>
      <c r="HR98" s="2821"/>
      <c r="HS98" s="2821"/>
      <c r="HT98" s="2821"/>
      <c r="HU98" s="2821"/>
      <c r="HV98" s="2821"/>
      <c r="HW98" s="2821"/>
      <c r="HX98" s="2821"/>
      <c r="HY98" s="2821"/>
      <c r="HZ98" s="2821"/>
      <c r="IA98" s="2821"/>
      <c r="IB98" s="2821"/>
      <c r="IC98" s="2821"/>
      <c r="ID98" s="2821"/>
      <c r="IE98" s="2821"/>
      <c r="IF98" s="2821"/>
      <c r="IG98" s="2821"/>
      <c r="IH98" s="2821"/>
      <c r="II98" s="2821"/>
      <c r="IJ98" s="2821"/>
      <c r="IK98" s="2821"/>
      <c r="IL98" s="2821"/>
      <c r="IM98" s="2821"/>
      <c r="IN98" s="2821"/>
      <c r="IO98" s="2821"/>
      <c r="IP98" s="2821"/>
      <c r="IQ98" s="2821"/>
      <c r="IR98" s="2821"/>
      <c r="IS98" s="2821"/>
      <c r="IT98" s="2821"/>
      <c r="IU98" s="2821"/>
      <c r="IV98" s="2821"/>
      <c r="IW98" s="2821"/>
      <c r="IX98" s="2821"/>
      <c r="IY98" s="2821"/>
      <c r="IZ98" s="2821"/>
      <c r="JA98" s="2821"/>
      <c r="JB98" s="2821"/>
      <c r="JC98" s="2821"/>
      <c r="JD98" s="2821"/>
      <c r="JE98" s="2821"/>
      <c r="JF98" s="2821"/>
      <c r="JG98" s="3348"/>
      <c r="JH98" s="1233"/>
      <c r="JI98" s="1393" t="s">
        <v>5429</v>
      </c>
    </row>
    <row r="99" spans="1:269" x14ac:dyDescent="0.2">
      <c r="A99" s="1128">
        <v>13</v>
      </c>
      <c r="B99" s="1375" t="str">
        <f ref="B99:B107" si="9" t="shared">IF(AIL_IND&gt;1,IF(HLOOKUP(AIL_IND-1,AIL_RANGE,A99)="","",HLOOKUP(AIL_IND-1,AIL_RANGE,A99)),"")</f>
        <v/>
      </c>
      <c r="C99" s="2268" t="s">
        <v>6488</v>
      </c>
      <c r="D99" s="2627" t="s">
        <v>6490</v>
      </c>
      <c r="E99" s="2454"/>
      <c r="F99" s="2454"/>
      <c r="G99" s="2454"/>
      <c r="H99" s="2454"/>
      <c r="I99" s="2454"/>
      <c r="J99" s="2454"/>
      <c r="K99" s="2454"/>
      <c r="L99" s="2454"/>
      <c r="M99" s="2454"/>
      <c r="N99" s="2454"/>
      <c r="O99" s="2454"/>
      <c r="P99" s="2454"/>
      <c r="Q99" s="2454"/>
      <c r="R99" s="2454"/>
      <c r="S99" s="2454"/>
      <c r="T99" s="2454"/>
      <c r="U99" s="2454"/>
      <c r="V99" s="2454"/>
      <c r="W99" s="2454"/>
      <c r="X99" s="2454"/>
      <c r="Y99" s="2454"/>
      <c r="Z99" s="2454"/>
      <c r="AA99" s="2454"/>
      <c r="AB99" s="2454"/>
      <c r="AC99" s="2454"/>
      <c r="AD99" s="2454"/>
      <c r="AE99" s="2454"/>
      <c r="AF99" s="2454"/>
      <c r="AG99" s="2454"/>
      <c r="AH99" s="2454"/>
      <c r="AI99" s="2454"/>
      <c r="AJ99" s="2454"/>
      <c r="AK99" s="2454"/>
      <c r="AL99" s="2454"/>
      <c r="AM99" s="2454"/>
      <c r="AN99" s="2454"/>
      <c r="AO99" s="2454"/>
      <c r="AP99" s="2454"/>
      <c r="AQ99" s="2454"/>
      <c r="AR99" s="2454"/>
      <c r="AS99" s="2454"/>
      <c r="AT99" s="2454"/>
      <c r="AU99" s="2454"/>
      <c r="AV99" s="2454"/>
      <c r="AW99" s="2454"/>
      <c r="AX99" s="2454"/>
      <c r="AY99" s="2454"/>
      <c r="AZ99" s="2454"/>
      <c r="BA99" s="2454"/>
      <c r="BB99" s="2454"/>
      <c r="BC99" s="2454"/>
      <c r="BD99" s="2454"/>
      <c r="BE99" s="2454"/>
      <c r="BF99" s="2454"/>
      <c r="BG99" s="2454"/>
      <c r="BH99" s="2454"/>
      <c r="BI99" s="2454"/>
      <c r="BJ99" s="2454"/>
      <c r="BK99" s="2454"/>
      <c r="BL99" s="2454"/>
      <c r="BM99" s="2454"/>
      <c r="BN99" s="2454"/>
      <c r="BO99" s="2454"/>
      <c r="BP99" s="2454"/>
      <c r="BQ99" s="2454"/>
      <c r="BR99" s="2454"/>
      <c r="BS99" s="2454"/>
      <c r="BT99" s="2454"/>
      <c r="BU99" s="2454"/>
      <c r="BV99" s="2454"/>
      <c r="BW99" s="2454"/>
      <c r="BX99" s="2454"/>
      <c r="BY99" s="2454"/>
      <c r="BZ99" s="2454"/>
      <c r="CA99" s="2454"/>
      <c r="CB99" s="2821"/>
      <c r="CC99" s="2821"/>
      <c r="CD99" s="2821"/>
      <c r="CE99" s="2821"/>
      <c r="CF99" s="2821"/>
      <c r="CG99" s="2821"/>
      <c r="CH99" s="2821"/>
      <c r="CI99" s="2821"/>
      <c r="CJ99" s="2821"/>
      <c r="CK99" s="2821"/>
      <c r="CL99" s="2821"/>
      <c r="CM99" s="2821"/>
      <c r="CN99" s="2454"/>
      <c r="CO99" s="2821"/>
      <c r="CP99" s="2821"/>
      <c r="CQ99" s="2454"/>
      <c r="CR99" s="2821"/>
      <c r="CS99" s="2821"/>
      <c r="CT99" s="2821"/>
      <c r="CU99" s="2821"/>
      <c r="CV99" s="2821"/>
      <c r="CW99" s="2821"/>
      <c r="CX99" s="2821"/>
      <c r="CY99" s="2821"/>
      <c r="CZ99" s="2821"/>
      <c r="DA99" s="2821"/>
      <c r="DB99" s="2821"/>
      <c r="DC99" s="2821"/>
      <c r="DD99" s="2821"/>
      <c r="DE99" s="2821"/>
      <c r="DF99" s="2821"/>
      <c r="DG99" s="2821"/>
      <c r="DH99" s="2821"/>
      <c r="DI99" s="2821"/>
      <c r="DJ99" s="2821"/>
      <c r="DK99" s="2821"/>
      <c r="DL99" s="2821"/>
      <c r="DM99" s="2821"/>
      <c r="DN99" s="2821"/>
      <c r="DO99" s="2821"/>
      <c r="DP99" s="2821"/>
      <c r="DQ99" s="2821"/>
      <c r="DR99" s="2821"/>
      <c r="DS99" s="2821"/>
      <c r="DT99" s="2821"/>
      <c r="DU99" s="2821"/>
      <c r="DV99" s="2821"/>
      <c r="DW99" s="2454"/>
      <c r="DX99" s="2821"/>
      <c r="DY99" s="2821"/>
      <c r="DZ99" s="2821"/>
      <c r="EA99" s="2821"/>
      <c r="EB99" s="2821"/>
      <c r="EC99" s="2821"/>
      <c r="ED99" s="2821"/>
      <c r="EE99" s="2821"/>
      <c r="EF99" s="2821"/>
      <c r="EG99" s="2821"/>
      <c r="EH99" s="2821"/>
      <c r="EI99" s="2821"/>
      <c r="EJ99" s="2821"/>
      <c r="EK99" s="2821"/>
      <c r="EL99" s="2821"/>
      <c r="EM99" s="2454"/>
      <c r="EN99" s="2454"/>
      <c r="EO99" s="2454">
        <v>36000</v>
      </c>
      <c r="EP99" s="2454"/>
      <c r="EQ99" s="2821"/>
      <c r="ER99" s="2821"/>
      <c r="ES99" s="2821"/>
      <c r="ET99" s="2821"/>
      <c r="EU99" s="2821"/>
      <c r="EV99" s="2454">
        <v>36000</v>
      </c>
      <c r="EW99" s="2821"/>
      <c r="EX99" s="2821"/>
      <c r="EY99" s="2821"/>
      <c r="EZ99" s="2821"/>
      <c r="FA99" s="2821"/>
      <c r="FB99" s="2821"/>
      <c r="FC99" s="2821"/>
      <c r="FD99" s="2821"/>
      <c r="FE99" s="2821"/>
      <c r="FF99" s="2821"/>
      <c r="FG99" s="2821"/>
      <c r="FH99" s="2821"/>
      <c r="FI99" s="2821"/>
      <c r="FJ99" s="2821"/>
      <c r="FK99" s="2821"/>
      <c r="FL99" s="2821"/>
      <c r="FM99" s="2821"/>
      <c r="FN99" s="2821"/>
      <c r="FO99" s="2821"/>
      <c r="FP99" s="2821"/>
      <c r="FQ99" s="2454"/>
      <c r="FR99" s="2821"/>
      <c r="FS99" s="2821"/>
      <c r="FT99" s="2821"/>
      <c r="FU99" s="2821"/>
      <c r="FV99" s="2821"/>
      <c r="FW99" s="2821"/>
      <c r="FX99" s="2454"/>
      <c r="FY99" s="2821"/>
      <c r="FZ99" s="2821"/>
      <c r="GA99" s="2821"/>
      <c r="GB99" s="2821"/>
      <c r="GC99" s="2821"/>
      <c r="GD99" s="2821"/>
      <c r="GE99" s="2821"/>
      <c r="GF99" s="2821"/>
      <c r="GG99" s="2821"/>
      <c r="GH99" s="2454"/>
      <c r="GI99" s="2454"/>
      <c r="GJ99" s="2454"/>
      <c r="GK99" s="2821"/>
      <c r="GL99" s="2821"/>
      <c r="GM99" s="2821"/>
      <c r="GN99" s="2821"/>
      <c r="GO99" s="2821"/>
      <c r="GP99" s="2821"/>
      <c r="GQ99" s="2821"/>
      <c r="GR99" s="2821"/>
      <c r="GS99" s="2454"/>
      <c r="GT99" s="2454"/>
      <c r="GU99" s="2454"/>
      <c r="GV99" s="2821"/>
      <c r="GW99" s="2821"/>
      <c r="GX99" s="2454"/>
      <c r="GY99" s="2821"/>
      <c r="GZ99" s="2454"/>
      <c r="HA99" s="2454"/>
      <c r="HB99" s="2821"/>
      <c r="HC99" s="2821"/>
      <c r="HD99" s="2821"/>
      <c r="HE99" s="2821"/>
      <c r="HF99" s="2454"/>
      <c r="HG99" s="2454"/>
      <c r="HH99" s="2821"/>
      <c r="HI99" s="2821"/>
      <c r="HJ99" s="2821"/>
      <c r="HK99" s="2821"/>
      <c r="HL99" s="2821"/>
      <c r="HM99" s="2821"/>
      <c r="HN99" s="2821"/>
      <c r="HO99" s="2821"/>
      <c r="HP99" s="2821"/>
      <c r="HQ99" s="2821"/>
      <c r="HR99" s="2821"/>
      <c r="HS99" s="2821"/>
      <c r="HT99" s="2821"/>
      <c r="HU99" s="2821"/>
      <c r="HV99" s="2821"/>
      <c r="HW99" s="2821"/>
      <c r="HX99" s="2821"/>
      <c r="HY99" s="2821"/>
      <c r="HZ99" s="2821"/>
      <c r="IA99" s="2821"/>
      <c r="IB99" s="2821"/>
      <c r="IC99" s="2821"/>
      <c r="ID99" s="2821"/>
      <c r="IE99" s="2821"/>
      <c r="IF99" s="2821"/>
      <c r="IG99" s="2821"/>
      <c r="IH99" s="2821"/>
      <c r="II99" s="2821"/>
      <c r="IJ99" s="2821"/>
      <c r="IK99" s="2821"/>
      <c r="IL99" s="2821"/>
      <c r="IM99" s="2821"/>
      <c r="IN99" s="2821"/>
      <c r="IO99" s="2821"/>
      <c r="IP99" s="2821"/>
      <c r="IQ99" s="2821"/>
      <c r="IR99" s="2821"/>
      <c r="IS99" s="2821"/>
      <c r="IT99" s="2821"/>
      <c r="IU99" s="2821"/>
      <c r="IV99" s="2821"/>
      <c r="IW99" s="2821"/>
      <c r="IX99" s="2821"/>
      <c r="IY99" s="2821"/>
      <c r="IZ99" s="2821"/>
      <c r="JA99" s="2821"/>
      <c r="JB99" s="2821"/>
      <c r="JC99" s="2821"/>
      <c r="JD99" s="2821"/>
      <c r="JE99" s="2821"/>
      <c r="JF99" s="2821"/>
      <c r="JG99" s="3777"/>
      <c r="JH99" s="693"/>
      <c r="JI99" s="2020"/>
    </row>
    <row r="100" spans="1:269" x14ac:dyDescent="0.2">
      <c r="A100" s="1128">
        <v>14</v>
      </c>
      <c r="B100" s="1375" t="str">
        <f si="9" t="shared"/>
        <v/>
      </c>
      <c r="C100" s="2268" t="s">
        <v>6489</v>
      </c>
      <c r="D100" s="2403" t="s">
        <v>6491</v>
      </c>
      <c r="E100" s="2378"/>
      <c r="F100" s="2379"/>
      <c r="G100" s="2379"/>
      <c r="H100" s="2379"/>
      <c r="I100" s="2379"/>
      <c r="J100" s="2379"/>
      <c r="K100" s="2379"/>
      <c r="L100" s="2434"/>
      <c r="M100" s="2379"/>
      <c r="N100" s="2379"/>
      <c r="O100" s="2379"/>
      <c r="P100" s="2379"/>
      <c r="Q100" s="2379"/>
      <c r="R100" s="2379"/>
      <c r="S100" s="2379"/>
      <c r="T100" s="2379"/>
      <c r="U100" s="2379"/>
      <c r="V100" s="2379"/>
      <c r="W100" s="2379"/>
      <c r="X100" s="2379"/>
      <c r="Y100" s="2379"/>
      <c r="Z100" s="2379"/>
      <c r="AA100" s="2379"/>
      <c r="AB100" s="2379"/>
      <c r="AC100" s="2379"/>
      <c r="AD100" s="2379"/>
      <c r="AE100" s="2379"/>
      <c r="AF100" s="2379"/>
      <c r="AG100" s="2379"/>
      <c r="AH100" s="2379"/>
      <c r="AI100" s="2379"/>
      <c r="AJ100" s="2379"/>
      <c r="AK100" s="2379"/>
      <c r="AL100" s="2379"/>
      <c r="AM100" s="2379"/>
      <c r="AN100" s="2379"/>
      <c r="AO100" s="2379"/>
      <c r="AP100" s="2379"/>
      <c r="AQ100" s="2379"/>
      <c r="AR100" s="2379"/>
      <c r="AS100" s="2379"/>
      <c r="AT100" s="2379"/>
      <c r="AU100" s="2379"/>
      <c r="AV100" s="2379"/>
      <c r="AW100" s="2379"/>
      <c r="AX100" s="2379"/>
      <c r="AY100" s="2379"/>
      <c r="AZ100" s="2379"/>
      <c r="BA100" s="2379"/>
      <c r="BB100" s="2379"/>
      <c r="BC100" s="2379"/>
      <c r="BD100" s="2379"/>
      <c r="BE100" s="2379"/>
      <c r="BF100" s="2379"/>
      <c r="BG100" s="2379"/>
      <c r="BH100" s="2379"/>
      <c r="BI100" s="2379"/>
      <c r="BJ100" s="2379"/>
      <c r="BK100" s="2379"/>
      <c r="BL100" s="2379"/>
      <c r="BM100" s="2379"/>
      <c r="BN100" s="2379"/>
      <c r="BO100" s="2379"/>
      <c r="BP100" s="2379"/>
      <c r="BQ100" s="2379"/>
      <c r="BR100" s="2379"/>
      <c r="BS100" s="2379"/>
      <c r="BT100" s="2379"/>
      <c r="BU100" s="2379"/>
      <c r="BV100" s="2379"/>
      <c r="BW100" s="2379"/>
      <c r="BX100" s="2379"/>
      <c r="BY100" s="2379"/>
      <c r="BZ100" s="2379"/>
      <c r="CA100" s="2379"/>
      <c r="CB100" s="2815"/>
      <c r="CC100" s="2815"/>
      <c r="CD100" s="2815"/>
      <c r="CE100" s="2815"/>
      <c r="CF100" s="2815"/>
      <c r="CG100" s="2815"/>
      <c r="CH100" s="2815"/>
      <c r="CI100" s="2815"/>
      <c r="CJ100" s="2815"/>
      <c r="CK100" s="2815"/>
      <c r="CL100" s="2815"/>
      <c r="CM100" s="2815"/>
      <c r="CN100" s="2379"/>
      <c r="CO100" s="2815"/>
      <c r="CP100" s="2815"/>
      <c r="CQ100" s="2379"/>
      <c r="CR100" s="2815"/>
      <c r="CS100" s="2815"/>
      <c r="CT100" s="2815"/>
      <c r="CU100" s="2815"/>
      <c r="CV100" s="2815"/>
      <c r="CW100" s="2815"/>
      <c r="CX100" s="2815"/>
      <c r="CY100" s="2815"/>
      <c r="CZ100" s="2815"/>
      <c r="DA100" s="2815"/>
      <c r="DB100" s="2815"/>
      <c r="DC100" s="2815"/>
      <c r="DD100" s="2815"/>
      <c r="DE100" s="2815"/>
      <c r="DF100" s="2815"/>
      <c r="DG100" s="2815"/>
      <c r="DH100" s="2815"/>
      <c r="DI100" s="2815"/>
      <c r="DJ100" s="2815"/>
      <c r="DK100" s="2815"/>
      <c r="DL100" s="2815"/>
      <c r="DM100" s="2815"/>
      <c r="DN100" s="2815"/>
      <c r="DO100" s="2815"/>
      <c r="DP100" s="2815"/>
      <c r="DQ100" s="2815"/>
      <c r="DR100" s="2815"/>
      <c r="DS100" s="2815"/>
      <c r="DT100" s="2815"/>
      <c r="DU100" s="2815"/>
      <c r="DV100" s="2815"/>
      <c r="DW100" s="2379"/>
      <c r="DX100" s="2815"/>
      <c r="DY100" s="2815"/>
      <c r="DZ100" s="2815"/>
      <c r="EA100" s="2815"/>
      <c r="EB100" s="2815"/>
      <c r="EC100" s="2815"/>
      <c r="ED100" s="2815"/>
      <c r="EE100" s="2815"/>
      <c r="EF100" s="2815"/>
      <c r="EG100" s="2815"/>
      <c r="EH100" s="2815"/>
      <c r="EI100" s="2815"/>
      <c r="EJ100" s="2815"/>
      <c r="EK100" s="2815"/>
      <c r="EL100" s="2815"/>
      <c r="EM100" s="2434"/>
      <c r="EN100" s="2434"/>
      <c r="EO100" s="2379">
        <v>7200</v>
      </c>
      <c r="EP100" s="2378"/>
      <c r="EQ100" s="2815"/>
      <c r="ER100" s="2815"/>
      <c r="ES100" s="2815"/>
      <c r="ET100" s="2815"/>
      <c r="EU100" s="2815"/>
      <c r="EV100" s="2379">
        <v>7200</v>
      </c>
      <c r="EW100" s="2815"/>
      <c r="EX100" s="2815"/>
      <c r="EY100" s="2815"/>
      <c r="EZ100" s="2815"/>
      <c r="FA100" s="2815"/>
      <c r="FB100" s="2815"/>
      <c r="FC100" s="2815"/>
      <c r="FD100" s="2815"/>
      <c r="FE100" s="2815"/>
      <c r="FF100" s="2815"/>
      <c r="FG100" s="2815"/>
      <c r="FH100" s="2815"/>
      <c r="FI100" s="2815"/>
      <c r="FJ100" s="2815"/>
      <c r="FK100" s="2815"/>
      <c r="FL100" s="2815"/>
      <c r="FM100" s="2815"/>
      <c r="FN100" s="2815"/>
      <c r="FO100" s="2815"/>
      <c r="FP100" s="2815"/>
      <c r="FQ100" s="2379"/>
      <c r="FR100" s="2815"/>
      <c r="FS100" s="2815"/>
      <c r="FT100" s="2815"/>
      <c r="FU100" s="2815"/>
      <c r="FV100" s="2815"/>
      <c r="FW100" s="2815"/>
      <c r="FX100" s="2379"/>
      <c r="FY100" s="2815"/>
      <c r="FZ100" s="2815"/>
      <c r="GA100" s="2815"/>
      <c r="GB100" s="2815"/>
      <c r="GC100" s="2815"/>
      <c r="GD100" s="2815"/>
      <c r="GE100" s="2815"/>
      <c r="GF100" s="2815"/>
      <c r="GG100" s="2815"/>
      <c r="GH100" s="2379"/>
      <c r="GI100" s="2378"/>
      <c r="GJ100" s="2379"/>
      <c r="GK100" s="2815"/>
      <c r="GL100" s="2815"/>
      <c r="GM100" s="2815"/>
      <c r="GN100" s="2815"/>
      <c r="GO100" s="2815"/>
      <c r="GP100" s="2815"/>
      <c r="GQ100" s="2815"/>
      <c r="GR100" s="2815"/>
      <c r="GS100" s="2379"/>
      <c r="GT100" s="2379"/>
      <c r="GU100" s="2379"/>
      <c r="GV100" s="2815"/>
      <c r="GW100" s="2815"/>
      <c r="GX100" s="2379"/>
      <c r="GY100" s="2815"/>
      <c r="GZ100" s="2434"/>
      <c r="HA100" s="2434"/>
      <c r="HB100" s="2815"/>
      <c r="HC100" s="2815"/>
      <c r="HD100" s="2815"/>
      <c r="HE100" s="2815"/>
      <c r="HF100" s="2379"/>
      <c r="HG100" s="2379"/>
      <c r="HH100" s="2815"/>
      <c r="HI100" s="2815"/>
      <c r="HJ100" s="2815"/>
      <c r="HK100" s="2815"/>
      <c r="HL100" s="2815"/>
      <c r="HM100" s="2815"/>
      <c r="HN100" s="2815"/>
      <c r="HO100" s="2815"/>
      <c r="HP100" s="2815"/>
      <c r="HQ100" s="2815"/>
      <c r="HR100" s="2815"/>
      <c r="HS100" s="2815"/>
      <c r="HT100" s="2815"/>
      <c r="HU100" s="2815"/>
      <c r="HV100" s="2815"/>
      <c r="HW100" s="2815"/>
      <c r="HX100" s="2815"/>
      <c r="HY100" s="2815"/>
      <c r="HZ100" s="2815"/>
      <c r="IA100" s="2815"/>
      <c r="IB100" s="2815"/>
      <c r="IC100" s="2815"/>
      <c r="ID100" s="2815"/>
      <c r="IE100" s="2815"/>
      <c r="IF100" s="2815"/>
      <c r="IG100" s="2815"/>
      <c r="IH100" s="2815"/>
      <c r="II100" s="2815"/>
      <c r="IJ100" s="2815"/>
      <c r="IK100" s="2815"/>
      <c r="IL100" s="2815"/>
      <c r="IM100" s="2815"/>
      <c r="IN100" s="2815"/>
      <c r="IO100" s="2815"/>
      <c r="IP100" s="2815"/>
      <c r="IQ100" s="2815"/>
      <c r="IR100" s="2815"/>
      <c r="IS100" s="2815"/>
      <c r="IT100" s="2815"/>
      <c r="IU100" s="2815"/>
      <c r="IV100" s="2815"/>
      <c r="IW100" s="2815"/>
      <c r="IX100" s="2815"/>
      <c r="IY100" s="2815"/>
      <c r="IZ100" s="2815"/>
      <c r="JA100" s="2815"/>
      <c r="JB100" s="2815"/>
      <c r="JC100" s="2815"/>
      <c r="JD100" s="2815"/>
      <c r="JE100" s="2815"/>
      <c r="JF100" s="2815"/>
      <c r="JG100" s="3777"/>
      <c r="JH100" s="693"/>
      <c r="JI100" s="2020"/>
    </row>
    <row ht="22.5" r="101" spans="1:269" x14ac:dyDescent="0.2">
      <c r="A101" s="1128">
        <v>15</v>
      </c>
      <c r="B101" s="1375" t="str">
        <f si="9" t="shared"/>
        <v/>
      </c>
      <c r="C101" s="2268" t="s">
        <v>1451</v>
      </c>
      <c r="D101" s="2403" t="s">
        <v>4930</v>
      </c>
      <c r="E101" s="2378"/>
      <c r="F101" s="2379"/>
      <c r="G101" s="2379"/>
      <c r="H101" s="2379"/>
      <c r="I101" s="2379"/>
      <c r="J101" s="2379"/>
      <c r="K101" s="2379"/>
      <c r="L101" s="2379"/>
      <c r="M101" s="2379"/>
      <c r="N101" s="2379"/>
      <c r="O101" s="2379"/>
      <c r="P101" s="2379"/>
      <c r="Q101" s="2379"/>
      <c r="R101" s="2379"/>
      <c r="S101" s="2379"/>
      <c r="T101" s="2379"/>
      <c r="U101" s="2379"/>
      <c r="V101" s="2379"/>
      <c r="W101" s="2379"/>
      <c r="X101" s="2379"/>
      <c r="Y101" s="2379"/>
      <c r="Z101" s="2379"/>
      <c r="AA101" s="2379"/>
      <c r="AB101" s="2379"/>
      <c r="AC101" s="2379"/>
      <c r="AD101" s="2379"/>
      <c r="AE101" s="2379"/>
      <c r="AF101" s="2379"/>
      <c r="AG101" s="2379"/>
      <c r="AH101" s="2379"/>
      <c r="AI101" s="2379"/>
      <c r="AJ101" s="2379"/>
      <c r="AK101" s="2379"/>
      <c r="AL101" s="2379"/>
      <c r="AM101" s="2379"/>
      <c r="AN101" s="2379"/>
      <c r="AO101" s="2379"/>
      <c r="AP101" s="2379"/>
      <c r="AQ101" s="2379"/>
      <c r="AR101" s="2379"/>
      <c r="AS101" s="2379"/>
      <c r="AT101" s="2379"/>
      <c r="AU101" s="2379"/>
      <c r="AV101" s="2379"/>
      <c r="AW101" s="2379"/>
      <c r="AX101" s="2379"/>
      <c r="AY101" s="2379"/>
      <c r="AZ101" s="2379"/>
      <c r="BA101" s="2379"/>
      <c r="BB101" s="2379"/>
      <c r="BC101" s="2379"/>
      <c r="BD101" s="2379"/>
      <c r="BE101" s="2379"/>
      <c r="BF101" s="2379"/>
      <c r="BG101" s="2379"/>
      <c r="BH101" s="2379"/>
      <c r="BI101" s="2379"/>
      <c r="BJ101" s="2379"/>
      <c r="BK101" s="2379"/>
      <c r="BL101" s="2379"/>
      <c r="BM101" s="2379"/>
      <c r="BN101" s="2379"/>
      <c r="BO101" s="2379"/>
      <c r="BP101" s="2379"/>
      <c r="BQ101" s="2379"/>
      <c r="BR101" s="2379"/>
      <c r="BS101" s="2379"/>
      <c r="BT101" s="2379"/>
      <c r="BU101" s="2379"/>
      <c r="BV101" s="2379"/>
      <c r="BW101" s="2379"/>
      <c r="BX101" s="2379"/>
      <c r="BY101" s="2379"/>
      <c r="BZ101" s="2379"/>
      <c r="CA101" s="2379"/>
      <c r="CB101" s="2815"/>
      <c r="CC101" s="2815"/>
      <c r="CD101" s="2815"/>
      <c r="CE101" s="2815"/>
      <c r="CF101" s="2815"/>
      <c r="CG101" s="2815"/>
      <c r="CH101" s="2815"/>
      <c r="CI101" s="2815"/>
      <c r="CJ101" s="2815"/>
      <c r="CK101" s="2815"/>
      <c r="CL101" s="2815"/>
      <c r="CM101" s="2815"/>
      <c r="CN101" s="2379"/>
      <c r="CO101" s="2815"/>
      <c r="CP101" s="2815"/>
      <c r="CQ101" s="2379"/>
      <c r="CR101" s="2815"/>
      <c r="CS101" s="2815"/>
      <c r="CT101" s="2815"/>
      <c r="CU101" s="2815"/>
      <c r="CV101" s="2815"/>
      <c r="CW101" s="2815"/>
      <c r="CX101" s="2815"/>
      <c r="CY101" s="2815"/>
      <c r="CZ101" s="2815"/>
      <c r="DA101" s="2815"/>
      <c r="DB101" s="2815"/>
      <c r="DC101" s="2815"/>
      <c r="DD101" s="2815"/>
      <c r="DE101" s="2815"/>
      <c r="DF101" s="2815"/>
      <c r="DG101" s="2815"/>
      <c r="DH101" s="2815"/>
      <c r="DI101" s="2815"/>
      <c r="DJ101" s="2815"/>
      <c r="DK101" s="2815"/>
      <c r="DL101" s="2815"/>
      <c r="DM101" s="2815"/>
      <c r="DN101" s="2815"/>
      <c r="DO101" s="2815"/>
      <c r="DP101" s="2815"/>
      <c r="DQ101" s="2815"/>
      <c r="DR101" s="2815"/>
      <c r="DS101" s="2815"/>
      <c r="DT101" s="2815"/>
      <c r="DU101" s="2815"/>
      <c r="DV101" s="2815"/>
      <c r="DW101" s="2379"/>
      <c r="DX101" s="2815"/>
      <c r="DY101" s="2815"/>
      <c r="DZ101" s="2815"/>
      <c r="EA101" s="2815"/>
      <c r="EB101" s="2815"/>
      <c r="EC101" s="2815"/>
      <c r="ED101" s="2815"/>
      <c r="EE101" s="2815"/>
      <c r="EF101" s="2815"/>
      <c r="EG101" s="2815"/>
      <c r="EH101" s="2815"/>
      <c r="EI101" s="2815"/>
      <c r="EJ101" s="2815"/>
      <c r="EK101" s="2815"/>
      <c r="EL101" s="3641">
        <v>12345678</v>
      </c>
      <c r="EM101" s="2379">
        <v>12345678</v>
      </c>
      <c r="EN101" s="2379">
        <v>12345678</v>
      </c>
      <c r="EO101" s="2379"/>
      <c r="EP101" s="2378"/>
      <c r="EQ101" s="2815"/>
      <c r="ER101" s="2815"/>
      <c r="ES101" s="2815"/>
      <c r="ET101" s="2815"/>
      <c r="EU101" s="2815"/>
      <c r="EV101" s="2379"/>
      <c r="EW101" s="2815"/>
      <c r="EX101" s="2815"/>
      <c r="EY101" s="2815"/>
      <c r="EZ101" s="2815"/>
      <c r="FA101" s="2815"/>
      <c r="FB101" s="2815"/>
      <c r="FC101" s="2815"/>
      <c r="FD101" s="2815"/>
      <c r="FE101" s="2815"/>
      <c r="FF101" s="2815"/>
      <c r="FG101" s="2815"/>
      <c r="FH101" s="2815"/>
      <c r="FI101" s="2815"/>
      <c r="FJ101" s="2815"/>
      <c r="FK101" s="2815"/>
      <c r="FL101" s="2815"/>
      <c r="FM101" s="2815"/>
      <c r="FN101" s="2815"/>
      <c r="FO101" s="2815"/>
      <c r="FP101" s="2815"/>
      <c r="FQ101" s="2379"/>
      <c r="FR101" s="2815"/>
      <c r="FS101" s="2815"/>
      <c r="FT101" s="2815"/>
      <c r="FU101" s="2815"/>
      <c r="FV101" s="2815"/>
      <c r="FW101" s="2815"/>
      <c r="FX101" s="2379"/>
      <c r="FY101" s="2815"/>
      <c r="FZ101" s="2815"/>
      <c r="GA101" s="2815"/>
      <c r="GB101" s="2815"/>
      <c r="GC101" s="2815"/>
      <c r="GD101" s="2815"/>
      <c r="GE101" s="2815"/>
      <c r="GF101" s="2815"/>
      <c r="GG101" s="2815"/>
      <c r="GH101" s="2379"/>
      <c r="GI101" s="2378"/>
      <c r="GJ101" s="2379"/>
      <c r="GK101" s="2815"/>
      <c r="GL101" s="2815"/>
      <c r="GM101" s="2815"/>
      <c r="GN101" s="2815"/>
      <c r="GO101" s="2815"/>
      <c r="GP101" s="2815"/>
      <c r="GQ101" s="2815"/>
      <c r="GR101" s="2815"/>
      <c r="GS101" s="2379"/>
      <c r="GT101" s="2379"/>
      <c r="GU101" s="2379"/>
      <c r="GV101" s="2815"/>
      <c r="GW101" s="2815"/>
      <c r="GX101" s="2379"/>
      <c r="GY101" s="2815"/>
      <c r="GZ101" s="2379">
        <v>12345678</v>
      </c>
      <c r="HA101" s="2379">
        <v>12345678</v>
      </c>
      <c r="HB101" s="2815"/>
      <c r="HC101" s="2815"/>
      <c r="HD101" s="2815"/>
      <c r="HE101" s="2815"/>
      <c r="HF101" s="2379"/>
      <c r="HG101" s="2379"/>
      <c r="HH101" s="2815"/>
      <c r="HI101" s="2815"/>
      <c r="HJ101" s="2815"/>
      <c r="HK101" s="2815"/>
      <c r="HL101" s="2815"/>
      <c r="HM101" s="2815"/>
      <c r="HN101" s="2815"/>
      <c r="HO101" s="2815"/>
      <c r="HP101" s="2815"/>
      <c r="HQ101" s="2815"/>
      <c r="HR101" s="2815"/>
      <c r="HS101" s="2815"/>
      <c r="HT101" s="2815"/>
      <c r="HU101" s="2815"/>
      <c r="HV101" s="2815"/>
      <c r="HW101" s="2815"/>
      <c r="HX101" s="2815"/>
      <c r="HY101" s="2815"/>
      <c r="HZ101" s="2815"/>
      <c r="IA101" s="2815"/>
      <c r="IB101" s="2815"/>
      <c r="IC101" s="2815"/>
      <c r="ID101" s="2815"/>
      <c r="IE101" s="2815"/>
      <c r="IF101" s="2815"/>
      <c r="IG101" s="2815"/>
      <c r="IH101" s="2815"/>
      <c r="II101" s="2815"/>
      <c r="IJ101" s="2815"/>
      <c r="IK101" s="2815"/>
      <c r="IL101" s="2815"/>
      <c r="IM101" s="2815"/>
      <c r="IN101" s="2815"/>
      <c r="IO101" s="2815"/>
      <c r="IP101" s="2815"/>
      <c r="IQ101" s="2815"/>
      <c r="IR101" s="2815"/>
      <c r="IS101" s="2815"/>
      <c r="IT101" s="2815"/>
      <c r="IU101" s="2815"/>
      <c r="IV101" s="2815"/>
      <c r="IW101" s="2815"/>
      <c r="IX101" s="2815"/>
      <c r="IY101" s="2815"/>
      <c r="IZ101" s="2815"/>
      <c r="JA101" s="2815"/>
      <c r="JB101" s="2815"/>
      <c r="JC101" s="2815"/>
      <c r="JD101" s="2815"/>
      <c r="JE101" s="2815"/>
      <c r="JF101" s="2815"/>
      <c r="JG101" s="3348"/>
      <c r="JH101" s="1233"/>
      <c r="JI101" s="1393" t="s">
        <v>5430</v>
      </c>
    </row>
    <row r="102" spans="1:269" x14ac:dyDescent="0.2">
      <c r="A102" s="1128">
        <v>16</v>
      </c>
      <c r="B102" s="1375" t="str">
        <f si="9" t="shared"/>
        <v/>
      </c>
      <c r="C102" s="2268" t="s">
        <v>1452</v>
      </c>
      <c r="D102" s="2403" t="s">
        <v>4931</v>
      </c>
      <c r="E102" s="2423"/>
      <c r="F102" s="2423"/>
      <c r="G102" s="2423"/>
      <c r="H102" s="2423"/>
      <c r="I102" s="2423"/>
      <c r="J102" s="2423"/>
      <c r="K102" s="2423"/>
      <c r="L102" s="2423"/>
      <c r="M102" s="2423"/>
      <c r="N102" s="2423"/>
      <c r="O102" s="2423"/>
      <c r="P102" s="2423"/>
      <c r="Q102" s="2423"/>
      <c r="R102" s="2423"/>
      <c r="S102" s="2423"/>
      <c r="T102" s="2423"/>
      <c r="U102" s="2423"/>
      <c r="V102" s="2423"/>
      <c r="W102" s="2423"/>
      <c r="X102" s="2423"/>
      <c r="Y102" s="2423"/>
      <c r="Z102" s="2423"/>
      <c r="AA102" s="2423"/>
      <c r="AB102" s="2423"/>
      <c r="AC102" s="2423"/>
      <c r="AD102" s="2423"/>
      <c r="AE102" s="2423"/>
      <c r="AF102" s="2423"/>
      <c r="AG102" s="2423"/>
      <c r="AH102" s="2423"/>
      <c r="AI102" s="2423"/>
      <c r="AJ102" s="2423"/>
      <c r="AK102" s="2423"/>
      <c r="AL102" s="2423"/>
      <c r="AM102" s="2423"/>
      <c r="AN102" s="2423"/>
      <c r="AO102" s="2423"/>
      <c r="AP102" s="2423"/>
      <c r="AQ102" s="2423"/>
      <c r="AR102" s="2423"/>
      <c r="AS102" s="2423"/>
      <c r="AT102" s="2423"/>
      <c r="AU102" s="2423"/>
      <c r="AV102" s="2423"/>
      <c r="AW102" s="2423"/>
      <c r="AX102" s="2423"/>
      <c r="AY102" s="2423"/>
      <c r="AZ102" s="2423"/>
      <c r="BA102" s="2423"/>
      <c r="BB102" s="2423"/>
      <c r="BC102" s="2423"/>
      <c r="BD102" s="2423"/>
      <c r="BE102" s="2423"/>
      <c r="BF102" s="2423"/>
      <c r="BG102" s="2423"/>
      <c r="BH102" s="2423"/>
      <c r="BI102" s="2423"/>
      <c r="BJ102" s="2423"/>
      <c r="BK102" s="2423"/>
      <c r="BL102" s="2423"/>
      <c r="BM102" s="2423"/>
      <c r="BN102" s="2423"/>
      <c r="BO102" s="2423"/>
      <c r="BP102" s="2423"/>
      <c r="BQ102" s="2423"/>
      <c r="BR102" s="2423"/>
      <c r="BS102" s="2423"/>
      <c r="BT102" s="2423"/>
      <c r="BU102" s="2423"/>
      <c r="BV102" s="2423"/>
      <c r="BW102" s="2423"/>
      <c r="BX102" s="2423"/>
      <c r="BY102" s="2423"/>
      <c r="BZ102" s="2423"/>
      <c r="CA102" s="2423"/>
      <c r="CB102" s="2424"/>
      <c r="CC102" s="2424"/>
      <c r="CD102" s="2424"/>
      <c r="CE102" s="2424"/>
      <c r="CF102" s="2424"/>
      <c r="CG102" s="2424"/>
      <c r="CH102" s="2424"/>
      <c r="CI102" s="2424"/>
      <c r="CJ102" s="2424"/>
      <c r="CK102" s="2424"/>
      <c r="CL102" s="2424"/>
      <c r="CM102" s="2424"/>
      <c r="CN102" s="2423"/>
      <c r="CO102" s="2424"/>
      <c r="CP102" s="2424"/>
      <c r="CQ102" s="2423"/>
      <c r="CR102" s="2424"/>
      <c r="CS102" s="2424"/>
      <c r="CT102" s="2424"/>
      <c r="CU102" s="2424"/>
      <c r="CV102" s="2424"/>
      <c r="CW102" s="2424"/>
      <c r="CX102" s="2424"/>
      <c r="CY102" s="2424"/>
      <c r="CZ102" s="2424"/>
      <c r="DA102" s="2424"/>
      <c r="DB102" s="2424"/>
      <c r="DC102" s="2424"/>
      <c r="DD102" s="2424"/>
      <c r="DE102" s="2424"/>
      <c r="DF102" s="2424"/>
      <c r="DG102" s="2424"/>
      <c r="DH102" s="2424"/>
      <c r="DI102" s="2424"/>
      <c r="DJ102" s="2424"/>
      <c r="DK102" s="2424"/>
      <c r="DL102" s="2424"/>
      <c r="DM102" s="2424"/>
      <c r="DN102" s="2424"/>
      <c r="DO102" s="2424"/>
      <c r="DP102" s="2424"/>
      <c r="DQ102" s="2424"/>
      <c r="DR102" s="2424"/>
      <c r="DS102" s="2424"/>
      <c r="DT102" s="2424"/>
      <c r="DU102" s="2424"/>
      <c r="DV102" s="2424"/>
      <c r="DW102" s="2423"/>
      <c r="DX102" s="2424"/>
      <c r="DY102" s="2424"/>
      <c r="DZ102" s="2424"/>
      <c r="EA102" s="2424"/>
      <c r="EB102" s="2424"/>
      <c r="EC102" s="2424"/>
      <c r="ED102" s="2424"/>
      <c r="EE102" s="2424"/>
      <c r="EF102" s="2424"/>
      <c r="EG102" s="2424"/>
      <c r="EH102" s="2424"/>
      <c r="EI102" s="2424"/>
      <c r="EJ102" s="2424"/>
      <c r="EK102" s="2424"/>
      <c r="EL102" s="2424"/>
      <c r="EM102" s="2423"/>
      <c r="EN102" s="2423"/>
      <c r="EO102" s="2423"/>
      <c r="EP102" s="2423"/>
      <c r="EQ102" s="2424"/>
      <c r="ER102" s="2424"/>
      <c r="ES102" s="2424"/>
      <c r="ET102" s="2424"/>
      <c r="EU102" s="2424"/>
      <c r="EV102" s="2423"/>
      <c r="EW102" s="2424"/>
      <c r="EX102" s="2424"/>
      <c r="EY102" s="2424"/>
      <c r="EZ102" s="2424"/>
      <c r="FA102" s="2424"/>
      <c r="FB102" s="2424"/>
      <c r="FC102" s="2424"/>
      <c r="FD102" s="2424"/>
      <c r="FE102" s="2424"/>
      <c r="FF102" s="2424"/>
      <c r="FG102" s="2424"/>
      <c r="FH102" s="2424"/>
      <c r="FI102" s="2424"/>
      <c r="FJ102" s="2424"/>
      <c r="FK102" s="2424"/>
      <c r="FL102" s="2424"/>
      <c r="FM102" s="2424"/>
      <c r="FN102" s="2424"/>
      <c r="FO102" s="2424"/>
      <c r="FP102" s="2424"/>
      <c r="FQ102" s="2423"/>
      <c r="FR102" s="2424"/>
      <c r="FS102" s="2424"/>
      <c r="FT102" s="2424"/>
      <c r="FU102" s="2424"/>
      <c r="FV102" s="2424"/>
      <c r="FW102" s="2424"/>
      <c r="FX102" s="2423"/>
      <c r="FY102" s="2424"/>
      <c r="FZ102" s="2424"/>
      <c r="GA102" s="2424"/>
      <c r="GB102" s="2424"/>
      <c r="GC102" s="2424"/>
      <c r="GD102" s="2424"/>
      <c r="GE102" s="2424"/>
      <c r="GF102" s="2424"/>
      <c r="GG102" s="2424"/>
      <c r="GH102" s="2423"/>
      <c r="GI102" s="2423"/>
      <c r="GJ102" s="2423">
        <v>243514</v>
      </c>
      <c r="GK102" s="2424"/>
      <c r="GL102" s="2424"/>
      <c r="GM102" s="2424"/>
      <c r="GN102" s="2424"/>
      <c r="GO102" s="2424"/>
      <c r="GP102" s="2424"/>
      <c r="GQ102" s="2424"/>
      <c r="GR102" s="2424"/>
      <c r="GS102" s="2423">
        <v>43000</v>
      </c>
      <c r="GT102" s="2423"/>
      <c r="GU102" s="2423"/>
      <c r="GV102" s="2424"/>
      <c r="GW102" s="2424"/>
      <c r="GX102" s="2423"/>
      <c r="GY102" s="2424"/>
      <c r="GZ102" s="2423"/>
      <c r="HA102" s="2423"/>
      <c r="HB102" s="2424"/>
      <c r="HC102" s="2424"/>
      <c r="HD102" s="2424"/>
      <c r="HE102" s="2424"/>
      <c r="HF102" s="2423"/>
      <c r="HG102" s="2423"/>
      <c r="HH102" s="2424"/>
      <c r="HI102" s="2424"/>
      <c r="HJ102" s="2424"/>
      <c r="HK102" s="2424"/>
      <c r="HL102" s="2424"/>
      <c r="HM102" s="2424"/>
      <c r="HN102" s="2424"/>
      <c r="HO102" s="2424"/>
      <c r="HP102" s="2424"/>
      <c r="HQ102" s="2424"/>
      <c r="HR102" s="2424"/>
      <c r="HS102" s="2424"/>
      <c r="HT102" s="2424"/>
      <c r="HU102" s="2424"/>
      <c r="HV102" s="2424"/>
      <c r="HW102" s="2424"/>
      <c r="HX102" s="2424"/>
      <c r="HY102" s="2424"/>
      <c r="HZ102" s="2424"/>
      <c r="IA102" s="2424"/>
      <c r="IB102" s="2424"/>
      <c r="IC102" s="2424"/>
      <c r="ID102" s="2424"/>
      <c r="IE102" s="2424"/>
      <c r="IF102" s="2424"/>
      <c r="IG102" s="2424"/>
      <c r="IH102" s="2424"/>
      <c r="II102" s="2424"/>
      <c r="IJ102" s="2424"/>
      <c r="IK102" s="2424"/>
      <c r="IL102" s="2424"/>
      <c r="IM102" s="2424"/>
      <c r="IN102" s="2424"/>
      <c r="IO102" s="2424"/>
      <c r="IP102" s="2424"/>
      <c r="IQ102" s="2424"/>
      <c r="IR102" s="2424"/>
      <c r="IS102" s="2424"/>
      <c r="IT102" s="2424"/>
      <c r="IU102" s="2424"/>
      <c r="IV102" s="2424"/>
      <c r="IW102" s="2424"/>
      <c r="IX102" s="2424"/>
      <c r="IY102" s="2424"/>
      <c r="IZ102" s="2424"/>
      <c r="JA102" s="2424"/>
      <c r="JB102" s="2424"/>
      <c r="JC102" s="2424"/>
      <c r="JD102" s="2424"/>
      <c r="JE102" s="2424"/>
      <c r="JF102" s="2424"/>
      <c r="JG102" s="3767"/>
      <c r="JH102" s="1233"/>
      <c r="JI102" s="1393"/>
    </row>
    <row r="103" spans="1:269" x14ac:dyDescent="0.2">
      <c r="A103" s="1128">
        <v>17</v>
      </c>
      <c r="B103" s="1375" t="str">
        <f si="9" t="shared"/>
        <v/>
      </c>
      <c r="C103" s="2268" t="s">
        <v>1453</v>
      </c>
      <c r="D103" s="2403" t="s">
        <v>4932</v>
      </c>
      <c r="E103" s="2423"/>
      <c r="F103" s="2423"/>
      <c r="G103" s="2423"/>
      <c r="H103" s="2423"/>
      <c r="I103" s="2423"/>
      <c r="J103" s="2423"/>
      <c r="K103" s="2423"/>
      <c r="L103" s="2423"/>
      <c r="M103" s="2423"/>
      <c r="N103" s="2423"/>
      <c r="O103" s="2423"/>
      <c r="P103" s="2423"/>
      <c r="Q103" s="2423"/>
      <c r="R103" s="2423"/>
      <c r="S103" s="2423"/>
      <c r="T103" s="2423"/>
      <c r="U103" s="2423"/>
      <c r="V103" s="2423"/>
      <c r="W103" s="2423"/>
      <c r="X103" s="2423"/>
      <c r="Y103" s="2423"/>
      <c r="Z103" s="2423"/>
      <c r="AA103" s="2423"/>
      <c r="AB103" s="2423"/>
      <c r="AC103" s="2423"/>
      <c r="AD103" s="2423"/>
      <c r="AE103" s="2423"/>
      <c r="AF103" s="2423"/>
      <c r="AG103" s="2423"/>
      <c r="AH103" s="2423"/>
      <c r="AI103" s="2423"/>
      <c r="AJ103" s="2423"/>
      <c r="AK103" s="2423"/>
      <c r="AL103" s="2423"/>
      <c r="AM103" s="2423"/>
      <c r="AN103" s="2423"/>
      <c r="AO103" s="2423"/>
      <c r="AP103" s="2423"/>
      <c r="AQ103" s="2423"/>
      <c r="AR103" s="2423"/>
      <c r="AS103" s="2423"/>
      <c r="AT103" s="2423"/>
      <c r="AU103" s="2423"/>
      <c r="AV103" s="2423"/>
      <c r="AW103" s="2423"/>
      <c r="AX103" s="2423"/>
      <c r="AY103" s="2423"/>
      <c r="AZ103" s="2423"/>
      <c r="BA103" s="2423"/>
      <c r="BB103" s="2423"/>
      <c r="BC103" s="2423"/>
      <c r="BD103" s="2423"/>
      <c r="BE103" s="2423"/>
      <c r="BF103" s="2423"/>
      <c r="BG103" s="2423"/>
      <c r="BH103" s="2423"/>
      <c r="BI103" s="2423"/>
      <c r="BJ103" s="2423"/>
      <c r="BK103" s="2423"/>
      <c r="BL103" s="2423"/>
      <c r="BM103" s="2423"/>
      <c r="BN103" s="2423"/>
      <c r="BO103" s="2423"/>
      <c r="BP103" s="2423"/>
      <c r="BQ103" s="2423"/>
      <c r="BR103" s="2423"/>
      <c r="BS103" s="2423"/>
      <c r="BT103" s="2423"/>
      <c r="BU103" s="2423"/>
      <c r="BV103" s="2423"/>
      <c r="BW103" s="2423"/>
      <c r="BX103" s="2423"/>
      <c r="BY103" s="2423"/>
      <c r="BZ103" s="2423"/>
      <c r="CA103" s="2423"/>
      <c r="CB103" s="2424"/>
      <c r="CC103" s="2424"/>
      <c r="CD103" s="2424"/>
      <c r="CE103" s="2424"/>
      <c r="CF103" s="2424"/>
      <c r="CG103" s="2424"/>
      <c r="CH103" s="2424"/>
      <c r="CI103" s="2424"/>
      <c r="CJ103" s="2424"/>
      <c r="CK103" s="2424"/>
      <c r="CL103" s="2424"/>
      <c r="CM103" s="2424"/>
      <c r="CN103" s="2423"/>
      <c r="CO103" s="2424"/>
      <c r="CP103" s="2424"/>
      <c r="CQ103" s="2423"/>
      <c r="CR103" s="2424"/>
      <c r="CS103" s="2424"/>
      <c r="CT103" s="2424"/>
      <c r="CU103" s="2424"/>
      <c r="CV103" s="2424"/>
      <c r="CW103" s="2424"/>
      <c r="CX103" s="2424"/>
      <c r="CY103" s="2424"/>
      <c r="CZ103" s="2424"/>
      <c r="DA103" s="2424"/>
      <c r="DB103" s="2424"/>
      <c r="DC103" s="2424"/>
      <c r="DD103" s="2424"/>
      <c r="DE103" s="2424"/>
      <c r="DF103" s="2424"/>
      <c r="DG103" s="2424"/>
      <c r="DH103" s="2424"/>
      <c r="DI103" s="2424"/>
      <c r="DJ103" s="2424"/>
      <c r="DK103" s="2424"/>
      <c r="DL103" s="2424"/>
      <c r="DM103" s="2424"/>
      <c r="DN103" s="2424"/>
      <c r="DO103" s="2424"/>
      <c r="DP103" s="2424"/>
      <c r="DQ103" s="2424"/>
      <c r="DR103" s="2424"/>
      <c r="DS103" s="2424"/>
      <c r="DT103" s="2424"/>
      <c r="DU103" s="2424"/>
      <c r="DV103" s="2424"/>
      <c r="DW103" s="2423"/>
      <c r="DX103" s="2424"/>
      <c r="DY103" s="2424"/>
      <c r="DZ103" s="2424"/>
      <c r="EA103" s="2424"/>
      <c r="EB103" s="2424"/>
      <c r="EC103" s="2424"/>
      <c r="ED103" s="2424"/>
      <c r="EE103" s="2424"/>
      <c r="EF103" s="2424"/>
      <c r="EG103" s="2424"/>
      <c r="EH103" s="2424"/>
      <c r="EI103" s="2424"/>
      <c r="EJ103" s="2424"/>
      <c r="EK103" s="2424"/>
      <c r="EL103" s="2424"/>
      <c r="EM103" s="2423"/>
      <c r="EN103" s="2423"/>
      <c r="EO103" s="2423"/>
      <c r="EP103" s="2423"/>
      <c r="EQ103" s="2424"/>
      <c r="ER103" s="2424"/>
      <c r="ES103" s="2424"/>
      <c r="ET103" s="2424"/>
      <c r="EU103" s="2424"/>
      <c r="EV103" s="2423"/>
      <c r="EW103" s="2424"/>
      <c r="EX103" s="2424"/>
      <c r="EY103" s="2424"/>
      <c r="EZ103" s="2424"/>
      <c r="FA103" s="2424"/>
      <c r="FB103" s="2424"/>
      <c r="FC103" s="2424"/>
      <c r="FD103" s="2424"/>
      <c r="FE103" s="2424"/>
      <c r="FF103" s="2424"/>
      <c r="FG103" s="2424"/>
      <c r="FH103" s="2424"/>
      <c r="FI103" s="2424"/>
      <c r="FJ103" s="2424"/>
      <c r="FK103" s="2424"/>
      <c r="FL103" s="2424"/>
      <c r="FM103" s="2424"/>
      <c r="FN103" s="2424"/>
      <c r="FO103" s="2424"/>
      <c r="FP103" s="2424"/>
      <c r="FQ103" s="2423"/>
      <c r="FR103" s="2424"/>
      <c r="FS103" s="2424"/>
      <c r="FT103" s="2424"/>
      <c r="FU103" s="2424"/>
      <c r="FV103" s="2424"/>
      <c r="FW103" s="2424"/>
      <c r="FX103" s="2423"/>
      <c r="FY103" s="2424"/>
      <c r="FZ103" s="2424"/>
      <c r="GA103" s="2424"/>
      <c r="GB103" s="2424"/>
      <c r="GC103" s="2424"/>
      <c r="GD103" s="2424"/>
      <c r="GE103" s="2424"/>
      <c r="GF103" s="2424"/>
      <c r="GG103" s="2424"/>
      <c r="GH103" s="2423"/>
      <c r="GI103" s="2423"/>
      <c r="GJ103" s="2423">
        <v>75000</v>
      </c>
      <c r="GK103" s="2424"/>
      <c r="GL103" s="2424"/>
      <c r="GM103" s="2424"/>
      <c r="GN103" s="2424"/>
      <c r="GO103" s="2424"/>
      <c r="GP103" s="2424"/>
      <c r="GQ103" s="2424"/>
      <c r="GR103" s="2424"/>
      <c r="GS103" s="2423"/>
      <c r="GT103" s="2423"/>
      <c r="GU103" s="2423"/>
      <c r="GV103" s="2424"/>
      <c r="GW103" s="2424"/>
      <c r="GX103" s="2423"/>
      <c r="GY103" s="2424"/>
      <c r="GZ103" s="2423"/>
      <c r="HA103" s="2423"/>
      <c r="HB103" s="2424"/>
      <c r="HC103" s="2424"/>
      <c r="HD103" s="2424"/>
      <c r="HE103" s="2424"/>
      <c r="HF103" s="2423"/>
      <c r="HG103" s="2423"/>
      <c r="HH103" s="2424"/>
      <c r="HI103" s="2424"/>
      <c r="HJ103" s="2424"/>
      <c r="HK103" s="2424"/>
      <c r="HL103" s="2424"/>
      <c r="HM103" s="2424"/>
      <c r="HN103" s="2424"/>
      <c r="HO103" s="2424"/>
      <c r="HP103" s="2424"/>
      <c r="HQ103" s="2424"/>
      <c r="HR103" s="2424"/>
      <c r="HS103" s="2424"/>
      <c r="HT103" s="2424"/>
      <c r="HU103" s="2424"/>
      <c r="HV103" s="2424"/>
      <c r="HW103" s="2424"/>
      <c r="HX103" s="2424"/>
      <c r="HY103" s="2424"/>
      <c r="HZ103" s="2424"/>
      <c r="IA103" s="2424"/>
      <c r="IB103" s="2424"/>
      <c r="IC103" s="2424"/>
      <c r="ID103" s="2424"/>
      <c r="IE103" s="2424"/>
      <c r="IF103" s="2424"/>
      <c r="IG103" s="2424"/>
      <c r="IH103" s="2424"/>
      <c r="II103" s="2424"/>
      <c r="IJ103" s="2424"/>
      <c r="IK103" s="2424"/>
      <c r="IL103" s="2424"/>
      <c r="IM103" s="2424"/>
      <c r="IN103" s="2424"/>
      <c r="IO103" s="2424"/>
      <c r="IP103" s="2424"/>
      <c r="IQ103" s="2424"/>
      <c r="IR103" s="2424"/>
      <c r="IS103" s="2424"/>
      <c r="IT103" s="2424"/>
      <c r="IU103" s="2424"/>
      <c r="IV103" s="2424"/>
      <c r="IW103" s="2424"/>
      <c r="IX103" s="2424"/>
      <c r="IY103" s="2424"/>
      <c r="IZ103" s="2424"/>
      <c r="JA103" s="2424"/>
      <c r="JB103" s="2424"/>
      <c r="JC103" s="2424"/>
      <c r="JD103" s="2424"/>
      <c r="JE103" s="2424"/>
      <c r="JF103" s="2424"/>
      <c r="JG103" s="3767"/>
      <c r="JH103" s="1233"/>
      <c r="JI103" s="1393"/>
    </row>
    <row r="104" spans="1:269" x14ac:dyDescent="0.2">
      <c r="A104" s="1128">
        <v>18</v>
      </c>
      <c r="B104" s="1375" t="str">
        <f si="9" t="shared"/>
        <v/>
      </c>
      <c r="C104" s="2268" t="s">
        <v>1454</v>
      </c>
      <c r="D104" s="2403" t="s">
        <v>4933</v>
      </c>
      <c r="E104" s="2423"/>
      <c r="F104" s="2423"/>
      <c r="G104" s="2423"/>
      <c r="H104" s="2423"/>
      <c r="I104" s="2423"/>
      <c r="J104" s="2423"/>
      <c r="K104" s="2423"/>
      <c r="L104" s="2423"/>
      <c r="M104" s="2423"/>
      <c r="N104" s="2423"/>
      <c r="O104" s="2423"/>
      <c r="P104" s="2423"/>
      <c r="Q104" s="2423"/>
      <c r="R104" s="2423"/>
      <c r="S104" s="2423"/>
      <c r="T104" s="2423"/>
      <c r="U104" s="2423"/>
      <c r="V104" s="2423"/>
      <c r="W104" s="2423"/>
      <c r="X104" s="2423"/>
      <c r="Y104" s="2423"/>
      <c r="Z104" s="2423"/>
      <c r="AA104" s="2423"/>
      <c r="AB104" s="2423"/>
      <c r="AC104" s="2423"/>
      <c r="AD104" s="2423"/>
      <c r="AE104" s="2423"/>
      <c r="AF104" s="2423"/>
      <c r="AG104" s="2423"/>
      <c r="AH104" s="2423"/>
      <c r="AI104" s="2423"/>
      <c r="AJ104" s="2423"/>
      <c r="AK104" s="2423"/>
      <c r="AL104" s="2423"/>
      <c r="AM104" s="2423"/>
      <c r="AN104" s="2423"/>
      <c r="AO104" s="2423"/>
      <c r="AP104" s="2423"/>
      <c r="AQ104" s="2423"/>
      <c r="AR104" s="2423"/>
      <c r="AS104" s="2423"/>
      <c r="AT104" s="2423"/>
      <c r="AU104" s="2423"/>
      <c r="AV104" s="2423"/>
      <c r="AW104" s="2423"/>
      <c r="AX104" s="2423"/>
      <c r="AY104" s="2423"/>
      <c r="AZ104" s="2423"/>
      <c r="BA104" s="2423"/>
      <c r="BB104" s="2423"/>
      <c r="BC104" s="2423"/>
      <c r="BD104" s="2423"/>
      <c r="BE104" s="2423"/>
      <c r="BF104" s="2423"/>
      <c r="BG104" s="2423"/>
      <c r="BH104" s="2423"/>
      <c r="BI104" s="2423"/>
      <c r="BJ104" s="2423"/>
      <c r="BK104" s="2423"/>
      <c r="BL104" s="2423"/>
      <c r="BM104" s="2423"/>
      <c r="BN104" s="2423"/>
      <c r="BO104" s="2423"/>
      <c r="BP104" s="2423"/>
      <c r="BQ104" s="2423"/>
      <c r="BR104" s="2423"/>
      <c r="BS104" s="2423"/>
      <c r="BT104" s="2423"/>
      <c r="BU104" s="2423"/>
      <c r="BV104" s="2423"/>
      <c r="BW104" s="2423"/>
      <c r="BX104" s="2423"/>
      <c r="BY104" s="2423"/>
      <c r="BZ104" s="2423"/>
      <c r="CA104" s="2423"/>
      <c r="CB104" s="2424"/>
      <c r="CC104" s="2424"/>
      <c r="CD104" s="2424"/>
      <c r="CE104" s="2424"/>
      <c r="CF104" s="2424"/>
      <c r="CG104" s="2424"/>
      <c r="CH104" s="2424"/>
      <c r="CI104" s="2424"/>
      <c r="CJ104" s="2424"/>
      <c r="CK104" s="2424"/>
      <c r="CL104" s="2424"/>
      <c r="CM104" s="2424"/>
      <c r="CN104" s="2423"/>
      <c r="CO104" s="2424"/>
      <c r="CP104" s="2424"/>
      <c r="CQ104" s="2423"/>
      <c r="CR104" s="2424"/>
      <c r="CS104" s="2424"/>
      <c r="CT104" s="2424"/>
      <c r="CU104" s="2424"/>
      <c r="CV104" s="2424"/>
      <c r="CW104" s="2424"/>
      <c r="CX104" s="2424"/>
      <c r="CY104" s="2424"/>
      <c r="CZ104" s="2424"/>
      <c r="DA104" s="2424"/>
      <c r="DB104" s="2424"/>
      <c r="DC104" s="2424"/>
      <c r="DD104" s="2424"/>
      <c r="DE104" s="2424"/>
      <c r="DF104" s="2424"/>
      <c r="DG104" s="2424"/>
      <c r="DH104" s="2424"/>
      <c r="DI104" s="2424"/>
      <c r="DJ104" s="2424"/>
      <c r="DK104" s="2424"/>
      <c r="DL104" s="2424"/>
      <c r="DM104" s="2424"/>
      <c r="DN104" s="2424"/>
      <c r="DO104" s="2424"/>
      <c r="DP104" s="2424"/>
      <c r="DQ104" s="2424"/>
      <c r="DR104" s="2424"/>
      <c r="DS104" s="2424"/>
      <c r="DT104" s="2424"/>
      <c r="DU104" s="2424"/>
      <c r="DV104" s="2424"/>
      <c r="DW104" s="2423"/>
      <c r="DX104" s="2424"/>
      <c r="DY104" s="2424"/>
      <c r="DZ104" s="2424"/>
      <c r="EA104" s="2424"/>
      <c r="EB104" s="2424"/>
      <c r="EC104" s="2424"/>
      <c r="ED104" s="2424"/>
      <c r="EE104" s="2424"/>
      <c r="EF104" s="2424"/>
      <c r="EG104" s="2424"/>
      <c r="EH104" s="2424"/>
      <c r="EI104" s="2424"/>
      <c r="EJ104" s="2424"/>
      <c r="EK104" s="2424"/>
      <c r="EL104" s="2424"/>
      <c r="EM104" s="2423"/>
      <c r="EN104" s="2423"/>
      <c r="EO104" s="2423"/>
      <c r="EP104" s="2423"/>
      <c r="EQ104" s="2424"/>
      <c r="ER104" s="2424"/>
      <c r="ES104" s="2424"/>
      <c r="ET104" s="2424"/>
      <c r="EU104" s="2424"/>
      <c r="EV104" s="2423"/>
      <c r="EW104" s="2424"/>
      <c r="EX104" s="2424"/>
      <c r="EY104" s="2424"/>
      <c r="EZ104" s="2424"/>
      <c r="FA104" s="2424"/>
      <c r="FB104" s="2424"/>
      <c r="FC104" s="2424"/>
      <c r="FD104" s="2424"/>
      <c r="FE104" s="2424"/>
      <c r="FF104" s="2424"/>
      <c r="FG104" s="2424"/>
      <c r="FH104" s="2424"/>
      <c r="FI104" s="2424"/>
      <c r="FJ104" s="2424"/>
      <c r="FK104" s="2424"/>
      <c r="FL104" s="2424"/>
      <c r="FM104" s="2424"/>
      <c r="FN104" s="2424"/>
      <c r="FO104" s="2424"/>
      <c r="FP104" s="2424"/>
      <c r="FQ104" s="2423"/>
      <c r="FR104" s="2424"/>
      <c r="FS104" s="2424"/>
      <c r="FT104" s="2424"/>
      <c r="FU104" s="2424"/>
      <c r="FV104" s="2424"/>
      <c r="FW104" s="2424"/>
      <c r="FX104" s="2423"/>
      <c r="FY104" s="2424"/>
      <c r="FZ104" s="2424"/>
      <c r="GA104" s="2424"/>
      <c r="GB104" s="2424"/>
      <c r="GC104" s="2424"/>
      <c r="GD104" s="2424"/>
      <c r="GE104" s="2424"/>
      <c r="GF104" s="2424"/>
      <c r="GG104" s="2424"/>
      <c r="GH104" s="2423"/>
      <c r="GI104" s="2423"/>
      <c r="GJ104" s="2423">
        <v>43519</v>
      </c>
      <c r="GK104" s="2424"/>
      <c r="GL104" s="2424"/>
      <c r="GM104" s="2424"/>
      <c r="GN104" s="2424"/>
      <c r="GO104" s="2424"/>
      <c r="GP104" s="2424"/>
      <c r="GQ104" s="2424"/>
      <c r="GR104" s="2424"/>
      <c r="GS104" s="2423">
        <v>14512</v>
      </c>
      <c r="GT104" s="2423"/>
      <c r="GU104" s="2423"/>
      <c r="GV104" s="2424"/>
      <c r="GW104" s="2424"/>
      <c r="GX104" s="2423"/>
      <c r="GY104" s="2424"/>
      <c r="GZ104" s="2423"/>
      <c r="HA104" s="2423"/>
      <c r="HB104" s="2424"/>
      <c r="HC104" s="2424"/>
      <c r="HD104" s="2424"/>
      <c r="HE104" s="2424"/>
      <c r="HF104" s="2423"/>
      <c r="HG104" s="2423"/>
      <c r="HH104" s="2424"/>
      <c r="HI104" s="2424"/>
      <c r="HJ104" s="2424"/>
      <c r="HK104" s="2424"/>
      <c r="HL104" s="2424"/>
      <c r="HM104" s="2424"/>
      <c r="HN104" s="2424"/>
      <c r="HO104" s="2424"/>
      <c r="HP104" s="2424"/>
      <c r="HQ104" s="2424"/>
      <c r="HR104" s="2424"/>
      <c r="HS104" s="2424"/>
      <c r="HT104" s="2424"/>
      <c r="HU104" s="2424"/>
      <c r="HV104" s="2424"/>
      <c r="HW104" s="2424"/>
      <c r="HX104" s="2424"/>
      <c r="HY104" s="2424"/>
      <c r="HZ104" s="2424"/>
      <c r="IA104" s="2424"/>
      <c r="IB104" s="2424"/>
      <c r="IC104" s="2424"/>
      <c r="ID104" s="2424"/>
      <c r="IE104" s="2424"/>
      <c r="IF104" s="2424"/>
      <c r="IG104" s="2424"/>
      <c r="IH104" s="2424"/>
      <c r="II104" s="2424"/>
      <c r="IJ104" s="2424"/>
      <c r="IK104" s="2424"/>
      <c r="IL104" s="2424"/>
      <c r="IM104" s="2424"/>
      <c r="IN104" s="2424"/>
      <c r="IO104" s="2424"/>
      <c r="IP104" s="2424"/>
      <c r="IQ104" s="2424"/>
      <c r="IR104" s="2424"/>
      <c r="IS104" s="2424"/>
      <c r="IT104" s="2424"/>
      <c r="IU104" s="2424"/>
      <c r="IV104" s="2424"/>
      <c r="IW104" s="2424"/>
      <c r="IX104" s="2424"/>
      <c r="IY104" s="2424"/>
      <c r="IZ104" s="2424"/>
      <c r="JA104" s="2424"/>
      <c r="JB104" s="2424"/>
      <c r="JC104" s="2424"/>
      <c r="JD104" s="2424"/>
      <c r="JE104" s="2424"/>
      <c r="JF104" s="2424"/>
      <c r="JG104" s="3767"/>
      <c r="JH104" s="1233"/>
      <c r="JI104" s="1393"/>
    </row>
    <row r="105" spans="1:269" x14ac:dyDescent="0.2">
      <c r="A105" s="1128">
        <v>19</v>
      </c>
      <c r="B105" s="1375" t="str">
        <f si="9" t="shared"/>
        <v/>
      </c>
      <c r="C105" s="2268" t="s">
        <v>1455</v>
      </c>
      <c r="D105" s="2403" t="s">
        <v>4934</v>
      </c>
      <c r="E105" s="2423"/>
      <c r="F105" s="2423"/>
      <c r="G105" s="2423"/>
      <c r="H105" s="2423"/>
      <c r="I105" s="2423"/>
      <c r="J105" s="2423"/>
      <c r="K105" s="2423"/>
      <c r="L105" s="2423"/>
      <c r="M105" s="2423"/>
      <c r="N105" s="2423"/>
      <c r="O105" s="2423"/>
      <c r="P105" s="2423"/>
      <c r="Q105" s="2423"/>
      <c r="R105" s="2423"/>
      <c r="S105" s="2423"/>
      <c r="T105" s="2423"/>
      <c r="U105" s="2423"/>
      <c r="V105" s="2423"/>
      <c r="W105" s="2423"/>
      <c r="X105" s="2423"/>
      <c r="Y105" s="2423"/>
      <c r="Z105" s="2423"/>
      <c r="AA105" s="2423"/>
      <c r="AB105" s="2423"/>
      <c r="AC105" s="2423"/>
      <c r="AD105" s="2423"/>
      <c r="AE105" s="2423"/>
      <c r="AF105" s="2423"/>
      <c r="AG105" s="2423"/>
      <c r="AH105" s="2423"/>
      <c r="AI105" s="2423"/>
      <c r="AJ105" s="2423"/>
      <c r="AK105" s="2423"/>
      <c r="AL105" s="2423"/>
      <c r="AM105" s="2423"/>
      <c r="AN105" s="2423"/>
      <c r="AO105" s="2423"/>
      <c r="AP105" s="2423"/>
      <c r="AQ105" s="2423"/>
      <c r="AR105" s="2423"/>
      <c r="AS105" s="2423"/>
      <c r="AT105" s="2423"/>
      <c r="AU105" s="2423"/>
      <c r="AV105" s="2423"/>
      <c r="AW105" s="2423"/>
      <c r="AX105" s="2423"/>
      <c r="AY105" s="2423"/>
      <c r="AZ105" s="2423"/>
      <c r="BA105" s="2423"/>
      <c r="BB105" s="2423"/>
      <c r="BC105" s="2423"/>
      <c r="BD105" s="2423"/>
      <c r="BE105" s="2423"/>
      <c r="BF105" s="2423"/>
      <c r="BG105" s="2423"/>
      <c r="BH105" s="2423"/>
      <c r="BI105" s="2423"/>
      <c r="BJ105" s="2423"/>
      <c r="BK105" s="2423"/>
      <c r="BL105" s="2423"/>
      <c r="BM105" s="2423"/>
      <c r="BN105" s="2423"/>
      <c r="BO105" s="2423"/>
      <c r="BP105" s="2423"/>
      <c r="BQ105" s="2423"/>
      <c r="BR105" s="2423"/>
      <c r="BS105" s="2423"/>
      <c r="BT105" s="2423"/>
      <c r="BU105" s="2423"/>
      <c r="BV105" s="2423"/>
      <c r="BW105" s="2423"/>
      <c r="BX105" s="2423"/>
      <c r="BY105" s="2423"/>
      <c r="BZ105" s="2423"/>
      <c r="CA105" s="2423"/>
      <c r="CB105" s="2424"/>
      <c r="CC105" s="2424"/>
      <c r="CD105" s="2424"/>
      <c r="CE105" s="2424"/>
      <c r="CF105" s="2424"/>
      <c r="CG105" s="2424"/>
      <c r="CH105" s="2424"/>
      <c r="CI105" s="2424"/>
      <c r="CJ105" s="2424"/>
      <c r="CK105" s="2424"/>
      <c r="CL105" s="2424"/>
      <c r="CM105" s="2424"/>
      <c r="CN105" s="2423">
        <v>4950</v>
      </c>
      <c r="CO105" s="2424"/>
      <c r="CP105" s="2424"/>
      <c r="CQ105" s="2423"/>
      <c r="CR105" s="2424"/>
      <c r="CS105" s="2424"/>
      <c r="CT105" s="2424"/>
      <c r="CU105" s="2424"/>
      <c r="CV105" s="2424"/>
      <c r="CW105" s="2424"/>
      <c r="CX105" s="2424"/>
      <c r="CY105" s="2424"/>
      <c r="CZ105" s="2424"/>
      <c r="DA105" s="2424"/>
      <c r="DB105" s="2424"/>
      <c r="DC105" s="2424"/>
      <c r="DD105" s="2424"/>
      <c r="DE105" s="2424"/>
      <c r="DF105" s="2424"/>
      <c r="DG105" s="2424"/>
      <c r="DH105" s="2424"/>
      <c r="DI105" s="2424"/>
      <c r="DJ105" s="2424"/>
      <c r="DK105" s="2424"/>
      <c r="DL105" s="2424"/>
      <c r="DM105" s="2424"/>
      <c r="DN105" s="2424"/>
      <c r="DO105" s="2424"/>
      <c r="DP105" s="2424"/>
      <c r="DQ105" s="2424"/>
      <c r="DR105" s="2424"/>
      <c r="DS105" s="2424"/>
      <c r="DT105" s="2424"/>
      <c r="DU105" s="2424"/>
      <c r="DV105" s="2424"/>
      <c r="DW105" s="2423"/>
      <c r="DX105" s="2424"/>
      <c r="DY105" s="2424"/>
      <c r="DZ105" s="2424"/>
      <c r="EA105" s="2424"/>
      <c r="EB105" s="2424"/>
      <c r="EC105" s="2424"/>
      <c r="ED105" s="2424"/>
      <c r="EE105" s="2424"/>
      <c r="EF105" s="2424"/>
      <c r="EG105" s="2424"/>
      <c r="EH105" s="2424"/>
      <c r="EI105" s="2424"/>
      <c r="EJ105" s="2424"/>
      <c r="EK105" s="2424"/>
      <c r="EL105" s="2424"/>
      <c r="EM105" s="2423"/>
      <c r="EN105" s="2423"/>
      <c r="EO105" s="2423"/>
      <c r="EP105" s="2423"/>
      <c r="EQ105" s="2424"/>
      <c r="ER105" s="2424"/>
      <c r="ES105" s="2424"/>
      <c r="ET105" s="2424"/>
      <c r="EU105" s="2424"/>
      <c r="EV105" s="2423"/>
      <c r="EW105" s="2424"/>
      <c r="EX105" s="2424"/>
      <c r="EY105" s="2424"/>
      <c r="EZ105" s="2424"/>
      <c r="FA105" s="2424"/>
      <c r="FB105" s="2424"/>
      <c r="FC105" s="2424"/>
      <c r="FD105" s="2424"/>
      <c r="FE105" s="2424"/>
      <c r="FF105" s="2424"/>
      <c r="FG105" s="2424"/>
      <c r="FH105" s="2424"/>
      <c r="FI105" s="2424"/>
      <c r="FJ105" s="2424"/>
      <c r="FK105" s="2424"/>
      <c r="FL105" s="2424"/>
      <c r="FM105" s="2424"/>
      <c r="FN105" s="2424"/>
      <c r="FO105" s="2424"/>
      <c r="FP105" s="2424"/>
      <c r="FQ105" s="2423">
        <v>4950</v>
      </c>
      <c r="FR105" s="2424"/>
      <c r="FS105" s="2424"/>
      <c r="FT105" s="2424"/>
      <c r="FU105" s="2424"/>
      <c r="FV105" s="2424"/>
      <c r="FW105" s="2424"/>
      <c r="FX105" s="2423">
        <v>23505</v>
      </c>
      <c r="FY105" s="2424"/>
      <c r="FZ105" s="2424"/>
      <c r="GA105" s="2424"/>
      <c r="GB105" s="2424"/>
      <c r="GC105" s="2424"/>
      <c r="GD105" s="2424"/>
      <c r="GE105" s="2424"/>
      <c r="GF105" s="2424"/>
      <c r="GG105" s="2424"/>
      <c r="GH105" s="2423"/>
      <c r="GI105" s="2423"/>
      <c r="GJ105" s="2423"/>
      <c r="GK105" s="2424"/>
      <c r="GL105" s="2424"/>
      <c r="GM105" s="2424"/>
      <c r="GN105" s="2424"/>
      <c r="GO105" s="2424"/>
      <c r="GP105" s="2424"/>
      <c r="GQ105" s="2424"/>
      <c r="GR105" s="2424"/>
      <c r="GS105" s="2423"/>
      <c r="GT105" s="2423">
        <v>23505</v>
      </c>
      <c r="GU105" s="2423">
        <v>4950</v>
      </c>
      <c r="GV105" s="2424"/>
      <c r="GW105" s="2424"/>
      <c r="GX105" s="2423"/>
      <c r="GY105" s="2424"/>
      <c r="GZ105" s="2423"/>
      <c r="HA105" s="2423"/>
      <c r="HB105" s="2424"/>
      <c r="HC105" s="2424"/>
      <c r="HD105" s="2424"/>
      <c r="HE105" s="2424"/>
      <c r="HF105" s="2423"/>
      <c r="HG105" s="2423"/>
      <c r="HH105" s="2424"/>
      <c r="HI105" s="2424"/>
      <c r="HJ105" s="2424"/>
      <c r="HK105" s="2424"/>
      <c r="HL105" s="2424"/>
      <c r="HM105" s="2424"/>
      <c r="HN105" s="2424"/>
      <c r="HO105" s="2424"/>
      <c r="HP105" s="2424"/>
      <c r="HQ105" s="2424"/>
      <c r="HR105" s="2424"/>
      <c r="HS105" s="2424"/>
      <c r="HT105" s="2424"/>
      <c r="HU105" s="2424"/>
      <c r="HV105" s="2424"/>
      <c r="HW105" s="2424"/>
      <c r="HX105" s="2424"/>
      <c r="HY105" s="2424"/>
      <c r="HZ105" s="2424"/>
      <c r="IA105" s="2424"/>
      <c r="IB105" s="2424"/>
      <c r="IC105" s="2424"/>
      <c r="ID105" s="2424"/>
      <c r="IE105" s="2424"/>
      <c r="IF105" s="2424"/>
      <c r="IG105" s="2424"/>
      <c r="IH105" s="2424"/>
      <c r="II105" s="2424"/>
      <c r="IJ105" s="2424"/>
      <c r="IK105" s="2424"/>
      <c r="IL105" s="2424"/>
      <c r="IM105" s="2424"/>
      <c r="IN105" s="2424"/>
      <c r="IO105" s="2424"/>
      <c r="IP105" s="2424"/>
      <c r="IQ105" s="2424"/>
      <c r="IR105" s="2424"/>
      <c r="IS105" s="2424"/>
      <c r="IT105" s="2424"/>
      <c r="IU105" s="2424"/>
      <c r="IV105" s="2424"/>
      <c r="IW105" s="2424"/>
      <c r="IX105" s="2424"/>
      <c r="IY105" s="2424"/>
      <c r="IZ105" s="2424"/>
      <c r="JA105" s="2424"/>
      <c r="JB105" s="2424"/>
      <c r="JC105" s="2424"/>
      <c r="JD105" s="2424"/>
      <c r="JE105" s="2424"/>
      <c r="JF105" s="2424"/>
      <c r="JG105" s="3767"/>
      <c r="JH105" s="1233"/>
      <c r="JI105" s="1393"/>
    </row>
    <row r="106" spans="1:269" x14ac:dyDescent="0.2">
      <c r="A106" s="2629">
        <v>20</v>
      </c>
      <c r="B106" s="2630"/>
      <c r="C106" s="2631" t="s">
        <v>1456</v>
      </c>
      <c r="D106" s="2632" t="s">
        <v>4935</v>
      </c>
      <c r="E106" s="2455"/>
      <c r="F106" s="2455"/>
      <c r="G106" s="2455"/>
      <c r="H106" s="2455"/>
      <c r="I106" s="2455"/>
      <c r="J106" s="2455"/>
      <c r="K106" s="2455"/>
      <c r="L106" s="2455"/>
      <c r="M106" s="2455"/>
      <c r="N106" s="2455"/>
      <c r="O106" s="2455"/>
      <c r="P106" s="2455"/>
      <c r="Q106" s="2455"/>
      <c r="R106" s="2455"/>
      <c r="S106" s="2455"/>
      <c r="T106" s="2455"/>
      <c r="U106" s="2455"/>
      <c r="V106" s="2455"/>
      <c r="W106" s="2455"/>
      <c r="X106" s="2455"/>
      <c r="Y106" s="2455"/>
      <c r="Z106" s="2455"/>
      <c r="AA106" s="2455"/>
      <c r="AB106" s="2455"/>
      <c r="AC106" s="2455"/>
      <c r="AD106" s="2455"/>
      <c r="AE106" s="2455"/>
      <c r="AF106" s="2455"/>
      <c r="AG106" s="2455"/>
      <c r="AH106" s="2455"/>
      <c r="AI106" s="2455"/>
      <c r="AJ106" s="2455"/>
      <c r="AK106" s="2455"/>
      <c r="AL106" s="2455"/>
      <c r="AM106" s="2455"/>
      <c r="AN106" s="2455"/>
      <c r="AO106" s="2455"/>
      <c r="AP106" s="2455"/>
      <c r="AQ106" s="2455"/>
      <c r="AR106" s="2455"/>
      <c r="AS106" s="2455"/>
      <c r="AT106" s="2455"/>
      <c r="AU106" s="2455"/>
      <c r="AV106" s="2455"/>
      <c r="AW106" s="2455"/>
      <c r="AX106" s="2455"/>
      <c r="AY106" s="2455"/>
      <c r="AZ106" s="2455"/>
      <c r="BA106" s="2455"/>
      <c r="BB106" s="2455"/>
      <c r="BC106" s="2455"/>
      <c r="BD106" s="2455"/>
      <c r="BE106" s="2455"/>
      <c r="BF106" s="2455"/>
      <c r="BG106" s="2455"/>
      <c r="BH106" s="2455"/>
      <c r="BI106" s="2455"/>
      <c r="BJ106" s="2455"/>
      <c r="BK106" s="2455"/>
      <c r="BL106" s="2455"/>
      <c r="BM106" s="2455"/>
      <c r="BN106" s="2455"/>
      <c r="BO106" s="2455"/>
      <c r="BP106" s="2455"/>
      <c r="BQ106" s="2455"/>
      <c r="BR106" s="2455"/>
      <c r="BS106" s="2455"/>
      <c r="BT106" s="2455"/>
      <c r="BU106" s="2455"/>
      <c r="BV106" s="2455"/>
      <c r="BW106" s="2455"/>
      <c r="BX106" s="2455"/>
      <c r="BY106" s="2455"/>
      <c r="BZ106" s="2455"/>
      <c r="CA106" s="2455"/>
      <c r="CB106" s="2822"/>
      <c r="CC106" s="2822"/>
      <c r="CD106" s="2822"/>
      <c r="CE106" s="2822"/>
      <c r="CF106" s="2822"/>
      <c r="CG106" s="2822"/>
      <c r="CH106" s="2822"/>
      <c r="CI106" s="2822"/>
      <c r="CJ106" s="2822"/>
      <c r="CK106" s="2822"/>
      <c r="CL106" s="2822"/>
      <c r="CM106" s="2822"/>
      <c r="CN106" s="2455"/>
      <c r="CO106" s="2822"/>
      <c r="CP106" s="2822"/>
      <c r="CQ106" s="2455"/>
      <c r="CR106" s="2822"/>
      <c r="CS106" s="2822"/>
      <c r="CT106" s="2822"/>
      <c r="CU106" s="2822"/>
      <c r="CV106" s="2822"/>
      <c r="CW106" s="2822"/>
      <c r="CX106" s="2822"/>
      <c r="CY106" s="2822"/>
      <c r="CZ106" s="2822"/>
      <c r="DA106" s="2822"/>
      <c r="DB106" s="2822"/>
      <c r="DC106" s="2822"/>
      <c r="DD106" s="2822"/>
      <c r="DE106" s="2822"/>
      <c r="DF106" s="2822"/>
      <c r="DG106" s="2822"/>
      <c r="DH106" s="2822"/>
      <c r="DI106" s="2822"/>
      <c r="DJ106" s="2822"/>
      <c r="DK106" s="2822"/>
      <c r="DL106" s="2822"/>
      <c r="DM106" s="2822"/>
      <c r="DN106" s="2822"/>
      <c r="DO106" s="2822"/>
      <c r="DP106" s="2822"/>
      <c r="DQ106" s="2822"/>
      <c r="DR106" s="2822"/>
      <c r="DS106" s="2822"/>
      <c r="DT106" s="2822"/>
      <c r="DU106" s="2822"/>
      <c r="DV106" s="2822"/>
      <c r="DW106" s="2455"/>
      <c r="DX106" s="2822"/>
      <c r="DY106" s="2822"/>
      <c r="DZ106" s="2822"/>
      <c r="EA106" s="2822"/>
      <c r="EB106" s="2822"/>
      <c r="EC106" s="2822"/>
      <c r="ED106" s="2822"/>
      <c r="EE106" s="2822"/>
      <c r="EF106" s="2822"/>
      <c r="EG106" s="2822"/>
      <c r="EH106" s="2822"/>
      <c r="EI106" s="2822"/>
      <c r="EJ106" s="2822"/>
      <c r="EK106" s="2822"/>
      <c r="EL106" s="2822"/>
      <c r="EM106" s="2455"/>
      <c r="EN106" s="2455"/>
      <c r="EO106" s="2455"/>
      <c r="EP106" s="2455"/>
      <c r="EQ106" s="2822"/>
      <c r="ER106" s="2822"/>
      <c r="ES106" s="2822"/>
      <c r="ET106" s="2822"/>
      <c r="EU106" s="2822"/>
      <c r="EV106" s="2455"/>
      <c r="EW106" s="2822"/>
      <c r="EX106" s="2822"/>
      <c r="EY106" s="2822"/>
      <c r="EZ106" s="2822"/>
      <c r="FA106" s="2822"/>
      <c r="FB106" s="2822"/>
      <c r="FC106" s="2822"/>
      <c r="FD106" s="2822"/>
      <c r="FE106" s="2822"/>
      <c r="FF106" s="2822"/>
      <c r="FG106" s="2822"/>
      <c r="FH106" s="2822"/>
      <c r="FI106" s="2822"/>
      <c r="FJ106" s="2822"/>
      <c r="FK106" s="2822"/>
      <c r="FL106" s="2822"/>
      <c r="FM106" s="2822"/>
      <c r="FN106" s="2822"/>
      <c r="FO106" s="2822"/>
      <c r="FP106" s="2822"/>
      <c r="FQ106" s="2455"/>
      <c r="FR106" s="2822"/>
      <c r="FS106" s="2822"/>
      <c r="FT106" s="2822"/>
      <c r="FU106" s="2822"/>
      <c r="FV106" s="2822"/>
      <c r="FW106" s="2822"/>
      <c r="FX106" s="2455"/>
      <c r="FY106" s="2822"/>
      <c r="FZ106" s="2822"/>
      <c r="GA106" s="2822"/>
      <c r="GB106" s="2822"/>
      <c r="GC106" s="2822"/>
      <c r="GD106" s="2822"/>
      <c r="GE106" s="2822"/>
      <c r="GF106" s="2822"/>
      <c r="GG106" s="2822"/>
      <c r="GH106" s="2455"/>
      <c r="GI106" s="2455"/>
      <c r="GJ106" s="2455"/>
      <c r="GK106" s="2822"/>
      <c r="GL106" s="2822"/>
      <c r="GM106" s="2822"/>
      <c r="GN106" s="2822"/>
      <c r="GO106" s="2822"/>
      <c r="GP106" s="2822"/>
      <c r="GQ106" s="2822"/>
      <c r="GR106" s="2822"/>
      <c r="GS106" s="2455"/>
      <c r="GT106" s="2455"/>
      <c r="GU106" s="2455"/>
      <c r="GV106" s="2822"/>
      <c r="GW106" s="2822"/>
      <c r="GX106" s="2455"/>
      <c r="GY106" s="2822"/>
      <c r="GZ106" s="2455"/>
      <c r="HA106" s="2455"/>
      <c r="HB106" s="2822"/>
      <c r="HC106" s="2822"/>
      <c r="HD106" s="2822"/>
      <c r="HE106" s="2822"/>
      <c r="HF106" s="2455"/>
      <c r="HG106" s="2455"/>
      <c r="HH106" s="2822"/>
      <c r="HI106" s="2822"/>
      <c r="HJ106" s="2822"/>
      <c r="HK106" s="2822"/>
      <c r="HL106" s="2822"/>
      <c r="HM106" s="2822"/>
      <c r="HN106" s="2822"/>
      <c r="HO106" s="2822"/>
      <c r="HP106" s="2822"/>
      <c r="HQ106" s="2822"/>
      <c r="HR106" s="2822"/>
      <c r="HS106" s="2822"/>
      <c r="HT106" s="2822"/>
      <c r="HU106" s="2822"/>
      <c r="HV106" s="2822"/>
      <c r="HW106" s="2822"/>
      <c r="HX106" s="2822"/>
      <c r="HY106" s="2822"/>
      <c r="HZ106" s="2822"/>
      <c r="IA106" s="2822"/>
      <c r="IB106" s="2822"/>
      <c r="IC106" s="2822"/>
      <c r="ID106" s="2822"/>
      <c r="IE106" s="2822"/>
      <c r="IF106" s="2822"/>
      <c r="IG106" s="2822"/>
      <c r="IH106" s="2822"/>
      <c r="II106" s="2822"/>
      <c r="IJ106" s="2822"/>
      <c r="IK106" s="2822"/>
      <c r="IL106" s="2822"/>
      <c r="IM106" s="2822"/>
      <c r="IN106" s="2822"/>
      <c r="IO106" s="2822"/>
      <c r="IP106" s="2822"/>
      <c r="IQ106" s="2822"/>
      <c r="IR106" s="2822"/>
      <c r="IS106" s="2822"/>
      <c r="IT106" s="2822"/>
      <c r="IU106" s="2822"/>
      <c r="IV106" s="2822"/>
      <c r="IW106" s="2822"/>
      <c r="IX106" s="2822"/>
      <c r="IY106" s="2822"/>
      <c r="IZ106" s="2822"/>
      <c r="JA106" s="2822"/>
      <c r="JB106" s="2822"/>
      <c r="JC106" s="2822"/>
      <c r="JD106" s="2822"/>
      <c r="JE106" s="2822"/>
      <c r="JF106" s="2822"/>
      <c r="JG106" s="3778"/>
      <c r="JH106" s="2633"/>
      <c r="JI106" s="2634"/>
    </row>
    <row r="107" spans="1:269" x14ac:dyDescent="0.2">
      <c r="A107" s="1128">
        <v>21</v>
      </c>
      <c r="B107" s="1375" t="str">
        <f si="9" t="shared"/>
        <v/>
      </c>
      <c r="C107" s="2268" t="s">
        <v>3212</v>
      </c>
      <c r="D107" s="2403" t="s">
        <v>4936</v>
      </c>
      <c r="E107" s="2423"/>
      <c r="F107" s="2423"/>
      <c r="G107" s="2423"/>
      <c r="H107" s="2423"/>
      <c r="I107" s="2423"/>
      <c r="J107" s="2423"/>
      <c r="K107" s="2423"/>
      <c r="L107" s="2423"/>
      <c r="M107" s="2505"/>
      <c r="N107" s="2423"/>
      <c r="O107" s="2423"/>
      <c r="P107" s="2423"/>
      <c r="Q107" s="2423"/>
      <c r="R107" s="2423"/>
      <c r="S107" s="2423"/>
      <c r="T107" s="2423"/>
      <c r="U107" s="2423"/>
      <c r="V107" s="2423"/>
      <c r="W107" s="2423"/>
      <c r="X107" s="2423"/>
      <c r="Y107" s="2423"/>
      <c r="Z107" s="2423"/>
      <c r="AA107" s="2423"/>
      <c r="AB107" s="2423"/>
      <c r="AC107" s="2423"/>
      <c r="AD107" s="2423"/>
      <c r="AE107" s="2423"/>
      <c r="AF107" s="2423"/>
      <c r="AG107" s="2423"/>
      <c r="AH107" s="2423"/>
      <c r="AI107" s="2423"/>
      <c r="AJ107" s="2423"/>
      <c r="AK107" s="2423"/>
      <c r="AL107" s="2423"/>
      <c r="AM107" s="2423"/>
      <c r="AN107" s="2423"/>
      <c r="AO107" s="2423"/>
      <c r="AP107" s="2423"/>
      <c r="AQ107" s="2423"/>
      <c r="AR107" s="2423"/>
      <c r="AS107" s="2423"/>
      <c r="AT107" s="2423"/>
      <c r="AU107" s="2423"/>
      <c r="AV107" s="2423"/>
      <c r="AW107" s="2423"/>
      <c r="AX107" s="2423"/>
      <c r="AY107" s="2423"/>
      <c r="AZ107" s="2423"/>
      <c r="BA107" s="2423"/>
      <c r="BB107" s="2423"/>
      <c r="BC107" s="2423"/>
      <c r="BD107" s="2423"/>
      <c r="BE107" s="2423"/>
      <c r="BF107" s="2423"/>
      <c r="BG107" s="2423"/>
      <c r="BH107" s="2423"/>
      <c r="BI107" s="2423"/>
      <c r="BJ107" s="2423"/>
      <c r="BK107" s="2423"/>
      <c r="BL107" s="2423"/>
      <c r="BM107" s="2423"/>
      <c r="BN107" s="2423"/>
      <c r="BO107" s="2423"/>
      <c r="BP107" s="2423"/>
      <c r="BQ107" s="2423"/>
      <c r="BR107" s="2423"/>
      <c r="BS107" s="2423"/>
      <c r="BT107" s="2423"/>
      <c r="BU107" s="2423"/>
      <c r="BV107" s="2423"/>
      <c r="BW107" s="2423"/>
      <c r="BX107" s="2423"/>
      <c r="BY107" s="2423"/>
      <c r="BZ107" s="2423"/>
      <c r="CA107" s="2423"/>
      <c r="CB107" s="2424"/>
      <c r="CC107" s="2424"/>
      <c r="CD107" s="2424"/>
      <c r="CE107" s="2424"/>
      <c r="CF107" s="2424"/>
      <c r="CG107" s="2424"/>
      <c r="CH107" s="2424"/>
      <c r="CI107" s="2424"/>
      <c r="CJ107" s="2424"/>
      <c r="CK107" s="2424"/>
      <c r="CL107" s="2424"/>
      <c r="CM107" s="2424"/>
      <c r="CN107" s="2423">
        <v>892</v>
      </c>
      <c r="CO107" s="2424"/>
      <c r="CP107" s="2424"/>
      <c r="CQ107" s="2423"/>
      <c r="CR107" s="2424"/>
      <c r="CS107" s="2424"/>
      <c r="CT107" s="2424"/>
      <c r="CU107" s="2424"/>
      <c r="CV107" s="2424"/>
      <c r="CW107" s="2424"/>
      <c r="CX107" s="2424"/>
      <c r="CY107" s="2424"/>
      <c r="CZ107" s="2424"/>
      <c r="DA107" s="2424"/>
      <c r="DB107" s="2424"/>
      <c r="DC107" s="2424"/>
      <c r="DD107" s="2424"/>
      <c r="DE107" s="2424"/>
      <c r="DF107" s="2424"/>
      <c r="DG107" s="2424"/>
      <c r="DH107" s="2424"/>
      <c r="DI107" s="2424"/>
      <c r="DJ107" s="2424"/>
      <c r="DK107" s="2424"/>
      <c r="DL107" s="2424"/>
      <c r="DM107" s="2424"/>
      <c r="DN107" s="2424"/>
      <c r="DO107" s="2424"/>
      <c r="DP107" s="2424"/>
      <c r="DQ107" s="2424"/>
      <c r="DR107" s="2424"/>
      <c r="DS107" s="2424"/>
      <c r="DT107" s="2424"/>
      <c r="DU107" s="2424"/>
      <c r="DV107" s="2424"/>
      <c r="DW107" s="2423"/>
      <c r="DX107" s="2424"/>
      <c r="DY107" s="2424"/>
      <c r="DZ107" s="2424"/>
      <c r="EA107" s="2424"/>
      <c r="EB107" s="2424"/>
      <c r="EC107" s="2424"/>
      <c r="ED107" s="2424"/>
      <c r="EE107" s="2424"/>
      <c r="EF107" s="2424"/>
      <c r="EG107" s="2424"/>
      <c r="EH107" s="2424"/>
      <c r="EI107" s="2424"/>
      <c r="EJ107" s="2424"/>
      <c r="EK107" s="2424"/>
      <c r="EL107" s="2424"/>
      <c r="EM107" s="2423"/>
      <c r="EN107" s="2423"/>
      <c r="EO107" s="2505"/>
      <c r="EP107" s="2423"/>
      <c r="EQ107" s="2424"/>
      <c r="ER107" s="2424"/>
      <c r="ES107" s="2424"/>
      <c r="ET107" s="2424"/>
      <c r="EU107" s="2424"/>
      <c r="EV107" s="2505"/>
      <c r="EW107" s="2424"/>
      <c r="EX107" s="2424"/>
      <c r="EY107" s="2424"/>
      <c r="EZ107" s="2424"/>
      <c r="FA107" s="2424"/>
      <c r="FB107" s="2424"/>
      <c r="FC107" s="2424"/>
      <c r="FD107" s="2424"/>
      <c r="FE107" s="2424"/>
      <c r="FF107" s="2424"/>
      <c r="FG107" s="2424"/>
      <c r="FH107" s="2424"/>
      <c r="FI107" s="2424"/>
      <c r="FJ107" s="2424"/>
      <c r="FK107" s="2424"/>
      <c r="FL107" s="2424"/>
      <c r="FM107" s="2424"/>
      <c r="FN107" s="2424"/>
      <c r="FO107" s="2424"/>
      <c r="FP107" s="2424"/>
      <c r="FQ107" s="2423">
        <v>892</v>
      </c>
      <c r="FR107" s="2424"/>
      <c r="FS107" s="2424"/>
      <c r="FT107" s="2424"/>
      <c r="FU107" s="2424"/>
      <c r="FV107" s="2424"/>
      <c r="FW107" s="2424"/>
      <c r="FX107" s="2423">
        <v>7800</v>
      </c>
      <c r="FY107" s="2424"/>
      <c r="FZ107" s="2424"/>
      <c r="GA107" s="2424"/>
      <c r="GB107" s="2424"/>
      <c r="GC107" s="2424"/>
      <c r="GD107" s="2424"/>
      <c r="GE107" s="2424"/>
      <c r="GF107" s="2424"/>
      <c r="GG107" s="2424"/>
      <c r="GH107" s="2423"/>
      <c r="GI107" s="2423"/>
      <c r="GJ107" s="2423"/>
      <c r="GK107" s="2424"/>
      <c r="GL107" s="2424"/>
      <c r="GM107" s="2424"/>
      <c r="GN107" s="2424"/>
      <c r="GO107" s="2424"/>
      <c r="GP107" s="2424"/>
      <c r="GQ107" s="2424"/>
      <c r="GR107" s="2424"/>
      <c r="GS107" s="2423"/>
      <c r="GT107" s="2423">
        <v>7800</v>
      </c>
      <c r="GU107" s="2423">
        <v>892</v>
      </c>
      <c r="GV107" s="2424"/>
      <c r="GW107" s="2424"/>
      <c r="GX107" s="2423"/>
      <c r="GY107" s="2424"/>
      <c r="GZ107" s="2423"/>
      <c r="HA107" s="2423"/>
      <c r="HB107" s="2424"/>
      <c r="HC107" s="2424"/>
      <c r="HD107" s="2424"/>
      <c r="HE107" s="2424"/>
      <c r="HF107" s="2423"/>
      <c r="HG107" s="2423"/>
      <c r="HH107" s="2424"/>
      <c r="HI107" s="2424"/>
      <c r="HJ107" s="2424"/>
      <c r="HK107" s="2424"/>
      <c r="HL107" s="2424"/>
      <c r="HM107" s="2424"/>
      <c r="HN107" s="2424"/>
      <c r="HO107" s="2424"/>
      <c r="HP107" s="2424"/>
      <c r="HQ107" s="2424"/>
      <c r="HR107" s="2424"/>
      <c r="HS107" s="2424"/>
      <c r="HT107" s="2424"/>
      <c r="HU107" s="2424"/>
      <c r="HV107" s="2424"/>
      <c r="HW107" s="2424"/>
      <c r="HX107" s="2424"/>
      <c r="HY107" s="2424"/>
      <c r="HZ107" s="2424"/>
      <c r="IA107" s="2424"/>
      <c r="IB107" s="2424"/>
      <c r="IC107" s="2424"/>
      <c r="ID107" s="2424"/>
      <c r="IE107" s="2424"/>
      <c r="IF107" s="2424"/>
      <c r="IG107" s="2424"/>
      <c r="IH107" s="2424"/>
      <c r="II107" s="2424"/>
      <c r="IJ107" s="2424"/>
      <c r="IK107" s="2424"/>
      <c r="IL107" s="2424"/>
      <c r="IM107" s="2424"/>
      <c r="IN107" s="2424"/>
      <c r="IO107" s="2424"/>
      <c r="IP107" s="2424"/>
      <c r="IQ107" s="2424"/>
      <c r="IR107" s="2424"/>
      <c r="IS107" s="2424"/>
      <c r="IT107" s="2424"/>
      <c r="IU107" s="2424"/>
      <c r="IV107" s="2424"/>
      <c r="IW107" s="2424"/>
      <c r="IX107" s="2424"/>
      <c r="IY107" s="2424"/>
      <c r="IZ107" s="2424"/>
      <c r="JA107" s="2424"/>
      <c r="JB107" s="2424"/>
      <c r="JC107" s="2424"/>
      <c r="JD107" s="2424"/>
      <c r="JE107" s="2424"/>
      <c r="JF107" s="2424"/>
      <c r="JG107" s="3767"/>
      <c r="JH107" s="1233"/>
      <c r="JI107" s="1393"/>
    </row>
    <row r="108" spans="1:269" x14ac:dyDescent="0.2">
      <c r="A108" s="1128">
        <v>22</v>
      </c>
      <c r="B108" s="1375" t="str">
        <f ref="B108:B113" si="10" t="shared">IF(AIL_IND&gt;1,IF(HLOOKUP(AIL_IND-1,AIL_RANGE,A108)="","",HLOOKUP(AIL_IND-1,AIL_RANGE,A108)),"")</f>
        <v/>
      </c>
      <c r="C108" s="2268" t="s">
        <v>3213</v>
      </c>
      <c r="D108" s="2403" t="s">
        <v>4937</v>
      </c>
      <c r="E108" s="2456"/>
      <c r="F108" s="2456"/>
      <c r="G108" s="2456"/>
      <c r="H108" s="2457"/>
      <c r="I108" s="2457"/>
      <c r="J108" s="2456"/>
      <c r="K108" s="2456"/>
      <c r="L108" s="2456"/>
      <c r="M108" s="2456"/>
      <c r="N108" s="2456"/>
      <c r="O108" s="2456"/>
      <c r="P108" s="2456"/>
      <c r="Q108" s="2456"/>
      <c r="R108" s="2456"/>
      <c r="S108" s="2456"/>
      <c r="T108" s="2456"/>
      <c r="U108" s="2456"/>
      <c r="V108" s="2456"/>
      <c r="W108" s="2456"/>
      <c r="X108" s="2456"/>
      <c r="Y108" s="2456"/>
      <c r="Z108" s="2456"/>
      <c r="AA108" s="2456"/>
      <c r="AB108" s="2456"/>
      <c r="AC108" s="2456"/>
      <c r="AD108" s="2456"/>
      <c r="AE108" s="2456"/>
      <c r="AF108" s="2456"/>
      <c r="AG108" s="2456"/>
      <c r="AH108" s="2456"/>
      <c r="AI108" s="2456"/>
      <c r="AJ108" s="2456"/>
      <c r="AK108" s="2456"/>
      <c r="AL108" s="2456"/>
      <c r="AM108" s="2456"/>
      <c r="AN108" s="2456"/>
      <c r="AO108" s="2456"/>
      <c r="AP108" s="2456"/>
      <c r="AQ108" s="2456"/>
      <c r="AR108" s="2456"/>
      <c r="AS108" s="2456"/>
      <c r="AT108" s="2456"/>
      <c r="AU108" s="2456"/>
      <c r="AV108" s="2456"/>
      <c r="AW108" s="2456"/>
      <c r="AX108" s="2456"/>
      <c r="AY108" s="2456"/>
      <c r="AZ108" s="2456"/>
      <c r="BA108" s="2456"/>
      <c r="BB108" s="2456"/>
      <c r="BC108" s="2456"/>
      <c r="BD108" s="2456"/>
      <c r="BE108" s="2456"/>
      <c r="BF108" s="2456"/>
      <c r="BG108" s="2456"/>
      <c r="BH108" s="2456"/>
      <c r="BI108" s="2456"/>
      <c r="BJ108" s="2456"/>
      <c r="BK108" s="2456"/>
      <c r="BL108" s="2456"/>
      <c r="BM108" s="2456"/>
      <c r="BN108" s="2456"/>
      <c r="BO108" s="2456"/>
      <c r="BP108" s="2456"/>
      <c r="BQ108" s="2456"/>
      <c r="BR108" s="2456"/>
      <c r="BS108" s="2456"/>
      <c r="BT108" s="2456"/>
      <c r="BU108" s="2456"/>
      <c r="BV108" s="2456"/>
      <c r="BW108" s="2456"/>
      <c r="BX108" s="2456"/>
      <c r="BY108" s="2456"/>
      <c r="BZ108" s="2456"/>
      <c r="CA108" s="2456"/>
      <c r="CB108" s="2823"/>
      <c r="CC108" s="2823"/>
      <c r="CD108" s="2823"/>
      <c r="CE108" s="2823"/>
      <c r="CF108" s="2823"/>
      <c r="CG108" s="2823"/>
      <c r="CH108" s="2823"/>
      <c r="CI108" s="2823"/>
      <c r="CJ108" s="2823"/>
      <c r="CK108" s="2823"/>
      <c r="CL108" s="2823"/>
      <c r="CM108" s="2823"/>
      <c r="CN108" s="2457"/>
      <c r="CO108" s="2823"/>
      <c r="CP108" s="2823"/>
      <c r="CQ108" s="2456"/>
      <c r="CR108" s="2823"/>
      <c r="CS108" s="2823"/>
      <c r="CT108" s="2823"/>
      <c r="CU108" s="2823"/>
      <c r="CV108" s="2823"/>
      <c r="CW108" s="2823"/>
      <c r="CX108" s="2823"/>
      <c r="CY108" s="2823"/>
      <c r="CZ108" s="2823"/>
      <c r="DA108" s="2823"/>
      <c r="DB108" s="2823"/>
      <c r="DC108" s="2823"/>
      <c r="DD108" s="2823"/>
      <c r="DE108" s="2823"/>
      <c r="DF108" s="2823"/>
      <c r="DG108" s="2823"/>
      <c r="DH108" s="2823"/>
      <c r="DI108" s="2823"/>
      <c r="DJ108" s="2823"/>
      <c r="DK108" s="2823"/>
      <c r="DL108" s="2823"/>
      <c r="DM108" s="2823"/>
      <c r="DN108" s="2823"/>
      <c r="DO108" s="2823"/>
      <c r="DP108" s="2823"/>
      <c r="DQ108" s="2823"/>
      <c r="DR108" s="2823"/>
      <c r="DS108" s="2823"/>
      <c r="DT108" s="2823"/>
      <c r="DU108" s="2823"/>
      <c r="DV108" s="2823"/>
      <c r="DW108" s="2456"/>
      <c r="DX108" s="2823"/>
      <c r="DY108" s="2823"/>
      <c r="DZ108" s="2823"/>
      <c r="EA108" s="2823"/>
      <c r="EB108" s="2823"/>
      <c r="EC108" s="2823"/>
      <c r="ED108" s="2823"/>
      <c r="EE108" s="2823"/>
      <c r="EF108" s="2823"/>
      <c r="EG108" s="2823"/>
      <c r="EH108" s="2823"/>
      <c r="EI108" s="2823"/>
      <c r="EJ108" s="2823"/>
      <c r="EK108" s="2823"/>
      <c r="EL108" s="2823"/>
      <c r="EM108" s="2456"/>
      <c r="EN108" s="2456"/>
      <c r="EO108" s="2456"/>
      <c r="EP108" s="2456"/>
      <c r="EQ108" s="2823"/>
      <c r="ER108" s="2823"/>
      <c r="ES108" s="2823"/>
      <c r="ET108" s="2823"/>
      <c r="EU108" s="2823"/>
      <c r="EV108" s="2456"/>
      <c r="EW108" s="2823"/>
      <c r="EX108" s="2823"/>
      <c r="EY108" s="2823"/>
      <c r="EZ108" s="2823"/>
      <c r="FA108" s="2823"/>
      <c r="FB108" s="2823"/>
      <c r="FC108" s="2823"/>
      <c r="FD108" s="2823"/>
      <c r="FE108" s="2823"/>
      <c r="FF108" s="2823"/>
      <c r="FG108" s="2823"/>
      <c r="FH108" s="2823"/>
      <c r="FI108" s="2823"/>
      <c r="FJ108" s="2823"/>
      <c r="FK108" s="2823"/>
      <c r="FL108" s="2823"/>
      <c r="FM108" s="2823"/>
      <c r="FN108" s="2823"/>
      <c r="FO108" s="2823"/>
      <c r="FP108" s="2823"/>
      <c r="FQ108" s="2457"/>
      <c r="FR108" s="2823"/>
      <c r="FS108" s="2823"/>
      <c r="FT108" s="2823"/>
      <c r="FU108" s="2823"/>
      <c r="FV108" s="2823"/>
      <c r="FW108" s="2823"/>
      <c r="FX108" s="2457"/>
      <c r="FY108" s="2823"/>
      <c r="FZ108" s="2823"/>
      <c r="GA108" s="2823"/>
      <c r="GB108" s="2823"/>
      <c r="GC108" s="2823"/>
      <c r="GD108" s="2823"/>
      <c r="GE108" s="2823"/>
      <c r="GF108" s="2823"/>
      <c r="GG108" s="2823"/>
      <c r="GH108" s="2456"/>
      <c r="GI108" s="2456"/>
      <c r="GJ108" s="2456"/>
      <c r="GK108" s="2823"/>
      <c r="GL108" s="2823"/>
      <c r="GM108" s="2823"/>
      <c r="GN108" s="2823"/>
      <c r="GO108" s="2823"/>
      <c r="GP108" s="2823"/>
      <c r="GQ108" s="2823"/>
      <c r="GR108" s="2823"/>
      <c r="GS108" s="2456"/>
      <c r="GT108" s="2457"/>
      <c r="GU108" s="2457"/>
      <c r="GV108" s="2823"/>
      <c r="GW108" s="2823"/>
      <c r="GX108" s="2456"/>
      <c r="GY108" s="2823"/>
      <c r="GZ108" s="2456"/>
      <c r="HA108" s="2456"/>
      <c r="HB108" s="2823"/>
      <c r="HC108" s="2823"/>
      <c r="HD108" s="2823"/>
      <c r="HE108" s="2823"/>
      <c r="HF108" s="2456"/>
      <c r="HG108" s="2456"/>
      <c r="HH108" s="2823"/>
      <c r="HI108" s="2823"/>
      <c r="HJ108" s="2823"/>
      <c r="HK108" s="2823"/>
      <c r="HL108" s="2823"/>
      <c r="HM108" s="2823"/>
      <c r="HN108" s="2823"/>
      <c r="HO108" s="2823"/>
      <c r="HP108" s="2823"/>
      <c r="HQ108" s="2823"/>
      <c r="HR108" s="2823"/>
      <c r="HS108" s="2823"/>
      <c r="HT108" s="2823"/>
      <c r="HU108" s="2823"/>
      <c r="HV108" s="2823"/>
      <c r="HW108" s="2823"/>
      <c r="HX108" s="2823"/>
      <c r="HY108" s="2823"/>
      <c r="HZ108" s="2823"/>
      <c r="IA108" s="2823"/>
      <c r="IB108" s="2823"/>
      <c r="IC108" s="2823"/>
      <c r="ID108" s="2823"/>
      <c r="IE108" s="2823"/>
      <c r="IF108" s="2823"/>
      <c r="IG108" s="2823"/>
      <c r="IH108" s="2823"/>
      <c r="II108" s="2823"/>
      <c r="IJ108" s="2823"/>
      <c r="IK108" s="2823"/>
      <c r="IL108" s="2823"/>
      <c r="IM108" s="2823"/>
      <c r="IN108" s="2823"/>
      <c r="IO108" s="2823"/>
      <c r="IP108" s="2823"/>
      <c r="IQ108" s="2823"/>
      <c r="IR108" s="2823"/>
      <c r="IS108" s="2823"/>
      <c r="IT108" s="2823"/>
      <c r="IU108" s="2823"/>
      <c r="IV108" s="2823"/>
      <c r="IW108" s="2823"/>
      <c r="IX108" s="2823"/>
      <c r="IY108" s="2823"/>
      <c r="IZ108" s="2823"/>
      <c r="JA108" s="2823"/>
      <c r="JB108" s="2823"/>
      <c r="JC108" s="2823"/>
      <c r="JD108" s="2823"/>
      <c r="JE108" s="2823"/>
      <c r="JF108" s="2823"/>
      <c r="JG108" s="3779"/>
      <c r="JH108" s="1233"/>
      <c r="JI108" s="1393" t="s">
        <v>5431</v>
      </c>
    </row>
    <row r="109" spans="1:269" x14ac:dyDescent="0.2">
      <c r="A109" s="1128">
        <v>23</v>
      </c>
      <c r="B109" s="1375" t="str">
        <f si="10" t="shared"/>
        <v/>
      </c>
      <c r="C109" s="2268" t="s">
        <v>2041</v>
      </c>
      <c r="D109" s="2403" t="str">
        <f>"The tax year in which the expected advantage arises, for example, "&amp;last_year&amp;" YYYY YY"</f>
        <v>The tax year in which the expected advantage arises, for example, 2018-19 YYYY YY</v>
      </c>
      <c r="E109" s="2456"/>
      <c r="F109" s="2458"/>
      <c r="G109" s="2458"/>
      <c r="H109" s="2458"/>
      <c r="I109" s="2458"/>
      <c r="J109" s="2458"/>
      <c r="K109" s="2458"/>
      <c r="L109" s="2458"/>
      <c r="M109" s="2458"/>
      <c r="N109" s="2458"/>
      <c r="O109" s="2458"/>
      <c r="P109" s="2458"/>
      <c r="Q109" s="2458"/>
      <c r="R109" s="2458"/>
      <c r="S109" s="2458"/>
      <c r="T109" s="2458"/>
      <c r="U109" s="2458"/>
      <c r="V109" s="2458"/>
      <c r="W109" s="2458"/>
      <c r="X109" s="2458"/>
      <c r="Y109" s="2458"/>
      <c r="Z109" s="2458"/>
      <c r="AA109" s="2458"/>
      <c r="AB109" s="2458"/>
      <c r="AC109" s="2458"/>
      <c r="AD109" s="2458"/>
      <c r="AE109" s="2458"/>
      <c r="AF109" s="2458"/>
      <c r="AG109" s="2458"/>
      <c r="AH109" s="2458"/>
      <c r="AI109" s="2458"/>
      <c r="AJ109" s="2458"/>
      <c r="AK109" s="2458"/>
      <c r="AL109" s="2458"/>
      <c r="AM109" s="2458"/>
      <c r="AN109" s="2458"/>
      <c r="AO109" s="2458"/>
      <c r="AP109" s="2458"/>
      <c r="AQ109" s="2458"/>
      <c r="AR109" s="2458"/>
      <c r="AS109" s="2458"/>
      <c r="AT109" s="2458"/>
      <c r="AU109" s="2458"/>
      <c r="AV109" s="2458"/>
      <c r="AW109" s="2458"/>
      <c r="AX109" s="2458"/>
      <c r="AY109" s="2458"/>
      <c r="AZ109" s="2458"/>
      <c r="BA109" s="2458"/>
      <c r="BB109" s="2458"/>
      <c r="BC109" s="2458"/>
      <c r="BD109" s="2458"/>
      <c r="BE109" s="2458"/>
      <c r="BF109" s="2458"/>
      <c r="BG109" s="2458"/>
      <c r="BH109" s="2458"/>
      <c r="BI109" s="2458"/>
      <c r="BJ109" s="2458"/>
      <c r="BK109" s="2458"/>
      <c r="BL109" s="2458"/>
      <c r="BM109" s="2458"/>
      <c r="BN109" s="2458"/>
      <c r="BO109" s="2458"/>
      <c r="BP109" s="2458"/>
      <c r="BQ109" s="2458"/>
      <c r="BR109" s="2458"/>
      <c r="BS109" s="2458"/>
      <c r="BT109" s="2458"/>
      <c r="BU109" s="2458"/>
      <c r="BV109" s="2458"/>
      <c r="BW109" s="2458"/>
      <c r="BX109" s="2458"/>
      <c r="BY109" s="2458"/>
      <c r="BZ109" s="2458"/>
      <c r="CA109" s="2458"/>
      <c r="CB109" s="2824"/>
      <c r="CC109" s="2824"/>
      <c r="CD109" s="2824"/>
      <c r="CE109" s="2824"/>
      <c r="CF109" s="2824"/>
      <c r="CG109" s="2824"/>
      <c r="CH109" s="2824"/>
      <c r="CI109" s="2824"/>
      <c r="CJ109" s="2824"/>
      <c r="CK109" s="2824"/>
      <c r="CL109" s="2824"/>
      <c r="CM109" s="2824"/>
      <c r="CN109" s="2458"/>
      <c r="CO109" s="2824"/>
      <c r="CP109" s="2824"/>
      <c r="CQ109" s="2458"/>
      <c r="CR109" s="2824"/>
      <c r="CS109" s="2824"/>
      <c r="CT109" s="2824"/>
      <c r="CU109" s="2824"/>
      <c r="CV109" s="2824"/>
      <c r="CW109" s="2824"/>
      <c r="CX109" s="2824"/>
      <c r="CY109" s="2824"/>
      <c r="CZ109" s="2824"/>
      <c r="DA109" s="2824"/>
      <c r="DB109" s="2824"/>
      <c r="DC109" s="2824"/>
      <c r="DD109" s="2824"/>
      <c r="DE109" s="2824"/>
      <c r="DF109" s="2824"/>
      <c r="DG109" s="2824"/>
      <c r="DH109" s="2824"/>
      <c r="DI109" s="2824"/>
      <c r="DJ109" s="2824"/>
      <c r="DK109" s="2824"/>
      <c r="DL109" s="2824"/>
      <c r="DM109" s="2824"/>
      <c r="DN109" s="2824"/>
      <c r="DO109" s="2824"/>
      <c r="DP109" s="2824"/>
      <c r="DQ109" s="2824"/>
      <c r="DR109" s="2824"/>
      <c r="DS109" s="2824"/>
      <c r="DT109" s="2824"/>
      <c r="DU109" s="2824"/>
      <c r="DV109" s="2824"/>
      <c r="DW109" s="2458"/>
      <c r="DX109" s="2824"/>
      <c r="DY109" s="2824"/>
      <c r="DZ109" s="2824"/>
      <c r="EA109" s="2824"/>
      <c r="EB109" s="2824"/>
      <c r="EC109" s="2824"/>
      <c r="ED109" s="2824"/>
      <c r="EE109" s="2824"/>
      <c r="EF109" s="2824"/>
      <c r="EG109" s="2824"/>
      <c r="EH109" s="2824"/>
      <c r="EI109" s="2824"/>
      <c r="EJ109" s="2824"/>
      <c r="EK109" s="2824"/>
      <c r="EL109" s="2824"/>
      <c r="EM109" s="2458"/>
      <c r="EN109" s="2458"/>
      <c r="EO109" s="2458"/>
      <c r="EP109" s="2456"/>
      <c r="EQ109" s="2824"/>
      <c r="ER109" s="2824"/>
      <c r="ES109" s="2824"/>
      <c r="ET109" s="2824"/>
      <c r="EU109" s="2824"/>
      <c r="EV109" s="2458"/>
      <c r="EW109" s="2824"/>
      <c r="EX109" s="2824"/>
      <c r="EY109" s="2824"/>
      <c r="EZ109" s="2824"/>
      <c r="FA109" s="2824"/>
      <c r="FB109" s="2824"/>
      <c r="FC109" s="2824"/>
      <c r="FD109" s="2824"/>
      <c r="FE109" s="2824"/>
      <c r="FF109" s="2824"/>
      <c r="FG109" s="2824"/>
      <c r="FH109" s="2824"/>
      <c r="FI109" s="2824"/>
      <c r="FJ109" s="2824"/>
      <c r="FK109" s="2824"/>
      <c r="FL109" s="2824"/>
      <c r="FM109" s="2824"/>
      <c r="FN109" s="2824"/>
      <c r="FO109" s="2824"/>
      <c r="FP109" s="2824"/>
      <c r="FQ109" s="2458"/>
      <c r="FR109" s="2824"/>
      <c r="FS109" s="2824"/>
      <c r="FT109" s="2824"/>
      <c r="FU109" s="2824"/>
      <c r="FV109" s="2824"/>
      <c r="FW109" s="2824"/>
      <c r="FX109" s="2458"/>
      <c r="FY109" s="2824"/>
      <c r="FZ109" s="2824"/>
      <c r="GA109" s="2824"/>
      <c r="GB109" s="2824"/>
      <c r="GC109" s="2824"/>
      <c r="GD109" s="2824"/>
      <c r="GE109" s="2824"/>
      <c r="GF109" s="2824"/>
      <c r="GG109" s="2824"/>
      <c r="GH109" s="2458"/>
      <c r="GI109" s="2456"/>
      <c r="GJ109" s="2458"/>
      <c r="GK109" s="2824"/>
      <c r="GL109" s="2824"/>
      <c r="GM109" s="2824"/>
      <c r="GN109" s="2824"/>
      <c r="GO109" s="2824"/>
      <c r="GP109" s="2824"/>
      <c r="GQ109" s="2824"/>
      <c r="GR109" s="2824"/>
      <c r="GS109" s="2458"/>
      <c r="GT109" s="2458"/>
      <c r="GU109" s="2458"/>
      <c r="GV109" s="2824"/>
      <c r="GW109" s="2824"/>
      <c r="GX109" s="2458"/>
      <c r="GY109" s="2824"/>
      <c r="GZ109" s="2458"/>
      <c r="HA109" s="2458"/>
      <c r="HB109" s="2824"/>
      <c r="HC109" s="2824"/>
      <c r="HD109" s="2824"/>
      <c r="HE109" s="2824"/>
      <c r="HF109" s="2458"/>
      <c r="HG109" s="2458"/>
      <c r="HH109" s="2824"/>
      <c r="HI109" s="2824"/>
      <c r="HJ109" s="2824"/>
      <c r="HK109" s="2824"/>
      <c r="HL109" s="2824"/>
      <c r="HM109" s="2824"/>
      <c r="HN109" s="2824"/>
      <c r="HO109" s="2824"/>
      <c r="HP109" s="2824"/>
      <c r="HQ109" s="2824"/>
      <c r="HR109" s="2824"/>
      <c r="HS109" s="2824"/>
      <c r="HT109" s="2824"/>
      <c r="HU109" s="2824"/>
      <c r="HV109" s="2824"/>
      <c r="HW109" s="2824"/>
      <c r="HX109" s="2824"/>
      <c r="HY109" s="2824"/>
      <c r="HZ109" s="2824"/>
      <c r="IA109" s="2824"/>
      <c r="IB109" s="2824"/>
      <c r="IC109" s="2824"/>
      <c r="ID109" s="2824"/>
      <c r="IE109" s="2824"/>
      <c r="IF109" s="2824"/>
      <c r="IG109" s="2824"/>
      <c r="IH109" s="2824"/>
      <c r="II109" s="2824"/>
      <c r="IJ109" s="2824"/>
      <c r="IK109" s="2824"/>
      <c r="IL109" s="2824"/>
      <c r="IM109" s="2824"/>
      <c r="IN109" s="2824"/>
      <c r="IO109" s="2824"/>
      <c r="IP109" s="2824"/>
      <c r="IQ109" s="2824"/>
      <c r="IR109" s="2824"/>
      <c r="IS109" s="2824"/>
      <c r="IT109" s="2824"/>
      <c r="IU109" s="2824"/>
      <c r="IV109" s="2824"/>
      <c r="IW109" s="2824"/>
      <c r="IX109" s="2824"/>
      <c r="IY109" s="2824"/>
      <c r="IZ109" s="2824"/>
      <c r="JA109" s="2824"/>
      <c r="JB109" s="2824"/>
      <c r="JC109" s="2824"/>
      <c r="JD109" s="2824"/>
      <c r="JE109" s="2824"/>
      <c r="JF109" s="2824"/>
      <c r="JG109" s="3780"/>
      <c r="JH109" s="1233"/>
      <c r="JI109" s="1393" t="s">
        <v>5432</v>
      </c>
    </row>
    <row ht="22.5" r="110" spans="1:269" x14ac:dyDescent="0.2">
      <c r="A110" s="1128">
        <v>24</v>
      </c>
      <c r="B110" s="1375" t="str">
        <f si="10" t="shared"/>
        <v/>
      </c>
      <c r="C110" s="2268" t="s">
        <v>2042</v>
      </c>
      <c r="D110" s="2403" t="s">
        <v>6888</v>
      </c>
      <c r="E110" s="2399"/>
      <c r="F110" s="2399"/>
      <c r="G110" s="2399"/>
      <c r="H110" s="2399"/>
      <c r="I110" s="2399"/>
      <c r="J110" s="2399"/>
      <c r="K110" s="2399"/>
      <c r="L110" s="2399"/>
      <c r="M110" s="2399"/>
      <c r="N110" s="2399"/>
      <c r="O110" s="2399"/>
      <c r="P110" s="2399"/>
      <c r="Q110" s="2399"/>
      <c r="R110" s="2399"/>
      <c r="S110" s="2399"/>
      <c r="T110" s="2399"/>
      <c r="U110" s="2399"/>
      <c r="V110" s="2399"/>
      <c r="W110" s="2399"/>
      <c r="X110" s="2399"/>
      <c r="Y110" s="2399"/>
      <c r="Z110" s="2399"/>
      <c r="AA110" s="2399"/>
      <c r="AB110" s="2399"/>
      <c r="AC110" s="2399"/>
      <c r="AD110" s="2399"/>
      <c r="AE110" s="2399"/>
      <c r="AF110" s="2399"/>
      <c r="AG110" s="2399"/>
      <c r="AH110" s="2399"/>
      <c r="AI110" s="2399"/>
      <c r="AJ110" s="2399"/>
      <c r="AK110" s="2399"/>
      <c r="AL110" s="2399"/>
      <c r="AM110" s="2399"/>
      <c r="AN110" s="2399"/>
      <c r="AO110" s="2399"/>
      <c r="AP110" s="2399"/>
      <c r="AQ110" s="2399"/>
      <c r="AR110" s="2399"/>
      <c r="AS110" s="2399"/>
      <c r="AT110" s="2399"/>
      <c r="AU110" s="2399"/>
      <c r="AV110" s="2399"/>
      <c r="AW110" s="2399"/>
      <c r="AX110" s="2399"/>
      <c r="AY110" s="2399"/>
      <c r="AZ110" s="2399"/>
      <c r="BA110" s="2399"/>
      <c r="BB110" s="2399"/>
      <c r="BC110" s="2399"/>
      <c r="BD110" s="2399"/>
      <c r="BE110" s="2399"/>
      <c r="BF110" s="2399"/>
      <c r="BG110" s="2399"/>
      <c r="BH110" s="2399"/>
      <c r="BI110" s="2399"/>
      <c r="BJ110" s="2399"/>
      <c r="BK110" s="2399"/>
      <c r="BL110" s="2399"/>
      <c r="BM110" s="2399"/>
      <c r="BN110" s="2399"/>
      <c r="BO110" s="2399"/>
      <c r="BP110" s="2399"/>
      <c r="BQ110" s="2399"/>
      <c r="BR110" s="2399"/>
      <c r="BS110" s="2399"/>
      <c r="BT110" s="2399"/>
      <c r="BU110" s="2399"/>
      <c r="BV110" s="2399"/>
      <c r="BW110" s="2399"/>
      <c r="BX110" s="2399"/>
      <c r="BY110" s="2399"/>
      <c r="BZ110" s="2399"/>
      <c r="CA110" s="2399"/>
      <c r="CB110" s="3083"/>
      <c r="CC110" s="3083"/>
      <c r="CD110" s="3083"/>
      <c r="CE110" s="3084">
        <v>50000</v>
      </c>
      <c r="CF110" s="3083"/>
      <c r="CG110" s="3083"/>
      <c r="CH110" s="3083"/>
      <c r="CI110" s="3083"/>
      <c r="CJ110" s="3083"/>
      <c r="CK110" s="3083"/>
      <c r="CL110" s="3083"/>
      <c r="CM110" s="3083"/>
      <c r="CN110" s="2399"/>
      <c r="CO110" s="3083"/>
      <c r="CP110" s="3083"/>
      <c r="CQ110" s="2399"/>
      <c r="CR110" s="3083"/>
      <c r="CS110" s="3083"/>
      <c r="CT110" s="3083"/>
      <c r="CU110" s="3083"/>
      <c r="CV110" s="3083"/>
      <c r="CW110" s="3083"/>
      <c r="CX110" s="3083"/>
      <c r="CY110" s="3083"/>
      <c r="CZ110" s="3083"/>
      <c r="DA110" s="3083"/>
      <c r="DB110" s="3083"/>
      <c r="DC110" s="3083"/>
      <c r="DD110" s="3083"/>
      <c r="DE110" s="3083"/>
      <c r="DF110" s="3083"/>
      <c r="DG110" s="3083"/>
      <c r="DH110" s="3083"/>
      <c r="DI110" s="3083"/>
      <c r="DJ110" s="3083"/>
      <c r="DK110" s="3083"/>
      <c r="DL110" s="3083"/>
      <c r="DM110" s="3083"/>
      <c r="DN110" s="3083"/>
      <c r="DO110" s="3083"/>
      <c r="DP110" s="3083"/>
      <c r="DQ110" s="3083"/>
      <c r="DR110" s="3083"/>
      <c r="DS110" s="3083"/>
      <c r="DT110" s="3083"/>
      <c r="DU110" s="3083"/>
      <c r="DV110" s="3083"/>
      <c r="DW110" s="2399"/>
      <c r="DX110" s="3083"/>
      <c r="DY110" s="3083"/>
      <c r="DZ110" s="3083"/>
      <c r="EA110" s="3083"/>
      <c r="EB110" s="3083"/>
      <c r="EC110" s="3083"/>
      <c r="ED110" s="3083"/>
      <c r="EE110" s="3083"/>
      <c r="EF110" s="3083"/>
      <c r="EG110" s="3083"/>
      <c r="EH110" s="3083"/>
      <c r="EI110" s="3083"/>
      <c r="EJ110" s="3083"/>
      <c r="EK110" s="3083"/>
      <c r="EL110" s="3083"/>
      <c r="EM110" s="2399"/>
      <c r="EN110" s="2399"/>
      <c r="EO110" s="2399"/>
      <c r="EP110" s="2399"/>
      <c r="EQ110" s="3083"/>
      <c r="ER110" s="3083"/>
      <c r="ES110" s="3083"/>
      <c r="ET110" s="3083"/>
      <c r="EU110" s="3083"/>
      <c r="EV110" s="2399"/>
      <c r="EW110" s="3083"/>
      <c r="EX110" s="3083"/>
      <c r="EY110" s="3083"/>
      <c r="EZ110" s="3083"/>
      <c r="FA110" s="3083"/>
      <c r="FB110" s="3083"/>
      <c r="FC110" s="3083"/>
      <c r="FD110" s="3083"/>
      <c r="FE110" s="3083"/>
      <c r="FF110" s="3083"/>
      <c r="FG110" s="3083"/>
      <c r="FH110" s="3083"/>
      <c r="FI110" s="3083"/>
      <c r="FJ110" s="3083"/>
      <c r="FK110" s="3083"/>
      <c r="FL110" s="3083"/>
      <c r="FM110" s="3083"/>
      <c r="FN110" s="3083"/>
      <c r="FO110" s="3083"/>
      <c r="FP110" s="3083"/>
      <c r="FQ110" s="2399"/>
      <c r="FR110" s="3083"/>
      <c r="FS110" s="3083"/>
      <c r="FT110" s="3083"/>
      <c r="FU110" s="3083"/>
      <c r="FV110" s="3083"/>
      <c r="FW110" s="3083"/>
      <c r="FX110" s="2399"/>
      <c r="FY110" s="3083"/>
      <c r="FZ110" s="3083"/>
      <c r="GA110" s="3083"/>
      <c r="GB110" s="3083"/>
      <c r="GC110" s="3083"/>
      <c r="GD110" s="3083"/>
      <c r="GE110" s="3083"/>
      <c r="GF110" s="3083"/>
      <c r="GG110" s="3083"/>
      <c r="GH110" s="2399"/>
      <c r="GI110" s="2399"/>
      <c r="GJ110" s="2399"/>
      <c r="GK110" s="3083"/>
      <c r="GL110" s="3083"/>
      <c r="GM110" s="3083"/>
      <c r="GN110" s="3083"/>
      <c r="GO110" s="3083"/>
      <c r="GP110" s="3083"/>
      <c r="GQ110" s="3083"/>
      <c r="GR110" s="3083"/>
      <c r="GS110" s="2399"/>
      <c r="GT110" s="2399"/>
      <c r="GU110" s="2399"/>
      <c r="GV110" s="3083"/>
      <c r="GW110" s="3083"/>
      <c r="GX110" s="2399"/>
      <c r="GY110" s="3083"/>
      <c r="GZ110" s="2399"/>
      <c r="HA110" s="2399"/>
      <c r="HB110" s="3083"/>
      <c r="HC110" s="3083"/>
      <c r="HD110" s="3083"/>
      <c r="HE110" s="3083"/>
      <c r="HF110" s="2399"/>
      <c r="HG110" s="2399"/>
      <c r="HH110" s="3083"/>
      <c r="HI110" s="3083"/>
      <c r="HJ110" s="3083"/>
      <c r="HK110" s="3083"/>
      <c r="HL110" s="3083"/>
      <c r="HM110" s="3083"/>
      <c r="HN110" s="3083"/>
      <c r="HO110" s="3083"/>
      <c r="HP110" s="3083"/>
      <c r="HQ110" s="3083"/>
      <c r="HR110" s="3083"/>
      <c r="HS110" s="3083"/>
      <c r="HT110" s="3083"/>
      <c r="HU110" s="3083"/>
      <c r="HV110" s="3083"/>
      <c r="HW110" s="3083"/>
      <c r="HX110" s="3083"/>
      <c r="HY110" s="3083"/>
      <c r="HZ110" s="3083"/>
      <c r="IA110" s="3083"/>
      <c r="IB110" s="3083"/>
      <c r="IC110" s="3083"/>
      <c r="ID110" s="3083"/>
      <c r="IE110" s="3083"/>
      <c r="IF110" s="3083"/>
      <c r="IG110" s="3083"/>
      <c r="IH110" s="3083"/>
      <c r="II110" s="3083"/>
      <c r="IJ110" s="3083"/>
      <c r="IK110" s="3083"/>
      <c r="IL110" s="3083"/>
      <c r="IM110" s="3083"/>
      <c r="IN110" s="3083"/>
      <c r="IO110" s="3083"/>
      <c r="IP110" s="3083"/>
      <c r="IQ110" s="3083"/>
      <c r="IR110" s="3083"/>
      <c r="IS110" s="3083"/>
      <c r="IT110" s="3083"/>
      <c r="IU110" s="3083"/>
      <c r="IV110" s="3083"/>
      <c r="IW110" s="3083"/>
      <c r="IX110" s="3083"/>
      <c r="IY110" s="3083"/>
      <c r="IZ110" s="3083"/>
      <c r="JA110" s="3083"/>
      <c r="JB110" s="3083"/>
      <c r="JC110" s="3083"/>
      <c r="JD110" s="3083"/>
      <c r="JE110" s="3083"/>
      <c r="JF110" s="3083"/>
      <c r="JG110" s="3781"/>
      <c r="JH110" s="1523"/>
      <c r="JI110" s="1947" t="s">
        <v>6440</v>
      </c>
    </row>
    <row r="111" spans="1:269" x14ac:dyDescent="0.2">
      <c r="A111" s="1128">
        <v>25</v>
      </c>
      <c r="B111" s="2825" t="str">
        <f si="10" t="shared"/>
        <v/>
      </c>
      <c r="C111" s="2268" t="s">
        <v>3680</v>
      </c>
      <c r="D111" s="2403" t="s">
        <v>6889</v>
      </c>
      <c r="E111" s="2399"/>
      <c r="F111" s="2399"/>
      <c r="G111" s="2399"/>
      <c r="H111" s="2399"/>
      <c r="I111" s="2399"/>
      <c r="J111" s="2399"/>
      <c r="K111" s="2399"/>
      <c r="L111" s="2399"/>
      <c r="M111" s="2399"/>
      <c r="N111" s="2399"/>
      <c r="O111" s="2399"/>
      <c r="P111" s="2399"/>
      <c r="Q111" s="2399"/>
      <c r="R111" s="2399"/>
      <c r="S111" s="2399"/>
      <c r="T111" s="2399"/>
      <c r="U111" s="2399"/>
      <c r="V111" s="2399"/>
      <c r="W111" s="2399"/>
      <c r="X111" s="2399"/>
      <c r="Y111" s="2399"/>
      <c r="Z111" s="2399"/>
      <c r="AA111" s="2399"/>
      <c r="AB111" s="2399"/>
      <c r="AC111" s="2399"/>
      <c r="AD111" s="2399"/>
      <c r="AE111" s="2399"/>
      <c r="AF111" s="2399"/>
      <c r="AG111" s="2399"/>
      <c r="AH111" s="2399"/>
      <c r="AI111" s="2399"/>
      <c r="AJ111" s="2399"/>
      <c r="AK111" s="2399"/>
      <c r="AL111" s="2399"/>
      <c r="AM111" s="2399"/>
      <c r="AN111" s="2399"/>
      <c r="AO111" s="2399"/>
      <c r="AP111" s="2399"/>
      <c r="AQ111" s="2399"/>
      <c r="AR111" s="2399"/>
      <c r="AS111" s="2399"/>
      <c r="AT111" s="2399"/>
      <c r="AU111" s="2399"/>
      <c r="AV111" s="2399"/>
      <c r="AW111" s="2399"/>
      <c r="AX111" s="2399"/>
      <c r="AY111" s="2399"/>
      <c r="AZ111" s="2399"/>
      <c r="BA111" s="2399"/>
      <c r="BB111" s="2399"/>
      <c r="BC111" s="2399"/>
      <c r="BD111" s="2399"/>
      <c r="BE111" s="2399"/>
      <c r="BF111" s="2399"/>
      <c r="BG111" s="2399"/>
      <c r="BH111" s="2399"/>
      <c r="BI111" s="2399"/>
      <c r="BJ111" s="2399"/>
      <c r="BK111" s="2399"/>
      <c r="BL111" s="2399"/>
      <c r="BM111" s="2399"/>
      <c r="BN111" s="2399"/>
      <c r="BO111" s="2399"/>
      <c r="BP111" s="2399"/>
      <c r="BQ111" s="2399"/>
      <c r="BR111" s="2399"/>
      <c r="BS111" s="2399"/>
      <c r="BT111" s="2399"/>
      <c r="BU111" s="2399"/>
      <c r="BV111" s="2399"/>
      <c r="BW111" s="2399"/>
      <c r="BX111" s="2399"/>
      <c r="BY111" s="2399"/>
      <c r="BZ111" s="2399"/>
      <c r="CA111" s="2399"/>
      <c r="CB111" s="3083"/>
      <c r="CC111" s="3083"/>
      <c r="CD111" s="3083"/>
      <c r="CE111" s="3083"/>
      <c r="CF111" s="3083"/>
      <c r="CG111" s="3083"/>
      <c r="CH111" s="3083"/>
      <c r="CI111" s="3083"/>
      <c r="CJ111" s="3083"/>
      <c r="CK111" s="3083"/>
      <c r="CL111" s="3084">
        <v>55000</v>
      </c>
      <c r="CM111" s="3083"/>
      <c r="CN111" s="2399"/>
      <c r="CO111" s="3083"/>
      <c r="CP111" s="3083"/>
      <c r="CQ111" s="2399"/>
      <c r="CR111" s="3083"/>
      <c r="CS111" s="3083"/>
      <c r="CT111" s="3083"/>
      <c r="CU111" s="3083"/>
      <c r="CV111" s="3083"/>
      <c r="CW111" s="3083"/>
      <c r="CX111" s="3083"/>
      <c r="CY111" s="3083"/>
      <c r="CZ111" s="3083"/>
      <c r="DA111" s="3083"/>
      <c r="DB111" s="3083"/>
      <c r="DC111" s="3083"/>
      <c r="DD111" s="3083"/>
      <c r="DE111" s="3083"/>
      <c r="DF111" s="3083"/>
      <c r="DG111" s="3083"/>
      <c r="DH111" s="3083"/>
      <c r="DI111" s="3083"/>
      <c r="DJ111" s="3083"/>
      <c r="DK111" s="3083"/>
      <c r="DL111" s="3083"/>
      <c r="DM111" s="3083"/>
      <c r="DN111" s="3083"/>
      <c r="DO111" s="3083"/>
      <c r="DP111" s="3083"/>
      <c r="DQ111" s="3083"/>
      <c r="DR111" s="3083"/>
      <c r="DS111" s="3083"/>
      <c r="DT111" s="3083"/>
      <c r="DU111" s="3083"/>
      <c r="DV111" s="3083"/>
      <c r="DW111" s="2399"/>
      <c r="DX111" s="3083"/>
      <c r="DY111" s="3083"/>
      <c r="DZ111" s="3083"/>
      <c r="EA111" s="3083"/>
      <c r="EB111" s="3083"/>
      <c r="EC111" s="3083"/>
      <c r="ED111" s="3083"/>
      <c r="EE111" s="3083"/>
      <c r="EF111" s="3083"/>
      <c r="EG111" s="3083"/>
      <c r="EH111" s="3083"/>
      <c r="EI111" s="3083"/>
      <c r="EJ111" s="3083"/>
      <c r="EK111" s="3083"/>
      <c r="EL111" s="3083"/>
      <c r="EM111" s="2399"/>
      <c r="EN111" s="2399"/>
      <c r="EO111" s="2399"/>
      <c r="EP111" s="2399"/>
      <c r="EQ111" s="3083"/>
      <c r="ER111" s="3083"/>
      <c r="ES111" s="3083"/>
      <c r="ET111" s="3083"/>
      <c r="EU111" s="3083"/>
      <c r="EV111" s="2399"/>
      <c r="EW111" s="3083"/>
      <c r="EX111" s="3083"/>
      <c r="EY111" s="3083"/>
      <c r="EZ111" s="3083"/>
      <c r="FA111" s="3083"/>
      <c r="FB111" s="3083"/>
      <c r="FC111" s="3083"/>
      <c r="FD111" s="3083"/>
      <c r="FE111" s="3083"/>
      <c r="FF111" s="3083"/>
      <c r="FG111" s="3083"/>
      <c r="FH111" s="3083"/>
      <c r="FI111" s="3083"/>
      <c r="FJ111" s="3083"/>
      <c r="FK111" s="3083"/>
      <c r="FL111" s="3083"/>
      <c r="FM111" s="3083"/>
      <c r="FN111" s="3083"/>
      <c r="FO111" s="3083"/>
      <c r="FP111" s="3083"/>
      <c r="FQ111" s="2399"/>
      <c r="FR111" s="3083"/>
      <c r="FS111" s="3083"/>
      <c r="FT111" s="3083"/>
      <c r="FU111" s="3083"/>
      <c r="FV111" s="3083"/>
      <c r="FW111" s="3083"/>
      <c r="FX111" s="2399"/>
      <c r="FY111" s="3083"/>
      <c r="FZ111" s="3083"/>
      <c r="GA111" s="3083"/>
      <c r="GB111" s="3083"/>
      <c r="GC111" s="3083"/>
      <c r="GD111" s="3083"/>
      <c r="GE111" s="3083"/>
      <c r="GF111" s="3083"/>
      <c r="GG111" s="3083"/>
      <c r="GH111" s="2399"/>
      <c r="GI111" s="2399"/>
      <c r="GJ111" s="2399"/>
      <c r="GK111" s="3083"/>
      <c r="GL111" s="3083"/>
      <c r="GM111" s="3083"/>
      <c r="GN111" s="3083"/>
      <c r="GO111" s="3083"/>
      <c r="GP111" s="3083"/>
      <c r="GQ111" s="3083"/>
      <c r="GR111" s="3083"/>
      <c r="GS111" s="2399"/>
      <c r="GT111" s="2399"/>
      <c r="GU111" s="2399"/>
      <c r="GV111" s="3083"/>
      <c r="GW111" s="3083"/>
      <c r="GX111" s="2399"/>
      <c r="GY111" s="3083"/>
      <c r="GZ111" s="2399"/>
      <c r="HA111" s="2399"/>
      <c r="HB111" s="3083"/>
      <c r="HC111" s="3083"/>
      <c r="HD111" s="3083"/>
      <c r="HE111" s="3083"/>
      <c r="HF111" s="2399"/>
      <c r="HG111" s="2399"/>
      <c r="HH111" s="3083"/>
      <c r="HI111" s="3083"/>
      <c r="HJ111" s="3083"/>
      <c r="HK111" s="3083"/>
      <c r="HL111" s="3083"/>
      <c r="HM111" s="3083"/>
      <c r="HN111" s="3083"/>
      <c r="HO111" s="3083"/>
      <c r="HP111" s="3083"/>
      <c r="HQ111" s="3083"/>
      <c r="HR111" s="3083"/>
      <c r="HS111" s="3083"/>
      <c r="HT111" s="3083"/>
      <c r="HU111" s="3083"/>
      <c r="HV111" s="3083"/>
      <c r="HW111" s="3083"/>
      <c r="HX111" s="3083"/>
      <c r="HY111" s="3083"/>
      <c r="HZ111" s="3083"/>
      <c r="IA111" s="3083"/>
      <c r="IB111" s="3083"/>
      <c r="IC111" s="3083"/>
      <c r="ID111" s="3083"/>
      <c r="IE111" s="3083"/>
      <c r="IF111" s="3083"/>
      <c r="IG111" s="3083"/>
      <c r="IH111" s="3083"/>
      <c r="II111" s="3083"/>
      <c r="IJ111" s="3083"/>
      <c r="IK111" s="3083"/>
      <c r="IL111" s="3083"/>
      <c r="IM111" s="3083"/>
      <c r="IN111" s="3083"/>
      <c r="IO111" s="3083"/>
      <c r="IP111" s="3083"/>
      <c r="IQ111" s="3083"/>
      <c r="IR111" s="3083"/>
      <c r="IS111" s="3083"/>
      <c r="IT111" s="3083"/>
      <c r="IU111" s="3083"/>
      <c r="IV111" s="3083"/>
      <c r="IW111" s="3083"/>
      <c r="IX111" s="3083"/>
      <c r="IY111" s="3083"/>
      <c r="IZ111" s="3083"/>
      <c r="JA111" s="3083"/>
      <c r="JB111" s="3083"/>
      <c r="JC111" s="3083"/>
      <c r="JD111" s="3083"/>
      <c r="JE111" s="3083"/>
      <c r="JF111" s="3083"/>
      <c r="JG111" s="3782"/>
      <c r="JH111" s="1233"/>
      <c r="JI111" s="1393"/>
    </row>
    <row r="112" spans="1:269" x14ac:dyDescent="0.2">
      <c r="A112" s="1128">
        <v>26</v>
      </c>
      <c r="B112" s="1375" t="str">
        <f si="10" t="shared"/>
        <v/>
      </c>
      <c r="C112" s="3085" t="s">
        <v>3681</v>
      </c>
      <c r="D112" s="2403" t="s">
        <v>6890</v>
      </c>
      <c r="E112" s="2399"/>
      <c r="F112" s="2399"/>
      <c r="G112" s="2399"/>
      <c r="H112" s="2399"/>
      <c r="I112" s="2399"/>
      <c r="J112" s="2399"/>
      <c r="K112" s="2399"/>
      <c r="L112" s="2399"/>
      <c r="M112" s="2399"/>
      <c r="N112" s="2399"/>
      <c r="O112" s="2399"/>
      <c r="P112" s="2399"/>
      <c r="Q112" s="2399"/>
      <c r="R112" s="2399"/>
      <c r="S112" s="2399"/>
      <c r="T112" s="2399"/>
      <c r="U112" s="2399"/>
      <c r="V112" s="2399"/>
      <c r="W112" s="2399"/>
      <c r="X112" s="2399"/>
      <c r="Y112" s="2399"/>
      <c r="Z112" s="2399"/>
      <c r="AA112" s="2399"/>
      <c r="AB112" s="2399"/>
      <c r="AC112" s="2399"/>
      <c r="AD112" s="2399"/>
      <c r="AE112" s="2399"/>
      <c r="AF112" s="2399"/>
      <c r="AG112" s="2399"/>
      <c r="AH112" s="2399"/>
      <c r="AI112" s="2399"/>
      <c r="AJ112" s="2399"/>
      <c r="AK112" s="2399"/>
      <c r="AL112" s="2399"/>
      <c r="AM112" s="2399"/>
      <c r="AN112" s="2399"/>
      <c r="AO112" s="2399"/>
      <c r="AP112" s="2399"/>
      <c r="AQ112" s="2399"/>
      <c r="AR112" s="2399"/>
      <c r="AS112" s="2399"/>
      <c r="AT112" s="2399"/>
      <c r="AU112" s="2399"/>
      <c r="AV112" s="2399"/>
      <c r="AW112" s="2399"/>
      <c r="AX112" s="2399"/>
      <c r="AY112" s="2399"/>
      <c r="AZ112" s="2399"/>
      <c r="BA112" s="2399"/>
      <c r="BB112" s="2399"/>
      <c r="BC112" s="2399"/>
      <c r="BD112" s="2399"/>
      <c r="BE112" s="2399"/>
      <c r="BF112" s="2399"/>
      <c r="BG112" s="2399"/>
      <c r="BH112" s="2399"/>
      <c r="BI112" s="2399"/>
      <c r="BJ112" s="2399"/>
      <c r="BK112" s="2399"/>
      <c r="BL112" s="2399"/>
      <c r="BM112" s="2399"/>
      <c r="BN112" s="2399"/>
      <c r="BO112" s="2399"/>
      <c r="BP112" s="2399"/>
      <c r="BQ112" s="2399"/>
      <c r="BR112" s="2399"/>
      <c r="BS112" s="2399"/>
      <c r="BT112" s="2399"/>
      <c r="BU112" s="2399"/>
      <c r="BV112" s="2399"/>
      <c r="BW112" s="2399"/>
      <c r="BX112" s="2399"/>
      <c r="BY112" s="2399"/>
      <c r="BZ112" s="2399"/>
      <c r="CA112" s="2399"/>
      <c r="CB112" s="2399"/>
      <c r="CC112" s="2399"/>
      <c r="CD112" s="2399"/>
      <c r="CE112" s="2399">
        <v>1000</v>
      </c>
      <c r="CF112" s="2399"/>
      <c r="CG112" s="2399"/>
      <c r="CH112" s="2399"/>
      <c r="CI112" s="2399"/>
      <c r="CJ112" s="2399"/>
      <c r="CK112" s="2399"/>
      <c r="CL112" s="2399">
        <v>2500</v>
      </c>
      <c r="CM112" s="2399"/>
      <c r="CN112" s="2399"/>
      <c r="CO112" s="2399"/>
      <c r="CP112" s="2399"/>
      <c r="CQ112" s="2399"/>
      <c r="CR112" s="2399"/>
      <c r="CS112" s="2399"/>
      <c r="CT112" s="2399"/>
      <c r="CU112" s="2399"/>
      <c r="CV112" s="2399"/>
      <c r="CW112" s="2399"/>
      <c r="CX112" s="2399"/>
      <c r="CY112" s="2399"/>
      <c r="CZ112" s="2399"/>
      <c r="DA112" s="2399"/>
      <c r="DB112" s="2399"/>
      <c r="DC112" s="2399"/>
      <c r="DD112" s="2399"/>
      <c r="DE112" s="2399"/>
      <c r="DF112" s="2399"/>
      <c r="DG112" s="2399"/>
      <c r="DH112" s="2399"/>
      <c r="DI112" s="2399"/>
      <c r="DJ112" s="2399"/>
      <c r="DK112" s="2399"/>
      <c r="DL112" s="2399"/>
      <c r="DM112" s="2399"/>
      <c r="DN112" s="2399"/>
      <c r="DO112" s="2399"/>
      <c r="DP112" s="2399"/>
      <c r="DQ112" s="2399"/>
      <c r="DR112" s="2399"/>
      <c r="DS112" s="2399"/>
      <c r="DT112" s="2399"/>
      <c r="DU112" s="2399"/>
      <c r="DV112" s="2399"/>
      <c r="DW112" s="2399"/>
      <c r="DX112" s="2399"/>
      <c r="DY112" s="2399"/>
      <c r="DZ112" s="2399"/>
      <c r="EA112" s="2399"/>
      <c r="EB112" s="2399"/>
      <c r="EC112" s="2399"/>
      <c r="ED112" s="2399"/>
      <c r="EE112" s="2399"/>
      <c r="EF112" s="2399"/>
      <c r="EG112" s="2399"/>
      <c r="EH112" s="2399"/>
      <c r="EI112" s="2399"/>
      <c r="EJ112" s="2399"/>
      <c r="EK112" s="2399"/>
      <c r="EL112" s="2399"/>
      <c r="EM112" s="2399"/>
      <c r="EN112" s="2399"/>
      <c r="EO112" s="2399"/>
      <c r="EP112" s="2399"/>
      <c r="EQ112" s="2399"/>
      <c r="ER112" s="2399"/>
      <c r="ES112" s="2399"/>
      <c r="ET112" s="2399"/>
      <c r="EU112" s="2399"/>
      <c r="EV112" s="2399"/>
      <c r="EW112" s="2399"/>
      <c r="EX112" s="2399"/>
      <c r="EY112" s="2399"/>
      <c r="EZ112" s="2399"/>
      <c r="FA112" s="2399"/>
      <c r="FB112" s="2399"/>
      <c r="FC112" s="2399"/>
      <c r="FD112" s="2399"/>
      <c r="FE112" s="2399"/>
      <c r="FF112" s="2399"/>
      <c r="FG112" s="2399"/>
      <c r="FH112" s="2399"/>
      <c r="FI112" s="2399"/>
      <c r="FJ112" s="2399"/>
      <c r="FK112" s="2399"/>
      <c r="FL112" s="2399"/>
      <c r="FM112" s="2399"/>
      <c r="FN112" s="2399"/>
      <c r="FO112" s="2399"/>
      <c r="FP112" s="2399"/>
      <c r="FQ112" s="2399"/>
      <c r="FR112" s="2399"/>
      <c r="FS112" s="2399"/>
      <c r="FT112" s="2399"/>
      <c r="FU112" s="2399"/>
      <c r="FV112" s="2399"/>
      <c r="FW112" s="2399"/>
      <c r="FX112" s="2399"/>
      <c r="FY112" s="2399"/>
      <c r="FZ112" s="2399"/>
      <c r="GA112" s="2399"/>
      <c r="GB112" s="2399"/>
      <c r="GC112" s="2399"/>
      <c r="GD112" s="2399"/>
      <c r="GE112" s="2399"/>
      <c r="GF112" s="2399"/>
      <c r="GG112" s="2399"/>
      <c r="GH112" s="2399"/>
      <c r="GI112" s="2399"/>
      <c r="GJ112" s="2399"/>
      <c r="GK112" s="2399"/>
      <c r="GL112" s="2399"/>
      <c r="GM112" s="2399"/>
      <c r="GN112" s="2399"/>
      <c r="GO112" s="2399"/>
      <c r="GP112" s="2399"/>
      <c r="GQ112" s="2399"/>
      <c r="GR112" s="2399"/>
      <c r="GS112" s="2399"/>
      <c r="GT112" s="2399"/>
      <c r="GU112" s="2399"/>
      <c r="GV112" s="2399"/>
      <c r="GW112" s="2399"/>
      <c r="GX112" s="2399"/>
      <c r="GY112" s="2399"/>
      <c r="GZ112" s="2399"/>
      <c r="HA112" s="2399"/>
      <c r="HB112" s="2399"/>
      <c r="HC112" s="2399"/>
      <c r="HD112" s="2399"/>
      <c r="HE112" s="2399"/>
      <c r="HF112" s="2399"/>
      <c r="HG112" s="2399"/>
      <c r="HH112" s="2399"/>
      <c r="HI112" s="2399"/>
      <c r="HJ112" s="2399"/>
      <c r="HK112" s="2399"/>
      <c r="HL112" s="2399"/>
      <c r="HM112" s="2399"/>
      <c r="HN112" s="2399"/>
      <c r="HO112" s="2399"/>
      <c r="HP112" s="2399"/>
      <c r="HQ112" s="2399"/>
      <c r="HR112" s="2399"/>
      <c r="HS112" s="2399"/>
      <c r="HT112" s="2399"/>
      <c r="HU112" s="2399"/>
      <c r="HV112" s="2399"/>
      <c r="HW112" s="2399"/>
      <c r="HX112" s="2399"/>
      <c r="HY112" s="2399"/>
      <c r="HZ112" s="2399"/>
      <c r="IA112" s="2399"/>
      <c r="IB112" s="2399"/>
      <c r="IC112" s="2399"/>
      <c r="ID112" s="2399"/>
      <c r="IE112" s="2399"/>
      <c r="IF112" s="2399"/>
      <c r="IG112" s="2399"/>
      <c r="IH112" s="2399"/>
      <c r="II112" s="2399"/>
      <c r="IJ112" s="2399"/>
      <c r="IK112" s="2399"/>
      <c r="IL112" s="2399"/>
      <c r="IM112" s="2399"/>
      <c r="IN112" s="2399"/>
      <c r="IO112" s="2399"/>
      <c r="IP112" s="2399"/>
      <c r="IQ112" s="2399"/>
      <c r="IR112" s="2399"/>
      <c r="IS112" s="2399"/>
      <c r="IT112" s="2399"/>
      <c r="IU112" s="2399"/>
      <c r="IV112" s="2399"/>
      <c r="IW112" s="2399"/>
      <c r="IX112" s="2399"/>
      <c r="IY112" s="2399"/>
      <c r="IZ112" s="2399"/>
      <c r="JA112" s="3083"/>
      <c r="JB112" s="3083"/>
      <c r="JC112" s="3083"/>
      <c r="JD112" s="3083"/>
      <c r="JE112" s="3083"/>
      <c r="JF112" s="3083"/>
      <c r="JG112" s="3782"/>
      <c r="JH112" s="1233"/>
      <c r="JI112" s="2248"/>
    </row>
    <row ht="23.25" r="113" spans="1:269" thickBot="1" x14ac:dyDescent="0.25">
      <c r="A113" s="1128">
        <v>27</v>
      </c>
      <c r="B113" s="2825" t="str">
        <f si="10" t="shared"/>
        <v/>
      </c>
      <c r="C113" s="1813" t="s">
        <v>7286</v>
      </c>
      <c r="D113" s="2404" t="str">
        <f>"Tax year income in box 23 is to be taxed, for example "&amp;last_year&amp;" YYYY YY"</f>
        <v>Tax year income in box 23 is to be taxed, for example 2018-19 YYYY YY</v>
      </c>
      <c r="E113" s="3086"/>
      <c r="F113" s="3086"/>
      <c r="G113" s="3086"/>
      <c r="H113" s="3086"/>
      <c r="I113" s="3086"/>
      <c r="J113" s="3086"/>
      <c r="K113" s="3086"/>
      <c r="L113" s="3086"/>
      <c r="M113" s="3086"/>
      <c r="N113" s="3086"/>
      <c r="O113" s="3086"/>
      <c r="P113" s="3086"/>
      <c r="Q113" s="3086"/>
      <c r="R113" s="3086"/>
      <c r="S113" s="3086"/>
      <c r="T113" s="3086"/>
      <c r="U113" s="3086"/>
      <c r="V113" s="3086"/>
      <c r="W113" s="3086"/>
      <c r="X113" s="3086"/>
      <c r="Y113" s="3086"/>
      <c r="Z113" s="3086"/>
      <c r="AA113" s="3086"/>
      <c r="AB113" s="3086"/>
      <c r="AC113" s="3086"/>
      <c r="AD113" s="3087"/>
      <c r="AE113" s="3087"/>
      <c r="AF113" s="3087"/>
      <c r="AG113" s="3087"/>
      <c r="AH113" s="3087"/>
      <c r="AI113" s="3086"/>
      <c r="AJ113" s="3086"/>
      <c r="AK113" s="3086"/>
      <c r="AL113" s="3086"/>
      <c r="AM113" s="3086"/>
      <c r="AN113" s="3086"/>
      <c r="AO113" s="3086"/>
      <c r="AP113" s="3086"/>
      <c r="AQ113" s="3086"/>
      <c r="AR113" s="3086"/>
      <c r="AS113" s="3086"/>
      <c r="AT113" s="3086"/>
      <c r="AU113" s="3086"/>
      <c r="AV113" s="3086"/>
      <c r="AW113" s="3086"/>
      <c r="AX113" s="3086"/>
      <c r="AY113" s="3086"/>
      <c r="AZ113" s="3086"/>
      <c r="BA113" s="3086"/>
      <c r="BB113" s="3086"/>
      <c r="BC113" s="3086"/>
      <c r="BD113" s="3086"/>
      <c r="BE113" s="3086"/>
      <c r="BF113" s="3086"/>
      <c r="BG113" s="3086"/>
      <c r="BH113" s="3086"/>
      <c r="BI113" s="3086"/>
      <c r="BJ113" s="3086"/>
      <c r="BK113" s="3086"/>
      <c r="BL113" s="3086"/>
      <c r="BM113" s="3086"/>
      <c r="BN113" s="3086"/>
      <c r="BO113" s="3086"/>
      <c r="BP113" s="3086"/>
      <c r="BQ113" s="3086"/>
      <c r="BR113" s="3086"/>
      <c r="BS113" s="3086"/>
      <c r="BT113" s="3086"/>
      <c r="BU113" s="3086"/>
      <c r="BV113" s="3086"/>
      <c r="BW113" s="3086"/>
      <c r="BX113" s="3086"/>
      <c r="BY113" s="3086"/>
      <c r="BZ113" s="3086"/>
      <c r="CA113" s="3086"/>
      <c r="CB113" s="3086"/>
      <c r="CC113" s="3086"/>
      <c r="CD113" s="3086"/>
      <c r="CE113" s="3087" t="s">
        <v>7309</v>
      </c>
      <c r="CF113" s="3086"/>
      <c r="CG113" s="3086"/>
      <c r="CH113" s="3086"/>
      <c r="CI113" s="3086"/>
      <c r="CJ113" s="3086"/>
      <c r="CK113" s="3086"/>
      <c r="CL113" s="3087" t="s">
        <v>7310</v>
      </c>
      <c r="CM113" s="3086"/>
      <c r="CN113" s="3087"/>
      <c r="CO113" s="3086"/>
      <c r="CP113" s="3086"/>
      <c r="CQ113" s="3087"/>
      <c r="CR113" s="3086"/>
      <c r="CS113" s="3086"/>
      <c r="CT113" s="3086"/>
      <c r="CU113" s="3086"/>
      <c r="CV113" s="3086"/>
      <c r="CW113" s="3086"/>
      <c r="CX113" s="3086"/>
      <c r="CY113" s="3086"/>
      <c r="CZ113" s="3086"/>
      <c r="DA113" s="3086"/>
      <c r="DB113" s="3086"/>
      <c r="DC113" s="3086"/>
      <c r="DD113" s="3086"/>
      <c r="DE113" s="3086"/>
      <c r="DF113" s="3086"/>
      <c r="DG113" s="3086"/>
      <c r="DH113" s="3086"/>
      <c r="DI113" s="3086"/>
      <c r="DJ113" s="3086"/>
      <c r="DK113" s="3086"/>
      <c r="DL113" s="3086"/>
      <c r="DM113" s="3086"/>
      <c r="DN113" s="3086"/>
      <c r="DO113" s="3086"/>
      <c r="DP113" s="3086"/>
      <c r="DQ113" s="3086"/>
      <c r="DR113" s="3086"/>
      <c r="DS113" s="3086"/>
      <c r="DT113" s="3086"/>
      <c r="DU113" s="3086"/>
      <c r="DV113" s="3086"/>
      <c r="DW113" s="3087"/>
      <c r="DX113" s="3086"/>
      <c r="DY113" s="3086"/>
      <c r="DZ113" s="3086"/>
      <c r="EA113" s="3086"/>
      <c r="EB113" s="3086"/>
      <c r="EC113" s="3086"/>
      <c r="ED113" s="3086"/>
      <c r="EE113" s="3086"/>
      <c r="EF113" s="3086"/>
      <c r="EG113" s="3086"/>
      <c r="EH113" s="3086"/>
      <c r="EI113" s="3086"/>
      <c r="EJ113" s="3086"/>
      <c r="EK113" s="3086"/>
      <c r="EL113" s="3086"/>
      <c r="EM113" s="3087"/>
      <c r="EN113" s="3087"/>
      <c r="EO113" s="3087"/>
      <c r="EP113" s="3087"/>
      <c r="EQ113" s="3086"/>
      <c r="ER113" s="3086"/>
      <c r="ES113" s="3086"/>
      <c r="ET113" s="3086"/>
      <c r="EU113" s="3086"/>
      <c r="EV113" s="3087"/>
      <c r="EW113" s="3086"/>
      <c r="EX113" s="3086"/>
      <c r="EY113" s="3086"/>
      <c r="EZ113" s="3086"/>
      <c r="FA113" s="3086"/>
      <c r="FB113" s="3086"/>
      <c r="FC113" s="3086"/>
      <c r="FD113" s="3086"/>
      <c r="FE113" s="3086"/>
      <c r="FF113" s="3086"/>
      <c r="FG113" s="3086"/>
      <c r="FH113" s="3086"/>
      <c r="FI113" s="3086"/>
      <c r="FJ113" s="3086"/>
      <c r="FK113" s="3086"/>
      <c r="FL113" s="3086"/>
      <c r="FM113" s="3086"/>
      <c r="FN113" s="3086"/>
      <c r="FO113" s="3086"/>
      <c r="FP113" s="3086"/>
      <c r="FQ113" s="3087"/>
      <c r="FR113" s="3086"/>
      <c r="FS113" s="3086"/>
      <c r="FT113" s="3086"/>
      <c r="FU113" s="3086"/>
      <c r="FV113" s="3086"/>
      <c r="FW113" s="3086"/>
      <c r="FX113" s="3087"/>
      <c r="FY113" s="3086"/>
      <c r="FZ113" s="3086"/>
      <c r="GA113" s="3086"/>
      <c r="GB113" s="3086"/>
      <c r="GC113" s="3086"/>
      <c r="GD113" s="3086"/>
      <c r="GE113" s="3086"/>
      <c r="GF113" s="3086"/>
      <c r="GG113" s="3086"/>
      <c r="GH113" s="3087"/>
      <c r="GI113" s="3087"/>
      <c r="GJ113" s="3087"/>
      <c r="GK113" s="3086"/>
      <c r="GL113" s="3086"/>
      <c r="GM113" s="3086"/>
      <c r="GN113" s="3086"/>
      <c r="GO113" s="3086"/>
      <c r="GP113" s="3086"/>
      <c r="GQ113" s="3086"/>
      <c r="GR113" s="3086"/>
      <c r="GS113" s="3087"/>
      <c r="GT113" s="3087"/>
      <c r="GU113" s="3087"/>
      <c r="GV113" s="3086"/>
      <c r="GW113" s="3086"/>
      <c r="GX113" s="3087"/>
      <c r="GY113" s="3086"/>
      <c r="GZ113" s="3087"/>
      <c r="HA113" s="3087"/>
      <c r="HB113" s="3086"/>
      <c r="HC113" s="3086"/>
      <c r="HD113" s="3086"/>
      <c r="HE113" s="3086"/>
      <c r="HF113" s="3087"/>
      <c r="HG113" s="3087"/>
      <c r="HH113" s="3086"/>
      <c r="HI113" s="3086"/>
      <c r="HJ113" s="3086"/>
      <c r="HK113" s="3086"/>
      <c r="HL113" s="3086"/>
      <c r="HM113" s="3086"/>
      <c r="HN113" s="3086"/>
      <c r="HO113" s="3086"/>
      <c r="HP113" s="3086"/>
      <c r="HQ113" s="3086"/>
      <c r="HR113" s="3086"/>
      <c r="HS113" s="3086"/>
      <c r="HT113" s="3086"/>
      <c r="HU113" s="3086"/>
      <c r="HV113" s="3086"/>
      <c r="HW113" s="3086"/>
      <c r="HX113" s="3086"/>
      <c r="HY113" s="3086"/>
      <c r="HZ113" s="3086"/>
      <c r="IA113" s="3086"/>
      <c r="IB113" s="3086"/>
      <c r="IC113" s="3086"/>
      <c r="ID113" s="3086"/>
      <c r="IE113" s="3086"/>
      <c r="IF113" s="3086"/>
      <c r="IG113" s="3086"/>
      <c r="IH113" s="3086"/>
      <c r="II113" s="3086"/>
      <c r="IJ113" s="3086"/>
      <c r="IK113" s="3086"/>
      <c r="IL113" s="3086"/>
      <c r="IM113" s="3086"/>
      <c r="IN113" s="3086"/>
      <c r="IO113" s="3086"/>
      <c r="IP113" s="3086"/>
      <c r="IQ113" s="3086"/>
      <c r="IR113" s="3086"/>
      <c r="IS113" s="3086"/>
      <c r="IT113" s="3086"/>
      <c r="IU113" s="3086"/>
      <c r="IV113" s="3086"/>
      <c r="IW113" s="3086"/>
      <c r="IX113" s="3086"/>
      <c r="IY113" s="3086"/>
      <c r="IZ113" s="3086"/>
      <c r="JA113" s="3783"/>
      <c r="JB113" s="3783"/>
      <c r="JC113" s="3783"/>
      <c r="JD113" s="3783"/>
      <c r="JE113" s="3783"/>
      <c r="JF113" s="3783"/>
      <c r="JG113" s="3784"/>
      <c r="JH113" s="1233"/>
      <c r="JI113" s="1393" t="s">
        <v>7287</v>
      </c>
    </row>
  </sheetData>
  <phoneticPr fontId="67" type="noConversion"/>
  <pageMargins bottom="0.196850393700787" footer="0" header="0" left="0.196850393700787" right="0.196850393700787" top="0.196850393700787"/>
  <pageSetup horizontalDpi="1200" orientation="portrait" paperSize="9" r:id="rId1" verticalDpi="1200"/>
  <headerFooter alignWithMargins="0"/>
</worksheet>
</file>

<file path=xl/worksheets/sheet12.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xmlns:xr="http://schemas.microsoft.com/office/spreadsheetml/2014/revision" xmlns:xr2="http://schemas.microsoft.com/office/spreadsheetml/2015/revision2" xmlns:xr3="http://schemas.microsoft.com/office/spreadsheetml/2016/revision3" mc:Ignorable="x14ac xr xr2 xr3" xr:uid="{00000000-0001-0000-0B00-000000000000}">
  <sheetPr codeName="Sheet63"/>
  <dimension ref="A1:JK97"/>
  <sheetViews>
    <sheetView showGridLines="0" workbookViewId="0" zoomScaleNormal="100">
      <pane activePane="bottomRight" state="frozen" topLeftCell="J80" xSplit="4" ySplit="1"/>
      <selection activeCell="JF25" sqref="JF25"/>
      <selection activeCell="JF25" pane="topRight" sqref="JF25"/>
      <selection activeCell="JF25" pane="bottomLeft" sqref="JF25"/>
      <selection activeCell="J92" pane="bottomRight" sqref="J92"/>
    </sheetView>
  </sheetViews>
  <sheetFormatPr defaultColWidth="9.140625" defaultRowHeight="12" x14ac:dyDescent="0.2"/>
  <cols>
    <col min="1" max="1" bestFit="true" customWidth="true" style="1127" width="3.85546875" collapsed="true"/>
    <col min="2" max="2" bestFit="true" customWidth="true" style="181" width="11.140625" collapsed="true"/>
    <col min="3" max="3" bestFit="true" customWidth="true" style="181" width="9.140625" collapsed="true"/>
    <col min="4" max="4" customWidth="true" style="181" width="47.42578125" collapsed="true"/>
    <col min="5" max="6" bestFit="true" customWidth="true" style="181" width="10.0" collapsed="true"/>
    <col min="7" max="7" bestFit="true" customWidth="true" style="181" width="9.0" collapsed="true"/>
    <col min="8" max="9" bestFit="true" customWidth="true" style="181" width="10.0" collapsed="true"/>
    <col min="10" max="10" bestFit="true" customWidth="true" style="181" width="11.0" collapsed="true"/>
    <col min="11" max="11" bestFit="true" customWidth="true" style="181" width="10.0" collapsed="true"/>
    <col min="12" max="12" bestFit="true" customWidth="true" style="181" width="9.0" collapsed="true"/>
    <col min="13" max="14" bestFit="true" customWidth="true" style="181" width="10.0" collapsed="true"/>
    <col min="15" max="15" bestFit="true" customWidth="true" style="181" width="11.0" collapsed="true"/>
    <col min="16" max="26" customWidth="true" style="181" width="11.0" collapsed="true"/>
    <col min="27" max="29" customWidth="true" style="181" width="9.5703125" collapsed="true"/>
    <col min="30" max="32" customWidth="true" style="34" width="9.5703125" collapsed="true"/>
    <col min="33" max="34" bestFit="true" customWidth="true" style="34" width="10.5703125" collapsed="true"/>
    <col min="35" max="46" customWidth="true" style="181" width="9.5703125" collapsed="true"/>
    <col min="47" max="47" bestFit="true" customWidth="true" style="181" width="10.140625" collapsed="true"/>
    <col min="48" max="115" customWidth="true" style="181" width="9.5703125" collapsed="true"/>
    <col min="116" max="116" bestFit="true" customWidth="true" style="181" width="10.140625" collapsed="true"/>
    <col min="117" max="123" customWidth="true" style="181" width="9.5703125" collapsed="true"/>
    <col min="124" max="124" bestFit="true" customWidth="true" style="181" width="10.140625" collapsed="true"/>
    <col min="125" max="138" customWidth="true" style="181" width="9.5703125" collapsed="true"/>
    <col min="139" max="139" bestFit="true" customWidth="true" style="181" width="10.140625" collapsed="true"/>
    <col min="140" max="141" customWidth="true" style="181" width="9.5703125" collapsed="true"/>
    <col min="142" max="142" bestFit="true" customWidth="true" style="181" width="12.140625" collapsed="true"/>
    <col min="143" max="144" customWidth="true" style="181" width="9.5703125" collapsed="true"/>
    <col min="145" max="145" bestFit="true" customWidth="true" style="181" width="10.5703125" collapsed="true"/>
    <col min="146" max="146" bestFit="true" customWidth="true" style="181" width="10.140625" collapsed="true"/>
    <col min="147" max="252" customWidth="true" style="181" width="9.5703125" collapsed="true"/>
    <col min="253" max="253" bestFit="true" customWidth="true" style="181" width="11.42578125" collapsed="true"/>
    <col min="254" max="259" customWidth="true" style="181" width="9.5703125" collapsed="true"/>
    <col min="260" max="260" bestFit="true" customWidth="true" style="181" width="10.5703125" collapsed="true"/>
    <col min="261" max="267" customWidth="true" style="181" width="9.5703125" collapsed="true"/>
    <col min="268" max="268" customWidth="true" style="181" width="2.140625" collapsed="true"/>
    <col min="269" max="269" bestFit="true" customWidth="true" style="181" width="97.7109375" collapsed="true"/>
    <col min="270" max="270" bestFit="true" customWidth="true" style="121" width="32.28515625" collapsed="true"/>
    <col min="271" max="16384" style="181" width="9.140625" collapsed="true"/>
  </cols>
  <sheetData>
    <row ht="13.5" r="1" spans="1:270" thickBot="1" x14ac:dyDescent="0.25">
      <c r="E1" s="633">
        <v>1</v>
      </c>
      <c r="F1" s="545">
        <v>2</v>
      </c>
      <c r="G1" s="545">
        <v>3</v>
      </c>
      <c r="H1" s="545">
        <v>4</v>
      </c>
      <c r="I1" s="545">
        <v>5</v>
      </c>
      <c r="J1" s="545">
        <v>6</v>
      </c>
      <c r="K1" s="545">
        <v>7</v>
      </c>
      <c r="L1" s="545">
        <v>8</v>
      </c>
      <c r="M1" s="545">
        <v>9</v>
      </c>
      <c r="N1" s="545">
        <v>10</v>
      </c>
      <c r="O1" s="545">
        <v>11</v>
      </c>
      <c r="P1" s="2009">
        <v>12</v>
      </c>
      <c r="Q1" s="2009">
        <v>13</v>
      </c>
      <c r="R1" s="2009">
        <v>14</v>
      </c>
      <c r="S1" s="2009">
        <v>15</v>
      </c>
      <c r="T1" s="2009">
        <v>16</v>
      </c>
      <c r="U1" s="2009">
        <v>17</v>
      </c>
      <c r="V1" s="2009">
        <v>18</v>
      </c>
      <c r="W1" s="2009">
        <v>19</v>
      </c>
      <c r="X1" s="2009">
        <v>20</v>
      </c>
      <c r="Y1" s="2009">
        <v>21</v>
      </c>
      <c r="Z1" s="2009">
        <v>22</v>
      </c>
      <c r="AA1" s="545">
        <v>23</v>
      </c>
      <c r="AB1" s="2009">
        <v>24</v>
      </c>
      <c r="AC1" s="545">
        <v>25</v>
      </c>
      <c r="AD1" s="3511">
        <v>26</v>
      </c>
      <c r="AE1" s="3511">
        <v>27</v>
      </c>
      <c r="AF1" s="3511">
        <v>28</v>
      </c>
      <c r="AG1" s="3511">
        <v>29</v>
      </c>
      <c r="AH1" s="3511">
        <v>30</v>
      </c>
      <c r="AI1" s="2009">
        <v>31</v>
      </c>
      <c r="AJ1" s="545">
        <v>32</v>
      </c>
      <c r="AK1" s="2009">
        <v>33</v>
      </c>
      <c r="AL1" s="545">
        <v>34</v>
      </c>
      <c r="AM1" s="2009">
        <v>35</v>
      </c>
      <c r="AN1" s="545">
        <v>36</v>
      </c>
      <c r="AO1" s="2009">
        <v>37</v>
      </c>
      <c r="AP1" s="545">
        <v>38</v>
      </c>
      <c r="AQ1" s="2009">
        <v>39</v>
      </c>
      <c r="AR1" s="545">
        <v>40</v>
      </c>
      <c r="AS1" s="2009">
        <v>41</v>
      </c>
      <c r="AT1" s="545">
        <v>42</v>
      </c>
      <c r="AU1" s="2009">
        <v>43</v>
      </c>
      <c r="AV1" s="545">
        <v>44</v>
      </c>
      <c r="AW1" s="2009">
        <v>45</v>
      </c>
      <c r="AX1" s="545">
        <v>46</v>
      </c>
      <c r="AY1" s="2009">
        <v>47</v>
      </c>
      <c r="AZ1" s="545">
        <v>48</v>
      </c>
      <c r="BA1" s="2009">
        <v>49</v>
      </c>
      <c r="BB1" s="545">
        <v>50</v>
      </c>
      <c r="BC1" s="2009">
        <v>51</v>
      </c>
      <c r="BD1" s="545">
        <v>52</v>
      </c>
      <c r="BE1" s="2009">
        <v>53</v>
      </c>
      <c r="BF1" s="545">
        <v>54</v>
      </c>
      <c r="BG1" s="2009">
        <v>55</v>
      </c>
      <c r="BH1" s="545">
        <v>56</v>
      </c>
      <c r="BI1" s="2009">
        <v>57</v>
      </c>
      <c r="BJ1" s="545">
        <v>58</v>
      </c>
      <c r="BK1" s="2009">
        <v>59</v>
      </c>
      <c r="BL1" s="545">
        <v>60</v>
      </c>
      <c r="BM1" s="2009">
        <v>61</v>
      </c>
      <c r="BN1" s="545">
        <v>62</v>
      </c>
      <c r="BO1" s="2009">
        <v>63</v>
      </c>
      <c r="BP1" s="545">
        <v>64</v>
      </c>
      <c r="BQ1" s="2009">
        <v>65</v>
      </c>
      <c r="BR1" s="545">
        <v>66</v>
      </c>
      <c r="BS1" s="2009">
        <v>67</v>
      </c>
      <c r="BT1" s="545">
        <v>68</v>
      </c>
      <c r="BU1" s="2009">
        <v>69</v>
      </c>
      <c r="BV1" s="545">
        <v>70</v>
      </c>
      <c r="BW1" s="2009">
        <v>71</v>
      </c>
      <c r="BX1" s="545">
        <v>72</v>
      </c>
      <c r="BY1" s="2009">
        <v>73</v>
      </c>
      <c r="BZ1" s="545">
        <v>74</v>
      </c>
      <c r="CA1" s="2009">
        <v>75</v>
      </c>
      <c r="CB1" s="545">
        <v>76</v>
      </c>
      <c r="CC1" s="2009">
        <v>77</v>
      </c>
      <c r="CD1" s="545">
        <v>78</v>
      </c>
      <c r="CE1" s="2009">
        <v>79</v>
      </c>
      <c r="CF1" s="545">
        <v>80</v>
      </c>
      <c r="CG1" s="2009">
        <v>81</v>
      </c>
      <c r="CH1" s="545">
        <v>82</v>
      </c>
      <c r="CI1" s="2009">
        <v>83</v>
      </c>
      <c r="CJ1" s="545">
        <v>84</v>
      </c>
      <c r="CK1" s="2009">
        <v>85</v>
      </c>
      <c r="CL1" s="545">
        <v>86</v>
      </c>
      <c r="CM1" s="2009">
        <v>87</v>
      </c>
      <c r="CN1" s="545">
        <v>88</v>
      </c>
      <c r="CO1" s="2009">
        <v>89</v>
      </c>
      <c r="CP1" s="545">
        <v>90</v>
      </c>
      <c r="CQ1" s="2009">
        <v>91</v>
      </c>
      <c r="CR1" s="545">
        <v>92</v>
      </c>
      <c r="CS1" s="2009">
        <v>93</v>
      </c>
      <c r="CT1" s="545">
        <v>94</v>
      </c>
      <c r="CU1" s="2009">
        <v>95</v>
      </c>
      <c r="CV1" s="545">
        <v>96</v>
      </c>
      <c r="CW1" s="2009">
        <v>97</v>
      </c>
      <c r="CX1" s="545">
        <v>98</v>
      </c>
      <c r="CY1" s="2009">
        <v>99</v>
      </c>
      <c r="CZ1" s="545">
        <v>100</v>
      </c>
      <c r="DA1" s="2009">
        <v>101</v>
      </c>
      <c r="DB1" s="545">
        <v>102</v>
      </c>
      <c r="DC1" s="2009">
        <v>103</v>
      </c>
      <c r="DD1" s="545">
        <v>104</v>
      </c>
      <c r="DE1" s="2009">
        <v>105</v>
      </c>
      <c r="DF1" s="545">
        <v>106</v>
      </c>
      <c r="DG1" s="2009">
        <v>107</v>
      </c>
      <c r="DH1" s="545">
        <v>108</v>
      </c>
      <c r="DI1" s="2009">
        <v>109</v>
      </c>
      <c r="DJ1" s="545">
        <v>110</v>
      </c>
      <c r="DK1" s="2009">
        <v>111</v>
      </c>
      <c r="DL1" s="545">
        <v>112</v>
      </c>
      <c r="DM1" s="2009">
        <v>113</v>
      </c>
      <c r="DN1" s="545">
        <v>114</v>
      </c>
      <c r="DO1" s="2009">
        <v>115</v>
      </c>
      <c r="DP1" s="545">
        <v>116</v>
      </c>
      <c r="DQ1" s="2009">
        <v>117</v>
      </c>
      <c r="DR1" s="545">
        <v>118</v>
      </c>
      <c r="DS1" s="2009">
        <v>119</v>
      </c>
      <c r="DT1" s="545">
        <v>120</v>
      </c>
      <c r="DU1" s="2009">
        <v>121</v>
      </c>
      <c r="DV1" s="545">
        <v>122</v>
      </c>
      <c r="DW1" s="2009">
        <v>123</v>
      </c>
      <c r="DX1" s="545">
        <v>124</v>
      </c>
      <c r="DY1" s="2009">
        <v>125</v>
      </c>
      <c r="DZ1" s="545">
        <v>126</v>
      </c>
      <c r="EA1" s="2009">
        <v>127</v>
      </c>
      <c r="EB1" s="545">
        <v>128</v>
      </c>
      <c r="EC1" s="2009">
        <v>129</v>
      </c>
      <c r="ED1" s="545">
        <v>130</v>
      </c>
      <c r="EE1" s="2009">
        <v>131</v>
      </c>
      <c r="EF1" s="545">
        <v>132</v>
      </c>
      <c r="EG1" s="2009">
        <v>133</v>
      </c>
      <c r="EH1" s="545">
        <v>134</v>
      </c>
      <c r="EI1" s="2009">
        <v>135</v>
      </c>
      <c r="EJ1" s="545">
        <v>136</v>
      </c>
      <c r="EK1" s="2009">
        <v>137</v>
      </c>
      <c r="EL1" s="545">
        <v>138</v>
      </c>
      <c r="EM1" s="2009">
        <v>139</v>
      </c>
      <c r="EN1" s="545">
        <v>140</v>
      </c>
      <c r="EO1" s="2009">
        <v>141</v>
      </c>
      <c r="EP1" s="545">
        <v>142</v>
      </c>
      <c r="EQ1" s="2009">
        <v>143</v>
      </c>
      <c r="ER1" s="545">
        <v>144</v>
      </c>
      <c r="ES1" s="2009">
        <v>145</v>
      </c>
      <c r="ET1" s="545">
        <v>146</v>
      </c>
      <c r="EU1" s="2009">
        <v>147</v>
      </c>
      <c r="EV1" s="545">
        <v>148</v>
      </c>
      <c r="EW1" s="2009">
        <v>149</v>
      </c>
      <c r="EX1" s="545">
        <v>150</v>
      </c>
      <c r="EY1" s="2009">
        <v>151</v>
      </c>
      <c r="EZ1" s="545">
        <v>152</v>
      </c>
      <c r="FA1" s="2009">
        <v>153</v>
      </c>
      <c r="FB1" s="545">
        <v>154</v>
      </c>
      <c r="FC1" s="2009">
        <v>155</v>
      </c>
      <c r="FD1" s="545">
        <v>156</v>
      </c>
      <c r="FE1" s="2009">
        <v>157</v>
      </c>
      <c r="FF1" s="545">
        <v>158</v>
      </c>
      <c r="FG1" s="2009">
        <v>159</v>
      </c>
      <c r="FH1" s="545">
        <v>160</v>
      </c>
      <c r="FI1" s="2009">
        <v>161</v>
      </c>
      <c r="FJ1" s="545">
        <v>162</v>
      </c>
      <c r="FK1" s="2009">
        <v>163</v>
      </c>
      <c r="FL1" s="545">
        <v>164</v>
      </c>
      <c r="FM1" s="2009">
        <v>165</v>
      </c>
      <c r="FN1" s="545">
        <v>166</v>
      </c>
      <c r="FO1" s="2009">
        <v>167</v>
      </c>
      <c r="FP1" s="545">
        <v>168</v>
      </c>
      <c r="FQ1" s="2009">
        <v>169</v>
      </c>
      <c r="FR1" s="545">
        <v>170</v>
      </c>
      <c r="FS1" s="2009">
        <v>171</v>
      </c>
      <c r="FT1" s="545">
        <v>172</v>
      </c>
      <c r="FU1" s="2009">
        <v>173</v>
      </c>
      <c r="FV1" s="545">
        <v>174</v>
      </c>
      <c r="FW1" s="2009">
        <v>175</v>
      </c>
      <c r="FX1" s="545">
        <v>176</v>
      </c>
      <c r="FY1" s="2009">
        <v>177</v>
      </c>
      <c r="FZ1" s="545">
        <v>178</v>
      </c>
      <c r="GA1" s="2009">
        <v>179</v>
      </c>
      <c r="GB1" s="545">
        <v>180</v>
      </c>
      <c r="GC1" s="2009">
        <v>181</v>
      </c>
      <c r="GD1" s="545">
        <v>182</v>
      </c>
      <c r="GE1" s="2009">
        <v>183</v>
      </c>
      <c r="GF1" s="545">
        <v>184</v>
      </c>
      <c r="GG1" s="2009">
        <v>185</v>
      </c>
      <c r="GH1" s="545">
        <v>186</v>
      </c>
      <c r="GI1" s="2009">
        <v>187</v>
      </c>
      <c r="GJ1" s="545">
        <v>188</v>
      </c>
      <c r="GK1" s="2009">
        <v>189</v>
      </c>
      <c r="GL1" s="545">
        <v>190</v>
      </c>
      <c r="GM1" s="2009">
        <v>191</v>
      </c>
      <c r="GN1" s="545">
        <v>192</v>
      </c>
      <c r="GO1" s="2009">
        <v>193</v>
      </c>
      <c r="GP1" s="545">
        <v>194</v>
      </c>
      <c r="GQ1" s="2009">
        <v>195</v>
      </c>
      <c r="GR1" s="545">
        <v>196</v>
      </c>
      <c r="GS1" s="2009">
        <v>197</v>
      </c>
      <c r="GT1" s="545">
        <v>198</v>
      </c>
      <c r="GU1" s="2009">
        <v>199</v>
      </c>
      <c r="GV1" s="545">
        <v>200</v>
      </c>
      <c r="GW1" s="2009">
        <v>201</v>
      </c>
      <c r="GX1" s="545">
        <v>202</v>
      </c>
      <c r="GY1" s="2009">
        <v>203</v>
      </c>
      <c r="GZ1" s="545">
        <v>204</v>
      </c>
      <c r="HA1" s="2009">
        <v>205</v>
      </c>
      <c r="HB1" s="545">
        <v>206</v>
      </c>
      <c r="HC1" s="2009">
        <v>207</v>
      </c>
      <c r="HD1" s="545">
        <v>208</v>
      </c>
      <c r="HE1" s="2009">
        <v>209</v>
      </c>
      <c r="HF1" s="545">
        <v>210</v>
      </c>
      <c r="HG1" s="2009">
        <v>211</v>
      </c>
      <c r="HH1" s="545">
        <v>212</v>
      </c>
      <c r="HI1" s="2009">
        <v>213</v>
      </c>
      <c r="HJ1" s="545">
        <v>214</v>
      </c>
      <c r="HK1" s="2009">
        <v>215</v>
      </c>
      <c r="HL1" s="545">
        <v>216</v>
      </c>
      <c r="HM1" s="2009">
        <v>217</v>
      </c>
      <c r="HN1" s="545">
        <v>218</v>
      </c>
      <c r="HO1" s="2009">
        <v>219</v>
      </c>
      <c r="HP1" s="545">
        <v>220</v>
      </c>
      <c r="HQ1" s="2009">
        <v>221</v>
      </c>
      <c r="HR1" s="545">
        <v>222</v>
      </c>
      <c r="HS1" s="2009">
        <v>223</v>
      </c>
      <c r="HT1" s="545">
        <v>224</v>
      </c>
      <c r="HU1" s="2009">
        <v>225</v>
      </c>
      <c r="HV1" s="545">
        <v>226</v>
      </c>
      <c r="HW1" s="2009">
        <v>227</v>
      </c>
      <c r="HX1" s="545">
        <v>228</v>
      </c>
      <c r="HY1" s="2009">
        <v>229</v>
      </c>
      <c r="HZ1" s="545">
        <v>230</v>
      </c>
      <c r="IA1" s="2009">
        <v>231</v>
      </c>
      <c r="IB1" s="545">
        <v>232</v>
      </c>
      <c r="IC1" s="2009">
        <v>233</v>
      </c>
      <c r="ID1" s="545">
        <v>234</v>
      </c>
      <c r="IE1" s="2009">
        <v>235</v>
      </c>
      <c r="IF1" s="545">
        <v>236</v>
      </c>
      <c r="IG1" s="2009">
        <v>237</v>
      </c>
      <c r="IH1" s="545">
        <v>238</v>
      </c>
      <c r="II1" s="2009">
        <v>239</v>
      </c>
      <c r="IJ1" s="545">
        <v>240</v>
      </c>
      <c r="IK1" s="2009">
        <v>241</v>
      </c>
      <c r="IL1" s="545">
        <v>242</v>
      </c>
      <c r="IM1" s="2009">
        <v>243</v>
      </c>
      <c r="IN1" s="545">
        <v>244</v>
      </c>
      <c r="IO1" s="2009">
        <v>245</v>
      </c>
      <c r="IP1" s="545">
        <v>246</v>
      </c>
      <c r="IQ1" s="2009">
        <v>247</v>
      </c>
      <c r="IR1" s="545">
        <v>248</v>
      </c>
      <c r="IS1" s="2009">
        <v>249</v>
      </c>
      <c r="IT1" s="545">
        <v>250</v>
      </c>
      <c r="IU1" s="2009">
        <v>251</v>
      </c>
      <c r="IV1" s="545">
        <v>252</v>
      </c>
      <c r="IW1" s="2009">
        <v>253</v>
      </c>
      <c r="IX1" s="545">
        <v>254</v>
      </c>
      <c r="IY1" s="2009">
        <v>255</v>
      </c>
      <c r="IZ1" s="545">
        <v>256</v>
      </c>
      <c r="JA1" s="2009">
        <v>257</v>
      </c>
      <c r="JB1" s="545">
        <v>258</v>
      </c>
      <c r="JC1" s="2009">
        <v>259</v>
      </c>
      <c r="JD1" s="545">
        <v>260</v>
      </c>
      <c r="JE1" s="2009">
        <v>261</v>
      </c>
      <c r="JF1" s="545">
        <v>262</v>
      </c>
      <c r="JG1" s="3511">
        <v>263</v>
      </c>
      <c r="JH1" s="1233"/>
      <c r="JI1" s="1232" t="s">
        <v>5040</v>
      </c>
      <c r="JJ1" s="1685" t="s">
        <v>6104</v>
      </c>
    </row>
    <row ht="12.75" r="2" spans="1:270" x14ac:dyDescent="0.2">
      <c r="A2" s="1128" t="s">
        <v>4479</v>
      </c>
      <c r="B2" s="2844" t="str">
        <f>"selected "&amp;EMP_A_IND-1</f>
        <v>selected 3</v>
      </c>
      <c r="C2" s="1381" t="s">
        <v>3740</v>
      </c>
      <c r="D2" s="1277"/>
      <c r="E2" s="2460">
        <v>1</v>
      </c>
      <c r="F2" s="2463">
        <v>2</v>
      </c>
      <c r="G2" s="2463">
        <v>3</v>
      </c>
      <c r="H2" s="2463">
        <v>4</v>
      </c>
      <c r="I2" s="2463">
        <v>5</v>
      </c>
      <c r="J2" s="2463">
        <v>6</v>
      </c>
      <c r="K2" s="2463">
        <v>7</v>
      </c>
      <c r="L2" s="2463">
        <v>8</v>
      </c>
      <c r="M2" s="2463">
        <v>9</v>
      </c>
      <c r="N2" s="2463">
        <v>10</v>
      </c>
      <c r="O2" s="2463">
        <v>11</v>
      </c>
      <c r="P2" s="2463">
        <v>12</v>
      </c>
      <c r="Q2" s="2463">
        <v>13</v>
      </c>
      <c r="R2" s="2463">
        <v>14</v>
      </c>
      <c r="S2" s="2463">
        <v>15</v>
      </c>
      <c r="T2" s="2463">
        <v>16</v>
      </c>
      <c r="U2" s="2463">
        <v>17</v>
      </c>
      <c r="V2" s="2463">
        <v>18</v>
      </c>
      <c r="W2" s="2463">
        <v>19</v>
      </c>
      <c r="X2" s="2463">
        <v>20</v>
      </c>
      <c r="Y2" s="2463">
        <v>21</v>
      </c>
      <c r="Z2" s="2463">
        <v>22</v>
      </c>
      <c r="AA2" s="2463">
        <v>23</v>
      </c>
      <c r="AB2" s="2463">
        <v>24</v>
      </c>
      <c r="AC2" s="2463">
        <v>25</v>
      </c>
      <c r="AD2" s="3502">
        <v>26</v>
      </c>
      <c r="AE2" s="3502">
        <v>27</v>
      </c>
      <c r="AF2" s="3502">
        <v>28</v>
      </c>
      <c r="AG2" s="3502">
        <v>29</v>
      </c>
      <c r="AH2" s="3502">
        <v>30</v>
      </c>
      <c r="AI2" s="2026">
        <v>31</v>
      </c>
      <c r="AJ2" s="2026">
        <v>32</v>
      </c>
      <c r="AK2" s="2026">
        <v>33</v>
      </c>
      <c r="AL2" s="2026">
        <v>34</v>
      </c>
      <c r="AM2" s="2026">
        <v>35</v>
      </c>
      <c r="AN2" s="2026">
        <v>36</v>
      </c>
      <c r="AO2" s="2026">
        <v>37</v>
      </c>
      <c r="AP2" s="2026">
        <v>38</v>
      </c>
      <c r="AQ2" s="2026">
        <v>39</v>
      </c>
      <c r="AR2" s="2026">
        <v>40</v>
      </c>
      <c r="AS2" s="2026">
        <v>41</v>
      </c>
      <c r="AT2" s="2026">
        <v>42</v>
      </c>
      <c r="AU2" s="2026">
        <v>43</v>
      </c>
      <c r="AV2" s="2026">
        <v>44</v>
      </c>
      <c r="AW2" s="2026">
        <v>45</v>
      </c>
      <c r="AX2" s="2026">
        <v>46</v>
      </c>
      <c r="AY2" s="2026">
        <v>47</v>
      </c>
      <c r="AZ2" s="2026">
        <v>48</v>
      </c>
      <c r="BA2" s="2026">
        <v>49</v>
      </c>
      <c r="BB2" s="2026">
        <v>50</v>
      </c>
      <c r="BC2" s="2026">
        <v>51</v>
      </c>
      <c r="BD2" s="2026">
        <v>52</v>
      </c>
      <c r="BE2" s="2026">
        <v>53</v>
      </c>
      <c r="BF2" s="2026">
        <v>54</v>
      </c>
      <c r="BG2" s="2026">
        <v>55</v>
      </c>
      <c r="BH2" s="2026">
        <v>56</v>
      </c>
      <c r="BI2" s="2026">
        <v>57</v>
      </c>
      <c r="BJ2" s="2026">
        <v>58</v>
      </c>
      <c r="BK2" s="2026">
        <v>59</v>
      </c>
      <c r="BL2" s="2026">
        <v>60</v>
      </c>
      <c r="BM2" s="2026">
        <v>61</v>
      </c>
      <c r="BN2" s="2026">
        <v>62</v>
      </c>
      <c r="BO2" s="2026">
        <v>63</v>
      </c>
      <c r="BP2" s="2026">
        <v>64</v>
      </c>
      <c r="BQ2" s="2026">
        <v>65</v>
      </c>
      <c r="BR2" s="2026">
        <v>66</v>
      </c>
      <c r="BS2" s="2026">
        <v>67</v>
      </c>
      <c r="BT2" s="2026">
        <v>68</v>
      </c>
      <c r="BU2" s="2026">
        <v>69</v>
      </c>
      <c r="BV2" s="2026">
        <v>70</v>
      </c>
      <c r="BW2" s="2026">
        <v>71</v>
      </c>
      <c r="BX2" s="2026">
        <v>72</v>
      </c>
      <c r="BY2" s="2026">
        <v>73</v>
      </c>
      <c r="BZ2" s="2026">
        <v>74</v>
      </c>
      <c r="CA2" s="2026">
        <v>75</v>
      </c>
      <c r="CB2" s="2026">
        <v>76</v>
      </c>
      <c r="CC2" s="2026">
        <v>77</v>
      </c>
      <c r="CD2" s="2026">
        <v>78</v>
      </c>
      <c r="CE2" s="2026">
        <v>79</v>
      </c>
      <c r="CF2" s="2026">
        <v>80</v>
      </c>
      <c r="CG2" s="2026">
        <v>81</v>
      </c>
      <c r="CH2" s="2026">
        <v>82</v>
      </c>
      <c r="CI2" s="2026">
        <v>83</v>
      </c>
      <c r="CJ2" s="2026">
        <v>84</v>
      </c>
      <c r="CK2" s="2026">
        <v>85</v>
      </c>
      <c r="CL2" s="2026">
        <v>86</v>
      </c>
      <c r="CM2" s="2026">
        <v>87</v>
      </c>
      <c r="CN2" s="2026">
        <v>88</v>
      </c>
      <c r="CO2" s="2026">
        <v>89</v>
      </c>
      <c r="CP2" s="2026">
        <v>90</v>
      </c>
      <c r="CQ2" s="2026">
        <v>91</v>
      </c>
      <c r="CR2" s="2026">
        <v>92</v>
      </c>
      <c r="CS2" s="2026">
        <v>93</v>
      </c>
      <c r="CT2" s="2026">
        <v>94</v>
      </c>
      <c r="CU2" s="2026">
        <v>95</v>
      </c>
      <c r="CV2" s="2026">
        <v>96</v>
      </c>
      <c r="CW2" s="2026">
        <v>97</v>
      </c>
      <c r="CX2" s="2026">
        <v>98</v>
      </c>
      <c r="CY2" s="2026">
        <v>99</v>
      </c>
      <c r="CZ2" s="2026">
        <v>100</v>
      </c>
      <c r="DA2" s="2026">
        <v>101</v>
      </c>
      <c r="DB2" s="2026">
        <v>102</v>
      </c>
      <c r="DC2" s="2026">
        <v>103</v>
      </c>
      <c r="DD2" s="2026">
        <v>104</v>
      </c>
      <c r="DE2" s="2026">
        <v>105</v>
      </c>
      <c r="DF2" s="2026">
        <v>106</v>
      </c>
      <c r="DG2" s="2026">
        <v>107</v>
      </c>
      <c r="DH2" s="2026">
        <v>108</v>
      </c>
      <c r="DI2" s="2026">
        <v>109</v>
      </c>
      <c r="DJ2" s="2026">
        <v>110</v>
      </c>
      <c r="DK2" s="2026">
        <v>111</v>
      </c>
      <c r="DL2" s="2026">
        <v>112</v>
      </c>
      <c r="DM2" s="2026">
        <v>113</v>
      </c>
      <c r="DN2" s="2026">
        <v>114</v>
      </c>
      <c r="DO2" s="2026">
        <v>115</v>
      </c>
      <c r="DP2" s="2026">
        <v>116</v>
      </c>
      <c r="DQ2" s="2026">
        <v>117</v>
      </c>
      <c r="DR2" s="2026">
        <v>118</v>
      </c>
      <c r="DS2" s="2026">
        <v>119</v>
      </c>
      <c r="DT2" s="2026">
        <v>120</v>
      </c>
      <c r="DU2" s="2026">
        <v>121</v>
      </c>
      <c r="DV2" s="2026">
        <v>122</v>
      </c>
      <c r="DW2" s="2026">
        <v>123</v>
      </c>
      <c r="DX2" s="2026">
        <v>124</v>
      </c>
      <c r="DY2" s="2026">
        <v>125</v>
      </c>
      <c r="DZ2" s="2026">
        <v>126</v>
      </c>
      <c r="EA2" s="2026">
        <v>127</v>
      </c>
      <c r="EB2" s="2026">
        <v>128</v>
      </c>
      <c r="EC2" s="2026">
        <v>129</v>
      </c>
      <c r="ED2" s="2026">
        <v>130</v>
      </c>
      <c r="EE2" s="2026">
        <v>131</v>
      </c>
      <c r="EF2" s="2026">
        <v>132</v>
      </c>
      <c r="EG2" s="2026">
        <v>133</v>
      </c>
      <c r="EH2" s="2026">
        <v>134</v>
      </c>
      <c r="EI2" s="2026">
        <v>135</v>
      </c>
      <c r="EJ2" s="2026">
        <v>136</v>
      </c>
      <c r="EK2" s="2026">
        <v>137</v>
      </c>
      <c r="EL2" s="2026">
        <v>138</v>
      </c>
      <c r="EM2" s="2026">
        <v>139</v>
      </c>
      <c r="EN2" s="2026">
        <v>140</v>
      </c>
      <c r="EO2" s="2026">
        <v>141</v>
      </c>
      <c r="EP2" s="2026">
        <v>142</v>
      </c>
      <c r="EQ2" s="2026">
        <v>143</v>
      </c>
      <c r="ER2" s="2026">
        <v>144</v>
      </c>
      <c r="ES2" s="2026">
        <v>145</v>
      </c>
      <c r="ET2" s="2026">
        <v>146</v>
      </c>
      <c r="EU2" s="2026">
        <v>147</v>
      </c>
      <c r="EV2" s="2026">
        <v>148</v>
      </c>
      <c r="EW2" s="2026">
        <v>149</v>
      </c>
      <c r="EX2" s="2026">
        <v>150</v>
      </c>
      <c r="EY2" s="2026">
        <v>151</v>
      </c>
      <c r="EZ2" s="2026">
        <v>152</v>
      </c>
      <c r="FA2" s="2026">
        <v>153</v>
      </c>
      <c r="FB2" s="2026">
        <v>154</v>
      </c>
      <c r="FC2" s="2026">
        <v>155</v>
      </c>
      <c r="FD2" s="2026">
        <v>156</v>
      </c>
      <c r="FE2" s="2026">
        <v>157</v>
      </c>
      <c r="FF2" s="2026">
        <v>158</v>
      </c>
      <c r="FG2" s="2026">
        <v>159</v>
      </c>
      <c r="FH2" s="2026">
        <v>160</v>
      </c>
      <c r="FI2" s="2026">
        <v>161</v>
      </c>
      <c r="FJ2" s="2026">
        <v>162</v>
      </c>
      <c r="FK2" s="2026">
        <v>163</v>
      </c>
      <c r="FL2" s="2026">
        <v>164</v>
      </c>
      <c r="FM2" s="2026">
        <v>165</v>
      </c>
      <c r="FN2" s="2026">
        <v>166</v>
      </c>
      <c r="FO2" s="2026">
        <v>167</v>
      </c>
      <c r="FP2" s="2026">
        <v>168</v>
      </c>
      <c r="FQ2" s="2026">
        <v>169</v>
      </c>
      <c r="FR2" s="2026">
        <v>170</v>
      </c>
      <c r="FS2" s="2026">
        <v>171</v>
      </c>
      <c r="FT2" s="2026">
        <v>172</v>
      </c>
      <c r="FU2" s="2026">
        <v>173</v>
      </c>
      <c r="FV2" s="2026">
        <v>174</v>
      </c>
      <c r="FW2" s="2026">
        <v>175</v>
      </c>
      <c r="FX2" s="2026">
        <v>176</v>
      </c>
      <c r="FY2" s="2026">
        <v>177</v>
      </c>
      <c r="FZ2" s="2026">
        <v>178</v>
      </c>
      <c r="GA2" s="2026">
        <v>179</v>
      </c>
      <c r="GB2" s="2026">
        <v>180</v>
      </c>
      <c r="GC2" s="2026">
        <v>181</v>
      </c>
      <c r="GD2" s="2026">
        <v>182</v>
      </c>
      <c r="GE2" s="2026">
        <v>183</v>
      </c>
      <c r="GF2" s="2026">
        <v>184</v>
      </c>
      <c r="GG2" s="2026">
        <v>185</v>
      </c>
      <c r="GH2" s="2026">
        <v>186</v>
      </c>
      <c r="GI2" s="2026">
        <v>187</v>
      </c>
      <c r="GJ2" s="2026">
        <v>188</v>
      </c>
      <c r="GK2" s="2026">
        <v>189</v>
      </c>
      <c r="GL2" s="2026">
        <v>190</v>
      </c>
      <c r="GM2" s="2026">
        <v>191</v>
      </c>
      <c r="GN2" s="2026">
        <v>192</v>
      </c>
      <c r="GO2" s="2026">
        <v>193</v>
      </c>
      <c r="GP2" s="2026">
        <v>194</v>
      </c>
      <c r="GQ2" s="2026">
        <v>195</v>
      </c>
      <c r="GR2" s="2026">
        <v>196</v>
      </c>
      <c r="GS2" s="2026">
        <v>197</v>
      </c>
      <c r="GT2" s="2026">
        <v>198</v>
      </c>
      <c r="GU2" s="2026">
        <v>199</v>
      </c>
      <c r="GV2" s="2026">
        <v>200</v>
      </c>
      <c r="GW2" s="2026">
        <v>201</v>
      </c>
      <c r="GX2" s="2026">
        <v>202</v>
      </c>
      <c r="GY2" s="2026">
        <v>203</v>
      </c>
      <c r="GZ2" s="2026">
        <v>204</v>
      </c>
      <c r="HA2" s="2026">
        <v>205</v>
      </c>
      <c r="HB2" s="2026">
        <v>206</v>
      </c>
      <c r="HC2" s="2026">
        <v>207</v>
      </c>
      <c r="HD2" s="2026">
        <v>208</v>
      </c>
      <c r="HE2" s="2026">
        <v>209</v>
      </c>
      <c r="HF2" s="2026">
        <v>210</v>
      </c>
      <c r="HG2" s="2026">
        <v>211</v>
      </c>
      <c r="HH2" s="2026">
        <v>212</v>
      </c>
      <c r="HI2" s="2026">
        <v>213</v>
      </c>
      <c r="HJ2" s="2026">
        <v>214</v>
      </c>
      <c r="HK2" s="2026">
        <v>215</v>
      </c>
      <c r="HL2" s="2026">
        <v>216</v>
      </c>
      <c r="HM2" s="2026">
        <v>217</v>
      </c>
      <c r="HN2" s="2026">
        <v>218</v>
      </c>
      <c r="HO2" s="2026">
        <v>219</v>
      </c>
      <c r="HP2" s="2026">
        <v>220</v>
      </c>
      <c r="HQ2" s="2026">
        <v>221</v>
      </c>
      <c r="HR2" s="2026">
        <v>222</v>
      </c>
      <c r="HS2" s="2026">
        <v>223</v>
      </c>
      <c r="HT2" s="2026">
        <v>224</v>
      </c>
      <c r="HU2" s="2026">
        <v>225</v>
      </c>
      <c r="HV2" s="2026">
        <v>226</v>
      </c>
      <c r="HW2" s="2026">
        <v>227</v>
      </c>
      <c r="HX2" s="2026">
        <v>228</v>
      </c>
      <c r="HY2" s="2026">
        <v>229</v>
      </c>
      <c r="HZ2" s="2026">
        <v>230</v>
      </c>
      <c r="IA2" s="2026">
        <v>231</v>
      </c>
      <c r="IB2" s="2026">
        <v>232</v>
      </c>
      <c r="IC2" s="2026">
        <v>233</v>
      </c>
      <c r="ID2" s="2026">
        <v>234</v>
      </c>
      <c r="IE2" s="2026">
        <v>235</v>
      </c>
      <c r="IF2" s="2026">
        <v>236</v>
      </c>
      <c r="IG2" s="2026">
        <v>237</v>
      </c>
      <c r="IH2" s="2026">
        <v>238</v>
      </c>
      <c r="II2" s="2026">
        <v>239</v>
      </c>
      <c r="IJ2" s="2026">
        <v>240</v>
      </c>
      <c r="IK2" s="2026">
        <v>241</v>
      </c>
      <c r="IL2" s="2026">
        <v>242</v>
      </c>
      <c r="IM2" s="2026">
        <v>243</v>
      </c>
      <c r="IN2" s="2026">
        <v>244</v>
      </c>
      <c r="IO2" s="2026">
        <v>245</v>
      </c>
      <c r="IP2" s="2026">
        <v>246</v>
      </c>
      <c r="IQ2" s="2026">
        <v>247</v>
      </c>
      <c r="IR2" s="2026">
        <v>248</v>
      </c>
      <c r="IS2" s="2026">
        <v>249</v>
      </c>
      <c r="IT2" s="2026">
        <v>250</v>
      </c>
      <c r="IU2" s="2026">
        <v>251</v>
      </c>
      <c r="IV2" s="2026">
        <v>252</v>
      </c>
      <c r="IW2" s="2026">
        <v>253</v>
      </c>
      <c r="IX2" s="2026">
        <v>254</v>
      </c>
      <c r="IY2" s="2026">
        <v>255</v>
      </c>
      <c r="IZ2" s="2026">
        <v>256</v>
      </c>
      <c r="JA2" s="2026">
        <v>257</v>
      </c>
      <c r="JB2" s="2026">
        <v>258</v>
      </c>
      <c r="JC2" s="2026">
        <v>259</v>
      </c>
      <c r="JD2" s="1134">
        <v>260</v>
      </c>
      <c r="JE2" s="1134">
        <v>261</v>
      </c>
      <c r="JF2" s="1134">
        <v>262</v>
      </c>
      <c r="JG2" s="2485">
        <v>263</v>
      </c>
      <c r="JH2" s="1233"/>
      <c r="JI2" s="1232" t="s">
        <v>5040</v>
      </c>
      <c r="JJ2" s="1685" t="s">
        <v>6104</v>
      </c>
    </row>
    <row ht="12.75" r="3" spans="1:270" x14ac:dyDescent="0.2">
      <c r="A3" s="1128">
        <v>2</v>
      </c>
      <c r="B3" s="632">
        <f>IF(EMP_A_IND&gt;1,IF(HLOOKUP(EMP_A_IND-1,EMP_RANGE_A,A3)="","",HLOOKUP(EMP_A_IND-1,EMP_RANGE_A,A3)),"")</f>
        <v>33254</v>
      </c>
      <c r="C3" s="1524" t="s">
        <v>9</v>
      </c>
      <c r="D3" s="2928" t="s">
        <v>7312</v>
      </c>
      <c r="E3" s="2467">
        <f>SBR_band+P_A+(MAX(0,BR_band-SBR_band))</f>
        <v>50000</v>
      </c>
      <c r="F3" s="2467">
        <v>33254</v>
      </c>
      <c r="G3" s="2467">
        <v>33254</v>
      </c>
      <c r="H3" s="3088">
        <v>40511</v>
      </c>
      <c r="I3" s="2468"/>
      <c r="J3" s="2468"/>
      <c r="K3" s="2467">
        <v>33254</v>
      </c>
      <c r="L3" s="2468"/>
      <c r="M3" s="2468"/>
      <c r="N3" s="2468"/>
      <c r="O3" s="2467">
        <v>33254</v>
      </c>
      <c r="P3" s="2468"/>
      <c r="Q3" s="2467">
        <v>33254</v>
      </c>
      <c r="R3" s="2467">
        <v>33254</v>
      </c>
      <c r="S3" s="2468"/>
      <c r="T3" s="2468"/>
      <c r="U3" s="3710">
        <v>97504</v>
      </c>
      <c r="V3" s="2467">
        <v>37950</v>
      </c>
      <c r="W3" s="2467">
        <v>9050</v>
      </c>
      <c r="X3" s="2467">
        <f>P_A-1000</f>
        <v>11500</v>
      </c>
      <c r="Y3" s="2467">
        <f>P_A+1000</f>
        <v>13500</v>
      </c>
      <c r="Z3" s="2468"/>
      <c r="AA3" s="2467">
        <v>33254</v>
      </c>
      <c r="AB3" s="2468"/>
      <c r="AC3" s="2467">
        <v>9050</v>
      </c>
      <c r="AD3" s="3512">
        <v>54145</v>
      </c>
      <c r="AE3" s="3512">
        <v>36480</v>
      </c>
      <c r="AF3" s="2467"/>
      <c r="AG3" s="3512">
        <v>149777</v>
      </c>
      <c r="AH3" s="3512">
        <v>128050</v>
      </c>
      <c r="AI3" s="3512">
        <v>2250</v>
      </c>
      <c r="AJ3" s="3088">
        <v>19789</v>
      </c>
      <c r="AK3" s="2467">
        <v>33254</v>
      </c>
      <c r="AL3" s="2468"/>
      <c r="AM3" s="2468"/>
      <c r="AN3" s="2468"/>
      <c r="AO3" s="2468"/>
      <c r="AP3" s="2467">
        <v>33254</v>
      </c>
      <c r="AQ3" s="2467">
        <v>33254</v>
      </c>
      <c r="AR3" s="2468"/>
      <c r="AS3" s="2467">
        <v>18500</v>
      </c>
      <c r="AT3" s="2467">
        <f>P_A-1000</f>
        <v>11500</v>
      </c>
      <c r="AU3" s="2467">
        <v>101000</v>
      </c>
      <c r="AV3" s="2468"/>
      <c r="AW3" s="2467"/>
      <c r="AX3" s="2467"/>
      <c r="AY3" s="2467"/>
      <c r="AZ3" s="2467"/>
      <c r="BA3" s="2467">
        <v>27515</v>
      </c>
      <c r="BB3" s="2467">
        <v>8000</v>
      </c>
      <c r="BC3" s="2467"/>
      <c r="BD3" s="2467">
        <v>18500</v>
      </c>
      <c r="BE3" s="3710">
        <v>1000</v>
      </c>
      <c r="BF3" s="3710">
        <v>25500</v>
      </c>
      <c r="BG3" s="2467">
        <v>33254</v>
      </c>
      <c r="BH3" s="3710">
        <f>P_A-1450</f>
        <v>11050</v>
      </c>
      <c r="BI3" s="3710">
        <f>BR_band-5100</f>
        <v>32400</v>
      </c>
      <c r="BJ3" s="2467"/>
      <c r="BK3" s="2467"/>
      <c r="BL3" s="2467"/>
      <c r="BM3" s="2467">
        <v>27515</v>
      </c>
      <c r="BN3" s="2467"/>
      <c r="BO3" s="2467">
        <v>33254</v>
      </c>
      <c r="BP3" s="2467"/>
      <c r="BQ3" s="2467"/>
      <c r="BR3" s="2467"/>
      <c r="BS3" s="2467">
        <v>8000</v>
      </c>
      <c r="BT3" s="2467"/>
      <c r="BU3" s="2467"/>
      <c r="BV3" s="2467"/>
      <c r="BW3" s="2467"/>
      <c r="BX3" s="2467"/>
      <c r="BY3" s="2467"/>
      <c r="BZ3" s="2467"/>
      <c r="CA3" s="2467"/>
      <c r="CB3" s="2467"/>
      <c r="CC3" s="2467"/>
      <c r="CD3" s="2467">
        <v>8000</v>
      </c>
      <c r="CE3" s="2468">
        <v>55750</v>
      </c>
      <c r="CF3" s="2467">
        <v>33254</v>
      </c>
      <c r="CG3" s="2467"/>
      <c r="CH3" s="2467">
        <v>33254</v>
      </c>
      <c r="CI3" s="2467"/>
      <c r="CJ3" s="2467"/>
      <c r="CK3" s="2467"/>
      <c r="CL3" s="2467"/>
      <c r="CM3" s="2467"/>
      <c r="CN3" s="2467">
        <v>18500</v>
      </c>
      <c r="CO3" s="2467">
        <v>18500</v>
      </c>
      <c r="CP3" s="2467"/>
      <c r="CQ3" s="2467">
        <v>9050</v>
      </c>
      <c r="CR3" s="2467"/>
      <c r="CS3" s="2467"/>
      <c r="CT3" s="2467"/>
      <c r="CU3" s="2467"/>
      <c r="CV3" s="2467">
        <v>27515</v>
      </c>
      <c r="CW3" s="2467"/>
      <c r="CX3" s="2467"/>
      <c r="CY3" s="2467"/>
      <c r="CZ3" s="2467"/>
      <c r="DA3" s="2467"/>
      <c r="DB3" s="3710">
        <v>15334</v>
      </c>
      <c r="DC3" s="2467"/>
      <c r="DD3" s="2467">
        <v>8000</v>
      </c>
      <c r="DE3" s="2467">
        <v>18500</v>
      </c>
      <c r="DF3" s="2467">
        <v>33254</v>
      </c>
      <c r="DG3" s="2467"/>
      <c r="DH3" s="2467"/>
      <c r="DI3" s="2467">
        <v>9050</v>
      </c>
      <c r="DJ3" s="2467"/>
      <c r="DK3" s="2467">
        <v>27515</v>
      </c>
      <c r="DL3" s="2467">
        <v>101000</v>
      </c>
      <c r="DM3" s="2467"/>
      <c r="DN3" s="2467"/>
      <c r="DO3" s="2467"/>
      <c r="DP3" s="2468">
        <v>55750</v>
      </c>
      <c r="DQ3" s="2467"/>
      <c r="DR3" s="2467"/>
      <c r="DS3" s="2467"/>
      <c r="DT3" s="2467">
        <v>101000</v>
      </c>
      <c r="DU3" s="2467">
        <v>8000</v>
      </c>
      <c r="DV3" s="2467">
        <v>27515</v>
      </c>
      <c r="DW3" s="2467"/>
      <c r="DX3" s="2467"/>
      <c r="DY3" s="2467"/>
      <c r="DZ3" s="2467"/>
      <c r="EA3" s="3710">
        <f>P_A-3510</f>
        <v>8990</v>
      </c>
      <c r="EB3" s="2467"/>
      <c r="EC3" s="2467"/>
      <c r="ED3" s="2467">
        <v>33254</v>
      </c>
      <c r="EE3" s="2467">
        <v>33254</v>
      </c>
      <c r="EF3" s="2467"/>
      <c r="EG3" s="2468">
        <v>55750</v>
      </c>
      <c r="EH3" s="2468">
        <v>55750</v>
      </c>
      <c r="EI3" s="2467">
        <v>101000</v>
      </c>
      <c r="EJ3" s="2467">
        <v>8000</v>
      </c>
      <c r="EK3" s="2467">
        <v>8000</v>
      </c>
      <c r="EL3" s="3710">
        <v>100998</v>
      </c>
      <c r="EM3" s="2467"/>
      <c r="EN3" s="2467"/>
      <c r="EO3" s="2467">
        <v>471407</v>
      </c>
      <c r="EP3" s="2467">
        <v>101000</v>
      </c>
      <c r="EQ3" s="2467"/>
      <c r="ER3" s="2467"/>
      <c r="ES3" s="2467"/>
      <c r="ET3" s="2467"/>
      <c r="EU3" s="2467"/>
      <c r="EV3" s="2467"/>
      <c r="EW3" s="2467"/>
      <c r="EX3" s="2467"/>
      <c r="EY3" s="2467"/>
      <c r="EZ3" s="2467">
        <v>18500</v>
      </c>
      <c r="FA3" s="2467"/>
      <c r="FB3" s="2467"/>
      <c r="FC3" s="2467">
        <v>89000</v>
      </c>
      <c r="FD3" s="2467">
        <v>89000</v>
      </c>
      <c r="FE3" s="2467"/>
      <c r="FF3" s="2467"/>
      <c r="FG3" s="2467"/>
      <c r="FH3" s="2467"/>
      <c r="FI3" s="2467"/>
      <c r="FJ3" s="2467"/>
      <c r="FK3" s="2467"/>
      <c r="FL3" s="2467"/>
      <c r="FM3" s="2467">
        <v>8000</v>
      </c>
      <c r="FN3" s="2468">
        <v>55750</v>
      </c>
      <c r="FO3" s="2468">
        <v>55750</v>
      </c>
      <c r="FP3" s="3646">
        <v>39052</v>
      </c>
      <c r="FQ3" s="2467">
        <v>33254</v>
      </c>
      <c r="FR3" s="2467"/>
      <c r="FS3" s="2467"/>
      <c r="FT3" s="2467"/>
      <c r="FU3" s="2467"/>
      <c r="FV3" s="2467"/>
      <c r="FW3" s="2467">
        <v>18500</v>
      </c>
      <c r="FX3" s="2467"/>
      <c r="FY3" s="2467"/>
      <c r="FZ3" s="2467"/>
      <c r="GA3" s="2467"/>
      <c r="GB3" s="2467"/>
      <c r="GC3" s="2467">
        <v>33254</v>
      </c>
      <c r="GD3" s="2467">
        <v>18500</v>
      </c>
      <c r="GE3" s="2467"/>
      <c r="GF3" s="2467">
        <v>101000</v>
      </c>
      <c r="GG3" s="2467"/>
      <c r="GH3" s="2467"/>
      <c r="GI3" s="2467"/>
      <c r="GJ3" s="2467"/>
      <c r="GK3" s="2467">
        <v>18500</v>
      </c>
      <c r="GL3" s="2467"/>
      <c r="GM3" s="2467"/>
      <c r="GN3" s="2467"/>
      <c r="GO3" s="2467">
        <v>33254</v>
      </c>
      <c r="GP3" s="2467">
        <v>37950</v>
      </c>
      <c r="GQ3" s="2467">
        <v>18500</v>
      </c>
      <c r="GR3" s="2467">
        <v>37950</v>
      </c>
      <c r="GS3" s="2468">
        <v>55750</v>
      </c>
      <c r="GT3" s="2467"/>
      <c r="GU3" s="2467"/>
      <c r="GV3" s="3089">
        <v>4266</v>
      </c>
      <c r="GW3" s="2467">
        <v>33254</v>
      </c>
      <c r="GX3" s="2467">
        <v>101000</v>
      </c>
      <c r="GY3" s="2467"/>
      <c r="GZ3" s="2467">
        <v>101000</v>
      </c>
      <c r="HA3" s="2468">
        <v>55750</v>
      </c>
      <c r="HB3" s="2467">
        <v>299000</v>
      </c>
      <c r="HC3" s="2467"/>
      <c r="HD3" s="2467"/>
      <c r="HE3" s="2467"/>
      <c r="HF3" s="2467">
        <v>471407</v>
      </c>
      <c r="HG3" s="2467">
        <v>471407</v>
      </c>
      <c r="HH3" s="2467"/>
      <c r="HI3" s="2467">
        <v>33254</v>
      </c>
      <c r="HJ3" s="2467"/>
      <c r="HK3" s="2467"/>
      <c r="HL3" s="2467"/>
      <c r="HM3" s="2467"/>
      <c r="HN3" s="2467"/>
      <c r="HO3" s="2467">
        <v>9050</v>
      </c>
      <c r="HP3" s="2467"/>
      <c r="HQ3" s="2467"/>
      <c r="HR3" s="2467"/>
      <c r="HS3" s="2467"/>
      <c r="HT3" s="2467"/>
      <c r="HU3" s="2467"/>
      <c r="HV3" s="2467"/>
      <c r="HW3" s="2467"/>
      <c r="HX3" s="2467"/>
      <c r="HY3" s="2467">
        <f>SBR_band+P_A+(MAX(0,BR_band-SBR_band))</f>
        <v>50000</v>
      </c>
      <c r="HZ3" s="2467"/>
      <c r="IA3" s="2467"/>
      <c r="IB3" s="2467"/>
      <c r="IC3" s="2467"/>
      <c r="ID3" s="2467"/>
      <c r="IE3" s="2467">
        <f>P_A-1000</f>
        <v>11500</v>
      </c>
      <c r="IF3" s="2467">
        <f>P_A+1000</f>
        <v>13500</v>
      </c>
      <c r="IG3" s="2467">
        <f>P_A-1000</f>
        <v>11500</v>
      </c>
      <c r="IH3" s="2467">
        <v>1089</v>
      </c>
      <c r="II3" s="2467">
        <v>15000</v>
      </c>
      <c r="IJ3" s="2467"/>
      <c r="IK3" s="2467">
        <f>P_A+1500</f>
        <v>14000</v>
      </c>
      <c r="IL3" s="2467"/>
      <c r="IM3" s="2467"/>
      <c r="IN3" s="2467"/>
      <c r="IO3" s="2467">
        <v>1073</v>
      </c>
      <c r="IP3" s="2467"/>
      <c r="IQ3" s="2467"/>
      <c r="IR3" s="2467"/>
      <c r="IS3" s="4017">
        <v>175921</v>
      </c>
      <c r="IT3" s="2467"/>
      <c r="IU3" s="2467"/>
      <c r="IV3" s="2467"/>
      <c r="IW3" s="2467"/>
      <c r="IX3" s="2467"/>
      <c r="IY3" s="2467"/>
      <c r="IZ3" s="4017">
        <v>180325</v>
      </c>
      <c r="JA3" s="2839"/>
      <c r="JB3" s="2839"/>
      <c r="JC3" s="2839"/>
      <c r="JD3" s="4255">
        <f>P_A</f>
        <v>12500</v>
      </c>
      <c r="JE3" s="4255">
        <f>P_A+BR_band</f>
        <v>50000</v>
      </c>
      <c r="JF3" s="4255">
        <f>P_A-4300</f>
        <v>8200</v>
      </c>
      <c r="JG3" s="3785"/>
      <c r="JH3" s="1233"/>
      <c r="JI3" s="1232"/>
      <c r="JJ3" s="1660" t="s">
        <v>6124</v>
      </c>
    </row>
    <row ht="12.75" r="4" spans="1:270" x14ac:dyDescent="0.2">
      <c r="A4" s="1128">
        <v>3</v>
      </c>
      <c r="B4" s="632">
        <f ref="B4:B24" si="0" t="shared">IF(EMP_A_IND&gt;1,IF(HLOOKUP(EMP_A_IND-1,EMP_RANGE_A,A4)="","",HLOOKUP(EMP_A_IND-1,EMP_RANGE_A,A4)),"")</f>
        <v>2000</v>
      </c>
      <c r="C4" s="1524" t="s">
        <v>10</v>
      </c>
      <c r="D4" s="2928" t="s">
        <v>7313</v>
      </c>
      <c r="E4" s="2934">
        <f>MAX((E3+E13+E14+E15+E16+E17+E18+E19+E20-P_A)*SBR_rate,0)+MAX((E3+E13+E14+E15+E16+E17+E18+E19+E20-P_A-SHR_band)*BR_rate,0)</f>
        <v>7500</v>
      </c>
      <c r="F4" s="2934">
        <v>2000</v>
      </c>
      <c r="G4" s="2934">
        <v>2000</v>
      </c>
      <c r="H4" s="2934">
        <f>MAX((H3+H13+H14+H15+H16+H17+H18+H19+H20-P_A)*BR_rate,0)+MAX((H3+H13+H14+H15+H16+H17+H18+H19+H20-P_A-HR_band)*BR_rate,0)</f>
        <v>5602.2000000000007</v>
      </c>
      <c r="I4" s="2470"/>
      <c r="J4" s="2470"/>
      <c r="K4" s="2470">
        <v>2000</v>
      </c>
      <c r="L4" s="2470"/>
      <c r="M4" s="2470"/>
      <c r="N4" s="2470"/>
      <c r="O4" s="2470">
        <v>2000</v>
      </c>
      <c r="P4" s="2470"/>
      <c r="Q4" s="2470">
        <v>2000</v>
      </c>
      <c r="R4" s="2470">
        <v>2000</v>
      </c>
      <c r="S4" s="2470"/>
      <c r="T4" s="2470"/>
      <c r="U4" s="3711">
        <f>MAX((U3+U13+U14+U15+U16+U17+U18+U19+U20-P_A)*BR_rate,0)+MAX((U3+U13+U14+U15+U16+U17+U18+U19+U20-P_A-HR_band)*BR_rate,0)</f>
        <v>17000.8</v>
      </c>
      <c r="V4" s="2470">
        <v>5879</v>
      </c>
      <c r="W4" s="2471">
        <f>MAX((W3+W13+W14+W15+W16+W17+W18+W19+W20-P_A)*BR_rate,0)+MAX((W3+W13+W14+W15+W16+W17+W18+W19+W20-P_A-HR_band)*BR_rate,0)</f>
        <v>0</v>
      </c>
      <c r="X4" s="2470">
        <v>0</v>
      </c>
      <c r="Y4" s="2470">
        <f>MAX((Y3+Y13+Y14+Y15+Y16+Y17+Y18+Y19+Y20-P_A)*BR_rate,0)+MAX((Y3+Y13+Y14+Y15+Y16+Y17+Y18+Y19+Y20-P_A-HR_band)*BR_rate,0)</f>
        <v>200</v>
      </c>
      <c r="Z4" s="2470"/>
      <c r="AA4" s="2470">
        <v>2000</v>
      </c>
      <c r="AB4" s="2470"/>
      <c r="AC4" s="2471">
        <f>MAX((AC3+AC13+AC14+AC15+AC16+AC17+AC18+AC19+AC20-P_A)*BR_rate,0)+MAX((AC3+AC13+AC14+AC15+AC16+AC17+AC18+AC19+AC20-P_A-HR_band)*BR_rate,0)</f>
        <v>0</v>
      </c>
      <c r="AD4" s="3513">
        <f>MAX((AD3+AD13+AD14+AD15+AD16+AD17+AD18+AD19+AD20-P_A)*BR_rate,0)+MAX((AD3+AD13+AD14+AD15+AD16+AD17+AD18+AD19+AD20-P_A-HR_band)*BR_rate,0)</f>
        <v>8329</v>
      </c>
      <c r="AE4" s="3513">
        <v>452</v>
      </c>
      <c r="AF4" s="2471"/>
      <c r="AG4" s="3513">
        <v>55077.64</v>
      </c>
      <c r="AH4" s="3513">
        <v>46192</v>
      </c>
      <c r="AI4" s="3513">
        <v>-250</v>
      </c>
      <c r="AJ4" s="2471">
        <f>MAX((AJ3+AJ13+AJ14+AJ15+AJ16+AJ17+AJ18+AJ19+AJ20-P_A)*BR_rate,0)+MAX((AJ3+AJ13+AJ14+AJ15+AJ16+AJ17+AJ18+AJ19+AJ20-P_A-HR_band)*BR_rate,0)</f>
        <v>1457.8000000000002</v>
      </c>
      <c r="AK4" s="2471">
        <f>MAX((AK3+AK13+AK14+AK15+AK16+AK17+AK18+AK19+AK20-P_A)*BR_rate,0)+MAX((AK3+AK13+AK14+AK15+AK16+AK17+AK18+AK19+AK20-P_A-HR_band)*BR_rate,0)</f>
        <v>4150.8</v>
      </c>
      <c r="AL4" s="2470"/>
      <c r="AM4" s="2470"/>
      <c r="AN4" s="2470"/>
      <c r="AO4" s="2470"/>
      <c r="AP4" s="2471">
        <f>MAX((AP3+AP13+AP14+AP15+AP16+AP17+AP18+AP19+AP20-P_A)*BR_rate,0)+MAX((AP3+AP13+AP14+AP15+AP16+AP17+AP18+AP19+AP20-P_A-HR_band)*BR_rate,0)</f>
        <v>4150.8</v>
      </c>
      <c r="AQ4" s="2471">
        <f>MAX((AQ3+AQ13+AQ14+AQ15+AQ16+AQ17+AQ18+AQ19+AQ20-P_A)*BR_rate,0)+MAX((AQ3+AQ13+AQ14+AQ15+AQ16+AQ17+AQ18+AQ19+AQ20-P_A-HR_band)*BR_rate,0)</f>
        <v>4150.8</v>
      </c>
      <c r="AR4" s="2470"/>
      <c r="AS4" s="2471">
        <f>MAX((AS3+AS13+AS14+AS15+AS16+AS17+AS18+AS19+AS20-P_A)*BR_rate,0)+MAX((AS3+AS13+AS14+AS15+AS16+AS17+AS18+AS19+AS20-P_A-HR_band)*BR_rate,0)</f>
        <v>1320</v>
      </c>
      <c r="AT4" s="2470">
        <v>0</v>
      </c>
      <c r="AU4" s="2471">
        <f>MAX((AU3+AU13+AU14+AU15+AU16+AU17+AU18+AU19+AU20-P_A)*BR_rate,0)+MAX((AU3+AU13+AU14+AU15+AU16+AU17+AU18+AU19+AU20-P_A-HR_band)*BR_rate,0)</f>
        <v>20300</v>
      </c>
      <c r="AV4" s="2473"/>
      <c r="AW4" s="2472"/>
      <c r="AX4" s="2472"/>
      <c r="AY4" s="2472"/>
      <c r="AZ4" s="2472"/>
      <c r="BA4" s="2471">
        <f>MAX((BA3+BA13+BA14+BA15+BA16+BA17+BA18+BA19+BA20-P_A)*BR_rate,0)+MAX((BA3+BA13+BA14+BA15+BA16+BA17+BA18+BA19+BA20-P_A-HR_band)*BR_rate,0)</f>
        <v>3598</v>
      </c>
      <c r="BB4" s="2471">
        <f>MAX((BB3+BB13+BB14+BB15+BB16+BB17+BB18+BB19+BB20-P_A)*BR_rate,0)+MAX((BB3+BB13+BB14+BB15+BB16+BB17+BB18+BB19+BB20-P_A-HR_band)*BR_rate,0)</f>
        <v>0</v>
      </c>
      <c r="BC4" s="2470"/>
      <c r="BD4" s="2471">
        <f>MAX((BD3+BD13+BD14+BD15+BD16+BD17+BD18+BD19+BD20-P_A)*BR_rate,0)+MAX((BD3+BD13+BD14+BD15+BD16+BD17+BD18+BD19+BD20-P_A-HR_band)*BR_rate,0)</f>
        <v>1320</v>
      </c>
      <c r="BE4" s="3711">
        <v>400</v>
      </c>
      <c r="BF4" s="3711">
        <f>MAX((BF3+BF13+BF14+BF15+BF16+BF17+BF18+BF19+BF20-P_A)*BR_rate,0)+MAX((BF3+BF13+BF14+BF15+BF16+BF17+BF18+BF19+BF20-P_A-HR_band)*BR_rate,0)</f>
        <v>3195</v>
      </c>
      <c r="BG4" s="2471">
        <f>MAX((BG3+BG13+BG14+BG15+BG16+BG17+BG18+BG19+BG20-P_A)*BR_rate,0)+MAX((BG3+BG13+BG14+BG15+BG16+BG17+BG18+BG19+BG20-P_A-HR_band)*BR_rate,0)</f>
        <v>4150.8</v>
      </c>
      <c r="BH4" s="3711">
        <f>MAX((BH3+BH13+BH14+BH15+BH16+BH17+BH18+BH19+BH20-P_A)*BR_rate,0)+MAX((BH3+BH13+BH14+BH15+BH16+BH17+BH18+BH19+BH20-P_A-HR_band)*BR_rate,0)</f>
        <v>0</v>
      </c>
      <c r="BI4" s="3711">
        <f>MAX((BI3+BI13+BI14+BI15+BI16+BI17+BI18+BI19+BI20-P_A)*BR_rate,0)+MAX((BI3+BI13+BI14+BI15+BI16+BI17+BI18+BI19+BI20-P_A-HR_band)*BR_rate,0)</f>
        <v>3980</v>
      </c>
      <c r="BJ4" s="2470"/>
      <c r="BK4" s="2470"/>
      <c r="BL4" s="2470"/>
      <c r="BM4" s="2471">
        <f>MAX((BM3+BM13+BM14+BM15+BM16+BM17+BM18+BM19+BM20-P_A)*BR_rate,0)+MAX((BM3+BM13+BM14+BM15+BM16+BM17+BM18+BM19+BM20-P_A-HR_band)*BR_rate,0)</f>
        <v>3598</v>
      </c>
      <c r="BN4" s="2470"/>
      <c r="BO4" s="2471">
        <f>MAX((BO3+BO13+BO14+BO15+BO16+BO17+BO18+BO19+BO20-P_A)*BR_rate,0)+MAX((BO3+BO13+BO14+BO15+BO16+BO17+BO18+BO19+BO20-P_A-HR_band)*BR_rate,0)</f>
        <v>4150.8</v>
      </c>
      <c r="BP4" s="2470"/>
      <c r="BQ4" s="2470"/>
      <c r="BR4" s="2470"/>
      <c r="BS4" s="2471">
        <f>MAX((BS3+BS13+BS14+BS15+BS16+BS17+BS18+BS19+BS20-P_A)*BR_rate,0)+MAX((BS3+BS13+BS14+BS15+BS16+BS17+BS18+BS19+BS20-P_A-HR_band)*BR_rate,0)</f>
        <v>0</v>
      </c>
      <c r="BT4" s="2470"/>
      <c r="BU4" s="2470"/>
      <c r="BV4" s="2470"/>
      <c r="BW4" s="2470"/>
      <c r="BX4" s="2470"/>
      <c r="BY4" s="2470"/>
      <c r="BZ4" s="2470"/>
      <c r="CA4" s="2470"/>
      <c r="CB4" s="2470"/>
      <c r="CC4" s="2470"/>
      <c r="CD4" s="2471">
        <f>MAX((CD3+CD13+CD14+CD15+CD16+CD17+CD18+CD19+CD20-P_A)*BR_rate,0)+MAX((CD3+CD13+CD14+CD15+CD16+CD17+CD18+CD19+CD20-P_A-HR_band)*BR_rate,0)</f>
        <v>0</v>
      </c>
      <c r="CE4" s="2471">
        <f>MAX((CE3+CE13+CE14+CE15+CE16+CE17+CE18+CE19+CE20-P_A)*BR_rate,0)+MAX((CE3+CE13+CE14+CE15+CE16+CE17+CE18+CE19+CE20-P_A-HR_band)*BR_rate,0)</f>
        <v>11840</v>
      </c>
      <c r="CF4" s="2471">
        <f>MAX((CF3+CF13+CF14+CF15+CF16+CF17+CF18+CF19+CF20-P_A)*BR_rate,0)+MAX((CF3+CF13+CF14+CF15+CF16+CF17+CF18+CF19+CF20-P_A-HR_band)*BR_rate,0)</f>
        <v>4150.8</v>
      </c>
      <c r="CG4" s="2470"/>
      <c r="CH4" s="2471">
        <f>MAX((CH3+CH13+CH14+CH15+CH16+CH17+CH18+CH19+CH20-P_A)*BR_rate,0)+MAX((CH3+CH13+CH14+CH15+CH16+CH17+CH18+CH19+CH20-P_A-HR_band)*BR_rate,0)</f>
        <v>4150.8</v>
      </c>
      <c r="CI4" s="2470"/>
      <c r="CJ4" s="2470"/>
      <c r="CK4" s="2470"/>
      <c r="CL4" s="2470"/>
      <c r="CM4" s="2470"/>
      <c r="CN4" s="2471">
        <f>MAX((CN3+CN13+CN14+CN15+CN16+CN17+CN18+CN19+CN20-P_A)*BR_rate,0)+MAX((CN3+CN13+CN14+CN15+CN16+CN17+CN18+CN19+CN20-P_A-HR_band)*BR_rate,0)</f>
        <v>1320</v>
      </c>
      <c r="CO4" s="2471">
        <f>MAX((CO3+CO13+CO14+CO15+CO16+CO17+CO18+CO19+CO20-P_A)*BR_rate,0)+MAX((CO3+CO13+CO14+CO15+CO16+CO17+CO18+CO19+CO20-P_A-HR_band)*BR_rate,0)</f>
        <v>1320</v>
      </c>
      <c r="CP4" s="2470"/>
      <c r="CQ4" s="2471">
        <f>MAX((CQ3+CQ13+CQ14+CQ15+CQ16+CQ17+CQ18+CQ19+CQ20-P_A)*BR_rate,0)+MAX((CQ3+CQ13+CQ14+CQ15+CQ16+CQ17+CQ18+CQ19+CQ20-P_A-HR_band)*BR_rate,0)</f>
        <v>0</v>
      </c>
      <c r="CR4" s="2470"/>
      <c r="CS4" s="2470"/>
      <c r="CT4" s="2470"/>
      <c r="CU4" s="2470"/>
      <c r="CV4" s="2471">
        <f>MAX((CV3+CV13+CV14+CV15+CV16+CV17+CV18+CV19+CV20-P_A)*BR_rate,0)+MAX((CV3+CV13+CV14+CV15+CV16+CV17+CV18+CV19+CV20-P_A-HR_band)*BR_rate,0)</f>
        <v>3598</v>
      </c>
      <c r="CW4" s="2470"/>
      <c r="CX4" s="2470"/>
      <c r="CY4" s="2470"/>
      <c r="CZ4" s="2470"/>
      <c r="DA4" s="2470"/>
      <c r="DB4" s="3711">
        <v>6133.6</v>
      </c>
      <c r="DC4" s="2470"/>
      <c r="DD4" s="2471">
        <f>MAX((DD3+DD13+DD14+DD15+DD16+DD17+DD18+DD19+DD20-P_A)*BR_rate,0)+MAX((DD3+DD13+DD14+DD15+DD16+DD17+DD18+DD19+DD20-P_A-HR_band)*BR_rate,0)</f>
        <v>0</v>
      </c>
      <c r="DE4" s="2471">
        <f>MAX((DE3+DE13+DE14+DE15+DE16+DE17+DE18+DE19+DE20-P_A)*BR_rate,0)+MAX((DE3+DE13+DE14+DE15+DE16+DE17+DE18+DE19+DE20-P_A-HR_band)*BR_rate,0)</f>
        <v>1320</v>
      </c>
      <c r="DF4" s="2471">
        <f>MAX((DF3+DF13+DF14+DF15+DF16+DF17+DF18+DF19+DF20-P_A)*BR_rate,0)+MAX((DF3+DF13+DF14+DF15+DF16+DF17+DF18+DF19+DF20-P_A-HR_band)*BR_rate,0)</f>
        <v>4150.8</v>
      </c>
      <c r="DG4" s="2470"/>
      <c r="DH4" s="2470"/>
      <c r="DI4" s="2471">
        <f>MAX((DI3+DI13+DI14+DI15+DI16+DI17+DI18+DI19+DI20-P_A)*BR_rate,0)+MAX((DI3+DI13+DI14+DI15+DI16+DI17+DI18+DI19+DI20-P_A-HR_band)*BR_rate,0)</f>
        <v>0</v>
      </c>
      <c r="DJ4" s="2470"/>
      <c r="DK4" s="2471">
        <f>MAX((DK3+DK13+DK14+DK15+DK16+DK17+DK18+DK19+DK20-P_A)*BR_rate,0)+MAX((DK3+DK13+DK14+DK15+DK16+DK17+DK18+DK19+DK20-P_A-HR_band)*BR_rate,0)</f>
        <v>3598</v>
      </c>
      <c r="DL4" s="2471">
        <f>MAX((DL3+DL13+DL14+DL15+DL16+DL17+DL18+DL19+DL20-P_A)*BR_rate,0)+MAX((DL3+DL13+DL14+DL15+DL16+DL17+DL18+DL19+DL20-P_A-HR_band)*BR_rate,0)</f>
        <v>20300</v>
      </c>
      <c r="DM4" s="2470"/>
      <c r="DN4" s="2470"/>
      <c r="DO4" s="2470"/>
      <c r="DP4" s="2471">
        <f>MAX((DP3+DP13+DP14+DP15+DP16+DP17+DP18+DP19+DP20-P_A)*BR_rate,0)+MAX((DP3+DP13+DP14+DP15+DP16+DP17+DP18+DP19+DP20-P_A-HR_band)*BR_rate,0)</f>
        <v>11840</v>
      </c>
      <c r="DQ4" s="2470"/>
      <c r="DR4" s="2470"/>
      <c r="DS4" s="2470"/>
      <c r="DT4" s="2471">
        <f>MAX((DT3+DT13+DT14+DT15+DT16+DT17+DT18+DT19+DT20-P_A)*BR_rate,0)+MAX((DT3+DT13+DT14+DT15+DT16+DT17+DT18+DT19+DT20-P_A-HR_band)*BR_rate,0)</f>
        <v>20300</v>
      </c>
      <c r="DU4" s="2471">
        <f>MAX((DU3+DU13+DU14+DU15+DU16+DU17+DU18+DU19+DU20-P_A)*BR_rate,0)+MAX((DU3+DU13+DU14+DU15+DU16+DU17+DU18+DU19+DU20-P_A-HR_band)*BR_rate,0)</f>
        <v>0</v>
      </c>
      <c r="DV4" s="2471">
        <f>MAX((DV3+DV13+DV14+DV15+DV16+DV17+DV18+DV19+DV20-P_A)*BR_rate,0)+MAX((DV3+DV13+DV14+DV15+DV16+DV17+DV18+DV19+DV20-P_A-HR_band)*BR_rate,0)</f>
        <v>3598</v>
      </c>
      <c r="DW4" s="2470"/>
      <c r="DX4" s="2470"/>
      <c r="DY4" s="2470"/>
      <c r="DZ4" s="2470"/>
      <c r="EA4" s="3711">
        <v>250</v>
      </c>
      <c r="EB4" s="2470"/>
      <c r="EC4" s="2470"/>
      <c r="ED4" s="2471">
        <f>MAX((ED3+ED13+ED14+ED15+ED16+ED17+ED18+ED19+ED20-P_A)*BR_rate,0)+MAX((ED3+ED13+ED14+ED15+ED16+ED17+ED18+ED19+ED20-P_A-HR_band)*BR_rate,0)</f>
        <v>4150.8</v>
      </c>
      <c r="EE4" s="2471">
        <f>MAX((EE3+EE13+EE14+EE15+EE16+EE17+EE18+EE19+EE20-P_A)*BR_rate,0)+MAX((EE3+EE13+EE14+EE15+EE16+EE17+EE18+EE19+EE20-P_A-HR_band)*BR_rate,0)</f>
        <v>4150.8</v>
      </c>
      <c r="EF4" s="2470"/>
      <c r="EG4" s="2471">
        <f ref="EG4:EL4" si="1" t="shared">MAX((EG3+EG13+EG14+EG15+EG16+EG17+EG18+EG19+EG20-P_A)*BR_rate,0)+MAX((EG3+EG13+EG14+EG15+EG16+EG17+EG18+EG19+EG20-P_A-HR_band)*BR_rate,0)</f>
        <v>11840</v>
      </c>
      <c r="EH4" s="2471">
        <f si="1" t="shared"/>
        <v>11840</v>
      </c>
      <c r="EI4" s="2471">
        <f si="1" t="shared"/>
        <v>20300</v>
      </c>
      <c r="EJ4" s="2471">
        <f si="1" t="shared"/>
        <v>0</v>
      </c>
      <c r="EK4" s="2471">
        <f si="1" t="shared"/>
        <v>0</v>
      </c>
      <c r="EL4" s="3711">
        <f si="1" t="shared"/>
        <v>21498.800000000003</v>
      </c>
      <c r="EM4" s="2470"/>
      <c r="EN4" s="2470"/>
      <c r="EO4" s="2470">
        <v>0</v>
      </c>
      <c r="EP4" s="2471">
        <f>MAX((EP3+EP13+EP14+EP15+EP16+EP17+EP18+EP19+EP20-P_A)*BR_rate,0)+MAX((EP3+EP13+EP14+EP15+EP16+EP17+EP18+EP19+EP20-P_A-HR_band)*BR_rate,0)</f>
        <v>20300</v>
      </c>
      <c r="EQ4" s="2470"/>
      <c r="ER4" s="2470"/>
      <c r="ES4" s="2470"/>
      <c r="ET4" s="2470"/>
      <c r="EU4" s="2470"/>
      <c r="EV4" s="2470"/>
      <c r="EW4" s="2470"/>
      <c r="EX4" s="2470"/>
      <c r="EY4" s="2470"/>
      <c r="EZ4" s="2471">
        <f>MAX((EZ3+EZ13+EZ14+EZ15+EZ16+EZ17+EZ18+EZ19+EZ20-P_A)*BR_rate,0)+MAX((EZ3+EZ13+EZ14+EZ15+EZ16+EZ17+EZ18+EZ19+EZ20-P_A-HR_band)*BR_rate,0)</f>
        <v>1320</v>
      </c>
      <c r="FA4" s="2470"/>
      <c r="FB4" s="2470"/>
      <c r="FC4" s="2471">
        <f>MAX((FC3+FC13+FC14+FC15+FC16+FC17+FC18+FC19+FC20-P_A)*BR_rate,0)+MAX((FC3+FC13+FC14+FC15+FC16+FC17+FC18+FC19+FC20-P_A-HR_band)*BR_rate,0)</f>
        <v>17100</v>
      </c>
      <c r="FD4" s="2471">
        <f>MAX((FD3+FD13+FD14+FD15+FD16+FD17+FD18+FD19+FD20-P_A)*BR_rate,0)+MAX((FD3+FD13+FD14+FD15+FD16+FD17+FD18+FD19+FD20-P_A-HR_band)*BR_rate,0)</f>
        <v>17100</v>
      </c>
      <c r="FE4" s="2470"/>
      <c r="FF4" s="2470"/>
      <c r="FG4" s="2470"/>
      <c r="FH4" s="2470"/>
      <c r="FI4" s="2470"/>
      <c r="FJ4" s="2470"/>
      <c r="FK4" s="2470"/>
      <c r="FL4" s="2470"/>
      <c r="FM4" s="2471">
        <f>MAX((FM3+FM13+FM14+FM15+FM16+FM17+FM18+FM19+FM20-P_A)*BR_rate,0)+MAX((FM3+FM13+FM14+FM15+FM16+FM17+FM18+FM19+FM20-P_A-HR_band)*BR_rate,0)</f>
        <v>0</v>
      </c>
      <c r="FN4" s="2471">
        <f>MAX((FN3+FN13+FN14+FN15+FN16+FN17+FN18+FN19+FN20-P_A)*BR_rate,0)+MAX((FN3+FN13+FN14+FN15+FN16+FN17+FN18+FN19+FN20-P_A-HR_band)*BR_rate,0)</f>
        <v>11840</v>
      </c>
      <c r="FO4" s="2471">
        <f>MAX((FO3+FO13+FO14+FO15+FO16+FO17+FO18+FO19+FO20-P_A)*BR_rate,0)+MAX((FO3+FO13+FO14+FO15+FO16+FO17+FO18+FO19+FO20-P_A-HR_band)*BR_rate,0)</f>
        <v>11840</v>
      </c>
      <c r="FP4" s="2471">
        <f>MAX((FP3+FP13+FP14+FP15+FP16+FP17+FP18+FP19+FP20-P_A)*BR_rate,0)+MAX((FP3+FP13+FP14+FP15+FP16+FP17+FP18+FP19+FP20-P_A-HR_band)*BR_rate,0)</f>
        <v>8500.4</v>
      </c>
      <c r="FQ4" s="2471">
        <f>MAX((FQ3+FQ13+FQ14+FQ15+FQ16+FQ17+FQ18+FQ19+FQ20-P_A)*BR_rate,0)+MAX((FQ3+FQ13+FQ14+FQ15+FQ16+FQ17+FQ18+FQ19+FQ20-P_A-HR_band)*BR_rate,0)</f>
        <v>4150.8</v>
      </c>
      <c r="FR4" s="2470"/>
      <c r="FS4" s="2470"/>
      <c r="FT4" s="2470"/>
      <c r="FU4" s="2470"/>
      <c r="FV4" s="2470"/>
      <c r="FW4" s="2471">
        <f>MAX((FW3+FW13+FW14+FW15+FW16+FW17+FW18+FW19+FW20-P_A)*BR_rate,0)+MAX((FW3+FW13+FW14+FW15+FW16+FW17+FW18+FW19+FW20-P_A-HR_band)*BR_rate,0)</f>
        <v>1320</v>
      </c>
      <c r="FX4" s="2470"/>
      <c r="FY4" s="2470"/>
      <c r="FZ4" s="2470"/>
      <c r="GA4" s="2470"/>
      <c r="GB4" s="2470"/>
      <c r="GC4" s="2471">
        <f>MAX((GC3+GC13+GC14+GC15+GC16+GC17+GC18+GC19+GC20-P_A)*BR_rate,0)+MAX((GC3+GC13+GC14+GC15+GC16+GC17+GC18+GC19+GC20-P_A-HR_band)*BR_rate,0)</f>
        <v>4150.8</v>
      </c>
      <c r="GD4" s="2471">
        <f>MAX((GD3+GD13+GD14+GD15+GD16+GD17+GD18+GD19+GD20-P_A)*BR_rate,0)+MAX((GD3+GD13+GD14+GD15+GD16+GD17+GD18+GD19+GD20-P_A-HR_band)*BR_rate,0)</f>
        <v>1320</v>
      </c>
      <c r="GE4" s="2470"/>
      <c r="GF4" s="2471">
        <f>MAX((GF3+GF13+GF14+GF15+GF16+GF17+GF18+GF19+GF20-P_A)*BR_rate,0)+MAX((GF3+GF13+GF14+GF15+GF16+GF17+GF18+GF19+GF20-P_A-HR_band)*BR_rate,0)</f>
        <v>20300</v>
      </c>
      <c r="GG4" s="2470"/>
      <c r="GH4" s="2470"/>
      <c r="GI4" s="2470"/>
      <c r="GJ4" s="2470"/>
      <c r="GK4" s="2471">
        <f>MAX((GK3+GK13+GK14+GK15+GK16+GK17+GK18+GK19+GK20-P_A)*BR_rate,0)+MAX((GK3+GK13+GK14+GK15+GK16+GK17+GK18+GK19+GK20-P_A-HR_band)*BR_rate,0)</f>
        <v>1320</v>
      </c>
      <c r="GL4" s="2470"/>
      <c r="GM4" s="2470"/>
      <c r="GN4" s="2470"/>
      <c r="GO4" s="2471">
        <f>MAX((GO3+GO13+GO14+GO15+GO16+GO17+GO18+GO19+GO20-P_A)*BR_rate,0)+MAX((GO3+GO13+GO14+GO15+GO16+GO17+GO18+GO19+GO20-P_A-HR_band)*BR_rate,0)</f>
        <v>4150.8</v>
      </c>
      <c r="GP4" s="2470">
        <v>5879</v>
      </c>
      <c r="GQ4" s="2471">
        <f>MAX((GQ3+GQ13+GQ14+GQ15+GQ16+GQ17+GQ18+GQ19+GQ20-P_A)*BR_rate,0)+MAX((GQ3+GQ13+GQ14+GQ15+GQ16+GQ17+GQ18+GQ19+GQ20-P_A-HR_band)*BR_rate,0)</f>
        <v>1320</v>
      </c>
      <c r="GR4" s="2470">
        <v>5879</v>
      </c>
      <c r="GS4" s="2471">
        <f>MAX((GS3+GS13+GS14+GS15+GS16+GS17+GS18+GS19+GS20-P_A)*BR_rate,0)+MAX((GS3+GS13+GS14+GS15+GS16+GS17+GS18+GS19+GS20-P_A-HR_band)*BR_rate,0)</f>
        <v>11840</v>
      </c>
      <c r="GT4" s="2470"/>
      <c r="GU4" s="2470"/>
      <c r="GV4" s="2471"/>
      <c r="GW4" s="2471">
        <f>MAX((GW3+GW13+GW14+GW15+GW16+GW17+GW18+GW19+GW20-P_A)*BR_rate,0)+MAX((GW3+GW13+GW14+GW15+GW16+GW17+GW18+GW19+GW20-P_A-HR_band)*BR_rate,0)</f>
        <v>4150.8</v>
      </c>
      <c r="GX4" s="2471">
        <f>MAX((GX3+GX13+GX14+GX15+GX16+GX17+GX18+GX19+GX20-P_A)*BR_rate,0)+MAX((GX3+GX13+GX14+GX15+GX16+GX17+GX18+GX19+GX20-P_A-HR_band)*BR_rate,0)</f>
        <v>20300</v>
      </c>
      <c r="GY4" s="2470"/>
      <c r="GZ4" s="2471">
        <f>MAX((GZ3+GZ13+GZ14+GZ15+GZ16+GZ17+GZ18+GZ19+GZ20-P_A)*BR_rate,0)+MAX((GZ3+GZ13+GZ14+GZ15+GZ16+GZ17+GZ18+GZ19+GZ20-P_A-HR_band)*BR_rate,0)</f>
        <v>20300</v>
      </c>
      <c r="HA4" s="2471">
        <f>MAX((HA3+HA13+HA14+HA15+HA16+HA17+HA18+HA19+HA20-P_A)*BR_rate,0)+MAX((HA3+HA13+HA14+HA15+HA16+HA17+HA18+HA19+HA20-P_A-HR_band)*BR_rate,0)</f>
        <v>11840</v>
      </c>
      <c r="HB4" s="2471">
        <f>MAX((HB3+HB13+HB14+HB15+HB16+HB17+HB18+HB19+HB20-P_A)*BR_rate,0)+MAX((HB3+HB13+HB14+HB15+HB16+HB17+HB18+HB19+HB20-P_A-HR_band)*BR_rate,0)</f>
        <v>95700</v>
      </c>
      <c r="HC4" s="2470"/>
      <c r="HD4" s="2470"/>
      <c r="HE4" s="2470"/>
      <c r="HF4" s="2470">
        <v>0</v>
      </c>
      <c r="HG4" s="2470">
        <v>0</v>
      </c>
      <c r="HH4" s="2470"/>
      <c r="HI4" s="2471">
        <f>MAX((HI3+HI13+HI14+HI15+HI16+HI17+HI18+HI19+HI20-P_A)*BR_rate,0)+MAX((HI3+HI13+HI14+HI15+HI16+HI17+HI18+HI19+HI20-P_A-HR_band)*BR_rate,0)</f>
        <v>4150.8</v>
      </c>
      <c r="HJ4" s="2470"/>
      <c r="HK4" s="2470"/>
      <c r="HL4" s="2470"/>
      <c r="HM4" s="2470"/>
      <c r="HN4" s="2470"/>
      <c r="HO4" s="2471">
        <f>MAX((HO3+HO13+HO14+HO15+HO16+HO17+HO18+HO19+HO20-P_A)*BR_rate,0)+MAX((HO3+HO13+HO14+HO15+HO16+HO17+HO18+HO19+HO20-P_A-HR_band)*BR_rate,0)</f>
        <v>0</v>
      </c>
      <c r="HP4" s="2470"/>
      <c r="HQ4" s="2470"/>
      <c r="HR4" s="2470"/>
      <c r="HS4" s="2470"/>
      <c r="HT4" s="2470"/>
      <c r="HU4" s="2470"/>
      <c r="HV4" s="2470"/>
      <c r="HW4" s="2470"/>
      <c r="HX4" s="2470"/>
      <c r="HY4" s="2470">
        <f>MAX((HY3+HY13+HY14+HY15+HY16+HY17+HY18+HY19+HY20-P_A)*SBR_rate,0)+MAX((HY3+HY13+HY14+HY15+HY16+HY17+HY18+HY19+HY20-P_A-SHR_band)*BR_rate,0)</f>
        <v>7500</v>
      </c>
      <c r="HZ4" s="2470"/>
      <c r="IA4" s="2470"/>
      <c r="IB4" s="2470"/>
      <c r="IC4" s="2470"/>
      <c r="ID4" s="2470"/>
      <c r="IE4" s="2470">
        <v>0</v>
      </c>
      <c r="IF4" s="2470">
        <f>MAX((IF3+IF13+IF14+IF15+IF16+IF17+IF18+IF19+IF20-P_A)*BR_rate,0)+MAX((IF3+IF13+IF14+IF15+IF16+IF17+IF18+IF19+IF20-P_A-HR_band)*BR_rate,0)</f>
        <v>200</v>
      </c>
      <c r="IG4" s="2470">
        <f>MAX((IG3+IG13+IG14+IG15+IG16+IG17+IG18+IG19+IG20-P_A)*SBR_rate,0)+MAX((IG3+IG13+IG14+IG15+IG16+IG17+IG18+IG19+IG20-P_A-SHR_band)*BR_rate,0)</f>
        <v>57.2</v>
      </c>
      <c r="IH4" s="2470">
        <f>MAX((IH3+IH13+IH14+IH15+IH16+IH17+IH18+IH19+IH20-P_A)*SBR_rate,0)+MAX((IH3+IH13+IH14+IH15+IH16+IH17+IH18+IH19+IH20-P_A-SHR_band)*BR_rate,0)</f>
        <v>0</v>
      </c>
      <c r="II4" s="2470">
        <f>MAX((II3+II13+II14+II15+II16+II17+II18+II19+II20-P_A)*SBR_rate,0)+MAX((II3+II13+II14+II15+II16+II17+II18+II19+II20-P_A-SHR_band)*BR_rate,0)</f>
        <v>500</v>
      </c>
      <c r="IJ4" s="2470"/>
      <c r="IK4" s="2470">
        <f>MAX((IK3+IK13+IK14+IK15+IK16+IK17+IK18+IK19+IK20-P_A)*SBR_rate,0)+MAX((IK3+IK13+IK14+IK15+IK16+IK17+IK18+IK19+IK20-P_A-SHR_band)*BR_rate,0)</f>
        <v>300</v>
      </c>
      <c r="IL4" s="2470"/>
      <c r="IM4" s="2470"/>
      <c r="IN4" s="2470"/>
      <c r="IO4" s="2470">
        <v>0</v>
      </c>
      <c r="IP4" s="2470"/>
      <c r="IQ4" s="2470"/>
      <c r="IR4" s="2470"/>
      <c r="IS4" s="4018">
        <v>60739</v>
      </c>
      <c r="IT4" s="2470"/>
      <c r="IU4" s="2470"/>
      <c r="IV4" s="2470"/>
      <c r="IW4" s="2470"/>
      <c r="IX4" s="2470"/>
      <c r="IY4" s="2470"/>
      <c r="IZ4" s="4018">
        <v>1126</v>
      </c>
      <c r="JA4" s="2840"/>
      <c r="JB4" s="2840"/>
      <c r="JC4" s="2840"/>
      <c r="JD4" s="4256">
        <v>0</v>
      </c>
      <c r="JE4" s="4256">
        <v>7500</v>
      </c>
      <c r="JF4" s="4256">
        <v>7500</v>
      </c>
      <c r="JG4" s="3785"/>
      <c r="JH4" s="1233"/>
      <c r="JI4" s="1232"/>
      <c r="JJ4" s="1660" t="s">
        <v>6110</v>
      </c>
    </row>
    <row ht="12.75" r="5" spans="1:270" x14ac:dyDescent="0.2">
      <c r="A5" s="1128">
        <v>4</v>
      </c>
      <c r="B5" s="632" t="str">
        <f si="0" t="shared"/>
        <v/>
      </c>
      <c r="C5" s="1524" t="s">
        <v>11</v>
      </c>
      <c r="D5" s="2928" t="s">
        <v>7314</v>
      </c>
      <c r="E5" s="2472"/>
      <c r="F5" s="2472"/>
      <c r="G5" s="2472"/>
      <c r="H5" s="2930"/>
      <c r="I5" s="2473"/>
      <c r="J5" s="2473"/>
      <c r="K5" s="2472"/>
      <c r="L5" s="2473"/>
      <c r="M5" s="2473"/>
      <c r="N5" s="2473"/>
      <c r="O5" s="2472"/>
      <c r="P5" s="2473"/>
      <c r="Q5" s="2472"/>
      <c r="R5" s="2472"/>
      <c r="S5" s="2473"/>
      <c r="T5" s="2473"/>
      <c r="U5" s="2472"/>
      <c r="V5" s="2472"/>
      <c r="W5" s="2472"/>
      <c r="X5" s="2472"/>
      <c r="Y5" s="2472"/>
      <c r="Z5" s="2473"/>
      <c r="AA5" s="2472"/>
      <c r="AB5" s="2473"/>
      <c r="AC5" s="2472"/>
      <c r="AD5" s="2930"/>
      <c r="AE5" s="2472"/>
      <c r="AF5" s="2472"/>
      <c r="AG5" s="2930"/>
      <c r="AH5" s="2472"/>
      <c r="AI5" s="2473"/>
      <c r="AJ5" s="2930"/>
      <c r="AK5" s="2472"/>
      <c r="AL5" s="2473"/>
      <c r="AM5" s="2473"/>
      <c r="AN5" s="2473"/>
      <c r="AO5" s="2473"/>
      <c r="AP5" s="2472"/>
      <c r="AQ5" s="2472"/>
      <c r="AR5" s="2473"/>
      <c r="AS5" s="2472"/>
      <c r="AT5" s="2472"/>
      <c r="AU5" s="2472"/>
      <c r="AV5" s="2473"/>
      <c r="AW5" s="2472"/>
      <c r="AX5" s="2472"/>
      <c r="AY5" s="2472"/>
      <c r="AZ5" s="2472"/>
      <c r="BA5" s="2472"/>
      <c r="BB5" s="2472">
        <v>50</v>
      </c>
      <c r="BC5" s="2472"/>
      <c r="BD5" s="2472"/>
      <c r="BE5" s="2472"/>
      <c r="BF5" s="2472"/>
      <c r="BG5" s="2472"/>
      <c r="BH5" s="2472"/>
      <c r="BI5" s="2472"/>
      <c r="BJ5" s="2472"/>
      <c r="BK5" s="2472"/>
      <c r="BL5" s="2472"/>
      <c r="BM5" s="2472"/>
      <c r="BN5" s="2472"/>
      <c r="BO5" s="2472"/>
      <c r="BP5" s="2472"/>
      <c r="BQ5" s="2472"/>
      <c r="BR5" s="2472"/>
      <c r="BS5" s="2472">
        <v>50</v>
      </c>
      <c r="BT5" s="2472"/>
      <c r="BU5" s="2472"/>
      <c r="BV5" s="2472"/>
      <c r="BW5" s="2472"/>
      <c r="BX5" s="2472"/>
      <c r="BY5" s="2472"/>
      <c r="BZ5" s="2472"/>
      <c r="CA5" s="2472"/>
      <c r="CB5" s="2472"/>
      <c r="CC5" s="2472"/>
      <c r="CD5" s="2472">
        <v>50</v>
      </c>
      <c r="CE5" s="2473"/>
      <c r="CF5" s="2472"/>
      <c r="CG5" s="2472"/>
      <c r="CH5" s="2472"/>
      <c r="CI5" s="2472"/>
      <c r="CJ5" s="2472"/>
      <c r="CK5" s="2472"/>
      <c r="CL5" s="2472"/>
      <c r="CM5" s="2472"/>
      <c r="CN5" s="2472"/>
      <c r="CO5" s="2472"/>
      <c r="CP5" s="2472"/>
      <c r="CQ5" s="2472"/>
      <c r="CR5" s="2472"/>
      <c r="CS5" s="2472"/>
      <c r="CT5" s="2472"/>
      <c r="CU5" s="2472"/>
      <c r="CV5" s="2472"/>
      <c r="CW5" s="2472"/>
      <c r="CX5" s="2472"/>
      <c r="CY5" s="2472"/>
      <c r="CZ5" s="2472"/>
      <c r="DA5" s="2472"/>
      <c r="DB5" s="3728"/>
      <c r="DC5" s="2472"/>
      <c r="DD5" s="2472">
        <v>50</v>
      </c>
      <c r="DE5" s="2472"/>
      <c r="DF5" s="2472"/>
      <c r="DG5" s="2472"/>
      <c r="DH5" s="2472"/>
      <c r="DI5" s="2472"/>
      <c r="DJ5" s="2472"/>
      <c r="DK5" s="2472"/>
      <c r="DL5" s="2472"/>
      <c r="DM5" s="2472"/>
      <c r="DN5" s="2472"/>
      <c r="DO5" s="2472"/>
      <c r="DP5" s="2473"/>
      <c r="DQ5" s="2472"/>
      <c r="DR5" s="2472"/>
      <c r="DS5" s="2472"/>
      <c r="DT5" s="2472"/>
      <c r="DU5" s="2472">
        <v>50</v>
      </c>
      <c r="DV5" s="2472"/>
      <c r="DW5" s="2472"/>
      <c r="DX5" s="2472"/>
      <c r="DY5" s="2472"/>
      <c r="DZ5" s="2472"/>
      <c r="EA5" s="3728"/>
      <c r="EB5" s="2472"/>
      <c r="EC5" s="2472"/>
      <c r="ED5" s="2472"/>
      <c r="EE5" s="2472"/>
      <c r="EF5" s="2472"/>
      <c r="EG5" s="2473"/>
      <c r="EH5" s="2473"/>
      <c r="EI5" s="2472"/>
      <c r="EJ5" s="2472">
        <v>50</v>
      </c>
      <c r="EK5" s="2472">
        <v>50</v>
      </c>
      <c r="EL5" s="2472"/>
      <c r="EM5" s="2472"/>
      <c r="EN5" s="2472"/>
      <c r="EO5" s="2472"/>
      <c r="EP5" s="2472"/>
      <c r="EQ5" s="2472"/>
      <c r="ER5" s="2472"/>
      <c r="ES5" s="2472"/>
      <c r="ET5" s="2472"/>
      <c r="EU5" s="2472"/>
      <c r="EV5" s="2472"/>
      <c r="EW5" s="2472"/>
      <c r="EX5" s="2472"/>
      <c r="EY5" s="2472"/>
      <c r="EZ5" s="2472"/>
      <c r="FA5" s="2472"/>
      <c r="FB5" s="2472"/>
      <c r="FC5" s="2472"/>
      <c r="FD5" s="2472"/>
      <c r="FE5" s="2472"/>
      <c r="FF5" s="2472"/>
      <c r="FG5" s="2472"/>
      <c r="FH5" s="2472"/>
      <c r="FI5" s="2472"/>
      <c r="FJ5" s="2472"/>
      <c r="FK5" s="2472"/>
      <c r="FL5" s="2472"/>
      <c r="FM5" s="2472">
        <v>50</v>
      </c>
      <c r="FN5" s="2473"/>
      <c r="FO5" s="2473"/>
      <c r="FP5" s="2473"/>
      <c r="FQ5" s="2472"/>
      <c r="FR5" s="2472"/>
      <c r="FS5" s="2472"/>
      <c r="FT5" s="2472"/>
      <c r="FU5" s="2472"/>
      <c r="FV5" s="2472"/>
      <c r="FW5" s="2472"/>
      <c r="FX5" s="2472"/>
      <c r="FY5" s="2472"/>
      <c r="FZ5" s="2472"/>
      <c r="GA5" s="2472"/>
      <c r="GB5" s="2472"/>
      <c r="GC5" s="2472"/>
      <c r="GD5" s="2472"/>
      <c r="GE5" s="2472"/>
      <c r="GF5" s="2472"/>
      <c r="GG5" s="2472"/>
      <c r="GH5" s="2472"/>
      <c r="GI5" s="2472"/>
      <c r="GJ5" s="2472"/>
      <c r="GK5" s="2472"/>
      <c r="GL5" s="2472"/>
      <c r="GM5" s="2472"/>
      <c r="GN5" s="2472"/>
      <c r="GO5" s="2472"/>
      <c r="GP5" s="2472"/>
      <c r="GQ5" s="2472"/>
      <c r="GR5" s="2472"/>
      <c r="GS5" s="2473"/>
      <c r="GT5" s="2472"/>
      <c r="GU5" s="2472"/>
      <c r="GV5" s="2511"/>
      <c r="GW5" s="2472"/>
      <c r="GX5" s="2472"/>
      <c r="GY5" s="2472"/>
      <c r="GZ5" s="2472"/>
      <c r="HA5" s="2473"/>
      <c r="HB5" s="2472"/>
      <c r="HC5" s="2472"/>
      <c r="HD5" s="2472"/>
      <c r="HE5" s="2472"/>
      <c r="HF5" s="2472"/>
      <c r="HG5" s="2472"/>
      <c r="HH5" s="2472"/>
      <c r="HI5" s="2472"/>
      <c r="HJ5" s="2472"/>
      <c r="HK5" s="2472"/>
      <c r="HL5" s="2472"/>
      <c r="HM5" s="2472"/>
      <c r="HN5" s="2472"/>
      <c r="HO5" s="2472"/>
      <c r="HP5" s="2472"/>
      <c r="HQ5" s="2472"/>
      <c r="HR5" s="2472"/>
      <c r="HS5" s="2472"/>
      <c r="HT5" s="2472"/>
      <c r="HU5" s="2472"/>
      <c r="HV5" s="2472"/>
      <c r="HW5" s="2472"/>
      <c r="HX5" s="2472"/>
      <c r="HY5" s="2472"/>
      <c r="HZ5" s="2472"/>
      <c r="IA5" s="2472"/>
      <c r="IB5" s="2472"/>
      <c r="IC5" s="2472"/>
      <c r="ID5" s="2472"/>
      <c r="IE5" s="2472"/>
      <c r="IF5" s="2472"/>
      <c r="IG5" s="2472"/>
      <c r="IH5" s="2472"/>
      <c r="II5" s="2472"/>
      <c r="IJ5" s="2472"/>
      <c r="IK5" s="2472"/>
      <c r="IL5" s="2472"/>
      <c r="IM5" s="2472"/>
      <c r="IN5" s="2472"/>
      <c r="IO5" s="2472"/>
      <c r="IP5" s="2472"/>
      <c r="IQ5" s="2472"/>
      <c r="IR5" s="2472"/>
      <c r="IS5" s="4009"/>
      <c r="IT5" s="2472"/>
      <c r="IU5" s="2472"/>
      <c r="IV5" s="2472"/>
      <c r="IW5" s="2472"/>
      <c r="IX5" s="2472"/>
      <c r="IY5" s="2472"/>
      <c r="IZ5" s="4009"/>
      <c r="JA5" s="2841"/>
      <c r="JB5" s="2841"/>
      <c r="JC5" s="2841"/>
      <c r="JD5" s="3956"/>
      <c r="JE5" s="3956"/>
      <c r="JF5" s="3956"/>
      <c r="JG5" s="3786"/>
      <c r="JH5" s="1233"/>
      <c r="JI5" s="1232"/>
      <c r="JJ5" s="1660" t="s">
        <v>6108</v>
      </c>
    </row>
    <row ht="12.75" r="6" spans="1:270" x14ac:dyDescent="0.2">
      <c r="A6" s="1128">
        <v>5</v>
      </c>
      <c r="B6" s="632" t="str">
        <f si="0" t="shared"/>
        <v>326/429</v>
      </c>
      <c r="C6" s="1278" t="s">
        <v>12</v>
      </c>
      <c r="D6" s="2928" t="s">
        <v>7315</v>
      </c>
      <c r="E6" s="2474" t="s">
        <v>6532</v>
      </c>
      <c r="F6" s="2474" t="s">
        <v>1022</v>
      </c>
      <c r="G6" s="2474" t="s">
        <v>1022</v>
      </c>
      <c r="H6" s="2395" t="s">
        <v>7341</v>
      </c>
      <c r="I6" s="2379"/>
      <c r="J6" s="2379"/>
      <c r="K6" s="2474" t="s">
        <v>1022</v>
      </c>
      <c r="L6" s="2379"/>
      <c r="M6" s="2379"/>
      <c r="N6" s="2379"/>
      <c r="O6" s="2474" t="s">
        <v>1022</v>
      </c>
      <c r="P6" s="2379"/>
      <c r="Q6" s="2474" t="s">
        <v>1022</v>
      </c>
      <c r="R6" s="2474" t="s">
        <v>1022</v>
      </c>
      <c r="S6" s="2379"/>
      <c r="T6" s="2379"/>
      <c r="U6" s="2474" t="s">
        <v>1022</v>
      </c>
      <c r="V6" s="2474" t="s">
        <v>2710</v>
      </c>
      <c r="W6" s="2474" t="s">
        <v>850</v>
      </c>
      <c r="X6" s="2474" t="s">
        <v>6533</v>
      </c>
      <c r="Y6" s="2474" t="s">
        <v>6534</v>
      </c>
      <c r="Z6" s="2379"/>
      <c r="AA6" s="2474" t="s">
        <v>1022</v>
      </c>
      <c r="AB6" s="2379"/>
      <c r="AC6" s="2474" t="s">
        <v>850</v>
      </c>
      <c r="AD6" s="3514" t="s">
        <v>8213</v>
      </c>
      <c r="AE6" s="3514" t="s">
        <v>8214</v>
      </c>
      <c r="AF6" s="2474"/>
      <c r="AG6" s="3514" t="s">
        <v>1022</v>
      </c>
      <c r="AH6" s="3514" t="s">
        <v>8215</v>
      </c>
      <c r="AI6" s="3514" t="s">
        <v>8524</v>
      </c>
      <c r="AJ6" s="2395" t="s">
        <v>7311</v>
      </c>
      <c r="AK6" s="2474" t="s">
        <v>1022</v>
      </c>
      <c r="AL6" s="2379"/>
      <c r="AM6" s="2379"/>
      <c r="AN6" s="2379"/>
      <c r="AO6" s="2379"/>
      <c r="AP6" s="2474" t="s">
        <v>1022</v>
      </c>
      <c r="AQ6" s="2474" t="s">
        <v>1022</v>
      </c>
      <c r="AR6" s="2379"/>
      <c r="AS6" s="2474" t="s">
        <v>1025</v>
      </c>
      <c r="AT6" s="2474" t="s">
        <v>6533</v>
      </c>
      <c r="AU6" s="2474" t="s">
        <v>1026</v>
      </c>
      <c r="AV6" s="2379"/>
      <c r="AW6" s="2474"/>
      <c r="AX6" s="2474"/>
      <c r="AY6" s="2474"/>
      <c r="AZ6" s="2474"/>
      <c r="BA6" s="2474" t="s">
        <v>1570</v>
      </c>
      <c r="BB6" s="2474" t="s">
        <v>1023</v>
      </c>
      <c r="BC6" s="2474"/>
      <c r="BD6" s="2474" t="s">
        <v>1025</v>
      </c>
      <c r="BE6" s="3729" t="s">
        <v>8442</v>
      </c>
      <c r="BF6" s="2474" t="s">
        <v>1570</v>
      </c>
      <c r="BG6" s="2474" t="s">
        <v>1022</v>
      </c>
      <c r="BH6" s="2474" t="s">
        <v>1025</v>
      </c>
      <c r="BI6" s="3729" t="s">
        <v>1570</v>
      </c>
      <c r="BJ6" s="2474"/>
      <c r="BK6" s="2474"/>
      <c r="BL6" s="2474"/>
      <c r="BM6" s="2474" t="s">
        <v>1570</v>
      </c>
      <c r="BN6" s="2474"/>
      <c r="BO6" s="2474" t="s">
        <v>1022</v>
      </c>
      <c r="BP6" s="2474"/>
      <c r="BQ6" s="2474"/>
      <c r="BR6" s="2474"/>
      <c r="BS6" s="2474" t="s">
        <v>1023</v>
      </c>
      <c r="BT6" s="2474"/>
      <c r="BU6" s="2474"/>
      <c r="BV6" s="2474"/>
      <c r="BW6" s="2474"/>
      <c r="BX6" s="2474"/>
      <c r="BY6" s="2474"/>
      <c r="BZ6" s="2474"/>
      <c r="CA6" s="2474"/>
      <c r="CB6" s="2474"/>
      <c r="CC6" s="2474"/>
      <c r="CD6" s="2474" t="s">
        <v>1023</v>
      </c>
      <c r="CE6" s="2379" t="s">
        <v>1024</v>
      </c>
      <c r="CF6" s="2474" t="s">
        <v>1022</v>
      </c>
      <c r="CG6" s="2474"/>
      <c r="CH6" s="2474" t="s">
        <v>1022</v>
      </c>
      <c r="CI6" s="2474"/>
      <c r="CJ6" s="2474"/>
      <c r="CK6" s="2474"/>
      <c r="CL6" s="2474"/>
      <c r="CM6" s="2474"/>
      <c r="CN6" s="2474" t="s">
        <v>1025</v>
      </c>
      <c r="CO6" s="2474" t="s">
        <v>1025</v>
      </c>
      <c r="CP6" s="2474"/>
      <c r="CQ6" s="2474" t="s">
        <v>850</v>
      </c>
      <c r="CR6" s="2474"/>
      <c r="CS6" s="2474"/>
      <c r="CT6" s="2474"/>
      <c r="CU6" s="2474"/>
      <c r="CV6" s="2474" t="s">
        <v>1570</v>
      </c>
      <c r="CW6" s="2474"/>
      <c r="CX6" s="2474"/>
      <c r="CY6" s="2474"/>
      <c r="CZ6" s="2474"/>
      <c r="DA6" s="2474"/>
      <c r="DB6" s="2474" t="s">
        <v>1023</v>
      </c>
      <c r="DC6" s="2474"/>
      <c r="DD6" s="2474" t="s">
        <v>1023</v>
      </c>
      <c r="DE6" s="2474" t="s">
        <v>1025</v>
      </c>
      <c r="DF6" s="2474" t="s">
        <v>1022</v>
      </c>
      <c r="DG6" s="2474"/>
      <c r="DH6" s="2474"/>
      <c r="DI6" s="2474" t="s">
        <v>850</v>
      </c>
      <c r="DJ6" s="2474"/>
      <c r="DK6" s="2474" t="s">
        <v>1570</v>
      </c>
      <c r="DL6" s="2474" t="s">
        <v>1026</v>
      </c>
      <c r="DM6" s="2474"/>
      <c r="DN6" s="2474"/>
      <c r="DO6" s="2474"/>
      <c r="DP6" s="2379" t="s">
        <v>1024</v>
      </c>
      <c r="DQ6" s="2474"/>
      <c r="DR6" s="2474"/>
      <c r="DS6" s="2474"/>
      <c r="DT6" s="2474" t="s">
        <v>1026</v>
      </c>
      <c r="DU6" s="2474" t="s">
        <v>1023</v>
      </c>
      <c r="DV6" s="2474" t="s">
        <v>1570</v>
      </c>
      <c r="DW6" s="2474"/>
      <c r="DX6" s="2474"/>
      <c r="DY6" s="2474"/>
      <c r="DZ6" s="2474"/>
      <c r="EA6" s="3729" t="s">
        <v>8523</v>
      </c>
      <c r="EB6" s="2474"/>
      <c r="EC6" s="2474"/>
      <c r="ED6" s="2474" t="s">
        <v>1022</v>
      </c>
      <c r="EE6" s="2474" t="s">
        <v>1022</v>
      </c>
      <c r="EF6" s="2474"/>
      <c r="EG6" s="2379" t="s">
        <v>1024</v>
      </c>
      <c r="EH6" s="2379" t="s">
        <v>1024</v>
      </c>
      <c r="EI6" s="2474" t="s">
        <v>1026</v>
      </c>
      <c r="EJ6" s="2474" t="s">
        <v>1023</v>
      </c>
      <c r="EK6" s="2474" t="s">
        <v>1023</v>
      </c>
      <c r="EL6" s="2474" t="s">
        <v>1570</v>
      </c>
      <c r="EM6" s="2474"/>
      <c r="EN6" s="2474"/>
      <c r="EO6" s="2474" t="s">
        <v>1666</v>
      </c>
      <c r="EP6" s="2474" t="s">
        <v>1026</v>
      </c>
      <c r="EQ6" s="2474"/>
      <c r="ER6" s="2474"/>
      <c r="ES6" s="2474"/>
      <c r="ET6" s="2474"/>
      <c r="EU6" s="2474"/>
      <c r="EV6" s="2474"/>
      <c r="EW6" s="2474"/>
      <c r="EX6" s="2474"/>
      <c r="EY6" s="2474"/>
      <c r="EZ6" s="2474" t="s">
        <v>1025</v>
      </c>
      <c r="FA6" s="2474"/>
      <c r="FB6" s="2474"/>
      <c r="FC6" s="2474" t="s">
        <v>3638</v>
      </c>
      <c r="FD6" s="2474" t="s">
        <v>3638</v>
      </c>
      <c r="FE6" s="2474"/>
      <c r="FF6" s="2474"/>
      <c r="FG6" s="2474"/>
      <c r="FH6" s="2474"/>
      <c r="FI6" s="2474"/>
      <c r="FJ6" s="2474"/>
      <c r="FK6" s="2474"/>
      <c r="FL6" s="2474"/>
      <c r="FM6" s="2474" t="s">
        <v>1023</v>
      </c>
      <c r="FN6" s="2379" t="s">
        <v>1024</v>
      </c>
      <c r="FO6" s="2379" t="s">
        <v>1024</v>
      </c>
      <c r="FP6" s="2379" t="s">
        <v>1024</v>
      </c>
      <c r="FQ6" s="2474" t="s">
        <v>1022</v>
      </c>
      <c r="FR6" s="2474"/>
      <c r="FS6" s="2474"/>
      <c r="FT6" s="2474"/>
      <c r="FU6" s="2474"/>
      <c r="FV6" s="2474"/>
      <c r="FW6" s="2474" t="s">
        <v>1025</v>
      </c>
      <c r="FX6" s="2474"/>
      <c r="FY6" s="2474"/>
      <c r="FZ6" s="2474"/>
      <c r="GA6" s="2474"/>
      <c r="GB6" s="2474"/>
      <c r="GC6" s="2474" t="s">
        <v>1022</v>
      </c>
      <c r="GD6" s="2474" t="s">
        <v>1025</v>
      </c>
      <c r="GE6" s="2474"/>
      <c r="GF6" s="2474" t="s">
        <v>1026</v>
      </c>
      <c r="GG6" s="2474"/>
      <c r="GH6" s="2474"/>
      <c r="GI6" s="2474"/>
      <c r="GJ6" s="2474"/>
      <c r="GK6" s="2474" t="s">
        <v>1025</v>
      </c>
      <c r="GL6" s="2474"/>
      <c r="GM6" s="2474"/>
      <c r="GN6" s="2474"/>
      <c r="GO6" s="2474" t="s">
        <v>1022</v>
      </c>
      <c r="GP6" s="2474" t="s">
        <v>2710</v>
      </c>
      <c r="GQ6" s="2474" t="s">
        <v>1025</v>
      </c>
      <c r="GR6" s="2474" t="s">
        <v>2710</v>
      </c>
      <c r="GS6" s="2379" t="s">
        <v>1024</v>
      </c>
      <c r="GT6" s="2474"/>
      <c r="GU6" s="2474"/>
      <c r="GV6" s="2599" t="s">
        <v>7339</v>
      </c>
      <c r="GW6" s="2474" t="s">
        <v>1022</v>
      </c>
      <c r="GX6" s="2474" t="s">
        <v>1026</v>
      </c>
      <c r="GY6" s="2474"/>
      <c r="GZ6" s="2474" t="s">
        <v>1026</v>
      </c>
      <c r="HA6" s="2379" t="s">
        <v>1024</v>
      </c>
      <c r="HB6" s="2474" t="s">
        <v>3638</v>
      </c>
      <c r="HC6" s="2474"/>
      <c r="HD6" s="2474"/>
      <c r="HE6" s="2474"/>
      <c r="HF6" s="2474" t="s">
        <v>1666</v>
      </c>
      <c r="HG6" s="2474" t="s">
        <v>1666</v>
      </c>
      <c r="HH6" s="2474"/>
      <c r="HI6" s="2474" t="s">
        <v>1022</v>
      </c>
      <c r="HJ6" s="2474"/>
      <c r="HK6" s="2474"/>
      <c r="HL6" s="2474"/>
      <c r="HM6" s="2474"/>
      <c r="HN6" s="2474"/>
      <c r="HO6" s="2474" t="s">
        <v>850</v>
      </c>
      <c r="HP6" s="2474"/>
      <c r="HQ6" s="2474"/>
      <c r="HR6" s="2474"/>
      <c r="HS6" s="2474"/>
      <c r="HT6" s="2474"/>
      <c r="HU6" s="2474"/>
      <c r="HV6" s="2474"/>
      <c r="HW6" s="2474"/>
      <c r="HX6" s="2474"/>
      <c r="HY6" s="2474" t="s">
        <v>6532</v>
      </c>
      <c r="HZ6" s="2474"/>
      <c r="IA6" s="2474"/>
      <c r="IB6" s="2474"/>
      <c r="IC6" s="2474"/>
      <c r="ID6" s="2474"/>
      <c r="IE6" s="2474" t="s">
        <v>6533</v>
      </c>
      <c r="IF6" s="2474" t="s">
        <v>6534</v>
      </c>
      <c r="IG6" s="2474" t="s">
        <v>6617</v>
      </c>
      <c r="IH6" s="2474" t="s">
        <v>6618</v>
      </c>
      <c r="II6" s="2474" t="s">
        <v>6619</v>
      </c>
      <c r="IJ6" s="2474"/>
      <c r="IK6" s="2474" t="s">
        <v>6620</v>
      </c>
      <c r="IL6" s="2474"/>
      <c r="IM6" s="2474"/>
      <c r="IN6" s="2474"/>
      <c r="IO6" s="2474" t="s">
        <v>6621</v>
      </c>
      <c r="IP6" s="2474"/>
      <c r="IQ6" s="2474"/>
      <c r="IR6" s="2474"/>
      <c r="IS6" s="4008" t="s">
        <v>1570</v>
      </c>
      <c r="IT6" s="2474"/>
      <c r="IU6" s="2474"/>
      <c r="IV6" s="2474"/>
      <c r="IW6" s="2474"/>
      <c r="IX6" s="2474"/>
      <c r="IY6" s="2474"/>
      <c r="IZ6" s="4008" t="s">
        <v>8486</v>
      </c>
      <c r="JA6" s="2842"/>
      <c r="JB6" s="2842"/>
      <c r="JC6" s="2842"/>
      <c r="JD6" s="4257" t="s">
        <v>8820</v>
      </c>
      <c r="JE6" s="4257" t="s">
        <v>8819</v>
      </c>
      <c r="JF6" s="4257" t="s">
        <v>8819</v>
      </c>
      <c r="JG6" s="3787"/>
      <c r="JH6" s="1233"/>
      <c r="JI6" s="1259" t="s">
        <v>5095</v>
      </c>
      <c r="JJ6" s="1660" t="s">
        <v>6112</v>
      </c>
    </row>
    <row ht="36" r="7" spans="1:270" x14ac:dyDescent="0.2">
      <c r="A7" s="1128">
        <v>6</v>
      </c>
      <c r="B7" s="632" t="str">
        <f si="0" t="shared"/>
        <v/>
      </c>
      <c r="C7" s="1278" t="s">
        <v>13</v>
      </c>
      <c r="D7" s="2928" t="s">
        <v>7316</v>
      </c>
      <c r="E7" s="2379"/>
      <c r="F7" s="2474"/>
      <c r="G7" s="2474"/>
      <c r="H7" s="2395"/>
      <c r="I7" s="2379"/>
      <c r="J7" s="2379"/>
      <c r="K7" s="2474"/>
      <c r="L7" s="2379"/>
      <c r="M7" s="2379"/>
      <c r="N7" s="2379"/>
      <c r="O7" s="2474"/>
      <c r="P7" s="2379"/>
      <c r="Q7" s="2474"/>
      <c r="R7" s="2474"/>
      <c r="S7" s="2379"/>
      <c r="T7" s="2379"/>
      <c r="U7" s="2474"/>
      <c r="V7" s="2379"/>
      <c r="W7" s="2379"/>
      <c r="X7" s="2379"/>
      <c r="Y7" s="2379"/>
      <c r="Z7" s="2379"/>
      <c r="AA7" s="2474"/>
      <c r="AB7" s="2379"/>
      <c r="AC7" s="2379"/>
      <c r="AD7" s="2930"/>
      <c r="AE7" s="2472"/>
      <c r="AF7" s="2379"/>
      <c r="AG7" s="2930"/>
      <c r="AH7" s="2472"/>
      <c r="AI7" s="2472"/>
      <c r="AJ7" s="2395"/>
      <c r="AK7" s="2474"/>
      <c r="AL7" s="2379"/>
      <c r="AM7" s="2379"/>
      <c r="AN7" s="2379"/>
      <c r="AO7" s="2379"/>
      <c r="AP7" s="2474"/>
      <c r="AQ7" s="2474"/>
      <c r="AR7" s="2379"/>
      <c r="AS7" s="2474"/>
      <c r="AT7" s="2379"/>
      <c r="AU7" s="2379"/>
      <c r="AV7" s="2379"/>
      <c r="AW7" s="2474"/>
      <c r="AX7" s="2379"/>
      <c r="AY7" s="2474"/>
      <c r="AZ7" s="2379"/>
      <c r="BA7" s="2476" t="s">
        <v>8</v>
      </c>
      <c r="BB7" s="2474"/>
      <c r="BC7" s="2379"/>
      <c r="BD7" s="2474"/>
      <c r="BE7" s="2379"/>
      <c r="BF7" s="2476" t="s">
        <v>8</v>
      </c>
      <c r="BG7" s="2474"/>
      <c r="BH7" s="2474"/>
      <c r="BI7" s="3971" t="s">
        <v>8478</v>
      </c>
      <c r="BJ7" s="2379"/>
      <c r="BK7" s="2379"/>
      <c r="BL7" s="2379"/>
      <c r="BM7" s="2476" t="s">
        <v>8</v>
      </c>
      <c r="BN7" s="2379"/>
      <c r="BO7" s="2474"/>
      <c r="BP7" s="2379"/>
      <c r="BQ7" s="2379"/>
      <c r="BR7" s="2379"/>
      <c r="BS7" s="2474"/>
      <c r="BT7" s="2379"/>
      <c r="BU7" s="2379"/>
      <c r="BV7" s="2379"/>
      <c r="BW7" s="2379"/>
      <c r="BX7" s="2379"/>
      <c r="BY7" s="2379"/>
      <c r="BZ7" s="2379"/>
      <c r="CA7" s="2379"/>
      <c r="CB7" s="2379"/>
      <c r="CC7" s="2379"/>
      <c r="CD7" s="2474"/>
      <c r="CE7" s="2379"/>
      <c r="CF7" s="2474"/>
      <c r="CG7" s="2379"/>
      <c r="CH7" s="2474"/>
      <c r="CI7" s="2379"/>
      <c r="CJ7" s="2379"/>
      <c r="CK7" s="2379"/>
      <c r="CL7" s="2379"/>
      <c r="CM7" s="2379"/>
      <c r="CN7" s="2474"/>
      <c r="CO7" s="2474"/>
      <c r="CP7" s="2379"/>
      <c r="CQ7" s="2379"/>
      <c r="CR7" s="2379"/>
      <c r="CS7" s="2379"/>
      <c r="CT7" s="2379"/>
      <c r="CU7" s="2379"/>
      <c r="CV7" s="2476" t="s">
        <v>8</v>
      </c>
      <c r="CW7" s="2379"/>
      <c r="CX7" s="2379"/>
      <c r="CY7" s="2379"/>
      <c r="CZ7" s="2379"/>
      <c r="DA7" s="2379"/>
      <c r="DB7" s="2474"/>
      <c r="DC7" s="2379"/>
      <c r="DD7" s="2474"/>
      <c r="DE7" s="2474"/>
      <c r="DF7" s="2474"/>
      <c r="DG7" s="2379"/>
      <c r="DH7" s="2379"/>
      <c r="DI7" s="2379"/>
      <c r="DJ7" s="2379"/>
      <c r="DK7" s="2476" t="s">
        <v>8</v>
      </c>
      <c r="DL7" s="2379"/>
      <c r="DM7" s="2379"/>
      <c r="DN7" s="2379"/>
      <c r="DO7" s="2379"/>
      <c r="DP7" s="2379"/>
      <c r="DQ7" s="2379"/>
      <c r="DR7" s="2379"/>
      <c r="DS7" s="2379"/>
      <c r="DT7" s="2379"/>
      <c r="DU7" s="2474"/>
      <c r="DV7" s="2476" t="s">
        <v>8</v>
      </c>
      <c r="DW7" s="2379"/>
      <c r="DX7" s="2379"/>
      <c r="DY7" s="2379"/>
      <c r="DZ7" s="2379"/>
      <c r="EA7" s="3971"/>
      <c r="EB7" s="2379"/>
      <c r="EC7" s="2379"/>
      <c r="ED7" s="2474"/>
      <c r="EE7" s="2474"/>
      <c r="EF7" s="2379"/>
      <c r="EG7" s="2379"/>
      <c r="EH7" s="2379"/>
      <c r="EI7" s="2379"/>
      <c r="EJ7" s="2474"/>
      <c r="EK7" s="2474"/>
      <c r="EL7" s="2476" t="s">
        <v>8</v>
      </c>
      <c r="EM7" s="2379"/>
      <c r="EN7" s="2379"/>
      <c r="EO7" s="2379"/>
      <c r="EP7" s="2379"/>
      <c r="EQ7" s="2379"/>
      <c r="ER7" s="2379"/>
      <c r="ES7" s="2379"/>
      <c r="ET7" s="2379"/>
      <c r="EU7" s="2379"/>
      <c r="EV7" s="2379"/>
      <c r="EW7" s="2379"/>
      <c r="EX7" s="2379"/>
      <c r="EY7" s="2379"/>
      <c r="EZ7" s="2474"/>
      <c r="FA7" s="2379"/>
      <c r="FB7" s="2379"/>
      <c r="FC7" s="2379"/>
      <c r="FD7" s="2379"/>
      <c r="FE7" s="2379"/>
      <c r="FF7" s="2379"/>
      <c r="FG7" s="2379"/>
      <c r="FH7" s="2379"/>
      <c r="FI7" s="2379"/>
      <c r="FJ7" s="2379"/>
      <c r="FK7" s="2379"/>
      <c r="FL7" s="2379"/>
      <c r="FM7" s="2474"/>
      <c r="FN7" s="2379"/>
      <c r="FO7" s="2379"/>
      <c r="FP7" s="2379"/>
      <c r="FQ7" s="2474"/>
      <c r="FR7" s="2379"/>
      <c r="FS7" s="2379"/>
      <c r="FT7" s="2379"/>
      <c r="FU7" s="2379"/>
      <c r="FV7" s="2379"/>
      <c r="FW7" s="2474"/>
      <c r="FX7" s="2379"/>
      <c r="FY7" s="2379"/>
      <c r="FZ7" s="2379"/>
      <c r="GA7" s="2379"/>
      <c r="GB7" s="2379"/>
      <c r="GC7" s="2474"/>
      <c r="GD7" s="2474"/>
      <c r="GE7" s="2379"/>
      <c r="GF7" s="2379"/>
      <c r="GG7" s="2379"/>
      <c r="GH7" s="2379"/>
      <c r="GI7" s="2379"/>
      <c r="GJ7" s="2379"/>
      <c r="GK7" s="2474"/>
      <c r="GL7" s="2379"/>
      <c r="GM7" s="2379"/>
      <c r="GN7" s="2379"/>
      <c r="GO7" s="2474"/>
      <c r="GP7" s="2379"/>
      <c r="GQ7" s="2474"/>
      <c r="GR7" s="2379"/>
      <c r="GS7" s="2379"/>
      <c r="GT7" s="2379"/>
      <c r="GU7" s="2379"/>
      <c r="GV7" s="2395"/>
      <c r="GW7" s="2474"/>
      <c r="GX7" s="2379"/>
      <c r="GY7" s="2379"/>
      <c r="GZ7" s="2379"/>
      <c r="HA7" s="2379"/>
      <c r="HB7" s="2379"/>
      <c r="HC7" s="2379"/>
      <c r="HD7" s="2379"/>
      <c r="HE7" s="2379"/>
      <c r="HF7" s="2379"/>
      <c r="HG7" s="2379"/>
      <c r="HH7" s="2379"/>
      <c r="HI7" s="2474"/>
      <c r="HJ7" s="2379"/>
      <c r="HK7" s="2379"/>
      <c r="HL7" s="2379"/>
      <c r="HM7" s="2379"/>
      <c r="HN7" s="2379"/>
      <c r="HO7" s="2379"/>
      <c r="HP7" s="2379"/>
      <c r="HQ7" s="2379"/>
      <c r="HR7" s="2379"/>
      <c r="HS7" s="2379"/>
      <c r="HT7" s="2379"/>
      <c r="HU7" s="2379"/>
      <c r="HV7" s="2379"/>
      <c r="HW7" s="2379"/>
      <c r="HX7" s="2379"/>
      <c r="HY7" s="2379"/>
      <c r="HZ7" s="2379"/>
      <c r="IA7" s="2379"/>
      <c r="IB7" s="2379"/>
      <c r="IC7" s="2379"/>
      <c r="ID7" s="2379"/>
      <c r="IE7" s="2379"/>
      <c r="IF7" s="2379"/>
      <c r="IG7" s="2379"/>
      <c r="IH7" s="2379"/>
      <c r="II7" s="2379"/>
      <c r="IJ7" s="2379"/>
      <c r="IK7" s="2379"/>
      <c r="IL7" s="2379"/>
      <c r="IM7" s="2379"/>
      <c r="IN7" s="2379"/>
      <c r="IO7" s="2379"/>
      <c r="IP7" s="2379"/>
      <c r="IQ7" s="2379"/>
      <c r="IR7" s="2379"/>
      <c r="IS7" s="4019" t="s">
        <v>8481</v>
      </c>
      <c r="IT7" s="2379"/>
      <c r="IU7" s="2379"/>
      <c r="IV7" s="2379"/>
      <c r="IW7" s="2379"/>
      <c r="IX7" s="2379"/>
      <c r="IY7" s="2379"/>
      <c r="IZ7" s="4019" t="s">
        <v>8487</v>
      </c>
      <c r="JA7" s="2815"/>
      <c r="JB7" s="2815"/>
      <c r="JC7" s="2815"/>
      <c r="JD7" s="4259" t="s">
        <v>8817</v>
      </c>
      <c r="JE7" s="4259" t="s">
        <v>8821</v>
      </c>
      <c r="JF7" s="4259" t="s">
        <v>8823</v>
      </c>
      <c r="JG7" s="3788"/>
      <c r="JH7" s="1233"/>
      <c r="JI7" s="1259"/>
      <c r="JJ7" s="1660" t="s">
        <v>6105</v>
      </c>
    </row>
    <row ht="12.75" r="8" spans="1:270" x14ac:dyDescent="0.2">
      <c r="A8" s="1128">
        <v>7</v>
      </c>
      <c r="B8" s="632" t="str">
        <f si="0" t="shared"/>
        <v>N</v>
      </c>
      <c r="C8" s="1278" t="s">
        <v>14</v>
      </c>
      <c r="D8" s="2928" t="s">
        <v>7317</v>
      </c>
      <c r="E8" s="2379" t="s">
        <v>1189</v>
      </c>
      <c r="F8" s="2379" t="s">
        <v>1189</v>
      </c>
      <c r="G8" s="2379" t="s">
        <v>1189</v>
      </c>
      <c r="H8" s="2395" t="s">
        <v>1189</v>
      </c>
      <c r="I8" s="2379"/>
      <c r="J8" s="2379"/>
      <c r="K8" s="2379" t="s">
        <v>1189</v>
      </c>
      <c r="L8" s="2379"/>
      <c r="M8" s="2379"/>
      <c r="N8" s="2379"/>
      <c r="O8" s="2379" t="s">
        <v>1189</v>
      </c>
      <c r="P8" s="2379"/>
      <c r="Q8" s="2379" t="s">
        <v>1189</v>
      </c>
      <c r="R8" s="2379" t="s">
        <v>1189</v>
      </c>
      <c r="S8" s="2379"/>
      <c r="T8" s="2379"/>
      <c r="U8" s="2379" t="s">
        <v>1189</v>
      </c>
      <c r="V8" s="2379" t="s">
        <v>1189</v>
      </c>
      <c r="W8" s="2379" t="s">
        <v>1189</v>
      </c>
      <c r="X8" s="2379" t="s">
        <v>1189</v>
      </c>
      <c r="Y8" s="2379" t="s">
        <v>1189</v>
      </c>
      <c r="Z8" s="2379"/>
      <c r="AA8" s="2379" t="s">
        <v>1189</v>
      </c>
      <c r="AB8" s="2379"/>
      <c r="AC8" s="2379" t="s">
        <v>1189</v>
      </c>
      <c r="AD8" s="3515" t="s">
        <v>1189</v>
      </c>
      <c r="AE8" s="3515" t="s">
        <v>1189</v>
      </c>
      <c r="AF8" s="2379"/>
      <c r="AG8" s="3515" t="s">
        <v>1189</v>
      </c>
      <c r="AH8" s="3515" t="s">
        <v>1189</v>
      </c>
      <c r="AI8" s="3515" t="s">
        <v>1189</v>
      </c>
      <c r="AJ8" s="2395" t="s">
        <v>1189</v>
      </c>
      <c r="AK8" s="2379" t="s">
        <v>1189</v>
      </c>
      <c r="AL8" s="2379"/>
      <c r="AM8" s="2379"/>
      <c r="AN8" s="2379"/>
      <c r="AO8" s="2379"/>
      <c r="AP8" s="2379" t="s">
        <v>1189</v>
      </c>
      <c r="AQ8" s="2379" t="s">
        <v>1189</v>
      </c>
      <c r="AR8" s="2379"/>
      <c r="AS8" s="2379" t="s">
        <v>1189</v>
      </c>
      <c r="AT8" s="2379" t="s">
        <v>1189</v>
      </c>
      <c r="AU8" s="2379" t="s">
        <v>1189</v>
      </c>
      <c r="AV8" s="2379"/>
      <c r="AW8" s="2379"/>
      <c r="AX8" s="2379"/>
      <c r="AY8" s="2379"/>
      <c r="AZ8" s="2379"/>
      <c r="BA8" s="2379" t="s">
        <v>1189</v>
      </c>
      <c r="BB8" s="2379" t="s">
        <v>1189</v>
      </c>
      <c r="BC8" s="2379"/>
      <c r="BD8" s="2379" t="s">
        <v>1189</v>
      </c>
      <c r="BE8" s="3641" t="s">
        <v>1189</v>
      </c>
      <c r="BF8" s="2379" t="s">
        <v>1189</v>
      </c>
      <c r="BG8" s="2379" t="s">
        <v>1189</v>
      </c>
      <c r="BH8" s="2379" t="s">
        <v>1189</v>
      </c>
      <c r="BI8" s="3641" t="s">
        <v>1189</v>
      </c>
      <c r="BJ8" s="2379"/>
      <c r="BK8" s="2379"/>
      <c r="BL8" s="2379"/>
      <c r="BM8" s="2379" t="s">
        <v>1189</v>
      </c>
      <c r="BN8" s="2379"/>
      <c r="BO8" s="2379" t="s">
        <v>1189</v>
      </c>
      <c r="BP8" s="2379"/>
      <c r="BQ8" s="2379"/>
      <c r="BR8" s="2379"/>
      <c r="BS8" s="2379" t="s">
        <v>1189</v>
      </c>
      <c r="BT8" s="2379"/>
      <c r="BU8" s="2379"/>
      <c r="BV8" s="2379"/>
      <c r="BW8" s="2379"/>
      <c r="BX8" s="2379"/>
      <c r="BY8" s="2379"/>
      <c r="BZ8" s="2379"/>
      <c r="CA8" s="2379"/>
      <c r="CB8" s="2379"/>
      <c r="CC8" s="2379"/>
      <c r="CD8" s="2379" t="s">
        <v>1189</v>
      </c>
      <c r="CE8" s="2379" t="s">
        <v>572</v>
      </c>
      <c r="CF8" s="2379" t="s">
        <v>1189</v>
      </c>
      <c r="CG8" s="2379"/>
      <c r="CH8" s="2379" t="s">
        <v>1189</v>
      </c>
      <c r="CI8" s="2379"/>
      <c r="CJ8" s="2379"/>
      <c r="CK8" s="2379"/>
      <c r="CL8" s="2379"/>
      <c r="CM8" s="2379"/>
      <c r="CN8" s="2379" t="s">
        <v>1189</v>
      </c>
      <c r="CO8" s="2379" t="s">
        <v>1189</v>
      </c>
      <c r="CP8" s="2379"/>
      <c r="CQ8" s="2379" t="s">
        <v>1189</v>
      </c>
      <c r="CR8" s="2379"/>
      <c r="CS8" s="2379"/>
      <c r="CT8" s="2379"/>
      <c r="CU8" s="2379"/>
      <c r="CV8" s="2379" t="s">
        <v>1189</v>
      </c>
      <c r="CW8" s="2379"/>
      <c r="CX8" s="2379"/>
      <c r="CY8" s="2379"/>
      <c r="CZ8" s="2379"/>
      <c r="DA8" s="2379"/>
      <c r="DB8" s="2379" t="s">
        <v>1189</v>
      </c>
      <c r="DC8" s="2379"/>
      <c r="DD8" s="2379" t="s">
        <v>1189</v>
      </c>
      <c r="DE8" s="2379" t="s">
        <v>1189</v>
      </c>
      <c r="DF8" s="2379" t="s">
        <v>1189</v>
      </c>
      <c r="DG8" s="2379"/>
      <c r="DH8" s="2379"/>
      <c r="DI8" s="2379" t="s">
        <v>1189</v>
      </c>
      <c r="DJ8" s="2379"/>
      <c r="DK8" s="2379" t="s">
        <v>1189</v>
      </c>
      <c r="DL8" s="2379" t="s">
        <v>1189</v>
      </c>
      <c r="DM8" s="2379"/>
      <c r="DN8" s="2379"/>
      <c r="DO8" s="2379"/>
      <c r="DP8" s="2379" t="s">
        <v>572</v>
      </c>
      <c r="DQ8" s="2379"/>
      <c r="DR8" s="2379"/>
      <c r="DS8" s="2379"/>
      <c r="DT8" s="2379" t="s">
        <v>1189</v>
      </c>
      <c r="DU8" s="2379" t="s">
        <v>1189</v>
      </c>
      <c r="DV8" s="2379" t="s">
        <v>1189</v>
      </c>
      <c r="DW8" s="2379"/>
      <c r="DX8" s="2379"/>
      <c r="DY8" s="2379"/>
      <c r="DZ8" s="2379"/>
      <c r="EA8" s="3641" t="s">
        <v>1189</v>
      </c>
      <c r="EB8" s="2379"/>
      <c r="EC8" s="2379"/>
      <c r="ED8" s="2379" t="s">
        <v>1189</v>
      </c>
      <c r="EE8" s="2379" t="s">
        <v>1189</v>
      </c>
      <c r="EF8" s="2379"/>
      <c r="EG8" s="2379" t="s">
        <v>572</v>
      </c>
      <c r="EH8" s="2379" t="s">
        <v>572</v>
      </c>
      <c r="EI8" s="2379" t="s">
        <v>1189</v>
      </c>
      <c r="EJ8" s="2379" t="s">
        <v>1189</v>
      </c>
      <c r="EK8" s="2379" t="s">
        <v>1189</v>
      </c>
      <c r="EL8" s="2379" t="s">
        <v>1189</v>
      </c>
      <c r="EM8" s="2379"/>
      <c r="EN8" s="2379"/>
      <c r="EO8" s="2379" t="s">
        <v>1189</v>
      </c>
      <c r="EP8" s="2379" t="s">
        <v>1189</v>
      </c>
      <c r="EQ8" s="2379"/>
      <c r="ER8" s="2379"/>
      <c r="ES8" s="2379"/>
      <c r="ET8" s="2379"/>
      <c r="EU8" s="2379"/>
      <c r="EV8" s="2379"/>
      <c r="EW8" s="2379"/>
      <c r="EX8" s="2379"/>
      <c r="EY8" s="2379"/>
      <c r="EZ8" s="2379" t="s">
        <v>1189</v>
      </c>
      <c r="FA8" s="2379"/>
      <c r="FB8" s="2379"/>
      <c r="FC8" s="2379" t="s">
        <v>1189</v>
      </c>
      <c r="FD8" s="2379" t="s">
        <v>1189</v>
      </c>
      <c r="FE8" s="2379"/>
      <c r="FF8" s="2379"/>
      <c r="FG8" s="2379"/>
      <c r="FH8" s="2379"/>
      <c r="FI8" s="2379"/>
      <c r="FJ8" s="2379"/>
      <c r="FK8" s="2379"/>
      <c r="FL8" s="2379"/>
      <c r="FM8" s="2379" t="s">
        <v>1189</v>
      </c>
      <c r="FN8" s="2379" t="s">
        <v>572</v>
      </c>
      <c r="FO8" s="2379" t="s">
        <v>572</v>
      </c>
      <c r="FP8" s="2379" t="s">
        <v>572</v>
      </c>
      <c r="FQ8" s="2379" t="s">
        <v>1189</v>
      </c>
      <c r="FR8" s="2379"/>
      <c r="FS8" s="2379"/>
      <c r="FT8" s="2379"/>
      <c r="FU8" s="2379"/>
      <c r="FV8" s="2379"/>
      <c r="FW8" s="2379" t="s">
        <v>1189</v>
      </c>
      <c r="FX8" s="2379"/>
      <c r="FY8" s="2379"/>
      <c r="FZ8" s="2379"/>
      <c r="GA8" s="2379"/>
      <c r="GB8" s="2379"/>
      <c r="GC8" s="2379" t="s">
        <v>1189</v>
      </c>
      <c r="GD8" s="2379" t="s">
        <v>1189</v>
      </c>
      <c r="GE8" s="2379"/>
      <c r="GF8" s="2379" t="s">
        <v>1189</v>
      </c>
      <c r="GG8" s="2379"/>
      <c r="GH8" s="2379"/>
      <c r="GI8" s="2379"/>
      <c r="GJ8" s="2379"/>
      <c r="GK8" s="2379" t="s">
        <v>1189</v>
      </c>
      <c r="GL8" s="2379"/>
      <c r="GM8" s="2379"/>
      <c r="GN8" s="2379"/>
      <c r="GO8" s="2379" t="s">
        <v>1189</v>
      </c>
      <c r="GP8" s="2379" t="s">
        <v>1189</v>
      </c>
      <c r="GQ8" s="2379" t="s">
        <v>1189</v>
      </c>
      <c r="GR8" s="2379" t="s">
        <v>1189</v>
      </c>
      <c r="GS8" s="2379" t="s">
        <v>572</v>
      </c>
      <c r="GT8" s="2379"/>
      <c r="GU8" s="2379"/>
      <c r="GV8" s="2395" t="s">
        <v>1189</v>
      </c>
      <c r="GW8" s="2379" t="s">
        <v>1189</v>
      </c>
      <c r="GX8" s="2379" t="s">
        <v>1189</v>
      </c>
      <c r="GY8" s="2379"/>
      <c r="GZ8" s="2379" t="s">
        <v>1189</v>
      </c>
      <c r="HA8" s="2379" t="s">
        <v>572</v>
      </c>
      <c r="HB8" s="2379" t="s">
        <v>1189</v>
      </c>
      <c r="HC8" s="2379"/>
      <c r="HD8" s="2379"/>
      <c r="HE8" s="2379"/>
      <c r="HF8" s="2379" t="s">
        <v>1189</v>
      </c>
      <c r="HG8" s="2379" t="s">
        <v>1189</v>
      </c>
      <c r="HH8" s="2379"/>
      <c r="HI8" s="2379" t="s">
        <v>1189</v>
      </c>
      <c r="HJ8" s="2379"/>
      <c r="HK8" s="2379"/>
      <c r="HL8" s="2379"/>
      <c r="HM8" s="2379"/>
      <c r="HN8" s="2379"/>
      <c r="HO8" s="2379" t="s">
        <v>1189</v>
      </c>
      <c r="HP8" s="2379"/>
      <c r="HQ8" s="2379"/>
      <c r="HR8" s="2379"/>
      <c r="HS8" s="2379"/>
      <c r="HT8" s="2379"/>
      <c r="HU8" s="2379"/>
      <c r="HV8" s="2379"/>
      <c r="HW8" s="2379"/>
      <c r="HX8" s="2379"/>
      <c r="HY8" s="2379" t="s">
        <v>1189</v>
      </c>
      <c r="HZ8" s="2379"/>
      <c r="IA8" s="2379"/>
      <c r="IB8" s="2379"/>
      <c r="IC8" s="2379"/>
      <c r="ID8" s="2379"/>
      <c r="IE8" s="2379" t="s">
        <v>1189</v>
      </c>
      <c r="IF8" s="2379" t="s">
        <v>1189</v>
      </c>
      <c r="IG8" s="2395" t="s">
        <v>1189</v>
      </c>
      <c r="IH8" s="2395" t="s">
        <v>1189</v>
      </c>
      <c r="II8" s="2395" t="s">
        <v>1189</v>
      </c>
      <c r="IJ8" s="2395"/>
      <c r="IK8" s="2395" t="s">
        <v>1189</v>
      </c>
      <c r="IL8" s="2379"/>
      <c r="IM8" s="2379"/>
      <c r="IN8" s="2379"/>
      <c r="IO8" s="2395" t="s">
        <v>1189</v>
      </c>
      <c r="IP8" s="2379"/>
      <c r="IQ8" s="2379"/>
      <c r="IR8" s="2379"/>
      <c r="IS8" s="4007" t="s">
        <v>1189</v>
      </c>
      <c r="IT8" s="2379"/>
      <c r="IU8" s="2379"/>
      <c r="IV8" s="2379"/>
      <c r="IW8" s="2379"/>
      <c r="IX8" s="2379"/>
      <c r="IY8" s="2379"/>
      <c r="IZ8" s="4007" t="s">
        <v>1189</v>
      </c>
      <c r="JA8" s="2815"/>
      <c r="JB8" s="2815"/>
      <c r="JC8" s="2815"/>
      <c r="JD8" s="3952" t="s">
        <v>1189</v>
      </c>
      <c r="JE8" s="3952" t="s">
        <v>1189</v>
      </c>
      <c r="JF8" s="3952" t="s">
        <v>1189</v>
      </c>
      <c r="JG8" s="3788"/>
      <c r="JH8" s="1233"/>
      <c r="JI8" s="1259"/>
      <c r="JJ8" s="1660" t="s">
        <v>6125</v>
      </c>
    </row>
    <row ht="36" r="9" spans="1:270" x14ac:dyDescent="0.2">
      <c r="A9" s="1128">
        <v>8</v>
      </c>
      <c r="B9" s="632" t="str">
        <f si="0" t="shared"/>
        <v/>
      </c>
      <c r="C9" s="1278" t="s">
        <v>1714</v>
      </c>
      <c r="D9" s="2928" t="str">
        <f>"If you ceased being a director before 6 April "&amp;Tax_year_end&amp;", put the date the directorship ceased in the box DD MM YYYY"</f>
        <v>If you ceased being a director before 6 April 2020, put the date the directorship ceased in the box DD MM YYYY</v>
      </c>
      <c r="E9" s="2379"/>
      <c r="F9" s="2379"/>
      <c r="G9" s="2379"/>
      <c r="H9" s="2395"/>
      <c r="I9" s="2379"/>
      <c r="J9" s="2379"/>
      <c r="K9" s="2379"/>
      <c r="L9" s="2379"/>
      <c r="M9" s="2379"/>
      <c r="N9" s="2379"/>
      <c r="O9" s="2379"/>
      <c r="P9" s="2379"/>
      <c r="Q9" s="2379"/>
      <c r="R9" s="2379"/>
      <c r="S9" s="2379"/>
      <c r="T9" s="2379"/>
      <c r="U9" s="2379"/>
      <c r="V9" s="2379"/>
      <c r="W9" s="2379"/>
      <c r="X9" s="2379"/>
      <c r="Y9" s="2379"/>
      <c r="Z9" s="2379"/>
      <c r="AA9" s="2379"/>
      <c r="AB9" s="2379"/>
      <c r="AC9" s="2379"/>
      <c r="AD9" s="2930"/>
      <c r="AE9" s="2472"/>
      <c r="AF9" s="2379"/>
      <c r="AG9" s="2930"/>
      <c r="AH9" s="2472"/>
      <c r="AI9" s="2472"/>
      <c r="AJ9" s="2395"/>
      <c r="AK9" s="2379"/>
      <c r="AL9" s="2379"/>
      <c r="AM9" s="2379"/>
      <c r="AN9" s="2379"/>
      <c r="AO9" s="2379"/>
      <c r="AP9" s="2379"/>
      <c r="AQ9" s="2379"/>
      <c r="AR9" s="2379"/>
      <c r="AS9" s="2379"/>
      <c r="AT9" s="2379"/>
      <c r="AU9" s="2379"/>
      <c r="AV9" s="2379"/>
      <c r="AW9" s="2379"/>
      <c r="AX9" s="2379"/>
      <c r="AY9" s="2379"/>
      <c r="AZ9" s="2379"/>
      <c r="BA9" s="2379"/>
      <c r="BB9" s="2379"/>
      <c r="BC9" s="2379"/>
      <c r="BD9" s="2379"/>
      <c r="BE9" s="2379"/>
      <c r="BF9" s="2379"/>
      <c r="BG9" s="2379"/>
      <c r="BH9" s="2379"/>
      <c r="BI9" s="2379"/>
      <c r="BJ9" s="2379"/>
      <c r="BK9" s="2379"/>
      <c r="BL9" s="2379"/>
      <c r="BM9" s="2379"/>
      <c r="BN9" s="2379"/>
      <c r="BO9" s="2379"/>
      <c r="BP9" s="2379"/>
      <c r="BQ9" s="2379"/>
      <c r="BR9" s="2379"/>
      <c r="BS9" s="2379"/>
      <c r="BT9" s="2379"/>
      <c r="BU9" s="2379"/>
      <c r="BV9" s="2379"/>
      <c r="BW9" s="2379"/>
      <c r="BX9" s="2379"/>
      <c r="BY9" s="2379"/>
      <c r="BZ9" s="2379"/>
      <c r="CA9" s="2379"/>
      <c r="CB9" s="2379"/>
      <c r="CC9" s="2379"/>
      <c r="CD9" s="2379"/>
      <c r="CE9" s="2379" t="str">
        <f>"02 07 "&amp;Tax_year_start</f>
        <v>02 07 2019</v>
      </c>
      <c r="CF9" s="2379"/>
      <c r="CG9" s="2379"/>
      <c r="CH9" s="2379"/>
      <c r="CI9" s="2379"/>
      <c r="CJ9" s="2379"/>
      <c r="CK9" s="2379"/>
      <c r="CL9" s="2379"/>
      <c r="CM9" s="2379"/>
      <c r="CN9" s="2379"/>
      <c r="CO9" s="2379"/>
      <c r="CP9" s="2379"/>
      <c r="CQ9" s="2379"/>
      <c r="CR9" s="2379"/>
      <c r="CS9" s="2379"/>
      <c r="CT9" s="2379"/>
      <c r="CU9" s="2379"/>
      <c r="CV9" s="2379"/>
      <c r="CW9" s="2379"/>
      <c r="CX9" s="2379"/>
      <c r="CY9" s="2379"/>
      <c r="CZ9" s="2379"/>
      <c r="DA9" s="2379"/>
      <c r="DB9" s="2379"/>
      <c r="DC9" s="2379"/>
      <c r="DD9" s="2379"/>
      <c r="DE9" s="2379"/>
      <c r="DF9" s="2379"/>
      <c r="DG9" s="2379"/>
      <c r="DH9" s="2379"/>
      <c r="DI9" s="2379"/>
      <c r="DJ9" s="2379"/>
      <c r="DK9" s="2379"/>
      <c r="DL9" s="2379"/>
      <c r="DM9" s="2379"/>
      <c r="DN9" s="2379"/>
      <c r="DO9" s="2379"/>
      <c r="DP9" s="2379" t="str">
        <f>"02 07 "&amp;Tax_year_start</f>
        <v>02 07 2019</v>
      </c>
      <c r="DQ9" s="2379"/>
      <c r="DR9" s="2379"/>
      <c r="DS9" s="2379"/>
      <c r="DT9" s="2379"/>
      <c r="DU9" s="2379"/>
      <c r="DV9" s="2379"/>
      <c r="DW9" s="2379"/>
      <c r="DX9" s="2379"/>
      <c r="DY9" s="2379"/>
      <c r="DZ9" s="2379"/>
      <c r="EA9" s="3641"/>
      <c r="EB9" s="2379"/>
      <c r="EC9" s="2379"/>
      <c r="ED9" s="2379"/>
      <c r="EE9" s="2379"/>
      <c r="EF9" s="2379"/>
      <c r="EG9" s="2379" t="str">
        <f>"02 07 "&amp;Tax_year_start</f>
        <v>02 07 2019</v>
      </c>
      <c r="EH9" s="2379" t="str">
        <f>"02 07 "&amp;Tax_year_start</f>
        <v>02 07 2019</v>
      </c>
      <c r="EI9" s="2379"/>
      <c r="EJ9" s="2379"/>
      <c r="EK9" s="2379"/>
      <c r="EL9" s="2379"/>
      <c r="EM9" s="2379"/>
      <c r="EN9" s="2379"/>
      <c r="EO9" s="2379"/>
      <c r="EP9" s="2379"/>
      <c r="EQ9" s="2379"/>
      <c r="ER9" s="2379"/>
      <c r="ES9" s="2379"/>
      <c r="ET9" s="2379"/>
      <c r="EU9" s="2379"/>
      <c r="EV9" s="2379"/>
      <c r="EW9" s="2379"/>
      <c r="EX9" s="2379"/>
      <c r="EY9" s="2379"/>
      <c r="EZ9" s="2379"/>
      <c r="FA9" s="2379"/>
      <c r="FB9" s="2379"/>
      <c r="FC9" s="2379"/>
      <c r="FD9" s="2379"/>
      <c r="FE9" s="2379"/>
      <c r="FF9" s="2379"/>
      <c r="FG9" s="2379"/>
      <c r="FH9" s="2379"/>
      <c r="FI9" s="2379"/>
      <c r="FJ9" s="2379"/>
      <c r="FK9" s="2379"/>
      <c r="FL9" s="2379"/>
      <c r="FM9" s="2379"/>
      <c r="FN9" s="2379" t="str">
        <f>"02 07 "&amp;Tax_year_start</f>
        <v>02 07 2019</v>
      </c>
      <c r="FO9" s="2379" t="str">
        <f>"02 07 "&amp;Tax_year_start</f>
        <v>02 07 2019</v>
      </c>
      <c r="FP9" s="2379" t="str">
        <f>"02 07 "&amp;Tax_year_start</f>
        <v>02 07 2019</v>
      </c>
      <c r="FQ9" s="2379"/>
      <c r="FR9" s="2379"/>
      <c r="FS9" s="2379"/>
      <c r="FT9" s="2379"/>
      <c r="FU9" s="2379"/>
      <c r="FV9" s="2379"/>
      <c r="FW9" s="2379"/>
      <c r="FX9" s="2379"/>
      <c r="FY9" s="2379"/>
      <c r="FZ9" s="2379"/>
      <c r="GA9" s="2379"/>
      <c r="GB9" s="2379"/>
      <c r="GC9" s="2379"/>
      <c r="GD9" s="2379"/>
      <c r="GE9" s="2379"/>
      <c r="GF9" s="2379"/>
      <c r="GG9" s="2379"/>
      <c r="GH9" s="2379"/>
      <c r="GI9" s="2379"/>
      <c r="GJ9" s="2379"/>
      <c r="GK9" s="2379"/>
      <c r="GL9" s="2379"/>
      <c r="GM9" s="2379"/>
      <c r="GN9" s="2379"/>
      <c r="GO9" s="2379"/>
      <c r="GP9" s="2379"/>
      <c r="GQ9" s="2379"/>
      <c r="GR9" s="2379"/>
      <c r="GS9" s="2379" t="str">
        <f>"02 07 "&amp;Tax_year_start</f>
        <v>02 07 2019</v>
      </c>
      <c r="GT9" s="2379"/>
      <c r="GU9" s="2379"/>
      <c r="GV9" s="2395"/>
      <c r="GW9" s="2379"/>
      <c r="GX9" s="2379"/>
      <c r="GY9" s="2379"/>
      <c r="GZ9" s="2379"/>
      <c r="HA9" s="2379" t="str">
        <f>"02 07 "&amp;Tax_year_start</f>
        <v>02 07 2019</v>
      </c>
      <c r="HB9" s="2379"/>
      <c r="HC9" s="2379"/>
      <c r="HD9" s="2379"/>
      <c r="HE9" s="2379"/>
      <c r="HF9" s="2379"/>
      <c r="HG9" s="2379"/>
      <c r="HH9" s="2379"/>
      <c r="HI9" s="2379"/>
      <c r="HJ9" s="2379"/>
      <c r="HK9" s="2379"/>
      <c r="HL9" s="2379"/>
      <c r="HM9" s="2379"/>
      <c r="HN9" s="2379"/>
      <c r="HO9" s="2379"/>
      <c r="HP9" s="2379"/>
      <c r="HQ9" s="2379"/>
      <c r="HR9" s="2379"/>
      <c r="HS9" s="2379"/>
      <c r="HT9" s="2379"/>
      <c r="HU9" s="2379"/>
      <c r="HV9" s="2379"/>
      <c r="HW9" s="2379"/>
      <c r="HX9" s="2379"/>
      <c r="HY9" s="2379"/>
      <c r="HZ9" s="2379"/>
      <c r="IA9" s="2379"/>
      <c r="IB9" s="2379"/>
      <c r="IC9" s="2379"/>
      <c r="ID9" s="2379"/>
      <c r="IE9" s="2379"/>
      <c r="IF9" s="2379"/>
      <c r="IG9" s="2395"/>
      <c r="IH9" s="2395"/>
      <c r="II9" s="2395"/>
      <c r="IJ9" s="2395"/>
      <c r="IK9" s="2395"/>
      <c r="IL9" s="2379"/>
      <c r="IM9" s="2379"/>
      <c r="IN9" s="2379"/>
      <c r="IO9" s="2379"/>
      <c r="IP9" s="2379"/>
      <c r="IQ9" s="2379"/>
      <c r="IR9" s="2379"/>
      <c r="IS9" s="4007"/>
      <c r="IT9" s="2379"/>
      <c r="IU9" s="2379"/>
      <c r="IV9" s="2379"/>
      <c r="IW9" s="2379"/>
      <c r="IX9" s="2379"/>
      <c r="IY9" s="2379"/>
      <c r="IZ9" s="4007"/>
      <c r="JA9" s="2815"/>
      <c r="JB9" s="2815"/>
      <c r="JC9" s="2815"/>
      <c r="JD9" s="3952"/>
      <c r="JE9" s="3952"/>
      <c r="JF9" s="3952"/>
      <c r="JG9" s="3788"/>
      <c r="JH9" s="1233"/>
      <c r="JI9" s="1260" t="s">
        <v>5096</v>
      </c>
      <c r="JJ9" s="1660" t="s">
        <v>6126</v>
      </c>
    </row>
    <row ht="12.75" r="10" spans="1:270" x14ac:dyDescent="0.2">
      <c r="A10" s="1128">
        <v>9</v>
      </c>
      <c r="B10" s="632" t="str">
        <f si="0" t="shared"/>
        <v>N</v>
      </c>
      <c r="C10" s="1278" t="s">
        <v>1390</v>
      </c>
      <c r="D10" s="2928" t="s">
        <v>7318</v>
      </c>
      <c r="E10" s="2379" t="s">
        <v>1189</v>
      </c>
      <c r="F10" s="2379" t="s">
        <v>1189</v>
      </c>
      <c r="G10" s="2379" t="s">
        <v>1189</v>
      </c>
      <c r="H10" s="2395" t="s">
        <v>1189</v>
      </c>
      <c r="I10" s="2379"/>
      <c r="J10" s="2379"/>
      <c r="K10" s="2379" t="s">
        <v>1189</v>
      </c>
      <c r="L10" s="2379"/>
      <c r="M10" s="2379"/>
      <c r="N10" s="2379"/>
      <c r="O10" s="2379" t="s">
        <v>1189</v>
      </c>
      <c r="P10" s="2379"/>
      <c r="Q10" s="2379" t="s">
        <v>1189</v>
      </c>
      <c r="R10" s="2379" t="s">
        <v>1189</v>
      </c>
      <c r="S10" s="2379"/>
      <c r="T10" s="2379"/>
      <c r="U10" s="2379" t="s">
        <v>1189</v>
      </c>
      <c r="V10" s="2379" t="s">
        <v>1189</v>
      </c>
      <c r="W10" s="2379" t="s">
        <v>1189</v>
      </c>
      <c r="X10" s="2379" t="s">
        <v>1189</v>
      </c>
      <c r="Y10" s="2379" t="s">
        <v>1189</v>
      </c>
      <c r="Z10" s="2379"/>
      <c r="AA10" s="2379" t="s">
        <v>1189</v>
      </c>
      <c r="AB10" s="2379"/>
      <c r="AC10" s="2379" t="s">
        <v>1189</v>
      </c>
      <c r="AD10" s="3515" t="s">
        <v>1189</v>
      </c>
      <c r="AE10" s="3515" t="s">
        <v>1189</v>
      </c>
      <c r="AF10" s="2379"/>
      <c r="AG10" s="3515" t="s">
        <v>1189</v>
      </c>
      <c r="AH10" s="3515" t="s">
        <v>1189</v>
      </c>
      <c r="AI10" s="3515" t="s">
        <v>1189</v>
      </c>
      <c r="AJ10" s="2395" t="s">
        <v>1189</v>
      </c>
      <c r="AK10" s="2379" t="s">
        <v>1189</v>
      </c>
      <c r="AL10" s="2379"/>
      <c r="AM10" s="2379"/>
      <c r="AN10" s="2379"/>
      <c r="AO10" s="2379"/>
      <c r="AP10" s="2379" t="s">
        <v>1189</v>
      </c>
      <c r="AQ10" s="2379" t="s">
        <v>1189</v>
      </c>
      <c r="AR10" s="2379"/>
      <c r="AS10" s="2379" t="s">
        <v>1189</v>
      </c>
      <c r="AT10" s="2379" t="s">
        <v>1189</v>
      </c>
      <c r="AU10" s="2379" t="s">
        <v>1189</v>
      </c>
      <c r="AV10" s="2379"/>
      <c r="AW10" s="2379"/>
      <c r="AX10" s="2379"/>
      <c r="AY10" s="2379"/>
      <c r="AZ10" s="2379"/>
      <c r="BA10" s="2379" t="s">
        <v>1189</v>
      </c>
      <c r="BB10" s="2379" t="s">
        <v>1189</v>
      </c>
      <c r="BC10" s="2379"/>
      <c r="BD10" s="2379" t="s">
        <v>1189</v>
      </c>
      <c r="BE10" s="3641" t="s">
        <v>1189</v>
      </c>
      <c r="BF10" s="2379" t="s">
        <v>1189</v>
      </c>
      <c r="BG10" s="2379" t="s">
        <v>1189</v>
      </c>
      <c r="BH10" s="2379" t="s">
        <v>1189</v>
      </c>
      <c r="BI10" s="3641" t="s">
        <v>1189</v>
      </c>
      <c r="BJ10" s="2379"/>
      <c r="BK10" s="2379"/>
      <c r="BL10" s="2379"/>
      <c r="BM10" s="2379" t="s">
        <v>1189</v>
      </c>
      <c r="BN10" s="2379"/>
      <c r="BO10" s="2379" t="s">
        <v>1189</v>
      </c>
      <c r="BP10" s="2379"/>
      <c r="BQ10" s="2379"/>
      <c r="BR10" s="2379"/>
      <c r="BS10" s="2379" t="s">
        <v>1189</v>
      </c>
      <c r="BT10" s="2379"/>
      <c r="BU10" s="2379"/>
      <c r="BV10" s="2379"/>
      <c r="BW10" s="2379"/>
      <c r="BX10" s="2379"/>
      <c r="BY10" s="2379"/>
      <c r="BZ10" s="2379"/>
      <c r="CA10" s="2379"/>
      <c r="CB10" s="2379"/>
      <c r="CC10" s="2379"/>
      <c r="CD10" s="2379" t="s">
        <v>1189</v>
      </c>
      <c r="CE10" s="2379" t="s">
        <v>572</v>
      </c>
      <c r="CF10" s="2379" t="s">
        <v>1189</v>
      </c>
      <c r="CG10" s="2379"/>
      <c r="CH10" s="2379" t="s">
        <v>1189</v>
      </c>
      <c r="CI10" s="2379"/>
      <c r="CJ10" s="2379"/>
      <c r="CK10" s="2379"/>
      <c r="CL10" s="2379"/>
      <c r="CM10" s="2379"/>
      <c r="CN10" s="2379" t="s">
        <v>1189</v>
      </c>
      <c r="CO10" s="2379" t="s">
        <v>1189</v>
      </c>
      <c r="CP10" s="2379"/>
      <c r="CQ10" s="2379" t="s">
        <v>1189</v>
      </c>
      <c r="CR10" s="2379"/>
      <c r="CS10" s="2379"/>
      <c r="CT10" s="2379"/>
      <c r="CU10" s="2379"/>
      <c r="CV10" s="2379" t="s">
        <v>1189</v>
      </c>
      <c r="CW10" s="2379"/>
      <c r="CX10" s="2379"/>
      <c r="CY10" s="2379"/>
      <c r="CZ10" s="2379"/>
      <c r="DA10" s="2379"/>
      <c r="DB10" s="2379" t="s">
        <v>1189</v>
      </c>
      <c r="DC10" s="2379"/>
      <c r="DD10" s="2379" t="s">
        <v>1189</v>
      </c>
      <c r="DE10" s="2379" t="s">
        <v>1189</v>
      </c>
      <c r="DF10" s="2379" t="s">
        <v>1189</v>
      </c>
      <c r="DG10" s="2379"/>
      <c r="DH10" s="2379"/>
      <c r="DI10" s="2379" t="s">
        <v>1189</v>
      </c>
      <c r="DJ10" s="2379"/>
      <c r="DK10" s="2379" t="s">
        <v>1189</v>
      </c>
      <c r="DL10" s="2379" t="s">
        <v>1189</v>
      </c>
      <c r="DM10" s="2379"/>
      <c r="DN10" s="2379"/>
      <c r="DO10" s="2379"/>
      <c r="DP10" s="2379" t="s">
        <v>572</v>
      </c>
      <c r="DQ10" s="2379"/>
      <c r="DR10" s="2379"/>
      <c r="DS10" s="2379"/>
      <c r="DT10" s="2379" t="s">
        <v>1189</v>
      </c>
      <c r="DU10" s="2379" t="s">
        <v>1189</v>
      </c>
      <c r="DV10" s="2379" t="s">
        <v>1189</v>
      </c>
      <c r="DW10" s="2379"/>
      <c r="DX10" s="2379"/>
      <c r="DY10" s="2379"/>
      <c r="DZ10" s="2379"/>
      <c r="EA10" s="3641" t="s">
        <v>1189</v>
      </c>
      <c r="EB10" s="2379"/>
      <c r="EC10" s="2379"/>
      <c r="ED10" s="2379" t="s">
        <v>1189</v>
      </c>
      <c r="EE10" s="2379" t="s">
        <v>1189</v>
      </c>
      <c r="EF10" s="2379"/>
      <c r="EG10" s="2379" t="s">
        <v>572</v>
      </c>
      <c r="EH10" s="2379" t="s">
        <v>572</v>
      </c>
      <c r="EI10" s="2379" t="s">
        <v>1189</v>
      </c>
      <c r="EJ10" s="2379" t="s">
        <v>1189</v>
      </c>
      <c r="EK10" s="2379" t="s">
        <v>1189</v>
      </c>
      <c r="EL10" s="2379" t="s">
        <v>1189</v>
      </c>
      <c r="EM10" s="2379"/>
      <c r="EN10" s="2379"/>
      <c r="EO10" s="2379" t="s">
        <v>1189</v>
      </c>
      <c r="EP10" s="2379" t="s">
        <v>1189</v>
      </c>
      <c r="EQ10" s="2379"/>
      <c r="ER10" s="2379"/>
      <c r="ES10" s="2379"/>
      <c r="ET10" s="2379"/>
      <c r="EU10" s="2379"/>
      <c r="EV10" s="2379"/>
      <c r="EW10" s="2379"/>
      <c r="EX10" s="2379"/>
      <c r="EY10" s="2379"/>
      <c r="EZ10" s="2379" t="s">
        <v>1189</v>
      </c>
      <c r="FA10" s="2379"/>
      <c r="FB10" s="2379"/>
      <c r="FC10" s="2379" t="s">
        <v>1189</v>
      </c>
      <c r="FD10" s="2379" t="s">
        <v>1189</v>
      </c>
      <c r="FE10" s="2379"/>
      <c r="FF10" s="2379"/>
      <c r="FG10" s="2379"/>
      <c r="FH10" s="2379"/>
      <c r="FI10" s="2379"/>
      <c r="FJ10" s="2379"/>
      <c r="FK10" s="2379"/>
      <c r="FL10" s="2379"/>
      <c r="FM10" s="2379" t="s">
        <v>1189</v>
      </c>
      <c r="FN10" s="2379" t="s">
        <v>572</v>
      </c>
      <c r="FO10" s="2379" t="s">
        <v>572</v>
      </c>
      <c r="FP10" s="2379" t="s">
        <v>572</v>
      </c>
      <c r="FQ10" s="2379" t="s">
        <v>1189</v>
      </c>
      <c r="FR10" s="2379"/>
      <c r="FS10" s="2379"/>
      <c r="FT10" s="2379"/>
      <c r="FU10" s="2379"/>
      <c r="FV10" s="2379"/>
      <c r="FW10" s="2379" t="s">
        <v>1189</v>
      </c>
      <c r="FX10" s="2379"/>
      <c r="FY10" s="2379"/>
      <c r="FZ10" s="2379"/>
      <c r="GA10" s="2379"/>
      <c r="GB10" s="2379"/>
      <c r="GC10" s="2379" t="s">
        <v>1189</v>
      </c>
      <c r="GD10" s="2379" t="s">
        <v>1189</v>
      </c>
      <c r="GE10" s="2379"/>
      <c r="GF10" s="2379" t="s">
        <v>1189</v>
      </c>
      <c r="GG10" s="2379"/>
      <c r="GH10" s="2379"/>
      <c r="GI10" s="2379"/>
      <c r="GJ10" s="2379"/>
      <c r="GK10" s="2379" t="s">
        <v>1189</v>
      </c>
      <c r="GL10" s="2379"/>
      <c r="GM10" s="2379"/>
      <c r="GN10" s="2379"/>
      <c r="GO10" s="2379" t="s">
        <v>1189</v>
      </c>
      <c r="GP10" s="2379" t="s">
        <v>1189</v>
      </c>
      <c r="GQ10" s="2379" t="s">
        <v>1189</v>
      </c>
      <c r="GR10" s="2379" t="s">
        <v>1189</v>
      </c>
      <c r="GS10" s="2379" t="s">
        <v>572</v>
      </c>
      <c r="GT10" s="2379"/>
      <c r="GU10" s="2379"/>
      <c r="GV10" s="2395" t="s">
        <v>1189</v>
      </c>
      <c r="GW10" s="2379" t="s">
        <v>1189</v>
      </c>
      <c r="GX10" s="2379" t="s">
        <v>1189</v>
      </c>
      <c r="GY10" s="2379"/>
      <c r="GZ10" s="2379" t="s">
        <v>1189</v>
      </c>
      <c r="HA10" s="2379" t="s">
        <v>572</v>
      </c>
      <c r="HB10" s="2379" t="s">
        <v>1189</v>
      </c>
      <c r="HC10" s="2379"/>
      <c r="HD10" s="2379"/>
      <c r="HE10" s="2379"/>
      <c r="HF10" s="2379" t="s">
        <v>1189</v>
      </c>
      <c r="HG10" s="2379" t="s">
        <v>1189</v>
      </c>
      <c r="HH10" s="2379"/>
      <c r="HI10" s="2379" t="s">
        <v>1189</v>
      </c>
      <c r="HJ10" s="2379"/>
      <c r="HK10" s="2379"/>
      <c r="HL10" s="2379"/>
      <c r="HM10" s="2379"/>
      <c r="HN10" s="2379"/>
      <c r="HO10" s="2379" t="s">
        <v>1189</v>
      </c>
      <c r="HP10" s="2379"/>
      <c r="HQ10" s="2379"/>
      <c r="HR10" s="2379"/>
      <c r="HS10" s="2379"/>
      <c r="HT10" s="2379"/>
      <c r="HU10" s="2379"/>
      <c r="HV10" s="2379"/>
      <c r="HW10" s="2379"/>
      <c r="HX10" s="2379"/>
      <c r="HY10" s="2379" t="s">
        <v>1189</v>
      </c>
      <c r="HZ10" s="2379"/>
      <c r="IA10" s="2379"/>
      <c r="IB10" s="2379"/>
      <c r="IC10" s="2379"/>
      <c r="ID10" s="2379"/>
      <c r="IE10" s="2379" t="s">
        <v>1189</v>
      </c>
      <c r="IF10" s="2379" t="s">
        <v>1189</v>
      </c>
      <c r="IG10" s="2395" t="s">
        <v>1189</v>
      </c>
      <c r="IH10" s="2395" t="s">
        <v>1189</v>
      </c>
      <c r="II10" s="2395" t="s">
        <v>1189</v>
      </c>
      <c r="IJ10" s="2395"/>
      <c r="IK10" s="2395" t="s">
        <v>1189</v>
      </c>
      <c r="IL10" s="2379"/>
      <c r="IM10" s="2379"/>
      <c r="IN10" s="2379"/>
      <c r="IO10" s="2395" t="s">
        <v>1189</v>
      </c>
      <c r="IP10" s="2379"/>
      <c r="IQ10" s="2379"/>
      <c r="IR10" s="2379"/>
      <c r="IS10" s="4007" t="s">
        <v>1189</v>
      </c>
      <c r="IT10" s="2379"/>
      <c r="IU10" s="2379"/>
      <c r="IV10" s="2379"/>
      <c r="IW10" s="2379"/>
      <c r="IX10" s="2379"/>
      <c r="IY10" s="2379"/>
      <c r="IZ10" s="4007" t="s">
        <v>1189</v>
      </c>
      <c r="JA10" s="2815"/>
      <c r="JB10" s="2815"/>
      <c r="JC10" s="2815"/>
      <c r="JD10" s="3952" t="s">
        <v>1189</v>
      </c>
      <c r="JE10" s="3952" t="s">
        <v>1189</v>
      </c>
      <c r="JF10" s="3952" t="s">
        <v>1189</v>
      </c>
      <c r="JG10" s="3788"/>
      <c r="JH10" s="1233"/>
      <c r="JI10" s="1232"/>
      <c r="JJ10" s="1660" t="s">
        <v>6111</v>
      </c>
    </row>
    <row customFormat="1" ht="12.75" r="11" s="4409" spans="1:270" x14ac:dyDescent="0.2">
      <c r="A11" s="1819">
        <v>10</v>
      </c>
      <c r="B11" s="4410" t="str">
        <f si="0" t="shared"/>
        <v/>
      </c>
      <c r="C11" s="4411" t="s">
        <v>1391</v>
      </c>
      <c r="D11" s="4400" t="s">
        <v>7319</v>
      </c>
      <c r="E11" s="4403"/>
      <c r="F11" s="4403"/>
      <c r="G11" s="4403"/>
      <c r="H11" s="4403"/>
      <c r="I11" s="4403"/>
      <c r="J11" s="4403"/>
      <c r="K11" s="4403"/>
      <c r="L11" s="4403"/>
      <c r="M11" s="4403"/>
      <c r="N11" s="4403"/>
      <c r="O11" s="4403"/>
      <c r="P11" s="4403"/>
      <c r="Q11" s="4403"/>
      <c r="R11" s="4403"/>
      <c r="S11" s="4403"/>
      <c r="T11" s="4403"/>
      <c r="U11" s="4403"/>
      <c r="V11" s="4403"/>
      <c r="W11" s="4403"/>
      <c r="X11" s="4403"/>
      <c r="Y11" s="4403"/>
      <c r="Z11" s="4403"/>
      <c r="AA11" s="4403"/>
      <c r="AB11" s="4403"/>
      <c r="AC11" s="4403"/>
      <c r="AD11" s="4403"/>
      <c r="AE11" s="4403"/>
      <c r="AF11" s="4403"/>
      <c r="AG11" s="4403"/>
      <c r="AH11" s="4403"/>
      <c r="AI11" s="4403"/>
      <c r="AJ11" s="4403"/>
      <c r="AK11" s="4404"/>
      <c r="AL11" s="4403"/>
      <c r="AM11" s="4403"/>
      <c r="AN11" s="4403"/>
      <c r="AO11" s="4403"/>
      <c r="AP11" s="4404"/>
      <c r="AQ11" s="4404"/>
      <c r="AR11" s="4403"/>
      <c r="AS11" s="4404"/>
      <c r="AT11" s="4403"/>
      <c r="AU11" s="4403"/>
      <c r="AV11" s="4403"/>
      <c r="AW11" s="4404"/>
      <c r="AX11" s="4403"/>
      <c r="AY11" s="4403"/>
      <c r="AZ11" s="4403"/>
      <c r="BA11" s="4404"/>
      <c r="BB11" s="4403"/>
      <c r="BC11" s="4403"/>
      <c r="BD11" s="4404"/>
      <c r="BE11" s="4403"/>
      <c r="BF11" s="4412"/>
      <c r="BG11" s="4404"/>
      <c r="BH11" s="4404"/>
      <c r="BI11" s="4403"/>
      <c r="BJ11" s="4403"/>
      <c r="BK11" s="4403"/>
      <c r="BL11" s="4403"/>
      <c r="BM11" s="4404"/>
      <c r="BN11" s="4403"/>
      <c r="BO11" s="4404"/>
      <c r="BP11" s="4403"/>
      <c r="BQ11" s="4403"/>
      <c r="BR11" s="4403"/>
      <c r="BS11" s="4403"/>
      <c r="BT11" s="4403"/>
      <c r="BU11" s="4403"/>
      <c r="BV11" s="4403"/>
      <c r="BW11" s="4403"/>
      <c r="BX11" s="4403"/>
      <c r="BY11" s="4403"/>
      <c r="BZ11" s="4403"/>
      <c r="CA11" s="4403"/>
      <c r="CB11" s="4403"/>
      <c r="CC11" s="4403"/>
      <c r="CD11" s="4403"/>
      <c r="CE11" s="4403"/>
      <c r="CF11" s="4404"/>
      <c r="CG11" s="4403"/>
      <c r="CH11" s="4404"/>
      <c r="CI11" s="4403"/>
      <c r="CJ11" s="4403"/>
      <c r="CK11" s="4403"/>
      <c r="CL11" s="4403"/>
      <c r="CM11" s="4403"/>
      <c r="CN11" s="4404"/>
      <c r="CO11" s="4404"/>
      <c r="CP11" s="4403"/>
      <c r="CQ11" s="4403"/>
      <c r="CR11" s="4403"/>
      <c r="CS11" s="4403"/>
      <c r="CT11" s="4403"/>
      <c r="CU11" s="4403"/>
      <c r="CV11" s="4404"/>
      <c r="CW11" s="4403"/>
      <c r="CX11" s="4403"/>
      <c r="CY11" s="4403"/>
      <c r="CZ11" s="4403"/>
      <c r="DA11" s="4403"/>
      <c r="DB11" s="4403"/>
      <c r="DC11" s="4403"/>
      <c r="DD11" s="4403"/>
      <c r="DE11" s="4404"/>
      <c r="DF11" s="4404"/>
      <c r="DG11" s="4403"/>
      <c r="DH11" s="4403"/>
      <c r="DI11" s="4403"/>
      <c r="DJ11" s="4403"/>
      <c r="DK11" s="4404"/>
      <c r="DL11" s="4403"/>
      <c r="DM11" s="4403"/>
      <c r="DN11" s="4403"/>
      <c r="DO11" s="4403"/>
      <c r="DP11" s="4403"/>
      <c r="DQ11" s="4403"/>
      <c r="DR11" s="4403"/>
      <c r="DS11" s="4403"/>
      <c r="DT11" s="4403"/>
      <c r="DU11" s="4403"/>
      <c r="DV11" s="4404"/>
      <c r="DW11" s="4403"/>
      <c r="DX11" s="4403"/>
      <c r="DY11" s="4403"/>
      <c r="DZ11" s="4403"/>
      <c r="EA11" s="4403"/>
      <c r="EB11" s="4403"/>
      <c r="EC11" s="4403"/>
      <c r="ED11" s="4404"/>
      <c r="EE11" s="4404"/>
      <c r="EF11" s="4403"/>
      <c r="EG11" s="4403"/>
      <c r="EH11" s="4403"/>
      <c r="EI11" s="4403"/>
      <c r="EJ11" s="4403"/>
      <c r="EK11" s="4403"/>
      <c r="EL11" s="4404"/>
      <c r="EM11" s="4403"/>
      <c r="EN11" s="4403"/>
      <c r="EO11" s="4403"/>
      <c r="EP11" s="4403"/>
      <c r="EQ11" s="4403"/>
      <c r="ER11" s="4403"/>
      <c r="ES11" s="4403"/>
      <c r="ET11" s="4403"/>
      <c r="EU11" s="4403"/>
      <c r="EV11" s="4403"/>
      <c r="EW11" s="4403"/>
      <c r="EX11" s="4403"/>
      <c r="EY11" s="4403"/>
      <c r="EZ11" s="4404"/>
      <c r="FA11" s="4403"/>
      <c r="FB11" s="4403"/>
      <c r="FC11" s="4403"/>
      <c r="FD11" s="4403"/>
      <c r="FE11" s="4403"/>
      <c r="FF11" s="4403"/>
      <c r="FG11" s="4403"/>
      <c r="FH11" s="4403"/>
      <c r="FI11" s="4403"/>
      <c r="FJ11" s="4403"/>
      <c r="FK11" s="4403"/>
      <c r="FL11" s="4403"/>
      <c r="FM11" s="4403"/>
      <c r="FN11" s="4403"/>
      <c r="FO11" s="4403"/>
      <c r="FP11" s="4403"/>
      <c r="FQ11" s="4404"/>
      <c r="FR11" s="4403"/>
      <c r="FS11" s="4403"/>
      <c r="FT11" s="4403"/>
      <c r="FU11" s="4403"/>
      <c r="FV11" s="4403"/>
      <c r="FW11" s="4404"/>
      <c r="FX11" s="4403"/>
      <c r="FY11" s="4403"/>
      <c r="FZ11" s="4403"/>
      <c r="GA11" s="4403"/>
      <c r="GB11" s="4403"/>
      <c r="GC11" s="4404"/>
      <c r="GD11" s="4404"/>
      <c r="GE11" s="4403"/>
      <c r="GF11" s="4403"/>
      <c r="GG11" s="4403"/>
      <c r="GH11" s="4403"/>
      <c r="GI11" s="4403"/>
      <c r="GJ11" s="4403"/>
      <c r="GK11" s="4404"/>
      <c r="GL11" s="4403"/>
      <c r="GM11" s="4403"/>
      <c r="GN11" s="4403"/>
      <c r="GO11" s="4404"/>
      <c r="GP11" s="4403"/>
      <c r="GQ11" s="4404"/>
      <c r="GR11" s="4403"/>
      <c r="GS11" s="4403"/>
      <c r="GT11" s="4403"/>
      <c r="GU11" s="4403"/>
      <c r="GV11" s="4413"/>
      <c r="GW11" s="4404"/>
      <c r="GX11" s="4403"/>
      <c r="GY11" s="4403"/>
      <c r="GZ11" s="4403"/>
      <c r="HA11" s="4403"/>
      <c r="HB11" s="4403"/>
      <c r="HC11" s="4403"/>
      <c r="HD11" s="4403"/>
      <c r="HE11" s="4403"/>
      <c r="HF11" s="4403"/>
      <c r="HG11" s="4403"/>
      <c r="HH11" s="4403"/>
      <c r="HI11" s="4404"/>
      <c r="HJ11" s="4403"/>
      <c r="HK11" s="4403"/>
      <c r="HL11" s="4403"/>
      <c r="HM11" s="4403"/>
      <c r="HN11" s="4403"/>
      <c r="HO11" s="4403"/>
      <c r="HP11" s="4403"/>
      <c r="HQ11" s="4403"/>
      <c r="HR11" s="4403"/>
      <c r="HS11" s="4403"/>
      <c r="HT11" s="4403"/>
      <c r="HU11" s="4403"/>
      <c r="HV11" s="4403"/>
      <c r="HW11" s="4403"/>
      <c r="HX11" s="4403"/>
      <c r="HY11" s="4403"/>
      <c r="HZ11" s="4403"/>
      <c r="IA11" s="4403"/>
      <c r="IB11" s="4403"/>
      <c r="IC11" s="4403"/>
      <c r="ID11" s="4403"/>
      <c r="IE11" s="4403"/>
      <c r="IF11" s="4403"/>
      <c r="IG11" s="4403"/>
      <c r="IH11" s="4403"/>
      <c r="II11" s="4403"/>
      <c r="IJ11" s="4403"/>
      <c r="IK11" s="4403"/>
      <c r="IL11" s="4403"/>
      <c r="IM11" s="4403"/>
      <c r="IN11" s="4403"/>
      <c r="IO11" s="4403"/>
      <c r="IP11" s="4403"/>
      <c r="IQ11" s="4403"/>
      <c r="IR11" s="4403"/>
      <c r="IS11" s="4403"/>
      <c r="IT11" s="4403"/>
      <c r="IU11" s="4403"/>
      <c r="IV11" s="4403"/>
      <c r="IW11" s="4403"/>
      <c r="IX11" s="4403"/>
      <c r="IY11" s="4403"/>
      <c r="IZ11" s="4403"/>
      <c r="JA11" s="4405"/>
      <c r="JB11" s="4405"/>
      <c r="JC11" s="4405"/>
      <c r="JD11" s="4405"/>
      <c r="JE11" s="4405"/>
      <c r="JF11" s="4405"/>
      <c r="JG11" s="4414"/>
      <c r="JH11" s="4407"/>
      <c r="JI11" s="1232" t="s">
        <v>9032</v>
      </c>
      <c r="JJ11" s="4408" t="s">
        <v>6111</v>
      </c>
    </row>
    <row ht="12.75" r="12" spans="1:270" x14ac:dyDescent="0.2">
      <c r="A12" s="1128">
        <v>11</v>
      </c>
      <c r="B12" s="632" t="str">
        <f si="0" t="shared"/>
        <v/>
      </c>
      <c r="C12" s="1524" t="s">
        <v>7288</v>
      </c>
      <c r="D12" s="2928" t="s">
        <v>7320</v>
      </c>
      <c r="E12" s="2379"/>
      <c r="F12" s="2379"/>
      <c r="G12" s="2379"/>
      <c r="H12" s="2379"/>
      <c r="I12" s="2379"/>
      <c r="J12" s="2379"/>
      <c r="K12" s="2379"/>
      <c r="L12" s="2379"/>
      <c r="M12" s="2379"/>
      <c r="N12" s="2379"/>
      <c r="O12" s="2379"/>
      <c r="P12" s="2379"/>
      <c r="Q12" s="2379"/>
      <c r="R12" s="2379"/>
      <c r="S12" s="2379"/>
      <c r="T12" s="2379"/>
      <c r="U12" s="2379"/>
      <c r="V12" s="2379"/>
      <c r="W12" s="2379"/>
      <c r="X12" s="2379"/>
      <c r="Y12" s="2379"/>
      <c r="Z12" s="2379"/>
      <c r="AA12" s="2379"/>
      <c r="AB12" s="2379"/>
      <c r="AC12" s="2379"/>
      <c r="AD12" s="2379"/>
      <c r="AE12" s="2379"/>
      <c r="AF12" s="2379"/>
      <c r="AG12" s="2379"/>
      <c r="AH12" s="2379"/>
      <c r="AI12" s="2379"/>
      <c r="AJ12" s="2379"/>
      <c r="AK12" s="2474"/>
      <c r="AL12" s="2379"/>
      <c r="AM12" s="2379"/>
      <c r="AN12" s="2379"/>
      <c r="AO12" s="2379"/>
      <c r="AP12" s="2474"/>
      <c r="AQ12" s="2474"/>
      <c r="AR12" s="2379"/>
      <c r="AS12" s="2474"/>
      <c r="AT12" s="2379"/>
      <c r="AU12" s="2379"/>
      <c r="AV12" s="2379"/>
      <c r="AW12" s="2474"/>
      <c r="AX12" s="2379"/>
      <c r="AY12" s="2379"/>
      <c r="AZ12" s="2379"/>
      <c r="BA12" s="2474"/>
      <c r="BB12" s="2379"/>
      <c r="BC12" s="2379"/>
      <c r="BD12" s="2474"/>
      <c r="BE12" s="2379"/>
      <c r="BF12" s="2474"/>
      <c r="BG12" s="2474"/>
      <c r="BH12" s="2474"/>
      <c r="BI12" s="2379"/>
      <c r="BJ12" s="2379"/>
      <c r="BK12" s="2379"/>
      <c r="BL12" s="2379"/>
      <c r="BM12" s="2474"/>
      <c r="BN12" s="2379"/>
      <c r="BO12" s="2474"/>
      <c r="BP12" s="2379"/>
      <c r="BQ12" s="2379"/>
      <c r="BR12" s="2379"/>
      <c r="BS12" s="2379"/>
      <c r="BT12" s="2379"/>
      <c r="BU12" s="2379"/>
      <c r="BV12" s="2379"/>
      <c r="BW12" s="2379"/>
      <c r="BX12" s="2379"/>
      <c r="BY12" s="2379"/>
      <c r="BZ12" s="2379"/>
      <c r="CA12" s="2379"/>
      <c r="CB12" s="2379"/>
      <c r="CC12" s="2379"/>
      <c r="CD12" s="2379"/>
      <c r="CE12" s="2379"/>
      <c r="CF12" s="2474"/>
      <c r="CG12" s="2379"/>
      <c r="CH12" s="2474"/>
      <c r="CI12" s="2379"/>
      <c r="CJ12" s="2379"/>
      <c r="CK12" s="2379"/>
      <c r="CL12" s="2379"/>
      <c r="CM12" s="2379"/>
      <c r="CN12" s="2474"/>
      <c r="CO12" s="2474"/>
      <c r="CP12" s="2379"/>
      <c r="CQ12" s="2379"/>
      <c r="CR12" s="2379"/>
      <c r="CS12" s="2379"/>
      <c r="CT12" s="2379"/>
      <c r="CU12" s="2379"/>
      <c r="CV12" s="2474"/>
      <c r="CW12" s="2379"/>
      <c r="CX12" s="2379"/>
      <c r="CY12" s="2379"/>
      <c r="CZ12" s="2379"/>
      <c r="DA12" s="2379"/>
      <c r="DB12" s="2379"/>
      <c r="DC12" s="2379"/>
      <c r="DD12" s="2379"/>
      <c r="DE12" s="2474"/>
      <c r="DF12" s="2474"/>
      <c r="DG12" s="2379"/>
      <c r="DH12" s="2379"/>
      <c r="DI12" s="2379"/>
      <c r="DJ12" s="2379"/>
      <c r="DK12" s="2474"/>
      <c r="DL12" s="2379"/>
      <c r="DM12" s="2379"/>
      <c r="DN12" s="2379"/>
      <c r="DO12" s="2379"/>
      <c r="DP12" s="2379"/>
      <c r="DQ12" s="2379"/>
      <c r="DR12" s="2379"/>
      <c r="DS12" s="2379"/>
      <c r="DT12" s="2379"/>
      <c r="DU12" s="2379"/>
      <c r="DV12" s="2474"/>
      <c r="DW12" s="2379"/>
      <c r="DX12" s="2379"/>
      <c r="DY12" s="2379"/>
      <c r="DZ12" s="2379"/>
      <c r="EA12" s="2379"/>
      <c r="EB12" s="2379"/>
      <c r="EC12" s="2379"/>
      <c r="ED12" s="2474"/>
      <c r="EE12" s="2474"/>
      <c r="EF12" s="2379"/>
      <c r="EG12" s="2379"/>
      <c r="EH12" s="2379"/>
      <c r="EI12" s="2379"/>
      <c r="EJ12" s="2379"/>
      <c r="EK12" s="2379"/>
      <c r="EL12" s="2474"/>
      <c r="EM12" s="2379"/>
      <c r="EN12" s="2379"/>
      <c r="EO12" s="2379"/>
      <c r="EP12" s="2379"/>
      <c r="EQ12" s="2379"/>
      <c r="ER12" s="2379"/>
      <c r="ES12" s="2379"/>
      <c r="ET12" s="2379"/>
      <c r="EU12" s="2379"/>
      <c r="EV12" s="2379"/>
      <c r="EW12" s="2379"/>
      <c r="EX12" s="2379"/>
      <c r="EY12" s="2379"/>
      <c r="EZ12" s="2474"/>
      <c r="FA12" s="2379"/>
      <c r="FB12" s="2379"/>
      <c r="FC12" s="2379"/>
      <c r="FD12" s="2379"/>
      <c r="FE12" s="2379"/>
      <c r="FF12" s="2379"/>
      <c r="FG12" s="2379"/>
      <c r="FH12" s="2379"/>
      <c r="FI12" s="2379"/>
      <c r="FJ12" s="2379"/>
      <c r="FK12" s="2379"/>
      <c r="FL12" s="2379"/>
      <c r="FM12" s="2379"/>
      <c r="FN12" s="2379"/>
      <c r="FO12" s="2379"/>
      <c r="FP12" s="2379"/>
      <c r="FQ12" s="2474"/>
      <c r="FR12" s="2379"/>
      <c r="FS12" s="2379"/>
      <c r="FT12" s="2379"/>
      <c r="FU12" s="2379"/>
      <c r="FV12" s="2379"/>
      <c r="FW12" s="2474"/>
      <c r="FX12" s="2379"/>
      <c r="FY12" s="2379"/>
      <c r="FZ12" s="2379"/>
      <c r="GA12" s="2379"/>
      <c r="GB12" s="2379"/>
      <c r="GC12" s="2474"/>
      <c r="GD12" s="2474"/>
      <c r="GE12" s="2379"/>
      <c r="GF12" s="2379"/>
      <c r="GG12" s="2379"/>
      <c r="GH12" s="2379"/>
      <c r="GI12" s="2379"/>
      <c r="GJ12" s="2379"/>
      <c r="GK12" s="2474"/>
      <c r="GL12" s="2379"/>
      <c r="GM12" s="2379"/>
      <c r="GN12" s="2379"/>
      <c r="GO12" s="2474"/>
      <c r="GP12" s="2379"/>
      <c r="GQ12" s="2474"/>
      <c r="GR12" s="2379"/>
      <c r="GS12" s="2379"/>
      <c r="GT12" s="2379"/>
      <c r="GU12" s="2379"/>
      <c r="GV12" s="2395"/>
      <c r="GW12" s="2474"/>
      <c r="GX12" s="2379"/>
      <c r="GY12" s="2379"/>
      <c r="GZ12" s="2379"/>
      <c r="HA12" s="2379"/>
      <c r="HB12" s="2379"/>
      <c r="HC12" s="2379"/>
      <c r="HD12" s="2379"/>
      <c r="HE12" s="2379"/>
      <c r="HF12" s="2379"/>
      <c r="HG12" s="2379"/>
      <c r="HH12" s="2379"/>
      <c r="HI12" s="2474"/>
      <c r="HJ12" s="2379"/>
      <c r="HK12" s="2379"/>
      <c r="HL12" s="2379"/>
      <c r="HM12" s="2379"/>
      <c r="HN12" s="2379"/>
      <c r="HO12" s="2379"/>
      <c r="HP12" s="2379"/>
      <c r="HQ12" s="2379"/>
      <c r="HR12" s="2379"/>
      <c r="HS12" s="2379"/>
      <c r="HT12" s="2379"/>
      <c r="HU12" s="2379"/>
      <c r="HV12" s="2379"/>
      <c r="HW12" s="2379"/>
      <c r="HX12" s="2379"/>
      <c r="HY12" s="2379"/>
      <c r="HZ12" s="2379"/>
      <c r="IA12" s="2379"/>
      <c r="IB12" s="2379"/>
      <c r="IC12" s="2379"/>
      <c r="ID12" s="2379"/>
      <c r="IE12" s="2379"/>
      <c r="IF12" s="2379"/>
      <c r="IG12" s="2379"/>
      <c r="IH12" s="2379"/>
      <c r="II12" s="2379"/>
      <c r="IJ12" s="2379"/>
      <c r="IK12" s="2379"/>
      <c r="IL12" s="2379"/>
      <c r="IM12" s="2379"/>
      <c r="IN12" s="2379"/>
      <c r="IO12" s="2379"/>
      <c r="IP12" s="2379"/>
      <c r="IQ12" s="2379"/>
      <c r="IR12" s="2379"/>
      <c r="IS12" s="2379"/>
      <c r="IT12" s="2379"/>
      <c r="IU12" s="2379"/>
      <c r="IV12" s="2379"/>
      <c r="IW12" s="2379"/>
      <c r="IX12" s="2379"/>
      <c r="IY12" s="2379"/>
      <c r="IZ12" s="2379"/>
      <c r="JA12" s="2815"/>
      <c r="JB12" s="2815"/>
      <c r="JC12" s="2815"/>
      <c r="JD12" s="2815"/>
      <c r="JE12" s="2815"/>
      <c r="JF12" s="2815"/>
      <c r="JG12" s="3789"/>
      <c r="JH12" s="1233"/>
      <c r="JI12" s="1232" t="s">
        <v>7289</v>
      </c>
      <c r="JJ12" s="2971"/>
    </row>
    <row ht="12.75" r="13" spans="1:270" x14ac:dyDescent="0.2">
      <c r="A13" s="1128">
        <v>12</v>
      </c>
      <c r="B13" s="632" t="str">
        <f si="0" t="shared"/>
        <v/>
      </c>
      <c r="C13" s="1524" t="s">
        <v>1392</v>
      </c>
      <c r="D13" s="2928" t="s">
        <v>7321</v>
      </c>
      <c r="E13" s="2472"/>
      <c r="F13" s="2472"/>
      <c r="G13" s="2472"/>
      <c r="H13" s="2473"/>
      <c r="I13" s="2473"/>
      <c r="J13" s="2473"/>
      <c r="K13" s="2472"/>
      <c r="L13" s="2473"/>
      <c r="M13" s="2473"/>
      <c r="N13" s="2473"/>
      <c r="O13" s="2472"/>
      <c r="P13" s="2473"/>
      <c r="Q13" s="2472"/>
      <c r="R13" s="2472"/>
      <c r="S13" s="2473"/>
      <c r="T13" s="2473"/>
      <c r="U13" s="2472"/>
      <c r="V13" s="2472"/>
      <c r="W13" s="2472"/>
      <c r="X13" s="2472"/>
      <c r="Y13" s="2472"/>
      <c r="Z13" s="2473"/>
      <c r="AA13" s="2472"/>
      <c r="AB13" s="2473"/>
      <c r="AC13" s="2472"/>
      <c r="AD13" s="2472"/>
      <c r="AE13" s="2472"/>
      <c r="AF13" s="2472"/>
      <c r="AG13" s="2472"/>
      <c r="AH13" s="2472"/>
      <c r="AI13" s="2473"/>
      <c r="AJ13" s="2473"/>
      <c r="AK13" s="2472"/>
      <c r="AL13" s="2473"/>
      <c r="AM13" s="2473"/>
      <c r="AN13" s="2473"/>
      <c r="AO13" s="2473"/>
      <c r="AP13" s="2472"/>
      <c r="AQ13" s="2472"/>
      <c r="AR13" s="2473"/>
      <c r="AS13" s="2472"/>
      <c r="AT13" s="2472"/>
      <c r="AU13" s="2472"/>
      <c r="AV13" s="2473"/>
      <c r="AW13" s="2472"/>
      <c r="AX13" s="2472"/>
      <c r="AY13" s="2472"/>
      <c r="AZ13" s="2472"/>
      <c r="BA13" s="2472">
        <v>2250</v>
      </c>
      <c r="BB13" s="2472"/>
      <c r="BC13" s="2472"/>
      <c r="BD13" s="2472"/>
      <c r="BE13" s="2472"/>
      <c r="BF13" s="2472">
        <v>2250</v>
      </c>
      <c r="BG13" s="2472"/>
      <c r="BH13" s="2472"/>
      <c r="BI13" s="2472"/>
      <c r="BJ13" s="2472"/>
      <c r="BK13" s="2472"/>
      <c r="BL13" s="2472"/>
      <c r="BM13" s="2472">
        <v>2250</v>
      </c>
      <c r="BN13" s="2472"/>
      <c r="BO13" s="2472"/>
      <c r="BP13" s="2472"/>
      <c r="BQ13" s="2472"/>
      <c r="BR13" s="2472"/>
      <c r="BS13" s="2472"/>
      <c r="BT13" s="2472"/>
      <c r="BU13" s="2472"/>
      <c r="BV13" s="2472"/>
      <c r="BW13" s="2472"/>
      <c r="BX13" s="2472"/>
      <c r="BY13" s="2472"/>
      <c r="BZ13" s="2472"/>
      <c r="CA13" s="2472"/>
      <c r="CB13" s="2472"/>
      <c r="CC13" s="2472"/>
      <c r="CD13" s="2472"/>
      <c r="CE13" s="2473">
        <v>3600</v>
      </c>
      <c r="CF13" s="2472"/>
      <c r="CG13" s="2472"/>
      <c r="CH13" s="2472"/>
      <c r="CI13" s="2472"/>
      <c r="CJ13" s="2472"/>
      <c r="CK13" s="2472"/>
      <c r="CL13" s="2472"/>
      <c r="CM13" s="2472"/>
      <c r="CN13" s="2472"/>
      <c r="CO13" s="2472"/>
      <c r="CP13" s="2472"/>
      <c r="CQ13" s="2472"/>
      <c r="CR13" s="2472"/>
      <c r="CS13" s="2472"/>
      <c r="CT13" s="2472"/>
      <c r="CU13" s="2472"/>
      <c r="CV13" s="2472">
        <v>2250</v>
      </c>
      <c r="CW13" s="2472"/>
      <c r="CX13" s="2472"/>
      <c r="CY13" s="2472"/>
      <c r="CZ13" s="2472"/>
      <c r="DA13" s="2472"/>
      <c r="DB13" s="2472"/>
      <c r="DC13" s="2472"/>
      <c r="DD13" s="2472"/>
      <c r="DE13" s="2472"/>
      <c r="DF13" s="2472"/>
      <c r="DG13" s="2472"/>
      <c r="DH13" s="2472"/>
      <c r="DI13" s="2472"/>
      <c r="DJ13" s="2472"/>
      <c r="DK13" s="2472">
        <v>2250</v>
      </c>
      <c r="DL13" s="2472"/>
      <c r="DM13" s="2472"/>
      <c r="DN13" s="2472"/>
      <c r="DO13" s="2472"/>
      <c r="DP13" s="2473">
        <v>3600</v>
      </c>
      <c r="DQ13" s="2472"/>
      <c r="DR13" s="2472"/>
      <c r="DS13" s="2472"/>
      <c r="DT13" s="2472"/>
      <c r="DU13" s="2472"/>
      <c r="DV13" s="2472">
        <v>2250</v>
      </c>
      <c r="DW13" s="2472"/>
      <c r="DX13" s="2472"/>
      <c r="DY13" s="2472"/>
      <c r="DZ13" s="2472"/>
      <c r="EA13" s="2472"/>
      <c r="EB13" s="2472"/>
      <c r="EC13" s="2472"/>
      <c r="ED13" s="2472"/>
      <c r="EE13" s="2472"/>
      <c r="EF13" s="2472"/>
      <c r="EG13" s="2473">
        <v>3600</v>
      </c>
      <c r="EH13" s="2473">
        <v>3600</v>
      </c>
      <c r="EI13" s="2472"/>
      <c r="EJ13" s="2472"/>
      <c r="EK13" s="2472"/>
      <c r="EL13" s="3728">
        <v>12689</v>
      </c>
      <c r="EM13" s="2472"/>
      <c r="EN13" s="2472"/>
      <c r="EO13" s="2472"/>
      <c r="EP13" s="2472"/>
      <c r="EQ13" s="2472"/>
      <c r="ER13" s="2472"/>
      <c r="ES13" s="2472"/>
      <c r="ET13" s="2472"/>
      <c r="EU13" s="2472"/>
      <c r="EV13" s="2472"/>
      <c r="EW13" s="2472"/>
      <c r="EX13" s="2472"/>
      <c r="EY13" s="2472"/>
      <c r="EZ13" s="2472"/>
      <c r="FA13" s="2472"/>
      <c r="FB13" s="2472"/>
      <c r="FC13" s="2472">
        <v>9000</v>
      </c>
      <c r="FD13" s="2472">
        <v>9000</v>
      </c>
      <c r="FE13" s="2472"/>
      <c r="FF13" s="2472"/>
      <c r="FG13" s="2472"/>
      <c r="FH13" s="2472"/>
      <c r="FI13" s="2472"/>
      <c r="FJ13" s="2472"/>
      <c r="FK13" s="2472"/>
      <c r="FL13" s="2472"/>
      <c r="FM13" s="2472"/>
      <c r="FN13" s="2473">
        <v>3600</v>
      </c>
      <c r="FO13" s="2473">
        <v>3600</v>
      </c>
      <c r="FP13" s="2473">
        <v>3600</v>
      </c>
      <c r="FQ13" s="2472"/>
      <c r="FR13" s="2472"/>
      <c r="FS13" s="2472"/>
      <c r="FT13" s="2472"/>
      <c r="FU13" s="2472"/>
      <c r="FV13" s="2472"/>
      <c r="FW13" s="2472"/>
      <c r="FX13" s="2472"/>
      <c r="FY13" s="2472"/>
      <c r="FZ13" s="2472"/>
      <c r="GA13" s="2472"/>
      <c r="GB13" s="2472"/>
      <c r="GC13" s="2472"/>
      <c r="GD13" s="2472"/>
      <c r="GE13" s="2472"/>
      <c r="GF13" s="2472"/>
      <c r="GG13" s="2472"/>
      <c r="GH13" s="2472"/>
      <c r="GI13" s="2472"/>
      <c r="GJ13" s="2472"/>
      <c r="GK13" s="2472"/>
      <c r="GL13" s="2472"/>
      <c r="GM13" s="2472"/>
      <c r="GN13" s="2472"/>
      <c r="GO13" s="2472"/>
      <c r="GP13" s="2472"/>
      <c r="GQ13" s="2472"/>
      <c r="GR13" s="2472"/>
      <c r="GS13" s="2473">
        <v>3600</v>
      </c>
      <c r="GT13" s="2472"/>
      <c r="GU13" s="2472"/>
      <c r="GV13" s="2511"/>
      <c r="GW13" s="2472"/>
      <c r="GX13" s="2472"/>
      <c r="GY13" s="2472"/>
      <c r="GZ13" s="2472"/>
      <c r="HA13" s="2473">
        <v>3600</v>
      </c>
      <c r="HB13" s="2472">
        <v>9000</v>
      </c>
      <c r="HC13" s="2472"/>
      <c r="HD13" s="2472"/>
      <c r="HE13" s="2472"/>
      <c r="HF13" s="2472"/>
      <c r="HG13" s="2472"/>
      <c r="HH13" s="2472"/>
      <c r="HI13" s="2472"/>
      <c r="HJ13" s="2472"/>
      <c r="HK13" s="2472"/>
      <c r="HL13" s="2472"/>
      <c r="HM13" s="2472"/>
      <c r="HN13" s="2472"/>
      <c r="HO13" s="2472"/>
      <c r="HP13" s="2472"/>
      <c r="HQ13" s="2472"/>
      <c r="HR13" s="2472"/>
      <c r="HS13" s="2472"/>
      <c r="HT13" s="2472"/>
      <c r="HU13" s="2472"/>
      <c r="HV13" s="2472"/>
      <c r="HW13" s="2472"/>
      <c r="HX13" s="2472"/>
      <c r="HY13" s="2472"/>
      <c r="HZ13" s="2472"/>
      <c r="IA13" s="2472"/>
      <c r="IB13" s="2472"/>
      <c r="IC13" s="2472"/>
      <c r="ID13" s="2472"/>
      <c r="IE13" s="2472"/>
      <c r="IF13" s="2472"/>
      <c r="IG13" s="2472"/>
      <c r="IH13" s="2472"/>
      <c r="II13" s="2472"/>
      <c r="IJ13" s="2472"/>
      <c r="IK13" s="2472"/>
      <c r="IL13" s="2472"/>
      <c r="IM13" s="2472"/>
      <c r="IN13" s="2472"/>
      <c r="IO13" s="2472"/>
      <c r="IP13" s="2472"/>
      <c r="IQ13" s="2472"/>
      <c r="IR13" s="2472"/>
      <c r="IS13" s="2472"/>
      <c r="IT13" s="2472"/>
      <c r="IU13" s="2472"/>
      <c r="IV13" s="2472"/>
      <c r="IW13" s="2472"/>
      <c r="IX13" s="2472"/>
      <c r="IY13" s="2472"/>
      <c r="IZ13" s="2472"/>
      <c r="JA13" s="2841"/>
      <c r="JB13" s="2841"/>
      <c r="JC13" s="2841"/>
      <c r="JD13" s="2841"/>
      <c r="JE13" s="2841"/>
      <c r="JF13" s="2841"/>
      <c r="JG13" s="3790"/>
      <c r="JH13" s="1233"/>
      <c r="JI13" s="1232"/>
      <c r="JJ13" s="1660" t="s">
        <v>6108</v>
      </c>
    </row>
    <row ht="12.75" r="14" spans="1:270" x14ac:dyDescent="0.2">
      <c r="A14" s="1128">
        <v>13</v>
      </c>
      <c r="B14" s="632" t="str">
        <f si="0" t="shared"/>
        <v/>
      </c>
      <c r="C14" s="1524" t="s">
        <v>1393</v>
      </c>
      <c r="D14" s="2928" t="s">
        <v>7322</v>
      </c>
      <c r="E14" s="2472"/>
      <c r="F14" s="2472"/>
      <c r="G14" s="2472"/>
      <c r="H14" s="2473"/>
      <c r="I14" s="2473"/>
      <c r="J14" s="2473"/>
      <c r="K14" s="2472"/>
      <c r="L14" s="2473"/>
      <c r="M14" s="2473"/>
      <c r="N14" s="2473"/>
      <c r="O14" s="2472"/>
      <c r="P14" s="2473"/>
      <c r="Q14" s="2472"/>
      <c r="R14" s="2472"/>
      <c r="S14" s="2473"/>
      <c r="T14" s="2473"/>
      <c r="U14" s="2472"/>
      <c r="V14" s="2472"/>
      <c r="W14" s="2472"/>
      <c r="X14" s="2472"/>
      <c r="Y14" s="2472"/>
      <c r="Z14" s="2473"/>
      <c r="AA14" s="2472"/>
      <c r="AB14" s="2473"/>
      <c r="AC14" s="2472"/>
      <c r="AD14" s="2472"/>
      <c r="AE14" s="2472"/>
      <c r="AF14" s="2472"/>
      <c r="AG14" s="2472"/>
      <c r="AH14" s="2472"/>
      <c r="AI14" s="2473"/>
      <c r="AJ14" s="2473"/>
      <c r="AK14" s="2472"/>
      <c r="AL14" s="2473"/>
      <c r="AM14" s="2473"/>
      <c r="AN14" s="2473"/>
      <c r="AO14" s="2473"/>
      <c r="AP14" s="2472"/>
      <c r="AQ14" s="2472"/>
      <c r="AR14" s="2473"/>
      <c r="AS14" s="2472"/>
      <c r="AT14" s="2472"/>
      <c r="AU14" s="2472"/>
      <c r="AV14" s="2473"/>
      <c r="AW14" s="2472"/>
      <c r="AX14" s="2472"/>
      <c r="AY14" s="2472"/>
      <c r="AZ14" s="2472"/>
      <c r="BA14" s="2472">
        <v>650</v>
      </c>
      <c r="BB14" s="2472"/>
      <c r="BC14" s="2472"/>
      <c r="BD14" s="2472"/>
      <c r="BE14" s="2472"/>
      <c r="BF14" s="2472">
        <v>650</v>
      </c>
      <c r="BG14" s="2472"/>
      <c r="BH14" s="2472"/>
      <c r="BI14" s="2472"/>
      <c r="BJ14" s="2472"/>
      <c r="BK14" s="2472"/>
      <c r="BL14" s="2472"/>
      <c r="BM14" s="2472">
        <v>650</v>
      </c>
      <c r="BN14" s="2472"/>
      <c r="BO14" s="2472"/>
      <c r="BP14" s="2472"/>
      <c r="BQ14" s="2472"/>
      <c r="BR14" s="2472"/>
      <c r="BS14" s="2472"/>
      <c r="BT14" s="2472"/>
      <c r="BU14" s="2472"/>
      <c r="BV14" s="2472"/>
      <c r="BW14" s="2472"/>
      <c r="BX14" s="2472"/>
      <c r="BY14" s="2472"/>
      <c r="BZ14" s="2472"/>
      <c r="CA14" s="2472"/>
      <c r="CB14" s="2472"/>
      <c r="CC14" s="2472"/>
      <c r="CD14" s="2472"/>
      <c r="CE14" s="2473"/>
      <c r="CF14" s="2472"/>
      <c r="CG14" s="2472"/>
      <c r="CH14" s="2472"/>
      <c r="CI14" s="2472"/>
      <c r="CJ14" s="2472"/>
      <c r="CK14" s="2472"/>
      <c r="CL14" s="2472"/>
      <c r="CM14" s="2472"/>
      <c r="CN14" s="2472"/>
      <c r="CO14" s="2472"/>
      <c r="CP14" s="2472"/>
      <c r="CQ14" s="2472"/>
      <c r="CR14" s="2472"/>
      <c r="CS14" s="2472"/>
      <c r="CT14" s="2472"/>
      <c r="CU14" s="2472"/>
      <c r="CV14" s="2472">
        <v>650</v>
      </c>
      <c r="CW14" s="2472"/>
      <c r="CX14" s="2472"/>
      <c r="CY14" s="2472"/>
      <c r="CZ14" s="2472"/>
      <c r="DA14" s="2472"/>
      <c r="DB14" s="2472"/>
      <c r="DC14" s="2472"/>
      <c r="DD14" s="2472"/>
      <c r="DE14" s="2472"/>
      <c r="DF14" s="2472"/>
      <c r="DG14" s="2472"/>
      <c r="DH14" s="2472"/>
      <c r="DI14" s="2472"/>
      <c r="DJ14" s="2472"/>
      <c r="DK14" s="2472">
        <v>650</v>
      </c>
      <c r="DL14" s="2472"/>
      <c r="DM14" s="2472"/>
      <c r="DN14" s="2472"/>
      <c r="DO14" s="2472"/>
      <c r="DP14" s="2473"/>
      <c r="DQ14" s="2472"/>
      <c r="DR14" s="2472"/>
      <c r="DS14" s="2472"/>
      <c r="DT14" s="2472"/>
      <c r="DU14" s="2472"/>
      <c r="DV14" s="2472">
        <v>650</v>
      </c>
      <c r="DW14" s="2472"/>
      <c r="DX14" s="2472"/>
      <c r="DY14" s="2472"/>
      <c r="DZ14" s="2472"/>
      <c r="EA14" s="2472"/>
      <c r="EB14" s="2472"/>
      <c r="EC14" s="2472"/>
      <c r="ED14" s="2472"/>
      <c r="EE14" s="2472"/>
      <c r="EF14" s="2472"/>
      <c r="EG14" s="2473"/>
      <c r="EH14" s="2473"/>
      <c r="EI14" s="2472"/>
      <c r="EJ14" s="2472"/>
      <c r="EK14" s="2472"/>
      <c r="EL14" s="3728">
        <v>5550</v>
      </c>
      <c r="EM14" s="2472"/>
      <c r="EN14" s="2472"/>
      <c r="EO14" s="2472"/>
      <c r="EP14" s="2472"/>
      <c r="EQ14" s="2472"/>
      <c r="ER14" s="2472"/>
      <c r="ES14" s="2472"/>
      <c r="ET14" s="2472"/>
      <c r="EU14" s="2472"/>
      <c r="EV14" s="2472"/>
      <c r="EW14" s="2472"/>
      <c r="EX14" s="2472"/>
      <c r="EY14" s="2472"/>
      <c r="EZ14" s="2472"/>
      <c r="FA14" s="2472"/>
      <c r="FB14" s="2472"/>
      <c r="FC14" s="2472"/>
      <c r="FD14" s="2472"/>
      <c r="FE14" s="2472"/>
      <c r="FF14" s="2472"/>
      <c r="FG14" s="2472"/>
      <c r="FH14" s="2472"/>
      <c r="FI14" s="2472"/>
      <c r="FJ14" s="2472"/>
      <c r="FK14" s="2472"/>
      <c r="FL14" s="2472"/>
      <c r="FM14" s="2472"/>
      <c r="FN14" s="2473"/>
      <c r="FO14" s="2473"/>
      <c r="FP14" s="2473"/>
      <c r="FQ14" s="2472"/>
      <c r="FR14" s="2472"/>
      <c r="FS14" s="2472"/>
      <c r="FT14" s="2472"/>
      <c r="FU14" s="2472"/>
      <c r="FV14" s="2472"/>
      <c r="FW14" s="2472"/>
      <c r="FX14" s="2472"/>
      <c r="FY14" s="2472"/>
      <c r="FZ14" s="2472"/>
      <c r="GA14" s="2472"/>
      <c r="GB14" s="2472"/>
      <c r="GC14" s="2472"/>
      <c r="GD14" s="2472"/>
      <c r="GE14" s="2472"/>
      <c r="GF14" s="2472"/>
      <c r="GG14" s="2472"/>
      <c r="GH14" s="2472"/>
      <c r="GI14" s="2472"/>
      <c r="GJ14" s="2472"/>
      <c r="GK14" s="2472"/>
      <c r="GL14" s="2472"/>
      <c r="GM14" s="2472"/>
      <c r="GN14" s="2472"/>
      <c r="GO14" s="2472"/>
      <c r="GP14" s="2472"/>
      <c r="GQ14" s="2472"/>
      <c r="GR14" s="2472"/>
      <c r="GS14" s="2473"/>
      <c r="GT14" s="2472"/>
      <c r="GU14" s="2472"/>
      <c r="GV14" s="2511"/>
      <c r="GW14" s="2472"/>
      <c r="GX14" s="2472"/>
      <c r="GY14" s="2472"/>
      <c r="GZ14" s="2472"/>
      <c r="HA14" s="2473"/>
      <c r="HB14" s="2472"/>
      <c r="HC14" s="2472"/>
      <c r="HD14" s="2472"/>
      <c r="HE14" s="2472"/>
      <c r="HF14" s="2472"/>
      <c r="HG14" s="2472"/>
      <c r="HH14" s="2472"/>
      <c r="HI14" s="2472"/>
      <c r="HJ14" s="2472"/>
      <c r="HK14" s="2472"/>
      <c r="HL14" s="2472"/>
      <c r="HM14" s="2472"/>
      <c r="HN14" s="2472"/>
      <c r="HO14" s="2472"/>
      <c r="HP14" s="2472"/>
      <c r="HQ14" s="2472"/>
      <c r="HR14" s="2472"/>
      <c r="HS14" s="2472"/>
      <c r="HT14" s="2472"/>
      <c r="HU14" s="2472"/>
      <c r="HV14" s="2472"/>
      <c r="HW14" s="2472"/>
      <c r="HX14" s="2472"/>
      <c r="HY14" s="2472"/>
      <c r="HZ14" s="2472"/>
      <c r="IA14" s="2472"/>
      <c r="IB14" s="2472"/>
      <c r="IC14" s="2472"/>
      <c r="ID14" s="2472"/>
      <c r="IE14" s="2472"/>
      <c r="IF14" s="2472"/>
      <c r="IG14" s="2472"/>
      <c r="IH14" s="2472"/>
      <c r="II14" s="2472"/>
      <c r="IJ14" s="2472"/>
      <c r="IK14" s="2472"/>
      <c r="IL14" s="2472"/>
      <c r="IM14" s="2472"/>
      <c r="IN14" s="2472"/>
      <c r="IO14" s="2472"/>
      <c r="IP14" s="2472"/>
      <c r="IQ14" s="2472"/>
      <c r="IR14" s="2472"/>
      <c r="IS14" s="2472"/>
      <c r="IT14" s="2472"/>
      <c r="IU14" s="2472"/>
      <c r="IV14" s="2472"/>
      <c r="IW14" s="2472"/>
      <c r="IX14" s="2472"/>
      <c r="IY14" s="2472"/>
      <c r="IZ14" s="2472"/>
      <c r="JA14" s="2841"/>
      <c r="JB14" s="2841"/>
      <c r="JC14" s="2841"/>
      <c r="JD14" s="2841"/>
      <c r="JE14" s="2841"/>
      <c r="JF14" s="2841"/>
      <c r="JG14" s="3790"/>
      <c r="JH14" s="1233"/>
      <c r="JI14" s="1232"/>
      <c r="JJ14" s="1660" t="s">
        <v>6108</v>
      </c>
    </row>
    <row ht="12.75" r="15" spans="1:270" x14ac:dyDescent="0.2">
      <c r="A15" s="1128">
        <v>14</v>
      </c>
      <c r="B15" s="632" t="str">
        <f si="0" t="shared"/>
        <v/>
      </c>
      <c r="C15" s="1524" t="s">
        <v>1394</v>
      </c>
      <c r="D15" s="2928" t="s">
        <v>7323</v>
      </c>
      <c r="E15" s="2472"/>
      <c r="F15" s="2472"/>
      <c r="G15" s="2472"/>
      <c r="H15" s="2473"/>
      <c r="I15" s="2473"/>
      <c r="J15" s="2473"/>
      <c r="K15" s="2472"/>
      <c r="L15" s="2473"/>
      <c r="M15" s="2473"/>
      <c r="N15" s="2473"/>
      <c r="O15" s="2472"/>
      <c r="P15" s="2473"/>
      <c r="Q15" s="2472"/>
      <c r="R15" s="2472"/>
      <c r="S15" s="2473"/>
      <c r="T15" s="2473"/>
      <c r="U15" s="2472"/>
      <c r="V15" s="2472"/>
      <c r="W15" s="2472"/>
      <c r="X15" s="2472"/>
      <c r="Y15" s="2472"/>
      <c r="Z15" s="2473"/>
      <c r="AA15" s="2472"/>
      <c r="AB15" s="2473"/>
      <c r="AC15" s="2472"/>
      <c r="AD15" s="2472"/>
      <c r="AE15" s="2472"/>
      <c r="AF15" s="2472"/>
      <c r="AG15" s="2472"/>
      <c r="AH15" s="2472"/>
      <c r="AI15" s="2473"/>
      <c r="AJ15" s="2473"/>
      <c r="AK15" s="2472"/>
      <c r="AL15" s="2473"/>
      <c r="AM15" s="2473"/>
      <c r="AN15" s="2473"/>
      <c r="AO15" s="2473"/>
      <c r="AP15" s="2472"/>
      <c r="AQ15" s="2472"/>
      <c r="AR15" s="2473"/>
      <c r="AS15" s="2472"/>
      <c r="AT15" s="2472"/>
      <c r="AU15" s="2472">
        <v>500</v>
      </c>
      <c r="AV15" s="2473"/>
      <c r="AW15" s="2472"/>
      <c r="AX15" s="2472"/>
      <c r="AY15" s="2472"/>
      <c r="AZ15" s="2472"/>
      <c r="BA15" s="2472">
        <v>75</v>
      </c>
      <c r="BB15" s="2472"/>
      <c r="BC15" s="2472"/>
      <c r="BD15" s="2472"/>
      <c r="BE15" s="2472"/>
      <c r="BF15" s="2472">
        <v>75</v>
      </c>
      <c r="BG15" s="2472"/>
      <c r="BH15" s="2472"/>
      <c r="BI15" s="2472"/>
      <c r="BJ15" s="2472"/>
      <c r="BK15" s="2472"/>
      <c r="BL15" s="2472"/>
      <c r="BM15" s="2472">
        <v>75</v>
      </c>
      <c r="BN15" s="2472"/>
      <c r="BO15" s="2472"/>
      <c r="BP15" s="2472"/>
      <c r="BQ15" s="2472"/>
      <c r="BR15" s="2472"/>
      <c r="BS15" s="2472"/>
      <c r="BT15" s="2472"/>
      <c r="BU15" s="2472"/>
      <c r="BV15" s="2472"/>
      <c r="BW15" s="2472"/>
      <c r="BX15" s="2472"/>
      <c r="BY15" s="2472"/>
      <c r="BZ15" s="2472"/>
      <c r="CA15" s="2472"/>
      <c r="CB15" s="2472"/>
      <c r="CC15" s="2472"/>
      <c r="CD15" s="2472"/>
      <c r="CE15" s="2473">
        <v>350</v>
      </c>
      <c r="CF15" s="2472"/>
      <c r="CG15" s="2472"/>
      <c r="CH15" s="2472"/>
      <c r="CI15" s="2472"/>
      <c r="CJ15" s="2472"/>
      <c r="CK15" s="2472"/>
      <c r="CL15" s="2472"/>
      <c r="CM15" s="2472"/>
      <c r="CN15" s="2472"/>
      <c r="CO15" s="2472"/>
      <c r="CP15" s="2472"/>
      <c r="CQ15" s="2472"/>
      <c r="CR15" s="2472"/>
      <c r="CS15" s="2472"/>
      <c r="CT15" s="2472"/>
      <c r="CU15" s="2472"/>
      <c r="CV15" s="2472">
        <v>75</v>
      </c>
      <c r="CW15" s="2472"/>
      <c r="CX15" s="2472"/>
      <c r="CY15" s="2472"/>
      <c r="CZ15" s="2472"/>
      <c r="DA15" s="2472"/>
      <c r="DB15" s="2472"/>
      <c r="DC15" s="2472"/>
      <c r="DD15" s="2472"/>
      <c r="DE15" s="2472"/>
      <c r="DF15" s="2472"/>
      <c r="DG15" s="2472"/>
      <c r="DH15" s="2472"/>
      <c r="DI15" s="2472"/>
      <c r="DJ15" s="2472"/>
      <c r="DK15" s="2472">
        <v>75</v>
      </c>
      <c r="DL15" s="2472">
        <v>500</v>
      </c>
      <c r="DM15" s="2472"/>
      <c r="DN15" s="2472"/>
      <c r="DO15" s="2472"/>
      <c r="DP15" s="2473">
        <v>350</v>
      </c>
      <c r="DQ15" s="2472"/>
      <c r="DR15" s="2472"/>
      <c r="DS15" s="2472"/>
      <c r="DT15" s="2472">
        <v>500</v>
      </c>
      <c r="DU15" s="2472"/>
      <c r="DV15" s="2472">
        <v>75</v>
      </c>
      <c r="DW15" s="2472"/>
      <c r="DX15" s="2472"/>
      <c r="DY15" s="2472"/>
      <c r="DZ15" s="2472"/>
      <c r="EA15" s="2472"/>
      <c r="EB15" s="2472"/>
      <c r="EC15" s="2472"/>
      <c r="ED15" s="2472"/>
      <c r="EE15" s="2472"/>
      <c r="EF15" s="2472"/>
      <c r="EG15" s="2473">
        <v>350</v>
      </c>
      <c r="EH15" s="2473">
        <v>350</v>
      </c>
      <c r="EI15" s="2472">
        <v>500</v>
      </c>
      <c r="EJ15" s="2472"/>
      <c r="EK15" s="2472"/>
      <c r="EL15" s="3728">
        <v>757</v>
      </c>
      <c r="EM15" s="2472"/>
      <c r="EN15" s="2472"/>
      <c r="EO15" s="2472"/>
      <c r="EP15" s="2472">
        <v>500</v>
      </c>
      <c r="EQ15" s="2472"/>
      <c r="ER15" s="2472"/>
      <c r="ES15" s="2472"/>
      <c r="ET15" s="2472"/>
      <c r="EU15" s="2472"/>
      <c r="EV15" s="2472"/>
      <c r="EW15" s="2472"/>
      <c r="EX15" s="2472"/>
      <c r="EY15" s="2472"/>
      <c r="EZ15" s="2472"/>
      <c r="FA15" s="2472"/>
      <c r="FB15" s="2472"/>
      <c r="FC15" s="2472"/>
      <c r="FD15" s="2472"/>
      <c r="FE15" s="2472"/>
      <c r="FF15" s="2472"/>
      <c r="FG15" s="2472"/>
      <c r="FH15" s="2472"/>
      <c r="FI15" s="2472"/>
      <c r="FJ15" s="2472"/>
      <c r="FK15" s="2472"/>
      <c r="FL15" s="2472"/>
      <c r="FM15" s="2472"/>
      <c r="FN15" s="2473">
        <v>350</v>
      </c>
      <c r="FO15" s="2473">
        <v>350</v>
      </c>
      <c r="FP15" s="2473">
        <v>350</v>
      </c>
      <c r="FQ15" s="2472"/>
      <c r="FR15" s="2472"/>
      <c r="FS15" s="2472"/>
      <c r="FT15" s="2472"/>
      <c r="FU15" s="2472"/>
      <c r="FV15" s="2472"/>
      <c r="FW15" s="2472"/>
      <c r="FX15" s="2472"/>
      <c r="FY15" s="2472"/>
      <c r="FZ15" s="2472"/>
      <c r="GA15" s="2472"/>
      <c r="GB15" s="2472"/>
      <c r="GC15" s="2472"/>
      <c r="GD15" s="2472"/>
      <c r="GE15" s="2472"/>
      <c r="GF15" s="2472">
        <v>500</v>
      </c>
      <c r="GG15" s="2472"/>
      <c r="GH15" s="2472"/>
      <c r="GI15" s="2472"/>
      <c r="GJ15" s="2472"/>
      <c r="GK15" s="2472"/>
      <c r="GL15" s="2472"/>
      <c r="GM15" s="2472"/>
      <c r="GN15" s="2472"/>
      <c r="GO15" s="2472"/>
      <c r="GP15" s="2472"/>
      <c r="GQ15" s="2472"/>
      <c r="GR15" s="2472"/>
      <c r="GS15" s="2473">
        <v>350</v>
      </c>
      <c r="GT15" s="2472"/>
      <c r="GU15" s="2472"/>
      <c r="GV15" s="2511">
        <v>175</v>
      </c>
      <c r="GW15" s="2472"/>
      <c r="GX15" s="2472">
        <v>500</v>
      </c>
      <c r="GY15" s="2472"/>
      <c r="GZ15" s="2472">
        <v>500</v>
      </c>
      <c r="HA15" s="2473">
        <v>350</v>
      </c>
      <c r="HB15" s="2472"/>
      <c r="HC15" s="2472"/>
      <c r="HD15" s="2472"/>
      <c r="HE15" s="2472"/>
      <c r="HF15" s="2472"/>
      <c r="HG15" s="2472"/>
      <c r="HH15" s="2472"/>
      <c r="HI15" s="2472"/>
      <c r="HJ15" s="2472"/>
      <c r="HK15" s="2472"/>
      <c r="HL15" s="2472"/>
      <c r="HM15" s="2472"/>
      <c r="HN15" s="2472"/>
      <c r="HO15" s="2472"/>
      <c r="HP15" s="2472"/>
      <c r="HQ15" s="2472"/>
      <c r="HR15" s="2472"/>
      <c r="HS15" s="2472"/>
      <c r="HT15" s="2472"/>
      <c r="HU15" s="2472"/>
      <c r="HV15" s="2472"/>
      <c r="HW15" s="2472"/>
      <c r="HX15" s="2472"/>
      <c r="HY15" s="2472"/>
      <c r="HZ15" s="2472"/>
      <c r="IA15" s="2472"/>
      <c r="IB15" s="2472"/>
      <c r="IC15" s="2472"/>
      <c r="ID15" s="2472"/>
      <c r="IE15" s="2472"/>
      <c r="IF15" s="2472"/>
      <c r="IG15" s="2472">
        <v>1286</v>
      </c>
      <c r="IH15" s="2472"/>
      <c r="II15" s="2472"/>
      <c r="IJ15" s="2472"/>
      <c r="IK15" s="2472"/>
      <c r="IL15" s="2472"/>
      <c r="IM15" s="2472"/>
      <c r="IN15" s="2472"/>
      <c r="IO15" s="2472"/>
      <c r="IP15" s="2472"/>
      <c r="IQ15" s="2472"/>
      <c r="IR15" s="2472"/>
      <c r="IS15" s="2472"/>
      <c r="IT15" s="2472"/>
      <c r="IU15" s="2472"/>
      <c r="IV15" s="2472"/>
      <c r="IW15" s="2472"/>
      <c r="IX15" s="2472"/>
      <c r="IY15" s="2472"/>
      <c r="IZ15" s="2472"/>
      <c r="JA15" s="2841"/>
      <c r="JB15" s="2841"/>
      <c r="JC15" s="2841"/>
      <c r="JD15" s="2841"/>
      <c r="JE15" s="2841"/>
      <c r="JF15" s="2841"/>
      <c r="JG15" s="3790"/>
      <c r="JH15" s="1233"/>
      <c r="JI15" s="1232"/>
      <c r="JJ15" s="1660" t="s">
        <v>6108</v>
      </c>
    </row>
    <row ht="12.75" r="16" spans="1:270" x14ac:dyDescent="0.2">
      <c r="A16" s="1128">
        <v>15</v>
      </c>
      <c r="B16" s="632" t="str">
        <f si="0" t="shared"/>
        <v/>
      </c>
      <c r="C16" s="1524" t="s">
        <v>1846</v>
      </c>
      <c r="D16" s="2928" t="s">
        <v>7324</v>
      </c>
      <c r="E16" s="2472"/>
      <c r="F16" s="2472"/>
      <c r="G16" s="2472"/>
      <c r="H16" s="2473"/>
      <c r="I16" s="2473"/>
      <c r="J16" s="2473"/>
      <c r="K16" s="2472"/>
      <c r="L16" s="2473"/>
      <c r="M16" s="2473"/>
      <c r="N16" s="2473"/>
      <c r="O16" s="2472"/>
      <c r="P16" s="2473"/>
      <c r="Q16" s="2472"/>
      <c r="R16" s="2472"/>
      <c r="S16" s="2473"/>
      <c r="T16" s="2473"/>
      <c r="U16" s="2472"/>
      <c r="V16" s="2472"/>
      <c r="W16" s="2472"/>
      <c r="X16" s="2472"/>
      <c r="Y16" s="2472"/>
      <c r="Z16" s="2473"/>
      <c r="AA16" s="2472"/>
      <c r="AB16" s="2473"/>
      <c r="AC16" s="2472"/>
      <c r="AD16" s="2472"/>
      <c r="AE16" s="2472"/>
      <c r="AF16" s="2472"/>
      <c r="AG16" s="2472"/>
      <c r="AH16" s="2472"/>
      <c r="AI16" s="2473"/>
      <c r="AJ16" s="2473"/>
      <c r="AK16" s="2472"/>
      <c r="AL16" s="2473"/>
      <c r="AM16" s="2473"/>
      <c r="AN16" s="2473"/>
      <c r="AO16" s="2473"/>
      <c r="AP16" s="2472"/>
      <c r="AQ16" s="2472"/>
      <c r="AR16" s="2473"/>
      <c r="AS16" s="2472">
        <v>600</v>
      </c>
      <c r="AT16" s="2472"/>
      <c r="AU16" s="2472"/>
      <c r="AV16" s="2473"/>
      <c r="AW16" s="2472"/>
      <c r="AX16" s="2472"/>
      <c r="AY16" s="2472"/>
      <c r="AZ16" s="2472"/>
      <c r="BA16" s="2472"/>
      <c r="BB16" s="2472"/>
      <c r="BC16" s="2472"/>
      <c r="BD16" s="2472">
        <v>600</v>
      </c>
      <c r="BE16" s="2472"/>
      <c r="BF16" s="2472"/>
      <c r="BG16" s="2472"/>
      <c r="BH16" s="2472"/>
      <c r="BI16" s="2472"/>
      <c r="BJ16" s="2472"/>
      <c r="BK16" s="2472"/>
      <c r="BL16" s="2472"/>
      <c r="BM16" s="2472"/>
      <c r="BN16" s="2472"/>
      <c r="BO16" s="2472"/>
      <c r="BP16" s="2472"/>
      <c r="BQ16" s="2472"/>
      <c r="BR16" s="2472"/>
      <c r="BS16" s="2472"/>
      <c r="BT16" s="2472"/>
      <c r="BU16" s="2472"/>
      <c r="BV16" s="2472"/>
      <c r="BW16" s="2472"/>
      <c r="BX16" s="2472"/>
      <c r="BY16" s="2472"/>
      <c r="BZ16" s="2472"/>
      <c r="CA16" s="2472"/>
      <c r="CB16" s="2472"/>
      <c r="CC16" s="2472"/>
      <c r="CD16" s="2472"/>
      <c r="CE16" s="2473"/>
      <c r="CF16" s="2472"/>
      <c r="CG16" s="2472"/>
      <c r="CH16" s="2472"/>
      <c r="CI16" s="2472"/>
      <c r="CJ16" s="2472"/>
      <c r="CK16" s="2472"/>
      <c r="CL16" s="2472"/>
      <c r="CM16" s="2472"/>
      <c r="CN16" s="2472">
        <v>600</v>
      </c>
      <c r="CO16" s="2472">
        <v>600</v>
      </c>
      <c r="CP16" s="2472"/>
      <c r="CQ16" s="2472"/>
      <c r="CR16" s="2472"/>
      <c r="CS16" s="2472"/>
      <c r="CT16" s="2472"/>
      <c r="CU16" s="2472"/>
      <c r="CV16" s="2472"/>
      <c r="CW16" s="2472"/>
      <c r="CX16" s="2472"/>
      <c r="CY16" s="2472"/>
      <c r="CZ16" s="2472"/>
      <c r="DA16" s="2472"/>
      <c r="DB16" s="2472"/>
      <c r="DC16" s="2472"/>
      <c r="DD16" s="2472"/>
      <c r="DE16" s="2472">
        <v>600</v>
      </c>
      <c r="DF16" s="2472"/>
      <c r="DG16" s="2472"/>
      <c r="DH16" s="2472"/>
      <c r="DI16" s="2472"/>
      <c r="DJ16" s="2472"/>
      <c r="DK16" s="2472"/>
      <c r="DL16" s="2472"/>
      <c r="DM16" s="2472"/>
      <c r="DN16" s="2472"/>
      <c r="DO16" s="2472"/>
      <c r="DP16" s="2473"/>
      <c r="DQ16" s="2472"/>
      <c r="DR16" s="2472"/>
      <c r="DS16" s="2472"/>
      <c r="DT16" s="2472"/>
      <c r="DU16" s="2472"/>
      <c r="DV16" s="2472"/>
      <c r="DW16" s="2472"/>
      <c r="DX16" s="2472"/>
      <c r="DY16" s="2472"/>
      <c r="DZ16" s="2472"/>
      <c r="EA16" s="2472"/>
      <c r="EB16" s="2472"/>
      <c r="EC16" s="2472"/>
      <c r="ED16" s="2472"/>
      <c r="EE16" s="2472"/>
      <c r="EF16" s="2472"/>
      <c r="EG16" s="2473"/>
      <c r="EH16" s="2473"/>
      <c r="EI16" s="2472"/>
      <c r="EJ16" s="2472"/>
      <c r="EK16" s="2472"/>
      <c r="EL16" s="2472"/>
      <c r="EM16" s="2472"/>
      <c r="EN16" s="2472"/>
      <c r="EO16" s="2472"/>
      <c r="EP16" s="2472"/>
      <c r="EQ16" s="2472"/>
      <c r="ER16" s="2472"/>
      <c r="ES16" s="2472"/>
      <c r="ET16" s="2472"/>
      <c r="EU16" s="2472"/>
      <c r="EV16" s="2472"/>
      <c r="EW16" s="2472"/>
      <c r="EX16" s="2472"/>
      <c r="EY16" s="2472"/>
      <c r="EZ16" s="2472">
        <v>600</v>
      </c>
      <c r="FA16" s="2472"/>
      <c r="FB16" s="2472"/>
      <c r="FC16" s="2472"/>
      <c r="FD16" s="2472"/>
      <c r="FE16" s="2472"/>
      <c r="FF16" s="2472"/>
      <c r="FG16" s="2472"/>
      <c r="FH16" s="2472"/>
      <c r="FI16" s="2472"/>
      <c r="FJ16" s="2472"/>
      <c r="FK16" s="2472"/>
      <c r="FL16" s="2472"/>
      <c r="FM16" s="2472"/>
      <c r="FN16" s="2473"/>
      <c r="FO16" s="2473"/>
      <c r="FP16" s="2473"/>
      <c r="FQ16" s="2472"/>
      <c r="FR16" s="2472"/>
      <c r="FS16" s="2472"/>
      <c r="FT16" s="2472"/>
      <c r="FU16" s="2472"/>
      <c r="FV16" s="2472"/>
      <c r="FW16" s="2472">
        <v>600</v>
      </c>
      <c r="FX16" s="2472"/>
      <c r="FY16" s="2472"/>
      <c r="FZ16" s="2472"/>
      <c r="GA16" s="2472"/>
      <c r="GB16" s="2472"/>
      <c r="GC16" s="2472"/>
      <c r="GD16" s="2472">
        <v>600</v>
      </c>
      <c r="GE16" s="2472"/>
      <c r="GF16" s="2472"/>
      <c r="GG16" s="2472"/>
      <c r="GH16" s="2472"/>
      <c r="GI16" s="2472"/>
      <c r="GJ16" s="2472"/>
      <c r="GK16" s="2472">
        <v>600</v>
      </c>
      <c r="GL16" s="2472"/>
      <c r="GM16" s="2472"/>
      <c r="GN16" s="2472"/>
      <c r="GO16" s="2472"/>
      <c r="GP16" s="2472"/>
      <c r="GQ16" s="2472">
        <v>600</v>
      </c>
      <c r="GR16" s="2472"/>
      <c r="GS16" s="2473"/>
      <c r="GT16" s="2472"/>
      <c r="GU16" s="2472"/>
      <c r="GV16" s="2472"/>
      <c r="GW16" s="2472"/>
      <c r="GX16" s="2472"/>
      <c r="GY16" s="2472"/>
      <c r="GZ16" s="2472"/>
      <c r="HA16" s="2473"/>
      <c r="HB16" s="2472"/>
      <c r="HC16" s="2472"/>
      <c r="HD16" s="2472"/>
      <c r="HE16" s="2472"/>
      <c r="HF16" s="2472"/>
      <c r="HG16" s="2472"/>
      <c r="HH16" s="2472"/>
      <c r="HI16" s="2472"/>
      <c r="HJ16" s="2472"/>
      <c r="HK16" s="2472"/>
      <c r="HL16" s="2472"/>
      <c r="HM16" s="2472"/>
      <c r="HN16" s="2472"/>
      <c r="HO16" s="2472"/>
      <c r="HP16" s="2472"/>
      <c r="HQ16" s="2472"/>
      <c r="HR16" s="2472"/>
      <c r="HS16" s="2472"/>
      <c r="HT16" s="2472"/>
      <c r="HU16" s="2472"/>
      <c r="HV16" s="2472"/>
      <c r="HW16" s="2472"/>
      <c r="HX16" s="2472"/>
      <c r="HY16" s="2472"/>
      <c r="HZ16" s="2472"/>
      <c r="IA16" s="2472"/>
      <c r="IB16" s="2472"/>
      <c r="IC16" s="2472"/>
      <c r="ID16" s="2472"/>
      <c r="IE16" s="2472"/>
      <c r="IF16" s="2472"/>
      <c r="IG16" s="2472"/>
      <c r="IH16" s="2472"/>
      <c r="II16" s="2472"/>
      <c r="IJ16" s="2472"/>
      <c r="IK16" s="2472"/>
      <c r="IL16" s="2472"/>
      <c r="IM16" s="2472"/>
      <c r="IN16" s="2472"/>
      <c r="IO16" s="2472"/>
      <c r="IP16" s="2472"/>
      <c r="IQ16" s="2472"/>
      <c r="IR16" s="2472"/>
      <c r="IS16" s="2472"/>
      <c r="IT16" s="2472"/>
      <c r="IU16" s="2472"/>
      <c r="IV16" s="2472"/>
      <c r="IW16" s="2472"/>
      <c r="IX16" s="2472"/>
      <c r="IY16" s="2472"/>
      <c r="IZ16" s="2472"/>
      <c r="JA16" s="2841"/>
      <c r="JB16" s="2841"/>
      <c r="JC16" s="2841"/>
      <c r="JD16" s="2841"/>
      <c r="JE16" s="2841"/>
      <c r="JF16" s="2841"/>
      <c r="JG16" s="3790"/>
      <c r="JH16" s="1233"/>
      <c r="JI16" s="1232"/>
      <c r="JJ16" s="1660" t="s">
        <v>6108</v>
      </c>
    </row>
    <row ht="12.75" r="17" spans="1:270" x14ac:dyDescent="0.2">
      <c r="A17" s="1128">
        <v>16</v>
      </c>
      <c r="B17" s="632" t="str">
        <f si="0" t="shared"/>
        <v/>
      </c>
      <c r="C17" s="1524" t="s">
        <v>1847</v>
      </c>
      <c r="D17" s="2928" t="s">
        <v>7326</v>
      </c>
      <c r="E17" s="2472"/>
      <c r="F17" s="2472"/>
      <c r="G17" s="2472"/>
      <c r="H17" s="2473"/>
      <c r="I17" s="2473"/>
      <c r="J17" s="2473"/>
      <c r="K17" s="2472"/>
      <c r="L17" s="2473"/>
      <c r="M17" s="2473"/>
      <c r="N17" s="2473"/>
      <c r="O17" s="2472"/>
      <c r="P17" s="2473"/>
      <c r="Q17" s="2472"/>
      <c r="R17" s="2472"/>
      <c r="S17" s="2473"/>
      <c r="T17" s="2473"/>
      <c r="U17" s="2472"/>
      <c r="V17" s="2472"/>
      <c r="W17" s="2472"/>
      <c r="X17" s="2472"/>
      <c r="Y17" s="2472"/>
      <c r="Z17" s="2473"/>
      <c r="AA17" s="2472"/>
      <c r="AB17" s="2473"/>
      <c r="AC17" s="2472"/>
      <c r="AD17" s="2472"/>
      <c r="AE17" s="2472"/>
      <c r="AF17" s="2472"/>
      <c r="AG17" s="2472"/>
      <c r="AH17" s="2472"/>
      <c r="AI17" s="2473"/>
      <c r="AJ17" s="2473"/>
      <c r="AK17" s="2472"/>
      <c r="AL17" s="2473"/>
      <c r="AM17" s="2473"/>
      <c r="AN17" s="2473"/>
      <c r="AO17" s="2473"/>
      <c r="AP17" s="2472"/>
      <c r="AQ17" s="2472"/>
      <c r="AR17" s="2473"/>
      <c r="AS17" s="2472"/>
      <c r="AT17" s="2472"/>
      <c r="AU17" s="2472">
        <v>5000</v>
      </c>
      <c r="AV17" s="2473"/>
      <c r="AW17" s="2472"/>
      <c r="AX17" s="2472"/>
      <c r="AY17" s="2472"/>
      <c r="AZ17" s="2472"/>
      <c r="BA17" s="2472"/>
      <c r="BB17" s="2472"/>
      <c r="BC17" s="2472"/>
      <c r="BD17" s="2472"/>
      <c r="BE17" s="2472"/>
      <c r="BF17" s="2472"/>
      <c r="BG17" s="2472"/>
      <c r="BH17" s="2472"/>
      <c r="BI17" s="2472"/>
      <c r="BJ17" s="2472"/>
      <c r="BK17" s="2472"/>
      <c r="BL17" s="2472"/>
      <c r="BM17" s="2472"/>
      <c r="BN17" s="2472"/>
      <c r="BO17" s="2472"/>
      <c r="BP17" s="2472"/>
      <c r="BQ17" s="2472"/>
      <c r="BR17" s="2472"/>
      <c r="BS17" s="2472"/>
      <c r="BT17" s="2472"/>
      <c r="BU17" s="2472"/>
      <c r="BV17" s="2472"/>
      <c r="BW17" s="2472"/>
      <c r="BX17" s="2472"/>
      <c r="BY17" s="2472"/>
      <c r="BZ17" s="2472"/>
      <c r="CA17" s="2472"/>
      <c r="CB17" s="2472"/>
      <c r="CC17" s="2472"/>
      <c r="CD17" s="2472"/>
      <c r="CE17" s="2473"/>
      <c r="CF17" s="2472"/>
      <c r="CG17" s="2472"/>
      <c r="CH17" s="2472"/>
      <c r="CI17" s="2472"/>
      <c r="CJ17" s="2472"/>
      <c r="CK17" s="2472"/>
      <c r="CL17" s="2472"/>
      <c r="CM17" s="2472"/>
      <c r="CN17" s="2472"/>
      <c r="CO17" s="2472"/>
      <c r="CP17" s="2472"/>
      <c r="CQ17" s="2472"/>
      <c r="CR17" s="2472"/>
      <c r="CS17" s="2472"/>
      <c r="CT17" s="2472"/>
      <c r="CU17" s="2472"/>
      <c r="CV17" s="2472"/>
      <c r="CW17" s="2472"/>
      <c r="CX17" s="2472"/>
      <c r="CY17" s="2472"/>
      <c r="CZ17" s="2472"/>
      <c r="DA17" s="2472"/>
      <c r="DB17" s="2472"/>
      <c r="DC17" s="2472"/>
      <c r="DD17" s="2472"/>
      <c r="DE17" s="2472"/>
      <c r="DF17" s="2472"/>
      <c r="DG17" s="2472"/>
      <c r="DH17" s="2472"/>
      <c r="DI17" s="2472"/>
      <c r="DJ17" s="2472"/>
      <c r="DK17" s="2472"/>
      <c r="DL17" s="2472">
        <v>5000</v>
      </c>
      <c r="DM17" s="2472"/>
      <c r="DN17" s="2472"/>
      <c r="DO17" s="2472"/>
      <c r="DP17" s="2473"/>
      <c r="DQ17" s="2472"/>
      <c r="DR17" s="2472"/>
      <c r="DS17" s="2472"/>
      <c r="DT17" s="2472">
        <v>5000</v>
      </c>
      <c r="DU17" s="2472"/>
      <c r="DV17" s="2472"/>
      <c r="DW17" s="2472"/>
      <c r="DX17" s="2472"/>
      <c r="DY17" s="2472"/>
      <c r="DZ17" s="2472"/>
      <c r="EA17" s="2472"/>
      <c r="EB17" s="2472"/>
      <c r="EC17" s="2472"/>
      <c r="ED17" s="2472"/>
      <c r="EE17" s="2472"/>
      <c r="EF17" s="2472"/>
      <c r="EG17" s="2473"/>
      <c r="EH17" s="2473"/>
      <c r="EI17" s="2472">
        <v>5000</v>
      </c>
      <c r="EJ17" s="2472"/>
      <c r="EK17" s="2472"/>
      <c r="EL17" s="2472"/>
      <c r="EM17" s="2472"/>
      <c r="EN17" s="2472"/>
      <c r="EO17" s="2472"/>
      <c r="EP17" s="2472">
        <v>5000</v>
      </c>
      <c r="EQ17" s="2472"/>
      <c r="ER17" s="2472"/>
      <c r="ES17" s="2472"/>
      <c r="ET17" s="2472"/>
      <c r="EU17" s="2472"/>
      <c r="EV17" s="2472"/>
      <c r="EW17" s="2472"/>
      <c r="EX17" s="2472"/>
      <c r="EY17" s="2472"/>
      <c r="EZ17" s="2472"/>
      <c r="FA17" s="2472"/>
      <c r="FB17" s="2472"/>
      <c r="FC17" s="2472"/>
      <c r="FD17" s="2472"/>
      <c r="FE17" s="2472"/>
      <c r="FF17" s="2472"/>
      <c r="FG17" s="2472"/>
      <c r="FH17" s="2472"/>
      <c r="FI17" s="2472"/>
      <c r="FJ17" s="2472"/>
      <c r="FK17" s="2472"/>
      <c r="FL17" s="2472"/>
      <c r="FM17" s="2472"/>
      <c r="FN17" s="2473"/>
      <c r="FO17" s="2473"/>
      <c r="FP17" s="2473"/>
      <c r="FQ17" s="2472"/>
      <c r="FR17" s="2472"/>
      <c r="FS17" s="2472"/>
      <c r="FT17" s="2472"/>
      <c r="FU17" s="2472"/>
      <c r="FV17" s="2472"/>
      <c r="FW17" s="2472"/>
      <c r="FX17" s="2472"/>
      <c r="FY17" s="2472"/>
      <c r="FZ17" s="2472"/>
      <c r="GA17" s="2472"/>
      <c r="GB17" s="2472"/>
      <c r="GC17" s="2472"/>
      <c r="GD17" s="2472"/>
      <c r="GE17" s="2472"/>
      <c r="GF17" s="2472">
        <v>5000</v>
      </c>
      <c r="GG17" s="2472"/>
      <c r="GH17" s="2472"/>
      <c r="GI17" s="2472"/>
      <c r="GJ17" s="2472"/>
      <c r="GK17" s="2472"/>
      <c r="GL17" s="2472"/>
      <c r="GM17" s="2472"/>
      <c r="GN17" s="2472"/>
      <c r="GO17" s="2472"/>
      <c r="GP17" s="2472"/>
      <c r="GQ17" s="2472"/>
      <c r="GR17" s="2472"/>
      <c r="GS17" s="2473"/>
      <c r="GT17" s="2472"/>
      <c r="GU17" s="2472"/>
      <c r="GV17" s="2472"/>
      <c r="GW17" s="2472"/>
      <c r="GX17" s="2472">
        <v>5000</v>
      </c>
      <c r="GY17" s="2472"/>
      <c r="GZ17" s="2472">
        <v>5000</v>
      </c>
      <c r="HA17" s="2473"/>
      <c r="HB17" s="2472"/>
      <c r="HC17" s="2472"/>
      <c r="HD17" s="2472"/>
      <c r="HE17" s="2472"/>
      <c r="HF17" s="2472"/>
      <c r="HG17" s="2472"/>
      <c r="HH17" s="2472"/>
      <c r="HI17" s="2472"/>
      <c r="HJ17" s="2472"/>
      <c r="HK17" s="2472"/>
      <c r="HL17" s="2472"/>
      <c r="HM17" s="2472"/>
      <c r="HN17" s="2472"/>
      <c r="HO17" s="2472"/>
      <c r="HP17" s="2472"/>
      <c r="HQ17" s="2472"/>
      <c r="HR17" s="2472"/>
      <c r="HS17" s="2472"/>
      <c r="HT17" s="2472"/>
      <c r="HU17" s="2472"/>
      <c r="HV17" s="2472"/>
      <c r="HW17" s="2472"/>
      <c r="HX17" s="2472"/>
      <c r="HY17" s="2472"/>
      <c r="HZ17" s="2472"/>
      <c r="IA17" s="2472"/>
      <c r="IB17" s="2472"/>
      <c r="IC17" s="2472"/>
      <c r="ID17" s="2472"/>
      <c r="IE17" s="2472"/>
      <c r="IF17" s="2472"/>
      <c r="IG17" s="2472"/>
      <c r="IH17" s="2472"/>
      <c r="II17" s="2472"/>
      <c r="IJ17" s="2472"/>
      <c r="IK17" s="2472"/>
      <c r="IL17" s="2472"/>
      <c r="IM17" s="2472"/>
      <c r="IN17" s="2472"/>
      <c r="IO17" s="2472"/>
      <c r="IP17" s="2472"/>
      <c r="IQ17" s="2472"/>
      <c r="IR17" s="2472"/>
      <c r="IS17" s="2472"/>
      <c r="IT17" s="2472"/>
      <c r="IU17" s="2472"/>
      <c r="IV17" s="2472"/>
      <c r="IW17" s="2472"/>
      <c r="IX17" s="2472"/>
      <c r="IY17" s="2472"/>
      <c r="IZ17" s="2472"/>
      <c r="JA17" s="2841"/>
      <c r="JB17" s="2841"/>
      <c r="JC17" s="2841"/>
      <c r="JD17" s="2841"/>
      <c r="JE17" s="2841"/>
      <c r="JF17" s="2841"/>
      <c r="JG17" s="3790"/>
      <c r="JH17" s="1233"/>
      <c r="JI17" s="1232"/>
      <c r="JJ17" s="1660" t="s">
        <v>6108</v>
      </c>
    </row>
    <row ht="12.75" r="18" spans="1:270" x14ac:dyDescent="0.2">
      <c r="A18" s="1128">
        <v>17</v>
      </c>
      <c r="B18" s="632" t="str">
        <f si="0" t="shared"/>
        <v/>
      </c>
      <c r="C18" s="1524" t="s">
        <v>3164</v>
      </c>
      <c r="D18" s="2928" t="s">
        <v>7325</v>
      </c>
      <c r="E18" s="2472"/>
      <c r="F18" s="2472"/>
      <c r="G18" s="2472"/>
      <c r="H18" s="2473"/>
      <c r="I18" s="2473"/>
      <c r="J18" s="2473"/>
      <c r="K18" s="2472"/>
      <c r="L18" s="2473"/>
      <c r="M18" s="2473"/>
      <c r="N18" s="2473"/>
      <c r="O18" s="2472"/>
      <c r="P18" s="2473"/>
      <c r="Q18" s="2472"/>
      <c r="R18" s="2472"/>
      <c r="S18" s="2473"/>
      <c r="T18" s="2473"/>
      <c r="U18" s="2472"/>
      <c r="V18" s="2472"/>
      <c r="W18" s="2472"/>
      <c r="X18" s="2472"/>
      <c r="Y18" s="2472"/>
      <c r="Z18" s="2473"/>
      <c r="AA18" s="2472"/>
      <c r="AB18" s="2473"/>
      <c r="AC18" s="2472"/>
      <c r="AD18" s="2472"/>
      <c r="AE18" s="2472"/>
      <c r="AF18" s="2472"/>
      <c r="AG18" s="2472"/>
      <c r="AH18" s="2472"/>
      <c r="AI18" s="2473"/>
      <c r="AJ18" s="2473"/>
      <c r="AK18" s="2472"/>
      <c r="AL18" s="2473"/>
      <c r="AM18" s="2473"/>
      <c r="AN18" s="2473"/>
      <c r="AO18" s="2473"/>
      <c r="AP18" s="2472"/>
      <c r="AQ18" s="2472"/>
      <c r="AR18" s="2473"/>
      <c r="AS18" s="2472"/>
      <c r="AT18" s="2472"/>
      <c r="AU18" s="2472">
        <v>7500</v>
      </c>
      <c r="AV18" s="2473"/>
      <c r="AW18" s="2472"/>
      <c r="AX18" s="2472"/>
      <c r="AY18" s="2472"/>
      <c r="AZ18" s="2472"/>
      <c r="BA18" s="2472"/>
      <c r="BB18" s="2472"/>
      <c r="BC18" s="2472"/>
      <c r="BD18" s="2472"/>
      <c r="BE18" s="2472"/>
      <c r="BF18" s="2472"/>
      <c r="BG18" s="2472"/>
      <c r="BH18" s="2472"/>
      <c r="BI18" s="2472"/>
      <c r="BJ18" s="2472"/>
      <c r="BK18" s="2472"/>
      <c r="BL18" s="2472"/>
      <c r="BM18" s="2472"/>
      <c r="BN18" s="2472"/>
      <c r="BO18" s="2472"/>
      <c r="BP18" s="2472"/>
      <c r="BQ18" s="2472"/>
      <c r="BR18" s="2472"/>
      <c r="BS18" s="2472"/>
      <c r="BT18" s="2472"/>
      <c r="BU18" s="2472"/>
      <c r="BV18" s="2472"/>
      <c r="BW18" s="2472"/>
      <c r="BX18" s="2472"/>
      <c r="BY18" s="2472"/>
      <c r="BZ18" s="2472"/>
      <c r="CA18" s="2472"/>
      <c r="CB18" s="2472"/>
      <c r="CC18" s="2472"/>
      <c r="CD18" s="2472"/>
      <c r="CE18" s="2473"/>
      <c r="CF18" s="2472"/>
      <c r="CG18" s="2472"/>
      <c r="CH18" s="2472"/>
      <c r="CI18" s="2472"/>
      <c r="CJ18" s="2472"/>
      <c r="CK18" s="2472"/>
      <c r="CL18" s="2472"/>
      <c r="CM18" s="2472"/>
      <c r="CN18" s="2472"/>
      <c r="CO18" s="2472"/>
      <c r="CP18" s="2472"/>
      <c r="CQ18" s="2472"/>
      <c r="CR18" s="2472"/>
      <c r="CS18" s="2472"/>
      <c r="CT18" s="2472"/>
      <c r="CU18" s="2472"/>
      <c r="CV18" s="2472"/>
      <c r="CW18" s="2472"/>
      <c r="CX18" s="2472"/>
      <c r="CY18" s="2472"/>
      <c r="CZ18" s="2472"/>
      <c r="DA18" s="2472"/>
      <c r="DB18" s="2472"/>
      <c r="DC18" s="2472"/>
      <c r="DD18" s="2472"/>
      <c r="DE18" s="2472"/>
      <c r="DF18" s="2472"/>
      <c r="DG18" s="2472"/>
      <c r="DH18" s="2472"/>
      <c r="DI18" s="2472"/>
      <c r="DJ18" s="2472"/>
      <c r="DK18" s="2472"/>
      <c r="DL18" s="2472">
        <v>7500</v>
      </c>
      <c r="DM18" s="2472"/>
      <c r="DN18" s="2472"/>
      <c r="DO18" s="2472"/>
      <c r="DP18" s="2473"/>
      <c r="DQ18" s="2472"/>
      <c r="DR18" s="2472"/>
      <c r="DS18" s="2472"/>
      <c r="DT18" s="2472">
        <v>7500</v>
      </c>
      <c r="DU18" s="2472"/>
      <c r="DV18" s="2472"/>
      <c r="DW18" s="2472"/>
      <c r="DX18" s="2472"/>
      <c r="DY18" s="2472"/>
      <c r="DZ18" s="2472"/>
      <c r="EA18" s="2472"/>
      <c r="EB18" s="2472"/>
      <c r="EC18" s="2472"/>
      <c r="ED18" s="2472"/>
      <c r="EE18" s="2472"/>
      <c r="EF18" s="2472"/>
      <c r="EG18" s="2473"/>
      <c r="EH18" s="2473"/>
      <c r="EI18" s="2472">
        <v>7500</v>
      </c>
      <c r="EJ18" s="2472"/>
      <c r="EK18" s="2472"/>
      <c r="EL18" s="2472"/>
      <c r="EM18" s="2472"/>
      <c r="EN18" s="2472"/>
      <c r="EO18" s="2472"/>
      <c r="EP18" s="2472">
        <v>7500</v>
      </c>
      <c r="EQ18" s="2472"/>
      <c r="ER18" s="2472"/>
      <c r="ES18" s="2472"/>
      <c r="ET18" s="2472"/>
      <c r="EU18" s="2472"/>
      <c r="EV18" s="2472"/>
      <c r="EW18" s="2472"/>
      <c r="EX18" s="2472"/>
      <c r="EY18" s="2472"/>
      <c r="EZ18" s="2472"/>
      <c r="FA18" s="2472"/>
      <c r="FB18" s="2472"/>
      <c r="FC18" s="2472"/>
      <c r="FD18" s="2472"/>
      <c r="FE18" s="2472"/>
      <c r="FF18" s="2472"/>
      <c r="FG18" s="2472"/>
      <c r="FH18" s="2472"/>
      <c r="FI18" s="2472"/>
      <c r="FJ18" s="2472"/>
      <c r="FK18" s="2472"/>
      <c r="FL18" s="2472"/>
      <c r="FM18" s="2472"/>
      <c r="FN18" s="2473"/>
      <c r="FO18" s="2473"/>
      <c r="FP18" s="2473"/>
      <c r="FQ18" s="2472"/>
      <c r="FR18" s="2472"/>
      <c r="FS18" s="2472"/>
      <c r="FT18" s="2472"/>
      <c r="FU18" s="2472"/>
      <c r="FV18" s="2472"/>
      <c r="FW18" s="2472"/>
      <c r="FX18" s="2472"/>
      <c r="FY18" s="2472"/>
      <c r="FZ18" s="2472"/>
      <c r="GA18" s="2472"/>
      <c r="GB18" s="2472"/>
      <c r="GC18" s="2472"/>
      <c r="GD18" s="2472"/>
      <c r="GE18" s="2472"/>
      <c r="GF18" s="2472">
        <v>7500</v>
      </c>
      <c r="GG18" s="2472"/>
      <c r="GH18" s="2472"/>
      <c r="GI18" s="2472"/>
      <c r="GJ18" s="2472"/>
      <c r="GK18" s="2472"/>
      <c r="GL18" s="2472"/>
      <c r="GM18" s="2472"/>
      <c r="GN18" s="2472"/>
      <c r="GO18" s="2472"/>
      <c r="GP18" s="2472"/>
      <c r="GQ18" s="2472"/>
      <c r="GR18" s="2472"/>
      <c r="GS18" s="2473"/>
      <c r="GT18" s="2472"/>
      <c r="GU18" s="2472"/>
      <c r="GV18" s="2472"/>
      <c r="GW18" s="2472"/>
      <c r="GX18" s="2472">
        <v>7500</v>
      </c>
      <c r="GY18" s="2472"/>
      <c r="GZ18" s="2472">
        <v>7500</v>
      </c>
      <c r="HA18" s="2473"/>
      <c r="HB18" s="2472"/>
      <c r="HC18" s="2472"/>
      <c r="HD18" s="2472"/>
      <c r="HE18" s="2472"/>
      <c r="HF18" s="2472"/>
      <c r="HG18" s="2472"/>
      <c r="HH18" s="2472"/>
      <c r="HI18" s="2472"/>
      <c r="HJ18" s="2472"/>
      <c r="HK18" s="2472"/>
      <c r="HL18" s="2472"/>
      <c r="HM18" s="2472"/>
      <c r="HN18" s="2472"/>
      <c r="HO18" s="2472"/>
      <c r="HP18" s="2472"/>
      <c r="HQ18" s="2472"/>
      <c r="HR18" s="2472"/>
      <c r="HS18" s="2472"/>
      <c r="HT18" s="2472"/>
      <c r="HU18" s="2472"/>
      <c r="HV18" s="2472"/>
      <c r="HW18" s="2472"/>
      <c r="HX18" s="2472"/>
      <c r="HY18" s="2472"/>
      <c r="HZ18" s="2472"/>
      <c r="IA18" s="2472"/>
      <c r="IB18" s="2472"/>
      <c r="IC18" s="2472"/>
      <c r="ID18" s="2472"/>
      <c r="IE18" s="2472"/>
      <c r="IF18" s="2472"/>
      <c r="IG18" s="2472"/>
      <c r="IH18" s="2472"/>
      <c r="II18" s="2472"/>
      <c r="IJ18" s="2472"/>
      <c r="IK18" s="2472"/>
      <c r="IL18" s="2472"/>
      <c r="IM18" s="2472"/>
      <c r="IN18" s="2472"/>
      <c r="IO18" s="2472"/>
      <c r="IP18" s="2472"/>
      <c r="IQ18" s="2472"/>
      <c r="IR18" s="2472"/>
      <c r="IS18" s="2472"/>
      <c r="IT18" s="2472"/>
      <c r="IU18" s="2472"/>
      <c r="IV18" s="2472"/>
      <c r="IW18" s="2472"/>
      <c r="IX18" s="2472"/>
      <c r="IY18" s="2472"/>
      <c r="IZ18" s="2472"/>
      <c r="JA18" s="2841"/>
      <c r="JB18" s="2841"/>
      <c r="JC18" s="2841"/>
      <c r="JD18" s="2841"/>
      <c r="JE18" s="2841"/>
      <c r="JF18" s="2841"/>
      <c r="JG18" s="3790"/>
      <c r="JH18" s="1233"/>
      <c r="JI18" s="1232"/>
      <c r="JJ18" s="1660" t="s">
        <v>6108</v>
      </c>
    </row>
    <row ht="12.75" r="19" spans="1:270" x14ac:dyDescent="0.2">
      <c r="A19" s="1128">
        <v>18</v>
      </c>
      <c r="B19" s="632" t="str">
        <f si="0" t="shared"/>
        <v/>
      </c>
      <c r="C19" s="1524" t="s">
        <v>3138</v>
      </c>
      <c r="D19" s="2928" t="s">
        <v>7327</v>
      </c>
      <c r="E19" s="2472"/>
      <c r="F19" s="2472"/>
      <c r="G19" s="2472"/>
      <c r="H19" s="2473"/>
      <c r="I19" s="2473"/>
      <c r="J19" s="2473"/>
      <c r="K19" s="2472"/>
      <c r="L19" s="2473"/>
      <c r="M19" s="2473"/>
      <c r="N19" s="2473"/>
      <c r="O19" s="2472"/>
      <c r="P19" s="2473"/>
      <c r="Q19" s="2472"/>
      <c r="R19" s="2472"/>
      <c r="S19" s="2473"/>
      <c r="T19" s="2473"/>
      <c r="U19" s="2472"/>
      <c r="V19" s="2472"/>
      <c r="W19" s="2472"/>
      <c r="X19" s="2472"/>
      <c r="Y19" s="2472"/>
      <c r="Z19" s="2473"/>
      <c r="AA19" s="2472"/>
      <c r="AB19" s="2473"/>
      <c r="AC19" s="2472"/>
      <c r="AD19" s="2472"/>
      <c r="AE19" s="2472"/>
      <c r="AF19" s="2472"/>
      <c r="AG19" s="2472"/>
      <c r="AH19" s="2472"/>
      <c r="AI19" s="2473"/>
      <c r="AJ19" s="2473"/>
      <c r="AK19" s="2472"/>
      <c r="AL19" s="2473"/>
      <c r="AM19" s="2473"/>
      <c r="AN19" s="2473"/>
      <c r="AO19" s="2473"/>
      <c r="AP19" s="2472"/>
      <c r="AQ19" s="2472"/>
      <c r="AR19" s="2473"/>
      <c r="AS19" s="2472"/>
      <c r="AT19" s="2472"/>
      <c r="AU19" s="2472"/>
      <c r="AV19" s="2473"/>
      <c r="AW19" s="2472"/>
      <c r="AX19" s="2472"/>
      <c r="AY19" s="2472"/>
      <c r="AZ19" s="2472"/>
      <c r="BA19" s="2472"/>
      <c r="BB19" s="2472"/>
      <c r="BC19" s="2472"/>
      <c r="BD19" s="2472"/>
      <c r="BE19" s="2472"/>
      <c r="BF19" s="2472"/>
      <c r="BG19" s="2472"/>
      <c r="BH19" s="2472"/>
      <c r="BI19" s="2472"/>
      <c r="BJ19" s="2472"/>
      <c r="BK19" s="2472"/>
      <c r="BL19" s="2472"/>
      <c r="BM19" s="2472"/>
      <c r="BN19" s="2472"/>
      <c r="BO19" s="2472"/>
      <c r="BP19" s="2472"/>
      <c r="BQ19" s="2472"/>
      <c r="BR19" s="2472"/>
      <c r="BS19" s="2472"/>
      <c r="BT19" s="2472"/>
      <c r="BU19" s="2472"/>
      <c r="BV19" s="2472"/>
      <c r="BW19" s="2472"/>
      <c r="BX19" s="2472"/>
      <c r="BY19" s="2472"/>
      <c r="BZ19" s="2472"/>
      <c r="CA19" s="2472"/>
      <c r="CB19" s="2472"/>
      <c r="CC19" s="2472"/>
      <c r="CD19" s="2472"/>
      <c r="CE19" s="2473">
        <v>7500</v>
      </c>
      <c r="CF19" s="2472"/>
      <c r="CG19" s="2472"/>
      <c r="CH19" s="2472"/>
      <c r="CI19" s="2472"/>
      <c r="CJ19" s="2472"/>
      <c r="CK19" s="2472"/>
      <c r="CL19" s="2472"/>
      <c r="CM19" s="2472"/>
      <c r="CN19" s="2472"/>
      <c r="CO19" s="2472"/>
      <c r="CP19" s="2472"/>
      <c r="CQ19" s="2472"/>
      <c r="CR19" s="2472"/>
      <c r="CS19" s="2472"/>
      <c r="CT19" s="2472"/>
      <c r="CU19" s="2472"/>
      <c r="CV19" s="2472"/>
      <c r="CW19" s="2472"/>
      <c r="CX19" s="2472"/>
      <c r="CY19" s="2472"/>
      <c r="CZ19" s="2472"/>
      <c r="DA19" s="2472"/>
      <c r="DB19" s="2472"/>
      <c r="DC19" s="2472"/>
      <c r="DD19" s="2472"/>
      <c r="DE19" s="2472"/>
      <c r="DF19" s="2472"/>
      <c r="DG19" s="2472"/>
      <c r="DH19" s="2472"/>
      <c r="DI19" s="2472"/>
      <c r="DJ19" s="2472"/>
      <c r="DK19" s="2472"/>
      <c r="DL19" s="2472"/>
      <c r="DM19" s="2472"/>
      <c r="DN19" s="2472"/>
      <c r="DO19" s="2472"/>
      <c r="DP19" s="2473">
        <v>7500</v>
      </c>
      <c r="DQ19" s="2472"/>
      <c r="DR19" s="2472"/>
      <c r="DS19" s="2472"/>
      <c r="DT19" s="2472"/>
      <c r="DU19" s="2472"/>
      <c r="DV19" s="2472"/>
      <c r="DW19" s="2472"/>
      <c r="DX19" s="2472"/>
      <c r="DY19" s="2472"/>
      <c r="DZ19" s="2472"/>
      <c r="EA19" s="2472"/>
      <c r="EB19" s="2472"/>
      <c r="EC19" s="2472"/>
      <c r="ED19" s="2472"/>
      <c r="EE19" s="2472"/>
      <c r="EF19" s="2472"/>
      <c r="EG19" s="2473">
        <v>7500</v>
      </c>
      <c r="EH19" s="2473">
        <v>7500</v>
      </c>
      <c r="EI19" s="2472"/>
      <c r="EJ19" s="2472"/>
      <c r="EK19" s="2472"/>
      <c r="EL19" s="2472"/>
      <c r="EM19" s="2472"/>
      <c r="EN19" s="2472"/>
      <c r="EO19" s="2472"/>
      <c r="EP19" s="2472"/>
      <c r="EQ19" s="2472"/>
      <c r="ER19" s="2472"/>
      <c r="ES19" s="2472"/>
      <c r="ET19" s="2472"/>
      <c r="EU19" s="2472"/>
      <c r="EV19" s="2472"/>
      <c r="EW19" s="2472"/>
      <c r="EX19" s="2472"/>
      <c r="EY19" s="2472"/>
      <c r="EZ19" s="2472"/>
      <c r="FA19" s="2472"/>
      <c r="FB19" s="2472"/>
      <c r="FC19" s="2472"/>
      <c r="FD19" s="2472"/>
      <c r="FE19" s="2472"/>
      <c r="FF19" s="2472"/>
      <c r="FG19" s="2472"/>
      <c r="FH19" s="2472"/>
      <c r="FI19" s="2472"/>
      <c r="FJ19" s="2472"/>
      <c r="FK19" s="2472"/>
      <c r="FL19" s="2472"/>
      <c r="FM19" s="2472"/>
      <c r="FN19" s="2473">
        <v>7500</v>
      </c>
      <c r="FO19" s="2473">
        <v>7500</v>
      </c>
      <c r="FP19" s="2473">
        <v>7500</v>
      </c>
      <c r="FQ19" s="2472"/>
      <c r="FR19" s="2472"/>
      <c r="FS19" s="2472"/>
      <c r="FT19" s="2472"/>
      <c r="FU19" s="2472"/>
      <c r="FV19" s="2472"/>
      <c r="FW19" s="2472"/>
      <c r="FX19" s="2472"/>
      <c r="FY19" s="2472"/>
      <c r="FZ19" s="2472"/>
      <c r="GA19" s="2472"/>
      <c r="GB19" s="2472"/>
      <c r="GC19" s="2472"/>
      <c r="GD19" s="2472"/>
      <c r="GE19" s="2472"/>
      <c r="GF19" s="2472"/>
      <c r="GG19" s="2472"/>
      <c r="GH19" s="2472"/>
      <c r="GI19" s="2472"/>
      <c r="GJ19" s="2472"/>
      <c r="GK19" s="2472"/>
      <c r="GL19" s="2472"/>
      <c r="GM19" s="2472"/>
      <c r="GN19" s="2472"/>
      <c r="GO19" s="2472"/>
      <c r="GP19" s="2472"/>
      <c r="GQ19" s="2472"/>
      <c r="GR19" s="2472"/>
      <c r="GS19" s="2473">
        <v>7500</v>
      </c>
      <c r="GT19" s="2472"/>
      <c r="GU19" s="2472"/>
      <c r="GV19" s="2472"/>
      <c r="GW19" s="2472"/>
      <c r="GX19" s="2472"/>
      <c r="GY19" s="2472"/>
      <c r="GZ19" s="2472"/>
      <c r="HA19" s="2473">
        <v>7500</v>
      </c>
      <c r="HB19" s="2472"/>
      <c r="HC19" s="2472"/>
      <c r="HD19" s="2472"/>
      <c r="HE19" s="2472"/>
      <c r="HF19" s="2472"/>
      <c r="HG19" s="2472"/>
      <c r="HH19" s="2472"/>
      <c r="HI19" s="2472"/>
      <c r="HJ19" s="2472"/>
      <c r="HK19" s="2472"/>
      <c r="HL19" s="2472"/>
      <c r="HM19" s="2472"/>
      <c r="HN19" s="2472"/>
      <c r="HO19" s="2472"/>
      <c r="HP19" s="2472"/>
      <c r="HQ19" s="2472"/>
      <c r="HR19" s="2472"/>
      <c r="HS19" s="2472"/>
      <c r="HT19" s="2472"/>
      <c r="HU19" s="2472"/>
      <c r="HV19" s="2472"/>
      <c r="HW19" s="2472"/>
      <c r="HX19" s="2472"/>
      <c r="HY19" s="2472"/>
      <c r="HZ19" s="2472"/>
      <c r="IA19" s="2472"/>
      <c r="IB19" s="2472"/>
      <c r="IC19" s="2472"/>
      <c r="ID19" s="2472"/>
      <c r="IE19" s="2472"/>
      <c r="IF19" s="2472"/>
      <c r="IG19" s="2472"/>
      <c r="IH19" s="2472"/>
      <c r="II19" s="2472"/>
      <c r="IJ19" s="2472"/>
      <c r="IK19" s="2472"/>
      <c r="IL19" s="2472"/>
      <c r="IM19" s="2472"/>
      <c r="IN19" s="2472"/>
      <c r="IO19" s="2472"/>
      <c r="IP19" s="2472"/>
      <c r="IQ19" s="2472"/>
      <c r="IR19" s="2472"/>
      <c r="IS19" s="2472"/>
      <c r="IT19" s="2472"/>
      <c r="IU19" s="2472"/>
      <c r="IV19" s="2472"/>
      <c r="IW19" s="2472"/>
      <c r="IX19" s="2472"/>
      <c r="IY19" s="2472"/>
      <c r="IZ19" s="2472"/>
      <c r="JA19" s="2841"/>
      <c r="JB19" s="2841"/>
      <c r="JC19" s="2841"/>
      <c r="JD19" s="2841"/>
      <c r="JE19" s="2841"/>
      <c r="JF19" s="2841"/>
      <c r="JG19" s="3790"/>
      <c r="JH19" s="1233"/>
      <c r="JI19" s="1232"/>
      <c r="JJ19" s="1660" t="s">
        <v>6108</v>
      </c>
    </row>
    <row ht="12.75" r="20" spans="1:270" x14ac:dyDescent="0.2">
      <c r="A20" s="1128">
        <v>19</v>
      </c>
      <c r="B20" s="632" t="str">
        <f si="0" t="shared"/>
        <v/>
      </c>
      <c r="C20" s="1524" t="s">
        <v>3139</v>
      </c>
      <c r="D20" s="2928" t="s">
        <v>7328</v>
      </c>
      <c r="E20" s="2472"/>
      <c r="F20" s="2472"/>
      <c r="G20" s="2472"/>
      <c r="H20" s="2473"/>
      <c r="I20" s="2473"/>
      <c r="J20" s="2473"/>
      <c r="K20" s="2472"/>
      <c r="L20" s="2473"/>
      <c r="M20" s="2473"/>
      <c r="N20" s="2473"/>
      <c r="O20" s="2472"/>
      <c r="P20" s="2473"/>
      <c r="Q20" s="2472"/>
      <c r="R20" s="2472"/>
      <c r="S20" s="2473"/>
      <c r="T20" s="2473"/>
      <c r="U20" s="2472"/>
      <c r="V20" s="2472"/>
      <c r="W20" s="2472"/>
      <c r="X20" s="2472"/>
      <c r="Y20" s="2472"/>
      <c r="Z20" s="2473"/>
      <c r="AA20" s="2472"/>
      <c r="AB20" s="2473"/>
      <c r="AC20" s="2472"/>
      <c r="AD20" s="2472"/>
      <c r="AE20" s="2472"/>
      <c r="AF20" s="2472"/>
      <c r="AG20" s="2472"/>
      <c r="AH20" s="2472"/>
      <c r="AI20" s="2473"/>
      <c r="AJ20" s="2473"/>
      <c r="AK20" s="2472"/>
      <c r="AL20" s="2473"/>
      <c r="AM20" s="2473"/>
      <c r="AN20" s="2473"/>
      <c r="AO20" s="2473"/>
      <c r="AP20" s="2472"/>
      <c r="AQ20" s="2472"/>
      <c r="AR20" s="2473"/>
      <c r="AS20" s="2472"/>
      <c r="AT20" s="2472"/>
      <c r="AU20" s="2472"/>
      <c r="AV20" s="2473"/>
      <c r="AW20" s="2472"/>
      <c r="AX20" s="2472"/>
      <c r="AY20" s="2472"/>
      <c r="AZ20" s="2472"/>
      <c r="BA20" s="2472"/>
      <c r="BB20" s="2472"/>
      <c r="BC20" s="2472"/>
      <c r="BD20" s="2472"/>
      <c r="BE20" s="2472"/>
      <c r="BF20" s="2472"/>
      <c r="BG20" s="2472"/>
      <c r="BH20" s="2472"/>
      <c r="BI20" s="2472"/>
      <c r="BJ20" s="2472"/>
      <c r="BK20" s="2472"/>
      <c r="BL20" s="2472"/>
      <c r="BM20" s="2472"/>
      <c r="BN20" s="2472"/>
      <c r="BO20" s="2472"/>
      <c r="BP20" s="2472"/>
      <c r="BQ20" s="2472"/>
      <c r="BR20" s="2472"/>
      <c r="BS20" s="2472"/>
      <c r="BT20" s="2472"/>
      <c r="BU20" s="2472"/>
      <c r="BV20" s="2472"/>
      <c r="BW20" s="2472"/>
      <c r="BX20" s="2472"/>
      <c r="BY20" s="2472"/>
      <c r="BZ20" s="2472"/>
      <c r="CA20" s="2472"/>
      <c r="CB20" s="2472"/>
      <c r="CC20" s="2472"/>
      <c r="CD20" s="2472"/>
      <c r="CE20" s="2473">
        <v>4500</v>
      </c>
      <c r="CF20" s="2472"/>
      <c r="CG20" s="2472"/>
      <c r="CH20" s="2472"/>
      <c r="CI20" s="2472"/>
      <c r="CJ20" s="2472"/>
      <c r="CK20" s="2472"/>
      <c r="CL20" s="2472"/>
      <c r="CM20" s="2472"/>
      <c r="CN20" s="2472"/>
      <c r="CO20" s="2472"/>
      <c r="CP20" s="2472"/>
      <c r="CQ20" s="2472"/>
      <c r="CR20" s="2472"/>
      <c r="CS20" s="2472"/>
      <c r="CT20" s="2472"/>
      <c r="CU20" s="2472"/>
      <c r="CV20" s="2472"/>
      <c r="CW20" s="2472"/>
      <c r="CX20" s="2472"/>
      <c r="CY20" s="2472"/>
      <c r="CZ20" s="2472"/>
      <c r="DA20" s="2472"/>
      <c r="DB20" s="2472"/>
      <c r="DC20" s="2472"/>
      <c r="DD20" s="2472"/>
      <c r="DE20" s="2472"/>
      <c r="DF20" s="2472"/>
      <c r="DG20" s="2472"/>
      <c r="DH20" s="2472"/>
      <c r="DI20" s="2472"/>
      <c r="DJ20" s="2472"/>
      <c r="DK20" s="2472"/>
      <c r="DL20" s="2472"/>
      <c r="DM20" s="2472"/>
      <c r="DN20" s="2472"/>
      <c r="DO20" s="2472"/>
      <c r="DP20" s="2473">
        <v>4500</v>
      </c>
      <c r="DQ20" s="2472"/>
      <c r="DR20" s="2472"/>
      <c r="DS20" s="2472"/>
      <c r="DT20" s="2472"/>
      <c r="DU20" s="2472"/>
      <c r="DV20" s="2472"/>
      <c r="DW20" s="2472"/>
      <c r="DX20" s="2472"/>
      <c r="DY20" s="2472"/>
      <c r="DZ20" s="2472"/>
      <c r="EA20" s="2472"/>
      <c r="EB20" s="2472"/>
      <c r="EC20" s="2472"/>
      <c r="ED20" s="2472"/>
      <c r="EE20" s="2472"/>
      <c r="EF20" s="2472"/>
      <c r="EG20" s="2473">
        <v>4500</v>
      </c>
      <c r="EH20" s="2473">
        <v>4500</v>
      </c>
      <c r="EI20" s="2472"/>
      <c r="EJ20" s="2472"/>
      <c r="EK20" s="2472"/>
      <c r="EL20" s="2472"/>
      <c r="EM20" s="2472"/>
      <c r="EN20" s="2472"/>
      <c r="EO20" s="2472"/>
      <c r="EP20" s="2472"/>
      <c r="EQ20" s="2472"/>
      <c r="ER20" s="2472"/>
      <c r="ES20" s="2472"/>
      <c r="ET20" s="2472"/>
      <c r="EU20" s="2472"/>
      <c r="EV20" s="2472"/>
      <c r="EW20" s="2472"/>
      <c r="EX20" s="2472"/>
      <c r="EY20" s="2472"/>
      <c r="EZ20" s="2472"/>
      <c r="FA20" s="2472"/>
      <c r="FB20" s="2472"/>
      <c r="FC20" s="2472"/>
      <c r="FD20" s="2472"/>
      <c r="FE20" s="2472"/>
      <c r="FF20" s="2472"/>
      <c r="FG20" s="2472"/>
      <c r="FH20" s="2472"/>
      <c r="FI20" s="2472"/>
      <c r="FJ20" s="2472"/>
      <c r="FK20" s="2472"/>
      <c r="FL20" s="2472"/>
      <c r="FM20" s="2472"/>
      <c r="FN20" s="2473">
        <v>4500</v>
      </c>
      <c r="FO20" s="2473">
        <v>4500</v>
      </c>
      <c r="FP20" s="2473">
        <v>4500</v>
      </c>
      <c r="FQ20" s="2472"/>
      <c r="FR20" s="2472"/>
      <c r="FS20" s="2472"/>
      <c r="FT20" s="2472"/>
      <c r="FU20" s="2472"/>
      <c r="FV20" s="2472"/>
      <c r="FW20" s="2472"/>
      <c r="FX20" s="2472"/>
      <c r="FY20" s="2472"/>
      <c r="FZ20" s="2472"/>
      <c r="GA20" s="2472"/>
      <c r="GB20" s="2472"/>
      <c r="GC20" s="2472"/>
      <c r="GD20" s="2472"/>
      <c r="GE20" s="2472"/>
      <c r="GF20" s="2472"/>
      <c r="GG20" s="2472"/>
      <c r="GH20" s="2472"/>
      <c r="GI20" s="2472"/>
      <c r="GJ20" s="2472"/>
      <c r="GK20" s="2472"/>
      <c r="GL20" s="2472"/>
      <c r="GM20" s="2472"/>
      <c r="GN20" s="2472"/>
      <c r="GO20" s="2472"/>
      <c r="GP20" s="2472"/>
      <c r="GQ20" s="2472"/>
      <c r="GR20" s="2472"/>
      <c r="GS20" s="2473">
        <v>4500</v>
      </c>
      <c r="GT20" s="2472"/>
      <c r="GU20" s="2472"/>
      <c r="GV20" s="2472"/>
      <c r="GW20" s="2472"/>
      <c r="GX20" s="2472"/>
      <c r="GY20" s="2472"/>
      <c r="GZ20" s="2472"/>
      <c r="HA20" s="2473">
        <v>4500</v>
      </c>
      <c r="HB20" s="2472"/>
      <c r="HC20" s="2472"/>
      <c r="HD20" s="2472"/>
      <c r="HE20" s="2472"/>
      <c r="HF20" s="2472"/>
      <c r="HG20" s="2472"/>
      <c r="HH20" s="2472"/>
      <c r="HI20" s="2472"/>
      <c r="HJ20" s="2472"/>
      <c r="HK20" s="2472"/>
      <c r="HL20" s="2472"/>
      <c r="HM20" s="2472"/>
      <c r="HN20" s="2472"/>
      <c r="HO20" s="2472"/>
      <c r="HP20" s="2472"/>
      <c r="HQ20" s="2472"/>
      <c r="HR20" s="2472"/>
      <c r="HS20" s="2472"/>
      <c r="HT20" s="2472"/>
      <c r="HU20" s="2472"/>
      <c r="HV20" s="2472"/>
      <c r="HW20" s="2472"/>
      <c r="HX20" s="2472"/>
      <c r="HY20" s="2472"/>
      <c r="HZ20" s="2472"/>
      <c r="IA20" s="2472"/>
      <c r="IB20" s="2472"/>
      <c r="IC20" s="2472"/>
      <c r="ID20" s="2472"/>
      <c r="IE20" s="2472"/>
      <c r="IF20" s="2472"/>
      <c r="IG20" s="2472"/>
      <c r="IH20" s="2472"/>
      <c r="II20" s="2472"/>
      <c r="IJ20" s="2472"/>
      <c r="IK20" s="2472"/>
      <c r="IL20" s="2472"/>
      <c r="IM20" s="2472"/>
      <c r="IN20" s="2472"/>
      <c r="IO20" s="2472"/>
      <c r="IP20" s="2472"/>
      <c r="IQ20" s="2472"/>
      <c r="IR20" s="2472"/>
      <c r="IS20" s="2472"/>
      <c r="IT20" s="2472"/>
      <c r="IU20" s="2472"/>
      <c r="IV20" s="2472"/>
      <c r="IW20" s="2472"/>
      <c r="IX20" s="2472"/>
      <c r="IY20" s="2472"/>
      <c r="IZ20" s="2472"/>
      <c r="JA20" s="2841"/>
      <c r="JB20" s="2841"/>
      <c r="JC20" s="2841"/>
      <c r="JD20" s="2841"/>
      <c r="JE20" s="2841"/>
      <c r="JF20" s="2841"/>
      <c r="JG20" s="3790"/>
      <c r="JH20" s="1233"/>
      <c r="JI20" s="1232"/>
      <c r="JJ20" s="1660" t="s">
        <v>6108</v>
      </c>
    </row>
    <row ht="12.75" r="21" spans="1:270" x14ac:dyDescent="0.2">
      <c r="A21" s="1128">
        <v>20</v>
      </c>
      <c r="B21" s="632" t="str">
        <f si="0" t="shared"/>
        <v/>
      </c>
      <c r="C21" s="1524" t="s">
        <v>3140</v>
      </c>
      <c r="D21" s="2928" t="s">
        <v>7329</v>
      </c>
      <c r="E21" s="2472"/>
      <c r="F21" s="2472"/>
      <c r="G21" s="2472"/>
      <c r="H21" s="2473"/>
      <c r="I21" s="2473"/>
      <c r="J21" s="2473"/>
      <c r="K21" s="2472"/>
      <c r="L21" s="2473"/>
      <c r="M21" s="2473"/>
      <c r="N21" s="2473"/>
      <c r="O21" s="2472"/>
      <c r="P21" s="2473"/>
      <c r="Q21" s="2472"/>
      <c r="R21" s="2472"/>
      <c r="S21" s="2473"/>
      <c r="T21" s="2473"/>
      <c r="U21" s="2472"/>
      <c r="V21" s="2472"/>
      <c r="W21" s="2472"/>
      <c r="X21" s="2472"/>
      <c r="Y21" s="2472"/>
      <c r="Z21" s="2473"/>
      <c r="AA21" s="2472"/>
      <c r="AB21" s="2473"/>
      <c r="AC21" s="2472"/>
      <c r="AD21" s="2472"/>
      <c r="AE21" s="2472"/>
      <c r="AF21" s="2472"/>
      <c r="AG21" s="2472"/>
      <c r="AH21" s="2472"/>
      <c r="AI21" s="2473"/>
      <c r="AJ21" s="2473"/>
      <c r="AK21" s="2472"/>
      <c r="AL21" s="2473"/>
      <c r="AM21" s="2473"/>
      <c r="AN21" s="2473"/>
      <c r="AO21" s="2473"/>
      <c r="AP21" s="2472"/>
      <c r="AQ21" s="2472"/>
      <c r="AR21" s="2473"/>
      <c r="AS21" s="2472"/>
      <c r="AT21" s="2472"/>
      <c r="AU21" s="2472"/>
      <c r="AV21" s="2473"/>
      <c r="AW21" s="2472"/>
      <c r="AX21" s="2472"/>
      <c r="AY21" s="2472"/>
      <c r="AZ21" s="2472"/>
      <c r="BA21" s="2472"/>
      <c r="BB21" s="2472"/>
      <c r="BC21" s="2472"/>
      <c r="BD21" s="2472"/>
      <c r="BE21" s="2472"/>
      <c r="BF21" s="2472"/>
      <c r="BG21" s="2472"/>
      <c r="BH21" s="2472"/>
      <c r="BI21" s="2472"/>
      <c r="BJ21" s="2472"/>
      <c r="BK21" s="2472"/>
      <c r="BL21" s="2472"/>
      <c r="BM21" s="2472"/>
      <c r="BN21" s="2472"/>
      <c r="BO21" s="2472"/>
      <c r="BP21" s="2472"/>
      <c r="BQ21" s="2472"/>
      <c r="BR21" s="2472"/>
      <c r="BS21" s="2472"/>
      <c r="BT21" s="2472"/>
      <c r="BU21" s="2472"/>
      <c r="BV21" s="2472"/>
      <c r="BW21" s="2472"/>
      <c r="BX21" s="2472"/>
      <c r="BY21" s="2472"/>
      <c r="BZ21" s="2472"/>
      <c r="CA21" s="2472"/>
      <c r="CB21" s="2472"/>
      <c r="CC21" s="2472"/>
      <c r="CD21" s="2472"/>
      <c r="CE21" s="2473">
        <v>5000</v>
      </c>
      <c r="CF21" s="2472"/>
      <c r="CG21" s="2472"/>
      <c r="CH21" s="2472"/>
      <c r="CI21" s="2472"/>
      <c r="CJ21" s="2472"/>
      <c r="CK21" s="2472"/>
      <c r="CL21" s="2472"/>
      <c r="CM21" s="2472"/>
      <c r="CN21" s="2472"/>
      <c r="CO21" s="2472"/>
      <c r="CP21" s="2472"/>
      <c r="CQ21" s="2472"/>
      <c r="CR21" s="2472"/>
      <c r="CS21" s="2472"/>
      <c r="CT21" s="2472"/>
      <c r="CU21" s="2472"/>
      <c r="CV21" s="2472"/>
      <c r="CW21" s="2472"/>
      <c r="CX21" s="2472"/>
      <c r="CY21" s="2472"/>
      <c r="CZ21" s="2472"/>
      <c r="DA21" s="2472"/>
      <c r="DB21" s="2472"/>
      <c r="DC21" s="2472"/>
      <c r="DD21" s="2472"/>
      <c r="DE21" s="2472"/>
      <c r="DF21" s="2472"/>
      <c r="DG21" s="2472"/>
      <c r="DH21" s="2472"/>
      <c r="DI21" s="2472"/>
      <c r="DJ21" s="2472"/>
      <c r="DK21" s="2472"/>
      <c r="DL21" s="2472"/>
      <c r="DM21" s="2472"/>
      <c r="DN21" s="2472"/>
      <c r="DO21" s="2472"/>
      <c r="DP21" s="2473">
        <v>5000</v>
      </c>
      <c r="DQ21" s="2472"/>
      <c r="DR21" s="2472"/>
      <c r="DS21" s="2472"/>
      <c r="DT21" s="2472"/>
      <c r="DU21" s="2472"/>
      <c r="DV21" s="2472"/>
      <c r="DW21" s="2472"/>
      <c r="DX21" s="2472"/>
      <c r="DY21" s="2472"/>
      <c r="DZ21" s="2472"/>
      <c r="EA21" s="2472"/>
      <c r="EB21" s="2472"/>
      <c r="EC21" s="2472"/>
      <c r="ED21" s="2472"/>
      <c r="EE21" s="2472"/>
      <c r="EF21" s="2472"/>
      <c r="EG21" s="2473">
        <v>5000</v>
      </c>
      <c r="EH21" s="2473">
        <v>5000</v>
      </c>
      <c r="EI21" s="2472"/>
      <c r="EJ21" s="2472"/>
      <c r="EK21" s="2472"/>
      <c r="EL21" s="2472"/>
      <c r="EM21" s="2472"/>
      <c r="EN21" s="2472"/>
      <c r="EO21" s="2472"/>
      <c r="EP21" s="2472"/>
      <c r="EQ21" s="2472"/>
      <c r="ER21" s="2472"/>
      <c r="ES21" s="2472"/>
      <c r="ET21" s="2472"/>
      <c r="EU21" s="2472"/>
      <c r="EV21" s="2472"/>
      <c r="EW21" s="2472"/>
      <c r="EX21" s="2472"/>
      <c r="EY21" s="2472"/>
      <c r="EZ21" s="2472"/>
      <c r="FA21" s="2472"/>
      <c r="FB21" s="2472"/>
      <c r="FC21" s="2472"/>
      <c r="FD21" s="2472"/>
      <c r="FE21" s="2472"/>
      <c r="FF21" s="2472"/>
      <c r="FG21" s="2472"/>
      <c r="FH21" s="2472"/>
      <c r="FI21" s="2472"/>
      <c r="FJ21" s="2472"/>
      <c r="FK21" s="2472"/>
      <c r="FL21" s="2472"/>
      <c r="FM21" s="2472"/>
      <c r="FN21" s="2473">
        <v>5000</v>
      </c>
      <c r="FO21" s="2473">
        <v>5000</v>
      </c>
      <c r="FP21" s="2473">
        <v>5000</v>
      </c>
      <c r="FQ21" s="2472"/>
      <c r="FR21" s="2472"/>
      <c r="FS21" s="2472"/>
      <c r="FT21" s="2472"/>
      <c r="FU21" s="2472"/>
      <c r="FV21" s="2472"/>
      <c r="FW21" s="2472"/>
      <c r="FX21" s="2472"/>
      <c r="FY21" s="2472"/>
      <c r="FZ21" s="2472"/>
      <c r="GA21" s="2472"/>
      <c r="GB21" s="2472"/>
      <c r="GC21" s="2472"/>
      <c r="GD21" s="2472"/>
      <c r="GE21" s="2472"/>
      <c r="GF21" s="2472"/>
      <c r="GG21" s="2472"/>
      <c r="GH21" s="2472"/>
      <c r="GI21" s="2472"/>
      <c r="GJ21" s="2472"/>
      <c r="GK21" s="2472"/>
      <c r="GL21" s="2472"/>
      <c r="GM21" s="2472"/>
      <c r="GN21" s="2472"/>
      <c r="GO21" s="2472"/>
      <c r="GP21" s="2472"/>
      <c r="GQ21" s="2472"/>
      <c r="GR21" s="2472"/>
      <c r="GS21" s="2473">
        <v>5000</v>
      </c>
      <c r="GT21" s="2472"/>
      <c r="GU21" s="2472"/>
      <c r="GV21" s="2472"/>
      <c r="GW21" s="2472"/>
      <c r="GX21" s="2472"/>
      <c r="GY21" s="2472"/>
      <c r="GZ21" s="2472"/>
      <c r="HA21" s="2473">
        <v>5000</v>
      </c>
      <c r="HB21" s="2472"/>
      <c r="HC21" s="2472"/>
      <c r="HD21" s="2472"/>
      <c r="HE21" s="2472"/>
      <c r="HF21" s="2472"/>
      <c r="HG21" s="2472"/>
      <c r="HH21" s="2472"/>
      <c r="HI21" s="2472"/>
      <c r="HJ21" s="2472"/>
      <c r="HK21" s="2472"/>
      <c r="HL21" s="2472"/>
      <c r="HM21" s="2472"/>
      <c r="HN21" s="2472"/>
      <c r="HO21" s="2472"/>
      <c r="HP21" s="2472"/>
      <c r="HQ21" s="2472"/>
      <c r="HR21" s="2472"/>
      <c r="HS21" s="2472"/>
      <c r="HT21" s="2472"/>
      <c r="HU21" s="2472"/>
      <c r="HV21" s="2472"/>
      <c r="HW21" s="2472"/>
      <c r="HX21" s="2472"/>
      <c r="HY21" s="2472"/>
      <c r="HZ21" s="2472"/>
      <c r="IA21" s="2472"/>
      <c r="IB21" s="2472"/>
      <c r="IC21" s="2472"/>
      <c r="ID21" s="2472"/>
      <c r="IE21" s="2472"/>
      <c r="IF21" s="2472"/>
      <c r="IG21" s="2472"/>
      <c r="IH21" s="2472"/>
      <c r="II21" s="2472"/>
      <c r="IJ21" s="2472"/>
      <c r="IK21" s="2472"/>
      <c r="IL21" s="2472"/>
      <c r="IM21" s="2472"/>
      <c r="IN21" s="2472"/>
      <c r="IO21" s="2472"/>
      <c r="IP21" s="2472"/>
      <c r="IQ21" s="2472"/>
      <c r="IR21" s="2472"/>
      <c r="IS21" s="2472"/>
      <c r="IT21" s="2472"/>
      <c r="IU21" s="2472"/>
      <c r="IV21" s="2472"/>
      <c r="IW21" s="2472"/>
      <c r="IX21" s="2472"/>
      <c r="IY21" s="2472"/>
      <c r="IZ21" s="2472"/>
      <c r="JA21" s="2841"/>
      <c r="JB21" s="2841"/>
      <c r="JC21" s="2841"/>
      <c r="JD21" s="2841"/>
      <c r="JE21" s="2841"/>
      <c r="JF21" s="2841"/>
      <c r="JG21" s="3790"/>
      <c r="JH21" s="1233"/>
      <c r="JI21" s="1232"/>
      <c r="JJ21" s="1660" t="s">
        <v>6108</v>
      </c>
    </row>
    <row ht="12.75" r="22" spans="1:270" x14ac:dyDescent="0.2">
      <c r="A22" s="1128">
        <v>21</v>
      </c>
      <c r="B22" s="632" t="str">
        <f si="0" t="shared"/>
        <v/>
      </c>
      <c r="C22" s="1524" t="s">
        <v>1539</v>
      </c>
      <c r="D22" s="2928" t="s">
        <v>7330</v>
      </c>
      <c r="E22" s="2472"/>
      <c r="F22" s="2472"/>
      <c r="G22" s="2472"/>
      <c r="H22" s="2473"/>
      <c r="I22" s="2473"/>
      <c r="J22" s="2473"/>
      <c r="K22" s="2472"/>
      <c r="L22" s="2473"/>
      <c r="M22" s="2473"/>
      <c r="N22" s="2473"/>
      <c r="O22" s="2472"/>
      <c r="P22" s="2473"/>
      <c r="Q22" s="2472"/>
      <c r="R22" s="2472"/>
      <c r="S22" s="2473"/>
      <c r="T22" s="2473"/>
      <c r="U22" s="2472"/>
      <c r="V22" s="2472">
        <v>450</v>
      </c>
      <c r="W22" s="2472"/>
      <c r="X22" s="2472"/>
      <c r="Y22" s="2472"/>
      <c r="Z22" s="2473"/>
      <c r="AA22" s="2472"/>
      <c r="AB22" s="2473"/>
      <c r="AC22" s="2472"/>
      <c r="AD22" s="2472"/>
      <c r="AE22" s="2472"/>
      <c r="AF22" s="2472"/>
      <c r="AG22" s="2472"/>
      <c r="AH22" s="2472"/>
      <c r="AI22" s="2473"/>
      <c r="AJ22" s="2473"/>
      <c r="AK22" s="2472"/>
      <c r="AL22" s="2473"/>
      <c r="AM22" s="2473"/>
      <c r="AN22" s="2473"/>
      <c r="AO22" s="2473"/>
      <c r="AP22" s="2472"/>
      <c r="AQ22" s="2472"/>
      <c r="AR22" s="2473"/>
      <c r="AS22" s="2472"/>
      <c r="AT22" s="2472"/>
      <c r="AU22" s="2472"/>
      <c r="AV22" s="2473"/>
      <c r="AW22" s="2472"/>
      <c r="AX22" s="2472"/>
      <c r="AY22" s="2472"/>
      <c r="AZ22" s="2472"/>
      <c r="BA22" s="2472">
        <v>75</v>
      </c>
      <c r="BB22" s="2472"/>
      <c r="BC22" s="2472"/>
      <c r="BD22" s="2472"/>
      <c r="BE22" s="2472"/>
      <c r="BF22" s="2472">
        <v>75</v>
      </c>
      <c r="BG22" s="2472"/>
      <c r="BH22" s="2472"/>
      <c r="BI22" s="2472"/>
      <c r="BJ22" s="2472"/>
      <c r="BK22" s="2472"/>
      <c r="BL22" s="2472"/>
      <c r="BM22" s="2472">
        <v>75</v>
      </c>
      <c r="BN22" s="2472"/>
      <c r="BO22" s="2472"/>
      <c r="BP22" s="2472"/>
      <c r="BQ22" s="2472"/>
      <c r="BR22" s="2472"/>
      <c r="BS22" s="2472"/>
      <c r="BT22" s="2472"/>
      <c r="BU22" s="2472"/>
      <c r="BV22" s="2472"/>
      <c r="BW22" s="2472"/>
      <c r="BX22" s="2472"/>
      <c r="BY22" s="2472"/>
      <c r="BZ22" s="2472"/>
      <c r="CA22" s="2472"/>
      <c r="CB22" s="2472"/>
      <c r="CC22" s="2472"/>
      <c r="CD22" s="2472"/>
      <c r="CE22" s="2473"/>
      <c r="CF22" s="2472"/>
      <c r="CG22" s="2472"/>
      <c r="CH22" s="2472"/>
      <c r="CI22" s="2472"/>
      <c r="CJ22" s="2472"/>
      <c r="CK22" s="2472"/>
      <c r="CL22" s="2472"/>
      <c r="CM22" s="2472"/>
      <c r="CN22" s="2472"/>
      <c r="CO22" s="2472"/>
      <c r="CP22" s="2472"/>
      <c r="CQ22" s="2472"/>
      <c r="CR22" s="2472"/>
      <c r="CS22" s="2472"/>
      <c r="CT22" s="2472"/>
      <c r="CU22" s="2472"/>
      <c r="CV22" s="2472">
        <v>75</v>
      </c>
      <c r="CW22" s="2472"/>
      <c r="CX22" s="2472"/>
      <c r="CY22" s="2472"/>
      <c r="CZ22" s="2472"/>
      <c r="DA22" s="2472"/>
      <c r="DB22" s="2472"/>
      <c r="DC22" s="2472"/>
      <c r="DD22" s="2472"/>
      <c r="DE22" s="2472"/>
      <c r="DF22" s="2472"/>
      <c r="DG22" s="2472"/>
      <c r="DH22" s="2472"/>
      <c r="DI22" s="2472"/>
      <c r="DJ22" s="2472"/>
      <c r="DK22" s="2472">
        <v>75</v>
      </c>
      <c r="DL22" s="2472"/>
      <c r="DM22" s="2472"/>
      <c r="DN22" s="2472"/>
      <c r="DO22" s="2472"/>
      <c r="DP22" s="2473"/>
      <c r="DQ22" s="2472"/>
      <c r="DR22" s="2472"/>
      <c r="DS22" s="2472"/>
      <c r="DT22" s="2472"/>
      <c r="DU22" s="2472"/>
      <c r="DV22" s="2472">
        <v>75</v>
      </c>
      <c r="DW22" s="2472"/>
      <c r="DX22" s="2472"/>
      <c r="DY22" s="2472"/>
      <c r="DZ22" s="2472"/>
      <c r="EA22" s="2472"/>
      <c r="EB22" s="2472"/>
      <c r="EC22" s="2472"/>
      <c r="ED22" s="2472"/>
      <c r="EE22" s="2472"/>
      <c r="EF22" s="2472"/>
      <c r="EG22" s="2473"/>
      <c r="EH22" s="2473"/>
      <c r="EI22" s="2472"/>
      <c r="EJ22" s="2472"/>
      <c r="EK22" s="2472"/>
      <c r="EL22" s="3728"/>
      <c r="EM22" s="2472"/>
      <c r="EN22" s="2472"/>
      <c r="EO22" s="2472">
        <v>450</v>
      </c>
      <c r="EP22" s="2472"/>
      <c r="EQ22" s="2472"/>
      <c r="ER22" s="2472"/>
      <c r="ES22" s="2472"/>
      <c r="ET22" s="2472"/>
      <c r="EU22" s="2472"/>
      <c r="EV22" s="2472"/>
      <c r="EW22" s="2472"/>
      <c r="EX22" s="2472"/>
      <c r="EY22" s="2472"/>
      <c r="EZ22" s="2472"/>
      <c r="FA22" s="2472"/>
      <c r="FB22" s="2472"/>
      <c r="FC22" s="2472"/>
      <c r="FD22" s="2472"/>
      <c r="FE22" s="2472"/>
      <c r="FF22" s="2472"/>
      <c r="FG22" s="2472"/>
      <c r="FH22" s="2472"/>
      <c r="FI22" s="2472"/>
      <c r="FJ22" s="2472"/>
      <c r="FK22" s="2472"/>
      <c r="FL22" s="2472"/>
      <c r="FM22" s="2472"/>
      <c r="FN22" s="2473"/>
      <c r="FO22" s="2473"/>
      <c r="FP22" s="2473"/>
      <c r="FQ22" s="2472"/>
      <c r="FR22" s="2472"/>
      <c r="FS22" s="2472"/>
      <c r="FT22" s="2472"/>
      <c r="FU22" s="2472"/>
      <c r="FV22" s="2472"/>
      <c r="FW22" s="2472"/>
      <c r="FX22" s="2472"/>
      <c r="FY22" s="2472"/>
      <c r="FZ22" s="2472"/>
      <c r="GA22" s="2472"/>
      <c r="GB22" s="2472"/>
      <c r="GC22" s="2472"/>
      <c r="GD22" s="2472"/>
      <c r="GE22" s="2472"/>
      <c r="GF22" s="2472"/>
      <c r="GG22" s="2472"/>
      <c r="GH22" s="2472"/>
      <c r="GI22" s="2472"/>
      <c r="GJ22" s="2472"/>
      <c r="GK22" s="2472"/>
      <c r="GL22" s="2472"/>
      <c r="GM22" s="2472"/>
      <c r="GN22" s="2472"/>
      <c r="GO22" s="2472"/>
      <c r="GP22" s="2472">
        <v>450</v>
      </c>
      <c r="GQ22" s="2472"/>
      <c r="GR22" s="2472">
        <v>450</v>
      </c>
      <c r="GS22" s="2473"/>
      <c r="GT22" s="2472"/>
      <c r="GU22" s="2472"/>
      <c r="GV22" s="2472"/>
      <c r="GW22" s="2472"/>
      <c r="GX22" s="2472"/>
      <c r="GY22" s="2472"/>
      <c r="GZ22" s="2472"/>
      <c r="HA22" s="2473"/>
      <c r="HB22" s="2472"/>
      <c r="HC22" s="2472"/>
      <c r="HD22" s="2472"/>
      <c r="HE22" s="2472"/>
      <c r="HF22" s="2472">
        <v>450</v>
      </c>
      <c r="HG22" s="2472">
        <v>450</v>
      </c>
      <c r="HH22" s="2472"/>
      <c r="HI22" s="2472"/>
      <c r="HJ22" s="2472"/>
      <c r="HK22" s="2472"/>
      <c r="HL22" s="2472"/>
      <c r="HM22" s="2472"/>
      <c r="HN22" s="2472"/>
      <c r="HO22" s="2472"/>
      <c r="HP22" s="2472"/>
      <c r="HQ22" s="2472"/>
      <c r="HR22" s="2472"/>
      <c r="HS22" s="2472"/>
      <c r="HT22" s="2472"/>
      <c r="HU22" s="2472"/>
      <c r="HV22" s="2472"/>
      <c r="HW22" s="2472"/>
      <c r="HX22" s="2472"/>
      <c r="HY22" s="2472"/>
      <c r="HZ22" s="2472"/>
      <c r="IA22" s="2472"/>
      <c r="IB22" s="2472"/>
      <c r="IC22" s="2472"/>
      <c r="ID22" s="2472"/>
      <c r="IE22" s="2472"/>
      <c r="IF22" s="2472"/>
      <c r="IG22" s="2472"/>
      <c r="IH22" s="2472"/>
      <c r="II22" s="2472"/>
      <c r="IJ22" s="2472"/>
      <c r="IK22" s="2472"/>
      <c r="IL22" s="2472"/>
      <c r="IM22" s="2472"/>
      <c r="IN22" s="2472"/>
      <c r="IO22" s="2472"/>
      <c r="IP22" s="2472"/>
      <c r="IQ22" s="2472"/>
      <c r="IR22" s="2472"/>
      <c r="IS22" s="2472"/>
      <c r="IT22" s="2472"/>
      <c r="IU22" s="2472"/>
      <c r="IV22" s="2472"/>
      <c r="IW22" s="2472"/>
      <c r="IX22" s="2472"/>
      <c r="IY22" s="2472"/>
      <c r="IZ22" s="2472"/>
      <c r="JA22" s="2841"/>
      <c r="JB22" s="2841"/>
      <c r="JC22" s="2841"/>
      <c r="JD22" s="2841"/>
      <c r="JE22" s="2841"/>
      <c r="JF22" s="2841"/>
      <c r="JG22" s="3790"/>
      <c r="JH22" s="1233"/>
      <c r="JI22" s="1232"/>
      <c r="JJ22" s="1660" t="s">
        <v>6108</v>
      </c>
    </row>
    <row ht="12.75" r="23" spans="1:270" x14ac:dyDescent="0.2">
      <c r="A23" s="1128">
        <v>22</v>
      </c>
      <c r="B23" s="632" t="str">
        <f si="0" t="shared"/>
        <v/>
      </c>
      <c r="C23" s="1524" t="s">
        <v>1540</v>
      </c>
      <c r="D23" s="2928" t="s">
        <v>7331</v>
      </c>
      <c r="E23" s="2472"/>
      <c r="F23" s="2472"/>
      <c r="G23" s="2472"/>
      <c r="H23" s="2473"/>
      <c r="I23" s="2473"/>
      <c r="J23" s="2473"/>
      <c r="K23" s="2472"/>
      <c r="L23" s="2473"/>
      <c r="M23" s="2473"/>
      <c r="N23" s="2473"/>
      <c r="O23" s="2472"/>
      <c r="P23" s="2473"/>
      <c r="Q23" s="2472"/>
      <c r="R23" s="2472"/>
      <c r="S23" s="2473"/>
      <c r="T23" s="2473"/>
      <c r="U23" s="2472"/>
      <c r="V23" s="2472"/>
      <c r="W23" s="2472"/>
      <c r="X23" s="2472"/>
      <c r="Y23" s="2472"/>
      <c r="Z23" s="2473"/>
      <c r="AA23" s="2472"/>
      <c r="AB23" s="2473"/>
      <c r="AC23" s="2472"/>
      <c r="AD23" s="2472"/>
      <c r="AE23" s="2472"/>
      <c r="AF23" s="2472"/>
      <c r="AG23" s="2472"/>
      <c r="AH23" s="2472"/>
      <c r="AI23" s="2473"/>
      <c r="AJ23" s="2473"/>
      <c r="AK23" s="2472"/>
      <c r="AL23" s="2473"/>
      <c r="AM23" s="2473"/>
      <c r="AN23" s="2473"/>
      <c r="AO23" s="2473"/>
      <c r="AP23" s="2472"/>
      <c r="AQ23" s="2472"/>
      <c r="AR23" s="2473"/>
      <c r="AS23" s="2472">
        <v>150</v>
      </c>
      <c r="AT23" s="2472"/>
      <c r="AU23" s="2472">
        <v>175</v>
      </c>
      <c r="AV23" s="2473"/>
      <c r="AW23" s="2472"/>
      <c r="AX23" s="2472"/>
      <c r="AY23" s="2472"/>
      <c r="AZ23" s="2472"/>
      <c r="BA23" s="2472"/>
      <c r="BB23" s="2472"/>
      <c r="BC23" s="2472"/>
      <c r="BD23" s="2472">
        <v>150</v>
      </c>
      <c r="BE23" s="2472"/>
      <c r="BF23" s="2472"/>
      <c r="BG23" s="2472"/>
      <c r="BH23" s="2472"/>
      <c r="BI23" s="2472"/>
      <c r="BJ23" s="2472"/>
      <c r="BK23" s="2472"/>
      <c r="BL23" s="2472"/>
      <c r="BM23" s="2472"/>
      <c r="BN23" s="2472"/>
      <c r="BO23" s="2472"/>
      <c r="BP23" s="2472"/>
      <c r="BQ23" s="2472"/>
      <c r="BR23" s="2472"/>
      <c r="BS23" s="2472"/>
      <c r="BT23" s="2472"/>
      <c r="BU23" s="2472"/>
      <c r="BV23" s="2472"/>
      <c r="BW23" s="2472"/>
      <c r="BX23" s="2472"/>
      <c r="BY23" s="2472"/>
      <c r="BZ23" s="2472"/>
      <c r="CA23" s="2472"/>
      <c r="CB23" s="2472"/>
      <c r="CC23" s="2472"/>
      <c r="CD23" s="2472"/>
      <c r="CE23" s="2473"/>
      <c r="CF23" s="2472"/>
      <c r="CG23" s="2472"/>
      <c r="CH23" s="2472"/>
      <c r="CI23" s="2472"/>
      <c r="CJ23" s="2472"/>
      <c r="CK23" s="2472"/>
      <c r="CL23" s="2472"/>
      <c r="CM23" s="2472"/>
      <c r="CN23" s="2472">
        <v>150</v>
      </c>
      <c r="CO23" s="2472">
        <v>150</v>
      </c>
      <c r="CP23" s="2472"/>
      <c r="CQ23" s="2472"/>
      <c r="CR23" s="2472"/>
      <c r="CS23" s="2472"/>
      <c r="CT23" s="2472"/>
      <c r="CU23" s="2472"/>
      <c r="CV23" s="2472"/>
      <c r="CW23" s="2472"/>
      <c r="CX23" s="2472"/>
      <c r="CY23" s="2472"/>
      <c r="CZ23" s="2472"/>
      <c r="DA23" s="2472"/>
      <c r="DB23" s="2472"/>
      <c r="DC23" s="2472"/>
      <c r="DD23" s="2472"/>
      <c r="DE23" s="2472">
        <v>150</v>
      </c>
      <c r="DF23" s="2472"/>
      <c r="DG23" s="2472"/>
      <c r="DH23" s="2472"/>
      <c r="DI23" s="2472"/>
      <c r="DJ23" s="2472"/>
      <c r="DK23" s="2472"/>
      <c r="DL23" s="2472">
        <v>175</v>
      </c>
      <c r="DM23" s="2472"/>
      <c r="DN23" s="2472"/>
      <c r="DO23" s="2472"/>
      <c r="DP23" s="2473"/>
      <c r="DQ23" s="2472"/>
      <c r="DR23" s="2472"/>
      <c r="DS23" s="2472"/>
      <c r="DT23" s="2472">
        <v>175</v>
      </c>
      <c r="DU23" s="2472"/>
      <c r="DV23" s="2472"/>
      <c r="DW23" s="2472"/>
      <c r="DX23" s="2472"/>
      <c r="DY23" s="2472"/>
      <c r="DZ23" s="2472"/>
      <c r="EA23" s="2472"/>
      <c r="EB23" s="2472"/>
      <c r="EC23" s="2472"/>
      <c r="ED23" s="2472"/>
      <c r="EE23" s="2472"/>
      <c r="EF23" s="2472"/>
      <c r="EG23" s="2473"/>
      <c r="EH23" s="2473"/>
      <c r="EI23" s="2472">
        <v>175</v>
      </c>
      <c r="EJ23" s="2472"/>
      <c r="EK23" s="2472"/>
      <c r="EL23" s="2472"/>
      <c r="EM23" s="2472"/>
      <c r="EN23" s="2472"/>
      <c r="EO23" s="2472"/>
      <c r="EP23" s="2472">
        <v>175</v>
      </c>
      <c r="EQ23" s="2472"/>
      <c r="ER23" s="2472"/>
      <c r="ES23" s="2472"/>
      <c r="ET23" s="2472"/>
      <c r="EU23" s="2472"/>
      <c r="EV23" s="2472"/>
      <c r="EW23" s="2472"/>
      <c r="EX23" s="2472"/>
      <c r="EY23" s="2472"/>
      <c r="EZ23" s="2472">
        <v>150</v>
      </c>
      <c r="FA23" s="2472"/>
      <c r="FB23" s="2472"/>
      <c r="FC23" s="2472"/>
      <c r="FD23" s="2472"/>
      <c r="FE23" s="2472"/>
      <c r="FF23" s="2472"/>
      <c r="FG23" s="2472"/>
      <c r="FH23" s="2472"/>
      <c r="FI23" s="2472"/>
      <c r="FJ23" s="2472"/>
      <c r="FK23" s="2472"/>
      <c r="FL23" s="2472"/>
      <c r="FM23" s="2472"/>
      <c r="FN23" s="2473"/>
      <c r="FO23" s="2473"/>
      <c r="FP23" s="2473"/>
      <c r="FQ23" s="2472"/>
      <c r="FR23" s="2472"/>
      <c r="FS23" s="2472"/>
      <c r="FT23" s="2472"/>
      <c r="FU23" s="2472"/>
      <c r="FV23" s="2472"/>
      <c r="FW23" s="2472">
        <v>150</v>
      </c>
      <c r="FX23" s="2472"/>
      <c r="FY23" s="2472"/>
      <c r="FZ23" s="2472"/>
      <c r="GA23" s="2472"/>
      <c r="GB23" s="2472"/>
      <c r="GC23" s="2472"/>
      <c r="GD23" s="2472">
        <v>150</v>
      </c>
      <c r="GE23" s="2472"/>
      <c r="GF23" s="2472">
        <v>175</v>
      </c>
      <c r="GG23" s="2472"/>
      <c r="GH23" s="2472"/>
      <c r="GI23" s="2472"/>
      <c r="GJ23" s="2472"/>
      <c r="GK23" s="2472">
        <v>150</v>
      </c>
      <c r="GL23" s="2472"/>
      <c r="GM23" s="2472"/>
      <c r="GN23" s="2472"/>
      <c r="GO23" s="2472"/>
      <c r="GP23" s="2472"/>
      <c r="GQ23" s="2472">
        <v>150</v>
      </c>
      <c r="GR23" s="2472"/>
      <c r="GS23" s="2473"/>
      <c r="GT23" s="2472"/>
      <c r="GU23" s="2472"/>
      <c r="GV23" s="2472"/>
      <c r="GW23" s="2472"/>
      <c r="GX23" s="2472">
        <v>175</v>
      </c>
      <c r="GY23" s="2472"/>
      <c r="GZ23" s="2472">
        <v>175</v>
      </c>
      <c r="HA23" s="2473"/>
      <c r="HB23" s="2472"/>
      <c r="HC23" s="2472"/>
      <c r="HD23" s="2472"/>
      <c r="HE23" s="2472"/>
      <c r="HF23" s="2472"/>
      <c r="HG23" s="2472"/>
      <c r="HH23" s="2472"/>
      <c r="HI23" s="2472"/>
      <c r="HJ23" s="2472"/>
      <c r="HK23" s="2472"/>
      <c r="HL23" s="2472"/>
      <c r="HM23" s="2472"/>
      <c r="HN23" s="2472"/>
      <c r="HO23" s="2472"/>
      <c r="HP23" s="2472"/>
      <c r="HQ23" s="2472"/>
      <c r="HR23" s="2472"/>
      <c r="HS23" s="2472"/>
      <c r="HT23" s="2472"/>
      <c r="HU23" s="2472"/>
      <c r="HV23" s="2472"/>
      <c r="HW23" s="2472"/>
      <c r="HX23" s="2472"/>
      <c r="HY23" s="2472"/>
      <c r="HZ23" s="2472"/>
      <c r="IA23" s="2472"/>
      <c r="IB23" s="2472"/>
      <c r="IC23" s="2472"/>
      <c r="ID23" s="2472"/>
      <c r="IE23" s="2472"/>
      <c r="IF23" s="2472"/>
      <c r="IG23" s="2472"/>
      <c r="IH23" s="2472"/>
      <c r="II23" s="2472"/>
      <c r="IJ23" s="2472"/>
      <c r="IK23" s="2472"/>
      <c r="IL23" s="2472"/>
      <c r="IM23" s="2472"/>
      <c r="IN23" s="2472"/>
      <c r="IO23" s="2472"/>
      <c r="IP23" s="2472"/>
      <c r="IQ23" s="2472"/>
      <c r="IR23" s="2472"/>
      <c r="IS23" s="2472"/>
      <c r="IT23" s="2472"/>
      <c r="IU23" s="2472"/>
      <c r="IV23" s="2472"/>
      <c r="IW23" s="2472"/>
      <c r="IX23" s="2472"/>
      <c r="IY23" s="2472"/>
      <c r="IZ23" s="2472"/>
      <c r="JA23" s="2841"/>
      <c r="JB23" s="2841"/>
      <c r="JC23" s="2841"/>
      <c r="JD23" s="2841"/>
      <c r="JE23" s="2841"/>
      <c r="JF23" s="2841"/>
      <c r="JG23" s="3790"/>
      <c r="JH23" s="1233"/>
      <c r="JI23" s="1232"/>
      <c r="JJ23" s="1660" t="s">
        <v>6108</v>
      </c>
    </row>
    <row ht="13.5" r="24" spans="1:270" thickBot="1" x14ac:dyDescent="0.25">
      <c r="A24" s="1128">
        <v>23</v>
      </c>
      <c r="B24" s="632" t="str">
        <f si="0" t="shared"/>
        <v/>
      </c>
      <c r="C24" s="1525" t="s">
        <v>1541</v>
      </c>
      <c r="D24" s="2929" t="s">
        <v>7332</v>
      </c>
      <c r="E24" s="2480"/>
      <c r="F24" s="2480"/>
      <c r="G24" s="2480"/>
      <c r="H24" s="2481"/>
      <c r="I24" s="2481"/>
      <c r="J24" s="2481"/>
      <c r="K24" s="2480"/>
      <c r="L24" s="2481"/>
      <c r="M24" s="2481"/>
      <c r="N24" s="2481"/>
      <c r="O24" s="2480"/>
      <c r="P24" s="2481"/>
      <c r="Q24" s="2480"/>
      <c r="R24" s="2480"/>
      <c r="S24" s="2481"/>
      <c r="T24" s="2481"/>
      <c r="U24" s="2480"/>
      <c r="V24" s="2480"/>
      <c r="W24" s="2480"/>
      <c r="X24" s="2480"/>
      <c r="Y24" s="2480"/>
      <c r="Z24" s="2481"/>
      <c r="AA24" s="2480"/>
      <c r="AB24" s="2481"/>
      <c r="AC24" s="2480"/>
      <c r="AD24" s="2480"/>
      <c r="AE24" s="2480"/>
      <c r="AF24" s="2480"/>
      <c r="AG24" s="2480"/>
      <c r="AH24" s="2480"/>
      <c r="AI24" s="2481"/>
      <c r="AJ24" s="2481"/>
      <c r="AK24" s="2480"/>
      <c r="AL24" s="2481"/>
      <c r="AM24" s="2481"/>
      <c r="AN24" s="2481"/>
      <c r="AO24" s="2481"/>
      <c r="AP24" s="2480"/>
      <c r="AQ24" s="2480"/>
      <c r="AR24" s="2481"/>
      <c r="AS24" s="2480">
        <v>85</v>
      </c>
      <c r="AT24" s="2480"/>
      <c r="AU24" s="2480"/>
      <c r="AV24" s="2481"/>
      <c r="AW24" s="2480"/>
      <c r="AX24" s="2480"/>
      <c r="AY24" s="2480"/>
      <c r="AZ24" s="2480"/>
      <c r="BA24" s="2480"/>
      <c r="BB24" s="2480"/>
      <c r="BC24" s="2480"/>
      <c r="BD24" s="2480">
        <v>85</v>
      </c>
      <c r="BE24" s="2480"/>
      <c r="BF24" s="2480"/>
      <c r="BG24" s="2480"/>
      <c r="BH24" s="2480"/>
      <c r="BI24" s="2480"/>
      <c r="BJ24" s="2480"/>
      <c r="BK24" s="2480"/>
      <c r="BL24" s="2480"/>
      <c r="BM24" s="2480"/>
      <c r="BN24" s="2480"/>
      <c r="BO24" s="2480"/>
      <c r="BP24" s="2480"/>
      <c r="BQ24" s="2480"/>
      <c r="BR24" s="2480"/>
      <c r="BS24" s="2480"/>
      <c r="BT24" s="2480"/>
      <c r="BU24" s="2480"/>
      <c r="BV24" s="2480"/>
      <c r="BW24" s="2480"/>
      <c r="BX24" s="2480"/>
      <c r="BY24" s="2480"/>
      <c r="BZ24" s="2480"/>
      <c r="CA24" s="2480"/>
      <c r="CB24" s="2480"/>
      <c r="CC24" s="2480"/>
      <c r="CD24" s="2480"/>
      <c r="CE24" s="2481"/>
      <c r="CF24" s="2480"/>
      <c r="CG24" s="2480"/>
      <c r="CH24" s="2480"/>
      <c r="CI24" s="2480"/>
      <c r="CJ24" s="2480"/>
      <c r="CK24" s="2480"/>
      <c r="CL24" s="2480"/>
      <c r="CM24" s="2480"/>
      <c r="CN24" s="2480">
        <v>85</v>
      </c>
      <c r="CO24" s="2480">
        <v>85</v>
      </c>
      <c r="CP24" s="2480"/>
      <c r="CQ24" s="2480"/>
      <c r="CR24" s="2480"/>
      <c r="CS24" s="2480"/>
      <c r="CT24" s="2480"/>
      <c r="CU24" s="2480"/>
      <c r="CV24" s="2480"/>
      <c r="CW24" s="2480"/>
      <c r="CX24" s="2480"/>
      <c r="CY24" s="2480"/>
      <c r="CZ24" s="2480"/>
      <c r="DA24" s="2480"/>
      <c r="DB24" s="2480"/>
      <c r="DC24" s="2480"/>
      <c r="DD24" s="2480"/>
      <c r="DE24" s="2480">
        <v>85</v>
      </c>
      <c r="DF24" s="2480"/>
      <c r="DG24" s="2480"/>
      <c r="DH24" s="2480"/>
      <c r="DI24" s="2480"/>
      <c r="DJ24" s="2480"/>
      <c r="DK24" s="2480"/>
      <c r="DL24" s="2480"/>
      <c r="DM24" s="2480"/>
      <c r="DN24" s="2480"/>
      <c r="DO24" s="2480"/>
      <c r="DP24" s="2481"/>
      <c r="DQ24" s="2480"/>
      <c r="DR24" s="2480"/>
      <c r="DS24" s="2480"/>
      <c r="DT24" s="2480"/>
      <c r="DU24" s="2480"/>
      <c r="DV24" s="2480"/>
      <c r="DW24" s="2480"/>
      <c r="DX24" s="2480"/>
      <c r="DY24" s="2480"/>
      <c r="DZ24" s="2480"/>
      <c r="EA24" s="2480"/>
      <c r="EB24" s="2480"/>
      <c r="EC24" s="2480"/>
      <c r="ED24" s="2480"/>
      <c r="EE24" s="2480"/>
      <c r="EF24" s="2480"/>
      <c r="EG24" s="2481"/>
      <c r="EH24" s="2481"/>
      <c r="EI24" s="2480"/>
      <c r="EJ24" s="2480"/>
      <c r="EK24" s="2480"/>
      <c r="EL24" s="2480"/>
      <c r="EM24" s="2480"/>
      <c r="EN24" s="2480"/>
      <c r="EO24" s="2480"/>
      <c r="EP24" s="2480"/>
      <c r="EQ24" s="2480"/>
      <c r="ER24" s="2480"/>
      <c r="ES24" s="2480"/>
      <c r="ET24" s="2480"/>
      <c r="EU24" s="2480"/>
      <c r="EV24" s="2480"/>
      <c r="EW24" s="2480"/>
      <c r="EX24" s="2480"/>
      <c r="EY24" s="2480"/>
      <c r="EZ24" s="2480">
        <v>85</v>
      </c>
      <c r="FA24" s="2480"/>
      <c r="FB24" s="2480"/>
      <c r="FC24" s="2480"/>
      <c r="FD24" s="2480"/>
      <c r="FE24" s="2480"/>
      <c r="FF24" s="2480"/>
      <c r="FG24" s="2480"/>
      <c r="FH24" s="2480"/>
      <c r="FI24" s="2480"/>
      <c r="FJ24" s="2480"/>
      <c r="FK24" s="2480"/>
      <c r="FL24" s="2480"/>
      <c r="FM24" s="2480"/>
      <c r="FN24" s="2481"/>
      <c r="FO24" s="2481"/>
      <c r="FP24" s="2481"/>
      <c r="FQ24" s="2480"/>
      <c r="FR24" s="2480"/>
      <c r="FS24" s="2480"/>
      <c r="FT24" s="2480"/>
      <c r="FU24" s="2480"/>
      <c r="FV24" s="2480"/>
      <c r="FW24" s="2480">
        <v>85</v>
      </c>
      <c r="FX24" s="2480"/>
      <c r="FY24" s="2480"/>
      <c r="FZ24" s="2480"/>
      <c r="GA24" s="2480"/>
      <c r="GB24" s="2480"/>
      <c r="GC24" s="2480"/>
      <c r="GD24" s="2480">
        <v>85</v>
      </c>
      <c r="GE24" s="2480"/>
      <c r="GF24" s="2480"/>
      <c r="GG24" s="2480"/>
      <c r="GH24" s="2480"/>
      <c r="GI24" s="2480"/>
      <c r="GJ24" s="2480"/>
      <c r="GK24" s="2480">
        <v>85</v>
      </c>
      <c r="GL24" s="2480"/>
      <c r="GM24" s="2480"/>
      <c r="GN24" s="2480"/>
      <c r="GO24" s="2480"/>
      <c r="GP24" s="2480"/>
      <c r="GQ24" s="2480">
        <v>85</v>
      </c>
      <c r="GR24" s="2480"/>
      <c r="GS24" s="2481"/>
      <c r="GT24" s="2480"/>
      <c r="GU24" s="2480"/>
      <c r="GV24" s="2480"/>
      <c r="GW24" s="2480"/>
      <c r="GX24" s="2480"/>
      <c r="GY24" s="2480"/>
      <c r="GZ24" s="2480"/>
      <c r="HA24" s="2481"/>
      <c r="HB24" s="2480"/>
      <c r="HC24" s="2480"/>
      <c r="HD24" s="2480"/>
      <c r="HE24" s="2480"/>
      <c r="HF24" s="2480"/>
      <c r="HG24" s="2480"/>
      <c r="HH24" s="2480"/>
      <c r="HI24" s="2480"/>
      <c r="HJ24" s="2480"/>
      <c r="HK24" s="2480"/>
      <c r="HL24" s="2480"/>
      <c r="HM24" s="2480"/>
      <c r="HN24" s="2480"/>
      <c r="HO24" s="2480"/>
      <c r="HP24" s="2480"/>
      <c r="HQ24" s="2480"/>
      <c r="HR24" s="2480"/>
      <c r="HS24" s="2480"/>
      <c r="HT24" s="2480"/>
      <c r="HU24" s="2480"/>
      <c r="HV24" s="2480"/>
      <c r="HW24" s="2480"/>
      <c r="HX24" s="2480"/>
      <c r="HY24" s="2480"/>
      <c r="HZ24" s="2480"/>
      <c r="IA24" s="2480"/>
      <c r="IB24" s="2480"/>
      <c r="IC24" s="2480"/>
      <c r="ID24" s="2480"/>
      <c r="IE24" s="2480"/>
      <c r="IF24" s="2480"/>
      <c r="IG24" s="2480"/>
      <c r="IH24" s="2480"/>
      <c r="II24" s="2480"/>
      <c r="IJ24" s="2480"/>
      <c r="IK24" s="2480"/>
      <c r="IL24" s="2480"/>
      <c r="IM24" s="2480"/>
      <c r="IN24" s="2480"/>
      <c r="IO24" s="2480"/>
      <c r="IP24" s="2480"/>
      <c r="IQ24" s="2480"/>
      <c r="IR24" s="2480"/>
      <c r="IS24" s="2480"/>
      <c r="IT24" s="2480"/>
      <c r="IU24" s="2480"/>
      <c r="IV24" s="2480"/>
      <c r="IW24" s="2480"/>
      <c r="IX24" s="2480"/>
      <c r="IY24" s="2480"/>
      <c r="IZ24" s="2480"/>
      <c r="JA24" s="2843"/>
      <c r="JB24" s="2843"/>
      <c r="JC24" s="2843"/>
      <c r="JD24" s="2843"/>
      <c r="JE24" s="2843"/>
      <c r="JF24" s="2843"/>
      <c r="JG24" s="3791"/>
      <c r="JH24" s="1233"/>
      <c r="JI24" s="1232"/>
      <c r="JJ24" s="1660" t="s">
        <v>6108</v>
      </c>
    </row>
    <row customFormat="1" ht="12.75" r="25" s="34" spans="1:270" thickBot="1" x14ac:dyDescent="0.25">
      <c r="A25" s="1127"/>
      <c r="JJ25" s="2343"/>
    </row>
    <row customFormat="1" ht="12.75" r="26" s="34" spans="1:270" x14ac:dyDescent="0.2">
      <c r="A26" s="2459" t="s">
        <v>4479</v>
      </c>
      <c r="B26" s="2844" t="str">
        <f>"selected "&amp;EMP_B_IND-1</f>
        <v>selected 0</v>
      </c>
      <c r="C26" s="2461" t="s">
        <v>3741</v>
      </c>
      <c r="D26" s="2462"/>
      <c r="E26" s="2483">
        <v>1</v>
      </c>
      <c r="F26" s="2484">
        <v>2</v>
      </c>
      <c r="G26" s="2484">
        <v>3</v>
      </c>
      <c r="H26" s="2484">
        <v>4</v>
      </c>
      <c r="I26" s="2484">
        <v>5</v>
      </c>
      <c r="J26" s="2484">
        <v>6</v>
      </c>
      <c r="K26" s="2484">
        <v>7</v>
      </c>
      <c r="L26" s="2484">
        <v>8</v>
      </c>
      <c r="M26" s="2484">
        <v>9</v>
      </c>
      <c r="N26" s="2484">
        <v>10</v>
      </c>
      <c r="O26" s="2484">
        <v>11</v>
      </c>
      <c r="P26" s="2484">
        <v>12</v>
      </c>
      <c r="Q26" s="2484">
        <v>13</v>
      </c>
      <c r="R26" s="2484">
        <v>14</v>
      </c>
      <c r="S26" s="2484">
        <v>15</v>
      </c>
      <c r="T26" s="2484">
        <v>16</v>
      </c>
      <c r="U26" s="2484">
        <v>17</v>
      </c>
      <c r="V26" s="2484">
        <v>18</v>
      </c>
      <c r="W26" s="2484">
        <v>19</v>
      </c>
      <c r="X26" s="2484">
        <v>20</v>
      </c>
      <c r="Y26" s="2484">
        <v>21</v>
      </c>
      <c r="Z26" s="2484">
        <v>22</v>
      </c>
      <c r="AA26" s="2484">
        <v>23</v>
      </c>
      <c r="AB26" s="2484">
        <v>24</v>
      </c>
      <c r="AC26" s="2484">
        <v>25</v>
      </c>
      <c r="AD26" s="3502">
        <v>26</v>
      </c>
      <c r="AE26" s="3502">
        <v>27</v>
      </c>
      <c r="AF26" s="3502">
        <v>28</v>
      </c>
      <c r="AG26" s="3502">
        <v>29</v>
      </c>
      <c r="AH26" s="3502">
        <v>30</v>
      </c>
      <c r="AI26" s="2026">
        <v>31</v>
      </c>
      <c r="AJ26" s="2026">
        <v>32</v>
      </c>
      <c r="AK26" s="2026">
        <v>33</v>
      </c>
      <c r="AL26" s="2026">
        <v>34</v>
      </c>
      <c r="AM26" s="2026">
        <v>35</v>
      </c>
      <c r="AN26" s="2026">
        <v>36</v>
      </c>
      <c r="AO26" s="2026">
        <v>37</v>
      </c>
      <c r="AP26" s="2026">
        <v>38</v>
      </c>
      <c r="AQ26" s="2026">
        <v>39</v>
      </c>
      <c r="AR26" s="2026">
        <v>40</v>
      </c>
      <c r="AS26" s="2026">
        <v>41</v>
      </c>
      <c r="AT26" s="2026">
        <v>42</v>
      </c>
      <c r="AU26" s="2026">
        <v>43</v>
      </c>
      <c r="AV26" s="2026">
        <v>44</v>
      </c>
      <c r="AW26" s="2026">
        <v>45</v>
      </c>
      <c r="AX26" s="2026">
        <v>46</v>
      </c>
      <c r="AY26" s="2026">
        <v>47</v>
      </c>
      <c r="AZ26" s="2026">
        <v>48</v>
      </c>
      <c r="BA26" s="2026">
        <v>49</v>
      </c>
      <c r="BB26" s="2026">
        <v>50</v>
      </c>
      <c r="BC26" s="2026">
        <v>51</v>
      </c>
      <c r="BD26" s="2026">
        <v>52</v>
      </c>
      <c r="BE26" s="2026">
        <v>53</v>
      </c>
      <c r="BF26" s="2484">
        <v>54</v>
      </c>
      <c r="BG26" s="2026">
        <v>55</v>
      </c>
      <c r="BH26" s="2026">
        <v>56</v>
      </c>
      <c r="BI26" s="2026">
        <v>57</v>
      </c>
      <c r="BJ26" s="2026">
        <v>58</v>
      </c>
      <c r="BK26" s="2026">
        <v>59</v>
      </c>
      <c r="BL26" s="2026">
        <v>60</v>
      </c>
      <c r="BM26" s="2026">
        <v>61</v>
      </c>
      <c r="BN26" s="2026">
        <v>62</v>
      </c>
      <c r="BO26" s="2026">
        <v>63</v>
      </c>
      <c r="BP26" s="2026">
        <v>64</v>
      </c>
      <c r="BQ26" s="2026">
        <v>65</v>
      </c>
      <c r="BR26" s="2026">
        <v>66</v>
      </c>
      <c r="BS26" s="2026">
        <v>67</v>
      </c>
      <c r="BT26" s="2026">
        <v>68</v>
      </c>
      <c r="BU26" s="2026">
        <v>69</v>
      </c>
      <c r="BV26" s="2026">
        <v>70</v>
      </c>
      <c r="BW26" s="2026">
        <v>71</v>
      </c>
      <c r="BX26" s="2026">
        <v>72</v>
      </c>
      <c r="BY26" s="2026">
        <v>73</v>
      </c>
      <c r="BZ26" s="2026">
        <v>74</v>
      </c>
      <c r="CA26" s="2026">
        <v>75</v>
      </c>
      <c r="CB26" s="2026">
        <v>76</v>
      </c>
      <c r="CC26" s="2026">
        <v>77</v>
      </c>
      <c r="CD26" s="2026">
        <v>78</v>
      </c>
      <c r="CE26" s="2026">
        <v>79</v>
      </c>
      <c r="CF26" s="2026">
        <v>80</v>
      </c>
      <c r="CG26" s="2026">
        <v>81</v>
      </c>
      <c r="CH26" s="2026">
        <v>82</v>
      </c>
      <c r="CI26" s="2026">
        <v>83</v>
      </c>
      <c r="CJ26" s="2026">
        <v>84</v>
      </c>
      <c r="CK26" s="2026">
        <v>85</v>
      </c>
      <c r="CL26" s="2026">
        <v>86</v>
      </c>
      <c r="CM26" s="2026">
        <v>87</v>
      </c>
      <c r="CN26" s="2026">
        <v>88</v>
      </c>
      <c r="CO26" s="2026">
        <v>89</v>
      </c>
      <c r="CP26" s="2026">
        <v>90</v>
      </c>
      <c r="CQ26" s="2026">
        <v>91</v>
      </c>
      <c r="CR26" s="2026">
        <v>92</v>
      </c>
      <c r="CS26" s="2026">
        <v>93</v>
      </c>
      <c r="CT26" s="2026">
        <v>94</v>
      </c>
      <c r="CU26" s="2026">
        <v>95</v>
      </c>
      <c r="CV26" s="2026">
        <v>96</v>
      </c>
      <c r="CW26" s="2026">
        <v>97</v>
      </c>
      <c r="CX26" s="2026">
        <v>98</v>
      </c>
      <c r="CY26" s="2026">
        <v>99</v>
      </c>
      <c r="CZ26" s="2026">
        <v>100</v>
      </c>
      <c r="DA26" s="2026">
        <v>101</v>
      </c>
      <c r="DB26" s="2485">
        <v>102</v>
      </c>
      <c r="DC26" s="2026">
        <v>103</v>
      </c>
      <c r="DD26" s="2026">
        <v>104</v>
      </c>
      <c r="DE26" s="2026">
        <v>105</v>
      </c>
      <c r="DF26" s="2026">
        <v>106</v>
      </c>
      <c r="DG26" s="2026">
        <v>107</v>
      </c>
      <c r="DH26" s="2026">
        <v>108</v>
      </c>
      <c r="DI26" s="2026">
        <v>109</v>
      </c>
      <c r="DJ26" s="2026">
        <v>110</v>
      </c>
      <c r="DK26" s="2026">
        <v>111</v>
      </c>
      <c r="DL26" s="2026">
        <v>112</v>
      </c>
      <c r="DM26" s="2026">
        <v>113</v>
      </c>
      <c r="DN26" s="2026">
        <v>114</v>
      </c>
      <c r="DO26" s="2026">
        <v>115</v>
      </c>
      <c r="DP26" s="2026">
        <v>116</v>
      </c>
      <c r="DQ26" s="2026">
        <v>117</v>
      </c>
      <c r="DR26" s="2026">
        <v>118</v>
      </c>
      <c r="DS26" s="2026">
        <v>119</v>
      </c>
      <c r="DT26" s="2026">
        <v>120</v>
      </c>
      <c r="DU26" s="2026">
        <v>121</v>
      </c>
      <c r="DV26" s="2026">
        <v>122</v>
      </c>
      <c r="DW26" s="2026">
        <v>123</v>
      </c>
      <c r="DX26" s="2026">
        <v>124</v>
      </c>
      <c r="DY26" s="2026">
        <v>125</v>
      </c>
      <c r="DZ26" s="2026">
        <v>126</v>
      </c>
      <c r="EA26" s="2026">
        <v>127</v>
      </c>
      <c r="EB26" s="2026">
        <v>128</v>
      </c>
      <c r="EC26" s="2026">
        <v>129</v>
      </c>
      <c r="ED26" s="2026">
        <v>130</v>
      </c>
      <c r="EE26" s="2026">
        <v>131</v>
      </c>
      <c r="EF26" s="2026">
        <v>132</v>
      </c>
      <c r="EG26" s="2026">
        <v>133</v>
      </c>
      <c r="EH26" s="2026">
        <v>134</v>
      </c>
      <c r="EI26" s="2026">
        <v>135</v>
      </c>
      <c r="EJ26" s="2026">
        <v>136</v>
      </c>
      <c r="EK26" s="2026">
        <v>137</v>
      </c>
      <c r="EL26" s="2026">
        <v>138</v>
      </c>
      <c r="EM26" s="2026">
        <v>139</v>
      </c>
      <c r="EN26" s="2026">
        <v>140</v>
      </c>
      <c r="EO26" s="2026">
        <v>141</v>
      </c>
      <c r="EP26" s="2026">
        <v>142</v>
      </c>
      <c r="EQ26" s="2026">
        <v>143</v>
      </c>
      <c r="ER26" s="2026">
        <v>144</v>
      </c>
      <c r="ES26" s="2026">
        <v>145</v>
      </c>
      <c r="ET26" s="2026">
        <v>146</v>
      </c>
      <c r="EU26" s="2026">
        <v>147</v>
      </c>
      <c r="EV26" s="2026">
        <v>148</v>
      </c>
      <c r="EW26" s="2026">
        <v>149</v>
      </c>
      <c r="EX26" s="2026">
        <v>150</v>
      </c>
      <c r="EY26" s="2026">
        <v>151</v>
      </c>
      <c r="EZ26" s="2026">
        <v>152</v>
      </c>
      <c r="FA26" s="2026">
        <v>153</v>
      </c>
      <c r="FB26" s="2026">
        <v>154</v>
      </c>
      <c r="FC26" s="2026">
        <v>155</v>
      </c>
      <c r="FD26" s="2026">
        <v>156</v>
      </c>
      <c r="FE26" s="2026">
        <v>157</v>
      </c>
      <c r="FF26" s="2026">
        <v>158</v>
      </c>
      <c r="FG26" s="2026">
        <v>159</v>
      </c>
      <c r="FH26" s="2026">
        <v>160</v>
      </c>
      <c r="FI26" s="2026">
        <v>161</v>
      </c>
      <c r="FJ26" s="2026">
        <v>162</v>
      </c>
      <c r="FK26" s="2026">
        <v>163</v>
      </c>
      <c r="FL26" s="2026">
        <v>164</v>
      </c>
      <c r="FM26" s="2026">
        <v>165</v>
      </c>
      <c r="FN26" s="2026">
        <v>166</v>
      </c>
      <c r="FO26" s="2026">
        <v>167</v>
      </c>
      <c r="FP26" s="2026">
        <v>168</v>
      </c>
      <c r="FQ26" s="2026">
        <v>169</v>
      </c>
      <c r="FR26" s="2026">
        <v>170</v>
      </c>
      <c r="FS26" s="2026">
        <v>171</v>
      </c>
      <c r="FT26" s="2026">
        <v>172</v>
      </c>
      <c r="FU26" s="2026">
        <v>173</v>
      </c>
      <c r="FV26" s="2026">
        <v>174</v>
      </c>
      <c r="FW26" s="2026">
        <v>175</v>
      </c>
      <c r="FX26" s="2026">
        <v>176</v>
      </c>
      <c r="FY26" s="2026">
        <v>177</v>
      </c>
      <c r="FZ26" s="2026">
        <v>178</v>
      </c>
      <c r="GA26" s="2026">
        <v>179</v>
      </c>
      <c r="GB26" s="2026">
        <v>180</v>
      </c>
      <c r="GC26" s="2026">
        <v>181</v>
      </c>
      <c r="GD26" s="2026">
        <v>182</v>
      </c>
      <c r="GE26" s="2026">
        <v>183</v>
      </c>
      <c r="GF26" s="2026">
        <v>184</v>
      </c>
      <c r="GG26" s="2026">
        <v>185</v>
      </c>
      <c r="GH26" s="2026">
        <v>186</v>
      </c>
      <c r="GI26" s="2026">
        <v>187</v>
      </c>
      <c r="GJ26" s="2026">
        <v>188</v>
      </c>
      <c r="GK26" s="2026">
        <v>189</v>
      </c>
      <c r="GL26" s="2026">
        <v>190</v>
      </c>
      <c r="GM26" s="2026">
        <v>191</v>
      </c>
      <c r="GN26" s="2026">
        <v>192</v>
      </c>
      <c r="GO26" s="2026">
        <v>193</v>
      </c>
      <c r="GP26" s="2026">
        <v>194</v>
      </c>
      <c r="GQ26" s="2026">
        <v>195</v>
      </c>
      <c r="GR26" s="2026">
        <v>196</v>
      </c>
      <c r="GS26" s="2026">
        <v>197</v>
      </c>
      <c r="GT26" s="2026">
        <v>198</v>
      </c>
      <c r="GU26" s="2026">
        <v>199</v>
      </c>
      <c r="GV26" s="2026">
        <v>200</v>
      </c>
      <c r="GW26" s="2026">
        <v>201</v>
      </c>
      <c r="GX26" s="2026">
        <v>202</v>
      </c>
      <c r="GY26" s="2026">
        <v>203</v>
      </c>
      <c r="GZ26" s="2026">
        <v>204</v>
      </c>
      <c r="HA26" s="2026">
        <v>205</v>
      </c>
      <c r="HB26" s="2026">
        <v>206</v>
      </c>
      <c r="HC26" s="2026">
        <v>207</v>
      </c>
      <c r="HD26" s="2026">
        <v>208</v>
      </c>
      <c r="HE26" s="2026">
        <v>209</v>
      </c>
      <c r="HF26" s="2026">
        <v>210</v>
      </c>
      <c r="HG26" s="2026">
        <v>211</v>
      </c>
      <c r="HH26" s="2026">
        <v>212</v>
      </c>
      <c r="HI26" s="2026">
        <v>213</v>
      </c>
      <c r="HJ26" s="2026">
        <v>214</v>
      </c>
      <c r="HK26" s="2026">
        <v>215</v>
      </c>
      <c r="HL26" s="2026">
        <v>216</v>
      </c>
      <c r="HM26" s="2026">
        <v>217</v>
      </c>
      <c r="HN26" s="2026">
        <v>218</v>
      </c>
      <c r="HO26" s="2026">
        <v>219</v>
      </c>
      <c r="HP26" s="2026">
        <v>220</v>
      </c>
      <c r="HQ26" s="2026">
        <v>221</v>
      </c>
      <c r="HR26" s="2026">
        <v>222</v>
      </c>
      <c r="HS26" s="2026">
        <v>223</v>
      </c>
      <c r="HT26" s="2026">
        <v>224</v>
      </c>
      <c r="HU26" s="2026">
        <v>225</v>
      </c>
      <c r="HV26" s="2026">
        <v>226</v>
      </c>
      <c r="HW26" s="2026">
        <v>227</v>
      </c>
      <c r="HX26" s="2026">
        <v>228</v>
      </c>
      <c r="HY26" s="2026">
        <v>229</v>
      </c>
      <c r="HZ26" s="2026">
        <v>230</v>
      </c>
      <c r="IA26" s="2026">
        <v>231</v>
      </c>
      <c r="IB26" s="2026">
        <v>232</v>
      </c>
      <c r="IC26" s="2026">
        <v>233</v>
      </c>
      <c r="ID26" s="2026">
        <v>234</v>
      </c>
      <c r="IE26" s="2026">
        <v>235</v>
      </c>
      <c r="IF26" s="2026">
        <v>236</v>
      </c>
      <c r="IG26" s="2026">
        <v>237</v>
      </c>
      <c r="IH26" s="2026">
        <v>238</v>
      </c>
      <c r="II26" s="2026">
        <v>239</v>
      </c>
      <c r="IJ26" s="2026">
        <v>240</v>
      </c>
      <c r="IK26" s="2026">
        <v>241</v>
      </c>
      <c r="IL26" s="2026">
        <v>242</v>
      </c>
      <c r="IM26" s="2026">
        <v>243</v>
      </c>
      <c r="IN26" s="2026">
        <v>244</v>
      </c>
      <c r="IO26" s="2026">
        <v>245</v>
      </c>
      <c r="IP26" s="2026">
        <v>246</v>
      </c>
      <c r="IQ26" s="2026">
        <v>247</v>
      </c>
      <c r="IR26" s="2026">
        <v>248</v>
      </c>
      <c r="IS26" s="2026">
        <v>249</v>
      </c>
      <c r="IT26" s="2026">
        <v>250</v>
      </c>
      <c r="IU26" s="2026">
        <v>251</v>
      </c>
      <c r="IV26" s="2026">
        <v>252</v>
      </c>
      <c r="IW26" s="2026">
        <v>253</v>
      </c>
      <c r="IX26" s="2026">
        <v>254</v>
      </c>
      <c r="IY26" s="2026">
        <v>255</v>
      </c>
      <c r="IZ26" s="2026">
        <v>256</v>
      </c>
      <c r="JA26" s="2026">
        <v>257</v>
      </c>
      <c r="JB26" s="2026">
        <v>258</v>
      </c>
      <c r="JC26" s="2026">
        <v>259</v>
      </c>
      <c r="JD26" s="1134">
        <v>260</v>
      </c>
      <c r="JE26" s="1134">
        <v>261</v>
      </c>
      <c r="JF26" s="1134">
        <v>262</v>
      </c>
      <c r="JG26" s="2485">
        <v>263</v>
      </c>
      <c r="JH26" s="1523"/>
      <c r="JI26" s="2465" t="s">
        <v>5040</v>
      </c>
      <c r="JJ26" s="2464" t="s">
        <v>6104</v>
      </c>
    </row>
    <row customFormat="1" ht="12.75" r="27" s="34" spans="1:270" x14ac:dyDescent="0.2">
      <c r="A27" s="2459">
        <v>2</v>
      </c>
      <c r="B27" s="2466" t="str">
        <f ref="B27:B48" si="2" t="shared">IF(EMP_B_IND&gt;1,IF(HLOOKUP(EMP_B_IND-1,EMP_RANGE_B,A27)="","",HLOOKUP(EMP_B_IND-1,EMP_RANGE_B,A27)),"")</f>
        <v/>
      </c>
      <c r="C27" s="1278" t="s">
        <v>9</v>
      </c>
      <c r="D27" s="2928" t="s">
        <v>7312</v>
      </c>
      <c r="E27" s="2467"/>
      <c r="F27" s="2467"/>
      <c r="G27" s="2467"/>
      <c r="H27" s="2468"/>
      <c r="I27" s="2468"/>
      <c r="J27" s="2468"/>
      <c r="K27" s="2467"/>
      <c r="L27" s="2468"/>
      <c r="M27" s="2468"/>
      <c r="N27" s="2468"/>
      <c r="O27" s="2467"/>
      <c r="P27" s="2468"/>
      <c r="Q27" s="2467"/>
      <c r="R27" s="2467"/>
      <c r="S27" s="2468"/>
      <c r="T27" s="2468"/>
      <c r="U27" s="2467"/>
      <c r="V27" s="2467"/>
      <c r="W27" s="2467"/>
      <c r="X27" s="2467"/>
      <c r="Y27" s="2467"/>
      <c r="Z27" s="2468"/>
      <c r="AA27" s="2467"/>
      <c r="AB27" s="2468"/>
      <c r="AC27" s="2467"/>
      <c r="AD27" s="2467"/>
      <c r="AE27" s="2467"/>
      <c r="AF27" s="2467"/>
      <c r="AG27" s="2467"/>
      <c r="AH27" s="2467"/>
      <c r="AI27" s="2468"/>
      <c r="AJ27" s="3088">
        <v>6666</v>
      </c>
      <c r="AK27" s="2467"/>
      <c r="AL27" s="2468"/>
      <c r="AM27" s="2468"/>
      <c r="AN27" s="2468"/>
      <c r="AO27" s="2468"/>
      <c r="AP27" s="2467"/>
      <c r="AQ27" s="2467"/>
      <c r="AR27" s="2468"/>
      <c r="AS27" s="2468">
        <v>55750</v>
      </c>
      <c r="AT27" s="2467"/>
      <c r="AU27" s="2467"/>
      <c r="AV27" s="2468"/>
      <c r="AW27" s="2467"/>
      <c r="AX27" s="2467"/>
      <c r="AY27" s="2467"/>
      <c r="AZ27" s="2467"/>
      <c r="BA27" s="2467">
        <v>101000</v>
      </c>
      <c r="BB27" s="2467">
        <v>9050</v>
      </c>
      <c r="BC27" s="2467"/>
      <c r="BD27" s="2467">
        <v>89000</v>
      </c>
      <c r="BE27" s="2467"/>
      <c r="BF27" s="3710">
        <v>18504</v>
      </c>
      <c r="BG27" s="2467"/>
      <c r="BH27" s="2467"/>
      <c r="BI27" s="2467"/>
      <c r="BJ27" s="2467"/>
      <c r="BK27" s="2467"/>
      <c r="BL27" s="2467"/>
      <c r="BM27" s="2467"/>
      <c r="BN27" s="2467"/>
      <c r="BO27" s="2467"/>
      <c r="BP27" s="2467"/>
      <c r="BQ27" s="2467"/>
      <c r="BR27" s="2467"/>
      <c r="BS27" s="2467"/>
      <c r="BT27" s="2467"/>
      <c r="BU27" s="2467"/>
      <c r="BV27" s="2467"/>
      <c r="BW27" s="2467"/>
      <c r="BX27" s="2467"/>
      <c r="BY27" s="2467"/>
      <c r="BZ27" s="2467"/>
      <c r="CA27" s="2467"/>
      <c r="CB27" s="2839"/>
      <c r="CC27" s="2839"/>
      <c r="CD27" s="2839"/>
      <c r="CE27" s="2467">
        <v>18500</v>
      </c>
      <c r="CF27" s="2839"/>
      <c r="CG27" s="2839"/>
      <c r="CH27" s="2839"/>
      <c r="CI27" s="2839"/>
      <c r="CJ27" s="2839"/>
      <c r="CK27" s="2839"/>
      <c r="CL27" s="2839"/>
      <c r="CM27" s="2839"/>
      <c r="CN27" s="2467">
        <v>8000</v>
      </c>
      <c r="CO27" s="2839"/>
      <c r="CP27" s="2839"/>
      <c r="CQ27" s="2839"/>
      <c r="CR27" s="2839"/>
      <c r="CS27" s="2839"/>
      <c r="CT27" s="2839"/>
      <c r="CU27" s="2839"/>
      <c r="CV27" s="2839"/>
      <c r="CW27" s="2839"/>
      <c r="CX27" s="2839"/>
      <c r="CY27" s="2839"/>
      <c r="CZ27" s="2839"/>
      <c r="DA27" s="2839"/>
      <c r="DB27" s="3710">
        <v>320347</v>
      </c>
      <c r="DC27" s="2839"/>
      <c r="DD27" s="2839"/>
      <c r="DE27" s="2839"/>
      <c r="DF27" s="2839"/>
      <c r="DG27" s="2839"/>
      <c r="DH27" s="2839"/>
      <c r="DI27" s="2467">
        <v>5049</v>
      </c>
      <c r="DJ27" s="2839"/>
      <c r="DK27" s="2839"/>
      <c r="DL27" s="2467">
        <v>18500</v>
      </c>
      <c r="DM27" s="2839"/>
      <c r="DN27" s="2839"/>
      <c r="DO27" s="2839"/>
      <c r="DP27" s="2839"/>
      <c r="DQ27" s="2839"/>
      <c r="DR27" s="2839"/>
      <c r="DS27" s="2839"/>
      <c r="DT27" s="2839"/>
      <c r="DU27" s="2839"/>
      <c r="DV27" s="2839"/>
      <c r="DW27" s="2839"/>
      <c r="DX27" s="2839"/>
      <c r="DY27" s="2839"/>
      <c r="DZ27" s="2839"/>
      <c r="EA27" s="2839"/>
      <c r="EB27" s="2839"/>
      <c r="EC27" s="2839"/>
      <c r="ED27" s="2839"/>
      <c r="EE27" s="2468">
        <v>55750</v>
      </c>
      <c r="EF27" s="2839"/>
      <c r="EG27" s="2839"/>
      <c r="EH27" s="2839"/>
      <c r="EI27" s="2839"/>
      <c r="EJ27" s="2839"/>
      <c r="EK27" s="2839"/>
      <c r="EL27" s="2839"/>
      <c r="EM27" s="2839"/>
      <c r="EN27" s="2839"/>
      <c r="EO27" s="2839"/>
      <c r="EP27" s="2839"/>
      <c r="EQ27" s="2839"/>
      <c r="ER27" s="2839"/>
      <c r="ES27" s="2839"/>
      <c r="ET27" s="2839"/>
      <c r="EU27" s="2839"/>
      <c r="EV27" s="2839"/>
      <c r="EW27" s="2839"/>
      <c r="EX27" s="2839"/>
      <c r="EY27" s="2839"/>
      <c r="EZ27" s="2839"/>
      <c r="FA27" s="2839"/>
      <c r="FB27" s="2839"/>
      <c r="FC27" s="2839"/>
      <c r="FD27" s="2839"/>
      <c r="FE27" s="2839"/>
      <c r="FF27" s="2839"/>
      <c r="FG27" s="2839"/>
      <c r="FH27" s="2839"/>
      <c r="FI27" s="2839"/>
      <c r="FJ27" s="2839"/>
      <c r="FK27" s="2839"/>
      <c r="FL27" s="2839"/>
      <c r="FM27" s="2839"/>
      <c r="FN27" s="2839"/>
      <c r="FO27" s="2839"/>
      <c r="FP27" s="2839"/>
      <c r="FQ27" s="2839"/>
      <c r="FR27" s="2839"/>
      <c r="FS27" s="2839"/>
      <c r="FT27" s="2839"/>
      <c r="FU27" s="2839"/>
      <c r="FV27" s="2839"/>
      <c r="FW27" s="2839"/>
      <c r="FX27" s="2839"/>
      <c r="FY27" s="2839"/>
      <c r="FZ27" s="2839"/>
      <c r="GA27" s="2839"/>
      <c r="GB27" s="2839"/>
      <c r="GC27" s="2467">
        <v>27515</v>
      </c>
      <c r="GD27" s="2467">
        <v>8000</v>
      </c>
      <c r="GE27" s="2839"/>
      <c r="GF27" s="2839"/>
      <c r="GG27" s="2839"/>
      <c r="GH27" s="2839"/>
      <c r="GI27" s="2839"/>
      <c r="GJ27" s="2839"/>
      <c r="GK27" s="2839"/>
      <c r="GL27" s="2839"/>
      <c r="GM27" s="2839"/>
      <c r="GN27" s="2839"/>
      <c r="GO27" s="2839"/>
      <c r="GP27" s="2839"/>
      <c r="GQ27" s="2839"/>
      <c r="GR27" s="2839"/>
      <c r="GS27" s="2839"/>
      <c r="GT27" s="2839"/>
      <c r="GU27" s="2839"/>
      <c r="GV27" s="2839"/>
      <c r="GW27" s="2467">
        <v>8000</v>
      </c>
      <c r="GX27" s="2467">
        <v>89000</v>
      </c>
      <c r="GY27" s="2839"/>
      <c r="GZ27" s="2839"/>
      <c r="HA27" s="2839"/>
      <c r="HB27" s="2839">
        <v>47000</v>
      </c>
      <c r="HC27" s="2839"/>
      <c r="HD27" s="2839"/>
      <c r="HE27" s="2839"/>
      <c r="HF27" s="2839"/>
      <c r="HG27" s="2839"/>
      <c r="HH27" s="2839"/>
      <c r="HI27" s="2839"/>
      <c r="HJ27" s="2839"/>
      <c r="HK27" s="2839"/>
      <c r="HL27" s="2839"/>
      <c r="HM27" s="2839"/>
      <c r="HN27" s="2839"/>
      <c r="HO27" s="2839"/>
      <c r="HP27" s="2839"/>
      <c r="HQ27" s="2839"/>
      <c r="HR27" s="2839"/>
      <c r="HS27" s="2839"/>
      <c r="HT27" s="2839"/>
      <c r="HU27" s="2839"/>
      <c r="HV27" s="2839"/>
      <c r="HW27" s="2839"/>
      <c r="HX27" s="2839"/>
      <c r="HY27" s="2839"/>
      <c r="HZ27" s="2839"/>
      <c r="IA27" s="2839"/>
      <c r="IB27" s="2839"/>
      <c r="IC27" s="2839"/>
      <c r="ID27" s="2839"/>
      <c r="IE27" s="2839"/>
      <c r="IF27" s="2839"/>
      <c r="IG27" s="2839"/>
      <c r="IH27" s="2839"/>
      <c r="II27" s="2839"/>
      <c r="IJ27" s="2839"/>
      <c r="IK27" s="2839"/>
      <c r="IL27" s="2839"/>
      <c r="IM27" s="2839"/>
      <c r="IN27" s="2839"/>
      <c r="IO27" s="2839"/>
      <c r="IP27" s="2839"/>
      <c r="IQ27" s="2839"/>
      <c r="IR27" s="2839"/>
      <c r="IS27" s="2839"/>
      <c r="IT27" s="2839"/>
      <c r="IU27" s="2839"/>
      <c r="IV27" s="2839"/>
      <c r="IW27" s="2839"/>
      <c r="IX27" s="2839"/>
      <c r="IY27" s="2839"/>
      <c r="IZ27" s="2839"/>
      <c r="JA27" s="2839"/>
      <c r="JB27" s="2839"/>
      <c r="JC27" s="2839"/>
      <c r="JD27" s="2839"/>
      <c r="JE27" s="2839"/>
      <c r="JF27" s="2839"/>
      <c r="JG27" s="3792"/>
      <c r="JH27" s="1523"/>
      <c r="JI27" s="2465"/>
      <c r="JJ27" s="2469" t="s">
        <v>6124</v>
      </c>
    </row>
    <row customFormat="1" ht="12.75" r="28" s="34" spans="1:270" x14ac:dyDescent="0.2">
      <c r="A28" s="2459">
        <v>3</v>
      </c>
      <c r="B28" s="2466" t="str">
        <f si="2" t="shared"/>
        <v/>
      </c>
      <c r="C28" s="1278" t="s">
        <v>10</v>
      </c>
      <c r="D28" s="2928" t="s">
        <v>7313</v>
      </c>
      <c r="E28" s="2470"/>
      <c r="F28" s="2470"/>
      <c r="G28" s="2470"/>
      <c r="H28" s="2470"/>
      <c r="I28" s="2470"/>
      <c r="J28" s="2470"/>
      <c r="K28" s="2470"/>
      <c r="L28" s="2470"/>
      <c r="M28" s="2470"/>
      <c r="N28" s="2470"/>
      <c r="O28" s="2470"/>
      <c r="P28" s="2470"/>
      <c r="Q28" s="2470"/>
      <c r="R28" s="2470"/>
      <c r="S28" s="2470"/>
      <c r="T28" s="2470"/>
      <c r="U28" s="2470"/>
      <c r="V28" s="2470"/>
      <c r="W28" s="2471"/>
      <c r="X28" s="2470"/>
      <c r="Y28" s="2470"/>
      <c r="Z28" s="2470"/>
      <c r="AA28" s="2470"/>
      <c r="AB28" s="2470"/>
      <c r="AC28" s="2471"/>
      <c r="AD28" s="2471"/>
      <c r="AE28" s="2471"/>
      <c r="AF28" s="2471"/>
      <c r="AG28" s="2471"/>
      <c r="AH28" s="2471"/>
      <c r="AI28" s="2470"/>
      <c r="AJ28" s="2471">
        <f>MAX((AJ27+AJ37+AJ38+AJ39+AJ40+AJ41+AJ42+AJ43+AJ44-P_A)*BR_rate,0)+MAX((AJ27+AJ37+AJ38+AJ39+AJ40+AJ41+AJ42+AJ43+AJ44-P_A-HR_band)*BR_rate,0)</f>
        <v>0</v>
      </c>
      <c r="AK28" s="2471"/>
      <c r="AL28" s="2470"/>
      <c r="AM28" s="2470"/>
      <c r="AN28" s="2470"/>
      <c r="AO28" s="2470"/>
      <c r="AP28" s="2471"/>
      <c r="AQ28" s="2471"/>
      <c r="AR28" s="2470"/>
      <c r="AS28" s="2471">
        <f>MAX((AS27+AS37+AS38+AS39+AS40+AS41+AS42+AS43+AS44-P_A)*BR_rate,0)+MAX((AS27+AS37+AS38+AS39+AS40+AS41+AS42+AS43+AS44-P_A-HR_band)*BR_rate,0)</f>
        <v>11840</v>
      </c>
      <c r="AT28" s="2472"/>
      <c r="AU28" s="2472"/>
      <c r="AV28" s="2473"/>
      <c r="AW28" s="2472"/>
      <c r="AX28" s="2472"/>
      <c r="AY28" s="2472"/>
      <c r="AZ28" s="2472"/>
      <c r="BA28" s="2471">
        <f>MAX((BA27+BA37+BA38+BA39+BA40+BA41+BA42+BA43+BA44-P_A)*BR_rate,0)+MAX((BA27+BA37+BA38+BA39+BA40+BA41+BA42+BA43+BA44-P_A-HR_band)*BR_rate,0)</f>
        <v>20300</v>
      </c>
      <c r="BB28" s="2471">
        <f>MAX((BB27+BB37+BB38+BB39+BB40+BB41+BB42+BB43+BB44-P_A)*BR_rate,0)+MAX((BB27+BB37+BB38+BB39+BB40+BB41+BB42+BB43+BB44-P_A-HR_band)*BR_rate,0)</f>
        <v>0</v>
      </c>
      <c r="BC28" s="2470"/>
      <c r="BD28" s="2471">
        <f>MAX((BD27+BD37+BD38+BD39+BD40+BD41+BD42+BD43+BD44-P_A)*BR_rate,0)+MAX((BD27+BD37+BD38+BD39+BD40+BD41+BD42+BD43+BD44-P_A-HR_band)*BR_rate,0)</f>
        <v>17100</v>
      </c>
      <c r="BE28" s="2470"/>
      <c r="BF28" s="3711">
        <f>MAX((BF27+BF37+BF38+BF39+BF40+BF41+BF42+BF43+BF44-P_A)*BR_rate,0)+MAX((BF27+BF37+BF38+BF39+BF40+BF41+BF42+BF43+BF44-P_A-HR_band)*BR_rate,0)</f>
        <v>1320.8000000000002</v>
      </c>
      <c r="BG28" s="2470"/>
      <c r="BH28" s="2470"/>
      <c r="BI28" s="2470"/>
      <c r="BJ28" s="2470"/>
      <c r="BK28" s="2470"/>
      <c r="BL28" s="2470"/>
      <c r="BM28" s="2470"/>
      <c r="BN28" s="2470"/>
      <c r="BO28" s="2470"/>
      <c r="BP28" s="2470"/>
      <c r="BQ28" s="2470"/>
      <c r="BR28" s="2470"/>
      <c r="BS28" s="2470"/>
      <c r="BT28" s="2470"/>
      <c r="BU28" s="2470"/>
      <c r="BV28" s="2470"/>
      <c r="BW28" s="2470"/>
      <c r="BX28" s="2470"/>
      <c r="BY28" s="2470"/>
      <c r="BZ28" s="2470"/>
      <c r="CA28" s="2470"/>
      <c r="CB28" s="2840"/>
      <c r="CC28" s="2840"/>
      <c r="CD28" s="2840"/>
      <c r="CE28" s="2471">
        <f>MAX((CE27+CE37+CE38+CE39+CE40+CE41+CE42+CE43+CE44-P_A)*BR_rate,0)+MAX((CE27+CE37+CE38+CE39+CE40+CE41+CE42+CE43+CE44-P_A-HR_band)*BR_rate,0)</f>
        <v>1320</v>
      </c>
      <c r="CF28" s="2840"/>
      <c r="CG28" s="2840"/>
      <c r="CH28" s="2840"/>
      <c r="CI28" s="2840"/>
      <c r="CJ28" s="2840"/>
      <c r="CK28" s="2840"/>
      <c r="CL28" s="2840"/>
      <c r="CM28" s="2840"/>
      <c r="CN28" s="2471">
        <f>MAX((CN27+CN37+CN38+CN39+CN40+CN41+CN42+CN43+CN44-P_A)*BR_rate,0)+MAX((CN27+CN37+CN38+CN39+CN40+CN41+CN42+CN43+CN44-P_A-HR_band)*BR_rate,0)</f>
        <v>0</v>
      </c>
      <c r="CO28" s="2840"/>
      <c r="CP28" s="2840"/>
      <c r="CQ28" s="2840"/>
      <c r="CR28" s="2840"/>
      <c r="CS28" s="2840"/>
      <c r="CT28" s="2840"/>
      <c r="CU28" s="2840"/>
      <c r="CV28" s="2840"/>
      <c r="CW28" s="2840"/>
      <c r="CX28" s="2840"/>
      <c r="CY28" s="2840"/>
      <c r="CZ28" s="2840"/>
      <c r="DA28" s="2840"/>
      <c r="DB28" s="3711">
        <v>129156.15</v>
      </c>
      <c r="DC28" s="2840"/>
      <c r="DD28" s="2840"/>
      <c r="DE28" s="2840"/>
      <c r="DF28" s="2840"/>
      <c r="DG28" s="2840"/>
      <c r="DH28" s="2840"/>
      <c r="DI28" s="2471">
        <f>MAX((DI27+DI37+DI38+DI39+DI40+DI41+DI42+DI43+DI44-P_A)*BR_rate,0)+MAX((DI27+DI37+DI38+DI39+DI40+DI41+DI42+DI43+DI44-P_A-HR_band)*BR_rate,0)</f>
        <v>0</v>
      </c>
      <c r="DJ28" s="2840"/>
      <c r="DK28" s="2840"/>
      <c r="DL28" s="2471">
        <f>MAX((DL27+DL37+DL38+DL39+DL40+DL41+DL42+DL43+DL44-P_A)*BR_rate,0)+MAX((DL27+DL37+DL38+DL39+DL40+DL41+DL42+DL43+DL44-P_A-HR_band)*BR_rate,0)</f>
        <v>1320</v>
      </c>
      <c r="DM28" s="2840"/>
      <c r="DN28" s="2840"/>
      <c r="DO28" s="2840"/>
      <c r="DP28" s="2840"/>
      <c r="DQ28" s="2840"/>
      <c r="DR28" s="2840"/>
      <c r="DS28" s="2840"/>
      <c r="DT28" s="2840"/>
      <c r="DU28" s="2840"/>
      <c r="DV28" s="2840"/>
      <c r="DW28" s="2840"/>
      <c r="DX28" s="2840"/>
      <c r="DY28" s="2840"/>
      <c r="DZ28" s="2840"/>
      <c r="EA28" s="2840"/>
      <c r="EB28" s="2840"/>
      <c r="EC28" s="2840"/>
      <c r="ED28" s="2840"/>
      <c r="EE28" s="2471">
        <f>MAX((EE27+EE37+EE38+EE39+EE40+EE41+EE42+EE43+EE44-P_A)*BR_rate,0)+MAX((EE27+EE37+EE38+EE39+EE40+EE41+EE42+EE43+EE44-P_A-HR_band)*BR_rate,0)</f>
        <v>11840</v>
      </c>
      <c r="EF28" s="2840"/>
      <c r="EG28" s="2840"/>
      <c r="EH28" s="2840"/>
      <c r="EI28" s="2840"/>
      <c r="EJ28" s="2840"/>
      <c r="EK28" s="2840"/>
      <c r="EL28" s="2840"/>
      <c r="EM28" s="2840"/>
      <c r="EN28" s="2840"/>
      <c r="EO28" s="2840"/>
      <c r="EP28" s="2840"/>
      <c r="EQ28" s="2840"/>
      <c r="ER28" s="2840"/>
      <c r="ES28" s="2840"/>
      <c r="ET28" s="2840"/>
      <c r="EU28" s="2840"/>
      <c r="EV28" s="2840"/>
      <c r="EW28" s="2840"/>
      <c r="EX28" s="2840"/>
      <c r="EY28" s="2840"/>
      <c r="EZ28" s="2840"/>
      <c r="FA28" s="2840"/>
      <c r="FB28" s="2840"/>
      <c r="FC28" s="2840"/>
      <c r="FD28" s="2840"/>
      <c r="FE28" s="2840"/>
      <c r="FF28" s="2840"/>
      <c r="FG28" s="2840"/>
      <c r="FH28" s="2840"/>
      <c r="FI28" s="2840"/>
      <c r="FJ28" s="2840"/>
      <c r="FK28" s="2840"/>
      <c r="FL28" s="2840"/>
      <c r="FM28" s="2840"/>
      <c r="FN28" s="2840"/>
      <c r="FO28" s="2840"/>
      <c r="FP28" s="2840"/>
      <c r="FQ28" s="2840"/>
      <c r="FR28" s="2840"/>
      <c r="FS28" s="2840"/>
      <c r="FT28" s="2840"/>
      <c r="FU28" s="2840"/>
      <c r="FV28" s="2840"/>
      <c r="FW28" s="2840"/>
      <c r="FX28" s="2840"/>
      <c r="FY28" s="2840"/>
      <c r="FZ28" s="2840"/>
      <c r="GA28" s="2840"/>
      <c r="GB28" s="2840"/>
      <c r="GC28" s="2471">
        <f>MAX((GC27+GC37+GC38+GC39+GC40+GC41+GC42+GC43+GC44-P_A)*BR_rate,0)+MAX((GC27+GC37+GC38+GC39+GC40+GC41+GC42+GC43+GC44-P_A-HR_band)*BR_rate,0)</f>
        <v>3598</v>
      </c>
      <c r="GD28" s="2471">
        <f>MAX((GD27+GD37+GD38+GD39+GD40+GD41+GD42+GD43+GD44-P_A)*BR_rate,0)+MAX((GD27+GD37+GD38+GD39+GD40+GD41+GD42+GD43+GD44-P_A-HR_band)*BR_rate,0)</f>
        <v>0</v>
      </c>
      <c r="GE28" s="2840"/>
      <c r="GF28" s="2840"/>
      <c r="GG28" s="2840"/>
      <c r="GH28" s="2840"/>
      <c r="GI28" s="2840"/>
      <c r="GJ28" s="2840"/>
      <c r="GK28" s="2840"/>
      <c r="GL28" s="2840"/>
      <c r="GM28" s="2840"/>
      <c r="GN28" s="2840"/>
      <c r="GO28" s="2840"/>
      <c r="GP28" s="2840"/>
      <c r="GQ28" s="2840"/>
      <c r="GR28" s="2840"/>
      <c r="GS28" s="2840"/>
      <c r="GT28" s="2840"/>
      <c r="GU28" s="2840"/>
      <c r="GV28" s="2840"/>
      <c r="GW28" s="2471">
        <f>MAX((GW27+GW37+GW38+GW39+GW40+GW41+GW42+GW43+GW44-P_A)*BR_rate,0)+MAX((GW27+GW37+GW38+GW39+GW40+GW41+GW42+GW43+GW44-P_A-HR_band)*BR_rate,0)</f>
        <v>0</v>
      </c>
      <c r="GX28" s="2471">
        <f>MAX((GX27+GX37+GX38+GX39+GX40+GX41+GX42+GX43+GX44-P_A)*BR_rate,0)+MAX((GX27+GX37+GX38+GX39+GX40+GX41+GX42+GX43+GX44-P_A-HR_band)*BR_rate,0)</f>
        <v>17100</v>
      </c>
      <c r="GY28" s="2840"/>
      <c r="GZ28" s="2840"/>
      <c r="HA28" s="2840"/>
      <c r="HB28" s="2471"/>
      <c r="HC28" s="2840"/>
      <c r="HD28" s="2840"/>
      <c r="HE28" s="2840"/>
      <c r="HF28" s="2840"/>
      <c r="HG28" s="2840"/>
      <c r="HH28" s="2840"/>
      <c r="HI28" s="2840"/>
      <c r="HJ28" s="2840"/>
      <c r="HK28" s="2840"/>
      <c r="HL28" s="2840"/>
      <c r="HM28" s="2840"/>
      <c r="HN28" s="2840"/>
      <c r="HO28" s="2840"/>
      <c r="HP28" s="2840"/>
      <c r="HQ28" s="2840"/>
      <c r="HR28" s="2840"/>
      <c r="HS28" s="2840"/>
      <c r="HT28" s="2840"/>
      <c r="HU28" s="2840"/>
      <c r="HV28" s="2840"/>
      <c r="HW28" s="2840"/>
      <c r="HX28" s="2840"/>
      <c r="HY28" s="2840"/>
      <c r="HZ28" s="2840"/>
      <c r="IA28" s="2840"/>
      <c r="IB28" s="2840"/>
      <c r="IC28" s="2840"/>
      <c r="ID28" s="2840"/>
      <c r="IE28" s="2840"/>
      <c r="IF28" s="2840"/>
      <c r="IG28" s="2840"/>
      <c r="IH28" s="2840"/>
      <c r="II28" s="2840"/>
      <c r="IJ28" s="2840"/>
      <c r="IK28" s="2840"/>
      <c r="IL28" s="2840"/>
      <c r="IM28" s="2840"/>
      <c r="IN28" s="2840"/>
      <c r="IO28" s="2840"/>
      <c r="IP28" s="2840"/>
      <c r="IQ28" s="2840"/>
      <c r="IR28" s="2840"/>
      <c r="IS28" s="2840"/>
      <c r="IT28" s="2840"/>
      <c r="IU28" s="2840"/>
      <c r="IV28" s="2840"/>
      <c r="IW28" s="2840"/>
      <c r="IX28" s="2840"/>
      <c r="IY28" s="2840"/>
      <c r="IZ28" s="2840"/>
      <c r="JA28" s="2840"/>
      <c r="JB28" s="2840"/>
      <c r="JC28" s="2840"/>
      <c r="JD28" s="2840"/>
      <c r="JE28" s="2840"/>
      <c r="JF28" s="2840"/>
      <c r="JG28" s="3792"/>
      <c r="JH28" s="1523"/>
      <c r="JI28" s="2465"/>
      <c r="JJ28" s="2469" t="s">
        <v>6110</v>
      </c>
    </row>
    <row customFormat="1" ht="12.75" r="29" s="34" spans="1:270" x14ac:dyDescent="0.2">
      <c r="A29" s="2459">
        <v>4</v>
      </c>
      <c r="B29" s="2466" t="str">
        <f si="2" t="shared"/>
        <v/>
      </c>
      <c r="C29" s="1278" t="s">
        <v>11</v>
      </c>
      <c r="D29" s="2928" t="s">
        <v>7314</v>
      </c>
      <c r="E29" s="2472"/>
      <c r="F29" s="2472"/>
      <c r="G29" s="2472"/>
      <c r="H29" s="2473"/>
      <c r="I29" s="2473"/>
      <c r="J29" s="2473"/>
      <c r="K29" s="2472"/>
      <c r="L29" s="2473"/>
      <c r="M29" s="2473"/>
      <c r="N29" s="2473"/>
      <c r="O29" s="2472"/>
      <c r="P29" s="2473"/>
      <c r="Q29" s="2472"/>
      <c r="R29" s="2472"/>
      <c r="S29" s="2473"/>
      <c r="T29" s="2473"/>
      <c r="U29" s="2472"/>
      <c r="V29" s="2472"/>
      <c r="W29" s="2472"/>
      <c r="X29" s="2472"/>
      <c r="Y29" s="2472"/>
      <c r="Z29" s="2473"/>
      <c r="AA29" s="2472"/>
      <c r="AB29" s="2473"/>
      <c r="AC29" s="2472"/>
      <c r="AD29" s="2472"/>
      <c r="AE29" s="2472"/>
      <c r="AF29" s="2472"/>
      <c r="AG29" s="2472"/>
      <c r="AH29" s="2472"/>
      <c r="AI29" s="2473"/>
      <c r="AJ29" s="2930"/>
      <c r="AK29" s="2472"/>
      <c r="AL29" s="2473"/>
      <c r="AM29" s="2473"/>
      <c r="AN29" s="2473"/>
      <c r="AO29" s="2473"/>
      <c r="AP29" s="2472"/>
      <c r="AQ29" s="2472"/>
      <c r="AR29" s="2473"/>
      <c r="AS29" s="2473"/>
      <c r="AT29" s="2472"/>
      <c r="AU29" s="2472"/>
      <c r="AV29" s="2473"/>
      <c r="AW29" s="2472"/>
      <c r="AX29" s="2472"/>
      <c r="AY29" s="2472"/>
      <c r="AZ29" s="2472"/>
      <c r="BA29" s="2472"/>
      <c r="BB29" s="2472"/>
      <c r="BC29" s="2472"/>
      <c r="BD29" s="2472"/>
      <c r="BE29" s="2472"/>
      <c r="BF29" s="2472"/>
      <c r="BG29" s="2472"/>
      <c r="BH29" s="2472"/>
      <c r="BI29" s="2472"/>
      <c r="BJ29" s="2472"/>
      <c r="BK29" s="2472"/>
      <c r="BL29" s="2472"/>
      <c r="BM29" s="2472"/>
      <c r="BN29" s="2472"/>
      <c r="BO29" s="2472"/>
      <c r="BP29" s="2472"/>
      <c r="BQ29" s="2472"/>
      <c r="BR29" s="2472"/>
      <c r="BS29" s="2472"/>
      <c r="BT29" s="2472"/>
      <c r="BU29" s="2472"/>
      <c r="BV29" s="2472"/>
      <c r="BW29" s="2472"/>
      <c r="BX29" s="2472"/>
      <c r="BY29" s="2472"/>
      <c r="BZ29" s="2472"/>
      <c r="CA29" s="2472"/>
      <c r="CB29" s="2841"/>
      <c r="CC29" s="2841"/>
      <c r="CD29" s="2841"/>
      <c r="CE29" s="2472"/>
      <c r="CF29" s="2841"/>
      <c r="CG29" s="2841"/>
      <c r="CH29" s="2841"/>
      <c r="CI29" s="2841"/>
      <c r="CJ29" s="2841"/>
      <c r="CK29" s="2841"/>
      <c r="CL29" s="2841"/>
      <c r="CM29" s="2841"/>
      <c r="CN29" s="2472">
        <v>50</v>
      </c>
      <c r="CO29" s="2841"/>
      <c r="CP29" s="2841"/>
      <c r="CQ29" s="2841"/>
      <c r="CR29" s="2841"/>
      <c r="CS29" s="2841"/>
      <c r="CT29" s="2841"/>
      <c r="CU29" s="2841"/>
      <c r="CV29" s="2841"/>
      <c r="CW29" s="2841"/>
      <c r="CX29" s="2841"/>
      <c r="CY29" s="2841"/>
      <c r="CZ29" s="2841"/>
      <c r="DA29" s="2841"/>
      <c r="DB29" s="2472"/>
      <c r="DC29" s="2841"/>
      <c r="DD29" s="2841"/>
      <c r="DE29" s="2841"/>
      <c r="DF29" s="2841"/>
      <c r="DG29" s="2841"/>
      <c r="DH29" s="2841"/>
      <c r="DI29" s="2472"/>
      <c r="DJ29" s="2841"/>
      <c r="DK29" s="2841"/>
      <c r="DL29" s="2472"/>
      <c r="DM29" s="2841"/>
      <c r="DN29" s="2841"/>
      <c r="DO29" s="2841"/>
      <c r="DP29" s="2841"/>
      <c r="DQ29" s="2841"/>
      <c r="DR29" s="2841"/>
      <c r="DS29" s="2841"/>
      <c r="DT29" s="2841"/>
      <c r="DU29" s="2841"/>
      <c r="DV29" s="2841"/>
      <c r="DW29" s="2841"/>
      <c r="DX29" s="2841"/>
      <c r="DY29" s="2841"/>
      <c r="DZ29" s="2841"/>
      <c r="EA29" s="2841"/>
      <c r="EB29" s="2841"/>
      <c r="EC29" s="2841"/>
      <c r="ED29" s="2841"/>
      <c r="EE29" s="2473"/>
      <c r="EF29" s="2841"/>
      <c r="EG29" s="2841"/>
      <c r="EH29" s="2841"/>
      <c r="EI29" s="2841"/>
      <c r="EJ29" s="2841"/>
      <c r="EK29" s="2841"/>
      <c r="EL29" s="2841"/>
      <c r="EM29" s="2841"/>
      <c r="EN29" s="2841"/>
      <c r="EO29" s="2841"/>
      <c r="EP29" s="2841"/>
      <c r="EQ29" s="2841"/>
      <c r="ER29" s="2841"/>
      <c r="ES29" s="2841"/>
      <c r="ET29" s="2841"/>
      <c r="EU29" s="2841"/>
      <c r="EV29" s="2841"/>
      <c r="EW29" s="2841"/>
      <c r="EX29" s="2841"/>
      <c r="EY29" s="2841"/>
      <c r="EZ29" s="2841"/>
      <c r="FA29" s="2841"/>
      <c r="FB29" s="2841"/>
      <c r="FC29" s="2841"/>
      <c r="FD29" s="2841"/>
      <c r="FE29" s="2841"/>
      <c r="FF29" s="2841"/>
      <c r="FG29" s="2841"/>
      <c r="FH29" s="2841"/>
      <c r="FI29" s="2841"/>
      <c r="FJ29" s="2841"/>
      <c r="FK29" s="2841"/>
      <c r="FL29" s="2841"/>
      <c r="FM29" s="2841"/>
      <c r="FN29" s="2841"/>
      <c r="FO29" s="2841"/>
      <c r="FP29" s="2841"/>
      <c r="FQ29" s="2841"/>
      <c r="FR29" s="2841"/>
      <c r="FS29" s="2841"/>
      <c r="FT29" s="2841"/>
      <c r="FU29" s="2841"/>
      <c r="FV29" s="2841"/>
      <c r="FW29" s="2841"/>
      <c r="FX29" s="2841"/>
      <c r="FY29" s="2841"/>
      <c r="FZ29" s="2841"/>
      <c r="GA29" s="2841"/>
      <c r="GB29" s="2841"/>
      <c r="GC29" s="2472"/>
      <c r="GD29" s="2472">
        <v>50</v>
      </c>
      <c r="GE29" s="2841"/>
      <c r="GF29" s="2841"/>
      <c r="GG29" s="2841"/>
      <c r="GH29" s="2841"/>
      <c r="GI29" s="2841"/>
      <c r="GJ29" s="2841"/>
      <c r="GK29" s="2841"/>
      <c r="GL29" s="2841"/>
      <c r="GM29" s="2841"/>
      <c r="GN29" s="2841"/>
      <c r="GO29" s="2841"/>
      <c r="GP29" s="2841"/>
      <c r="GQ29" s="2841"/>
      <c r="GR29" s="2841"/>
      <c r="GS29" s="2841"/>
      <c r="GT29" s="2841"/>
      <c r="GU29" s="2841"/>
      <c r="GV29" s="2841"/>
      <c r="GW29" s="2472">
        <v>50</v>
      </c>
      <c r="GX29" s="2472"/>
      <c r="GY29" s="2841"/>
      <c r="GZ29" s="2841"/>
      <c r="HA29" s="2841"/>
      <c r="HB29" s="2841"/>
      <c r="HC29" s="2841"/>
      <c r="HD29" s="2841"/>
      <c r="HE29" s="2841"/>
      <c r="HF29" s="2841"/>
      <c r="HG29" s="2841"/>
      <c r="HH29" s="2841"/>
      <c r="HI29" s="2841"/>
      <c r="HJ29" s="2841"/>
      <c r="HK29" s="2841"/>
      <c r="HL29" s="2841"/>
      <c r="HM29" s="2841"/>
      <c r="HN29" s="2841"/>
      <c r="HO29" s="2841"/>
      <c r="HP29" s="2841"/>
      <c r="HQ29" s="2841"/>
      <c r="HR29" s="2841"/>
      <c r="HS29" s="2841"/>
      <c r="HT29" s="2841"/>
      <c r="HU29" s="2841"/>
      <c r="HV29" s="2841"/>
      <c r="HW29" s="2841"/>
      <c r="HX29" s="2841"/>
      <c r="HY29" s="2841"/>
      <c r="HZ29" s="2841"/>
      <c r="IA29" s="2841"/>
      <c r="IB29" s="2841"/>
      <c r="IC29" s="2841"/>
      <c r="ID29" s="2841"/>
      <c r="IE29" s="2841"/>
      <c r="IF29" s="2841"/>
      <c r="IG29" s="2841"/>
      <c r="IH29" s="2841"/>
      <c r="II29" s="2841"/>
      <c r="IJ29" s="2841"/>
      <c r="IK29" s="2841"/>
      <c r="IL29" s="2841"/>
      <c r="IM29" s="2841"/>
      <c r="IN29" s="2841"/>
      <c r="IO29" s="2841"/>
      <c r="IP29" s="2841"/>
      <c r="IQ29" s="2841"/>
      <c r="IR29" s="2841"/>
      <c r="IS29" s="2841"/>
      <c r="IT29" s="2841"/>
      <c r="IU29" s="2841"/>
      <c r="IV29" s="2841"/>
      <c r="IW29" s="2841"/>
      <c r="IX29" s="2841"/>
      <c r="IY29" s="2841"/>
      <c r="IZ29" s="2841"/>
      <c r="JA29" s="2841"/>
      <c r="JB29" s="2841"/>
      <c r="JC29" s="2841"/>
      <c r="JD29" s="2841"/>
      <c r="JE29" s="2841"/>
      <c r="JF29" s="2841"/>
      <c r="JG29" s="3793"/>
      <c r="JH29" s="1523"/>
      <c r="JI29" s="2465"/>
      <c r="JJ29" s="2469" t="s">
        <v>6108</v>
      </c>
    </row>
    <row customFormat="1" ht="12.75" r="30" s="34" spans="1:270" x14ac:dyDescent="0.2">
      <c r="A30" s="2459">
        <v>5</v>
      </c>
      <c r="B30" s="2466" t="str">
        <f si="2" t="shared"/>
        <v/>
      </c>
      <c r="C30" s="1278" t="s">
        <v>12</v>
      </c>
      <c r="D30" s="2928" t="s">
        <v>7315</v>
      </c>
      <c r="E30" s="2474"/>
      <c r="F30" s="2474"/>
      <c r="G30" s="2474"/>
      <c r="H30" s="2379"/>
      <c r="I30" s="2379"/>
      <c r="J30" s="2379"/>
      <c r="K30" s="2474"/>
      <c r="L30" s="2379"/>
      <c r="M30" s="2379"/>
      <c r="N30" s="2379"/>
      <c r="O30" s="2474"/>
      <c r="P30" s="2379"/>
      <c r="Q30" s="2474"/>
      <c r="R30" s="2474"/>
      <c r="S30" s="2379"/>
      <c r="T30" s="2379"/>
      <c r="U30" s="2474"/>
      <c r="V30" s="2474"/>
      <c r="W30" s="2474"/>
      <c r="X30" s="2474"/>
      <c r="Y30" s="2474"/>
      <c r="Z30" s="2379"/>
      <c r="AA30" s="2474"/>
      <c r="AB30" s="2379"/>
      <c r="AC30" s="2474"/>
      <c r="AD30" s="2474"/>
      <c r="AE30" s="2474"/>
      <c r="AF30" s="2474"/>
      <c r="AG30" s="2474"/>
      <c r="AH30" s="2474"/>
      <c r="AI30" s="2379"/>
      <c r="AJ30" s="2395" t="s">
        <v>7333</v>
      </c>
      <c r="AK30" s="2474"/>
      <c r="AL30" s="2379"/>
      <c r="AM30" s="2379"/>
      <c r="AN30" s="2379"/>
      <c r="AO30" s="2379"/>
      <c r="AP30" s="2474"/>
      <c r="AQ30" s="2474"/>
      <c r="AR30" s="2379"/>
      <c r="AS30" s="2379" t="s">
        <v>1024</v>
      </c>
      <c r="AT30" s="2474"/>
      <c r="AU30" s="2474"/>
      <c r="AV30" s="2379"/>
      <c r="AW30" s="2474"/>
      <c r="AX30" s="2474"/>
      <c r="AY30" s="2474"/>
      <c r="AZ30" s="2474"/>
      <c r="BA30" s="2474" t="s">
        <v>1026</v>
      </c>
      <c r="BB30" s="2474" t="s">
        <v>850</v>
      </c>
      <c r="BC30" s="2474"/>
      <c r="BD30" s="2474" t="s">
        <v>3638</v>
      </c>
      <c r="BE30" s="2474"/>
      <c r="BF30" s="2474" t="s">
        <v>1025</v>
      </c>
      <c r="BG30" s="2474"/>
      <c r="BH30" s="2474"/>
      <c r="BI30" s="2474"/>
      <c r="BJ30" s="2474"/>
      <c r="BK30" s="2474"/>
      <c r="BL30" s="2474"/>
      <c r="BM30" s="2474"/>
      <c r="BN30" s="2474"/>
      <c r="BO30" s="2474"/>
      <c r="BP30" s="2474"/>
      <c r="BQ30" s="2474"/>
      <c r="BR30" s="2474"/>
      <c r="BS30" s="2474"/>
      <c r="BT30" s="2474"/>
      <c r="BU30" s="2474"/>
      <c r="BV30" s="2474"/>
      <c r="BW30" s="2474"/>
      <c r="BX30" s="2474"/>
      <c r="BY30" s="2474"/>
      <c r="BZ30" s="2474"/>
      <c r="CA30" s="2474"/>
      <c r="CB30" s="2842"/>
      <c r="CC30" s="2842"/>
      <c r="CD30" s="2842"/>
      <c r="CE30" s="2474" t="s">
        <v>1025</v>
      </c>
      <c r="CF30" s="2842"/>
      <c r="CG30" s="2842"/>
      <c r="CH30" s="2842"/>
      <c r="CI30" s="2842"/>
      <c r="CJ30" s="2842"/>
      <c r="CK30" s="2842"/>
      <c r="CL30" s="2842"/>
      <c r="CM30" s="2842"/>
      <c r="CN30" s="2474" t="s">
        <v>1023</v>
      </c>
      <c r="CO30" s="2842"/>
      <c r="CP30" s="2842"/>
      <c r="CQ30" s="2842"/>
      <c r="CR30" s="2842"/>
      <c r="CS30" s="2842"/>
      <c r="CT30" s="2842"/>
      <c r="CU30" s="2842"/>
      <c r="CV30" s="2842"/>
      <c r="CW30" s="2842"/>
      <c r="CX30" s="2842"/>
      <c r="CY30" s="2842"/>
      <c r="CZ30" s="2842"/>
      <c r="DA30" s="2842"/>
      <c r="DB30" s="2474" t="s">
        <v>1025</v>
      </c>
      <c r="DC30" s="2842"/>
      <c r="DD30" s="2842"/>
      <c r="DE30" s="2842"/>
      <c r="DF30" s="2842"/>
      <c r="DG30" s="2842"/>
      <c r="DH30" s="2842"/>
      <c r="DI30" s="2474" t="s">
        <v>850</v>
      </c>
      <c r="DJ30" s="2842"/>
      <c r="DK30" s="2842"/>
      <c r="DL30" s="2474" t="s">
        <v>1025</v>
      </c>
      <c r="DM30" s="2842"/>
      <c r="DN30" s="2842"/>
      <c r="DO30" s="2842"/>
      <c r="DP30" s="2842"/>
      <c r="DQ30" s="2842"/>
      <c r="DR30" s="2842"/>
      <c r="DS30" s="2842"/>
      <c r="DT30" s="2842"/>
      <c r="DU30" s="2842"/>
      <c r="DV30" s="2842"/>
      <c r="DW30" s="2842"/>
      <c r="DX30" s="2842"/>
      <c r="DY30" s="2842"/>
      <c r="DZ30" s="2842"/>
      <c r="EA30" s="2842"/>
      <c r="EB30" s="2842"/>
      <c r="EC30" s="2842"/>
      <c r="ED30" s="2842"/>
      <c r="EE30" s="2379" t="s">
        <v>1024</v>
      </c>
      <c r="EF30" s="2842"/>
      <c r="EG30" s="2842"/>
      <c r="EH30" s="2842"/>
      <c r="EI30" s="2842"/>
      <c r="EJ30" s="2842"/>
      <c r="EK30" s="2842"/>
      <c r="EL30" s="2842"/>
      <c r="EM30" s="2842"/>
      <c r="EN30" s="2842"/>
      <c r="EO30" s="2842"/>
      <c r="EP30" s="2842"/>
      <c r="EQ30" s="2842"/>
      <c r="ER30" s="2842"/>
      <c r="ES30" s="2842"/>
      <c r="ET30" s="2842"/>
      <c r="EU30" s="2842"/>
      <c r="EV30" s="2842"/>
      <c r="EW30" s="2842"/>
      <c r="EX30" s="2842"/>
      <c r="EY30" s="2842"/>
      <c r="EZ30" s="2842"/>
      <c r="FA30" s="2842"/>
      <c r="FB30" s="2842"/>
      <c r="FC30" s="2842"/>
      <c r="FD30" s="2842"/>
      <c r="FE30" s="2842"/>
      <c r="FF30" s="2842"/>
      <c r="FG30" s="2842"/>
      <c r="FH30" s="2842"/>
      <c r="FI30" s="2842"/>
      <c r="FJ30" s="2842"/>
      <c r="FK30" s="2842"/>
      <c r="FL30" s="2842"/>
      <c r="FM30" s="2842"/>
      <c r="FN30" s="2842"/>
      <c r="FO30" s="2842"/>
      <c r="FP30" s="2842"/>
      <c r="FQ30" s="2842"/>
      <c r="FR30" s="2842"/>
      <c r="FS30" s="2842"/>
      <c r="FT30" s="2842"/>
      <c r="FU30" s="2842"/>
      <c r="FV30" s="2842"/>
      <c r="FW30" s="2842"/>
      <c r="FX30" s="2842"/>
      <c r="FY30" s="2842"/>
      <c r="FZ30" s="2842"/>
      <c r="GA30" s="2842"/>
      <c r="GB30" s="2842"/>
      <c r="GC30" s="2474" t="s">
        <v>1570</v>
      </c>
      <c r="GD30" s="2474" t="s">
        <v>1023</v>
      </c>
      <c r="GE30" s="2842"/>
      <c r="GF30" s="2842"/>
      <c r="GG30" s="2842"/>
      <c r="GH30" s="2842"/>
      <c r="GI30" s="2842"/>
      <c r="GJ30" s="2842"/>
      <c r="GK30" s="2842"/>
      <c r="GL30" s="2842"/>
      <c r="GM30" s="2842"/>
      <c r="GN30" s="2842"/>
      <c r="GO30" s="2842"/>
      <c r="GP30" s="2842"/>
      <c r="GQ30" s="2842"/>
      <c r="GR30" s="2842"/>
      <c r="GS30" s="2842"/>
      <c r="GT30" s="2842"/>
      <c r="GU30" s="2842"/>
      <c r="GV30" s="2842"/>
      <c r="GW30" s="2474" t="s">
        <v>1023</v>
      </c>
      <c r="GX30" s="2474" t="s">
        <v>3638</v>
      </c>
      <c r="GY30" s="2842"/>
      <c r="GZ30" s="2842"/>
      <c r="HA30" s="2842"/>
      <c r="HB30" s="2842" t="s">
        <v>7236</v>
      </c>
      <c r="HC30" s="2842"/>
      <c r="HD30" s="2842"/>
      <c r="HE30" s="2842"/>
      <c r="HF30" s="2842"/>
      <c r="HG30" s="2842"/>
      <c r="HH30" s="2842"/>
      <c r="HI30" s="2842"/>
      <c r="HJ30" s="2842"/>
      <c r="HK30" s="2842"/>
      <c r="HL30" s="2842"/>
      <c r="HM30" s="2842"/>
      <c r="HN30" s="2842"/>
      <c r="HO30" s="2842"/>
      <c r="HP30" s="2842"/>
      <c r="HQ30" s="2842"/>
      <c r="HR30" s="2842"/>
      <c r="HS30" s="2842"/>
      <c r="HT30" s="2842"/>
      <c r="HU30" s="2842"/>
      <c r="HV30" s="2842"/>
      <c r="HW30" s="2842"/>
      <c r="HX30" s="2842"/>
      <c r="HY30" s="2842"/>
      <c r="HZ30" s="2842"/>
      <c r="IA30" s="2842"/>
      <c r="IB30" s="2842"/>
      <c r="IC30" s="2842"/>
      <c r="ID30" s="2842"/>
      <c r="IE30" s="2842"/>
      <c r="IF30" s="2842"/>
      <c r="IG30" s="2842"/>
      <c r="IH30" s="2842"/>
      <c r="II30" s="2842"/>
      <c r="IJ30" s="2842"/>
      <c r="IK30" s="2842"/>
      <c r="IL30" s="2842"/>
      <c r="IM30" s="2842"/>
      <c r="IN30" s="2842"/>
      <c r="IO30" s="2842"/>
      <c r="IP30" s="2842"/>
      <c r="IQ30" s="2842"/>
      <c r="IR30" s="2842"/>
      <c r="IS30" s="2842"/>
      <c r="IT30" s="2842"/>
      <c r="IU30" s="2842"/>
      <c r="IV30" s="2842"/>
      <c r="IW30" s="2842"/>
      <c r="IX30" s="2842"/>
      <c r="IY30" s="2842"/>
      <c r="IZ30" s="2842"/>
      <c r="JA30" s="2842"/>
      <c r="JB30" s="2842"/>
      <c r="JC30" s="2842"/>
      <c r="JD30" s="2842"/>
      <c r="JE30" s="2842"/>
      <c r="JF30" s="2842"/>
      <c r="JG30" s="3787"/>
      <c r="JH30" s="1523"/>
      <c r="JI30" s="2475" t="s">
        <v>5095</v>
      </c>
      <c r="JJ30" s="2469" t="s">
        <v>6112</v>
      </c>
    </row>
    <row customFormat="1" ht="24" r="31" s="34" spans="1:270" x14ac:dyDescent="0.2">
      <c r="A31" s="2459">
        <v>6</v>
      </c>
      <c r="B31" s="2466" t="str">
        <f si="2" t="shared"/>
        <v/>
      </c>
      <c r="C31" s="1278" t="s">
        <v>13</v>
      </c>
      <c r="D31" s="2928" t="s">
        <v>7316</v>
      </c>
      <c r="E31" s="2379"/>
      <c r="F31" s="2474"/>
      <c r="G31" s="2474"/>
      <c r="H31" s="2379"/>
      <c r="I31" s="2379"/>
      <c r="J31" s="2379"/>
      <c r="K31" s="2474"/>
      <c r="L31" s="2379"/>
      <c r="M31" s="2379"/>
      <c r="N31" s="2379"/>
      <c r="O31" s="2474"/>
      <c r="P31" s="2379"/>
      <c r="Q31" s="2474"/>
      <c r="R31" s="2474"/>
      <c r="S31" s="2379"/>
      <c r="T31" s="2379"/>
      <c r="U31" s="2474"/>
      <c r="V31" s="2379"/>
      <c r="W31" s="2379"/>
      <c r="X31" s="2379"/>
      <c r="Y31" s="2379"/>
      <c r="Z31" s="2379"/>
      <c r="AA31" s="2474"/>
      <c r="AB31" s="2379"/>
      <c r="AC31" s="2379"/>
      <c r="AD31" s="2379"/>
      <c r="AE31" s="2379"/>
      <c r="AF31" s="2379"/>
      <c r="AG31" s="2379"/>
      <c r="AH31" s="2379"/>
      <c r="AI31" s="2379"/>
      <c r="AJ31" s="2395"/>
      <c r="AK31" s="2474"/>
      <c r="AL31" s="2379"/>
      <c r="AM31" s="2379"/>
      <c r="AN31" s="2379"/>
      <c r="AO31" s="2379"/>
      <c r="AP31" s="2474"/>
      <c r="AQ31" s="2474"/>
      <c r="AR31" s="2379"/>
      <c r="AS31" s="2379"/>
      <c r="AT31" s="2476"/>
      <c r="AU31" s="2474"/>
      <c r="AV31" s="2379"/>
      <c r="AW31" s="2474"/>
      <c r="AX31" s="2379"/>
      <c r="AY31" s="2474"/>
      <c r="AZ31" s="2379"/>
      <c r="BA31" s="2379"/>
      <c r="BB31" s="2379"/>
      <c r="BC31" s="2379"/>
      <c r="BD31" s="2379"/>
      <c r="BE31" s="2379"/>
      <c r="BF31" s="2474"/>
      <c r="BG31" s="2379"/>
      <c r="BH31" s="2379"/>
      <c r="BI31" s="2379"/>
      <c r="BJ31" s="2379"/>
      <c r="BK31" s="2379"/>
      <c r="BL31" s="2379"/>
      <c r="BM31" s="2379"/>
      <c r="BN31" s="2379"/>
      <c r="BO31" s="2379"/>
      <c r="BP31" s="2379"/>
      <c r="BQ31" s="2379"/>
      <c r="BR31" s="2379"/>
      <c r="BS31" s="2379"/>
      <c r="BT31" s="2379"/>
      <c r="BU31" s="2379"/>
      <c r="BV31" s="2379"/>
      <c r="BW31" s="2379"/>
      <c r="BX31" s="2379"/>
      <c r="BY31" s="2379"/>
      <c r="BZ31" s="2379"/>
      <c r="CA31" s="2379"/>
      <c r="CB31" s="2815"/>
      <c r="CC31" s="2815"/>
      <c r="CD31" s="2815"/>
      <c r="CE31" s="2474"/>
      <c r="CF31" s="2815"/>
      <c r="CG31" s="2815"/>
      <c r="CH31" s="2815"/>
      <c r="CI31" s="2815"/>
      <c r="CJ31" s="2815"/>
      <c r="CK31" s="2815"/>
      <c r="CL31" s="2815"/>
      <c r="CM31" s="2815"/>
      <c r="CN31" s="2474"/>
      <c r="CO31" s="2815"/>
      <c r="CP31" s="2815"/>
      <c r="CQ31" s="2815"/>
      <c r="CR31" s="2815"/>
      <c r="CS31" s="2815"/>
      <c r="CT31" s="2815"/>
      <c r="CU31" s="2815"/>
      <c r="CV31" s="2815"/>
      <c r="CW31" s="2815"/>
      <c r="CX31" s="2815"/>
      <c r="CY31" s="2815"/>
      <c r="CZ31" s="2815"/>
      <c r="DA31" s="2815"/>
      <c r="DB31" s="2474"/>
      <c r="DC31" s="2815"/>
      <c r="DD31" s="2815"/>
      <c r="DE31" s="2815"/>
      <c r="DF31" s="2815"/>
      <c r="DG31" s="2815"/>
      <c r="DH31" s="2815"/>
      <c r="DI31" s="2379"/>
      <c r="DJ31" s="2815"/>
      <c r="DK31" s="2815"/>
      <c r="DL31" s="2474"/>
      <c r="DM31" s="2815"/>
      <c r="DN31" s="2815"/>
      <c r="DO31" s="2815"/>
      <c r="DP31" s="2815"/>
      <c r="DQ31" s="2815"/>
      <c r="DR31" s="2815"/>
      <c r="DS31" s="2815"/>
      <c r="DT31" s="2815"/>
      <c r="DU31" s="2815"/>
      <c r="DV31" s="2815"/>
      <c r="DW31" s="2815"/>
      <c r="DX31" s="2815"/>
      <c r="DY31" s="2815"/>
      <c r="DZ31" s="2815"/>
      <c r="EA31" s="2815"/>
      <c r="EB31" s="2815"/>
      <c r="EC31" s="2815"/>
      <c r="ED31" s="2815"/>
      <c r="EE31" s="2379"/>
      <c r="EF31" s="2815"/>
      <c r="EG31" s="2815"/>
      <c r="EH31" s="2815"/>
      <c r="EI31" s="2815"/>
      <c r="EJ31" s="2815"/>
      <c r="EK31" s="2815"/>
      <c r="EL31" s="2815"/>
      <c r="EM31" s="2815"/>
      <c r="EN31" s="2815"/>
      <c r="EO31" s="2815"/>
      <c r="EP31" s="2815"/>
      <c r="EQ31" s="2815"/>
      <c r="ER31" s="2815"/>
      <c r="ES31" s="2815"/>
      <c r="ET31" s="2815"/>
      <c r="EU31" s="2815"/>
      <c r="EV31" s="2815"/>
      <c r="EW31" s="2815"/>
      <c r="EX31" s="2815"/>
      <c r="EY31" s="2815"/>
      <c r="EZ31" s="2815"/>
      <c r="FA31" s="2815"/>
      <c r="FB31" s="2815"/>
      <c r="FC31" s="2815"/>
      <c r="FD31" s="2815"/>
      <c r="FE31" s="2815"/>
      <c r="FF31" s="2815"/>
      <c r="FG31" s="2815"/>
      <c r="FH31" s="2815"/>
      <c r="FI31" s="2815"/>
      <c r="FJ31" s="2815"/>
      <c r="FK31" s="2815"/>
      <c r="FL31" s="2815"/>
      <c r="FM31" s="2815"/>
      <c r="FN31" s="2815"/>
      <c r="FO31" s="2815"/>
      <c r="FP31" s="2815"/>
      <c r="FQ31" s="2815"/>
      <c r="FR31" s="2815"/>
      <c r="FS31" s="2815"/>
      <c r="FT31" s="2815"/>
      <c r="FU31" s="2815"/>
      <c r="FV31" s="2815"/>
      <c r="FW31" s="2815"/>
      <c r="FX31" s="2815"/>
      <c r="FY31" s="2815"/>
      <c r="FZ31" s="2815"/>
      <c r="GA31" s="2815"/>
      <c r="GB31" s="2815"/>
      <c r="GC31" s="2476" t="s">
        <v>8</v>
      </c>
      <c r="GD31" s="2474"/>
      <c r="GE31" s="2815"/>
      <c r="GF31" s="2815"/>
      <c r="GG31" s="2815"/>
      <c r="GH31" s="2815"/>
      <c r="GI31" s="2815"/>
      <c r="GJ31" s="2815"/>
      <c r="GK31" s="2815"/>
      <c r="GL31" s="2815"/>
      <c r="GM31" s="2815"/>
      <c r="GN31" s="2815"/>
      <c r="GO31" s="2815"/>
      <c r="GP31" s="2815"/>
      <c r="GQ31" s="2815"/>
      <c r="GR31" s="2815"/>
      <c r="GS31" s="2815"/>
      <c r="GT31" s="2815"/>
      <c r="GU31" s="2815"/>
      <c r="GV31" s="2815"/>
      <c r="GW31" s="2474"/>
      <c r="GX31" s="2379"/>
      <c r="GY31" s="2815"/>
      <c r="GZ31" s="2815"/>
      <c r="HA31" s="2815"/>
      <c r="HB31" s="2815"/>
      <c r="HC31" s="2815"/>
      <c r="HD31" s="2815"/>
      <c r="HE31" s="2815"/>
      <c r="HF31" s="2815"/>
      <c r="HG31" s="2815"/>
      <c r="HH31" s="2815"/>
      <c r="HI31" s="2815"/>
      <c r="HJ31" s="2815"/>
      <c r="HK31" s="2815"/>
      <c r="HL31" s="2815"/>
      <c r="HM31" s="2815"/>
      <c r="HN31" s="2815"/>
      <c r="HO31" s="2815"/>
      <c r="HP31" s="2815"/>
      <c r="HQ31" s="2815"/>
      <c r="HR31" s="2815"/>
      <c r="HS31" s="2815"/>
      <c r="HT31" s="2815"/>
      <c r="HU31" s="2815"/>
      <c r="HV31" s="2815"/>
      <c r="HW31" s="2815"/>
      <c r="HX31" s="2815"/>
      <c r="HY31" s="2815"/>
      <c r="HZ31" s="2815"/>
      <c r="IA31" s="2815"/>
      <c r="IB31" s="2815"/>
      <c r="IC31" s="2815"/>
      <c r="ID31" s="2815"/>
      <c r="IE31" s="2815"/>
      <c r="IF31" s="2815"/>
      <c r="IG31" s="2815"/>
      <c r="IH31" s="2815"/>
      <c r="II31" s="2815"/>
      <c r="IJ31" s="2815"/>
      <c r="IK31" s="2815"/>
      <c r="IL31" s="2815"/>
      <c r="IM31" s="2815"/>
      <c r="IN31" s="2815"/>
      <c r="IO31" s="2815"/>
      <c r="IP31" s="2815"/>
      <c r="IQ31" s="2815"/>
      <c r="IR31" s="2815"/>
      <c r="IS31" s="2815"/>
      <c r="IT31" s="2815"/>
      <c r="IU31" s="2815"/>
      <c r="IV31" s="2815"/>
      <c r="IW31" s="2815"/>
      <c r="IX31" s="2815"/>
      <c r="IY31" s="2815"/>
      <c r="IZ31" s="2815"/>
      <c r="JA31" s="2815"/>
      <c r="JB31" s="2815"/>
      <c r="JC31" s="2815"/>
      <c r="JD31" s="2815"/>
      <c r="JE31" s="2815"/>
      <c r="JF31" s="2815"/>
      <c r="JG31" s="3788"/>
      <c r="JH31" s="1523"/>
      <c r="JI31" s="2475"/>
      <c r="JJ31" s="2469" t="s">
        <v>6105</v>
      </c>
    </row>
    <row customFormat="1" ht="12.75" r="32" s="34" spans="1:270" x14ac:dyDescent="0.2">
      <c r="A32" s="2459">
        <v>7</v>
      </c>
      <c r="B32" s="2466" t="str">
        <f si="2" t="shared"/>
        <v/>
      </c>
      <c r="C32" s="1278" t="s">
        <v>14</v>
      </c>
      <c r="D32" s="2928" t="s">
        <v>7317</v>
      </c>
      <c r="E32" s="2379"/>
      <c r="F32" s="2379"/>
      <c r="G32" s="2379"/>
      <c r="H32" s="2379"/>
      <c r="I32" s="2379"/>
      <c r="J32" s="2379"/>
      <c r="K32" s="2379"/>
      <c r="L32" s="2379"/>
      <c r="M32" s="2379"/>
      <c r="N32" s="2379"/>
      <c r="O32" s="2379"/>
      <c r="P32" s="2379"/>
      <c r="Q32" s="2379"/>
      <c r="R32" s="2379"/>
      <c r="S32" s="2379"/>
      <c r="T32" s="2379"/>
      <c r="U32" s="2379"/>
      <c r="V32" s="2379"/>
      <c r="W32" s="2379"/>
      <c r="X32" s="2379"/>
      <c r="Y32" s="2379"/>
      <c r="Z32" s="2379"/>
      <c r="AA32" s="2379"/>
      <c r="AB32" s="2379"/>
      <c r="AC32" s="2379"/>
      <c r="AD32" s="2379"/>
      <c r="AE32" s="2379"/>
      <c r="AF32" s="2379"/>
      <c r="AG32" s="2379"/>
      <c r="AH32" s="2379"/>
      <c r="AI32" s="2379"/>
      <c r="AJ32" s="2395" t="s">
        <v>1189</v>
      </c>
      <c r="AK32" s="2379"/>
      <c r="AL32" s="2379"/>
      <c r="AM32" s="2379"/>
      <c r="AN32" s="2379"/>
      <c r="AO32" s="2379"/>
      <c r="AP32" s="2379"/>
      <c r="AQ32" s="2379"/>
      <c r="AR32" s="2379"/>
      <c r="AS32" s="2379" t="s">
        <v>572</v>
      </c>
      <c r="AT32" s="2379"/>
      <c r="AU32" s="2379"/>
      <c r="AV32" s="2379"/>
      <c r="AW32" s="2379"/>
      <c r="AX32" s="2379"/>
      <c r="AY32" s="2379"/>
      <c r="AZ32" s="2379"/>
      <c r="BA32" s="2379" t="s">
        <v>1189</v>
      </c>
      <c r="BB32" s="2379" t="s">
        <v>1189</v>
      </c>
      <c r="BC32" s="2379"/>
      <c r="BD32" s="2379" t="s">
        <v>1189</v>
      </c>
      <c r="BE32" s="2379"/>
      <c r="BF32" s="2379" t="s">
        <v>1189</v>
      </c>
      <c r="BG32" s="2379"/>
      <c r="BH32" s="2379"/>
      <c r="BI32" s="2379"/>
      <c r="BJ32" s="2379"/>
      <c r="BK32" s="2379"/>
      <c r="BL32" s="2379"/>
      <c r="BM32" s="2379"/>
      <c r="BN32" s="2379"/>
      <c r="BO32" s="2379"/>
      <c r="BP32" s="2379"/>
      <c r="BQ32" s="2379"/>
      <c r="BR32" s="2379"/>
      <c r="BS32" s="2379"/>
      <c r="BT32" s="2379"/>
      <c r="BU32" s="2379"/>
      <c r="BV32" s="2379"/>
      <c r="BW32" s="2379"/>
      <c r="BX32" s="2379"/>
      <c r="BY32" s="2379"/>
      <c r="BZ32" s="2379"/>
      <c r="CA32" s="2379"/>
      <c r="CB32" s="2815"/>
      <c r="CC32" s="2815"/>
      <c r="CD32" s="2815"/>
      <c r="CE32" s="2379" t="s">
        <v>1189</v>
      </c>
      <c r="CF32" s="2815"/>
      <c r="CG32" s="2815"/>
      <c r="CH32" s="2815"/>
      <c r="CI32" s="2815"/>
      <c r="CJ32" s="2815"/>
      <c r="CK32" s="2815"/>
      <c r="CL32" s="2815"/>
      <c r="CM32" s="2815"/>
      <c r="CN32" s="2379" t="s">
        <v>1189</v>
      </c>
      <c r="CO32" s="2815"/>
      <c r="CP32" s="2815"/>
      <c r="CQ32" s="2815"/>
      <c r="CR32" s="2815"/>
      <c r="CS32" s="2815"/>
      <c r="CT32" s="2815"/>
      <c r="CU32" s="2815"/>
      <c r="CV32" s="2815"/>
      <c r="CW32" s="2815"/>
      <c r="CX32" s="2815"/>
      <c r="CY32" s="2815"/>
      <c r="CZ32" s="2815"/>
      <c r="DA32" s="2815"/>
      <c r="DB32" s="2379" t="s">
        <v>1189</v>
      </c>
      <c r="DC32" s="2815"/>
      <c r="DD32" s="2815"/>
      <c r="DE32" s="2815"/>
      <c r="DF32" s="2815"/>
      <c r="DG32" s="2815"/>
      <c r="DH32" s="2815"/>
      <c r="DI32" s="2379" t="s">
        <v>1189</v>
      </c>
      <c r="DJ32" s="2815"/>
      <c r="DK32" s="2815"/>
      <c r="DL32" s="2379" t="s">
        <v>1189</v>
      </c>
      <c r="DM32" s="2815"/>
      <c r="DN32" s="2815"/>
      <c r="DO32" s="2815"/>
      <c r="DP32" s="2815"/>
      <c r="DQ32" s="2815"/>
      <c r="DR32" s="2815"/>
      <c r="DS32" s="2815"/>
      <c r="DT32" s="2815"/>
      <c r="DU32" s="2815"/>
      <c r="DV32" s="2815"/>
      <c r="DW32" s="2815"/>
      <c r="DX32" s="2815"/>
      <c r="DY32" s="2815"/>
      <c r="DZ32" s="2815"/>
      <c r="EA32" s="2815"/>
      <c r="EB32" s="2815"/>
      <c r="EC32" s="2815"/>
      <c r="ED32" s="2815"/>
      <c r="EE32" s="2379" t="s">
        <v>572</v>
      </c>
      <c r="EF32" s="2815"/>
      <c r="EG32" s="2815"/>
      <c r="EH32" s="2815"/>
      <c r="EI32" s="2815"/>
      <c r="EJ32" s="2815"/>
      <c r="EK32" s="2815"/>
      <c r="EL32" s="2815"/>
      <c r="EM32" s="2815"/>
      <c r="EN32" s="2815"/>
      <c r="EO32" s="2815"/>
      <c r="EP32" s="2815"/>
      <c r="EQ32" s="2815"/>
      <c r="ER32" s="2815"/>
      <c r="ES32" s="2815"/>
      <c r="ET32" s="2815"/>
      <c r="EU32" s="2815"/>
      <c r="EV32" s="2815"/>
      <c r="EW32" s="2815"/>
      <c r="EX32" s="2815"/>
      <c r="EY32" s="2815"/>
      <c r="EZ32" s="2815"/>
      <c r="FA32" s="2815"/>
      <c r="FB32" s="2815"/>
      <c r="FC32" s="2815"/>
      <c r="FD32" s="2815"/>
      <c r="FE32" s="2815"/>
      <c r="FF32" s="2815"/>
      <c r="FG32" s="2815"/>
      <c r="FH32" s="2815"/>
      <c r="FI32" s="2815"/>
      <c r="FJ32" s="2815"/>
      <c r="FK32" s="2815"/>
      <c r="FL32" s="2815"/>
      <c r="FM32" s="2815"/>
      <c r="FN32" s="2815"/>
      <c r="FO32" s="2815"/>
      <c r="FP32" s="2815"/>
      <c r="FQ32" s="2815"/>
      <c r="FR32" s="2815"/>
      <c r="FS32" s="2815"/>
      <c r="FT32" s="2815"/>
      <c r="FU32" s="2815"/>
      <c r="FV32" s="2815"/>
      <c r="FW32" s="2815"/>
      <c r="FX32" s="2815"/>
      <c r="FY32" s="2815"/>
      <c r="FZ32" s="2815"/>
      <c r="GA32" s="2815"/>
      <c r="GB32" s="2815"/>
      <c r="GC32" s="2379" t="s">
        <v>1189</v>
      </c>
      <c r="GD32" s="2379" t="s">
        <v>1189</v>
      </c>
      <c r="GE32" s="2815"/>
      <c r="GF32" s="2815"/>
      <c r="GG32" s="2815"/>
      <c r="GH32" s="2815"/>
      <c r="GI32" s="2815"/>
      <c r="GJ32" s="2815"/>
      <c r="GK32" s="2815"/>
      <c r="GL32" s="2815"/>
      <c r="GM32" s="2815"/>
      <c r="GN32" s="2815"/>
      <c r="GO32" s="2815"/>
      <c r="GP32" s="2815"/>
      <c r="GQ32" s="2815"/>
      <c r="GR32" s="2815"/>
      <c r="GS32" s="2815"/>
      <c r="GT32" s="2815"/>
      <c r="GU32" s="2815"/>
      <c r="GV32" s="2815"/>
      <c r="GW32" s="2379" t="s">
        <v>1189</v>
      </c>
      <c r="GX32" s="2379" t="s">
        <v>1189</v>
      </c>
      <c r="GY32" s="2815"/>
      <c r="GZ32" s="2815"/>
      <c r="HA32" s="2815"/>
      <c r="HB32" s="2815" t="s">
        <v>1189</v>
      </c>
      <c r="HC32" s="2815"/>
      <c r="HD32" s="2815"/>
      <c r="HE32" s="2815"/>
      <c r="HF32" s="2815"/>
      <c r="HG32" s="2815"/>
      <c r="HH32" s="2815"/>
      <c r="HI32" s="2815"/>
      <c r="HJ32" s="2815"/>
      <c r="HK32" s="2815"/>
      <c r="HL32" s="2815"/>
      <c r="HM32" s="2815"/>
      <c r="HN32" s="2815"/>
      <c r="HO32" s="2815"/>
      <c r="HP32" s="2815"/>
      <c r="HQ32" s="2815"/>
      <c r="HR32" s="2815"/>
      <c r="HS32" s="2815"/>
      <c r="HT32" s="2815"/>
      <c r="HU32" s="2815"/>
      <c r="HV32" s="2815"/>
      <c r="HW32" s="2815"/>
      <c r="HX32" s="2815"/>
      <c r="HY32" s="2815"/>
      <c r="HZ32" s="2815"/>
      <c r="IA32" s="2815"/>
      <c r="IB32" s="2815"/>
      <c r="IC32" s="2815"/>
      <c r="ID32" s="2815"/>
      <c r="IE32" s="2815"/>
      <c r="IF32" s="2815"/>
      <c r="IG32" s="2815"/>
      <c r="IH32" s="2815"/>
      <c r="II32" s="2815"/>
      <c r="IJ32" s="2815"/>
      <c r="IK32" s="2815"/>
      <c r="IL32" s="2815"/>
      <c r="IM32" s="2815"/>
      <c r="IN32" s="2815"/>
      <c r="IO32" s="2815"/>
      <c r="IP32" s="2815"/>
      <c r="IQ32" s="2815"/>
      <c r="IR32" s="2815"/>
      <c r="IS32" s="2815"/>
      <c r="IT32" s="2815"/>
      <c r="IU32" s="2815"/>
      <c r="IV32" s="2815"/>
      <c r="IW32" s="2815"/>
      <c r="IX32" s="2815"/>
      <c r="IY32" s="2815"/>
      <c r="IZ32" s="2815"/>
      <c r="JA32" s="2815"/>
      <c r="JB32" s="2815"/>
      <c r="JC32" s="2815"/>
      <c r="JD32" s="2815"/>
      <c r="JE32" s="2815"/>
      <c r="JF32" s="2815"/>
      <c r="JG32" s="3788"/>
      <c r="JH32" s="1523"/>
      <c r="JI32" s="2475"/>
      <c r="JJ32" s="2469" t="s">
        <v>6125</v>
      </c>
    </row>
    <row customFormat="1" ht="36" r="33" s="34" spans="1:270" x14ac:dyDescent="0.2">
      <c r="A33" s="2459">
        <v>8</v>
      </c>
      <c r="B33" s="2466" t="str">
        <f si="2" t="shared"/>
        <v/>
      </c>
      <c r="C33" s="1278" t="s">
        <v>1714</v>
      </c>
      <c r="D33" s="2928" t="str">
        <f>"If you ceased being a director before 6 April "&amp;Tax_year_end&amp;", put the date the directorship ceased in the box DD MM YYYY"</f>
        <v>If you ceased being a director before 6 April 2020, put the date the directorship ceased in the box DD MM YYYY</v>
      </c>
      <c r="E33" s="2379"/>
      <c r="F33" s="2379"/>
      <c r="G33" s="2379"/>
      <c r="H33" s="2379"/>
      <c r="I33" s="2379"/>
      <c r="J33" s="2379"/>
      <c r="K33" s="2379"/>
      <c r="L33" s="2379"/>
      <c r="M33" s="2379"/>
      <c r="N33" s="2379"/>
      <c r="O33" s="2379"/>
      <c r="P33" s="2379"/>
      <c r="Q33" s="2379"/>
      <c r="R33" s="2379"/>
      <c r="S33" s="2379"/>
      <c r="T33" s="2379"/>
      <c r="U33" s="2379"/>
      <c r="V33" s="2379"/>
      <c r="W33" s="2379"/>
      <c r="X33" s="2379"/>
      <c r="Y33" s="2379"/>
      <c r="Z33" s="2379"/>
      <c r="AA33" s="2379"/>
      <c r="AB33" s="2379"/>
      <c r="AC33" s="2379"/>
      <c r="AD33" s="2379"/>
      <c r="AE33" s="2379"/>
      <c r="AF33" s="2379"/>
      <c r="AG33" s="2379"/>
      <c r="AH33" s="2379"/>
      <c r="AI33" s="2379"/>
      <c r="AJ33" s="2395"/>
      <c r="AK33" s="2379"/>
      <c r="AL33" s="2379"/>
      <c r="AM33" s="2379"/>
      <c r="AN33" s="2379"/>
      <c r="AO33" s="2379"/>
      <c r="AP33" s="2379"/>
      <c r="AQ33" s="2379"/>
      <c r="AR33" s="2379"/>
      <c r="AS33" s="2379" t="str">
        <f>"02 07 "&amp;Tax_year_start</f>
        <v>02 07 2019</v>
      </c>
      <c r="AT33" s="2379"/>
      <c r="AU33" s="2379"/>
      <c r="AV33" s="2379"/>
      <c r="AW33" s="2379"/>
      <c r="AX33" s="2379"/>
      <c r="AY33" s="2379"/>
      <c r="AZ33" s="2379"/>
      <c r="BA33" s="2379"/>
      <c r="BB33" s="2379"/>
      <c r="BC33" s="2379"/>
      <c r="BD33" s="2379"/>
      <c r="BE33" s="2379"/>
      <c r="BF33" s="2379"/>
      <c r="BG33" s="2379"/>
      <c r="BH33" s="2379"/>
      <c r="BI33" s="2379"/>
      <c r="BJ33" s="2379"/>
      <c r="BK33" s="2379"/>
      <c r="BL33" s="2379"/>
      <c r="BM33" s="2379"/>
      <c r="BN33" s="2379"/>
      <c r="BO33" s="2379"/>
      <c r="BP33" s="2379"/>
      <c r="BQ33" s="2379"/>
      <c r="BR33" s="2379"/>
      <c r="BS33" s="2379"/>
      <c r="BT33" s="2379"/>
      <c r="BU33" s="2379"/>
      <c r="BV33" s="2379"/>
      <c r="BW33" s="2379"/>
      <c r="BX33" s="2379"/>
      <c r="BY33" s="2379"/>
      <c r="BZ33" s="2379"/>
      <c r="CA33" s="2379"/>
      <c r="CB33" s="2815"/>
      <c r="CC33" s="2815"/>
      <c r="CD33" s="2815"/>
      <c r="CE33" s="2379"/>
      <c r="CF33" s="2815"/>
      <c r="CG33" s="2815"/>
      <c r="CH33" s="2815"/>
      <c r="CI33" s="2815"/>
      <c r="CJ33" s="2815"/>
      <c r="CK33" s="2815"/>
      <c r="CL33" s="2815"/>
      <c r="CM33" s="2815"/>
      <c r="CN33" s="2379"/>
      <c r="CO33" s="2815"/>
      <c r="CP33" s="2815"/>
      <c r="CQ33" s="2815"/>
      <c r="CR33" s="2815"/>
      <c r="CS33" s="2815"/>
      <c r="CT33" s="2815"/>
      <c r="CU33" s="2815"/>
      <c r="CV33" s="2815"/>
      <c r="CW33" s="2815"/>
      <c r="CX33" s="2815"/>
      <c r="CY33" s="2815"/>
      <c r="CZ33" s="2815"/>
      <c r="DA33" s="2815"/>
      <c r="DB33" s="2379"/>
      <c r="DC33" s="2815"/>
      <c r="DD33" s="2815"/>
      <c r="DE33" s="2815"/>
      <c r="DF33" s="2815"/>
      <c r="DG33" s="2815"/>
      <c r="DH33" s="2815"/>
      <c r="DI33" s="2379"/>
      <c r="DJ33" s="2815"/>
      <c r="DK33" s="2815"/>
      <c r="DL33" s="2379"/>
      <c r="DM33" s="2815"/>
      <c r="DN33" s="2815"/>
      <c r="DO33" s="2815"/>
      <c r="DP33" s="2815"/>
      <c r="DQ33" s="2815"/>
      <c r="DR33" s="2815"/>
      <c r="DS33" s="2815"/>
      <c r="DT33" s="2815"/>
      <c r="DU33" s="2815"/>
      <c r="DV33" s="2815"/>
      <c r="DW33" s="2815"/>
      <c r="DX33" s="2815"/>
      <c r="DY33" s="2815"/>
      <c r="DZ33" s="2815"/>
      <c r="EA33" s="2815"/>
      <c r="EB33" s="2815"/>
      <c r="EC33" s="2815"/>
      <c r="ED33" s="2815"/>
      <c r="EE33" s="2379" t="str">
        <f>"02 07 "&amp;Tax_year_start</f>
        <v>02 07 2019</v>
      </c>
      <c r="EF33" s="2815"/>
      <c r="EG33" s="2815"/>
      <c r="EH33" s="2815"/>
      <c r="EI33" s="2815"/>
      <c r="EJ33" s="2815"/>
      <c r="EK33" s="2815"/>
      <c r="EL33" s="2815"/>
      <c r="EM33" s="2815"/>
      <c r="EN33" s="2815"/>
      <c r="EO33" s="2815"/>
      <c r="EP33" s="2815"/>
      <c r="EQ33" s="2815"/>
      <c r="ER33" s="2815"/>
      <c r="ES33" s="2815"/>
      <c r="ET33" s="2815"/>
      <c r="EU33" s="2815"/>
      <c r="EV33" s="2815"/>
      <c r="EW33" s="2815"/>
      <c r="EX33" s="2815"/>
      <c r="EY33" s="2815"/>
      <c r="EZ33" s="2815"/>
      <c r="FA33" s="2815"/>
      <c r="FB33" s="2815"/>
      <c r="FC33" s="2815"/>
      <c r="FD33" s="2815"/>
      <c r="FE33" s="2815"/>
      <c r="FF33" s="2815"/>
      <c r="FG33" s="2815"/>
      <c r="FH33" s="2815"/>
      <c r="FI33" s="2815"/>
      <c r="FJ33" s="2815"/>
      <c r="FK33" s="2815"/>
      <c r="FL33" s="2815"/>
      <c r="FM33" s="2815"/>
      <c r="FN33" s="2815"/>
      <c r="FO33" s="2815"/>
      <c r="FP33" s="2815"/>
      <c r="FQ33" s="2815"/>
      <c r="FR33" s="2815"/>
      <c r="FS33" s="2815"/>
      <c r="FT33" s="2815"/>
      <c r="FU33" s="2815"/>
      <c r="FV33" s="2815"/>
      <c r="FW33" s="2815"/>
      <c r="FX33" s="2815"/>
      <c r="FY33" s="2815"/>
      <c r="FZ33" s="2815"/>
      <c r="GA33" s="2815"/>
      <c r="GB33" s="2815"/>
      <c r="GC33" s="2379"/>
      <c r="GD33" s="2379"/>
      <c r="GE33" s="2815"/>
      <c r="GF33" s="2815"/>
      <c r="GG33" s="2815"/>
      <c r="GH33" s="2815"/>
      <c r="GI33" s="2815"/>
      <c r="GJ33" s="2815"/>
      <c r="GK33" s="2815"/>
      <c r="GL33" s="2815"/>
      <c r="GM33" s="2815"/>
      <c r="GN33" s="2815"/>
      <c r="GO33" s="2815"/>
      <c r="GP33" s="2815"/>
      <c r="GQ33" s="2815"/>
      <c r="GR33" s="2815"/>
      <c r="GS33" s="2815"/>
      <c r="GT33" s="2815"/>
      <c r="GU33" s="2815"/>
      <c r="GV33" s="2815"/>
      <c r="GW33" s="2379"/>
      <c r="GX33" s="2379"/>
      <c r="GY33" s="2815"/>
      <c r="GZ33" s="2815"/>
      <c r="HA33" s="2815"/>
      <c r="HB33" s="2815"/>
      <c r="HC33" s="2815"/>
      <c r="HD33" s="2815"/>
      <c r="HE33" s="2815"/>
      <c r="HF33" s="2815"/>
      <c r="HG33" s="2815"/>
      <c r="HH33" s="2815"/>
      <c r="HI33" s="2815"/>
      <c r="HJ33" s="2815"/>
      <c r="HK33" s="2815"/>
      <c r="HL33" s="2815"/>
      <c r="HM33" s="2815"/>
      <c r="HN33" s="2815"/>
      <c r="HO33" s="2815"/>
      <c r="HP33" s="2815"/>
      <c r="HQ33" s="2815"/>
      <c r="HR33" s="2815"/>
      <c r="HS33" s="2815"/>
      <c r="HT33" s="2815"/>
      <c r="HU33" s="2815"/>
      <c r="HV33" s="2815"/>
      <c r="HW33" s="2815"/>
      <c r="HX33" s="2815"/>
      <c r="HY33" s="2815"/>
      <c r="HZ33" s="2815"/>
      <c r="IA33" s="2815"/>
      <c r="IB33" s="2815"/>
      <c r="IC33" s="2815"/>
      <c r="ID33" s="2815"/>
      <c r="IE33" s="2815"/>
      <c r="IF33" s="2815"/>
      <c r="IG33" s="2815"/>
      <c r="IH33" s="2815"/>
      <c r="II33" s="2815"/>
      <c r="IJ33" s="2815"/>
      <c r="IK33" s="2815"/>
      <c r="IL33" s="2815"/>
      <c r="IM33" s="2815"/>
      <c r="IN33" s="2815"/>
      <c r="IO33" s="2815"/>
      <c r="IP33" s="2815"/>
      <c r="IQ33" s="2815"/>
      <c r="IR33" s="2815"/>
      <c r="IS33" s="2815"/>
      <c r="IT33" s="2815"/>
      <c r="IU33" s="2815"/>
      <c r="IV33" s="2815"/>
      <c r="IW33" s="2815"/>
      <c r="IX33" s="2815"/>
      <c r="IY33" s="2815"/>
      <c r="IZ33" s="2815"/>
      <c r="JA33" s="2815"/>
      <c r="JB33" s="2815"/>
      <c r="JC33" s="2815"/>
      <c r="JD33" s="2815"/>
      <c r="JE33" s="2815"/>
      <c r="JF33" s="2815"/>
      <c r="JG33" s="3788"/>
      <c r="JH33" s="1523"/>
      <c r="JI33" s="2478" t="s">
        <v>5096</v>
      </c>
      <c r="JJ33" s="2469" t="s">
        <v>6126</v>
      </c>
    </row>
    <row customFormat="1" ht="12.75" r="34" s="34" spans="1:270" x14ac:dyDescent="0.2">
      <c r="A34" s="2459">
        <v>9</v>
      </c>
      <c r="B34" s="2466" t="str">
        <f si="2" t="shared"/>
        <v/>
      </c>
      <c r="C34" s="1278" t="s">
        <v>1390</v>
      </c>
      <c r="D34" s="2928" t="s">
        <v>7318</v>
      </c>
      <c r="E34" s="2379"/>
      <c r="F34" s="2379"/>
      <c r="G34" s="2379"/>
      <c r="H34" s="2379"/>
      <c r="I34" s="2379"/>
      <c r="J34" s="2379"/>
      <c r="K34" s="2379"/>
      <c r="L34" s="2379"/>
      <c r="M34" s="2379"/>
      <c r="N34" s="2379"/>
      <c r="O34" s="2379"/>
      <c r="P34" s="2379"/>
      <c r="Q34" s="2379"/>
      <c r="R34" s="2379"/>
      <c r="S34" s="2379"/>
      <c r="T34" s="2379"/>
      <c r="U34" s="2379"/>
      <c r="V34" s="2379"/>
      <c r="W34" s="2379"/>
      <c r="X34" s="2379"/>
      <c r="Y34" s="2379"/>
      <c r="Z34" s="2379"/>
      <c r="AA34" s="2379"/>
      <c r="AB34" s="2379"/>
      <c r="AC34" s="2379"/>
      <c r="AD34" s="2379"/>
      <c r="AE34" s="2379"/>
      <c r="AF34" s="2379"/>
      <c r="AG34" s="2379"/>
      <c r="AH34" s="2379"/>
      <c r="AI34" s="2379"/>
      <c r="AJ34" s="2395" t="s">
        <v>1189</v>
      </c>
      <c r="AK34" s="2379"/>
      <c r="AL34" s="2379"/>
      <c r="AM34" s="2379"/>
      <c r="AN34" s="2379"/>
      <c r="AO34" s="2379"/>
      <c r="AP34" s="2379"/>
      <c r="AQ34" s="2379"/>
      <c r="AR34" s="2379"/>
      <c r="AS34" s="2379" t="s">
        <v>572</v>
      </c>
      <c r="AT34" s="2379"/>
      <c r="AU34" s="2379"/>
      <c r="AV34" s="2379"/>
      <c r="AW34" s="2379"/>
      <c r="AX34" s="2379"/>
      <c r="AY34" s="2379"/>
      <c r="AZ34" s="2379"/>
      <c r="BA34" s="2379" t="s">
        <v>1189</v>
      </c>
      <c r="BB34" s="2379" t="s">
        <v>1189</v>
      </c>
      <c r="BC34" s="2379"/>
      <c r="BD34" s="2379" t="s">
        <v>1189</v>
      </c>
      <c r="BE34" s="2379"/>
      <c r="BF34" s="2379" t="s">
        <v>1189</v>
      </c>
      <c r="BG34" s="2379"/>
      <c r="BH34" s="2379"/>
      <c r="BI34" s="2379"/>
      <c r="BJ34" s="2379"/>
      <c r="BK34" s="2379"/>
      <c r="BL34" s="2379"/>
      <c r="BM34" s="2379"/>
      <c r="BN34" s="2379"/>
      <c r="BO34" s="2379"/>
      <c r="BP34" s="2379"/>
      <c r="BQ34" s="2379"/>
      <c r="BR34" s="2379"/>
      <c r="BS34" s="2379"/>
      <c r="BT34" s="2379"/>
      <c r="BU34" s="2379"/>
      <c r="BV34" s="2379"/>
      <c r="BW34" s="2379"/>
      <c r="BX34" s="2379"/>
      <c r="BY34" s="2379"/>
      <c r="BZ34" s="2379"/>
      <c r="CA34" s="2379"/>
      <c r="CB34" s="2815"/>
      <c r="CC34" s="2815"/>
      <c r="CD34" s="2815"/>
      <c r="CE34" s="2379" t="s">
        <v>1189</v>
      </c>
      <c r="CF34" s="2815"/>
      <c r="CG34" s="2815"/>
      <c r="CH34" s="2815"/>
      <c r="CI34" s="2815"/>
      <c r="CJ34" s="2815"/>
      <c r="CK34" s="2815"/>
      <c r="CL34" s="2815"/>
      <c r="CM34" s="2815"/>
      <c r="CN34" s="2379" t="s">
        <v>1189</v>
      </c>
      <c r="CO34" s="2815"/>
      <c r="CP34" s="2815"/>
      <c r="CQ34" s="2815"/>
      <c r="CR34" s="2815"/>
      <c r="CS34" s="2815"/>
      <c r="CT34" s="2815"/>
      <c r="CU34" s="2815"/>
      <c r="CV34" s="2815"/>
      <c r="CW34" s="2815"/>
      <c r="CX34" s="2815"/>
      <c r="CY34" s="2815"/>
      <c r="CZ34" s="2815"/>
      <c r="DA34" s="2815"/>
      <c r="DB34" s="2379" t="s">
        <v>1189</v>
      </c>
      <c r="DC34" s="2815"/>
      <c r="DD34" s="2815"/>
      <c r="DE34" s="2815"/>
      <c r="DF34" s="2815"/>
      <c r="DG34" s="2815"/>
      <c r="DH34" s="2815"/>
      <c r="DI34" s="2379" t="s">
        <v>1189</v>
      </c>
      <c r="DJ34" s="2815"/>
      <c r="DK34" s="2815"/>
      <c r="DL34" s="2379" t="s">
        <v>1189</v>
      </c>
      <c r="DM34" s="2815"/>
      <c r="DN34" s="2815"/>
      <c r="DO34" s="2815"/>
      <c r="DP34" s="2815"/>
      <c r="DQ34" s="2815"/>
      <c r="DR34" s="2815"/>
      <c r="DS34" s="2815"/>
      <c r="DT34" s="2815"/>
      <c r="DU34" s="2815"/>
      <c r="DV34" s="2815"/>
      <c r="DW34" s="2815"/>
      <c r="DX34" s="2815"/>
      <c r="DY34" s="2815"/>
      <c r="DZ34" s="2815"/>
      <c r="EA34" s="2815"/>
      <c r="EB34" s="2815"/>
      <c r="EC34" s="2815"/>
      <c r="ED34" s="2815"/>
      <c r="EE34" s="2379" t="s">
        <v>572</v>
      </c>
      <c r="EF34" s="2815"/>
      <c r="EG34" s="2815"/>
      <c r="EH34" s="2815"/>
      <c r="EI34" s="2815"/>
      <c r="EJ34" s="2815"/>
      <c r="EK34" s="2815"/>
      <c r="EL34" s="2815"/>
      <c r="EM34" s="2815"/>
      <c r="EN34" s="2815"/>
      <c r="EO34" s="2815"/>
      <c r="EP34" s="2815"/>
      <c r="EQ34" s="2815"/>
      <c r="ER34" s="2815"/>
      <c r="ES34" s="2815"/>
      <c r="ET34" s="2815"/>
      <c r="EU34" s="2815"/>
      <c r="EV34" s="2815"/>
      <c r="EW34" s="2815"/>
      <c r="EX34" s="2815"/>
      <c r="EY34" s="2815"/>
      <c r="EZ34" s="2815"/>
      <c r="FA34" s="2815"/>
      <c r="FB34" s="2815"/>
      <c r="FC34" s="2815"/>
      <c r="FD34" s="2815"/>
      <c r="FE34" s="2815"/>
      <c r="FF34" s="2815"/>
      <c r="FG34" s="2815"/>
      <c r="FH34" s="2815"/>
      <c r="FI34" s="2815"/>
      <c r="FJ34" s="2815"/>
      <c r="FK34" s="2815"/>
      <c r="FL34" s="2815"/>
      <c r="FM34" s="2815"/>
      <c r="FN34" s="2815"/>
      <c r="FO34" s="2815"/>
      <c r="FP34" s="2815"/>
      <c r="FQ34" s="2815"/>
      <c r="FR34" s="2815"/>
      <c r="FS34" s="2815"/>
      <c r="FT34" s="2815"/>
      <c r="FU34" s="2815"/>
      <c r="FV34" s="2815"/>
      <c r="FW34" s="2815"/>
      <c r="FX34" s="2815"/>
      <c r="FY34" s="2815"/>
      <c r="FZ34" s="2815"/>
      <c r="GA34" s="2815"/>
      <c r="GB34" s="2815"/>
      <c r="GC34" s="2379" t="s">
        <v>1189</v>
      </c>
      <c r="GD34" s="2379" t="s">
        <v>1189</v>
      </c>
      <c r="GE34" s="2815"/>
      <c r="GF34" s="2815"/>
      <c r="GG34" s="2815"/>
      <c r="GH34" s="2815"/>
      <c r="GI34" s="2815"/>
      <c r="GJ34" s="2815"/>
      <c r="GK34" s="2815"/>
      <c r="GL34" s="2815"/>
      <c r="GM34" s="2815"/>
      <c r="GN34" s="2815"/>
      <c r="GO34" s="2815"/>
      <c r="GP34" s="2815"/>
      <c r="GQ34" s="2815"/>
      <c r="GR34" s="2815"/>
      <c r="GS34" s="2815"/>
      <c r="GT34" s="2815"/>
      <c r="GU34" s="2815"/>
      <c r="GV34" s="2815"/>
      <c r="GW34" s="2379" t="s">
        <v>1189</v>
      </c>
      <c r="GX34" s="2379" t="s">
        <v>1189</v>
      </c>
      <c r="GY34" s="2815"/>
      <c r="GZ34" s="2815"/>
      <c r="HA34" s="2815"/>
      <c r="HB34" s="2815" t="s">
        <v>1189</v>
      </c>
      <c r="HC34" s="2815"/>
      <c r="HD34" s="2815"/>
      <c r="HE34" s="2815"/>
      <c r="HF34" s="2815"/>
      <c r="HG34" s="2815"/>
      <c r="HH34" s="2815"/>
      <c r="HI34" s="2815"/>
      <c r="HJ34" s="2815"/>
      <c r="HK34" s="2815"/>
      <c r="HL34" s="2815"/>
      <c r="HM34" s="2815"/>
      <c r="HN34" s="2815"/>
      <c r="HO34" s="2815"/>
      <c r="HP34" s="2815"/>
      <c r="HQ34" s="2815"/>
      <c r="HR34" s="2815"/>
      <c r="HS34" s="2815"/>
      <c r="HT34" s="2815"/>
      <c r="HU34" s="2815"/>
      <c r="HV34" s="2815"/>
      <c r="HW34" s="2815"/>
      <c r="HX34" s="2815"/>
      <c r="HY34" s="2815"/>
      <c r="HZ34" s="2815"/>
      <c r="IA34" s="2815"/>
      <c r="IB34" s="2815"/>
      <c r="IC34" s="2815"/>
      <c r="ID34" s="2815"/>
      <c r="IE34" s="2815"/>
      <c r="IF34" s="2815"/>
      <c r="IG34" s="2815"/>
      <c r="IH34" s="2815"/>
      <c r="II34" s="2815"/>
      <c r="IJ34" s="2815"/>
      <c r="IK34" s="2815"/>
      <c r="IL34" s="2815"/>
      <c r="IM34" s="2815"/>
      <c r="IN34" s="2815"/>
      <c r="IO34" s="2815"/>
      <c r="IP34" s="2815"/>
      <c r="IQ34" s="2815"/>
      <c r="IR34" s="2815"/>
      <c r="IS34" s="2815"/>
      <c r="IT34" s="2815"/>
      <c r="IU34" s="2815"/>
      <c r="IV34" s="2815"/>
      <c r="IW34" s="2815"/>
      <c r="IX34" s="2815"/>
      <c r="IY34" s="2815"/>
      <c r="IZ34" s="2815"/>
      <c r="JA34" s="2815"/>
      <c r="JB34" s="2815"/>
      <c r="JC34" s="2815"/>
      <c r="JD34" s="2815"/>
      <c r="JE34" s="2815"/>
      <c r="JF34" s="2815"/>
      <c r="JG34" s="3788"/>
      <c r="JH34" s="1523"/>
      <c r="JI34" s="2465"/>
      <c r="JJ34" s="2469" t="s">
        <v>6111</v>
      </c>
    </row>
    <row customFormat="1" ht="12.75" r="35" s="4409" spans="1:270" x14ac:dyDescent="0.2">
      <c r="A35" s="4401">
        <v>10</v>
      </c>
      <c r="B35" s="4402" t="str">
        <f si="2" t="shared"/>
        <v/>
      </c>
      <c r="C35" s="4399" t="s">
        <v>1391</v>
      </c>
      <c r="D35" s="4400" t="s">
        <v>7319</v>
      </c>
      <c r="E35" s="4403"/>
      <c r="F35" s="4403"/>
      <c r="G35" s="4403"/>
      <c r="H35" s="4403"/>
      <c r="I35" s="4403"/>
      <c r="J35" s="4403"/>
      <c r="K35" s="4403"/>
      <c r="L35" s="4403"/>
      <c r="M35" s="4403"/>
      <c r="N35" s="4403"/>
      <c r="O35" s="4403"/>
      <c r="P35" s="4403"/>
      <c r="Q35" s="4403"/>
      <c r="R35" s="4403"/>
      <c r="S35" s="4403"/>
      <c r="T35" s="4403"/>
      <c r="U35" s="4403"/>
      <c r="V35" s="4403"/>
      <c r="W35" s="4403"/>
      <c r="X35" s="4403"/>
      <c r="Y35" s="4403"/>
      <c r="Z35" s="4403"/>
      <c r="AA35" s="4403"/>
      <c r="AB35" s="4403"/>
      <c r="AC35" s="4403"/>
      <c r="AD35" s="4403"/>
      <c r="AE35" s="4403"/>
      <c r="AF35" s="4403"/>
      <c r="AG35" s="4403"/>
      <c r="AH35" s="4403"/>
      <c r="AI35" s="4403"/>
      <c r="AJ35" s="4403"/>
      <c r="AK35" s="4404"/>
      <c r="AL35" s="4403"/>
      <c r="AM35" s="4403"/>
      <c r="AN35" s="4403"/>
      <c r="AO35" s="4403"/>
      <c r="AP35" s="4404"/>
      <c r="AQ35" s="4404"/>
      <c r="AR35" s="4403"/>
      <c r="AS35" s="4403"/>
      <c r="AT35" s="4404"/>
      <c r="AU35" s="4403"/>
      <c r="AV35" s="4403"/>
      <c r="AW35" s="4404"/>
      <c r="AX35" s="4403"/>
      <c r="AY35" s="4403"/>
      <c r="AZ35" s="4403"/>
      <c r="BA35" s="4403"/>
      <c r="BB35" s="4403"/>
      <c r="BC35" s="4403"/>
      <c r="BD35" s="4403"/>
      <c r="BE35" s="4403"/>
      <c r="BF35" s="4404"/>
      <c r="BG35" s="4403"/>
      <c r="BH35" s="4403"/>
      <c r="BI35" s="4403"/>
      <c r="BJ35" s="4403"/>
      <c r="BK35" s="4403"/>
      <c r="BL35" s="4403"/>
      <c r="BM35" s="4403"/>
      <c r="BN35" s="4403"/>
      <c r="BO35" s="4403"/>
      <c r="BP35" s="4403"/>
      <c r="BQ35" s="4403"/>
      <c r="BR35" s="4403"/>
      <c r="BS35" s="4403"/>
      <c r="BT35" s="4403"/>
      <c r="BU35" s="4403"/>
      <c r="BV35" s="4403"/>
      <c r="BW35" s="4403"/>
      <c r="BX35" s="4403"/>
      <c r="BY35" s="4403"/>
      <c r="BZ35" s="4403"/>
      <c r="CA35" s="4403"/>
      <c r="CB35" s="4405"/>
      <c r="CC35" s="4405"/>
      <c r="CD35" s="4405"/>
      <c r="CE35" s="4404"/>
      <c r="CF35" s="4405"/>
      <c r="CG35" s="4405"/>
      <c r="CH35" s="4405"/>
      <c r="CI35" s="4405"/>
      <c r="CJ35" s="4405"/>
      <c r="CK35" s="4405"/>
      <c r="CL35" s="4405"/>
      <c r="CM35" s="4405"/>
      <c r="CN35" s="4403"/>
      <c r="CO35" s="4405"/>
      <c r="CP35" s="4405"/>
      <c r="CQ35" s="4405"/>
      <c r="CR35" s="4405"/>
      <c r="CS35" s="4405"/>
      <c r="CT35" s="4405"/>
      <c r="CU35" s="4405"/>
      <c r="CV35" s="4405"/>
      <c r="CW35" s="4405"/>
      <c r="CX35" s="4405"/>
      <c r="CY35" s="4405"/>
      <c r="CZ35" s="4405"/>
      <c r="DA35" s="4405"/>
      <c r="DB35" s="4404"/>
      <c r="DC35" s="4405"/>
      <c r="DD35" s="4405"/>
      <c r="DE35" s="4405"/>
      <c r="DF35" s="4405"/>
      <c r="DG35" s="4405"/>
      <c r="DH35" s="4405"/>
      <c r="DI35" s="4405"/>
      <c r="DJ35" s="4405"/>
      <c r="DK35" s="4405"/>
      <c r="DL35" s="4404"/>
      <c r="DM35" s="4405"/>
      <c r="DN35" s="4405"/>
      <c r="DO35" s="4405"/>
      <c r="DP35" s="4405"/>
      <c r="DQ35" s="4405"/>
      <c r="DR35" s="4405"/>
      <c r="DS35" s="4405"/>
      <c r="DT35" s="4405"/>
      <c r="DU35" s="4405"/>
      <c r="DV35" s="4405"/>
      <c r="DW35" s="4405"/>
      <c r="DX35" s="4405"/>
      <c r="DY35" s="4405"/>
      <c r="DZ35" s="4405"/>
      <c r="EA35" s="4405"/>
      <c r="EB35" s="4405"/>
      <c r="EC35" s="4405"/>
      <c r="ED35" s="4405"/>
      <c r="EE35" s="4403"/>
      <c r="EF35" s="4405"/>
      <c r="EG35" s="4405"/>
      <c r="EH35" s="4405"/>
      <c r="EI35" s="4405"/>
      <c r="EJ35" s="4405"/>
      <c r="EK35" s="4405"/>
      <c r="EL35" s="4405"/>
      <c r="EM35" s="4405"/>
      <c r="EN35" s="4405"/>
      <c r="EO35" s="4405"/>
      <c r="EP35" s="4405"/>
      <c r="EQ35" s="4405"/>
      <c r="ER35" s="4405"/>
      <c r="ES35" s="4405"/>
      <c r="ET35" s="4405"/>
      <c r="EU35" s="4405"/>
      <c r="EV35" s="4405"/>
      <c r="EW35" s="4405"/>
      <c r="EX35" s="4405"/>
      <c r="EY35" s="4405"/>
      <c r="EZ35" s="4405"/>
      <c r="FA35" s="4405"/>
      <c r="FB35" s="4405"/>
      <c r="FC35" s="4405"/>
      <c r="FD35" s="4405"/>
      <c r="FE35" s="4405"/>
      <c r="FF35" s="4405"/>
      <c r="FG35" s="4405"/>
      <c r="FH35" s="4405"/>
      <c r="FI35" s="4405"/>
      <c r="FJ35" s="4405"/>
      <c r="FK35" s="4405"/>
      <c r="FL35" s="4405"/>
      <c r="FM35" s="4405"/>
      <c r="FN35" s="4405"/>
      <c r="FO35" s="4405"/>
      <c r="FP35" s="4405"/>
      <c r="FQ35" s="4405"/>
      <c r="FR35" s="4405"/>
      <c r="FS35" s="4405"/>
      <c r="FT35" s="4405"/>
      <c r="FU35" s="4405"/>
      <c r="FV35" s="4405"/>
      <c r="FW35" s="4405"/>
      <c r="FX35" s="4405"/>
      <c r="FY35" s="4405"/>
      <c r="FZ35" s="4405"/>
      <c r="GA35" s="4405"/>
      <c r="GB35" s="4405"/>
      <c r="GC35" s="4404"/>
      <c r="GD35" s="4403"/>
      <c r="GE35" s="4405"/>
      <c r="GF35" s="4405"/>
      <c r="GG35" s="4405"/>
      <c r="GH35" s="4405"/>
      <c r="GI35" s="4405"/>
      <c r="GJ35" s="4405"/>
      <c r="GK35" s="4405"/>
      <c r="GL35" s="4405"/>
      <c r="GM35" s="4405"/>
      <c r="GN35" s="4405"/>
      <c r="GO35" s="4405"/>
      <c r="GP35" s="4405"/>
      <c r="GQ35" s="4405"/>
      <c r="GR35" s="4405"/>
      <c r="GS35" s="4405"/>
      <c r="GT35" s="4405"/>
      <c r="GU35" s="4405"/>
      <c r="GV35" s="4405"/>
      <c r="GW35" s="4403"/>
      <c r="GX35" s="4403"/>
      <c r="GY35" s="4405"/>
      <c r="GZ35" s="4405"/>
      <c r="HA35" s="4405"/>
      <c r="HB35" s="4405"/>
      <c r="HC35" s="4405"/>
      <c r="HD35" s="4405"/>
      <c r="HE35" s="4405"/>
      <c r="HF35" s="4405"/>
      <c r="HG35" s="4405"/>
      <c r="HH35" s="4405"/>
      <c r="HI35" s="4405"/>
      <c r="HJ35" s="4405"/>
      <c r="HK35" s="4405"/>
      <c r="HL35" s="4405"/>
      <c r="HM35" s="4405"/>
      <c r="HN35" s="4405"/>
      <c r="HO35" s="4405"/>
      <c r="HP35" s="4405"/>
      <c r="HQ35" s="4405"/>
      <c r="HR35" s="4405"/>
      <c r="HS35" s="4405"/>
      <c r="HT35" s="4405"/>
      <c r="HU35" s="4405"/>
      <c r="HV35" s="4405"/>
      <c r="HW35" s="4405"/>
      <c r="HX35" s="4405"/>
      <c r="HY35" s="4405"/>
      <c r="HZ35" s="4405"/>
      <c r="IA35" s="4405"/>
      <c r="IB35" s="4405"/>
      <c r="IC35" s="4405"/>
      <c r="ID35" s="4405"/>
      <c r="IE35" s="4405"/>
      <c r="IF35" s="4405"/>
      <c r="IG35" s="4405"/>
      <c r="IH35" s="4405"/>
      <c r="II35" s="4405"/>
      <c r="IJ35" s="4405"/>
      <c r="IK35" s="4405"/>
      <c r="IL35" s="4405"/>
      <c r="IM35" s="4405"/>
      <c r="IN35" s="4405"/>
      <c r="IO35" s="4405"/>
      <c r="IP35" s="4405"/>
      <c r="IQ35" s="4405"/>
      <c r="IR35" s="4405"/>
      <c r="IS35" s="4405"/>
      <c r="IT35" s="4405"/>
      <c r="IU35" s="4405"/>
      <c r="IV35" s="4405"/>
      <c r="IW35" s="4405"/>
      <c r="IX35" s="4405"/>
      <c r="IY35" s="4405"/>
      <c r="IZ35" s="4405"/>
      <c r="JA35" s="4405"/>
      <c r="JB35" s="4405"/>
      <c r="JC35" s="4405"/>
      <c r="JD35" s="4405"/>
      <c r="JE35" s="4405"/>
      <c r="JF35" s="4405"/>
      <c r="JG35" s="4406"/>
      <c r="JH35" s="4407"/>
      <c r="JI35" s="2465" t="s">
        <v>9032</v>
      </c>
      <c r="JJ35" s="4408" t="s">
        <v>6111</v>
      </c>
    </row>
    <row customFormat="1" ht="12.75" r="36" s="34" spans="1:270" x14ac:dyDescent="0.2">
      <c r="A36" s="2459">
        <v>11</v>
      </c>
      <c r="B36" s="2466" t="str">
        <f si="2" t="shared"/>
        <v/>
      </c>
      <c r="C36" s="1278" t="s">
        <v>7288</v>
      </c>
      <c r="D36" s="2928" t="s">
        <v>7320</v>
      </c>
      <c r="E36" s="2379"/>
      <c r="F36" s="2379"/>
      <c r="G36" s="2379"/>
      <c r="H36" s="2379"/>
      <c r="I36" s="2379"/>
      <c r="J36" s="2379"/>
      <c r="K36" s="2379"/>
      <c r="L36" s="2379"/>
      <c r="M36" s="2379"/>
      <c r="N36" s="2379"/>
      <c r="O36" s="2379"/>
      <c r="P36" s="2379"/>
      <c r="Q36" s="2379"/>
      <c r="R36" s="2379"/>
      <c r="S36" s="2379"/>
      <c r="T36" s="2379"/>
      <c r="U36" s="2379"/>
      <c r="V36" s="2379"/>
      <c r="W36" s="2379"/>
      <c r="X36" s="2379"/>
      <c r="Y36" s="2379"/>
      <c r="Z36" s="2379"/>
      <c r="AA36" s="2379"/>
      <c r="AB36" s="2379"/>
      <c r="AC36" s="2379"/>
      <c r="AD36" s="2379"/>
      <c r="AE36" s="2379"/>
      <c r="AF36" s="2379"/>
      <c r="AG36" s="2379"/>
      <c r="AH36" s="2379"/>
      <c r="AI36" s="2379"/>
      <c r="AJ36" s="2379"/>
      <c r="AK36" s="2474"/>
      <c r="AL36" s="2379"/>
      <c r="AM36" s="2379"/>
      <c r="AN36" s="2379"/>
      <c r="AO36" s="2379"/>
      <c r="AP36" s="2474"/>
      <c r="AQ36" s="2474"/>
      <c r="AR36" s="2379"/>
      <c r="AS36" s="2379"/>
      <c r="AT36" s="2474"/>
      <c r="AU36" s="2379"/>
      <c r="AV36" s="2379"/>
      <c r="AW36" s="2474"/>
      <c r="AX36" s="2379"/>
      <c r="AY36" s="2379"/>
      <c r="AZ36" s="2379"/>
      <c r="BA36" s="2379"/>
      <c r="BB36" s="2379"/>
      <c r="BC36" s="2379"/>
      <c r="BD36" s="2379"/>
      <c r="BE36" s="2379"/>
      <c r="BF36" s="2474"/>
      <c r="BG36" s="2379"/>
      <c r="BH36" s="2379"/>
      <c r="BI36" s="2379"/>
      <c r="BJ36" s="2379"/>
      <c r="BK36" s="2379"/>
      <c r="BL36" s="2379"/>
      <c r="BM36" s="2379"/>
      <c r="BN36" s="2379"/>
      <c r="BO36" s="2379"/>
      <c r="BP36" s="2379"/>
      <c r="BQ36" s="2379"/>
      <c r="BR36" s="2379"/>
      <c r="BS36" s="2379"/>
      <c r="BT36" s="2379"/>
      <c r="BU36" s="2379"/>
      <c r="BV36" s="2379"/>
      <c r="BW36" s="2379"/>
      <c r="BX36" s="2379"/>
      <c r="BY36" s="2379"/>
      <c r="BZ36" s="2379"/>
      <c r="CA36" s="2379"/>
      <c r="CB36" s="2815"/>
      <c r="CC36" s="2815"/>
      <c r="CD36" s="2815"/>
      <c r="CE36" s="2474"/>
      <c r="CF36" s="2815"/>
      <c r="CG36" s="2815"/>
      <c r="CH36" s="2815"/>
      <c r="CI36" s="2815"/>
      <c r="CJ36" s="2815"/>
      <c r="CK36" s="2815"/>
      <c r="CL36" s="2815"/>
      <c r="CM36" s="2815"/>
      <c r="CN36" s="2379"/>
      <c r="CO36" s="2815"/>
      <c r="CP36" s="2815"/>
      <c r="CQ36" s="2815"/>
      <c r="CR36" s="2815"/>
      <c r="CS36" s="2815"/>
      <c r="CT36" s="2815"/>
      <c r="CU36" s="2815"/>
      <c r="CV36" s="2815"/>
      <c r="CW36" s="2815"/>
      <c r="CX36" s="2815"/>
      <c r="CY36" s="2815"/>
      <c r="CZ36" s="2815"/>
      <c r="DA36" s="2815"/>
      <c r="DB36" s="2474"/>
      <c r="DC36" s="2815"/>
      <c r="DD36" s="2815"/>
      <c r="DE36" s="2815"/>
      <c r="DF36" s="2815"/>
      <c r="DG36" s="2815"/>
      <c r="DH36" s="2815"/>
      <c r="DI36" s="2815"/>
      <c r="DJ36" s="2815"/>
      <c r="DK36" s="2815"/>
      <c r="DL36" s="2474"/>
      <c r="DM36" s="2815"/>
      <c r="DN36" s="2815"/>
      <c r="DO36" s="2815"/>
      <c r="DP36" s="2815"/>
      <c r="DQ36" s="2815"/>
      <c r="DR36" s="2815"/>
      <c r="DS36" s="2815"/>
      <c r="DT36" s="2815"/>
      <c r="DU36" s="2815"/>
      <c r="DV36" s="2815"/>
      <c r="DW36" s="2815"/>
      <c r="DX36" s="2815"/>
      <c r="DY36" s="2815"/>
      <c r="DZ36" s="2815"/>
      <c r="EA36" s="2815"/>
      <c r="EB36" s="2815"/>
      <c r="EC36" s="2815"/>
      <c r="ED36" s="2815"/>
      <c r="EE36" s="2379"/>
      <c r="EF36" s="2815"/>
      <c r="EG36" s="2815"/>
      <c r="EH36" s="2815"/>
      <c r="EI36" s="2815"/>
      <c r="EJ36" s="2815"/>
      <c r="EK36" s="2815"/>
      <c r="EL36" s="2815"/>
      <c r="EM36" s="2815"/>
      <c r="EN36" s="2815"/>
      <c r="EO36" s="2815"/>
      <c r="EP36" s="2815"/>
      <c r="EQ36" s="2815"/>
      <c r="ER36" s="2815"/>
      <c r="ES36" s="2815"/>
      <c r="ET36" s="2815"/>
      <c r="EU36" s="2815"/>
      <c r="EV36" s="2815"/>
      <c r="EW36" s="2815"/>
      <c r="EX36" s="2815"/>
      <c r="EY36" s="2815"/>
      <c r="EZ36" s="2815"/>
      <c r="FA36" s="2815"/>
      <c r="FB36" s="2815"/>
      <c r="FC36" s="2815"/>
      <c r="FD36" s="2815"/>
      <c r="FE36" s="2815"/>
      <c r="FF36" s="2815"/>
      <c r="FG36" s="2815"/>
      <c r="FH36" s="2815"/>
      <c r="FI36" s="2815"/>
      <c r="FJ36" s="2815"/>
      <c r="FK36" s="2815"/>
      <c r="FL36" s="2815"/>
      <c r="FM36" s="2815"/>
      <c r="FN36" s="2815"/>
      <c r="FO36" s="2815"/>
      <c r="FP36" s="2815"/>
      <c r="FQ36" s="2815"/>
      <c r="FR36" s="2815"/>
      <c r="FS36" s="2815"/>
      <c r="FT36" s="2815"/>
      <c r="FU36" s="2815"/>
      <c r="FV36" s="2815"/>
      <c r="FW36" s="2815"/>
      <c r="FX36" s="2815"/>
      <c r="FY36" s="2815"/>
      <c r="FZ36" s="2815"/>
      <c r="GA36" s="2815"/>
      <c r="GB36" s="2815"/>
      <c r="GC36" s="2474"/>
      <c r="GD36" s="2379"/>
      <c r="GE36" s="2815"/>
      <c r="GF36" s="2815"/>
      <c r="GG36" s="2815"/>
      <c r="GH36" s="2815"/>
      <c r="GI36" s="2815"/>
      <c r="GJ36" s="2815"/>
      <c r="GK36" s="2815"/>
      <c r="GL36" s="2815"/>
      <c r="GM36" s="2815"/>
      <c r="GN36" s="2815"/>
      <c r="GO36" s="2815"/>
      <c r="GP36" s="2815"/>
      <c r="GQ36" s="2815"/>
      <c r="GR36" s="2815"/>
      <c r="GS36" s="2815"/>
      <c r="GT36" s="2815"/>
      <c r="GU36" s="2815"/>
      <c r="GV36" s="2815"/>
      <c r="GW36" s="2379"/>
      <c r="GX36" s="2379"/>
      <c r="GY36" s="2815"/>
      <c r="GZ36" s="2815"/>
      <c r="HA36" s="2815"/>
      <c r="HB36" s="2815" t="s">
        <v>572</v>
      </c>
      <c r="HC36" s="2815"/>
      <c r="HD36" s="2815"/>
      <c r="HE36" s="2815"/>
      <c r="HF36" s="2815"/>
      <c r="HG36" s="2815"/>
      <c r="HH36" s="2815"/>
      <c r="HI36" s="2815"/>
      <c r="HJ36" s="2815"/>
      <c r="HK36" s="2815"/>
      <c r="HL36" s="2815"/>
      <c r="HM36" s="2815"/>
      <c r="HN36" s="2815"/>
      <c r="HO36" s="2815"/>
      <c r="HP36" s="2815"/>
      <c r="HQ36" s="2815"/>
      <c r="HR36" s="2815"/>
      <c r="HS36" s="2815"/>
      <c r="HT36" s="2815"/>
      <c r="HU36" s="2815"/>
      <c r="HV36" s="2815"/>
      <c r="HW36" s="2815"/>
      <c r="HX36" s="2815"/>
      <c r="HY36" s="2815"/>
      <c r="HZ36" s="2815"/>
      <c r="IA36" s="2815"/>
      <c r="IB36" s="2815"/>
      <c r="IC36" s="2815"/>
      <c r="ID36" s="2815"/>
      <c r="IE36" s="2815"/>
      <c r="IF36" s="2815"/>
      <c r="IG36" s="2815"/>
      <c r="IH36" s="2815"/>
      <c r="II36" s="2815"/>
      <c r="IJ36" s="2815"/>
      <c r="IK36" s="2815"/>
      <c r="IL36" s="2815"/>
      <c r="IM36" s="2815"/>
      <c r="IN36" s="2815"/>
      <c r="IO36" s="2815"/>
      <c r="IP36" s="2815"/>
      <c r="IQ36" s="2815"/>
      <c r="IR36" s="2815"/>
      <c r="IS36" s="2815"/>
      <c r="IT36" s="2815"/>
      <c r="IU36" s="2815"/>
      <c r="IV36" s="2815"/>
      <c r="IW36" s="2815"/>
      <c r="IX36" s="2815"/>
      <c r="IY36" s="2815"/>
      <c r="IZ36" s="2815"/>
      <c r="JA36" s="2815"/>
      <c r="JB36" s="2815"/>
      <c r="JC36" s="2815"/>
      <c r="JD36" s="2815"/>
      <c r="JE36" s="2815"/>
      <c r="JF36" s="2815"/>
      <c r="JG36" s="3788"/>
      <c r="JH36" s="1523"/>
      <c r="JI36" s="2465" t="s">
        <v>7289</v>
      </c>
      <c r="JJ36" s="2469"/>
    </row>
    <row customFormat="1" ht="12.75" r="37" s="34" spans="1:270" x14ac:dyDescent="0.2">
      <c r="A37" s="2459">
        <v>12</v>
      </c>
      <c r="B37" s="2466" t="str">
        <f si="2" t="shared"/>
        <v/>
      </c>
      <c r="C37" s="1278" t="s">
        <v>1392</v>
      </c>
      <c r="D37" s="2928" t="s">
        <v>7321</v>
      </c>
      <c r="E37" s="2472"/>
      <c r="F37" s="2472"/>
      <c r="G37" s="2472"/>
      <c r="H37" s="2473"/>
      <c r="I37" s="2473"/>
      <c r="J37" s="2473"/>
      <c r="K37" s="2472"/>
      <c r="L37" s="2473"/>
      <c r="M37" s="2473"/>
      <c r="N37" s="2473"/>
      <c r="O37" s="2472"/>
      <c r="P37" s="2473"/>
      <c r="Q37" s="2472"/>
      <c r="R37" s="2472"/>
      <c r="S37" s="2473"/>
      <c r="T37" s="2473"/>
      <c r="U37" s="2472"/>
      <c r="V37" s="2472"/>
      <c r="W37" s="2472"/>
      <c r="X37" s="2472"/>
      <c r="Y37" s="2472"/>
      <c r="Z37" s="2473"/>
      <c r="AA37" s="2472"/>
      <c r="AB37" s="2473"/>
      <c r="AC37" s="2472"/>
      <c r="AD37" s="2472"/>
      <c r="AE37" s="2472"/>
      <c r="AF37" s="2472"/>
      <c r="AG37" s="2472"/>
      <c r="AH37" s="2472"/>
      <c r="AI37" s="2473"/>
      <c r="AJ37" s="2473"/>
      <c r="AK37" s="2472"/>
      <c r="AL37" s="2473"/>
      <c r="AM37" s="2473"/>
      <c r="AN37" s="2473"/>
      <c r="AO37" s="2473"/>
      <c r="AP37" s="2472"/>
      <c r="AQ37" s="2472"/>
      <c r="AR37" s="2473"/>
      <c r="AS37" s="2473">
        <v>3600</v>
      </c>
      <c r="AT37" s="2472"/>
      <c r="AU37" s="2472"/>
      <c r="AV37" s="2473"/>
      <c r="AW37" s="2472"/>
      <c r="AX37" s="2472"/>
      <c r="AY37" s="2472"/>
      <c r="AZ37" s="2472"/>
      <c r="BA37" s="2472"/>
      <c r="BB37" s="2472"/>
      <c r="BC37" s="2472"/>
      <c r="BD37" s="2472">
        <v>9000</v>
      </c>
      <c r="BE37" s="2472"/>
      <c r="BF37" s="2472"/>
      <c r="BG37" s="2472"/>
      <c r="BH37" s="2472"/>
      <c r="BI37" s="2472"/>
      <c r="BJ37" s="2472"/>
      <c r="BK37" s="2472"/>
      <c r="BL37" s="2472"/>
      <c r="BM37" s="2472"/>
      <c r="BN37" s="2472"/>
      <c r="BO37" s="2472"/>
      <c r="BP37" s="2472"/>
      <c r="BQ37" s="2472"/>
      <c r="BR37" s="2472"/>
      <c r="BS37" s="2472"/>
      <c r="BT37" s="2472"/>
      <c r="BU37" s="2472"/>
      <c r="BV37" s="2472"/>
      <c r="BW37" s="2472"/>
      <c r="BX37" s="2472"/>
      <c r="BY37" s="2472"/>
      <c r="BZ37" s="2472"/>
      <c r="CA37" s="2472"/>
      <c r="CB37" s="2841"/>
      <c r="CC37" s="2841"/>
      <c r="CD37" s="2841"/>
      <c r="CE37" s="2472"/>
      <c r="CF37" s="2841"/>
      <c r="CG37" s="2841"/>
      <c r="CH37" s="2841"/>
      <c r="CI37" s="2841"/>
      <c r="CJ37" s="2841"/>
      <c r="CK37" s="2841"/>
      <c r="CL37" s="2841"/>
      <c r="CM37" s="2841"/>
      <c r="CN37" s="2472"/>
      <c r="CO37" s="2841"/>
      <c r="CP37" s="2841"/>
      <c r="CQ37" s="2841"/>
      <c r="CR37" s="2841"/>
      <c r="CS37" s="2841"/>
      <c r="CT37" s="2841"/>
      <c r="CU37" s="2841"/>
      <c r="CV37" s="2841"/>
      <c r="CW37" s="2841"/>
      <c r="CX37" s="2841"/>
      <c r="CY37" s="2841"/>
      <c r="CZ37" s="2841"/>
      <c r="DA37" s="2841"/>
      <c r="DB37" s="2472"/>
      <c r="DC37" s="2841"/>
      <c r="DD37" s="2841"/>
      <c r="DE37" s="2841"/>
      <c r="DF37" s="2841"/>
      <c r="DG37" s="2841"/>
      <c r="DH37" s="2841"/>
      <c r="DI37" s="2841"/>
      <c r="DJ37" s="2841"/>
      <c r="DK37" s="2841"/>
      <c r="DL37" s="2472"/>
      <c r="DM37" s="2841"/>
      <c r="DN37" s="2841"/>
      <c r="DO37" s="2841"/>
      <c r="DP37" s="2841"/>
      <c r="DQ37" s="2841"/>
      <c r="DR37" s="2841"/>
      <c r="DS37" s="2841"/>
      <c r="DT37" s="2841"/>
      <c r="DU37" s="2841"/>
      <c r="DV37" s="2841"/>
      <c r="DW37" s="2841"/>
      <c r="DX37" s="2841"/>
      <c r="DY37" s="2841"/>
      <c r="DZ37" s="2841"/>
      <c r="EA37" s="2841"/>
      <c r="EB37" s="2841"/>
      <c r="EC37" s="2841"/>
      <c r="ED37" s="2841"/>
      <c r="EE37" s="2473">
        <v>3600</v>
      </c>
      <c r="EF37" s="2841"/>
      <c r="EG37" s="2841"/>
      <c r="EH37" s="2841"/>
      <c r="EI37" s="2841"/>
      <c r="EJ37" s="2841"/>
      <c r="EK37" s="2841"/>
      <c r="EL37" s="2841"/>
      <c r="EM37" s="2841"/>
      <c r="EN37" s="2841"/>
      <c r="EO37" s="2841"/>
      <c r="EP37" s="2841"/>
      <c r="EQ37" s="2841"/>
      <c r="ER37" s="2841"/>
      <c r="ES37" s="2841"/>
      <c r="ET37" s="2841"/>
      <c r="EU37" s="2841"/>
      <c r="EV37" s="2841"/>
      <c r="EW37" s="2841"/>
      <c r="EX37" s="2841"/>
      <c r="EY37" s="2841"/>
      <c r="EZ37" s="2841"/>
      <c r="FA37" s="2841"/>
      <c r="FB37" s="2841"/>
      <c r="FC37" s="2841"/>
      <c r="FD37" s="2841"/>
      <c r="FE37" s="2841"/>
      <c r="FF37" s="2841"/>
      <c r="FG37" s="2841"/>
      <c r="FH37" s="2841"/>
      <c r="FI37" s="2841"/>
      <c r="FJ37" s="2841"/>
      <c r="FK37" s="2841"/>
      <c r="FL37" s="2841"/>
      <c r="FM37" s="2841"/>
      <c r="FN37" s="2841"/>
      <c r="FO37" s="2841"/>
      <c r="FP37" s="2841"/>
      <c r="FQ37" s="2841"/>
      <c r="FR37" s="2841"/>
      <c r="FS37" s="2841"/>
      <c r="FT37" s="2841"/>
      <c r="FU37" s="2841"/>
      <c r="FV37" s="2841"/>
      <c r="FW37" s="2841"/>
      <c r="FX37" s="2841"/>
      <c r="FY37" s="2841"/>
      <c r="FZ37" s="2841"/>
      <c r="GA37" s="2841"/>
      <c r="GB37" s="2841"/>
      <c r="GC37" s="2472">
        <v>2250</v>
      </c>
      <c r="GD37" s="2472"/>
      <c r="GE37" s="2841"/>
      <c r="GF37" s="2841"/>
      <c r="GG37" s="2841"/>
      <c r="GH37" s="2841"/>
      <c r="GI37" s="2841"/>
      <c r="GJ37" s="2841"/>
      <c r="GK37" s="2841"/>
      <c r="GL37" s="2841"/>
      <c r="GM37" s="2841"/>
      <c r="GN37" s="2841"/>
      <c r="GO37" s="2841"/>
      <c r="GP37" s="2841"/>
      <c r="GQ37" s="2841"/>
      <c r="GR37" s="2841"/>
      <c r="GS37" s="2841"/>
      <c r="GT37" s="2841"/>
      <c r="GU37" s="2841"/>
      <c r="GV37" s="2841"/>
      <c r="GW37" s="2472"/>
      <c r="GX37" s="2472">
        <v>9000</v>
      </c>
      <c r="GY37" s="2841"/>
      <c r="GZ37" s="2841"/>
      <c r="HA37" s="2841"/>
      <c r="HB37" s="2841"/>
      <c r="HC37" s="2841"/>
      <c r="HD37" s="2841"/>
      <c r="HE37" s="2841"/>
      <c r="HF37" s="2841"/>
      <c r="HG37" s="2841"/>
      <c r="HH37" s="2841"/>
      <c r="HI37" s="2841"/>
      <c r="HJ37" s="2841"/>
      <c r="HK37" s="2841"/>
      <c r="HL37" s="2841"/>
      <c r="HM37" s="2841"/>
      <c r="HN37" s="2841"/>
      <c r="HO37" s="2841"/>
      <c r="HP37" s="2841"/>
      <c r="HQ37" s="2841"/>
      <c r="HR37" s="2841"/>
      <c r="HS37" s="2841"/>
      <c r="HT37" s="2841"/>
      <c r="HU37" s="2841"/>
      <c r="HV37" s="2841"/>
      <c r="HW37" s="2841"/>
      <c r="HX37" s="2841"/>
      <c r="HY37" s="2841"/>
      <c r="HZ37" s="2841"/>
      <c r="IA37" s="2841"/>
      <c r="IB37" s="2841"/>
      <c r="IC37" s="2841"/>
      <c r="ID37" s="2841"/>
      <c r="IE37" s="2841"/>
      <c r="IF37" s="2841"/>
      <c r="IG37" s="2841"/>
      <c r="IH37" s="2841"/>
      <c r="II37" s="2841"/>
      <c r="IJ37" s="2841"/>
      <c r="IK37" s="2841"/>
      <c r="IL37" s="2841"/>
      <c r="IM37" s="2841"/>
      <c r="IN37" s="2841"/>
      <c r="IO37" s="2841"/>
      <c r="IP37" s="2841"/>
      <c r="IQ37" s="2841"/>
      <c r="IR37" s="2841"/>
      <c r="IS37" s="2841"/>
      <c r="IT37" s="2841"/>
      <c r="IU37" s="2841"/>
      <c r="IV37" s="2841"/>
      <c r="IW37" s="2841"/>
      <c r="IX37" s="2841"/>
      <c r="IY37" s="2841"/>
      <c r="IZ37" s="2841"/>
      <c r="JA37" s="2841"/>
      <c r="JB37" s="2841"/>
      <c r="JC37" s="2841"/>
      <c r="JD37" s="2841"/>
      <c r="JE37" s="2841"/>
      <c r="JF37" s="2841"/>
      <c r="JG37" s="3794"/>
      <c r="JH37" s="1523"/>
      <c r="JI37" s="2465"/>
      <c r="JJ37" s="2469" t="s">
        <v>6108</v>
      </c>
    </row>
    <row customFormat="1" ht="12.75" r="38" s="34" spans="1:270" x14ac:dyDescent="0.2">
      <c r="A38" s="2459">
        <v>13</v>
      </c>
      <c r="B38" s="2466" t="str">
        <f si="2" t="shared"/>
        <v/>
      </c>
      <c r="C38" s="1278" t="s">
        <v>1393</v>
      </c>
      <c r="D38" s="2928" t="s">
        <v>7322</v>
      </c>
      <c r="E38" s="2472"/>
      <c r="F38" s="2472"/>
      <c r="G38" s="2472"/>
      <c r="H38" s="2473"/>
      <c r="I38" s="2473"/>
      <c r="J38" s="2473"/>
      <c r="K38" s="2472"/>
      <c r="L38" s="2473"/>
      <c r="M38" s="2473"/>
      <c r="N38" s="2473"/>
      <c r="O38" s="2472"/>
      <c r="P38" s="2473"/>
      <c r="Q38" s="2472"/>
      <c r="R38" s="2472"/>
      <c r="S38" s="2473"/>
      <c r="T38" s="2473"/>
      <c r="U38" s="2472"/>
      <c r="V38" s="2472"/>
      <c r="W38" s="2472"/>
      <c r="X38" s="2472"/>
      <c r="Y38" s="2472"/>
      <c r="Z38" s="2473"/>
      <c r="AA38" s="2472"/>
      <c r="AB38" s="2473"/>
      <c r="AC38" s="2472"/>
      <c r="AD38" s="2472"/>
      <c r="AE38" s="2472"/>
      <c r="AF38" s="2472"/>
      <c r="AG38" s="2472"/>
      <c r="AH38" s="2472"/>
      <c r="AI38" s="2473"/>
      <c r="AJ38" s="2473"/>
      <c r="AK38" s="2472"/>
      <c r="AL38" s="2473"/>
      <c r="AM38" s="2473"/>
      <c r="AN38" s="2473"/>
      <c r="AO38" s="2473"/>
      <c r="AP38" s="2472"/>
      <c r="AQ38" s="2472"/>
      <c r="AR38" s="2473"/>
      <c r="AS38" s="2473"/>
      <c r="AT38" s="2472"/>
      <c r="AU38" s="2472"/>
      <c r="AV38" s="2473"/>
      <c r="AW38" s="2472"/>
      <c r="AX38" s="2472"/>
      <c r="AY38" s="2472"/>
      <c r="AZ38" s="2472"/>
      <c r="BA38" s="2472"/>
      <c r="BB38" s="2472"/>
      <c r="BC38" s="2472"/>
      <c r="BD38" s="2472"/>
      <c r="BE38" s="2472"/>
      <c r="BF38" s="2472"/>
      <c r="BG38" s="2472"/>
      <c r="BH38" s="2472"/>
      <c r="BI38" s="2472"/>
      <c r="BJ38" s="2472"/>
      <c r="BK38" s="2472"/>
      <c r="BL38" s="2472"/>
      <c r="BM38" s="2472"/>
      <c r="BN38" s="2472"/>
      <c r="BO38" s="2472"/>
      <c r="BP38" s="2472"/>
      <c r="BQ38" s="2472"/>
      <c r="BR38" s="2472"/>
      <c r="BS38" s="2472"/>
      <c r="BT38" s="2472"/>
      <c r="BU38" s="2472"/>
      <c r="BV38" s="2472"/>
      <c r="BW38" s="2472"/>
      <c r="BX38" s="2472"/>
      <c r="BY38" s="2472"/>
      <c r="BZ38" s="2472"/>
      <c r="CA38" s="2472"/>
      <c r="CB38" s="2841"/>
      <c r="CC38" s="2841"/>
      <c r="CD38" s="2841"/>
      <c r="CE38" s="2472"/>
      <c r="CF38" s="2841"/>
      <c r="CG38" s="2841"/>
      <c r="CH38" s="2841"/>
      <c r="CI38" s="2841"/>
      <c r="CJ38" s="2841"/>
      <c r="CK38" s="2841"/>
      <c r="CL38" s="2841"/>
      <c r="CM38" s="2841"/>
      <c r="CN38" s="2472"/>
      <c r="CO38" s="2841"/>
      <c r="CP38" s="2841"/>
      <c r="CQ38" s="2841"/>
      <c r="CR38" s="2841"/>
      <c r="CS38" s="2841"/>
      <c r="CT38" s="2841"/>
      <c r="CU38" s="2841"/>
      <c r="CV38" s="2841"/>
      <c r="CW38" s="2841"/>
      <c r="CX38" s="2841"/>
      <c r="CY38" s="2841"/>
      <c r="CZ38" s="2841"/>
      <c r="DA38" s="2841"/>
      <c r="DB38" s="2472"/>
      <c r="DC38" s="2841"/>
      <c r="DD38" s="2841"/>
      <c r="DE38" s="2841"/>
      <c r="DF38" s="2841"/>
      <c r="DG38" s="2841"/>
      <c r="DH38" s="2841"/>
      <c r="DI38" s="2841"/>
      <c r="DJ38" s="2841"/>
      <c r="DK38" s="2841"/>
      <c r="DL38" s="2472"/>
      <c r="DM38" s="2841"/>
      <c r="DN38" s="2841"/>
      <c r="DO38" s="2841"/>
      <c r="DP38" s="2841"/>
      <c r="DQ38" s="2841"/>
      <c r="DR38" s="2841"/>
      <c r="DS38" s="2841"/>
      <c r="DT38" s="2841"/>
      <c r="DU38" s="2841"/>
      <c r="DV38" s="2841"/>
      <c r="DW38" s="2841"/>
      <c r="DX38" s="2841"/>
      <c r="DY38" s="2841"/>
      <c r="DZ38" s="2841"/>
      <c r="EA38" s="2841"/>
      <c r="EB38" s="2841"/>
      <c r="EC38" s="2841"/>
      <c r="ED38" s="2841"/>
      <c r="EE38" s="2473"/>
      <c r="EF38" s="2841"/>
      <c r="EG38" s="2841"/>
      <c r="EH38" s="2841"/>
      <c r="EI38" s="2841"/>
      <c r="EJ38" s="2841"/>
      <c r="EK38" s="2841"/>
      <c r="EL38" s="2841"/>
      <c r="EM38" s="2841"/>
      <c r="EN38" s="2841"/>
      <c r="EO38" s="2841"/>
      <c r="EP38" s="2841"/>
      <c r="EQ38" s="2841"/>
      <c r="ER38" s="2841"/>
      <c r="ES38" s="2841"/>
      <c r="ET38" s="2841"/>
      <c r="EU38" s="2841"/>
      <c r="EV38" s="2841"/>
      <c r="EW38" s="2841"/>
      <c r="EX38" s="2841"/>
      <c r="EY38" s="2841"/>
      <c r="EZ38" s="2841"/>
      <c r="FA38" s="2841"/>
      <c r="FB38" s="2841"/>
      <c r="FC38" s="2841"/>
      <c r="FD38" s="2841"/>
      <c r="FE38" s="2841"/>
      <c r="FF38" s="2841"/>
      <c r="FG38" s="2841"/>
      <c r="FH38" s="2841"/>
      <c r="FI38" s="2841"/>
      <c r="FJ38" s="2841"/>
      <c r="FK38" s="2841"/>
      <c r="FL38" s="2841"/>
      <c r="FM38" s="2841"/>
      <c r="FN38" s="2841"/>
      <c r="FO38" s="2841"/>
      <c r="FP38" s="2841"/>
      <c r="FQ38" s="2841"/>
      <c r="FR38" s="2841"/>
      <c r="FS38" s="2841"/>
      <c r="FT38" s="2841"/>
      <c r="FU38" s="2841"/>
      <c r="FV38" s="2841"/>
      <c r="FW38" s="2841"/>
      <c r="FX38" s="2841"/>
      <c r="FY38" s="2841"/>
      <c r="FZ38" s="2841"/>
      <c r="GA38" s="2841"/>
      <c r="GB38" s="2841"/>
      <c r="GC38" s="2472">
        <v>650</v>
      </c>
      <c r="GD38" s="2472"/>
      <c r="GE38" s="2841"/>
      <c r="GF38" s="2841"/>
      <c r="GG38" s="2841"/>
      <c r="GH38" s="2841"/>
      <c r="GI38" s="2841"/>
      <c r="GJ38" s="2841"/>
      <c r="GK38" s="2841"/>
      <c r="GL38" s="2841"/>
      <c r="GM38" s="2841"/>
      <c r="GN38" s="2841"/>
      <c r="GO38" s="2841"/>
      <c r="GP38" s="2841"/>
      <c r="GQ38" s="2841"/>
      <c r="GR38" s="2841"/>
      <c r="GS38" s="2841"/>
      <c r="GT38" s="2841"/>
      <c r="GU38" s="2841"/>
      <c r="GV38" s="2841"/>
      <c r="GW38" s="2472"/>
      <c r="GX38" s="2472"/>
      <c r="GY38" s="2841"/>
      <c r="GZ38" s="2841"/>
      <c r="HA38" s="2841"/>
      <c r="HB38" s="2841"/>
      <c r="HC38" s="2841"/>
      <c r="HD38" s="2841"/>
      <c r="HE38" s="2841"/>
      <c r="HF38" s="2841"/>
      <c r="HG38" s="2841"/>
      <c r="HH38" s="2841"/>
      <c r="HI38" s="2841"/>
      <c r="HJ38" s="2841"/>
      <c r="HK38" s="2841"/>
      <c r="HL38" s="2841"/>
      <c r="HM38" s="2841"/>
      <c r="HN38" s="2841"/>
      <c r="HO38" s="2841"/>
      <c r="HP38" s="2841"/>
      <c r="HQ38" s="2841"/>
      <c r="HR38" s="2841"/>
      <c r="HS38" s="2841"/>
      <c r="HT38" s="2841"/>
      <c r="HU38" s="2841"/>
      <c r="HV38" s="2841"/>
      <c r="HW38" s="2841"/>
      <c r="HX38" s="2841"/>
      <c r="HY38" s="2841"/>
      <c r="HZ38" s="2841"/>
      <c r="IA38" s="2841"/>
      <c r="IB38" s="2841"/>
      <c r="IC38" s="2841"/>
      <c r="ID38" s="2841"/>
      <c r="IE38" s="2841"/>
      <c r="IF38" s="2841"/>
      <c r="IG38" s="2841"/>
      <c r="IH38" s="2841"/>
      <c r="II38" s="2841"/>
      <c r="IJ38" s="2841"/>
      <c r="IK38" s="2841"/>
      <c r="IL38" s="2841"/>
      <c r="IM38" s="2841"/>
      <c r="IN38" s="2841"/>
      <c r="IO38" s="2841"/>
      <c r="IP38" s="2841"/>
      <c r="IQ38" s="2841"/>
      <c r="IR38" s="2841"/>
      <c r="IS38" s="2841"/>
      <c r="IT38" s="2841"/>
      <c r="IU38" s="2841"/>
      <c r="IV38" s="2841"/>
      <c r="IW38" s="2841"/>
      <c r="IX38" s="2841"/>
      <c r="IY38" s="2841"/>
      <c r="IZ38" s="2841"/>
      <c r="JA38" s="2841"/>
      <c r="JB38" s="2841"/>
      <c r="JC38" s="2841"/>
      <c r="JD38" s="2841"/>
      <c r="JE38" s="2841"/>
      <c r="JF38" s="2841"/>
      <c r="JG38" s="3794"/>
      <c r="JH38" s="1523"/>
      <c r="JI38" s="2465"/>
      <c r="JJ38" s="2469" t="s">
        <v>6108</v>
      </c>
    </row>
    <row customFormat="1" ht="12.75" r="39" s="34" spans="1:270" x14ac:dyDescent="0.2">
      <c r="A39" s="2459">
        <v>14</v>
      </c>
      <c r="B39" s="2466" t="str">
        <f si="2" t="shared"/>
        <v/>
      </c>
      <c r="C39" s="1278" t="s">
        <v>1394</v>
      </c>
      <c r="D39" s="2928" t="s">
        <v>7323</v>
      </c>
      <c r="E39" s="2472"/>
      <c r="F39" s="2472"/>
      <c r="G39" s="2472"/>
      <c r="H39" s="2473"/>
      <c r="I39" s="2473"/>
      <c r="J39" s="2473"/>
      <c r="K39" s="2472"/>
      <c r="L39" s="2473"/>
      <c r="M39" s="2473"/>
      <c r="N39" s="2473"/>
      <c r="O39" s="2472"/>
      <c r="P39" s="2473"/>
      <c r="Q39" s="2472"/>
      <c r="R39" s="2472"/>
      <c r="S39" s="2473"/>
      <c r="T39" s="2473"/>
      <c r="U39" s="2472"/>
      <c r="V39" s="2472"/>
      <c r="W39" s="2472"/>
      <c r="X39" s="2472"/>
      <c r="Y39" s="2472"/>
      <c r="Z39" s="2473"/>
      <c r="AA39" s="2472"/>
      <c r="AB39" s="2473"/>
      <c r="AC39" s="2472"/>
      <c r="AD39" s="2472"/>
      <c r="AE39" s="2472"/>
      <c r="AF39" s="2472"/>
      <c r="AG39" s="2472"/>
      <c r="AH39" s="2472"/>
      <c r="AI39" s="2473"/>
      <c r="AJ39" s="2473"/>
      <c r="AK39" s="2472"/>
      <c r="AL39" s="2473"/>
      <c r="AM39" s="2473"/>
      <c r="AN39" s="2473"/>
      <c r="AO39" s="2473"/>
      <c r="AP39" s="2472"/>
      <c r="AQ39" s="2472"/>
      <c r="AR39" s="2473"/>
      <c r="AS39" s="2473">
        <v>350</v>
      </c>
      <c r="AT39" s="2472"/>
      <c r="AU39" s="2472"/>
      <c r="AV39" s="2473"/>
      <c r="AW39" s="2472"/>
      <c r="AX39" s="2472"/>
      <c r="AY39" s="2472"/>
      <c r="AZ39" s="2472"/>
      <c r="BA39" s="2472">
        <v>500</v>
      </c>
      <c r="BB39" s="2472"/>
      <c r="BC39" s="2472"/>
      <c r="BD39" s="2472"/>
      <c r="BE39" s="2472"/>
      <c r="BF39" s="2472"/>
      <c r="BG39" s="2472"/>
      <c r="BH39" s="2472"/>
      <c r="BI39" s="2472"/>
      <c r="BJ39" s="2472"/>
      <c r="BK39" s="2472"/>
      <c r="BL39" s="2472"/>
      <c r="BM39" s="2472"/>
      <c r="BN39" s="2472"/>
      <c r="BO39" s="2472"/>
      <c r="BP39" s="2472"/>
      <c r="BQ39" s="2472"/>
      <c r="BR39" s="2472"/>
      <c r="BS39" s="2472"/>
      <c r="BT39" s="2472"/>
      <c r="BU39" s="2472"/>
      <c r="BV39" s="2472"/>
      <c r="BW39" s="2472"/>
      <c r="BX39" s="2472"/>
      <c r="BY39" s="2472"/>
      <c r="BZ39" s="2472"/>
      <c r="CA39" s="2472"/>
      <c r="CB39" s="2841"/>
      <c r="CC39" s="2841"/>
      <c r="CD39" s="2841"/>
      <c r="CE39" s="2472"/>
      <c r="CF39" s="2841"/>
      <c r="CG39" s="2841"/>
      <c r="CH39" s="2841"/>
      <c r="CI39" s="2841"/>
      <c r="CJ39" s="2841"/>
      <c r="CK39" s="2841"/>
      <c r="CL39" s="2841"/>
      <c r="CM39" s="2841"/>
      <c r="CN39" s="2472"/>
      <c r="CO39" s="2841"/>
      <c r="CP39" s="2841"/>
      <c r="CQ39" s="2841"/>
      <c r="CR39" s="2841"/>
      <c r="CS39" s="2841"/>
      <c r="CT39" s="2841"/>
      <c r="CU39" s="2841"/>
      <c r="CV39" s="2841"/>
      <c r="CW39" s="2841"/>
      <c r="CX39" s="2841"/>
      <c r="CY39" s="2841"/>
      <c r="CZ39" s="2841"/>
      <c r="DA39" s="2841"/>
      <c r="DB39" s="2472"/>
      <c r="DC39" s="2841"/>
      <c r="DD39" s="2841"/>
      <c r="DE39" s="2841"/>
      <c r="DF39" s="2841"/>
      <c r="DG39" s="2841"/>
      <c r="DH39" s="2841"/>
      <c r="DI39" s="2841"/>
      <c r="DJ39" s="2841"/>
      <c r="DK39" s="2841"/>
      <c r="DL39" s="2472"/>
      <c r="DM39" s="2841"/>
      <c r="DN39" s="2841"/>
      <c r="DO39" s="2841"/>
      <c r="DP39" s="2841"/>
      <c r="DQ39" s="2841"/>
      <c r="DR39" s="2841"/>
      <c r="DS39" s="2841"/>
      <c r="DT39" s="2841"/>
      <c r="DU39" s="2841"/>
      <c r="DV39" s="2841"/>
      <c r="DW39" s="2841"/>
      <c r="DX39" s="2841"/>
      <c r="DY39" s="2841"/>
      <c r="DZ39" s="2841"/>
      <c r="EA39" s="2841"/>
      <c r="EB39" s="2841"/>
      <c r="EC39" s="2841"/>
      <c r="ED39" s="2841"/>
      <c r="EE39" s="2473">
        <v>350</v>
      </c>
      <c r="EF39" s="2841"/>
      <c r="EG39" s="2841"/>
      <c r="EH39" s="2841"/>
      <c r="EI39" s="2841"/>
      <c r="EJ39" s="2841"/>
      <c r="EK39" s="2841"/>
      <c r="EL39" s="2841"/>
      <c r="EM39" s="2841"/>
      <c r="EN39" s="2841"/>
      <c r="EO39" s="2841"/>
      <c r="EP39" s="2841"/>
      <c r="EQ39" s="2841"/>
      <c r="ER39" s="2841"/>
      <c r="ES39" s="2841"/>
      <c r="ET39" s="2841"/>
      <c r="EU39" s="2841"/>
      <c r="EV39" s="2841"/>
      <c r="EW39" s="2841"/>
      <c r="EX39" s="2841"/>
      <c r="EY39" s="2841"/>
      <c r="EZ39" s="2841"/>
      <c r="FA39" s="2841"/>
      <c r="FB39" s="2841"/>
      <c r="FC39" s="2841"/>
      <c r="FD39" s="2841"/>
      <c r="FE39" s="2841"/>
      <c r="FF39" s="2841"/>
      <c r="FG39" s="2841"/>
      <c r="FH39" s="2841"/>
      <c r="FI39" s="2841"/>
      <c r="FJ39" s="2841"/>
      <c r="FK39" s="2841"/>
      <c r="FL39" s="2841"/>
      <c r="FM39" s="2841"/>
      <c r="FN39" s="2841"/>
      <c r="FO39" s="2841"/>
      <c r="FP39" s="2841"/>
      <c r="FQ39" s="2841"/>
      <c r="FR39" s="2841"/>
      <c r="FS39" s="2841"/>
      <c r="FT39" s="2841"/>
      <c r="FU39" s="2841"/>
      <c r="FV39" s="2841"/>
      <c r="FW39" s="2841"/>
      <c r="FX39" s="2841"/>
      <c r="FY39" s="2841"/>
      <c r="FZ39" s="2841"/>
      <c r="GA39" s="2841"/>
      <c r="GB39" s="2841"/>
      <c r="GC39" s="2472">
        <v>75</v>
      </c>
      <c r="GD39" s="2472"/>
      <c r="GE39" s="2841"/>
      <c r="GF39" s="2841"/>
      <c r="GG39" s="2841"/>
      <c r="GH39" s="2841"/>
      <c r="GI39" s="2841"/>
      <c r="GJ39" s="2841"/>
      <c r="GK39" s="2841"/>
      <c r="GL39" s="2841"/>
      <c r="GM39" s="2841"/>
      <c r="GN39" s="2841"/>
      <c r="GO39" s="2841"/>
      <c r="GP39" s="2841"/>
      <c r="GQ39" s="2841"/>
      <c r="GR39" s="2841"/>
      <c r="GS39" s="2841"/>
      <c r="GT39" s="2841"/>
      <c r="GU39" s="2841"/>
      <c r="GV39" s="2841"/>
      <c r="GW39" s="2472"/>
      <c r="GX39" s="2472"/>
      <c r="GY39" s="2841"/>
      <c r="GZ39" s="2841"/>
      <c r="HA39" s="2841"/>
      <c r="HB39" s="2841"/>
      <c r="HC39" s="2841"/>
      <c r="HD39" s="2841"/>
      <c r="HE39" s="2841"/>
      <c r="HF39" s="2841"/>
      <c r="HG39" s="2841"/>
      <c r="HH39" s="2841"/>
      <c r="HI39" s="2841"/>
      <c r="HJ39" s="2841"/>
      <c r="HK39" s="2841"/>
      <c r="HL39" s="2841"/>
      <c r="HM39" s="2841"/>
      <c r="HN39" s="2841"/>
      <c r="HO39" s="2841"/>
      <c r="HP39" s="2841"/>
      <c r="HQ39" s="2841"/>
      <c r="HR39" s="2841"/>
      <c r="HS39" s="2841"/>
      <c r="HT39" s="2841"/>
      <c r="HU39" s="2841"/>
      <c r="HV39" s="2841"/>
      <c r="HW39" s="2841"/>
      <c r="HX39" s="2841"/>
      <c r="HY39" s="2841"/>
      <c r="HZ39" s="2841"/>
      <c r="IA39" s="2841"/>
      <c r="IB39" s="2841"/>
      <c r="IC39" s="2841"/>
      <c r="ID39" s="2841"/>
      <c r="IE39" s="2841"/>
      <c r="IF39" s="2841"/>
      <c r="IG39" s="2841"/>
      <c r="IH39" s="2841"/>
      <c r="II39" s="2841"/>
      <c r="IJ39" s="2841"/>
      <c r="IK39" s="2841"/>
      <c r="IL39" s="2841"/>
      <c r="IM39" s="2841"/>
      <c r="IN39" s="2841"/>
      <c r="IO39" s="2841"/>
      <c r="IP39" s="2841"/>
      <c r="IQ39" s="2841"/>
      <c r="IR39" s="2841"/>
      <c r="IS39" s="2841"/>
      <c r="IT39" s="2841"/>
      <c r="IU39" s="2841"/>
      <c r="IV39" s="2841"/>
      <c r="IW39" s="2841"/>
      <c r="IX39" s="2841"/>
      <c r="IY39" s="2841"/>
      <c r="IZ39" s="2841"/>
      <c r="JA39" s="2841"/>
      <c r="JB39" s="2841"/>
      <c r="JC39" s="2841"/>
      <c r="JD39" s="2841"/>
      <c r="JE39" s="2841"/>
      <c r="JF39" s="2841"/>
      <c r="JG39" s="3794"/>
      <c r="JH39" s="1523"/>
      <c r="JI39" s="2465"/>
      <c r="JJ39" s="2469" t="s">
        <v>6108</v>
      </c>
    </row>
    <row customFormat="1" ht="12.75" r="40" s="34" spans="1:270" x14ac:dyDescent="0.2">
      <c r="A40" s="2459">
        <v>15</v>
      </c>
      <c r="B40" s="2466" t="str">
        <f si="2" t="shared"/>
        <v/>
      </c>
      <c r="C40" s="1278" t="s">
        <v>1846</v>
      </c>
      <c r="D40" s="2928" t="s">
        <v>7324</v>
      </c>
      <c r="E40" s="2472"/>
      <c r="F40" s="2472"/>
      <c r="G40" s="2472"/>
      <c r="H40" s="2473"/>
      <c r="I40" s="2473"/>
      <c r="J40" s="2473"/>
      <c r="K40" s="2472"/>
      <c r="L40" s="2473"/>
      <c r="M40" s="2473"/>
      <c r="N40" s="2473"/>
      <c r="O40" s="2472"/>
      <c r="P40" s="2473"/>
      <c r="Q40" s="2472"/>
      <c r="R40" s="2472"/>
      <c r="S40" s="2473"/>
      <c r="T40" s="2473"/>
      <c r="U40" s="2472"/>
      <c r="V40" s="2472"/>
      <c r="W40" s="2472"/>
      <c r="X40" s="2472"/>
      <c r="Y40" s="2472"/>
      <c r="Z40" s="2473"/>
      <c r="AA40" s="2472"/>
      <c r="AB40" s="2473"/>
      <c r="AC40" s="2472"/>
      <c r="AD40" s="2472"/>
      <c r="AE40" s="2472"/>
      <c r="AF40" s="2472"/>
      <c r="AG40" s="2472"/>
      <c r="AH40" s="2472"/>
      <c r="AI40" s="2473"/>
      <c r="AJ40" s="2473"/>
      <c r="AK40" s="2472"/>
      <c r="AL40" s="2473"/>
      <c r="AM40" s="2473"/>
      <c r="AN40" s="2473"/>
      <c r="AO40" s="2473"/>
      <c r="AP40" s="2472"/>
      <c r="AQ40" s="2472"/>
      <c r="AR40" s="2473"/>
      <c r="AS40" s="2473"/>
      <c r="AT40" s="2472"/>
      <c r="AU40" s="2472"/>
      <c r="AV40" s="2473"/>
      <c r="AW40" s="2472"/>
      <c r="AX40" s="2472"/>
      <c r="AY40" s="2472"/>
      <c r="AZ40" s="2472"/>
      <c r="BA40" s="2472"/>
      <c r="BB40" s="2472"/>
      <c r="BC40" s="2472"/>
      <c r="BD40" s="2472"/>
      <c r="BE40" s="2472"/>
      <c r="BF40" s="2472">
        <v>600</v>
      </c>
      <c r="BG40" s="2472"/>
      <c r="BH40" s="2472"/>
      <c r="BI40" s="2472"/>
      <c r="BJ40" s="2472"/>
      <c r="BK40" s="2472"/>
      <c r="BL40" s="2472"/>
      <c r="BM40" s="2472"/>
      <c r="BN40" s="2472"/>
      <c r="BO40" s="2472"/>
      <c r="BP40" s="2472"/>
      <c r="BQ40" s="2472"/>
      <c r="BR40" s="2472"/>
      <c r="BS40" s="2472"/>
      <c r="BT40" s="2472"/>
      <c r="BU40" s="2472"/>
      <c r="BV40" s="2472"/>
      <c r="BW40" s="2472"/>
      <c r="BX40" s="2472"/>
      <c r="BY40" s="2472"/>
      <c r="BZ40" s="2472"/>
      <c r="CA40" s="2472"/>
      <c r="CB40" s="2841"/>
      <c r="CC40" s="2841"/>
      <c r="CD40" s="2841"/>
      <c r="CE40" s="2472">
        <v>600</v>
      </c>
      <c r="CF40" s="2841"/>
      <c r="CG40" s="2841"/>
      <c r="CH40" s="2841"/>
      <c r="CI40" s="2841"/>
      <c r="CJ40" s="2841"/>
      <c r="CK40" s="2841"/>
      <c r="CL40" s="2841"/>
      <c r="CM40" s="2841"/>
      <c r="CN40" s="2472"/>
      <c r="CO40" s="2841"/>
      <c r="CP40" s="2841"/>
      <c r="CQ40" s="2841"/>
      <c r="CR40" s="2841"/>
      <c r="CS40" s="2841"/>
      <c r="CT40" s="2841"/>
      <c r="CU40" s="2841"/>
      <c r="CV40" s="2841"/>
      <c r="CW40" s="2841"/>
      <c r="CX40" s="2841"/>
      <c r="CY40" s="2841"/>
      <c r="CZ40" s="2841"/>
      <c r="DA40" s="2841"/>
      <c r="DB40" s="2472">
        <v>600</v>
      </c>
      <c r="DC40" s="2841"/>
      <c r="DD40" s="2841"/>
      <c r="DE40" s="2841"/>
      <c r="DF40" s="2841"/>
      <c r="DG40" s="2841"/>
      <c r="DH40" s="2841"/>
      <c r="DI40" s="2841"/>
      <c r="DJ40" s="2841"/>
      <c r="DK40" s="2841"/>
      <c r="DL40" s="2472">
        <v>600</v>
      </c>
      <c r="DM40" s="2841"/>
      <c r="DN40" s="2841"/>
      <c r="DO40" s="2841"/>
      <c r="DP40" s="2841"/>
      <c r="DQ40" s="2841"/>
      <c r="DR40" s="2841"/>
      <c r="DS40" s="2841"/>
      <c r="DT40" s="2841"/>
      <c r="DU40" s="2841"/>
      <c r="DV40" s="2841"/>
      <c r="DW40" s="2841"/>
      <c r="DX40" s="2841"/>
      <c r="DY40" s="2841"/>
      <c r="DZ40" s="2841"/>
      <c r="EA40" s="2841"/>
      <c r="EB40" s="2841"/>
      <c r="EC40" s="2841"/>
      <c r="ED40" s="2841"/>
      <c r="EE40" s="2473"/>
      <c r="EF40" s="2841"/>
      <c r="EG40" s="2841"/>
      <c r="EH40" s="2841"/>
      <c r="EI40" s="2841"/>
      <c r="EJ40" s="2841"/>
      <c r="EK40" s="2841"/>
      <c r="EL40" s="2841"/>
      <c r="EM40" s="2841"/>
      <c r="EN40" s="2841"/>
      <c r="EO40" s="2841"/>
      <c r="EP40" s="2841"/>
      <c r="EQ40" s="2841"/>
      <c r="ER40" s="2841"/>
      <c r="ES40" s="2841"/>
      <c r="ET40" s="2841"/>
      <c r="EU40" s="2841"/>
      <c r="EV40" s="2841"/>
      <c r="EW40" s="2841"/>
      <c r="EX40" s="2841"/>
      <c r="EY40" s="2841"/>
      <c r="EZ40" s="2841"/>
      <c r="FA40" s="2841"/>
      <c r="FB40" s="2841"/>
      <c r="FC40" s="2841"/>
      <c r="FD40" s="2841"/>
      <c r="FE40" s="2841"/>
      <c r="FF40" s="2841"/>
      <c r="FG40" s="2841"/>
      <c r="FH40" s="2841"/>
      <c r="FI40" s="2841"/>
      <c r="FJ40" s="2841"/>
      <c r="FK40" s="2841"/>
      <c r="FL40" s="2841"/>
      <c r="FM40" s="2841"/>
      <c r="FN40" s="2841"/>
      <c r="FO40" s="2841"/>
      <c r="FP40" s="2841"/>
      <c r="FQ40" s="2841"/>
      <c r="FR40" s="2841"/>
      <c r="FS40" s="2841"/>
      <c r="FT40" s="2841"/>
      <c r="FU40" s="2841"/>
      <c r="FV40" s="2841"/>
      <c r="FW40" s="2841"/>
      <c r="FX40" s="2841"/>
      <c r="FY40" s="2841"/>
      <c r="FZ40" s="2841"/>
      <c r="GA40" s="2841"/>
      <c r="GB40" s="2841"/>
      <c r="GC40" s="2472"/>
      <c r="GD40" s="2472"/>
      <c r="GE40" s="2841"/>
      <c r="GF40" s="2841"/>
      <c r="GG40" s="2841"/>
      <c r="GH40" s="2841"/>
      <c r="GI40" s="2841"/>
      <c r="GJ40" s="2841"/>
      <c r="GK40" s="2841"/>
      <c r="GL40" s="2841"/>
      <c r="GM40" s="2841"/>
      <c r="GN40" s="2841"/>
      <c r="GO40" s="2841"/>
      <c r="GP40" s="2841"/>
      <c r="GQ40" s="2841"/>
      <c r="GR40" s="2841"/>
      <c r="GS40" s="2841"/>
      <c r="GT40" s="2841"/>
      <c r="GU40" s="2841"/>
      <c r="GV40" s="2841"/>
      <c r="GW40" s="2472"/>
      <c r="GX40" s="2472"/>
      <c r="GY40" s="2841"/>
      <c r="GZ40" s="2841"/>
      <c r="HA40" s="2841"/>
      <c r="HB40" s="2841"/>
      <c r="HC40" s="2841"/>
      <c r="HD40" s="2841"/>
      <c r="HE40" s="2841"/>
      <c r="HF40" s="2841"/>
      <c r="HG40" s="2841"/>
      <c r="HH40" s="2841"/>
      <c r="HI40" s="2841"/>
      <c r="HJ40" s="2841"/>
      <c r="HK40" s="2841"/>
      <c r="HL40" s="2841"/>
      <c r="HM40" s="2841"/>
      <c r="HN40" s="2841"/>
      <c r="HO40" s="2841"/>
      <c r="HP40" s="2841"/>
      <c r="HQ40" s="2841"/>
      <c r="HR40" s="2841"/>
      <c r="HS40" s="2841"/>
      <c r="HT40" s="2841"/>
      <c r="HU40" s="2841"/>
      <c r="HV40" s="2841"/>
      <c r="HW40" s="2841"/>
      <c r="HX40" s="2841"/>
      <c r="HY40" s="2841"/>
      <c r="HZ40" s="2841"/>
      <c r="IA40" s="2841"/>
      <c r="IB40" s="2841"/>
      <c r="IC40" s="2841"/>
      <c r="ID40" s="2841"/>
      <c r="IE40" s="2841"/>
      <c r="IF40" s="2841"/>
      <c r="IG40" s="2841"/>
      <c r="IH40" s="2841"/>
      <c r="II40" s="2841"/>
      <c r="IJ40" s="2841"/>
      <c r="IK40" s="2841"/>
      <c r="IL40" s="2841"/>
      <c r="IM40" s="2841"/>
      <c r="IN40" s="2841"/>
      <c r="IO40" s="2841"/>
      <c r="IP40" s="2841"/>
      <c r="IQ40" s="2841"/>
      <c r="IR40" s="2841"/>
      <c r="IS40" s="2841"/>
      <c r="IT40" s="2841"/>
      <c r="IU40" s="2841"/>
      <c r="IV40" s="2841"/>
      <c r="IW40" s="2841"/>
      <c r="IX40" s="2841"/>
      <c r="IY40" s="2841"/>
      <c r="IZ40" s="2841"/>
      <c r="JA40" s="2841"/>
      <c r="JB40" s="2841"/>
      <c r="JC40" s="2841"/>
      <c r="JD40" s="2841"/>
      <c r="JE40" s="2841"/>
      <c r="JF40" s="2841"/>
      <c r="JG40" s="3794"/>
      <c r="JH40" s="1523"/>
      <c r="JI40" s="2465"/>
      <c r="JJ40" s="2469" t="s">
        <v>6108</v>
      </c>
    </row>
    <row customFormat="1" ht="12.75" r="41" s="34" spans="1:270" x14ac:dyDescent="0.2">
      <c r="A41" s="2459">
        <v>16</v>
      </c>
      <c r="B41" s="2466" t="str">
        <f si="2" t="shared"/>
        <v/>
      </c>
      <c r="C41" s="1278" t="s">
        <v>1847</v>
      </c>
      <c r="D41" s="2928" t="s">
        <v>7326</v>
      </c>
      <c r="E41" s="2472"/>
      <c r="F41" s="2472"/>
      <c r="G41" s="2472"/>
      <c r="H41" s="2473"/>
      <c r="I41" s="2473"/>
      <c r="J41" s="2473"/>
      <c r="K41" s="2472"/>
      <c r="L41" s="2473"/>
      <c r="M41" s="2473"/>
      <c r="N41" s="2473"/>
      <c r="O41" s="2472"/>
      <c r="P41" s="2473"/>
      <c r="Q41" s="2472"/>
      <c r="R41" s="2472"/>
      <c r="S41" s="2473"/>
      <c r="T41" s="2473"/>
      <c r="U41" s="2472"/>
      <c r="V41" s="2472"/>
      <c r="W41" s="2472"/>
      <c r="X41" s="2472"/>
      <c r="Y41" s="2472"/>
      <c r="Z41" s="2473"/>
      <c r="AA41" s="2472"/>
      <c r="AB41" s="2473"/>
      <c r="AC41" s="2472"/>
      <c r="AD41" s="2472"/>
      <c r="AE41" s="2472"/>
      <c r="AF41" s="2472"/>
      <c r="AG41" s="2472"/>
      <c r="AH41" s="2472"/>
      <c r="AI41" s="2473"/>
      <c r="AJ41" s="2473"/>
      <c r="AK41" s="2472"/>
      <c r="AL41" s="2473"/>
      <c r="AM41" s="2473"/>
      <c r="AN41" s="2473"/>
      <c r="AO41" s="2473"/>
      <c r="AP41" s="2472"/>
      <c r="AQ41" s="2472"/>
      <c r="AR41" s="2473"/>
      <c r="AS41" s="2473"/>
      <c r="AT41" s="2472"/>
      <c r="AU41" s="2472"/>
      <c r="AV41" s="2473"/>
      <c r="AW41" s="2472"/>
      <c r="AX41" s="2472"/>
      <c r="AY41" s="2472"/>
      <c r="AZ41" s="2472"/>
      <c r="BA41" s="2472">
        <v>5000</v>
      </c>
      <c r="BB41" s="2472"/>
      <c r="BC41" s="2472"/>
      <c r="BD41" s="2472"/>
      <c r="BE41" s="2472"/>
      <c r="BF41" s="2472"/>
      <c r="BG41" s="2472"/>
      <c r="BH41" s="2472"/>
      <c r="BI41" s="2472"/>
      <c r="BJ41" s="2472"/>
      <c r="BK41" s="2472"/>
      <c r="BL41" s="2472"/>
      <c r="BM41" s="2472"/>
      <c r="BN41" s="2472"/>
      <c r="BO41" s="2472"/>
      <c r="BP41" s="2472"/>
      <c r="BQ41" s="2472"/>
      <c r="BR41" s="2472"/>
      <c r="BS41" s="2472"/>
      <c r="BT41" s="2472"/>
      <c r="BU41" s="2472"/>
      <c r="BV41" s="2472"/>
      <c r="BW41" s="2472"/>
      <c r="BX41" s="2472"/>
      <c r="BY41" s="2472"/>
      <c r="BZ41" s="2472"/>
      <c r="CA41" s="2472"/>
      <c r="CB41" s="2841"/>
      <c r="CC41" s="2841"/>
      <c r="CD41" s="2841"/>
      <c r="CE41" s="2472"/>
      <c r="CF41" s="2841"/>
      <c r="CG41" s="2841"/>
      <c r="CH41" s="2841"/>
      <c r="CI41" s="2841"/>
      <c r="CJ41" s="2841"/>
      <c r="CK41" s="2841"/>
      <c r="CL41" s="2841"/>
      <c r="CM41" s="2841"/>
      <c r="CN41" s="2472"/>
      <c r="CO41" s="2841"/>
      <c r="CP41" s="2841"/>
      <c r="CQ41" s="2841"/>
      <c r="CR41" s="2841"/>
      <c r="CS41" s="2841"/>
      <c r="CT41" s="2841"/>
      <c r="CU41" s="2841"/>
      <c r="CV41" s="2841"/>
      <c r="CW41" s="2841"/>
      <c r="CX41" s="2841"/>
      <c r="CY41" s="2841"/>
      <c r="CZ41" s="2841"/>
      <c r="DA41" s="2841"/>
      <c r="DB41" s="2472"/>
      <c r="DC41" s="2841"/>
      <c r="DD41" s="2841"/>
      <c r="DE41" s="2841"/>
      <c r="DF41" s="2841"/>
      <c r="DG41" s="2841"/>
      <c r="DH41" s="2841"/>
      <c r="DI41" s="2841"/>
      <c r="DJ41" s="2841"/>
      <c r="DK41" s="2841"/>
      <c r="DL41" s="2472"/>
      <c r="DM41" s="2841"/>
      <c r="DN41" s="2841"/>
      <c r="DO41" s="2841"/>
      <c r="DP41" s="2841"/>
      <c r="DQ41" s="2841"/>
      <c r="DR41" s="2841"/>
      <c r="DS41" s="2841"/>
      <c r="DT41" s="2841"/>
      <c r="DU41" s="2841"/>
      <c r="DV41" s="2841"/>
      <c r="DW41" s="2841"/>
      <c r="DX41" s="2841"/>
      <c r="DY41" s="2841"/>
      <c r="DZ41" s="2841"/>
      <c r="EA41" s="2841"/>
      <c r="EB41" s="2841"/>
      <c r="EC41" s="2841"/>
      <c r="ED41" s="2841"/>
      <c r="EE41" s="2473"/>
      <c r="EF41" s="2841"/>
      <c r="EG41" s="2841"/>
      <c r="EH41" s="2841"/>
      <c r="EI41" s="2841"/>
      <c r="EJ41" s="2841"/>
      <c r="EK41" s="2841"/>
      <c r="EL41" s="2841"/>
      <c r="EM41" s="2841"/>
      <c r="EN41" s="2841"/>
      <c r="EO41" s="2841"/>
      <c r="EP41" s="2841"/>
      <c r="EQ41" s="2841"/>
      <c r="ER41" s="2841"/>
      <c r="ES41" s="2841"/>
      <c r="ET41" s="2841"/>
      <c r="EU41" s="2841"/>
      <c r="EV41" s="2841"/>
      <c r="EW41" s="2841"/>
      <c r="EX41" s="2841"/>
      <c r="EY41" s="2841"/>
      <c r="EZ41" s="2841"/>
      <c r="FA41" s="2841"/>
      <c r="FB41" s="2841"/>
      <c r="FC41" s="2841"/>
      <c r="FD41" s="2841"/>
      <c r="FE41" s="2841"/>
      <c r="FF41" s="2841"/>
      <c r="FG41" s="2841"/>
      <c r="FH41" s="2841"/>
      <c r="FI41" s="2841"/>
      <c r="FJ41" s="2841"/>
      <c r="FK41" s="2841"/>
      <c r="FL41" s="2841"/>
      <c r="FM41" s="2841"/>
      <c r="FN41" s="2841"/>
      <c r="FO41" s="2841"/>
      <c r="FP41" s="2841"/>
      <c r="FQ41" s="2841"/>
      <c r="FR41" s="2841"/>
      <c r="FS41" s="2841"/>
      <c r="FT41" s="2841"/>
      <c r="FU41" s="2841"/>
      <c r="FV41" s="2841"/>
      <c r="FW41" s="2841"/>
      <c r="FX41" s="2841"/>
      <c r="FY41" s="2841"/>
      <c r="FZ41" s="2841"/>
      <c r="GA41" s="2841"/>
      <c r="GB41" s="2841"/>
      <c r="GC41" s="2472"/>
      <c r="GD41" s="2472"/>
      <c r="GE41" s="2841"/>
      <c r="GF41" s="2841"/>
      <c r="GG41" s="2841"/>
      <c r="GH41" s="2841"/>
      <c r="GI41" s="2841"/>
      <c r="GJ41" s="2841"/>
      <c r="GK41" s="2841"/>
      <c r="GL41" s="2841"/>
      <c r="GM41" s="2841"/>
      <c r="GN41" s="2841"/>
      <c r="GO41" s="2841"/>
      <c r="GP41" s="2841"/>
      <c r="GQ41" s="2841"/>
      <c r="GR41" s="2841"/>
      <c r="GS41" s="2841"/>
      <c r="GT41" s="2841"/>
      <c r="GU41" s="2841"/>
      <c r="GV41" s="2841"/>
      <c r="GW41" s="2472"/>
      <c r="GX41" s="2472"/>
      <c r="GY41" s="2841"/>
      <c r="GZ41" s="2841"/>
      <c r="HA41" s="2841"/>
      <c r="HB41" s="2841"/>
      <c r="HC41" s="2841"/>
      <c r="HD41" s="2841"/>
      <c r="HE41" s="2841"/>
      <c r="HF41" s="2841"/>
      <c r="HG41" s="2841"/>
      <c r="HH41" s="2841"/>
      <c r="HI41" s="2841"/>
      <c r="HJ41" s="2841"/>
      <c r="HK41" s="2841"/>
      <c r="HL41" s="2841"/>
      <c r="HM41" s="2841"/>
      <c r="HN41" s="2841"/>
      <c r="HO41" s="2841"/>
      <c r="HP41" s="2841"/>
      <c r="HQ41" s="2841"/>
      <c r="HR41" s="2841"/>
      <c r="HS41" s="2841"/>
      <c r="HT41" s="2841"/>
      <c r="HU41" s="2841"/>
      <c r="HV41" s="2841"/>
      <c r="HW41" s="2841"/>
      <c r="HX41" s="2841"/>
      <c r="HY41" s="2841"/>
      <c r="HZ41" s="2841"/>
      <c r="IA41" s="2841"/>
      <c r="IB41" s="2841"/>
      <c r="IC41" s="2841"/>
      <c r="ID41" s="2841"/>
      <c r="IE41" s="2841"/>
      <c r="IF41" s="2841"/>
      <c r="IG41" s="2841"/>
      <c r="IH41" s="2841"/>
      <c r="II41" s="2841"/>
      <c r="IJ41" s="2841"/>
      <c r="IK41" s="2841"/>
      <c r="IL41" s="2841"/>
      <c r="IM41" s="2841"/>
      <c r="IN41" s="2841"/>
      <c r="IO41" s="2841"/>
      <c r="IP41" s="2841"/>
      <c r="IQ41" s="2841"/>
      <c r="IR41" s="2841"/>
      <c r="IS41" s="2841"/>
      <c r="IT41" s="2841"/>
      <c r="IU41" s="2841"/>
      <c r="IV41" s="2841"/>
      <c r="IW41" s="2841"/>
      <c r="IX41" s="2841"/>
      <c r="IY41" s="2841"/>
      <c r="IZ41" s="2841"/>
      <c r="JA41" s="2841"/>
      <c r="JB41" s="2841"/>
      <c r="JC41" s="2841"/>
      <c r="JD41" s="2841"/>
      <c r="JE41" s="2841"/>
      <c r="JF41" s="2841"/>
      <c r="JG41" s="3794"/>
      <c r="JH41" s="1523"/>
      <c r="JI41" s="2465"/>
      <c r="JJ41" s="2469" t="s">
        <v>6108</v>
      </c>
    </row>
    <row customFormat="1" ht="12.75" r="42" s="34" spans="1:270" x14ac:dyDescent="0.2">
      <c r="A42" s="2459">
        <v>17</v>
      </c>
      <c r="B42" s="2466" t="str">
        <f si="2" t="shared"/>
        <v/>
      </c>
      <c r="C42" s="1278" t="s">
        <v>3164</v>
      </c>
      <c r="D42" s="2928" t="s">
        <v>7325</v>
      </c>
      <c r="E42" s="2472"/>
      <c r="F42" s="2472"/>
      <c r="G42" s="2472"/>
      <c r="H42" s="2473"/>
      <c r="I42" s="2473"/>
      <c r="J42" s="2473"/>
      <c r="K42" s="2472"/>
      <c r="L42" s="2473"/>
      <c r="M42" s="2473"/>
      <c r="N42" s="2473"/>
      <c r="O42" s="2472"/>
      <c r="P42" s="2473"/>
      <c r="Q42" s="2472"/>
      <c r="R42" s="2472"/>
      <c r="S42" s="2473"/>
      <c r="T42" s="2473"/>
      <c r="U42" s="2472"/>
      <c r="V42" s="2472"/>
      <c r="W42" s="2472"/>
      <c r="X42" s="2472"/>
      <c r="Y42" s="2472"/>
      <c r="Z42" s="2473"/>
      <c r="AA42" s="2472"/>
      <c r="AB42" s="2473"/>
      <c r="AC42" s="2472"/>
      <c r="AD42" s="2472"/>
      <c r="AE42" s="2472"/>
      <c r="AF42" s="2472"/>
      <c r="AG42" s="2472"/>
      <c r="AH42" s="2472"/>
      <c r="AI42" s="2473"/>
      <c r="AJ42" s="2473"/>
      <c r="AK42" s="2472"/>
      <c r="AL42" s="2473"/>
      <c r="AM42" s="2473"/>
      <c r="AN42" s="2473"/>
      <c r="AO42" s="2473"/>
      <c r="AP42" s="2472"/>
      <c r="AQ42" s="2472"/>
      <c r="AR42" s="2473"/>
      <c r="AS42" s="2473"/>
      <c r="AT42" s="2472"/>
      <c r="AU42" s="2472"/>
      <c r="AV42" s="2473"/>
      <c r="AW42" s="2472"/>
      <c r="AX42" s="2472"/>
      <c r="AY42" s="2472"/>
      <c r="AZ42" s="2472"/>
      <c r="BA42" s="2472">
        <v>7500</v>
      </c>
      <c r="BB42" s="2472"/>
      <c r="BC42" s="2472"/>
      <c r="BD42" s="2472"/>
      <c r="BE42" s="2472"/>
      <c r="BF42" s="2472"/>
      <c r="BG42" s="2472"/>
      <c r="BH42" s="2472"/>
      <c r="BI42" s="2472"/>
      <c r="BJ42" s="2472"/>
      <c r="BK42" s="2472"/>
      <c r="BL42" s="2472"/>
      <c r="BM42" s="2472"/>
      <c r="BN42" s="2472"/>
      <c r="BO42" s="2472"/>
      <c r="BP42" s="2472"/>
      <c r="BQ42" s="2472"/>
      <c r="BR42" s="2472"/>
      <c r="BS42" s="2472"/>
      <c r="BT42" s="2472"/>
      <c r="BU42" s="2472"/>
      <c r="BV42" s="2472"/>
      <c r="BW42" s="2472"/>
      <c r="BX42" s="2472"/>
      <c r="BY42" s="2472"/>
      <c r="BZ42" s="2472"/>
      <c r="CA42" s="2472"/>
      <c r="CB42" s="2841"/>
      <c r="CC42" s="2841"/>
      <c r="CD42" s="2841"/>
      <c r="CE42" s="2472"/>
      <c r="CF42" s="2841"/>
      <c r="CG42" s="2841"/>
      <c r="CH42" s="2841"/>
      <c r="CI42" s="2841"/>
      <c r="CJ42" s="2841"/>
      <c r="CK42" s="2841"/>
      <c r="CL42" s="2841"/>
      <c r="CM42" s="2841"/>
      <c r="CN42" s="2472"/>
      <c r="CO42" s="2841"/>
      <c r="CP42" s="2841"/>
      <c r="CQ42" s="2841"/>
      <c r="CR42" s="2841"/>
      <c r="CS42" s="2841"/>
      <c r="CT42" s="2841"/>
      <c r="CU42" s="2841"/>
      <c r="CV42" s="2841"/>
      <c r="CW42" s="2841"/>
      <c r="CX42" s="2841"/>
      <c r="CY42" s="2841"/>
      <c r="CZ42" s="2841"/>
      <c r="DA42" s="2841"/>
      <c r="DB42" s="2472"/>
      <c r="DC42" s="2841"/>
      <c r="DD42" s="2841"/>
      <c r="DE42" s="2841"/>
      <c r="DF42" s="2841"/>
      <c r="DG42" s="2841"/>
      <c r="DH42" s="2841"/>
      <c r="DI42" s="2841"/>
      <c r="DJ42" s="2841"/>
      <c r="DK42" s="2841"/>
      <c r="DL42" s="2472"/>
      <c r="DM42" s="2841"/>
      <c r="DN42" s="2841"/>
      <c r="DO42" s="2841"/>
      <c r="DP42" s="2841"/>
      <c r="DQ42" s="2841"/>
      <c r="DR42" s="2841"/>
      <c r="DS42" s="2841"/>
      <c r="DT42" s="2841"/>
      <c r="DU42" s="2841"/>
      <c r="DV42" s="2841"/>
      <c r="DW42" s="2841"/>
      <c r="DX42" s="2841"/>
      <c r="DY42" s="2841"/>
      <c r="DZ42" s="2841"/>
      <c r="EA42" s="2841"/>
      <c r="EB42" s="2841"/>
      <c r="EC42" s="2841"/>
      <c r="ED42" s="2841"/>
      <c r="EE42" s="2473"/>
      <c r="EF42" s="2841"/>
      <c r="EG42" s="2841"/>
      <c r="EH42" s="2841"/>
      <c r="EI42" s="2841"/>
      <c r="EJ42" s="2841"/>
      <c r="EK42" s="2841"/>
      <c r="EL42" s="2841"/>
      <c r="EM42" s="2841"/>
      <c r="EN42" s="2841"/>
      <c r="EO42" s="2841"/>
      <c r="EP42" s="2841"/>
      <c r="EQ42" s="2841"/>
      <c r="ER42" s="2841"/>
      <c r="ES42" s="2841"/>
      <c r="ET42" s="2841"/>
      <c r="EU42" s="2841"/>
      <c r="EV42" s="2841"/>
      <c r="EW42" s="2841"/>
      <c r="EX42" s="2841"/>
      <c r="EY42" s="2841"/>
      <c r="EZ42" s="2841"/>
      <c r="FA42" s="2841"/>
      <c r="FB42" s="2841"/>
      <c r="FC42" s="2841"/>
      <c r="FD42" s="2841"/>
      <c r="FE42" s="2841"/>
      <c r="FF42" s="2841"/>
      <c r="FG42" s="2841"/>
      <c r="FH42" s="2841"/>
      <c r="FI42" s="2841"/>
      <c r="FJ42" s="2841"/>
      <c r="FK42" s="2841"/>
      <c r="FL42" s="2841"/>
      <c r="FM42" s="2841"/>
      <c r="FN42" s="2841"/>
      <c r="FO42" s="2841"/>
      <c r="FP42" s="2841"/>
      <c r="FQ42" s="2841"/>
      <c r="FR42" s="2841"/>
      <c r="FS42" s="2841"/>
      <c r="FT42" s="2841"/>
      <c r="FU42" s="2841"/>
      <c r="FV42" s="2841"/>
      <c r="FW42" s="2841"/>
      <c r="FX42" s="2841"/>
      <c r="FY42" s="2841"/>
      <c r="FZ42" s="2841"/>
      <c r="GA42" s="2841"/>
      <c r="GB42" s="2841"/>
      <c r="GC42" s="2472"/>
      <c r="GD42" s="2472"/>
      <c r="GE42" s="2841"/>
      <c r="GF42" s="2841"/>
      <c r="GG42" s="2841"/>
      <c r="GH42" s="2841"/>
      <c r="GI42" s="2841"/>
      <c r="GJ42" s="2841"/>
      <c r="GK42" s="2841"/>
      <c r="GL42" s="2841"/>
      <c r="GM42" s="2841"/>
      <c r="GN42" s="2841"/>
      <c r="GO42" s="2841"/>
      <c r="GP42" s="2841"/>
      <c r="GQ42" s="2841"/>
      <c r="GR42" s="2841"/>
      <c r="GS42" s="2841"/>
      <c r="GT42" s="2841"/>
      <c r="GU42" s="2841"/>
      <c r="GV42" s="2841"/>
      <c r="GW42" s="2472"/>
      <c r="GX42" s="2472"/>
      <c r="GY42" s="2841"/>
      <c r="GZ42" s="2841"/>
      <c r="HA42" s="2841"/>
      <c r="HB42" s="2841"/>
      <c r="HC42" s="2841"/>
      <c r="HD42" s="2841"/>
      <c r="HE42" s="2841"/>
      <c r="HF42" s="2841"/>
      <c r="HG42" s="2841"/>
      <c r="HH42" s="2841"/>
      <c r="HI42" s="2841"/>
      <c r="HJ42" s="2841"/>
      <c r="HK42" s="2841"/>
      <c r="HL42" s="2841"/>
      <c r="HM42" s="2841"/>
      <c r="HN42" s="2841"/>
      <c r="HO42" s="2841"/>
      <c r="HP42" s="2841"/>
      <c r="HQ42" s="2841"/>
      <c r="HR42" s="2841"/>
      <c r="HS42" s="2841"/>
      <c r="HT42" s="2841"/>
      <c r="HU42" s="2841"/>
      <c r="HV42" s="2841"/>
      <c r="HW42" s="2841"/>
      <c r="HX42" s="2841"/>
      <c r="HY42" s="2841"/>
      <c r="HZ42" s="2841"/>
      <c r="IA42" s="2841"/>
      <c r="IB42" s="2841"/>
      <c r="IC42" s="2841"/>
      <c r="ID42" s="2841"/>
      <c r="IE42" s="2841"/>
      <c r="IF42" s="2841"/>
      <c r="IG42" s="2841"/>
      <c r="IH42" s="2841"/>
      <c r="II42" s="2841"/>
      <c r="IJ42" s="2841"/>
      <c r="IK42" s="2841"/>
      <c r="IL42" s="2841"/>
      <c r="IM42" s="2841"/>
      <c r="IN42" s="2841"/>
      <c r="IO42" s="2841"/>
      <c r="IP42" s="2841"/>
      <c r="IQ42" s="2841"/>
      <c r="IR42" s="2841"/>
      <c r="IS42" s="2841"/>
      <c r="IT42" s="2841"/>
      <c r="IU42" s="2841"/>
      <c r="IV42" s="2841"/>
      <c r="IW42" s="2841"/>
      <c r="IX42" s="2841"/>
      <c r="IY42" s="2841"/>
      <c r="IZ42" s="2841"/>
      <c r="JA42" s="2841"/>
      <c r="JB42" s="2841"/>
      <c r="JC42" s="2841"/>
      <c r="JD42" s="2841"/>
      <c r="JE42" s="2841"/>
      <c r="JF42" s="2841"/>
      <c r="JG42" s="3794"/>
      <c r="JH42" s="1523"/>
      <c r="JI42" s="2465"/>
      <c r="JJ42" s="2469" t="s">
        <v>6108</v>
      </c>
    </row>
    <row customFormat="1" ht="12.75" r="43" s="34" spans="1:270" x14ac:dyDescent="0.2">
      <c r="A43" s="2459">
        <v>18</v>
      </c>
      <c r="B43" s="2466" t="str">
        <f si="2" t="shared"/>
        <v/>
      </c>
      <c r="C43" s="1278" t="s">
        <v>3138</v>
      </c>
      <c r="D43" s="2928" t="s">
        <v>7327</v>
      </c>
      <c r="E43" s="2472"/>
      <c r="F43" s="2472"/>
      <c r="G43" s="2472"/>
      <c r="H43" s="2473"/>
      <c r="I43" s="2473"/>
      <c r="J43" s="2473"/>
      <c r="K43" s="2472"/>
      <c r="L43" s="2473"/>
      <c r="M43" s="2473"/>
      <c r="N43" s="2473"/>
      <c r="O43" s="2472"/>
      <c r="P43" s="2473"/>
      <c r="Q43" s="2472"/>
      <c r="R43" s="2472"/>
      <c r="S43" s="2473"/>
      <c r="T43" s="2473"/>
      <c r="U43" s="2472"/>
      <c r="V43" s="2472"/>
      <c r="W43" s="2472"/>
      <c r="X43" s="2472"/>
      <c r="Y43" s="2472"/>
      <c r="Z43" s="2473"/>
      <c r="AA43" s="2472"/>
      <c r="AB43" s="2473"/>
      <c r="AC43" s="2472"/>
      <c r="AD43" s="2472"/>
      <c r="AE43" s="2472"/>
      <c r="AF43" s="2472"/>
      <c r="AG43" s="2472"/>
      <c r="AH43" s="2472"/>
      <c r="AI43" s="2473"/>
      <c r="AJ43" s="2473"/>
      <c r="AK43" s="2472"/>
      <c r="AL43" s="2473"/>
      <c r="AM43" s="2473"/>
      <c r="AN43" s="2473"/>
      <c r="AO43" s="2473"/>
      <c r="AP43" s="2472"/>
      <c r="AQ43" s="2472"/>
      <c r="AR43" s="2473"/>
      <c r="AS43" s="2473">
        <v>7500</v>
      </c>
      <c r="AT43" s="2472"/>
      <c r="AU43" s="2472"/>
      <c r="AV43" s="2473"/>
      <c r="AW43" s="2472"/>
      <c r="AX43" s="2472"/>
      <c r="AY43" s="2472"/>
      <c r="AZ43" s="2472"/>
      <c r="BA43" s="2472"/>
      <c r="BB43" s="2472"/>
      <c r="BC43" s="2472"/>
      <c r="BD43" s="2472"/>
      <c r="BE43" s="2472"/>
      <c r="BF43" s="2472"/>
      <c r="BG43" s="2472"/>
      <c r="BH43" s="2472"/>
      <c r="BI43" s="2472"/>
      <c r="BJ43" s="2472"/>
      <c r="BK43" s="2472"/>
      <c r="BL43" s="2472"/>
      <c r="BM43" s="2472"/>
      <c r="BN43" s="2472"/>
      <c r="BO43" s="2472"/>
      <c r="BP43" s="2472"/>
      <c r="BQ43" s="2472"/>
      <c r="BR43" s="2472"/>
      <c r="BS43" s="2472"/>
      <c r="BT43" s="2472"/>
      <c r="BU43" s="2472"/>
      <c r="BV43" s="2472"/>
      <c r="BW43" s="2472"/>
      <c r="BX43" s="2472"/>
      <c r="BY43" s="2472"/>
      <c r="BZ43" s="2472"/>
      <c r="CA43" s="2472"/>
      <c r="CB43" s="2841"/>
      <c r="CC43" s="2841"/>
      <c r="CD43" s="2841"/>
      <c r="CE43" s="2472"/>
      <c r="CF43" s="2841"/>
      <c r="CG43" s="2841"/>
      <c r="CH43" s="2841"/>
      <c r="CI43" s="2841"/>
      <c r="CJ43" s="2841"/>
      <c r="CK43" s="2841"/>
      <c r="CL43" s="2841"/>
      <c r="CM43" s="2841"/>
      <c r="CN43" s="2472"/>
      <c r="CO43" s="2841"/>
      <c r="CP43" s="2841"/>
      <c r="CQ43" s="2841"/>
      <c r="CR43" s="2841"/>
      <c r="CS43" s="2841"/>
      <c r="CT43" s="2841"/>
      <c r="CU43" s="2841"/>
      <c r="CV43" s="2841"/>
      <c r="CW43" s="2841"/>
      <c r="CX43" s="2841"/>
      <c r="CY43" s="2841"/>
      <c r="CZ43" s="2841"/>
      <c r="DA43" s="2841"/>
      <c r="DB43" s="2472"/>
      <c r="DC43" s="2841"/>
      <c r="DD43" s="2841"/>
      <c r="DE43" s="2841"/>
      <c r="DF43" s="2841"/>
      <c r="DG43" s="2841"/>
      <c r="DH43" s="2841"/>
      <c r="DI43" s="2841"/>
      <c r="DJ43" s="2841"/>
      <c r="DK43" s="2841"/>
      <c r="DL43" s="2472"/>
      <c r="DM43" s="2841"/>
      <c r="DN43" s="2841"/>
      <c r="DO43" s="2841"/>
      <c r="DP43" s="2841"/>
      <c r="DQ43" s="2841"/>
      <c r="DR43" s="2841"/>
      <c r="DS43" s="2841"/>
      <c r="DT43" s="2841"/>
      <c r="DU43" s="2841"/>
      <c r="DV43" s="2841"/>
      <c r="DW43" s="2841"/>
      <c r="DX43" s="2841"/>
      <c r="DY43" s="2841"/>
      <c r="DZ43" s="2841"/>
      <c r="EA43" s="2841"/>
      <c r="EB43" s="2841"/>
      <c r="EC43" s="2841"/>
      <c r="ED43" s="2841"/>
      <c r="EE43" s="2473">
        <v>7500</v>
      </c>
      <c r="EF43" s="2841"/>
      <c r="EG43" s="2841"/>
      <c r="EH43" s="2841"/>
      <c r="EI43" s="2841"/>
      <c r="EJ43" s="2841"/>
      <c r="EK43" s="2841"/>
      <c r="EL43" s="2841"/>
      <c r="EM43" s="2841"/>
      <c r="EN43" s="2841"/>
      <c r="EO43" s="2841"/>
      <c r="EP43" s="2841"/>
      <c r="EQ43" s="2841"/>
      <c r="ER43" s="2841"/>
      <c r="ES43" s="2841"/>
      <c r="ET43" s="2841"/>
      <c r="EU43" s="2841"/>
      <c r="EV43" s="2841"/>
      <c r="EW43" s="2841"/>
      <c r="EX43" s="2841"/>
      <c r="EY43" s="2841"/>
      <c r="EZ43" s="2841"/>
      <c r="FA43" s="2841"/>
      <c r="FB43" s="2841"/>
      <c r="FC43" s="2841"/>
      <c r="FD43" s="2841"/>
      <c r="FE43" s="2841"/>
      <c r="FF43" s="2841"/>
      <c r="FG43" s="2841"/>
      <c r="FH43" s="2841"/>
      <c r="FI43" s="2841"/>
      <c r="FJ43" s="2841"/>
      <c r="FK43" s="2841"/>
      <c r="FL43" s="2841"/>
      <c r="FM43" s="2841"/>
      <c r="FN43" s="2841"/>
      <c r="FO43" s="2841"/>
      <c r="FP43" s="2841"/>
      <c r="FQ43" s="2841"/>
      <c r="FR43" s="2841"/>
      <c r="FS43" s="2841"/>
      <c r="FT43" s="2841"/>
      <c r="FU43" s="2841"/>
      <c r="FV43" s="2841"/>
      <c r="FW43" s="2841"/>
      <c r="FX43" s="2841"/>
      <c r="FY43" s="2841"/>
      <c r="FZ43" s="2841"/>
      <c r="GA43" s="2841"/>
      <c r="GB43" s="2841"/>
      <c r="GC43" s="2472"/>
      <c r="GD43" s="2472"/>
      <c r="GE43" s="2841"/>
      <c r="GF43" s="2841"/>
      <c r="GG43" s="2841"/>
      <c r="GH43" s="2841"/>
      <c r="GI43" s="2841"/>
      <c r="GJ43" s="2841"/>
      <c r="GK43" s="2841"/>
      <c r="GL43" s="2841"/>
      <c r="GM43" s="2841"/>
      <c r="GN43" s="2841"/>
      <c r="GO43" s="2841"/>
      <c r="GP43" s="2841"/>
      <c r="GQ43" s="2841"/>
      <c r="GR43" s="2841"/>
      <c r="GS43" s="2841"/>
      <c r="GT43" s="2841"/>
      <c r="GU43" s="2841"/>
      <c r="GV43" s="2841"/>
      <c r="GW43" s="2472"/>
      <c r="GX43" s="2472"/>
      <c r="GY43" s="2841"/>
      <c r="GZ43" s="2841"/>
      <c r="HA43" s="2841"/>
      <c r="HB43" s="2841"/>
      <c r="HC43" s="2841"/>
      <c r="HD43" s="2841"/>
      <c r="HE43" s="2841"/>
      <c r="HF43" s="2841"/>
      <c r="HG43" s="2841"/>
      <c r="HH43" s="2841"/>
      <c r="HI43" s="2841"/>
      <c r="HJ43" s="2841"/>
      <c r="HK43" s="2841"/>
      <c r="HL43" s="2841"/>
      <c r="HM43" s="2841"/>
      <c r="HN43" s="2841"/>
      <c r="HO43" s="2841"/>
      <c r="HP43" s="2841"/>
      <c r="HQ43" s="2841"/>
      <c r="HR43" s="2841"/>
      <c r="HS43" s="2841"/>
      <c r="HT43" s="2841"/>
      <c r="HU43" s="2841"/>
      <c r="HV43" s="2841"/>
      <c r="HW43" s="2841"/>
      <c r="HX43" s="2841"/>
      <c r="HY43" s="2841"/>
      <c r="HZ43" s="2841"/>
      <c r="IA43" s="2841"/>
      <c r="IB43" s="2841"/>
      <c r="IC43" s="2841"/>
      <c r="ID43" s="2841"/>
      <c r="IE43" s="2841"/>
      <c r="IF43" s="2841"/>
      <c r="IG43" s="2841"/>
      <c r="IH43" s="2841"/>
      <c r="II43" s="2841"/>
      <c r="IJ43" s="2841"/>
      <c r="IK43" s="2841"/>
      <c r="IL43" s="2841"/>
      <c r="IM43" s="2841"/>
      <c r="IN43" s="2841"/>
      <c r="IO43" s="2841"/>
      <c r="IP43" s="2841"/>
      <c r="IQ43" s="2841"/>
      <c r="IR43" s="2841"/>
      <c r="IS43" s="2841"/>
      <c r="IT43" s="2841"/>
      <c r="IU43" s="2841"/>
      <c r="IV43" s="2841"/>
      <c r="IW43" s="2841"/>
      <c r="IX43" s="2841"/>
      <c r="IY43" s="2841"/>
      <c r="IZ43" s="2841"/>
      <c r="JA43" s="2841"/>
      <c r="JB43" s="2841"/>
      <c r="JC43" s="2841"/>
      <c r="JD43" s="2841"/>
      <c r="JE43" s="2841"/>
      <c r="JF43" s="2841"/>
      <c r="JG43" s="3794"/>
      <c r="JH43" s="1523"/>
      <c r="JI43" s="2465"/>
      <c r="JJ43" s="2469" t="s">
        <v>6108</v>
      </c>
    </row>
    <row customFormat="1" ht="12.75" r="44" s="34" spans="1:270" x14ac:dyDescent="0.2">
      <c r="A44" s="2459">
        <v>19</v>
      </c>
      <c r="B44" s="2466" t="str">
        <f si="2" t="shared"/>
        <v/>
      </c>
      <c r="C44" s="1278" t="s">
        <v>3139</v>
      </c>
      <c r="D44" s="2928" t="s">
        <v>7328</v>
      </c>
      <c r="E44" s="2472"/>
      <c r="F44" s="2472"/>
      <c r="G44" s="2472"/>
      <c r="H44" s="2473"/>
      <c r="I44" s="2473"/>
      <c r="J44" s="2473"/>
      <c r="K44" s="2472"/>
      <c r="L44" s="2473"/>
      <c r="M44" s="2473"/>
      <c r="N44" s="2473"/>
      <c r="O44" s="2472"/>
      <c r="P44" s="2473"/>
      <c r="Q44" s="2472"/>
      <c r="R44" s="2472"/>
      <c r="S44" s="2473"/>
      <c r="T44" s="2473"/>
      <c r="U44" s="2472"/>
      <c r="V44" s="2472"/>
      <c r="W44" s="2472"/>
      <c r="X44" s="2472"/>
      <c r="Y44" s="2472"/>
      <c r="Z44" s="2473"/>
      <c r="AA44" s="2472"/>
      <c r="AB44" s="2473"/>
      <c r="AC44" s="2472"/>
      <c r="AD44" s="2472"/>
      <c r="AE44" s="2472"/>
      <c r="AF44" s="2472"/>
      <c r="AG44" s="2472"/>
      <c r="AH44" s="2472"/>
      <c r="AI44" s="2473"/>
      <c r="AJ44" s="2473"/>
      <c r="AK44" s="2472"/>
      <c r="AL44" s="2473"/>
      <c r="AM44" s="2473"/>
      <c r="AN44" s="2473"/>
      <c r="AO44" s="2473"/>
      <c r="AP44" s="2472"/>
      <c r="AQ44" s="2472"/>
      <c r="AR44" s="2473"/>
      <c r="AS44" s="2473">
        <v>4500</v>
      </c>
      <c r="AT44" s="2472"/>
      <c r="AU44" s="2472"/>
      <c r="AV44" s="2473"/>
      <c r="AW44" s="2472"/>
      <c r="AX44" s="2472"/>
      <c r="AY44" s="2472"/>
      <c r="AZ44" s="2472"/>
      <c r="BA44" s="2472"/>
      <c r="BB44" s="2472"/>
      <c r="BC44" s="2472"/>
      <c r="BD44" s="2472"/>
      <c r="BE44" s="2472"/>
      <c r="BF44" s="2472"/>
      <c r="BG44" s="2472"/>
      <c r="BH44" s="2472"/>
      <c r="BI44" s="2472"/>
      <c r="BJ44" s="2472"/>
      <c r="BK44" s="2472"/>
      <c r="BL44" s="2472"/>
      <c r="BM44" s="2472"/>
      <c r="BN44" s="2472"/>
      <c r="BO44" s="2472"/>
      <c r="BP44" s="2472"/>
      <c r="BQ44" s="2472"/>
      <c r="BR44" s="2472"/>
      <c r="BS44" s="2472"/>
      <c r="BT44" s="2472"/>
      <c r="BU44" s="2472"/>
      <c r="BV44" s="2472"/>
      <c r="BW44" s="2472"/>
      <c r="BX44" s="2472"/>
      <c r="BY44" s="2472"/>
      <c r="BZ44" s="2472"/>
      <c r="CA44" s="2472"/>
      <c r="CB44" s="2841"/>
      <c r="CC44" s="2841"/>
      <c r="CD44" s="2841"/>
      <c r="CE44" s="2472"/>
      <c r="CF44" s="2841"/>
      <c r="CG44" s="2841"/>
      <c r="CH44" s="2841"/>
      <c r="CI44" s="2841"/>
      <c r="CJ44" s="2841"/>
      <c r="CK44" s="2841"/>
      <c r="CL44" s="2841"/>
      <c r="CM44" s="2841"/>
      <c r="CN44" s="2472"/>
      <c r="CO44" s="2841"/>
      <c r="CP44" s="2841"/>
      <c r="CQ44" s="2841"/>
      <c r="CR44" s="2841"/>
      <c r="CS44" s="2841"/>
      <c r="CT44" s="2841"/>
      <c r="CU44" s="2841"/>
      <c r="CV44" s="2841"/>
      <c r="CW44" s="2841"/>
      <c r="CX44" s="2841"/>
      <c r="CY44" s="2841"/>
      <c r="CZ44" s="2841"/>
      <c r="DA44" s="2841"/>
      <c r="DB44" s="2472"/>
      <c r="DC44" s="2841"/>
      <c r="DD44" s="2841"/>
      <c r="DE44" s="2841"/>
      <c r="DF44" s="2841"/>
      <c r="DG44" s="2841"/>
      <c r="DH44" s="2841"/>
      <c r="DI44" s="2841"/>
      <c r="DJ44" s="2841"/>
      <c r="DK44" s="2841"/>
      <c r="DL44" s="2472"/>
      <c r="DM44" s="2841"/>
      <c r="DN44" s="2841"/>
      <c r="DO44" s="2841"/>
      <c r="DP44" s="2841"/>
      <c r="DQ44" s="2841"/>
      <c r="DR44" s="2841"/>
      <c r="DS44" s="2841"/>
      <c r="DT44" s="2841"/>
      <c r="DU44" s="2841"/>
      <c r="DV44" s="2841"/>
      <c r="DW44" s="2841"/>
      <c r="DX44" s="2841"/>
      <c r="DY44" s="2841"/>
      <c r="DZ44" s="2841"/>
      <c r="EA44" s="2841"/>
      <c r="EB44" s="2841"/>
      <c r="EC44" s="2841"/>
      <c r="ED44" s="2841"/>
      <c r="EE44" s="2473">
        <v>4500</v>
      </c>
      <c r="EF44" s="2841"/>
      <c r="EG44" s="2841"/>
      <c r="EH44" s="2841"/>
      <c r="EI44" s="2841"/>
      <c r="EJ44" s="2841"/>
      <c r="EK44" s="2841"/>
      <c r="EL44" s="2841"/>
      <c r="EM44" s="2841"/>
      <c r="EN44" s="2841"/>
      <c r="EO44" s="2841"/>
      <c r="EP44" s="2841"/>
      <c r="EQ44" s="2841"/>
      <c r="ER44" s="2841"/>
      <c r="ES44" s="2841"/>
      <c r="ET44" s="2841"/>
      <c r="EU44" s="2841"/>
      <c r="EV44" s="2841"/>
      <c r="EW44" s="2841"/>
      <c r="EX44" s="2841"/>
      <c r="EY44" s="2841"/>
      <c r="EZ44" s="2841"/>
      <c r="FA44" s="2841"/>
      <c r="FB44" s="2841"/>
      <c r="FC44" s="2841"/>
      <c r="FD44" s="2841"/>
      <c r="FE44" s="2841"/>
      <c r="FF44" s="2841"/>
      <c r="FG44" s="2841"/>
      <c r="FH44" s="2841"/>
      <c r="FI44" s="2841"/>
      <c r="FJ44" s="2841"/>
      <c r="FK44" s="2841"/>
      <c r="FL44" s="2841"/>
      <c r="FM44" s="2841"/>
      <c r="FN44" s="2841"/>
      <c r="FO44" s="2841"/>
      <c r="FP44" s="2841"/>
      <c r="FQ44" s="2841"/>
      <c r="FR44" s="2841"/>
      <c r="FS44" s="2841"/>
      <c r="FT44" s="2841"/>
      <c r="FU44" s="2841"/>
      <c r="FV44" s="2841"/>
      <c r="FW44" s="2841"/>
      <c r="FX44" s="2841"/>
      <c r="FY44" s="2841"/>
      <c r="FZ44" s="2841"/>
      <c r="GA44" s="2841"/>
      <c r="GB44" s="2841"/>
      <c r="GC44" s="2472"/>
      <c r="GD44" s="2472"/>
      <c r="GE44" s="2841"/>
      <c r="GF44" s="2841"/>
      <c r="GG44" s="2841"/>
      <c r="GH44" s="2841"/>
      <c r="GI44" s="2841"/>
      <c r="GJ44" s="2841"/>
      <c r="GK44" s="2841"/>
      <c r="GL44" s="2841"/>
      <c r="GM44" s="2841"/>
      <c r="GN44" s="2841"/>
      <c r="GO44" s="2841"/>
      <c r="GP44" s="2841"/>
      <c r="GQ44" s="2841"/>
      <c r="GR44" s="2841"/>
      <c r="GS44" s="2841"/>
      <c r="GT44" s="2841"/>
      <c r="GU44" s="2841"/>
      <c r="GV44" s="2841"/>
      <c r="GW44" s="2472"/>
      <c r="GX44" s="2472"/>
      <c r="GY44" s="2841"/>
      <c r="GZ44" s="2841"/>
      <c r="HA44" s="2841"/>
      <c r="HB44" s="2841"/>
      <c r="HC44" s="2841"/>
      <c r="HD44" s="2841"/>
      <c r="HE44" s="2841"/>
      <c r="HF44" s="2841"/>
      <c r="HG44" s="2841"/>
      <c r="HH44" s="2841"/>
      <c r="HI44" s="2841"/>
      <c r="HJ44" s="2841"/>
      <c r="HK44" s="2841"/>
      <c r="HL44" s="2841"/>
      <c r="HM44" s="2841"/>
      <c r="HN44" s="2841"/>
      <c r="HO44" s="2841"/>
      <c r="HP44" s="2841"/>
      <c r="HQ44" s="2841"/>
      <c r="HR44" s="2841"/>
      <c r="HS44" s="2841"/>
      <c r="HT44" s="2841"/>
      <c r="HU44" s="2841"/>
      <c r="HV44" s="2841"/>
      <c r="HW44" s="2841"/>
      <c r="HX44" s="2841"/>
      <c r="HY44" s="2841"/>
      <c r="HZ44" s="2841"/>
      <c r="IA44" s="2841"/>
      <c r="IB44" s="2841"/>
      <c r="IC44" s="2841"/>
      <c r="ID44" s="2841"/>
      <c r="IE44" s="2841"/>
      <c r="IF44" s="2841"/>
      <c r="IG44" s="2841"/>
      <c r="IH44" s="2841"/>
      <c r="II44" s="2841"/>
      <c r="IJ44" s="2841"/>
      <c r="IK44" s="2841"/>
      <c r="IL44" s="2841"/>
      <c r="IM44" s="2841"/>
      <c r="IN44" s="2841"/>
      <c r="IO44" s="2841"/>
      <c r="IP44" s="2841"/>
      <c r="IQ44" s="2841"/>
      <c r="IR44" s="2841"/>
      <c r="IS44" s="2841"/>
      <c r="IT44" s="2841"/>
      <c r="IU44" s="2841"/>
      <c r="IV44" s="2841"/>
      <c r="IW44" s="2841"/>
      <c r="IX44" s="2841"/>
      <c r="IY44" s="2841"/>
      <c r="IZ44" s="2841"/>
      <c r="JA44" s="2841"/>
      <c r="JB44" s="2841"/>
      <c r="JC44" s="2841"/>
      <c r="JD44" s="2841"/>
      <c r="JE44" s="2841"/>
      <c r="JF44" s="2841"/>
      <c r="JG44" s="3794"/>
      <c r="JH44" s="1523"/>
      <c r="JI44" s="2465"/>
      <c r="JJ44" s="2469" t="s">
        <v>6108</v>
      </c>
    </row>
    <row customFormat="1" ht="12.75" r="45" s="34" spans="1:270" x14ac:dyDescent="0.2">
      <c r="A45" s="2459">
        <v>20</v>
      </c>
      <c r="B45" s="2466" t="str">
        <f si="2" t="shared"/>
        <v/>
      </c>
      <c r="C45" s="1278" t="s">
        <v>3140</v>
      </c>
      <c r="D45" s="2928" t="s">
        <v>7329</v>
      </c>
      <c r="E45" s="2472"/>
      <c r="F45" s="2472"/>
      <c r="G45" s="2472"/>
      <c r="H45" s="2473"/>
      <c r="I45" s="2473"/>
      <c r="J45" s="2473"/>
      <c r="K45" s="2472"/>
      <c r="L45" s="2473"/>
      <c r="M45" s="2473"/>
      <c r="N45" s="2473"/>
      <c r="O45" s="2472"/>
      <c r="P45" s="2473"/>
      <c r="Q45" s="2472"/>
      <c r="R45" s="2472"/>
      <c r="S45" s="2473"/>
      <c r="T45" s="2473"/>
      <c r="U45" s="2472"/>
      <c r="V45" s="2472"/>
      <c r="W45" s="2472"/>
      <c r="X45" s="2472"/>
      <c r="Y45" s="2472"/>
      <c r="Z45" s="2473"/>
      <c r="AA45" s="2472"/>
      <c r="AB45" s="2473"/>
      <c r="AC45" s="2472"/>
      <c r="AD45" s="2472"/>
      <c r="AE45" s="2472"/>
      <c r="AF45" s="2472"/>
      <c r="AG45" s="2472"/>
      <c r="AH45" s="2472"/>
      <c r="AI45" s="2473"/>
      <c r="AJ45" s="2473"/>
      <c r="AK45" s="2472"/>
      <c r="AL45" s="2473"/>
      <c r="AM45" s="2473"/>
      <c r="AN45" s="2473"/>
      <c r="AO45" s="2473"/>
      <c r="AP45" s="2472"/>
      <c r="AQ45" s="2472"/>
      <c r="AR45" s="2473"/>
      <c r="AS45" s="2473">
        <v>5000</v>
      </c>
      <c r="AT45" s="2472"/>
      <c r="AU45" s="2472"/>
      <c r="AV45" s="2473"/>
      <c r="AW45" s="2472"/>
      <c r="AX45" s="2472"/>
      <c r="AY45" s="2472"/>
      <c r="AZ45" s="2472"/>
      <c r="BA45" s="2472"/>
      <c r="BB45" s="2472"/>
      <c r="BC45" s="2472"/>
      <c r="BD45" s="2472"/>
      <c r="BE45" s="2472"/>
      <c r="BF45" s="2472"/>
      <c r="BG45" s="2472"/>
      <c r="BH45" s="2472"/>
      <c r="BI45" s="2472"/>
      <c r="BJ45" s="2472"/>
      <c r="BK45" s="2472"/>
      <c r="BL45" s="2472"/>
      <c r="BM45" s="2472"/>
      <c r="BN45" s="2472"/>
      <c r="BO45" s="2472"/>
      <c r="BP45" s="2472"/>
      <c r="BQ45" s="2472"/>
      <c r="BR45" s="2472"/>
      <c r="BS45" s="2472"/>
      <c r="BT45" s="2472"/>
      <c r="BU45" s="2472"/>
      <c r="BV45" s="2472"/>
      <c r="BW45" s="2472"/>
      <c r="BX45" s="2472"/>
      <c r="BY45" s="2472"/>
      <c r="BZ45" s="2472"/>
      <c r="CA45" s="2472"/>
      <c r="CB45" s="2841"/>
      <c r="CC45" s="2841"/>
      <c r="CD45" s="2841"/>
      <c r="CE45" s="2472"/>
      <c r="CF45" s="2841"/>
      <c r="CG45" s="2841"/>
      <c r="CH45" s="2841"/>
      <c r="CI45" s="2841"/>
      <c r="CJ45" s="2841"/>
      <c r="CK45" s="2841"/>
      <c r="CL45" s="2841"/>
      <c r="CM45" s="2841"/>
      <c r="CN45" s="2472"/>
      <c r="CO45" s="2841"/>
      <c r="CP45" s="2841"/>
      <c r="CQ45" s="2841"/>
      <c r="CR45" s="2841"/>
      <c r="CS45" s="2841"/>
      <c r="CT45" s="2841"/>
      <c r="CU45" s="2841"/>
      <c r="CV45" s="2841"/>
      <c r="CW45" s="2841"/>
      <c r="CX45" s="2841"/>
      <c r="CY45" s="2841"/>
      <c r="CZ45" s="2841"/>
      <c r="DA45" s="2841"/>
      <c r="DB45" s="2472"/>
      <c r="DC45" s="2841"/>
      <c r="DD45" s="2841"/>
      <c r="DE45" s="2841"/>
      <c r="DF45" s="2841"/>
      <c r="DG45" s="2841"/>
      <c r="DH45" s="2841"/>
      <c r="DI45" s="2841"/>
      <c r="DJ45" s="2841"/>
      <c r="DK45" s="2841"/>
      <c r="DL45" s="2472"/>
      <c r="DM45" s="2841"/>
      <c r="DN45" s="2841"/>
      <c r="DO45" s="2841"/>
      <c r="DP45" s="2841"/>
      <c r="DQ45" s="2841"/>
      <c r="DR45" s="2841"/>
      <c r="DS45" s="2841"/>
      <c r="DT45" s="2841"/>
      <c r="DU45" s="2841"/>
      <c r="DV45" s="2841"/>
      <c r="DW45" s="2841"/>
      <c r="DX45" s="2841"/>
      <c r="DY45" s="2841"/>
      <c r="DZ45" s="2841"/>
      <c r="EA45" s="2841"/>
      <c r="EB45" s="2841"/>
      <c r="EC45" s="2841"/>
      <c r="ED45" s="2841"/>
      <c r="EE45" s="2473">
        <v>5000</v>
      </c>
      <c r="EF45" s="2841"/>
      <c r="EG45" s="2841"/>
      <c r="EH45" s="2841"/>
      <c r="EI45" s="2841"/>
      <c r="EJ45" s="2841"/>
      <c r="EK45" s="2841"/>
      <c r="EL45" s="2841"/>
      <c r="EM45" s="2841"/>
      <c r="EN45" s="2841"/>
      <c r="EO45" s="2841"/>
      <c r="EP45" s="2841"/>
      <c r="EQ45" s="2841"/>
      <c r="ER45" s="2841"/>
      <c r="ES45" s="2841"/>
      <c r="ET45" s="2841"/>
      <c r="EU45" s="2841"/>
      <c r="EV45" s="2841"/>
      <c r="EW45" s="2841"/>
      <c r="EX45" s="2841"/>
      <c r="EY45" s="2841"/>
      <c r="EZ45" s="2841"/>
      <c r="FA45" s="2841"/>
      <c r="FB45" s="2841"/>
      <c r="FC45" s="2841"/>
      <c r="FD45" s="2841"/>
      <c r="FE45" s="2841"/>
      <c r="FF45" s="2841"/>
      <c r="FG45" s="2841"/>
      <c r="FH45" s="2841"/>
      <c r="FI45" s="2841"/>
      <c r="FJ45" s="2841"/>
      <c r="FK45" s="2841"/>
      <c r="FL45" s="2841"/>
      <c r="FM45" s="2841"/>
      <c r="FN45" s="2841"/>
      <c r="FO45" s="2841"/>
      <c r="FP45" s="2841"/>
      <c r="FQ45" s="2841"/>
      <c r="FR45" s="2841"/>
      <c r="FS45" s="2841"/>
      <c r="FT45" s="2841"/>
      <c r="FU45" s="2841"/>
      <c r="FV45" s="2841"/>
      <c r="FW45" s="2841"/>
      <c r="FX45" s="2841"/>
      <c r="FY45" s="2841"/>
      <c r="FZ45" s="2841"/>
      <c r="GA45" s="2841"/>
      <c r="GB45" s="2841"/>
      <c r="GC45" s="2472"/>
      <c r="GD45" s="2472"/>
      <c r="GE45" s="2841"/>
      <c r="GF45" s="2841"/>
      <c r="GG45" s="2841"/>
      <c r="GH45" s="2841"/>
      <c r="GI45" s="2841"/>
      <c r="GJ45" s="2841"/>
      <c r="GK45" s="2841"/>
      <c r="GL45" s="2841"/>
      <c r="GM45" s="2841"/>
      <c r="GN45" s="2841"/>
      <c r="GO45" s="2841"/>
      <c r="GP45" s="2841"/>
      <c r="GQ45" s="2841"/>
      <c r="GR45" s="2841"/>
      <c r="GS45" s="2841"/>
      <c r="GT45" s="2841"/>
      <c r="GU45" s="2841"/>
      <c r="GV45" s="2841"/>
      <c r="GW45" s="2472"/>
      <c r="GX45" s="2472"/>
      <c r="GY45" s="2841"/>
      <c r="GZ45" s="2841"/>
      <c r="HA45" s="2841"/>
      <c r="HB45" s="2841"/>
      <c r="HC45" s="2841"/>
      <c r="HD45" s="2841"/>
      <c r="HE45" s="2841"/>
      <c r="HF45" s="2841"/>
      <c r="HG45" s="2841"/>
      <c r="HH45" s="2841"/>
      <c r="HI45" s="2841"/>
      <c r="HJ45" s="2841"/>
      <c r="HK45" s="2841"/>
      <c r="HL45" s="2841"/>
      <c r="HM45" s="2841"/>
      <c r="HN45" s="2841"/>
      <c r="HO45" s="2841"/>
      <c r="HP45" s="2841"/>
      <c r="HQ45" s="2841"/>
      <c r="HR45" s="2841"/>
      <c r="HS45" s="2841"/>
      <c r="HT45" s="2841"/>
      <c r="HU45" s="2841"/>
      <c r="HV45" s="2841"/>
      <c r="HW45" s="2841"/>
      <c r="HX45" s="2841"/>
      <c r="HY45" s="2841"/>
      <c r="HZ45" s="2841"/>
      <c r="IA45" s="2841"/>
      <c r="IB45" s="2841"/>
      <c r="IC45" s="2841"/>
      <c r="ID45" s="2841"/>
      <c r="IE45" s="2841"/>
      <c r="IF45" s="2841"/>
      <c r="IG45" s="2841"/>
      <c r="IH45" s="2841"/>
      <c r="II45" s="2841"/>
      <c r="IJ45" s="2841"/>
      <c r="IK45" s="2841"/>
      <c r="IL45" s="2841"/>
      <c r="IM45" s="2841"/>
      <c r="IN45" s="2841"/>
      <c r="IO45" s="2841"/>
      <c r="IP45" s="2841"/>
      <c r="IQ45" s="2841"/>
      <c r="IR45" s="2841"/>
      <c r="IS45" s="2841"/>
      <c r="IT45" s="2841"/>
      <c r="IU45" s="2841"/>
      <c r="IV45" s="2841"/>
      <c r="IW45" s="2841"/>
      <c r="IX45" s="2841"/>
      <c r="IY45" s="2841"/>
      <c r="IZ45" s="2841"/>
      <c r="JA45" s="2841"/>
      <c r="JB45" s="2841"/>
      <c r="JC45" s="2841"/>
      <c r="JD45" s="2841"/>
      <c r="JE45" s="2841"/>
      <c r="JF45" s="2841"/>
      <c r="JG45" s="3794"/>
      <c r="JH45" s="1523"/>
      <c r="JI45" s="2465"/>
      <c r="JJ45" s="2469" t="s">
        <v>6108</v>
      </c>
    </row>
    <row customFormat="1" ht="12.75" r="46" s="34" spans="1:270" x14ac:dyDescent="0.2">
      <c r="A46" s="2459">
        <v>21</v>
      </c>
      <c r="B46" s="2466" t="str">
        <f si="2" t="shared"/>
        <v/>
      </c>
      <c r="C46" s="1278" t="s">
        <v>1539</v>
      </c>
      <c r="D46" s="2928" t="s">
        <v>7330</v>
      </c>
      <c r="E46" s="2472"/>
      <c r="F46" s="2472"/>
      <c r="G46" s="2472"/>
      <c r="H46" s="2473"/>
      <c r="I46" s="2473"/>
      <c r="J46" s="2473"/>
      <c r="K46" s="2472"/>
      <c r="L46" s="2473"/>
      <c r="M46" s="2473"/>
      <c r="N46" s="2473"/>
      <c r="O46" s="2472"/>
      <c r="P46" s="2473"/>
      <c r="Q46" s="2472"/>
      <c r="R46" s="2472"/>
      <c r="S46" s="2473"/>
      <c r="T46" s="2473"/>
      <c r="U46" s="2472"/>
      <c r="V46" s="2472"/>
      <c r="W46" s="2472"/>
      <c r="X46" s="2472"/>
      <c r="Y46" s="2472"/>
      <c r="Z46" s="2473"/>
      <c r="AA46" s="2472"/>
      <c r="AB46" s="2473"/>
      <c r="AC46" s="2472"/>
      <c r="AD46" s="2472"/>
      <c r="AE46" s="2472"/>
      <c r="AF46" s="2472"/>
      <c r="AG46" s="2472"/>
      <c r="AH46" s="2472"/>
      <c r="AI46" s="2473"/>
      <c r="AJ46" s="2473"/>
      <c r="AK46" s="2472"/>
      <c r="AL46" s="2473"/>
      <c r="AM46" s="2473"/>
      <c r="AN46" s="2473"/>
      <c r="AO46" s="2473"/>
      <c r="AP46" s="2472"/>
      <c r="AQ46" s="2472"/>
      <c r="AR46" s="2473"/>
      <c r="AS46" s="2473"/>
      <c r="AT46" s="2472"/>
      <c r="AU46" s="2472"/>
      <c r="AV46" s="2473"/>
      <c r="AW46" s="2472"/>
      <c r="AX46" s="2472"/>
      <c r="AY46" s="2472"/>
      <c r="AZ46" s="2472"/>
      <c r="BA46" s="2472"/>
      <c r="BB46" s="2472"/>
      <c r="BC46" s="2472"/>
      <c r="BD46" s="2472"/>
      <c r="BE46" s="2472"/>
      <c r="BF46" s="2472"/>
      <c r="BG46" s="2472"/>
      <c r="BH46" s="2472"/>
      <c r="BI46" s="2472"/>
      <c r="BJ46" s="2472"/>
      <c r="BK46" s="2472"/>
      <c r="BL46" s="2472"/>
      <c r="BM46" s="2472"/>
      <c r="BN46" s="2472"/>
      <c r="BO46" s="2472"/>
      <c r="BP46" s="2472"/>
      <c r="BQ46" s="2472"/>
      <c r="BR46" s="2472"/>
      <c r="BS46" s="2472"/>
      <c r="BT46" s="2472"/>
      <c r="BU46" s="2472"/>
      <c r="BV46" s="2472"/>
      <c r="BW46" s="2472"/>
      <c r="BX46" s="2472"/>
      <c r="BY46" s="2472"/>
      <c r="BZ46" s="2472"/>
      <c r="CA46" s="2472"/>
      <c r="CB46" s="2841"/>
      <c r="CC46" s="2841"/>
      <c r="CD46" s="2841"/>
      <c r="CE46" s="2472"/>
      <c r="CF46" s="2841"/>
      <c r="CG46" s="2841"/>
      <c r="CH46" s="2841"/>
      <c r="CI46" s="2841"/>
      <c r="CJ46" s="2841"/>
      <c r="CK46" s="2841"/>
      <c r="CL46" s="2841"/>
      <c r="CM46" s="2841"/>
      <c r="CN46" s="2472"/>
      <c r="CO46" s="2841"/>
      <c r="CP46" s="2841"/>
      <c r="CQ46" s="2841"/>
      <c r="CR46" s="2841"/>
      <c r="CS46" s="2841"/>
      <c r="CT46" s="2841"/>
      <c r="CU46" s="2841"/>
      <c r="CV46" s="2841"/>
      <c r="CW46" s="2841"/>
      <c r="CX46" s="2841"/>
      <c r="CY46" s="2841"/>
      <c r="CZ46" s="2841"/>
      <c r="DA46" s="2841"/>
      <c r="DB46" s="2472"/>
      <c r="DC46" s="2841"/>
      <c r="DD46" s="2841"/>
      <c r="DE46" s="2841"/>
      <c r="DF46" s="2841"/>
      <c r="DG46" s="2841"/>
      <c r="DH46" s="2841"/>
      <c r="DI46" s="2841"/>
      <c r="DJ46" s="2841"/>
      <c r="DK46" s="2841"/>
      <c r="DL46" s="2472"/>
      <c r="DM46" s="2841"/>
      <c r="DN46" s="2841"/>
      <c r="DO46" s="2841"/>
      <c r="DP46" s="2841"/>
      <c r="DQ46" s="2841"/>
      <c r="DR46" s="2841"/>
      <c r="DS46" s="2841"/>
      <c r="DT46" s="2841"/>
      <c r="DU46" s="2841"/>
      <c r="DV46" s="2841"/>
      <c r="DW46" s="2841"/>
      <c r="DX46" s="2841"/>
      <c r="DY46" s="2841"/>
      <c r="DZ46" s="2841"/>
      <c r="EA46" s="2841"/>
      <c r="EB46" s="2841"/>
      <c r="EC46" s="2841"/>
      <c r="ED46" s="2841"/>
      <c r="EE46" s="2473"/>
      <c r="EF46" s="2841"/>
      <c r="EG46" s="2841"/>
      <c r="EH46" s="2841"/>
      <c r="EI46" s="2841"/>
      <c r="EJ46" s="2841"/>
      <c r="EK46" s="2841"/>
      <c r="EL46" s="2841"/>
      <c r="EM46" s="2841"/>
      <c r="EN46" s="2841"/>
      <c r="EO46" s="2841"/>
      <c r="EP46" s="2841"/>
      <c r="EQ46" s="2841"/>
      <c r="ER46" s="2841"/>
      <c r="ES46" s="2841"/>
      <c r="ET46" s="2841"/>
      <c r="EU46" s="2841"/>
      <c r="EV46" s="2841"/>
      <c r="EW46" s="2841"/>
      <c r="EX46" s="2841"/>
      <c r="EY46" s="2841"/>
      <c r="EZ46" s="2841"/>
      <c r="FA46" s="2841"/>
      <c r="FB46" s="2841"/>
      <c r="FC46" s="2841"/>
      <c r="FD46" s="2841"/>
      <c r="FE46" s="2841"/>
      <c r="FF46" s="2841"/>
      <c r="FG46" s="2841"/>
      <c r="FH46" s="2841"/>
      <c r="FI46" s="2841"/>
      <c r="FJ46" s="2841"/>
      <c r="FK46" s="2841"/>
      <c r="FL46" s="2841"/>
      <c r="FM46" s="2841"/>
      <c r="FN46" s="2841"/>
      <c r="FO46" s="2841"/>
      <c r="FP46" s="2841"/>
      <c r="FQ46" s="2841"/>
      <c r="FR46" s="2841"/>
      <c r="FS46" s="2841"/>
      <c r="FT46" s="2841"/>
      <c r="FU46" s="2841"/>
      <c r="FV46" s="2841"/>
      <c r="FW46" s="2841"/>
      <c r="FX46" s="2841"/>
      <c r="FY46" s="2841"/>
      <c r="FZ46" s="2841"/>
      <c r="GA46" s="2841"/>
      <c r="GB46" s="2841"/>
      <c r="GC46" s="2472">
        <v>75</v>
      </c>
      <c r="GD46" s="2472"/>
      <c r="GE46" s="2841"/>
      <c r="GF46" s="2841"/>
      <c r="GG46" s="2841"/>
      <c r="GH46" s="2841"/>
      <c r="GI46" s="2841"/>
      <c r="GJ46" s="2841"/>
      <c r="GK46" s="2841"/>
      <c r="GL46" s="2841"/>
      <c r="GM46" s="2841"/>
      <c r="GN46" s="2841"/>
      <c r="GO46" s="2841"/>
      <c r="GP46" s="2841"/>
      <c r="GQ46" s="2841"/>
      <c r="GR46" s="2841"/>
      <c r="GS46" s="2841"/>
      <c r="GT46" s="2841"/>
      <c r="GU46" s="2841"/>
      <c r="GV46" s="2841"/>
      <c r="GW46" s="2472"/>
      <c r="GX46" s="2472"/>
      <c r="GY46" s="2841"/>
      <c r="GZ46" s="2841"/>
      <c r="HA46" s="2841"/>
      <c r="HB46" s="2841"/>
      <c r="HC46" s="2841"/>
      <c r="HD46" s="2841"/>
      <c r="HE46" s="2841"/>
      <c r="HF46" s="2841"/>
      <c r="HG46" s="2841"/>
      <c r="HH46" s="2841"/>
      <c r="HI46" s="2841"/>
      <c r="HJ46" s="2841"/>
      <c r="HK46" s="2841"/>
      <c r="HL46" s="2841"/>
      <c r="HM46" s="2841"/>
      <c r="HN46" s="2841"/>
      <c r="HO46" s="2841"/>
      <c r="HP46" s="2841"/>
      <c r="HQ46" s="2841"/>
      <c r="HR46" s="2841"/>
      <c r="HS46" s="2841"/>
      <c r="HT46" s="2841"/>
      <c r="HU46" s="2841"/>
      <c r="HV46" s="2841"/>
      <c r="HW46" s="2841"/>
      <c r="HX46" s="2841"/>
      <c r="HY46" s="2841"/>
      <c r="HZ46" s="2841"/>
      <c r="IA46" s="2841"/>
      <c r="IB46" s="2841"/>
      <c r="IC46" s="2841"/>
      <c r="ID46" s="2841"/>
      <c r="IE46" s="2841"/>
      <c r="IF46" s="2841"/>
      <c r="IG46" s="2841"/>
      <c r="IH46" s="2841"/>
      <c r="II46" s="2841"/>
      <c r="IJ46" s="2841"/>
      <c r="IK46" s="2841"/>
      <c r="IL46" s="2841"/>
      <c r="IM46" s="2841"/>
      <c r="IN46" s="2841"/>
      <c r="IO46" s="2841"/>
      <c r="IP46" s="2841"/>
      <c r="IQ46" s="2841"/>
      <c r="IR46" s="2841"/>
      <c r="IS46" s="2841"/>
      <c r="IT46" s="2841"/>
      <c r="IU46" s="2841"/>
      <c r="IV46" s="2841"/>
      <c r="IW46" s="2841"/>
      <c r="IX46" s="2841"/>
      <c r="IY46" s="2841"/>
      <c r="IZ46" s="2841"/>
      <c r="JA46" s="2841"/>
      <c r="JB46" s="2841"/>
      <c r="JC46" s="2841"/>
      <c r="JD46" s="2841"/>
      <c r="JE46" s="2841"/>
      <c r="JF46" s="2841"/>
      <c r="JG46" s="3794"/>
      <c r="JH46" s="1523"/>
      <c r="JI46" s="2465"/>
      <c r="JJ46" s="2469" t="s">
        <v>6108</v>
      </c>
    </row>
    <row customFormat="1" ht="12.75" r="47" s="34" spans="1:270" x14ac:dyDescent="0.2">
      <c r="A47" s="2459">
        <v>22</v>
      </c>
      <c r="B47" s="2466" t="str">
        <f si="2" t="shared"/>
        <v/>
      </c>
      <c r="C47" s="1278" t="s">
        <v>1540</v>
      </c>
      <c r="D47" s="2928" t="s">
        <v>7331</v>
      </c>
      <c r="E47" s="2472"/>
      <c r="F47" s="2472"/>
      <c r="G47" s="2472"/>
      <c r="H47" s="2473"/>
      <c r="I47" s="2473"/>
      <c r="J47" s="2473"/>
      <c r="K47" s="2472"/>
      <c r="L47" s="2473"/>
      <c r="M47" s="2473"/>
      <c r="N47" s="2473"/>
      <c r="O47" s="2472"/>
      <c r="P47" s="2473"/>
      <c r="Q47" s="2472"/>
      <c r="R47" s="2472"/>
      <c r="S47" s="2473"/>
      <c r="T47" s="2473"/>
      <c r="U47" s="2472"/>
      <c r="V47" s="2472"/>
      <c r="W47" s="2472"/>
      <c r="X47" s="2472"/>
      <c r="Y47" s="2472"/>
      <c r="Z47" s="2473"/>
      <c r="AA47" s="2472"/>
      <c r="AB47" s="2473"/>
      <c r="AC47" s="2472"/>
      <c r="AD47" s="2472"/>
      <c r="AE47" s="2472"/>
      <c r="AF47" s="2472"/>
      <c r="AG47" s="2472"/>
      <c r="AH47" s="2472"/>
      <c r="AI47" s="2473"/>
      <c r="AJ47" s="2473"/>
      <c r="AK47" s="2472"/>
      <c r="AL47" s="2473"/>
      <c r="AM47" s="2473"/>
      <c r="AN47" s="2473"/>
      <c r="AO47" s="2473"/>
      <c r="AP47" s="2472"/>
      <c r="AQ47" s="2472"/>
      <c r="AR47" s="2473"/>
      <c r="AS47" s="2473"/>
      <c r="AT47" s="2472"/>
      <c r="AU47" s="2472"/>
      <c r="AV47" s="2473"/>
      <c r="AW47" s="2472"/>
      <c r="AX47" s="2472"/>
      <c r="AY47" s="2472"/>
      <c r="AZ47" s="2472"/>
      <c r="BA47" s="2472">
        <v>175</v>
      </c>
      <c r="BB47" s="2472"/>
      <c r="BC47" s="2472"/>
      <c r="BD47" s="2472"/>
      <c r="BE47" s="2472"/>
      <c r="BF47" s="2472">
        <v>150</v>
      </c>
      <c r="BG47" s="2472"/>
      <c r="BH47" s="2472"/>
      <c r="BI47" s="2472"/>
      <c r="BJ47" s="2472"/>
      <c r="BK47" s="2472"/>
      <c r="BL47" s="2472"/>
      <c r="BM47" s="2472"/>
      <c r="BN47" s="2472"/>
      <c r="BO47" s="2472"/>
      <c r="BP47" s="2472"/>
      <c r="BQ47" s="2472"/>
      <c r="BR47" s="2472"/>
      <c r="BS47" s="2472"/>
      <c r="BT47" s="2472"/>
      <c r="BU47" s="2472"/>
      <c r="BV47" s="2472"/>
      <c r="BW47" s="2472"/>
      <c r="BX47" s="2472"/>
      <c r="BY47" s="2472"/>
      <c r="BZ47" s="2472"/>
      <c r="CA47" s="2472"/>
      <c r="CB47" s="2841"/>
      <c r="CC47" s="2841"/>
      <c r="CD47" s="2841"/>
      <c r="CE47" s="2472">
        <v>150</v>
      </c>
      <c r="CF47" s="2841"/>
      <c r="CG47" s="2841"/>
      <c r="CH47" s="2841"/>
      <c r="CI47" s="2841"/>
      <c r="CJ47" s="2841"/>
      <c r="CK47" s="2841"/>
      <c r="CL47" s="2841"/>
      <c r="CM47" s="2841"/>
      <c r="CN47" s="2472"/>
      <c r="CO47" s="2841"/>
      <c r="CP47" s="2841"/>
      <c r="CQ47" s="2841"/>
      <c r="CR47" s="2841"/>
      <c r="CS47" s="2841"/>
      <c r="CT47" s="2841"/>
      <c r="CU47" s="2841"/>
      <c r="CV47" s="2841"/>
      <c r="CW47" s="2841"/>
      <c r="CX47" s="2841"/>
      <c r="CY47" s="2841"/>
      <c r="CZ47" s="2841"/>
      <c r="DA47" s="2841"/>
      <c r="DB47" s="2472">
        <v>150</v>
      </c>
      <c r="DC47" s="2841"/>
      <c r="DD47" s="2841"/>
      <c r="DE47" s="2841"/>
      <c r="DF47" s="2841"/>
      <c r="DG47" s="2841"/>
      <c r="DH47" s="2841"/>
      <c r="DI47" s="2841"/>
      <c r="DJ47" s="2841"/>
      <c r="DK47" s="2841"/>
      <c r="DL47" s="2472">
        <v>150</v>
      </c>
      <c r="DM47" s="2841"/>
      <c r="DN47" s="2841"/>
      <c r="DO47" s="2841"/>
      <c r="DP47" s="2841"/>
      <c r="DQ47" s="2841"/>
      <c r="DR47" s="2841"/>
      <c r="DS47" s="2841"/>
      <c r="DT47" s="2841"/>
      <c r="DU47" s="2841"/>
      <c r="DV47" s="2841"/>
      <c r="DW47" s="2841"/>
      <c r="DX47" s="2841"/>
      <c r="DY47" s="2841"/>
      <c r="DZ47" s="2841"/>
      <c r="EA47" s="2841"/>
      <c r="EB47" s="2841"/>
      <c r="EC47" s="2841"/>
      <c r="ED47" s="2841"/>
      <c r="EE47" s="2473"/>
      <c r="EF47" s="2841"/>
      <c r="EG47" s="2841"/>
      <c r="EH47" s="2841"/>
      <c r="EI47" s="2841"/>
      <c r="EJ47" s="2841"/>
      <c r="EK47" s="2841"/>
      <c r="EL47" s="2841"/>
      <c r="EM47" s="2841"/>
      <c r="EN47" s="2841"/>
      <c r="EO47" s="2841"/>
      <c r="EP47" s="2841"/>
      <c r="EQ47" s="2841"/>
      <c r="ER47" s="2841"/>
      <c r="ES47" s="2841"/>
      <c r="ET47" s="2841"/>
      <c r="EU47" s="2841"/>
      <c r="EV47" s="2841"/>
      <c r="EW47" s="2841"/>
      <c r="EX47" s="2841"/>
      <c r="EY47" s="2841"/>
      <c r="EZ47" s="2841"/>
      <c r="FA47" s="2841"/>
      <c r="FB47" s="2841"/>
      <c r="FC47" s="2841"/>
      <c r="FD47" s="2841"/>
      <c r="FE47" s="2841"/>
      <c r="FF47" s="2841"/>
      <c r="FG47" s="2841"/>
      <c r="FH47" s="2841"/>
      <c r="FI47" s="2841"/>
      <c r="FJ47" s="2841"/>
      <c r="FK47" s="2841"/>
      <c r="FL47" s="2841"/>
      <c r="FM47" s="2841"/>
      <c r="FN47" s="2841"/>
      <c r="FO47" s="2841"/>
      <c r="FP47" s="2841"/>
      <c r="FQ47" s="2841"/>
      <c r="FR47" s="2841"/>
      <c r="FS47" s="2841"/>
      <c r="FT47" s="2841"/>
      <c r="FU47" s="2841"/>
      <c r="FV47" s="2841"/>
      <c r="FW47" s="2841"/>
      <c r="FX47" s="2841"/>
      <c r="FY47" s="2841"/>
      <c r="FZ47" s="2841"/>
      <c r="GA47" s="2841"/>
      <c r="GB47" s="2841"/>
      <c r="GC47" s="2472"/>
      <c r="GD47" s="2472"/>
      <c r="GE47" s="2841"/>
      <c r="GF47" s="2841"/>
      <c r="GG47" s="2841"/>
      <c r="GH47" s="2841"/>
      <c r="GI47" s="2841"/>
      <c r="GJ47" s="2841"/>
      <c r="GK47" s="2841"/>
      <c r="GL47" s="2841"/>
      <c r="GM47" s="2841"/>
      <c r="GN47" s="2841"/>
      <c r="GO47" s="2841"/>
      <c r="GP47" s="2841"/>
      <c r="GQ47" s="2841"/>
      <c r="GR47" s="2841"/>
      <c r="GS47" s="2841"/>
      <c r="GT47" s="2841"/>
      <c r="GU47" s="2841"/>
      <c r="GV47" s="2841"/>
      <c r="GW47" s="2472"/>
      <c r="GX47" s="2472"/>
      <c r="GY47" s="2841"/>
      <c r="GZ47" s="2841"/>
      <c r="HA47" s="2841"/>
      <c r="HB47" s="2841"/>
      <c r="HC47" s="2841"/>
      <c r="HD47" s="2841"/>
      <c r="HE47" s="2841"/>
      <c r="HF47" s="2841"/>
      <c r="HG47" s="2841"/>
      <c r="HH47" s="2841"/>
      <c r="HI47" s="2841"/>
      <c r="HJ47" s="2841"/>
      <c r="HK47" s="2841"/>
      <c r="HL47" s="2841"/>
      <c r="HM47" s="2841"/>
      <c r="HN47" s="2841"/>
      <c r="HO47" s="2841"/>
      <c r="HP47" s="2841"/>
      <c r="HQ47" s="2841"/>
      <c r="HR47" s="2841"/>
      <c r="HS47" s="2841"/>
      <c r="HT47" s="2841"/>
      <c r="HU47" s="2841"/>
      <c r="HV47" s="2841"/>
      <c r="HW47" s="2841"/>
      <c r="HX47" s="2841"/>
      <c r="HY47" s="2841"/>
      <c r="HZ47" s="2841"/>
      <c r="IA47" s="2841"/>
      <c r="IB47" s="2841"/>
      <c r="IC47" s="2841"/>
      <c r="ID47" s="2841"/>
      <c r="IE47" s="2841"/>
      <c r="IF47" s="2841"/>
      <c r="IG47" s="2841"/>
      <c r="IH47" s="2841"/>
      <c r="II47" s="2841"/>
      <c r="IJ47" s="2841"/>
      <c r="IK47" s="2841"/>
      <c r="IL47" s="2841"/>
      <c r="IM47" s="2841"/>
      <c r="IN47" s="2841"/>
      <c r="IO47" s="2841"/>
      <c r="IP47" s="2841"/>
      <c r="IQ47" s="2841"/>
      <c r="IR47" s="2841"/>
      <c r="IS47" s="2841"/>
      <c r="IT47" s="2841"/>
      <c r="IU47" s="2841"/>
      <c r="IV47" s="2841"/>
      <c r="IW47" s="2841"/>
      <c r="IX47" s="2841"/>
      <c r="IY47" s="2841"/>
      <c r="IZ47" s="2841"/>
      <c r="JA47" s="2841"/>
      <c r="JB47" s="2841"/>
      <c r="JC47" s="2841"/>
      <c r="JD47" s="2841"/>
      <c r="JE47" s="2841"/>
      <c r="JF47" s="2841"/>
      <c r="JG47" s="3794"/>
      <c r="JH47" s="1523"/>
      <c r="JI47" s="2465"/>
      <c r="JJ47" s="2469" t="s">
        <v>6108</v>
      </c>
    </row>
    <row customFormat="1" ht="13.5" r="48" s="34" spans="1:270" thickBot="1" x14ac:dyDescent="0.25">
      <c r="A48" s="2459">
        <v>23</v>
      </c>
      <c r="B48" s="2466" t="str">
        <f si="2" t="shared"/>
        <v/>
      </c>
      <c r="C48" s="1683" t="s">
        <v>1541</v>
      </c>
      <c r="D48" s="2929" t="s">
        <v>7332</v>
      </c>
      <c r="E48" s="2480"/>
      <c r="F48" s="2480"/>
      <c r="G48" s="2480"/>
      <c r="H48" s="2481"/>
      <c r="I48" s="2481"/>
      <c r="J48" s="2481"/>
      <c r="K48" s="2480"/>
      <c r="L48" s="2481"/>
      <c r="M48" s="2481"/>
      <c r="N48" s="2481"/>
      <c r="O48" s="2480"/>
      <c r="P48" s="2481"/>
      <c r="Q48" s="2480"/>
      <c r="R48" s="2480"/>
      <c r="S48" s="2481"/>
      <c r="T48" s="2481"/>
      <c r="U48" s="2480"/>
      <c r="V48" s="2480"/>
      <c r="W48" s="2480"/>
      <c r="X48" s="2480"/>
      <c r="Y48" s="2480"/>
      <c r="Z48" s="2481"/>
      <c r="AA48" s="2480"/>
      <c r="AB48" s="2481"/>
      <c r="AC48" s="2480"/>
      <c r="AD48" s="2480"/>
      <c r="AE48" s="2480"/>
      <c r="AF48" s="2480"/>
      <c r="AG48" s="2480"/>
      <c r="AH48" s="2480"/>
      <c r="AI48" s="2481"/>
      <c r="AJ48" s="2481"/>
      <c r="AK48" s="2480"/>
      <c r="AL48" s="2481"/>
      <c r="AM48" s="2481"/>
      <c r="AN48" s="2481"/>
      <c r="AO48" s="2481"/>
      <c r="AP48" s="2480"/>
      <c r="AQ48" s="2480"/>
      <c r="AR48" s="2481"/>
      <c r="AS48" s="2481"/>
      <c r="AT48" s="2480"/>
      <c r="AU48" s="2480"/>
      <c r="AV48" s="2481"/>
      <c r="AW48" s="2480"/>
      <c r="AX48" s="2480"/>
      <c r="AY48" s="2480"/>
      <c r="AZ48" s="2480"/>
      <c r="BA48" s="2480"/>
      <c r="BB48" s="2480"/>
      <c r="BC48" s="2480"/>
      <c r="BD48" s="2480"/>
      <c r="BE48" s="2480"/>
      <c r="BF48" s="2480">
        <v>85</v>
      </c>
      <c r="BG48" s="2480"/>
      <c r="BH48" s="2480"/>
      <c r="BI48" s="2480"/>
      <c r="BJ48" s="2480"/>
      <c r="BK48" s="2480"/>
      <c r="BL48" s="2480"/>
      <c r="BM48" s="2480"/>
      <c r="BN48" s="2480"/>
      <c r="BO48" s="2480"/>
      <c r="BP48" s="2480"/>
      <c r="BQ48" s="2480"/>
      <c r="BR48" s="2480"/>
      <c r="BS48" s="2480"/>
      <c r="BT48" s="2480"/>
      <c r="BU48" s="2480"/>
      <c r="BV48" s="2480"/>
      <c r="BW48" s="2480"/>
      <c r="BX48" s="2480"/>
      <c r="BY48" s="2480"/>
      <c r="BZ48" s="2480"/>
      <c r="CA48" s="2480"/>
      <c r="CB48" s="2843"/>
      <c r="CC48" s="2843"/>
      <c r="CD48" s="2843"/>
      <c r="CE48" s="2480">
        <v>85</v>
      </c>
      <c r="CF48" s="2843"/>
      <c r="CG48" s="2843"/>
      <c r="CH48" s="2843"/>
      <c r="CI48" s="2843"/>
      <c r="CJ48" s="2843"/>
      <c r="CK48" s="2843"/>
      <c r="CL48" s="2843"/>
      <c r="CM48" s="2843"/>
      <c r="CN48" s="2480"/>
      <c r="CO48" s="2843"/>
      <c r="CP48" s="2843"/>
      <c r="CQ48" s="2843"/>
      <c r="CR48" s="2843"/>
      <c r="CS48" s="2843"/>
      <c r="CT48" s="2843"/>
      <c r="CU48" s="2843"/>
      <c r="CV48" s="2843"/>
      <c r="CW48" s="2843"/>
      <c r="CX48" s="2843"/>
      <c r="CY48" s="2843"/>
      <c r="CZ48" s="2843"/>
      <c r="DA48" s="2843"/>
      <c r="DB48" s="2480">
        <v>85</v>
      </c>
      <c r="DC48" s="2843"/>
      <c r="DD48" s="2843"/>
      <c r="DE48" s="2843"/>
      <c r="DF48" s="2843"/>
      <c r="DG48" s="2843"/>
      <c r="DH48" s="2843"/>
      <c r="DI48" s="2843"/>
      <c r="DJ48" s="2843"/>
      <c r="DK48" s="2843"/>
      <c r="DL48" s="2480">
        <v>85</v>
      </c>
      <c r="DM48" s="2843"/>
      <c r="DN48" s="2843"/>
      <c r="DO48" s="2843"/>
      <c r="DP48" s="2843"/>
      <c r="DQ48" s="2843"/>
      <c r="DR48" s="2843"/>
      <c r="DS48" s="2843"/>
      <c r="DT48" s="2843"/>
      <c r="DU48" s="2843"/>
      <c r="DV48" s="2843"/>
      <c r="DW48" s="2843"/>
      <c r="DX48" s="2843"/>
      <c r="DY48" s="2843"/>
      <c r="DZ48" s="2843"/>
      <c r="EA48" s="2843"/>
      <c r="EB48" s="2843"/>
      <c r="EC48" s="2843"/>
      <c r="ED48" s="2843"/>
      <c r="EE48" s="2481"/>
      <c r="EF48" s="2843"/>
      <c r="EG48" s="2843"/>
      <c r="EH48" s="2843"/>
      <c r="EI48" s="2843"/>
      <c r="EJ48" s="2843"/>
      <c r="EK48" s="2843"/>
      <c r="EL48" s="2843"/>
      <c r="EM48" s="2843"/>
      <c r="EN48" s="2843"/>
      <c r="EO48" s="2843"/>
      <c r="EP48" s="2843"/>
      <c r="EQ48" s="2843"/>
      <c r="ER48" s="2843"/>
      <c r="ES48" s="2843"/>
      <c r="ET48" s="2843"/>
      <c r="EU48" s="2843"/>
      <c r="EV48" s="2843"/>
      <c r="EW48" s="2843"/>
      <c r="EX48" s="2843"/>
      <c r="EY48" s="2843"/>
      <c r="EZ48" s="2843"/>
      <c r="FA48" s="2843"/>
      <c r="FB48" s="2843"/>
      <c r="FC48" s="2843"/>
      <c r="FD48" s="2843"/>
      <c r="FE48" s="2843"/>
      <c r="FF48" s="2843"/>
      <c r="FG48" s="2843"/>
      <c r="FH48" s="2843"/>
      <c r="FI48" s="2843"/>
      <c r="FJ48" s="2843"/>
      <c r="FK48" s="2843"/>
      <c r="FL48" s="2843"/>
      <c r="FM48" s="2843"/>
      <c r="FN48" s="2843"/>
      <c r="FO48" s="2843"/>
      <c r="FP48" s="2843"/>
      <c r="FQ48" s="2843"/>
      <c r="FR48" s="2843"/>
      <c r="FS48" s="2843"/>
      <c r="FT48" s="2843"/>
      <c r="FU48" s="2843"/>
      <c r="FV48" s="2843"/>
      <c r="FW48" s="2843"/>
      <c r="FX48" s="2843"/>
      <c r="FY48" s="2843"/>
      <c r="FZ48" s="2843"/>
      <c r="GA48" s="2843"/>
      <c r="GB48" s="2843"/>
      <c r="GC48" s="2480"/>
      <c r="GD48" s="2480"/>
      <c r="GE48" s="2843"/>
      <c r="GF48" s="2843"/>
      <c r="GG48" s="2843"/>
      <c r="GH48" s="2843"/>
      <c r="GI48" s="2843"/>
      <c r="GJ48" s="2843"/>
      <c r="GK48" s="2843"/>
      <c r="GL48" s="2843"/>
      <c r="GM48" s="2843"/>
      <c r="GN48" s="2843"/>
      <c r="GO48" s="2843"/>
      <c r="GP48" s="2843"/>
      <c r="GQ48" s="2843"/>
      <c r="GR48" s="2843"/>
      <c r="GS48" s="2843"/>
      <c r="GT48" s="2843"/>
      <c r="GU48" s="2843"/>
      <c r="GV48" s="2843"/>
      <c r="GW48" s="2480"/>
      <c r="GX48" s="2480"/>
      <c r="GY48" s="2843"/>
      <c r="GZ48" s="2843"/>
      <c r="HA48" s="2843"/>
      <c r="HB48" s="2843"/>
      <c r="HC48" s="2843"/>
      <c r="HD48" s="2843"/>
      <c r="HE48" s="2843"/>
      <c r="HF48" s="2843"/>
      <c r="HG48" s="2843"/>
      <c r="HH48" s="2843"/>
      <c r="HI48" s="2843"/>
      <c r="HJ48" s="2843"/>
      <c r="HK48" s="2843"/>
      <c r="HL48" s="2843"/>
      <c r="HM48" s="2843"/>
      <c r="HN48" s="2843"/>
      <c r="HO48" s="2843"/>
      <c r="HP48" s="2843"/>
      <c r="HQ48" s="2843"/>
      <c r="HR48" s="2843"/>
      <c r="HS48" s="2843"/>
      <c r="HT48" s="2843"/>
      <c r="HU48" s="2843"/>
      <c r="HV48" s="2843"/>
      <c r="HW48" s="2843"/>
      <c r="HX48" s="2843"/>
      <c r="HY48" s="2843"/>
      <c r="HZ48" s="2843"/>
      <c r="IA48" s="2843"/>
      <c r="IB48" s="2843"/>
      <c r="IC48" s="2843"/>
      <c r="ID48" s="2843"/>
      <c r="IE48" s="2843"/>
      <c r="IF48" s="2843"/>
      <c r="IG48" s="2843"/>
      <c r="IH48" s="2843"/>
      <c r="II48" s="2843"/>
      <c r="IJ48" s="2843"/>
      <c r="IK48" s="2843"/>
      <c r="IL48" s="2843"/>
      <c r="IM48" s="2843"/>
      <c r="IN48" s="2843"/>
      <c r="IO48" s="2843"/>
      <c r="IP48" s="2843"/>
      <c r="IQ48" s="2843"/>
      <c r="IR48" s="2843"/>
      <c r="IS48" s="2843"/>
      <c r="IT48" s="2843"/>
      <c r="IU48" s="2843"/>
      <c r="IV48" s="2843"/>
      <c r="IW48" s="2843"/>
      <c r="IX48" s="2843"/>
      <c r="IY48" s="2843"/>
      <c r="IZ48" s="2843"/>
      <c r="JA48" s="2843"/>
      <c r="JB48" s="2843"/>
      <c r="JC48" s="2843"/>
      <c r="JD48" s="2843"/>
      <c r="JE48" s="2843"/>
      <c r="JF48" s="2843"/>
      <c r="JG48" s="2482"/>
      <c r="JH48" s="1523"/>
      <c r="JI48" s="2465"/>
      <c r="JJ48" s="2469" t="s">
        <v>6108</v>
      </c>
    </row>
    <row ht="12.75" r="49" spans="1:270" thickBot="1" x14ac:dyDescent="0.25">
      <c r="JA49" s="34"/>
      <c r="JB49" s="34"/>
      <c r="JC49" s="34"/>
      <c r="JD49" s="34"/>
      <c r="JE49" s="34"/>
      <c r="JF49" s="34"/>
      <c r="JG49" s="34"/>
    </row>
    <row ht="12.75" r="50" spans="1:270" x14ac:dyDescent="0.2">
      <c r="A50" s="1128" t="s">
        <v>4479</v>
      </c>
      <c r="B50" s="2844" t="str">
        <f>"selected "&amp;MOR_IND-1</f>
        <v>selected 0</v>
      </c>
      <c r="C50" s="1381" t="s">
        <v>2075</v>
      </c>
      <c r="D50" s="1370"/>
      <c r="E50" s="1371">
        <v>1</v>
      </c>
      <c r="F50" s="1134">
        <v>2</v>
      </c>
      <c r="G50" s="1134">
        <v>3</v>
      </c>
      <c r="H50" s="1134">
        <v>4</v>
      </c>
      <c r="I50" s="1134">
        <v>5</v>
      </c>
      <c r="J50" s="1134">
        <v>6</v>
      </c>
      <c r="K50" s="1134">
        <v>7</v>
      </c>
      <c r="L50" s="1134">
        <v>8</v>
      </c>
      <c r="M50" s="1134">
        <v>9</v>
      </c>
      <c r="N50" s="1134">
        <v>10</v>
      </c>
      <c r="O50" s="1134">
        <v>11</v>
      </c>
      <c r="P50" s="1258">
        <v>12</v>
      </c>
      <c r="Q50" s="1258">
        <v>13</v>
      </c>
      <c r="R50" s="1258">
        <v>14</v>
      </c>
      <c r="S50" s="1258">
        <v>15</v>
      </c>
      <c r="T50" s="1258">
        <v>16</v>
      </c>
      <c r="U50" s="1258">
        <v>17</v>
      </c>
      <c r="V50" s="1258">
        <v>18</v>
      </c>
      <c r="W50" s="1258">
        <v>19</v>
      </c>
      <c r="X50" s="1258">
        <v>20</v>
      </c>
      <c r="Y50" s="1258">
        <v>21</v>
      </c>
      <c r="Z50" s="1258">
        <v>22</v>
      </c>
      <c r="AA50" s="1258">
        <v>23</v>
      </c>
      <c r="AB50" s="1258">
        <v>24</v>
      </c>
      <c r="AC50" s="1258">
        <v>25</v>
      </c>
      <c r="AD50" s="3502">
        <v>26</v>
      </c>
      <c r="AE50" s="3502">
        <v>27</v>
      </c>
      <c r="AF50" s="3502">
        <v>28</v>
      </c>
      <c r="AG50" s="3502">
        <v>29</v>
      </c>
      <c r="AH50" s="3502">
        <v>30</v>
      </c>
      <c r="AI50" s="2026">
        <v>31</v>
      </c>
      <c r="AJ50" s="2026">
        <v>32</v>
      </c>
      <c r="AK50" s="2026">
        <v>33</v>
      </c>
      <c r="AL50" s="2026">
        <v>34</v>
      </c>
      <c r="AM50" s="2026">
        <v>35</v>
      </c>
      <c r="AN50" s="2026">
        <v>36</v>
      </c>
      <c r="AO50" s="2026">
        <v>37</v>
      </c>
      <c r="AP50" s="2026">
        <v>38</v>
      </c>
      <c r="AQ50" s="2026">
        <v>39</v>
      </c>
      <c r="AR50" s="2026">
        <v>40</v>
      </c>
      <c r="AS50" s="2026">
        <v>41</v>
      </c>
      <c r="AT50" s="2026">
        <v>42</v>
      </c>
      <c r="AU50" s="2026">
        <v>43</v>
      </c>
      <c r="AV50" s="2026">
        <v>44</v>
      </c>
      <c r="AW50" s="2026">
        <v>45</v>
      </c>
      <c r="AX50" s="2026">
        <v>46</v>
      </c>
      <c r="AY50" s="2026">
        <v>47</v>
      </c>
      <c r="AZ50" s="2026">
        <v>48</v>
      </c>
      <c r="BA50" s="2026">
        <v>49</v>
      </c>
      <c r="BB50" s="2026">
        <v>50</v>
      </c>
      <c r="BC50" s="2026">
        <v>51</v>
      </c>
      <c r="BD50" s="2026">
        <v>52</v>
      </c>
      <c r="BE50" s="2026">
        <v>53</v>
      </c>
      <c r="BF50" s="2026">
        <v>54</v>
      </c>
      <c r="BG50" s="2026">
        <v>55</v>
      </c>
      <c r="BH50" s="2026">
        <v>56</v>
      </c>
      <c r="BI50" s="2026">
        <v>57</v>
      </c>
      <c r="BJ50" s="2026">
        <v>58</v>
      </c>
      <c r="BK50" s="2026">
        <v>59</v>
      </c>
      <c r="BL50" s="2026">
        <v>60</v>
      </c>
      <c r="BM50" s="2026">
        <v>61</v>
      </c>
      <c r="BN50" s="2026">
        <v>62</v>
      </c>
      <c r="BO50" s="2026">
        <v>63</v>
      </c>
      <c r="BP50" s="2026">
        <v>64</v>
      </c>
      <c r="BQ50" s="2026">
        <v>65</v>
      </c>
      <c r="BR50" s="2026">
        <v>66</v>
      </c>
      <c r="BS50" s="2026">
        <v>67</v>
      </c>
      <c r="BT50" s="2026">
        <v>68</v>
      </c>
      <c r="BU50" s="2026">
        <v>69</v>
      </c>
      <c r="BV50" s="2026">
        <v>70</v>
      </c>
      <c r="BW50" s="2026">
        <v>71</v>
      </c>
      <c r="BX50" s="2026">
        <v>72</v>
      </c>
      <c r="BY50" s="2026">
        <v>73</v>
      </c>
      <c r="BZ50" s="2026">
        <v>74</v>
      </c>
      <c r="CA50" s="2026">
        <v>75</v>
      </c>
      <c r="CB50" s="2026">
        <v>76</v>
      </c>
      <c r="CC50" s="2026">
        <v>77</v>
      </c>
      <c r="CD50" s="2026">
        <v>78</v>
      </c>
      <c r="CE50" s="2026">
        <v>79</v>
      </c>
      <c r="CF50" s="2026">
        <v>80</v>
      </c>
      <c r="CG50" s="2026">
        <v>81</v>
      </c>
      <c r="CH50" s="2026">
        <v>82</v>
      </c>
      <c r="CI50" s="2026">
        <v>83</v>
      </c>
      <c r="CJ50" s="2026">
        <v>84</v>
      </c>
      <c r="CK50" s="2026">
        <v>85</v>
      </c>
      <c r="CL50" s="2026">
        <v>86</v>
      </c>
      <c r="CM50" s="2026">
        <v>87</v>
      </c>
      <c r="CN50" s="2026">
        <v>88</v>
      </c>
      <c r="CO50" s="2026">
        <v>89</v>
      </c>
      <c r="CP50" s="2026">
        <v>90</v>
      </c>
      <c r="CQ50" s="2026">
        <v>91</v>
      </c>
      <c r="CR50" s="2026">
        <v>92</v>
      </c>
      <c r="CS50" s="2026">
        <v>93</v>
      </c>
      <c r="CT50" s="2026">
        <v>94</v>
      </c>
      <c r="CU50" s="2026">
        <v>95</v>
      </c>
      <c r="CV50" s="2026">
        <v>96</v>
      </c>
      <c r="CW50" s="2026">
        <v>97</v>
      </c>
      <c r="CX50" s="2026">
        <v>98</v>
      </c>
      <c r="CY50" s="2026">
        <v>99</v>
      </c>
      <c r="CZ50" s="2026">
        <v>100</v>
      </c>
      <c r="DA50" s="2026">
        <v>101</v>
      </c>
      <c r="DB50" s="2026">
        <v>102</v>
      </c>
      <c r="DC50" s="2026">
        <v>103</v>
      </c>
      <c r="DD50" s="2026">
        <v>104</v>
      </c>
      <c r="DE50" s="2026">
        <v>105</v>
      </c>
      <c r="DF50" s="2026">
        <v>106</v>
      </c>
      <c r="DG50" s="2026">
        <v>107</v>
      </c>
      <c r="DH50" s="2026">
        <v>108</v>
      </c>
      <c r="DI50" s="2026">
        <v>109</v>
      </c>
      <c r="DJ50" s="2026">
        <v>110</v>
      </c>
      <c r="DK50" s="2026">
        <v>111</v>
      </c>
      <c r="DL50" s="2026">
        <v>112</v>
      </c>
      <c r="DM50" s="2026">
        <v>113</v>
      </c>
      <c r="DN50" s="2026">
        <v>114</v>
      </c>
      <c r="DO50" s="2026">
        <v>115</v>
      </c>
      <c r="DP50" s="2026">
        <v>116</v>
      </c>
      <c r="DQ50" s="2026">
        <v>117</v>
      </c>
      <c r="DR50" s="2026">
        <v>118</v>
      </c>
      <c r="DS50" s="2026">
        <v>119</v>
      </c>
      <c r="DT50" s="2026">
        <v>120</v>
      </c>
      <c r="DU50" s="2026">
        <v>121</v>
      </c>
      <c r="DV50" s="2026">
        <v>122</v>
      </c>
      <c r="DW50" s="2026">
        <v>123</v>
      </c>
      <c r="DX50" s="2026">
        <v>124</v>
      </c>
      <c r="DY50" s="2026">
        <v>125</v>
      </c>
      <c r="DZ50" s="2026">
        <v>126</v>
      </c>
      <c r="EA50" s="2026">
        <v>127</v>
      </c>
      <c r="EB50" s="2026">
        <v>128</v>
      </c>
      <c r="EC50" s="2026">
        <v>129</v>
      </c>
      <c r="ED50" s="2026">
        <v>130</v>
      </c>
      <c r="EE50" s="2026">
        <v>131</v>
      </c>
      <c r="EF50" s="2026">
        <v>132</v>
      </c>
      <c r="EG50" s="2026">
        <v>133</v>
      </c>
      <c r="EH50" s="2026">
        <v>134</v>
      </c>
      <c r="EI50" s="2026">
        <v>135</v>
      </c>
      <c r="EJ50" s="2026">
        <v>136</v>
      </c>
      <c r="EK50" s="2026">
        <v>137</v>
      </c>
      <c r="EL50" s="2026">
        <v>138</v>
      </c>
      <c r="EM50" s="2026">
        <v>139</v>
      </c>
      <c r="EN50" s="2026">
        <v>140</v>
      </c>
      <c r="EO50" s="2026">
        <v>141</v>
      </c>
      <c r="EP50" s="2026">
        <v>142</v>
      </c>
      <c r="EQ50" s="2026">
        <v>143</v>
      </c>
      <c r="ER50" s="2026">
        <v>144</v>
      </c>
      <c r="ES50" s="2026">
        <v>145</v>
      </c>
      <c r="ET50" s="2026">
        <v>146</v>
      </c>
      <c r="EU50" s="2026">
        <v>147</v>
      </c>
      <c r="EV50" s="2026">
        <v>148</v>
      </c>
      <c r="EW50" s="2026">
        <v>149</v>
      </c>
      <c r="EX50" s="2026">
        <v>150</v>
      </c>
      <c r="EY50" s="2026">
        <v>151</v>
      </c>
      <c r="EZ50" s="2026">
        <v>152</v>
      </c>
      <c r="FA50" s="2026">
        <v>153</v>
      </c>
      <c r="FB50" s="2026">
        <v>154</v>
      </c>
      <c r="FC50" s="2026">
        <v>155</v>
      </c>
      <c r="FD50" s="2026">
        <v>156</v>
      </c>
      <c r="FE50" s="2026">
        <v>157</v>
      </c>
      <c r="FF50" s="2026">
        <v>158</v>
      </c>
      <c r="FG50" s="2026">
        <v>159</v>
      </c>
      <c r="FH50" s="2026">
        <v>160</v>
      </c>
      <c r="FI50" s="2026">
        <v>161</v>
      </c>
      <c r="FJ50" s="2026">
        <v>162</v>
      </c>
      <c r="FK50" s="2026">
        <v>163</v>
      </c>
      <c r="FL50" s="2026">
        <v>164</v>
      </c>
      <c r="FM50" s="2026">
        <v>165</v>
      </c>
      <c r="FN50" s="2026">
        <v>166</v>
      </c>
      <c r="FO50" s="2026">
        <v>167</v>
      </c>
      <c r="FP50" s="2026">
        <v>168</v>
      </c>
      <c r="FQ50" s="2026">
        <v>169</v>
      </c>
      <c r="FR50" s="2026">
        <v>170</v>
      </c>
      <c r="FS50" s="2026">
        <v>171</v>
      </c>
      <c r="FT50" s="2026">
        <v>172</v>
      </c>
      <c r="FU50" s="2026">
        <v>173</v>
      </c>
      <c r="FV50" s="2026">
        <v>174</v>
      </c>
      <c r="FW50" s="2026">
        <v>175</v>
      </c>
      <c r="FX50" s="2026">
        <v>176</v>
      </c>
      <c r="FY50" s="2026">
        <v>177</v>
      </c>
      <c r="FZ50" s="2026">
        <v>178</v>
      </c>
      <c r="GA50" s="2026">
        <v>179</v>
      </c>
      <c r="GB50" s="2026">
        <v>180</v>
      </c>
      <c r="GC50" s="2026">
        <v>181</v>
      </c>
      <c r="GD50" s="2026">
        <v>182</v>
      </c>
      <c r="GE50" s="2026">
        <v>183</v>
      </c>
      <c r="GF50" s="2026">
        <v>184</v>
      </c>
      <c r="GG50" s="2026">
        <v>185</v>
      </c>
      <c r="GH50" s="2026">
        <v>186</v>
      </c>
      <c r="GI50" s="2026">
        <v>187</v>
      </c>
      <c r="GJ50" s="2026">
        <v>188</v>
      </c>
      <c r="GK50" s="2026">
        <v>189</v>
      </c>
      <c r="GL50" s="2026">
        <v>190</v>
      </c>
      <c r="GM50" s="2026">
        <v>191</v>
      </c>
      <c r="GN50" s="2026">
        <v>192</v>
      </c>
      <c r="GO50" s="2026">
        <v>193</v>
      </c>
      <c r="GP50" s="2026">
        <v>194</v>
      </c>
      <c r="GQ50" s="2026">
        <v>195</v>
      </c>
      <c r="GR50" s="2026">
        <v>196</v>
      </c>
      <c r="GS50" s="2026">
        <v>197</v>
      </c>
      <c r="GT50" s="2026">
        <v>198</v>
      </c>
      <c r="GU50" s="2026">
        <v>199</v>
      </c>
      <c r="GV50" s="2026">
        <v>200</v>
      </c>
      <c r="GW50" s="2026">
        <v>201</v>
      </c>
      <c r="GX50" s="2026">
        <v>202</v>
      </c>
      <c r="GY50" s="2026">
        <v>203</v>
      </c>
      <c r="GZ50" s="2026">
        <v>204</v>
      </c>
      <c r="HA50" s="2026">
        <v>205</v>
      </c>
      <c r="HB50" s="2026">
        <v>206</v>
      </c>
      <c r="HC50" s="2026">
        <v>207</v>
      </c>
      <c r="HD50" s="2026">
        <v>208</v>
      </c>
      <c r="HE50" s="2026">
        <v>209</v>
      </c>
      <c r="HF50" s="2026">
        <v>210</v>
      </c>
      <c r="HG50" s="2026">
        <v>211</v>
      </c>
      <c r="HH50" s="2026">
        <v>212</v>
      </c>
      <c r="HI50" s="2026">
        <v>213</v>
      </c>
      <c r="HJ50" s="2026">
        <v>214</v>
      </c>
      <c r="HK50" s="2026">
        <v>215</v>
      </c>
      <c r="HL50" s="2026">
        <v>216</v>
      </c>
      <c r="HM50" s="2026">
        <v>217</v>
      </c>
      <c r="HN50" s="2026">
        <v>218</v>
      </c>
      <c r="HO50" s="2026">
        <v>219</v>
      </c>
      <c r="HP50" s="2026">
        <v>220</v>
      </c>
      <c r="HQ50" s="2026">
        <v>221</v>
      </c>
      <c r="HR50" s="2026">
        <v>222</v>
      </c>
      <c r="HS50" s="2026">
        <v>223</v>
      </c>
      <c r="HT50" s="2026">
        <v>224</v>
      </c>
      <c r="HU50" s="2026">
        <v>225</v>
      </c>
      <c r="HV50" s="2026">
        <v>226</v>
      </c>
      <c r="HW50" s="2026">
        <v>227</v>
      </c>
      <c r="HX50" s="2026">
        <v>228</v>
      </c>
      <c r="HY50" s="2026">
        <v>229</v>
      </c>
      <c r="HZ50" s="2026">
        <v>230</v>
      </c>
      <c r="IA50" s="2026">
        <v>231</v>
      </c>
      <c r="IB50" s="2026">
        <v>232</v>
      </c>
      <c r="IC50" s="2026">
        <v>233</v>
      </c>
      <c r="ID50" s="2026">
        <v>234</v>
      </c>
      <c r="IE50" s="2026">
        <v>235</v>
      </c>
      <c r="IF50" s="2026">
        <v>236</v>
      </c>
      <c r="IG50" s="2026">
        <v>237</v>
      </c>
      <c r="IH50" s="2026">
        <v>238</v>
      </c>
      <c r="II50" s="2026">
        <v>239</v>
      </c>
      <c r="IJ50" s="2026">
        <v>240</v>
      </c>
      <c r="IK50" s="2026">
        <v>241</v>
      </c>
      <c r="IL50" s="2026">
        <v>242</v>
      </c>
      <c r="IM50" s="2026">
        <v>243</v>
      </c>
      <c r="IN50" s="2026">
        <v>244</v>
      </c>
      <c r="IO50" s="2026">
        <v>245</v>
      </c>
      <c r="IP50" s="2026">
        <v>246</v>
      </c>
      <c r="IQ50" s="2026">
        <v>247</v>
      </c>
      <c r="IR50" s="2026">
        <v>248</v>
      </c>
      <c r="IS50" s="2026">
        <v>249</v>
      </c>
      <c r="IT50" s="2026">
        <v>250</v>
      </c>
      <c r="IU50" s="2026">
        <v>251</v>
      </c>
      <c r="IV50" s="2026">
        <v>252</v>
      </c>
      <c r="IW50" s="2026">
        <v>253</v>
      </c>
      <c r="IX50" s="2026">
        <v>254</v>
      </c>
      <c r="IY50" s="2026">
        <v>255</v>
      </c>
      <c r="IZ50" s="2026">
        <v>256</v>
      </c>
      <c r="JA50" s="2026">
        <v>257</v>
      </c>
      <c r="JB50" s="2026">
        <v>258</v>
      </c>
      <c r="JC50" s="2026">
        <v>259</v>
      </c>
      <c r="JD50" s="1134">
        <v>260</v>
      </c>
      <c r="JE50" s="1134">
        <v>261</v>
      </c>
      <c r="JF50" s="1134">
        <v>262</v>
      </c>
      <c r="JG50" s="2485">
        <v>263</v>
      </c>
      <c r="JH50" s="1233"/>
      <c r="JI50" s="1229"/>
      <c r="JJ50" s="1685" t="s">
        <v>6104</v>
      </c>
    </row>
    <row ht="12.75" r="51" spans="1:270" x14ac:dyDescent="0.2">
      <c r="A51" s="1128">
        <v>2</v>
      </c>
      <c r="B51" s="1369" t="str">
        <f ref="B51:B89" si="3" t="shared">IF(MOR_IND&gt;1,IF(HLOOKUP(MOR_IND-1,MOR_RANGE,A51)="","",HLOOKUP(MOR_IND-1,MOR_RANGE,A51)),"")</f>
        <v/>
      </c>
      <c r="C51" s="1278" t="s">
        <v>1542</v>
      </c>
      <c r="D51" s="1372" t="s">
        <v>4836</v>
      </c>
      <c r="E51" s="1666"/>
      <c r="F51" s="1666"/>
      <c r="G51" s="1666"/>
      <c r="H51" s="1666"/>
      <c r="I51" s="1666"/>
      <c r="J51" s="1666"/>
      <c r="K51" s="1666"/>
      <c r="L51" s="1666"/>
      <c r="M51" s="1666"/>
      <c r="N51" s="1666"/>
      <c r="O51" s="1666"/>
      <c r="P51" s="2011"/>
      <c r="Q51" s="2011"/>
      <c r="R51" s="2011"/>
      <c r="S51" s="2011"/>
      <c r="T51" s="2011"/>
      <c r="U51" s="2011"/>
      <c r="V51" s="2011"/>
      <c r="W51" s="2011"/>
      <c r="X51" s="2011"/>
      <c r="Y51" s="2011"/>
      <c r="Z51" s="2011"/>
      <c r="AA51" s="2011"/>
      <c r="AB51" s="2011"/>
      <c r="AC51" s="2011"/>
      <c r="AD51" s="2490"/>
      <c r="AE51" s="2490"/>
      <c r="AF51" s="2490"/>
      <c r="AG51" s="2490"/>
      <c r="AH51" s="2490"/>
      <c r="AI51" s="1352" t="s">
        <v>680</v>
      </c>
      <c r="AJ51" s="2011"/>
      <c r="AK51" s="2011"/>
      <c r="AL51" s="2011"/>
      <c r="AM51" s="2011"/>
      <c r="AN51" s="2011"/>
      <c r="AO51" s="2011"/>
      <c r="AP51" s="2011"/>
      <c r="AQ51" s="2011"/>
      <c r="AR51" s="2011"/>
      <c r="AS51" s="2011"/>
      <c r="AT51" s="2011"/>
      <c r="AU51" s="2011"/>
      <c r="AV51" s="2011"/>
      <c r="AW51" s="2011"/>
      <c r="AX51" s="2011"/>
      <c r="AY51" s="2011"/>
      <c r="AZ51" s="2011"/>
      <c r="BA51" s="2011"/>
      <c r="BB51" s="2011"/>
      <c r="BC51" s="2011"/>
      <c r="BD51" s="2011"/>
      <c r="BE51" s="2011"/>
      <c r="BF51" s="2011"/>
      <c r="BG51" s="2011"/>
      <c r="BH51" s="2011"/>
      <c r="BI51" s="2011"/>
      <c r="BJ51" s="2011"/>
      <c r="BK51" s="2011"/>
      <c r="BL51" s="2011"/>
      <c r="BM51" s="2011"/>
      <c r="BN51" s="2011"/>
      <c r="BO51" s="2011"/>
      <c r="BP51" s="2011"/>
      <c r="BQ51" s="2011"/>
      <c r="BR51" s="2011"/>
      <c r="BS51" s="2011"/>
      <c r="BT51" s="2011"/>
      <c r="BU51" s="2011"/>
      <c r="BV51" s="2011"/>
      <c r="BW51" s="2011"/>
      <c r="BX51" s="2011"/>
      <c r="BY51" s="2011"/>
      <c r="BZ51" s="2011"/>
      <c r="CA51" s="2011"/>
      <c r="CB51" s="2011"/>
      <c r="CC51" s="2011"/>
      <c r="CD51" s="2011"/>
      <c r="CE51" s="2011"/>
      <c r="CF51" s="2011"/>
      <c r="CG51" s="2011"/>
      <c r="CH51" s="2011"/>
      <c r="CI51" s="1352" t="s">
        <v>3363</v>
      </c>
      <c r="CJ51" s="2011"/>
      <c r="CK51" s="2011"/>
      <c r="CL51" s="2011"/>
      <c r="CM51" s="2011"/>
      <c r="CN51" s="2011"/>
      <c r="CO51" s="2011"/>
      <c r="CP51" s="2011"/>
      <c r="CQ51" s="2011"/>
      <c r="CR51" s="2011"/>
      <c r="CS51" s="2011"/>
      <c r="CT51" s="1352" t="s">
        <v>679</v>
      </c>
      <c r="CU51" s="2011"/>
      <c r="CV51" s="2011"/>
      <c r="CW51" s="2011"/>
      <c r="CX51" s="2011"/>
      <c r="CY51" s="2011"/>
      <c r="CZ51" s="2011"/>
      <c r="DA51" s="2011"/>
      <c r="DB51" s="2011"/>
      <c r="DC51" s="2011"/>
      <c r="DD51" s="2011"/>
      <c r="DE51" s="2011"/>
      <c r="DF51" s="2011"/>
      <c r="DG51" s="2011"/>
      <c r="DH51" s="2011"/>
      <c r="DI51" s="2011"/>
      <c r="DJ51" s="2011"/>
      <c r="DK51" s="2011"/>
      <c r="DL51" s="2011"/>
      <c r="DM51" s="2011"/>
      <c r="DN51" s="2011"/>
      <c r="DO51" s="2011"/>
      <c r="DP51" s="2011"/>
      <c r="DQ51" s="2011"/>
      <c r="DR51" s="2011"/>
      <c r="DS51" s="2011"/>
      <c r="DT51" s="2011"/>
      <c r="DU51" s="2011"/>
      <c r="DV51" s="2011"/>
      <c r="DW51" s="2011"/>
      <c r="DX51" s="2011"/>
      <c r="DY51" s="2011"/>
      <c r="DZ51" s="2011"/>
      <c r="EA51" s="1352" t="s">
        <v>3363</v>
      </c>
      <c r="EB51" s="1352" t="s">
        <v>2452</v>
      </c>
      <c r="EC51" s="1352" t="s">
        <v>679</v>
      </c>
      <c r="ED51" s="2011"/>
      <c r="EE51" s="2011"/>
      <c r="EF51" s="2011"/>
      <c r="EG51" s="2011"/>
      <c r="EH51" s="2011"/>
      <c r="EI51" s="2011"/>
      <c r="EJ51" s="2011"/>
      <c r="EK51" s="2011"/>
      <c r="EL51" s="2011"/>
      <c r="EM51" s="2011"/>
      <c r="EN51" s="2011"/>
      <c r="EO51" s="2011"/>
      <c r="EP51" s="2011"/>
      <c r="EQ51" s="2011"/>
      <c r="ER51" s="2011"/>
      <c r="ES51" s="2011"/>
      <c r="ET51" s="2011"/>
      <c r="EU51" s="2011"/>
      <c r="EV51" s="2011"/>
      <c r="EW51" s="2011"/>
      <c r="EX51" s="2011"/>
      <c r="EY51" s="2011"/>
      <c r="EZ51" s="2011"/>
      <c r="FA51" s="2011"/>
      <c r="FB51" s="1352" t="s">
        <v>679</v>
      </c>
      <c r="FC51" s="2011"/>
      <c r="FD51" s="2011"/>
      <c r="FE51" s="2011"/>
      <c r="FF51" s="2011"/>
      <c r="FG51" s="2011"/>
      <c r="FH51" s="2011"/>
      <c r="FI51" s="2011"/>
      <c r="FJ51" s="2011"/>
      <c r="FK51" s="2011"/>
      <c r="FL51" s="2011"/>
      <c r="FM51" s="2011"/>
      <c r="FN51" s="2011"/>
      <c r="FO51" s="2011"/>
      <c r="FP51" s="2011"/>
      <c r="FQ51" s="2011"/>
      <c r="FR51" s="2011"/>
      <c r="FS51" s="2011"/>
      <c r="FT51" s="2011"/>
      <c r="FU51" s="2011"/>
      <c r="FV51" s="2011"/>
      <c r="FW51" s="2011"/>
      <c r="FX51" s="2011"/>
      <c r="FY51" s="2011"/>
      <c r="FZ51" s="2011"/>
      <c r="GA51" s="2011"/>
      <c r="GB51" s="2011"/>
      <c r="GC51" s="2011"/>
      <c r="GD51" s="2011"/>
      <c r="GE51" s="2011"/>
      <c r="GF51" s="2011"/>
      <c r="GG51" s="2011"/>
      <c r="GH51" s="2011"/>
      <c r="GI51" s="2011"/>
      <c r="GJ51" s="2011"/>
      <c r="GK51" s="2011"/>
      <c r="GL51" s="2011"/>
      <c r="GM51" s="2011"/>
      <c r="GN51" s="2011"/>
      <c r="GO51" s="2011"/>
      <c r="GP51" s="2011"/>
      <c r="GQ51" s="2011"/>
      <c r="GR51" s="2011"/>
      <c r="GS51" s="2011"/>
      <c r="GT51" s="2011"/>
      <c r="GU51" s="2011"/>
      <c r="GV51" s="2011"/>
      <c r="GW51" s="2011"/>
      <c r="GX51" s="2011"/>
      <c r="GY51" s="2011"/>
      <c r="GZ51" s="2011"/>
      <c r="HA51" s="2011"/>
      <c r="HB51" s="2011"/>
      <c r="HC51" s="2011"/>
      <c r="HD51" s="2011"/>
      <c r="HE51" s="2011"/>
      <c r="HF51" s="2011"/>
      <c r="HG51" s="2011"/>
      <c r="HH51" s="2011"/>
      <c r="HI51" s="2011"/>
      <c r="HJ51" s="2011"/>
      <c r="HK51" s="2011"/>
      <c r="HL51" s="2011"/>
      <c r="HM51" s="2011"/>
      <c r="HN51" s="2011"/>
      <c r="HO51" s="2011"/>
      <c r="HP51" s="2011"/>
      <c r="HQ51" s="2011"/>
      <c r="HR51" s="2011"/>
      <c r="HS51" s="2011"/>
      <c r="HT51" s="2011"/>
      <c r="HU51" s="2011"/>
      <c r="HV51" s="2011"/>
      <c r="HW51" s="2011"/>
      <c r="HX51" s="2011"/>
      <c r="HY51" s="2011"/>
      <c r="HZ51" s="2011"/>
      <c r="IA51" s="2011"/>
      <c r="IB51" s="2011"/>
      <c r="IC51" s="2011"/>
      <c r="ID51" s="2011"/>
      <c r="IE51" s="2011"/>
      <c r="IF51" s="2011"/>
      <c r="IG51" s="2011"/>
      <c r="IH51" s="2011"/>
      <c r="II51" s="2011"/>
      <c r="IJ51" s="2011"/>
      <c r="IK51" s="2011"/>
      <c r="IL51" s="2011"/>
      <c r="IM51" s="2011"/>
      <c r="IN51" s="2011"/>
      <c r="IO51" s="2011"/>
      <c r="IP51" s="2011"/>
      <c r="IQ51" s="2011"/>
      <c r="IR51" s="3895"/>
      <c r="IS51" s="2011"/>
      <c r="IT51" s="2011"/>
      <c r="IU51" s="2011"/>
      <c r="IV51" s="2011"/>
      <c r="IW51" s="2011"/>
      <c r="IX51" s="2011"/>
      <c r="IY51" s="2011"/>
      <c r="IZ51" s="2011"/>
      <c r="JA51" s="2490"/>
      <c r="JB51" s="2490"/>
      <c r="JC51" s="2490"/>
      <c r="JD51" s="2490"/>
      <c r="JE51" s="2490"/>
      <c r="JF51" s="2490"/>
      <c r="JG51" s="3795"/>
      <c r="JH51" s="1233"/>
      <c r="JI51" s="1229"/>
      <c r="JJ51" s="1660" t="s">
        <v>6105</v>
      </c>
    </row>
    <row ht="12.75" r="52" spans="1:270" x14ac:dyDescent="0.2">
      <c r="A52" s="1128">
        <v>3</v>
      </c>
      <c r="B52" s="1369" t="str">
        <f si="3" t="shared"/>
        <v/>
      </c>
      <c r="C52" s="1278" t="s">
        <v>1543</v>
      </c>
      <c r="D52" s="1372" t="s">
        <v>4837</v>
      </c>
      <c r="E52" s="1719"/>
      <c r="F52" s="1719"/>
      <c r="G52" s="1719"/>
      <c r="H52" s="1719"/>
      <c r="I52" s="1719"/>
      <c r="J52" s="1719"/>
      <c r="K52" s="1719"/>
      <c r="L52" s="1719"/>
      <c r="M52" s="1719"/>
      <c r="N52" s="1719"/>
      <c r="O52" s="1719"/>
      <c r="P52" s="2012"/>
      <c r="Q52" s="2012"/>
      <c r="R52" s="2012"/>
      <c r="S52" s="2012"/>
      <c r="T52" s="2012"/>
      <c r="U52" s="2012"/>
      <c r="V52" s="2012"/>
      <c r="W52" s="2012"/>
      <c r="X52" s="2012"/>
      <c r="Y52" s="2012"/>
      <c r="Z52" s="2012"/>
      <c r="AA52" s="2012"/>
      <c r="AB52" s="2012"/>
      <c r="AC52" s="2012"/>
      <c r="AD52" s="2548"/>
      <c r="AE52" s="2548"/>
      <c r="AF52" s="2548"/>
      <c r="AG52" s="2548"/>
      <c r="AH52" s="2548"/>
      <c r="AI52" s="4117">
        <v>8799</v>
      </c>
      <c r="AJ52" s="2012"/>
      <c r="AK52" s="2012"/>
      <c r="AL52" s="2012"/>
      <c r="AM52" s="2012"/>
      <c r="AN52" s="2012"/>
      <c r="AO52" s="2012"/>
      <c r="AP52" s="2012"/>
      <c r="AQ52" s="2012"/>
      <c r="AR52" s="2012"/>
      <c r="AS52" s="2012"/>
      <c r="AT52" s="2012"/>
      <c r="AU52" s="2012"/>
      <c r="AV52" s="2012"/>
      <c r="AW52" s="2012"/>
      <c r="AX52" s="2012"/>
      <c r="AY52" s="2012"/>
      <c r="AZ52" s="2012"/>
      <c r="BA52" s="2012"/>
      <c r="BB52" s="2012"/>
      <c r="BC52" s="2012"/>
      <c r="BD52" s="2012"/>
      <c r="BE52" s="2012"/>
      <c r="BF52" s="2012"/>
      <c r="BG52" s="2012"/>
      <c r="BH52" s="2012"/>
      <c r="BI52" s="2012"/>
      <c r="BJ52" s="2012"/>
      <c r="BK52" s="2012"/>
      <c r="BL52" s="2012"/>
      <c r="BM52" s="2012"/>
      <c r="BN52" s="2012"/>
      <c r="BO52" s="2012"/>
      <c r="BP52" s="2012"/>
      <c r="BQ52" s="2012"/>
      <c r="BR52" s="2012"/>
      <c r="BS52" s="2012"/>
      <c r="BT52" s="2012"/>
      <c r="BU52" s="2012"/>
      <c r="BV52" s="2012"/>
      <c r="BW52" s="2012"/>
      <c r="BX52" s="2012"/>
      <c r="BY52" s="2012"/>
      <c r="BZ52" s="2012"/>
      <c r="CA52" s="2012"/>
      <c r="CB52" s="2012"/>
      <c r="CC52" s="2012"/>
      <c r="CD52" s="2012"/>
      <c r="CE52" s="2012"/>
      <c r="CF52" s="2012"/>
      <c r="CG52" s="2012"/>
      <c r="CH52" s="2012"/>
      <c r="CI52" s="1711">
        <v>4500</v>
      </c>
      <c r="CJ52" s="2012"/>
      <c r="CK52" s="2012"/>
      <c r="CL52" s="2012"/>
      <c r="CM52" s="2012"/>
      <c r="CN52" s="2012"/>
      <c r="CO52" s="2012"/>
      <c r="CP52" s="2012"/>
      <c r="CQ52" s="2012"/>
      <c r="CR52" s="2012"/>
      <c r="CS52" s="2012"/>
      <c r="CT52" s="1711">
        <v>14767</v>
      </c>
      <c r="CU52" s="2012"/>
      <c r="CV52" s="2012"/>
      <c r="CW52" s="2012"/>
      <c r="CX52" s="2012"/>
      <c r="CY52" s="2012"/>
      <c r="CZ52" s="2012"/>
      <c r="DA52" s="2012"/>
      <c r="DB52" s="2012"/>
      <c r="DC52" s="2012"/>
      <c r="DD52" s="2012"/>
      <c r="DE52" s="2012"/>
      <c r="DF52" s="2012"/>
      <c r="DG52" s="2012"/>
      <c r="DH52" s="2012"/>
      <c r="DI52" s="2012"/>
      <c r="DJ52" s="2012"/>
      <c r="DK52" s="2012"/>
      <c r="DL52" s="2012"/>
      <c r="DM52" s="2012"/>
      <c r="DN52" s="2012"/>
      <c r="DO52" s="2012"/>
      <c r="DP52" s="2012"/>
      <c r="DQ52" s="2012"/>
      <c r="DR52" s="2012"/>
      <c r="DS52" s="2012"/>
      <c r="DT52" s="2012"/>
      <c r="DU52" s="2012"/>
      <c r="DV52" s="2012"/>
      <c r="DW52" s="2012"/>
      <c r="DX52" s="2012"/>
      <c r="DY52" s="2012"/>
      <c r="DZ52" s="2012"/>
      <c r="EA52" s="1711">
        <v>4500</v>
      </c>
      <c r="EB52" s="1711">
        <v>15250</v>
      </c>
      <c r="EC52" s="1711">
        <v>14767</v>
      </c>
      <c r="ED52" s="2012"/>
      <c r="EE52" s="2012"/>
      <c r="EF52" s="2012"/>
      <c r="EG52" s="2012"/>
      <c r="EH52" s="2012"/>
      <c r="EI52" s="2012"/>
      <c r="EJ52" s="2012"/>
      <c r="EK52" s="2012"/>
      <c r="EL52" s="2012"/>
      <c r="EM52" s="2012"/>
      <c r="EN52" s="2012"/>
      <c r="EO52" s="2012"/>
      <c r="EP52" s="2012"/>
      <c r="EQ52" s="2012"/>
      <c r="ER52" s="2012"/>
      <c r="ES52" s="2012"/>
      <c r="ET52" s="2012"/>
      <c r="EU52" s="2012"/>
      <c r="EV52" s="2012"/>
      <c r="EW52" s="2012"/>
      <c r="EX52" s="2012"/>
      <c r="EY52" s="2012"/>
      <c r="EZ52" s="2012"/>
      <c r="FA52" s="2012"/>
      <c r="FB52" s="1711">
        <v>14767</v>
      </c>
      <c r="FC52" s="2012"/>
      <c r="FD52" s="2012"/>
      <c r="FE52" s="2012"/>
      <c r="FF52" s="2012"/>
      <c r="FG52" s="2012"/>
      <c r="FH52" s="2012"/>
      <c r="FI52" s="2012"/>
      <c r="FJ52" s="2012"/>
      <c r="FK52" s="2012"/>
      <c r="FL52" s="2012"/>
      <c r="FM52" s="2012"/>
      <c r="FN52" s="2012"/>
      <c r="FO52" s="2012"/>
      <c r="FP52" s="2012"/>
      <c r="FQ52" s="2012"/>
      <c r="FR52" s="2012"/>
      <c r="FS52" s="2012"/>
      <c r="FT52" s="2012"/>
      <c r="FU52" s="2012"/>
      <c r="FV52" s="2012"/>
      <c r="FW52" s="2012"/>
      <c r="FX52" s="2012"/>
      <c r="FY52" s="2012"/>
      <c r="FZ52" s="2012"/>
      <c r="GA52" s="2012"/>
      <c r="GB52" s="2012"/>
      <c r="GC52" s="2012"/>
      <c r="GD52" s="2012"/>
      <c r="GE52" s="2012"/>
      <c r="GF52" s="2012"/>
      <c r="GG52" s="2012"/>
      <c r="GH52" s="2012"/>
      <c r="GI52" s="2012"/>
      <c r="GJ52" s="2012"/>
      <c r="GK52" s="2012"/>
      <c r="GL52" s="2012"/>
      <c r="GM52" s="2012"/>
      <c r="GN52" s="2012"/>
      <c r="GO52" s="2012"/>
      <c r="GP52" s="2012"/>
      <c r="GQ52" s="2012"/>
      <c r="GR52" s="2012"/>
      <c r="GS52" s="2012"/>
      <c r="GT52" s="2012"/>
      <c r="GU52" s="2012"/>
      <c r="GV52" s="2012"/>
      <c r="GW52" s="2012"/>
      <c r="GX52" s="2012"/>
      <c r="GY52" s="2012"/>
      <c r="GZ52" s="2012"/>
      <c r="HA52" s="2012"/>
      <c r="HB52" s="2012"/>
      <c r="HC52" s="2012"/>
      <c r="HD52" s="2012"/>
      <c r="HE52" s="2012"/>
      <c r="HF52" s="2012"/>
      <c r="HG52" s="2012"/>
      <c r="HH52" s="2012"/>
      <c r="HI52" s="2012"/>
      <c r="HJ52" s="2012"/>
      <c r="HK52" s="2012"/>
      <c r="HL52" s="2012"/>
      <c r="HM52" s="2012"/>
      <c r="HN52" s="2012"/>
      <c r="HO52" s="2012"/>
      <c r="HP52" s="2012"/>
      <c r="HQ52" s="2012"/>
      <c r="HR52" s="2012"/>
      <c r="HS52" s="2012"/>
      <c r="HT52" s="2012"/>
      <c r="HU52" s="2012"/>
      <c r="HV52" s="2012"/>
      <c r="HW52" s="2012"/>
      <c r="HX52" s="2012"/>
      <c r="HY52" s="2012"/>
      <c r="HZ52" s="2012"/>
      <c r="IA52" s="2012"/>
      <c r="IB52" s="2012"/>
      <c r="IC52" s="2012"/>
      <c r="ID52" s="2012"/>
      <c r="IE52" s="2012"/>
      <c r="IF52" s="2012"/>
      <c r="IG52" s="2012"/>
      <c r="IH52" s="2012"/>
      <c r="II52" s="2012"/>
      <c r="IJ52" s="2012"/>
      <c r="IK52" s="2012"/>
      <c r="IL52" s="2012"/>
      <c r="IM52" s="2012"/>
      <c r="IN52" s="2012"/>
      <c r="IO52" s="2012"/>
      <c r="IP52" s="2012"/>
      <c r="IQ52" s="2012"/>
      <c r="IR52" s="3896"/>
      <c r="IS52" s="2012"/>
      <c r="IT52" s="2012"/>
      <c r="IU52" s="2012"/>
      <c r="IV52" s="2012"/>
      <c r="IW52" s="2012"/>
      <c r="IX52" s="2012"/>
      <c r="IY52" s="2012"/>
      <c r="IZ52" s="2012"/>
      <c r="JA52" s="2548"/>
      <c r="JB52" s="2548"/>
      <c r="JC52" s="2548"/>
      <c r="JD52" s="2548"/>
      <c r="JE52" s="2548"/>
      <c r="JF52" s="2548"/>
      <c r="JG52" s="3796"/>
      <c r="JH52" s="1233"/>
      <c r="JI52" s="1229"/>
      <c r="JJ52" s="1660" t="s">
        <v>6108</v>
      </c>
    </row>
    <row ht="12.75" r="53" spans="1:270" x14ac:dyDescent="0.2">
      <c r="A53" s="1128">
        <v>4</v>
      </c>
      <c r="B53" s="1369" t="str">
        <f si="3" t="shared"/>
        <v/>
      </c>
      <c r="C53" s="1278" t="s">
        <v>1544</v>
      </c>
      <c r="D53" s="1372" t="s">
        <v>4838</v>
      </c>
      <c r="E53" s="1720"/>
      <c r="F53" s="1720"/>
      <c r="G53" s="1720"/>
      <c r="H53" s="1720"/>
      <c r="I53" s="1720"/>
      <c r="J53" s="1720"/>
      <c r="K53" s="1720"/>
      <c r="L53" s="1720"/>
      <c r="M53" s="1720"/>
      <c r="N53" s="1720"/>
      <c r="O53" s="1720"/>
      <c r="P53" s="2013"/>
      <c r="Q53" s="2013"/>
      <c r="R53" s="2013"/>
      <c r="S53" s="2013"/>
      <c r="T53" s="2013"/>
      <c r="U53" s="2013"/>
      <c r="V53" s="2013"/>
      <c r="W53" s="2013"/>
      <c r="X53" s="2013"/>
      <c r="Y53" s="2013"/>
      <c r="Z53" s="2013"/>
      <c r="AA53" s="2013"/>
      <c r="AB53" s="2013"/>
      <c r="AC53" s="2013"/>
      <c r="AD53" s="3516"/>
      <c r="AE53" s="3516"/>
      <c r="AF53" s="3516"/>
      <c r="AG53" s="3516"/>
      <c r="AH53" s="3516"/>
      <c r="AI53" s="3732">
        <v>250</v>
      </c>
      <c r="AJ53" s="2013"/>
      <c r="AK53" s="2013"/>
      <c r="AL53" s="2013"/>
      <c r="AM53" s="2013"/>
      <c r="AN53" s="2013"/>
      <c r="AO53" s="2013"/>
      <c r="AP53" s="2013"/>
      <c r="AQ53" s="2013"/>
      <c r="AR53" s="2013"/>
      <c r="AS53" s="2013"/>
      <c r="AT53" s="2013"/>
      <c r="AU53" s="2013"/>
      <c r="AV53" s="2013"/>
      <c r="AW53" s="2013"/>
      <c r="AX53" s="2013"/>
      <c r="AY53" s="2013"/>
      <c r="AZ53" s="2013"/>
      <c r="BA53" s="2013"/>
      <c r="BB53" s="2013"/>
      <c r="BC53" s="2013"/>
      <c r="BD53" s="2013"/>
      <c r="BE53" s="2013"/>
      <c r="BF53" s="2013"/>
      <c r="BG53" s="2013"/>
      <c r="BH53" s="2013"/>
      <c r="BI53" s="2013"/>
      <c r="BJ53" s="2013"/>
      <c r="BK53" s="2013"/>
      <c r="BL53" s="2013"/>
      <c r="BM53" s="2013"/>
      <c r="BN53" s="2013"/>
      <c r="BO53" s="2013"/>
      <c r="BP53" s="2013"/>
      <c r="BQ53" s="2013"/>
      <c r="BR53" s="2013"/>
      <c r="BS53" s="2013"/>
      <c r="BT53" s="2013"/>
      <c r="BU53" s="2013"/>
      <c r="BV53" s="2013"/>
      <c r="BW53" s="2013"/>
      <c r="BX53" s="2013"/>
      <c r="BY53" s="2013"/>
      <c r="BZ53" s="2013"/>
      <c r="CA53" s="2013"/>
      <c r="CB53" s="2013"/>
      <c r="CC53" s="2013"/>
      <c r="CD53" s="2013"/>
      <c r="CE53" s="2013"/>
      <c r="CF53" s="2013"/>
      <c r="CG53" s="2013"/>
      <c r="CH53" s="2013"/>
      <c r="CI53" s="1373">
        <v>0</v>
      </c>
      <c r="CJ53" s="2013"/>
      <c r="CK53" s="2013"/>
      <c r="CL53" s="2013"/>
      <c r="CM53" s="2013"/>
      <c r="CN53" s="2013"/>
      <c r="CO53" s="2013"/>
      <c r="CP53" s="2013"/>
      <c r="CQ53" s="2013"/>
      <c r="CR53" s="2013"/>
      <c r="CS53" s="2013"/>
      <c r="CT53" s="1373">
        <f>MAX((CT52-P_A)*BR_rate,0)+MAX((CT52-P_A-HR_band)*BR_rate,0)</f>
        <v>453.40000000000003</v>
      </c>
      <c r="CU53" s="2013"/>
      <c r="CV53" s="2013"/>
      <c r="CW53" s="2013"/>
      <c r="CX53" s="2013"/>
      <c r="CY53" s="2013"/>
      <c r="CZ53" s="2013"/>
      <c r="DA53" s="2013"/>
      <c r="DB53" s="2013"/>
      <c r="DC53" s="2013"/>
      <c r="DD53" s="2013"/>
      <c r="DE53" s="2013"/>
      <c r="DF53" s="2013"/>
      <c r="DG53" s="2013"/>
      <c r="DH53" s="2013"/>
      <c r="DI53" s="2013"/>
      <c r="DJ53" s="2013"/>
      <c r="DK53" s="2013"/>
      <c r="DL53" s="2013"/>
      <c r="DM53" s="2013"/>
      <c r="DN53" s="2013"/>
      <c r="DO53" s="2013"/>
      <c r="DP53" s="2013"/>
      <c r="DQ53" s="2013"/>
      <c r="DR53" s="2013"/>
      <c r="DS53" s="2013"/>
      <c r="DT53" s="2013"/>
      <c r="DU53" s="2013"/>
      <c r="DV53" s="2013"/>
      <c r="DW53" s="2013"/>
      <c r="DX53" s="2013"/>
      <c r="DY53" s="2013"/>
      <c r="DZ53" s="2013"/>
      <c r="EA53" s="4116">
        <v>-250</v>
      </c>
      <c r="EB53" s="1373">
        <f>MAX((EB52-P_A)*BR_rate,0)+MAX((EB52-P_A-HR_band)*BR_rate,0)</f>
        <v>550</v>
      </c>
      <c r="EC53" s="1373">
        <f>MAX((EC52-P_A)*BR_rate,0)+MAX((EC52-P_A-HR_band)*BR_rate,0)</f>
        <v>453.40000000000003</v>
      </c>
      <c r="ED53" s="2013"/>
      <c r="EE53" s="2013"/>
      <c r="EF53" s="2013"/>
      <c r="EG53" s="2013"/>
      <c r="EH53" s="2013"/>
      <c r="EI53" s="2013"/>
      <c r="EJ53" s="2013"/>
      <c r="EK53" s="2013"/>
      <c r="EL53" s="2013"/>
      <c r="EM53" s="2013"/>
      <c r="EN53" s="2013"/>
      <c r="EO53" s="2013"/>
      <c r="EP53" s="2013"/>
      <c r="EQ53" s="2013"/>
      <c r="ER53" s="2013"/>
      <c r="ES53" s="2013"/>
      <c r="ET53" s="2013"/>
      <c r="EU53" s="2013"/>
      <c r="EV53" s="2013"/>
      <c r="EW53" s="2013"/>
      <c r="EX53" s="2013"/>
      <c r="EY53" s="2013"/>
      <c r="EZ53" s="2013"/>
      <c r="FA53" s="2013"/>
      <c r="FB53" s="1373">
        <f>MAX((FB52-P_A)*BR_rate,0)+MAX((FB52-P_A-HR_band)*BR_rate,0)</f>
        <v>453.40000000000003</v>
      </c>
      <c r="FC53" s="2013"/>
      <c r="FD53" s="2013"/>
      <c r="FE53" s="2013"/>
      <c r="FF53" s="2013"/>
      <c r="FG53" s="2013"/>
      <c r="FH53" s="2013"/>
      <c r="FI53" s="2013"/>
      <c r="FJ53" s="2013"/>
      <c r="FK53" s="2013"/>
      <c r="FL53" s="2013"/>
      <c r="FM53" s="2013"/>
      <c r="FN53" s="2013"/>
      <c r="FO53" s="2013"/>
      <c r="FP53" s="2013"/>
      <c r="FQ53" s="2013"/>
      <c r="FR53" s="2013"/>
      <c r="FS53" s="2013"/>
      <c r="FT53" s="2013"/>
      <c r="FU53" s="2013"/>
      <c r="FV53" s="2013"/>
      <c r="FW53" s="2013"/>
      <c r="FX53" s="2013"/>
      <c r="FY53" s="2013"/>
      <c r="FZ53" s="2013"/>
      <c r="GA53" s="2013"/>
      <c r="GB53" s="2013"/>
      <c r="GC53" s="2013"/>
      <c r="GD53" s="2013"/>
      <c r="GE53" s="2013"/>
      <c r="GF53" s="2013"/>
      <c r="GG53" s="2013"/>
      <c r="GH53" s="2013"/>
      <c r="GI53" s="2013"/>
      <c r="GJ53" s="2013"/>
      <c r="GK53" s="2013"/>
      <c r="GL53" s="2013"/>
      <c r="GM53" s="2013"/>
      <c r="GN53" s="2013"/>
      <c r="GO53" s="2013"/>
      <c r="GP53" s="2013"/>
      <c r="GQ53" s="2013"/>
      <c r="GR53" s="2013"/>
      <c r="GS53" s="2013"/>
      <c r="GT53" s="2013"/>
      <c r="GU53" s="2013"/>
      <c r="GV53" s="2013"/>
      <c r="GW53" s="2013"/>
      <c r="GX53" s="2013"/>
      <c r="GY53" s="2013"/>
      <c r="GZ53" s="2013"/>
      <c r="HA53" s="2013"/>
      <c r="HB53" s="2013"/>
      <c r="HC53" s="2013"/>
      <c r="HD53" s="2013"/>
      <c r="HE53" s="2013"/>
      <c r="HF53" s="2013"/>
      <c r="HG53" s="2013"/>
      <c r="HH53" s="2013"/>
      <c r="HI53" s="2013"/>
      <c r="HJ53" s="2013"/>
      <c r="HK53" s="2013"/>
      <c r="HL53" s="2013"/>
      <c r="HM53" s="2013"/>
      <c r="HN53" s="2013"/>
      <c r="HO53" s="2013"/>
      <c r="HP53" s="2013"/>
      <c r="HQ53" s="2013"/>
      <c r="HR53" s="2013"/>
      <c r="HS53" s="2013"/>
      <c r="HT53" s="2013"/>
      <c r="HU53" s="2013"/>
      <c r="HV53" s="2013"/>
      <c r="HW53" s="2013"/>
      <c r="HX53" s="2013"/>
      <c r="HY53" s="2013"/>
      <c r="HZ53" s="2013"/>
      <c r="IA53" s="2013"/>
      <c r="IB53" s="2013"/>
      <c r="IC53" s="2013"/>
      <c r="ID53" s="2013"/>
      <c r="IE53" s="2013"/>
      <c r="IF53" s="2013"/>
      <c r="IG53" s="2013"/>
      <c r="IH53" s="2013"/>
      <c r="II53" s="2013"/>
      <c r="IJ53" s="2013"/>
      <c r="IK53" s="2013"/>
      <c r="IL53" s="2013"/>
      <c r="IM53" s="2013"/>
      <c r="IN53" s="2013"/>
      <c r="IO53" s="2013"/>
      <c r="IP53" s="2013"/>
      <c r="IQ53" s="2013"/>
      <c r="IR53" s="3897"/>
      <c r="IS53" s="2013"/>
      <c r="IT53" s="2013"/>
      <c r="IU53" s="2013"/>
      <c r="IV53" s="2013"/>
      <c r="IW53" s="2013"/>
      <c r="IX53" s="2013"/>
      <c r="IY53" s="2013"/>
      <c r="IZ53" s="2013"/>
      <c r="JA53" s="3516"/>
      <c r="JB53" s="3516"/>
      <c r="JC53" s="3516"/>
      <c r="JD53" s="3516"/>
      <c r="JE53" s="3516"/>
      <c r="JF53" s="3516"/>
      <c r="JG53" s="3797"/>
      <c r="JH53" s="1233"/>
      <c r="JI53" s="1229"/>
      <c r="JJ53" s="1660" t="s">
        <v>6124</v>
      </c>
    </row>
    <row ht="12.75" r="54" spans="1:270" x14ac:dyDescent="0.2">
      <c r="A54" s="1128">
        <v>5</v>
      </c>
      <c r="B54" s="1369" t="str">
        <f si="3" t="shared"/>
        <v/>
      </c>
      <c r="C54" s="1278" t="s">
        <v>1545</v>
      </c>
      <c r="D54" s="1372" t="s">
        <v>4839</v>
      </c>
      <c r="E54" s="1719"/>
      <c r="F54" s="1719"/>
      <c r="G54" s="1719"/>
      <c r="H54" s="1719"/>
      <c r="I54" s="1719"/>
      <c r="J54" s="1719"/>
      <c r="K54" s="1719"/>
      <c r="L54" s="1719"/>
      <c r="M54" s="1719"/>
      <c r="N54" s="1719"/>
      <c r="O54" s="1719"/>
      <c r="P54" s="2012"/>
      <c r="Q54" s="2012"/>
      <c r="R54" s="2012"/>
      <c r="S54" s="2012"/>
      <c r="T54" s="2012"/>
      <c r="U54" s="2012"/>
      <c r="V54" s="2012"/>
      <c r="W54" s="2012"/>
      <c r="X54" s="2012"/>
      <c r="Y54" s="2012"/>
      <c r="Z54" s="2012"/>
      <c r="AA54" s="2012"/>
      <c r="AB54" s="2012"/>
      <c r="AC54" s="2012"/>
      <c r="AD54" s="2548"/>
      <c r="AE54" s="2548"/>
      <c r="AF54" s="2548"/>
      <c r="AG54" s="2548"/>
      <c r="AH54" s="2548"/>
      <c r="AI54" s="2546"/>
      <c r="AJ54" s="2012"/>
      <c r="AK54" s="2012"/>
      <c r="AL54" s="2012"/>
      <c r="AM54" s="2012"/>
      <c r="AN54" s="2012"/>
      <c r="AO54" s="2012"/>
      <c r="AP54" s="2012"/>
      <c r="AQ54" s="2012"/>
      <c r="AR54" s="2012"/>
      <c r="AS54" s="2012"/>
      <c r="AT54" s="2012"/>
      <c r="AU54" s="2012"/>
      <c r="AV54" s="2012"/>
      <c r="AW54" s="2012"/>
      <c r="AX54" s="2012"/>
      <c r="AY54" s="2012"/>
      <c r="AZ54" s="2012"/>
      <c r="BA54" s="2012"/>
      <c r="BB54" s="2012"/>
      <c r="BC54" s="2012"/>
      <c r="BD54" s="2012"/>
      <c r="BE54" s="2012"/>
      <c r="BF54" s="2012"/>
      <c r="BG54" s="2012"/>
      <c r="BH54" s="2012"/>
      <c r="BI54" s="2012"/>
      <c r="BJ54" s="2012"/>
      <c r="BK54" s="2012"/>
      <c r="BL54" s="2012"/>
      <c r="BM54" s="2012"/>
      <c r="BN54" s="2012"/>
      <c r="BO54" s="2012"/>
      <c r="BP54" s="2012"/>
      <c r="BQ54" s="2012"/>
      <c r="BR54" s="2012"/>
      <c r="BS54" s="2012"/>
      <c r="BT54" s="2012"/>
      <c r="BU54" s="2012"/>
      <c r="BV54" s="2012"/>
      <c r="BW54" s="2012"/>
      <c r="BX54" s="2012"/>
      <c r="BY54" s="2012"/>
      <c r="BZ54" s="2012"/>
      <c r="CA54" s="2012"/>
      <c r="CB54" s="2012"/>
      <c r="CC54" s="2012"/>
      <c r="CD54" s="2012"/>
      <c r="CE54" s="2012"/>
      <c r="CF54" s="2012"/>
      <c r="CG54" s="2012"/>
      <c r="CH54" s="2012"/>
      <c r="CI54" s="1711"/>
      <c r="CJ54" s="2012"/>
      <c r="CK54" s="2012"/>
      <c r="CL54" s="2012"/>
      <c r="CM54" s="2012"/>
      <c r="CN54" s="2012"/>
      <c r="CO54" s="2012"/>
      <c r="CP54" s="2012"/>
      <c r="CQ54" s="2012"/>
      <c r="CR54" s="2012"/>
      <c r="CS54" s="2012"/>
      <c r="CT54" s="1711"/>
      <c r="CU54" s="2012"/>
      <c r="CV54" s="2012"/>
      <c r="CW54" s="2012"/>
      <c r="CX54" s="2012"/>
      <c r="CY54" s="2012"/>
      <c r="CZ54" s="2012"/>
      <c r="DA54" s="2012"/>
      <c r="DB54" s="2012"/>
      <c r="DC54" s="2012"/>
      <c r="DD54" s="2012"/>
      <c r="DE54" s="2012"/>
      <c r="DF54" s="2012"/>
      <c r="DG54" s="2012"/>
      <c r="DH54" s="2012"/>
      <c r="DI54" s="2012"/>
      <c r="DJ54" s="2012"/>
      <c r="DK54" s="2012"/>
      <c r="DL54" s="2012"/>
      <c r="DM54" s="2012"/>
      <c r="DN54" s="2012"/>
      <c r="DO54" s="2012"/>
      <c r="DP54" s="2012"/>
      <c r="DQ54" s="2012"/>
      <c r="DR54" s="2012"/>
      <c r="DS54" s="2012"/>
      <c r="DT54" s="2012"/>
      <c r="DU54" s="2012"/>
      <c r="DV54" s="2012"/>
      <c r="DW54" s="2012"/>
      <c r="DX54" s="2012"/>
      <c r="DY54" s="2012"/>
      <c r="DZ54" s="2012"/>
      <c r="EA54" s="1711"/>
      <c r="EB54" s="1711">
        <v>1200</v>
      </c>
      <c r="EC54" s="1711"/>
      <c r="ED54" s="2012"/>
      <c r="EE54" s="2012"/>
      <c r="EF54" s="2012"/>
      <c r="EG54" s="2012"/>
      <c r="EH54" s="2012"/>
      <c r="EI54" s="2012"/>
      <c r="EJ54" s="2012"/>
      <c r="EK54" s="2012"/>
      <c r="EL54" s="2012"/>
      <c r="EM54" s="2012"/>
      <c r="EN54" s="2012"/>
      <c r="EO54" s="2012"/>
      <c r="EP54" s="2012"/>
      <c r="EQ54" s="2012"/>
      <c r="ER54" s="2012"/>
      <c r="ES54" s="2012"/>
      <c r="ET54" s="2012"/>
      <c r="EU54" s="2012"/>
      <c r="EV54" s="2012"/>
      <c r="EW54" s="2012"/>
      <c r="EX54" s="2012"/>
      <c r="EY54" s="2012"/>
      <c r="EZ54" s="2012"/>
      <c r="FA54" s="2012"/>
      <c r="FB54" s="1711"/>
      <c r="FC54" s="2012"/>
      <c r="FD54" s="2012"/>
      <c r="FE54" s="2012"/>
      <c r="FF54" s="2012"/>
      <c r="FG54" s="2012"/>
      <c r="FH54" s="2012"/>
      <c r="FI54" s="2012"/>
      <c r="FJ54" s="2012"/>
      <c r="FK54" s="2012"/>
      <c r="FL54" s="2012"/>
      <c r="FM54" s="2012"/>
      <c r="FN54" s="2012"/>
      <c r="FO54" s="2012"/>
      <c r="FP54" s="2012"/>
      <c r="FQ54" s="2012"/>
      <c r="FR54" s="2012"/>
      <c r="FS54" s="2012"/>
      <c r="FT54" s="2012"/>
      <c r="FU54" s="2012"/>
      <c r="FV54" s="2012"/>
      <c r="FW54" s="2012"/>
      <c r="FX54" s="2012"/>
      <c r="FY54" s="2012"/>
      <c r="FZ54" s="2012"/>
      <c r="GA54" s="2012"/>
      <c r="GB54" s="2012"/>
      <c r="GC54" s="2012"/>
      <c r="GD54" s="2012"/>
      <c r="GE54" s="2012"/>
      <c r="GF54" s="2012"/>
      <c r="GG54" s="2012"/>
      <c r="GH54" s="2012"/>
      <c r="GI54" s="2012"/>
      <c r="GJ54" s="2012"/>
      <c r="GK54" s="2012"/>
      <c r="GL54" s="2012"/>
      <c r="GM54" s="2012"/>
      <c r="GN54" s="2012"/>
      <c r="GO54" s="2012"/>
      <c r="GP54" s="2012"/>
      <c r="GQ54" s="2012"/>
      <c r="GR54" s="2012"/>
      <c r="GS54" s="2012"/>
      <c r="GT54" s="2012"/>
      <c r="GU54" s="2012"/>
      <c r="GV54" s="2012"/>
      <c r="GW54" s="2012"/>
      <c r="GX54" s="2012"/>
      <c r="GY54" s="2012"/>
      <c r="GZ54" s="2012"/>
      <c r="HA54" s="2012"/>
      <c r="HB54" s="2012"/>
      <c r="HC54" s="2012"/>
      <c r="HD54" s="2012"/>
      <c r="HE54" s="2012"/>
      <c r="HF54" s="2012"/>
      <c r="HG54" s="2012"/>
      <c r="HH54" s="2012"/>
      <c r="HI54" s="2012"/>
      <c r="HJ54" s="2012"/>
      <c r="HK54" s="2012"/>
      <c r="HL54" s="2012"/>
      <c r="HM54" s="2012"/>
      <c r="HN54" s="2012"/>
      <c r="HO54" s="2012"/>
      <c r="HP54" s="2012"/>
      <c r="HQ54" s="2012"/>
      <c r="HR54" s="2012"/>
      <c r="HS54" s="2012"/>
      <c r="HT54" s="2012"/>
      <c r="HU54" s="2012"/>
      <c r="HV54" s="2012"/>
      <c r="HW54" s="2012"/>
      <c r="HX54" s="2012"/>
      <c r="HY54" s="2012"/>
      <c r="HZ54" s="2012"/>
      <c r="IA54" s="2012"/>
      <c r="IB54" s="2012"/>
      <c r="IC54" s="2012"/>
      <c r="ID54" s="2012"/>
      <c r="IE54" s="2012"/>
      <c r="IF54" s="2012"/>
      <c r="IG54" s="2012"/>
      <c r="IH54" s="2012"/>
      <c r="II54" s="2012"/>
      <c r="IJ54" s="2012"/>
      <c r="IK54" s="2012"/>
      <c r="IL54" s="2012"/>
      <c r="IM54" s="2012"/>
      <c r="IN54" s="2012"/>
      <c r="IO54" s="2012"/>
      <c r="IP54" s="2012"/>
      <c r="IQ54" s="2012"/>
      <c r="IR54" s="3896"/>
      <c r="IS54" s="2012"/>
      <c r="IT54" s="2012"/>
      <c r="IU54" s="2012"/>
      <c r="IV54" s="2012"/>
      <c r="IW54" s="2012"/>
      <c r="IX54" s="2012"/>
      <c r="IY54" s="2012"/>
      <c r="IZ54" s="2012"/>
      <c r="JA54" s="2548"/>
      <c r="JB54" s="2548"/>
      <c r="JC54" s="2548"/>
      <c r="JD54" s="2548"/>
      <c r="JE54" s="2548"/>
      <c r="JF54" s="2548"/>
      <c r="JG54" s="3796"/>
      <c r="JH54" s="1233"/>
      <c r="JI54" s="1229"/>
      <c r="JJ54" s="1660" t="s">
        <v>6108</v>
      </c>
    </row>
    <row ht="12.75" r="55" spans="1:270" x14ac:dyDescent="0.2">
      <c r="A55" s="1128">
        <v>6</v>
      </c>
      <c r="B55" s="1369" t="str">
        <f si="3" t="shared"/>
        <v/>
      </c>
      <c r="C55" s="1278" t="s">
        <v>1546</v>
      </c>
      <c r="D55" s="1372" t="s">
        <v>4840</v>
      </c>
      <c r="E55" s="1719"/>
      <c r="F55" s="1719"/>
      <c r="G55" s="1719"/>
      <c r="H55" s="1719"/>
      <c r="I55" s="1719"/>
      <c r="J55" s="1719"/>
      <c r="K55" s="1719"/>
      <c r="L55" s="1719"/>
      <c r="M55" s="1719"/>
      <c r="N55" s="1719"/>
      <c r="O55" s="1719"/>
      <c r="P55" s="2012"/>
      <c r="Q55" s="2012"/>
      <c r="R55" s="2012"/>
      <c r="S55" s="2012"/>
      <c r="T55" s="2012"/>
      <c r="U55" s="2012"/>
      <c r="V55" s="2012"/>
      <c r="W55" s="2012"/>
      <c r="X55" s="2012"/>
      <c r="Y55" s="2012"/>
      <c r="Z55" s="2012"/>
      <c r="AA55" s="2012"/>
      <c r="AB55" s="2012"/>
      <c r="AC55" s="2012"/>
      <c r="AD55" s="2548"/>
      <c r="AE55" s="2548"/>
      <c r="AF55" s="2548"/>
      <c r="AG55" s="2548"/>
      <c r="AH55" s="2548"/>
      <c r="AI55" s="2546"/>
      <c r="AJ55" s="2012"/>
      <c r="AK55" s="2012"/>
      <c r="AL55" s="2012"/>
      <c r="AM55" s="2012"/>
      <c r="AN55" s="2012"/>
      <c r="AO55" s="2012"/>
      <c r="AP55" s="2012"/>
      <c r="AQ55" s="2012"/>
      <c r="AR55" s="2012"/>
      <c r="AS55" s="2012"/>
      <c r="AT55" s="2012"/>
      <c r="AU55" s="2012"/>
      <c r="AV55" s="2012"/>
      <c r="AW55" s="2012"/>
      <c r="AX55" s="2012"/>
      <c r="AY55" s="2012"/>
      <c r="AZ55" s="2012"/>
      <c r="BA55" s="2012"/>
      <c r="BB55" s="2012"/>
      <c r="BC55" s="2012"/>
      <c r="BD55" s="2012"/>
      <c r="BE55" s="2012"/>
      <c r="BF55" s="2012"/>
      <c r="BG55" s="2012"/>
      <c r="BH55" s="2012"/>
      <c r="BI55" s="2012"/>
      <c r="BJ55" s="2012"/>
      <c r="BK55" s="2012"/>
      <c r="BL55" s="2012"/>
      <c r="BM55" s="2012"/>
      <c r="BN55" s="2012"/>
      <c r="BO55" s="2012"/>
      <c r="BP55" s="2012"/>
      <c r="BQ55" s="2012"/>
      <c r="BR55" s="2012"/>
      <c r="BS55" s="2012"/>
      <c r="BT55" s="2012"/>
      <c r="BU55" s="2012"/>
      <c r="BV55" s="2012"/>
      <c r="BW55" s="2012"/>
      <c r="BX55" s="2012"/>
      <c r="BY55" s="2012"/>
      <c r="BZ55" s="2012"/>
      <c r="CA55" s="2012"/>
      <c r="CB55" s="2012"/>
      <c r="CC55" s="2012"/>
      <c r="CD55" s="2012"/>
      <c r="CE55" s="2012"/>
      <c r="CF55" s="2012"/>
      <c r="CG55" s="2012"/>
      <c r="CH55" s="2012"/>
      <c r="CI55" s="1712"/>
      <c r="CJ55" s="2012"/>
      <c r="CK55" s="2012"/>
      <c r="CL55" s="2012"/>
      <c r="CM55" s="2012"/>
      <c r="CN55" s="2012"/>
      <c r="CO55" s="2012"/>
      <c r="CP55" s="2012"/>
      <c r="CQ55" s="2012"/>
      <c r="CR55" s="2012"/>
      <c r="CS55" s="2012"/>
      <c r="CT55" s="1711"/>
      <c r="CU55" s="2012"/>
      <c r="CV55" s="2012"/>
      <c r="CW55" s="2012"/>
      <c r="CX55" s="2012"/>
      <c r="CY55" s="2012"/>
      <c r="CZ55" s="2012"/>
      <c r="DA55" s="2012"/>
      <c r="DB55" s="2012"/>
      <c r="DC55" s="2012"/>
      <c r="DD55" s="2012"/>
      <c r="DE55" s="2012"/>
      <c r="DF55" s="2012"/>
      <c r="DG55" s="2012"/>
      <c r="DH55" s="2012"/>
      <c r="DI55" s="2012"/>
      <c r="DJ55" s="2012"/>
      <c r="DK55" s="2012"/>
      <c r="DL55" s="2012"/>
      <c r="DM55" s="2012"/>
      <c r="DN55" s="2012"/>
      <c r="DO55" s="2012"/>
      <c r="DP55" s="2012"/>
      <c r="DQ55" s="2012"/>
      <c r="DR55" s="2012"/>
      <c r="DS55" s="2012"/>
      <c r="DT55" s="2012"/>
      <c r="DU55" s="2012"/>
      <c r="DV55" s="2012"/>
      <c r="DW55" s="2012"/>
      <c r="DX55" s="2012"/>
      <c r="DY55" s="2012"/>
      <c r="DZ55" s="2012"/>
      <c r="EA55" s="1712"/>
      <c r="EB55" s="1711">
        <v>1525</v>
      </c>
      <c r="EC55" s="1711"/>
      <c r="ED55" s="2012"/>
      <c r="EE55" s="2012"/>
      <c r="EF55" s="2012"/>
      <c r="EG55" s="2012"/>
      <c r="EH55" s="2012"/>
      <c r="EI55" s="2012"/>
      <c r="EJ55" s="2012"/>
      <c r="EK55" s="2012"/>
      <c r="EL55" s="2012"/>
      <c r="EM55" s="2012"/>
      <c r="EN55" s="2012"/>
      <c r="EO55" s="2012"/>
      <c r="EP55" s="2012"/>
      <c r="EQ55" s="2012"/>
      <c r="ER55" s="2012"/>
      <c r="ES55" s="2012"/>
      <c r="ET55" s="2012"/>
      <c r="EU55" s="2012"/>
      <c r="EV55" s="2012"/>
      <c r="EW55" s="2012"/>
      <c r="EX55" s="2012"/>
      <c r="EY55" s="2012"/>
      <c r="EZ55" s="2012"/>
      <c r="FA55" s="2012"/>
      <c r="FB55" s="1711"/>
      <c r="FC55" s="2012"/>
      <c r="FD55" s="2012"/>
      <c r="FE55" s="2012"/>
      <c r="FF55" s="2012"/>
      <c r="FG55" s="2012"/>
      <c r="FH55" s="2012"/>
      <c r="FI55" s="2012"/>
      <c r="FJ55" s="2012"/>
      <c r="FK55" s="2012"/>
      <c r="FL55" s="2012"/>
      <c r="FM55" s="2012"/>
      <c r="FN55" s="2012"/>
      <c r="FO55" s="2012"/>
      <c r="FP55" s="2012"/>
      <c r="FQ55" s="2012"/>
      <c r="FR55" s="2012"/>
      <c r="FS55" s="2012"/>
      <c r="FT55" s="2012"/>
      <c r="FU55" s="2012"/>
      <c r="FV55" s="2012"/>
      <c r="FW55" s="2012"/>
      <c r="FX55" s="2012"/>
      <c r="FY55" s="2012"/>
      <c r="FZ55" s="2012"/>
      <c r="GA55" s="2012"/>
      <c r="GB55" s="2012"/>
      <c r="GC55" s="2012"/>
      <c r="GD55" s="2012"/>
      <c r="GE55" s="2012"/>
      <c r="GF55" s="2012"/>
      <c r="GG55" s="2012"/>
      <c r="GH55" s="2012"/>
      <c r="GI55" s="2012"/>
      <c r="GJ55" s="2012"/>
      <c r="GK55" s="2012"/>
      <c r="GL55" s="2012"/>
      <c r="GM55" s="2012"/>
      <c r="GN55" s="2012"/>
      <c r="GO55" s="2012"/>
      <c r="GP55" s="2012"/>
      <c r="GQ55" s="2012"/>
      <c r="GR55" s="2012"/>
      <c r="GS55" s="2012"/>
      <c r="GT55" s="2012"/>
      <c r="GU55" s="2012"/>
      <c r="GV55" s="2012"/>
      <c r="GW55" s="2012"/>
      <c r="GX55" s="2012"/>
      <c r="GY55" s="2012"/>
      <c r="GZ55" s="2012"/>
      <c r="HA55" s="2012"/>
      <c r="HB55" s="2012"/>
      <c r="HC55" s="2012"/>
      <c r="HD55" s="2012"/>
      <c r="HE55" s="2012"/>
      <c r="HF55" s="2012"/>
      <c r="HG55" s="2012"/>
      <c r="HH55" s="2012"/>
      <c r="HI55" s="2012"/>
      <c r="HJ55" s="2012"/>
      <c r="HK55" s="2012"/>
      <c r="HL55" s="2012"/>
      <c r="HM55" s="2012"/>
      <c r="HN55" s="2012"/>
      <c r="HO55" s="2012"/>
      <c r="HP55" s="2012"/>
      <c r="HQ55" s="2012"/>
      <c r="HR55" s="2012"/>
      <c r="HS55" s="2012"/>
      <c r="HT55" s="2012"/>
      <c r="HU55" s="2012"/>
      <c r="HV55" s="2012"/>
      <c r="HW55" s="2012"/>
      <c r="HX55" s="2012"/>
      <c r="HY55" s="2012"/>
      <c r="HZ55" s="2012"/>
      <c r="IA55" s="2012"/>
      <c r="IB55" s="2012"/>
      <c r="IC55" s="2012"/>
      <c r="ID55" s="2012"/>
      <c r="IE55" s="2012"/>
      <c r="IF55" s="2012"/>
      <c r="IG55" s="2012"/>
      <c r="IH55" s="2012"/>
      <c r="II55" s="2012"/>
      <c r="IJ55" s="2012"/>
      <c r="IK55" s="2012"/>
      <c r="IL55" s="2012"/>
      <c r="IM55" s="2012"/>
      <c r="IN55" s="2012"/>
      <c r="IO55" s="2012"/>
      <c r="IP55" s="2012"/>
      <c r="IQ55" s="2012"/>
      <c r="IR55" s="3896"/>
      <c r="IS55" s="2012"/>
      <c r="IT55" s="2012"/>
      <c r="IU55" s="2012"/>
      <c r="IV55" s="2012"/>
      <c r="IW55" s="2012"/>
      <c r="IX55" s="2012"/>
      <c r="IY55" s="2012"/>
      <c r="IZ55" s="2012"/>
      <c r="JA55" s="2548"/>
      <c r="JB55" s="2548"/>
      <c r="JC55" s="2548"/>
      <c r="JD55" s="2548"/>
      <c r="JE55" s="2548"/>
      <c r="JF55" s="2548"/>
      <c r="JG55" s="3796"/>
      <c r="JH55" s="1233"/>
      <c r="JI55" s="1229"/>
      <c r="JJ55" s="1660" t="s">
        <v>6108</v>
      </c>
    </row>
    <row ht="12.75" r="56" spans="1:270" x14ac:dyDescent="0.2">
      <c r="A56" s="1128">
        <v>7</v>
      </c>
      <c r="B56" s="1369" t="str">
        <f si="3" t="shared"/>
        <v/>
      </c>
      <c r="C56" s="1524" t="s">
        <v>1547</v>
      </c>
      <c r="D56" s="1526" t="s">
        <v>4841</v>
      </c>
      <c r="E56" s="1721"/>
      <c r="F56" s="1721"/>
      <c r="G56" s="1721"/>
      <c r="H56" s="1721"/>
      <c r="I56" s="1721"/>
      <c r="J56" s="1721"/>
      <c r="K56" s="1721"/>
      <c r="L56" s="1721"/>
      <c r="M56" s="1721"/>
      <c r="N56" s="1721"/>
      <c r="O56" s="1721"/>
      <c r="P56" s="2014"/>
      <c r="Q56" s="2014"/>
      <c r="R56" s="2014"/>
      <c r="S56" s="2014"/>
      <c r="T56" s="2014"/>
      <c r="U56" s="2014"/>
      <c r="V56" s="2014"/>
      <c r="W56" s="2014"/>
      <c r="X56" s="2014"/>
      <c r="Y56" s="2014"/>
      <c r="Z56" s="2014"/>
      <c r="AA56" s="2014"/>
      <c r="AB56" s="2014"/>
      <c r="AC56" s="2014"/>
      <c r="AD56" s="2552"/>
      <c r="AE56" s="2552"/>
      <c r="AF56" s="2552"/>
      <c r="AG56" s="2552"/>
      <c r="AH56" s="2552"/>
      <c r="AI56" s="2550"/>
      <c r="AJ56" s="2014"/>
      <c r="AK56" s="2014"/>
      <c r="AL56" s="2014"/>
      <c r="AM56" s="2014"/>
      <c r="AN56" s="2014"/>
      <c r="AO56" s="2014"/>
      <c r="AP56" s="2014"/>
      <c r="AQ56" s="2014"/>
      <c r="AR56" s="2014"/>
      <c r="AS56" s="2014"/>
      <c r="AT56" s="2014"/>
      <c r="AU56" s="2014"/>
      <c r="AV56" s="2014"/>
      <c r="AW56" s="2014"/>
      <c r="AX56" s="2014"/>
      <c r="AY56" s="2014"/>
      <c r="AZ56" s="2014"/>
      <c r="BA56" s="2014"/>
      <c r="BB56" s="2014"/>
      <c r="BC56" s="2014"/>
      <c r="BD56" s="2014"/>
      <c r="BE56" s="2014"/>
      <c r="BF56" s="2014"/>
      <c r="BG56" s="2014"/>
      <c r="BH56" s="2014"/>
      <c r="BI56" s="2014"/>
      <c r="BJ56" s="2014"/>
      <c r="BK56" s="2014"/>
      <c r="BL56" s="2014"/>
      <c r="BM56" s="2014"/>
      <c r="BN56" s="2014"/>
      <c r="BO56" s="2014"/>
      <c r="BP56" s="2014"/>
      <c r="BQ56" s="2014"/>
      <c r="BR56" s="2014"/>
      <c r="BS56" s="2014"/>
      <c r="BT56" s="2014"/>
      <c r="BU56" s="2014"/>
      <c r="BV56" s="2014"/>
      <c r="BW56" s="2014"/>
      <c r="BX56" s="2014"/>
      <c r="BY56" s="2014"/>
      <c r="BZ56" s="2014"/>
      <c r="CA56" s="2014"/>
      <c r="CB56" s="2014"/>
      <c r="CC56" s="2014"/>
      <c r="CD56" s="2014"/>
      <c r="CE56" s="2014"/>
      <c r="CF56" s="2014"/>
      <c r="CG56" s="2014"/>
      <c r="CH56" s="2014"/>
      <c r="CI56" s="1713"/>
      <c r="CJ56" s="2014"/>
      <c r="CK56" s="2014"/>
      <c r="CL56" s="2014"/>
      <c r="CM56" s="2014"/>
      <c r="CN56" s="2014"/>
      <c r="CO56" s="2014"/>
      <c r="CP56" s="2014"/>
      <c r="CQ56" s="2014"/>
      <c r="CR56" s="2014"/>
      <c r="CS56" s="2014"/>
      <c r="CT56" s="1713">
        <v>2500</v>
      </c>
      <c r="CU56" s="2014"/>
      <c r="CV56" s="2014"/>
      <c r="CW56" s="2014"/>
      <c r="CX56" s="2014"/>
      <c r="CY56" s="2014"/>
      <c r="CZ56" s="2014"/>
      <c r="DA56" s="2014"/>
      <c r="DB56" s="2014"/>
      <c r="DC56" s="2014"/>
      <c r="DD56" s="2014"/>
      <c r="DE56" s="2014"/>
      <c r="DF56" s="2014"/>
      <c r="DG56" s="2014"/>
      <c r="DH56" s="2014"/>
      <c r="DI56" s="2014"/>
      <c r="DJ56" s="2014"/>
      <c r="DK56" s="2014"/>
      <c r="DL56" s="2014"/>
      <c r="DM56" s="2014"/>
      <c r="DN56" s="2014"/>
      <c r="DO56" s="2014"/>
      <c r="DP56" s="2014"/>
      <c r="DQ56" s="2014"/>
      <c r="DR56" s="2014"/>
      <c r="DS56" s="2014"/>
      <c r="DT56" s="2014"/>
      <c r="DU56" s="2014"/>
      <c r="DV56" s="2014"/>
      <c r="DW56" s="2014"/>
      <c r="DX56" s="2014"/>
      <c r="DY56" s="2014"/>
      <c r="DZ56" s="2014"/>
      <c r="EA56" s="1713"/>
      <c r="EB56" s="1713"/>
      <c r="EC56" s="1713">
        <v>2500</v>
      </c>
      <c r="ED56" s="2014"/>
      <c r="EE56" s="2014"/>
      <c r="EF56" s="2014"/>
      <c r="EG56" s="2014"/>
      <c r="EH56" s="2014"/>
      <c r="EI56" s="2014"/>
      <c r="EJ56" s="2014"/>
      <c r="EK56" s="2014"/>
      <c r="EL56" s="2014"/>
      <c r="EM56" s="2014"/>
      <c r="EN56" s="2014"/>
      <c r="EO56" s="2014"/>
      <c r="EP56" s="2014"/>
      <c r="EQ56" s="2014"/>
      <c r="ER56" s="2014"/>
      <c r="ES56" s="2014"/>
      <c r="ET56" s="2014"/>
      <c r="EU56" s="2014"/>
      <c r="EV56" s="2014"/>
      <c r="EW56" s="2014"/>
      <c r="EX56" s="2014"/>
      <c r="EY56" s="2014"/>
      <c r="EZ56" s="2014"/>
      <c r="FA56" s="2014"/>
      <c r="FB56" s="1713">
        <v>2500</v>
      </c>
      <c r="FC56" s="2014"/>
      <c r="FD56" s="2014"/>
      <c r="FE56" s="2014"/>
      <c r="FF56" s="2014"/>
      <c r="FG56" s="2014"/>
      <c r="FH56" s="2014"/>
      <c r="FI56" s="2014"/>
      <c r="FJ56" s="2014"/>
      <c r="FK56" s="2014"/>
      <c r="FL56" s="2014"/>
      <c r="FM56" s="2014"/>
      <c r="FN56" s="2014"/>
      <c r="FO56" s="2014"/>
      <c r="FP56" s="2014"/>
      <c r="FQ56" s="2014"/>
      <c r="FR56" s="2014"/>
      <c r="FS56" s="2014"/>
      <c r="FT56" s="2014"/>
      <c r="FU56" s="2014"/>
      <c r="FV56" s="2014"/>
      <c r="FW56" s="2014"/>
      <c r="FX56" s="2014"/>
      <c r="FY56" s="2014"/>
      <c r="FZ56" s="2014"/>
      <c r="GA56" s="2014"/>
      <c r="GB56" s="2014"/>
      <c r="GC56" s="2014"/>
      <c r="GD56" s="2014"/>
      <c r="GE56" s="2014"/>
      <c r="GF56" s="2014"/>
      <c r="GG56" s="2014"/>
      <c r="GH56" s="2014"/>
      <c r="GI56" s="2014"/>
      <c r="GJ56" s="2014"/>
      <c r="GK56" s="2014"/>
      <c r="GL56" s="2014"/>
      <c r="GM56" s="2014"/>
      <c r="GN56" s="2014"/>
      <c r="GO56" s="2014"/>
      <c r="GP56" s="2014"/>
      <c r="GQ56" s="2014"/>
      <c r="GR56" s="2014"/>
      <c r="GS56" s="2014"/>
      <c r="GT56" s="2014"/>
      <c r="GU56" s="2014"/>
      <c r="GV56" s="2014"/>
      <c r="GW56" s="2014"/>
      <c r="GX56" s="2014"/>
      <c r="GY56" s="2014"/>
      <c r="GZ56" s="2014"/>
      <c r="HA56" s="2014"/>
      <c r="HB56" s="2014"/>
      <c r="HC56" s="2014"/>
      <c r="HD56" s="2014"/>
      <c r="HE56" s="2014"/>
      <c r="HF56" s="2014"/>
      <c r="HG56" s="2014"/>
      <c r="HH56" s="2014"/>
      <c r="HI56" s="2014"/>
      <c r="HJ56" s="2014"/>
      <c r="HK56" s="2014"/>
      <c r="HL56" s="2014"/>
      <c r="HM56" s="2014"/>
      <c r="HN56" s="2014"/>
      <c r="HO56" s="2014"/>
      <c r="HP56" s="2014"/>
      <c r="HQ56" s="2014"/>
      <c r="HR56" s="2014"/>
      <c r="HS56" s="2014"/>
      <c r="HT56" s="2014"/>
      <c r="HU56" s="2014"/>
      <c r="HV56" s="2014"/>
      <c r="HW56" s="2014"/>
      <c r="HX56" s="2014"/>
      <c r="HY56" s="2014"/>
      <c r="HZ56" s="2014"/>
      <c r="IA56" s="2014"/>
      <c r="IB56" s="2014"/>
      <c r="IC56" s="2014"/>
      <c r="ID56" s="2014"/>
      <c r="IE56" s="2014"/>
      <c r="IF56" s="2014"/>
      <c r="IG56" s="2014"/>
      <c r="IH56" s="2014"/>
      <c r="II56" s="2014"/>
      <c r="IJ56" s="2014"/>
      <c r="IK56" s="2014"/>
      <c r="IL56" s="2014"/>
      <c r="IM56" s="2014"/>
      <c r="IN56" s="2014"/>
      <c r="IO56" s="2014"/>
      <c r="IP56" s="2014"/>
      <c r="IQ56" s="2014"/>
      <c r="IR56" s="2552"/>
      <c r="IS56" s="2014"/>
      <c r="IT56" s="2014"/>
      <c r="IU56" s="2014"/>
      <c r="IV56" s="2014"/>
      <c r="IW56" s="2014"/>
      <c r="IX56" s="2014"/>
      <c r="IY56" s="2014"/>
      <c r="IZ56" s="2014"/>
      <c r="JA56" s="2552"/>
      <c r="JB56" s="2552"/>
      <c r="JC56" s="2552"/>
      <c r="JD56" s="2552"/>
      <c r="JE56" s="2552"/>
      <c r="JF56" s="2552"/>
      <c r="JG56" s="3798"/>
      <c r="JH56" s="1233"/>
      <c r="JI56" s="1229"/>
      <c r="JJ56" s="1660" t="s">
        <v>6108</v>
      </c>
    </row>
    <row ht="12.75" r="57" spans="1:270" x14ac:dyDescent="0.2">
      <c r="A57" s="1128">
        <v>8</v>
      </c>
      <c r="B57" s="1369" t="str">
        <f si="3" t="shared"/>
        <v/>
      </c>
      <c r="C57" s="1278" t="s">
        <v>1548</v>
      </c>
      <c r="D57" s="1372" t="s">
        <v>4842</v>
      </c>
      <c r="E57" s="1719"/>
      <c r="F57" s="1719"/>
      <c r="G57" s="1719"/>
      <c r="H57" s="1719"/>
      <c r="I57" s="1719"/>
      <c r="J57" s="1719"/>
      <c r="K57" s="1719"/>
      <c r="L57" s="1719"/>
      <c r="M57" s="1719"/>
      <c r="N57" s="1719"/>
      <c r="O57" s="1719"/>
      <c r="P57" s="2012"/>
      <c r="Q57" s="2012"/>
      <c r="R57" s="2012"/>
      <c r="S57" s="2012"/>
      <c r="T57" s="2012"/>
      <c r="U57" s="2012"/>
      <c r="V57" s="2012"/>
      <c r="W57" s="2012"/>
      <c r="X57" s="2012"/>
      <c r="Y57" s="2012"/>
      <c r="Z57" s="2012"/>
      <c r="AA57" s="2012"/>
      <c r="AB57" s="2012"/>
      <c r="AC57" s="2012"/>
      <c r="AD57" s="2548"/>
      <c r="AE57" s="2548"/>
      <c r="AF57" s="2548"/>
      <c r="AG57" s="2548"/>
      <c r="AH57" s="2548"/>
      <c r="AI57" s="2546"/>
      <c r="AJ57" s="2012"/>
      <c r="AK57" s="2012"/>
      <c r="AL57" s="2012"/>
      <c r="AM57" s="2012"/>
      <c r="AN57" s="2012"/>
      <c r="AO57" s="2012"/>
      <c r="AP57" s="2012"/>
      <c r="AQ57" s="2012"/>
      <c r="AR57" s="2012"/>
      <c r="AS57" s="2012"/>
      <c r="AT57" s="2012"/>
      <c r="AU57" s="2012"/>
      <c r="AV57" s="2012"/>
      <c r="AW57" s="2012"/>
      <c r="AX57" s="2012"/>
      <c r="AY57" s="2012"/>
      <c r="AZ57" s="2012"/>
      <c r="BA57" s="2012"/>
      <c r="BB57" s="2012"/>
      <c r="BC57" s="2012"/>
      <c r="BD57" s="2012"/>
      <c r="BE57" s="2012"/>
      <c r="BF57" s="2012"/>
      <c r="BG57" s="2012"/>
      <c r="BH57" s="2012"/>
      <c r="BI57" s="2012"/>
      <c r="BJ57" s="2012"/>
      <c r="BK57" s="2012"/>
      <c r="BL57" s="2012"/>
      <c r="BM57" s="2012"/>
      <c r="BN57" s="2012"/>
      <c r="BO57" s="2012"/>
      <c r="BP57" s="2012"/>
      <c r="BQ57" s="2012"/>
      <c r="BR57" s="2012"/>
      <c r="BS57" s="2012"/>
      <c r="BT57" s="2012"/>
      <c r="BU57" s="2012"/>
      <c r="BV57" s="2012"/>
      <c r="BW57" s="2012"/>
      <c r="BX57" s="2012"/>
      <c r="BY57" s="2012"/>
      <c r="BZ57" s="2012"/>
      <c r="CA57" s="2012"/>
      <c r="CB57" s="2012"/>
      <c r="CC57" s="2012"/>
      <c r="CD57" s="2012"/>
      <c r="CE57" s="2012"/>
      <c r="CF57" s="2012"/>
      <c r="CG57" s="2012"/>
      <c r="CH57" s="2012"/>
      <c r="CI57" s="1711"/>
      <c r="CJ57" s="2012"/>
      <c r="CK57" s="2012"/>
      <c r="CL57" s="2012"/>
      <c r="CM57" s="2012"/>
      <c r="CN57" s="2012"/>
      <c r="CO57" s="2012"/>
      <c r="CP57" s="2012"/>
      <c r="CQ57" s="2012"/>
      <c r="CR57" s="2012"/>
      <c r="CS57" s="2012"/>
      <c r="CT57" s="1711">
        <v>1600</v>
      </c>
      <c r="CU57" s="2012"/>
      <c r="CV57" s="2012"/>
      <c r="CW57" s="2012"/>
      <c r="CX57" s="2012"/>
      <c r="CY57" s="2012"/>
      <c r="CZ57" s="2012"/>
      <c r="DA57" s="2012"/>
      <c r="DB57" s="2012"/>
      <c r="DC57" s="2012"/>
      <c r="DD57" s="2012"/>
      <c r="DE57" s="2012"/>
      <c r="DF57" s="2012"/>
      <c r="DG57" s="2012"/>
      <c r="DH57" s="2012"/>
      <c r="DI57" s="2012"/>
      <c r="DJ57" s="2012"/>
      <c r="DK57" s="2012"/>
      <c r="DL57" s="2012"/>
      <c r="DM57" s="2012"/>
      <c r="DN57" s="2012"/>
      <c r="DO57" s="2012"/>
      <c r="DP57" s="2012"/>
      <c r="DQ57" s="2012"/>
      <c r="DR57" s="2012"/>
      <c r="DS57" s="2012"/>
      <c r="DT57" s="2012"/>
      <c r="DU57" s="2012"/>
      <c r="DV57" s="2012"/>
      <c r="DW57" s="2012"/>
      <c r="DX57" s="2012"/>
      <c r="DY57" s="2012"/>
      <c r="DZ57" s="2012"/>
      <c r="EA57" s="1711"/>
      <c r="EB57" s="1711"/>
      <c r="EC57" s="1711">
        <v>1600</v>
      </c>
      <c r="ED57" s="2012"/>
      <c r="EE57" s="2012"/>
      <c r="EF57" s="2012"/>
      <c r="EG57" s="2012"/>
      <c r="EH57" s="2012"/>
      <c r="EI57" s="2012"/>
      <c r="EJ57" s="2012"/>
      <c r="EK57" s="2012"/>
      <c r="EL57" s="2012"/>
      <c r="EM57" s="2012"/>
      <c r="EN57" s="2012"/>
      <c r="EO57" s="2012"/>
      <c r="EP57" s="2012"/>
      <c r="EQ57" s="2012"/>
      <c r="ER57" s="2012"/>
      <c r="ES57" s="2012"/>
      <c r="ET57" s="2012"/>
      <c r="EU57" s="2012"/>
      <c r="EV57" s="2012"/>
      <c r="EW57" s="2012"/>
      <c r="EX57" s="2012"/>
      <c r="EY57" s="2012"/>
      <c r="EZ57" s="2012"/>
      <c r="FA57" s="2012"/>
      <c r="FB57" s="1711">
        <v>1600</v>
      </c>
      <c r="FC57" s="2012"/>
      <c r="FD57" s="2012"/>
      <c r="FE57" s="2012"/>
      <c r="FF57" s="2012"/>
      <c r="FG57" s="2012"/>
      <c r="FH57" s="2012"/>
      <c r="FI57" s="2012"/>
      <c r="FJ57" s="2012"/>
      <c r="FK57" s="2012"/>
      <c r="FL57" s="2012"/>
      <c r="FM57" s="2012"/>
      <c r="FN57" s="2012"/>
      <c r="FO57" s="2012"/>
      <c r="FP57" s="2012"/>
      <c r="FQ57" s="2012"/>
      <c r="FR57" s="2012"/>
      <c r="FS57" s="2012"/>
      <c r="FT57" s="2012"/>
      <c r="FU57" s="2012"/>
      <c r="FV57" s="2012"/>
      <c r="FW57" s="2012"/>
      <c r="FX57" s="2012"/>
      <c r="FY57" s="2012"/>
      <c r="FZ57" s="2012"/>
      <c r="GA57" s="2012"/>
      <c r="GB57" s="2012"/>
      <c r="GC57" s="2012"/>
      <c r="GD57" s="2012"/>
      <c r="GE57" s="2012"/>
      <c r="GF57" s="2012"/>
      <c r="GG57" s="2012"/>
      <c r="GH57" s="2012"/>
      <c r="GI57" s="2012"/>
      <c r="GJ57" s="2012"/>
      <c r="GK57" s="2012"/>
      <c r="GL57" s="2012"/>
      <c r="GM57" s="2012"/>
      <c r="GN57" s="2012"/>
      <c r="GO57" s="2012"/>
      <c r="GP57" s="2012"/>
      <c r="GQ57" s="2012"/>
      <c r="GR57" s="2012"/>
      <c r="GS57" s="2012"/>
      <c r="GT57" s="2012"/>
      <c r="GU57" s="2012"/>
      <c r="GV57" s="2012"/>
      <c r="GW57" s="2012"/>
      <c r="GX57" s="2012"/>
      <c r="GY57" s="2012"/>
      <c r="GZ57" s="2012"/>
      <c r="HA57" s="2012"/>
      <c r="HB57" s="2012"/>
      <c r="HC57" s="2012"/>
      <c r="HD57" s="2012"/>
      <c r="HE57" s="2012"/>
      <c r="HF57" s="2012"/>
      <c r="HG57" s="2012"/>
      <c r="HH57" s="2012"/>
      <c r="HI57" s="2012"/>
      <c r="HJ57" s="2012"/>
      <c r="HK57" s="2012"/>
      <c r="HL57" s="2012"/>
      <c r="HM57" s="2012"/>
      <c r="HN57" s="2012"/>
      <c r="HO57" s="2012"/>
      <c r="HP57" s="2012"/>
      <c r="HQ57" s="2012"/>
      <c r="HR57" s="2012"/>
      <c r="HS57" s="2012"/>
      <c r="HT57" s="2012"/>
      <c r="HU57" s="2012"/>
      <c r="HV57" s="2012"/>
      <c r="HW57" s="2012"/>
      <c r="HX57" s="2012"/>
      <c r="HY57" s="2012"/>
      <c r="HZ57" s="2012"/>
      <c r="IA57" s="2012"/>
      <c r="IB57" s="2012"/>
      <c r="IC57" s="2012"/>
      <c r="ID57" s="2012"/>
      <c r="IE57" s="2012"/>
      <c r="IF57" s="2012"/>
      <c r="IG57" s="2012"/>
      <c r="IH57" s="2012"/>
      <c r="II57" s="2012"/>
      <c r="IJ57" s="2012"/>
      <c r="IK57" s="2012"/>
      <c r="IL57" s="2012"/>
      <c r="IM57" s="2012"/>
      <c r="IN57" s="2012"/>
      <c r="IO57" s="2012"/>
      <c r="IP57" s="2012"/>
      <c r="IQ57" s="2012"/>
      <c r="IR57" s="3896"/>
      <c r="IS57" s="2012"/>
      <c r="IT57" s="2012"/>
      <c r="IU57" s="2012"/>
      <c r="IV57" s="2012"/>
      <c r="IW57" s="2012"/>
      <c r="IX57" s="2012"/>
      <c r="IY57" s="2012"/>
      <c r="IZ57" s="2012"/>
      <c r="JA57" s="2548"/>
      <c r="JB57" s="2548"/>
      <c r="JC57" s="2548"/>
      <c r="JD57" s="2548"/>
      <c r="JE57" s="2548"/>
      <c r="JF57" s="2548"/>
      <c r="JG57" s="3796"/>
      <c r="JH57" s="1233"/>
      <c r="JI57" s="1229"/>
      <c r="JJ57" s="1660" t="s">
        <v>6108</v>
      </c>
    </row>
    <row ht="12.75" r="58" spans="1:270" x14ac:dyDescent="0.2">
      <c r="A58" s="1128">
        <v>9</v>
      </c>
      <c r="B58" s="1369" t="str">
        <f si="3" t="shared"/>
        <v/>
      </c>
      <c r="C58" s="1278" t="s">
        <v>1549</v>
      </c>
      <c r="D58" s="1372" t="s">
        <v>4843</v>
      </c>
      <c r="E58" s="1719"/>
      <c r="F58" s="1719"/>
      <c r="G58" s="1719"/>
      <c r="H58" s="1719"/>
      <c r="I58" s="1719"/>
      <c r="J58" s="1719"/>
      <c r="K58" s="1719"/>
      <c r="L58" s="1719"/>
      <c r="M58" s="1719"/>
      <c r="N58" s="1719"/>
      <c r="O58" s="1719"/>
      <c r="P58" s="2012"/>
      <c r="Q58" s="2012"/>
      <c r="R58" s="2012"/>
      <c r="S58" s="2012"/>
      <c r="T58" s="2012"/>
      <c r="U58" s="2012"/>
      <c r="V58" s="2012"/>
      <c r="W58" s="2012"/>
      <c r="X58" s="2012"/>
      <c r="Y58" s="2012"/>
      <c r="Z58" s="2012"/>
      <c r="AA58" s="2012"/>
      <c r="AB58" s="2012"/>
      <c r="AC58" s="2012"/>
      <c r="AD58" s="2548"/>
      <c r="AE58" s="2548"/>
      <c r="AF58" s="2548"/>
      <c r="AG58" s="2548"/>
      <c r="AH58" s="2548"/>
      <c r="AI58" s="2546"/>
      <c r="AJ58" s="2012"/>
      <c r="AK58" s="2012"/>
      <c r="AL58" s="2012"/>
      <c r="AM58" s="2012"/>
      <c r="AN58" s="2012"/>
      <c r="AO58" s="2012"/>
      <c r="AP58" s="2012"/>
      <c r="AQ58" s="2012"/>
      <c r="AR58" s="2012"/>
      <c r="AS58" s="2012"/>
      <c r="AT58" s="2012"/>
      <c r="AU58" s="2012"/>
      <c r="AV58" s="2012"/>
      <c r="AW58" s="2012"/>
      <c r="AX58" s="2012"/>
      <c r="AY58" s="2012"/>
      <c r="AZ58" s="2012"/>
      <c r="BA58" s="2012"/>
      <c r="BB58" s="2012"/>
      <c r="BC58" s="2012"/>
      <c r="BD58" s="2012"/>
      <c r="BE58" s="2012"/>
      <c r="BF58" s="2012"/>
      <c r="BG58" s="2012"/>
      <c r="BH58" s="2012"/>
      <c r="BI58" s="2012"/>
      <c r="BJ58" s="2012"/>
      <c r="BK58" s="2012"/>
      <c r="BL58" s="2012"/>
      <c r="BM58" s="2012"/>
      <c r="BN58" s="2012"/>
      <c r="BO58" s="2012"/>
      <c r="BP58" s="2012"/>
      <c r="BQ58" s="2012"/>
      <c r="BR58" s="2012"/>
      <c r="BS58" s="2012"/>
      <c r="BT58" s="2012"/>
      <c r="BU58" s="2012"/>
      <c r="BV58" s="2012"/>
      <c r="BW58" s="2012"/>
      <c r="BX58" s="2012"/>
      <c r="BY58" s="2012"/>
      <c r="BZ58" s="2012"/>
      <c r="CA58" s="2012"/>
      <c r="CB58" s="2012"/>
      <c r="CC58" s="2012"/>
      <c r="CD58" s="2012"/>
      <c r="CE58" s="2012"/>
      <c r="CF58" s="2012"/>
      <c r="CG58" s="2012"/>
      <c r="CH58" s="2012"/>
      <c r="CI58" s="1711"/>
      <c r="CJ58" s="2012"/>
      <c r="CK58" s="2012"/>
      <c r="CL58" s="2012"/>
      <c r="CM58" s="2012"/>
      <c r="CN58" s="2012"/>
      <c r="CO58" s="2012"/>
      <c r="CP58" s="2012"/>
      <c r="CQ58" s="2012"/>
      <c r="CR58" s="2012"/>
      <c r="CS58" s="2012"/>
      <c r="CT58" s="1711">
        <v>352</v>
      </c>
      <c r="CU58" s="2012"/>
      <c r="CV58" s="2012"/>
      <c r="CW58" s="2012"/>
      <c r="CX58" s="2012"/>
      <c r="CY58" s="2012"/>
      <c r="CZ58" s="2012"/>
      <c r="DA58" s="2012"/>
      <c r="DB58" s="2012"/>
      <c r="DC58" s="2012"/>
      <c r="DD58" s="2012"/>
      <c r="DE58" s="2012"/>
      <c r="DF58" s="2012"/>
      <c r="DG58" s="2012"/>
      <c r="DH58" s="2012"/>
      <c r="DI58" s="2012"/>
      <c r="DJ58" s="2012"/>
      <c r="DK58" s="2012"/>
      <c r="DL58" s="2012"/>
      <c r="DM58" s="2012"/>
      <c r="DN58" s="2012"/>
      <c r="DO58" s="2012"/>
      <c r="DP58" s="2012"/>
      <c r="DQ58" s="2012"/>
      <c r="DR58" s="2012"/>
      <c r="DS58" s="2012"/>
      <c r="DT58" s="2012"/>
      <c r="DU58" s="2012"/>
      <c r="DV58" s="2012"/>
      <c r="DW58" s="2012"/>
      <c r="DX58" s="2012"/>
      <c r="DY58" s="2012"/>
      <c r="DZ58" s="2012"/>
      <c r="EA58" s="1711"/>
      <c r="EB58" s="1711"/>
      <c r="EC58" s="1711">
        <v>352</v>
      </c>
      <c r="ED58" s="2012"/>
      <c r="EE58" s="2012"/>
      <c r="EF58" s="2012"/>
      <c r="EG58" s="2012"/>
      <c r="EH58" s="2012"/>
      <c r="EI58" s="2012"/>
      <c r="EJ58" s="2012"/>
      <c r="EK58" s="2012"/>
      <c r="EL58" s="2012"/>
      <c r="EM58" s="2012"/>
      <c r="EN58" s="2012"/>
      <c r="EO58" s="2012"/>
      <c r="EP58" s="2012"/>
      <c r="EQ58" s="2012"/>
      <c r="ER58" s="2012"/>
      <c r="ES58" s="2012"/>
      <c r="ET58" s="2012"/>
      <c r="EU58" s="2012"/>
      <c r="EV58" s="2012"/>
      <c r="EW58" s="2012"/>
      <c r="EX58" s="2012"/>
      <c r="EY58" s="2012"/>
      <c r="EZ58" s="2012"/>
      <c r="FA58" s="2012"/>
      <c r="FB58" s="1711">
        <v>352</v>
      </c>
      <c r="FC58" s="2012"/>
      <c r="FD58" s="2012"/>
      <c r="FE58" s="2012"/>
      <c r="FF58" s="2012"/>
      <c r="FG58" s="2012"/>
      <c r="FH58" s="2012"/>
      <c r="FI58" s="2012"/>
      <c r="FJ58" s="2012"/>
      <c r="FK58" s="2012"/>
      <c r="FL58" s="2012"/>
      <c r="FM58" s="2012"/>
      <c r="FN58" s="2012"/>
      <c r="FO58" s="2012"/>
      <c r="FP58" s="2012"/>
      <c r="FQ58" s="2012"/>
      <c r="FR58" s="2012"/>
      <c r="FS58" s="2012"/>
      <c r="FT58" s="2012"/>
      <c r="FU58" s="2012"/>
      <c r="FV58" s="2012"/>
      <c r="FW58" s="2012"/>
      <c r="FX58" s="2012"/>
      <c r="FY58" s="2012"/>
      <c r="FZ58" s="2012"/>
      <c r="GA58" s="2012"/>
      <c r="GB58" s="2012"/>
      <c r="GC58" s="2012"/>
      <c r="GD58" s="2012"/>
      <c r="GE58" s="2012"/>
      <c r="GF58" s="2012"/>
      <c r="GG58" s="2012"/>
      <c r="GH58" s="2012"/>
      <c r="GI58" s="2012"/>
      <c r="GJ58" s="2012"/>
      <c r="GK58" s="2012"/>
      <c r="GL58" s="2012"/>
      <c r="GM58" s="2012"/>
      <c r="GN58" s="2012"/>
      <c r="GO58" s="2012"/>
      <c r="GP58" s="2012"/>
      <c r="GQ58" s="2012"/>
      <c r="GR58" s="2012"/>
      <c r="GS58" s="2012"/>
      <c r="GT58" s="2012"/>
      <c r="GU58" s="2012"/>
      <c r="GV58" s="2012"/>
      <c r="GW58" s="2012"/>
      <c r="GX58" s="2012"/>
      <c r="GY58" s="2012"/>
      <c r="GZ58" s="2012"/>
      <c r="HA58" s="2012"/>
      <c r="HB58" s="2012"/>
      <c r="HC58" s="2012"/>
      <c r="HD58" s="2012"/>
      <c r="HE58" s="2012"/>
      <c r="HF58" s="2012"/>
      <c r="HG58" s="2012"/>
      <c r="HH58" s="2012"/>
      <c r="HI58" s="2012"/>
      <c r="HJ58" s="2012"/>
      <c r="HK58" s="2012"/>
      <c r="HL58" s="2012"/>
      <c r="HM58" s="2012"/>
      <c r="HN58" s="2012"/>
      <c r="HO58" s="2012"/>
      <c r="HP58" s="2012"/>
      <c r="HQ58" s="2012"/>
      <c r="HR58" s="2012"/>
      <c r="HS58" s="2012"/>
      <c r="HT58" s="2012"/>
      <c r="HU58" s="2012"/>
      <c r="HV58" s="2012"/>
      <c r="HW58" s="2012"/>
      <c r="HX58" s="2012"/>
      <c r="HY58" s="2012"/>
      <c r="HZ58" s="2012"/>
      <c r="IA58" s="2012"/>
      <c r="IB58" s="2012"/>
      <c r="IC58" s="2012"/>
      <c r="ID58" s="2012"/>
      <c r="IE58" s="2012"/>
      <c r="IF58" s="2012"/>
      <c r="IG58" s="2012"/>
      <c r="IH58" s="2012"/>
      <c r="II58" s="2012"/>
      <c r="IJ58" s="2012"/>
      <c r="IK58" s="2012"/>
      <c r="IL58" s="2012"/>
      <c r="IM58" s="2012"/>
      <c r="IN58" s="2012"/>
      <c r="IO58" s="2012"/>
      <c r="IP58" s="2012"/>
      <c r="IQ58" s="2012"/>
      <c r="IR58" s="3896"/>
      <c r="IS58" s="2012"/>
      <c r="IT58" s="2012"/>
      <c r="IU58" s="2012"/>
      <c r="IV58" s="2012"/>
      <c r="IW58" s="2012"/>
      <c r="IX58" s="2012"/>
      <c r="IY58" s="2012"/>
      <c r="IZ58" s="2012"/>
      <c r="JA58" s="2548"/>
      <c r="JB58" s="2548"/>
      <c r="JC58" s="2548"/>
      <c r="JD58" s="2548"/>
      <c r="JE58" s="2548"/>
      <c r="JF58" s="2548"/>
      <c r="JG58" s="3796"/>
      <c r="JH58" s="1233"/>
      <c r="JI58" s="1229"/>
      <c r="JJ58" s="1660" t="s">
        <v>6108</v>
      </c>
    </row>
    <row ht="12.75" r="59" spans="1:270" x14ac:dyDescent="0.2">
      <c r="A59" s="1128">
        <v>10</v>
      </c>
      <c r="B59" s="1369" t="str">
        <f si="3" t="shared"/>
        <v/>
      </c>
      <c r="C59" s="1278" t="s">
        <v>1600</v>
      </c>
      <c r="D59" s="1372" t="s">
        <v>4844</v>
      </c>
      <c r="E59" s="1719"/>
      <c r="F59" s="1719"/>
      <c r="G59" s="1719"/>
      <c r="H59" s="1719"/>
      <c r="I59" s="1719"/>
      <c r="J59" s="1719"/>
      <c r="K59" s="1719"/>
      <c r="L59" s="1719"/>
      <c r="M59" s="1719"/>
      <c r="N59" s="1719"/>
      <c r="O59" s="1719"/>
      <c r="P59" s="2012"/>
      <c r="Q59" s="2012"/>
      <c r="R59" s="2012"/>
      <c r="S59" s="2012"/>
      <c r="T59" s="2012"/>
      <c r="U59" s="2012"/>
      <c r="V59" s="2012"/>
      <c r="W59" s="2012"/>
      <c r="X59" s="2012"/>
      <c r="Y59" s="2012"/>
      <c r="Z59" s="2012"/>
      <c r="AA59" s="2012"/>
      <c r="AB59" s="2012"/>
      <c r="AC59" s="2012"/>
      <c r="AD59" s="2548"/>
      <c r="AE59" s="2548"/>
      <c r="AF59" s="2548"/>
      <c r="AG59" s="2548"/>
      <c r="AH59" s="2548"/>
      <c r="AI59" s="2546"/>
      <c r="AJ59" s="2012"/>
      <c r="AK59" s="2012"/>
      <c r="AL59" s="2012"/>
      <c r="AM59" s="2012"/>
      <c r="AN59" s="2012"/>
      <c r="AO59" s="2012"/>
      <c r="AP59" s="2012"/>
      <c r="AQ59" s="2012"/>
      <c r="AR59" s="2012"/>
      <c r="AS59" s="2012"/>
      <c r="AT59" s="2012"/>
      <c r="AU59" s="2012"/>
      <c r="AV59" s="2012"/>
      <c r="AW59" s="2012"/>
      <c r="AX59" s="2012"/>
      <c r="AY59" s="2012"/>
      <c r="AZ59" s="2012"/>
      <c r="BA59" s="2012"/>
      <c r="BB59" s="2012"/>
      <c r="BC59" s="2012"/>
      <c r="BD59" s="2012"/>
      <c r="BE59" s="2012"/>
      <c r="BF59" s="2012"/>
      <c r="BG59" s="2012"/>
      <c r="BH59" s="2012"/>
      <c r="BI59" s="2012"/>
      <c r="BJ59" s="2012"/>
      <c r="BK59" s="2012"/>
      <c r="BL59" s="2012"/>
      <c r="BM59" s="2012"/>
      <c r="BN59" s="2012"/>
      <c r="BO59" s="2012"/>
      <c r="BP59" s="2012"/>
      <c r="BQ59" s="2012"/>
      <c r="BR59" s="2012"/>
      <c r="BS59" s="2012"/>
      <c r="BT59" s="2012"/>
      <c r="BU59" s="2012"/>
      <c r="BV59" s="2012"/>
      <c r="BW59" s="2012"/>
      <c r="BX59" s="2012"/>
      <c r="BY59" s="2012"/>
      <c r="BZ59" s="2012"/>
      <c r="CA59" s="2012"/>
      <c r="CB59" s="2012"/>
      <c r="CC59" s="2012"/>
      <c r="CD59" s="2012"/>
      <c r="CE59" s="2012"/>
      <c r="CF59" s="2012"/>
      <c r="CG59" s="2012"/>
      <c r="CH59" s="2012"/>
      <c r="CI59" s="1711"/>
      <c r="CJ59" s="2012"/>
      <c r="CK59" s="2012"/>
      <c r="CL59" s="2012"/>
      <c r="CM59" s="2012"/>
      <c r="CN59" s="2012"/>
      <c r="CO59" s="2012"/>
      <c r="CP59" s="2012"/>
      <c r="CQ59" s="2012"/>
      <c r="CR59" s="2012"/>
      <c r="CS59" s="2012"/>
      <c r="CT59" s="1711"/>
      <c r="CU59" s="2012"/>
      <c r="CV59" s="2012"/>
      <c r="CW59" s="2012"/>
      <c r="CX59" s="2012"/>
      <c r="CY59" s="2012"/>
      <c r="CZ59" s="2012"/>
      <c r="DA59" s="2012"/>
      <c r="DB59" s="2012"/>
      <c r="DC59" s="2012"/>
      <c r="DD59" s="2012"/>
      <c r="DE59" s="2012"/>
      <c r="DF59" s="2012"/>
      <c r="DG59" s="2012"/>
      <c r="DH59" s="2012"/>
      <c r="DI59" s="2012"/>
      <c r="DJ59" s="2012"/>
      <c r="DK59" s="2012"/>
      <c r="DL59" s="2012"/>
      <c r="DM59" s="2012"/>
      <c r="DN59" s="2012"/>
      <c r="DO59" s="2012"/>
      <c r="DP59" s="2012"/>
      <c r="DQ59" s="2012"/>
      <c r="DR59" s="2012"/>
      <c r="DS59" s="2012"/>
      <c r="DT59" s="2012"/>
      <c r="DU59" s="2012"/>
      <c r="DV59" s="2012"/>
      <c r="DW59" s="2012"/>
      <c r="DX59" s="2012"/>
      <c r="DY59" s="2012"/>
      <c r="DZ59" s="2012"/>
      <c r="EA59" s="1711"/>
      <c r="EB59" s="1711"/>
      <c r="EC59" s="1711"/>
      <c r="ED59" s="2012"/>
      <c r="EE59" s="2012"/>
      <c r="EF59" s="2012"/>
      <c r="EG59" s="2012"/>
      <c r="EH59" s="2012"/>
      <c r="EI59" s="2012"/>
      <c r="EJ59" s="2012"/>
      <c r="EK59" s="2012"/>
      <c r="EL59" s="2012"/>
      <c r="EM59" s="2012"/>
      <c r="EN59" s="2012"/>
      <c r="EO59" s="2012"/>
      <c r="EP59" s="2012"/>
      <c r="EQ59" s="2012"/>
      <c r="ER59" s="2012"/>
      <c r="ES59" s="2012"/>
      <c r="ET59" s="2012"/>
      <c r="EU59" s="2012"/>
      <c r="EV59" s="2012"/>
      <c r="EW59" s="2012"/>
      <c r="EX59" s="2012"/>
      <c r="EY59" s="2012"/>
      <c r="EZ59" s="2012"/>
      <c r="FA59" s="2012"/>
      <c r="FB59" s="1711"/>
      <c r="FC59" s="2012"/>
      <c r="FD59" s="2012"/>
      <c r="FE59" s="2012"/>
      <c r="FF59" s="2012"/>
      <c r="FG59" s="2012"/>
      <c r="FH59" s="2012"/>
      <c r="FI59" s="2012"/>
      <c r="FJ59" s="2012"/>
      <c r="FK59" s="2012"/>
      <c r="FL59" s="2012"/>
      <c r="FM59" s="2012"/>
      <c r="FN59" s="2012"/>
      <c r="FO59" s="2012"/>
      <c r="FP59" s="2012"/>
      <c r="FQ59" s="2012"/>
      <c r="FR59" s="2012"/>
      <c r="FS59" s="2012"/>
      <c r="FT59" s="2012"/>
      <c r="FU59" s="2012"/>
      <c r="FV59" s="2012"/>
      <c r="FW59" s="2012"/>
      <c r="FX59" s="2012"/>
      <c r="FY59" s="2012"/>
      <c r="FZ59" s="2012"/>
      <c r="GA59" s="2012"/>
      <c r="GB59" s="2012"/>
      <c r="GC59" s="2012"/>
      <c r="GD59" s="2012"/>
      <c r="GE59" s="2012"/>
      <c r="GF59" s="2012"/>
      <c r="GG59" s="2012"/>
      <c r="GH59" s="2012"/>
      <c r="GI59" s="2012"/>
      <c r="GJ59" s="2012"/>
      <c r="GK59" s="2012"/>
      <c r="GL59" s="2012"/>
      <c r="GM59" s="2012"/>
      <c r="GN59" s="2012"/>
      <c r="GO59" s="2012"/>
      <c r="GP59" s="2012"/>
      <c r="GQ59" s="2012"/>
      <c r="GR59" s="2012"/>
      <c r="GS59" s="2012"/>
      <c r="GT59" s="2012"/>
      <c r="GU59" s="2012"/>
      <c r="GV59" s="2012"/>
      <c r="GW59" s="2012"/>
      <c r="GX59" s="2012"/>
      <c r="GY59" s="2012"/>
      <c r="GZ59" s="2012"/>
      <c r="HA59" s="2012"/>
      <c r="HB59" s="2012"/>
      <c r="HC59" s="2012"/>
      <c r="HD59" s="2012"/>
      <c r="HE59" s="2012"/>
      <c r="HF59" s="2012"/>
      <c r="HG59" s="2012"/>
      <c r="HH59" s="2012"/>
      <c r="HI59" s="2012"/>
      <c r="HJ59" s="2012"/>
      <c r="HK59" s="2012"/>
      <c r="HL59" s="2012"/>
      <c r="HM59" s="2012"/>
      <c r="HN59" s="2012"/>
      <c r="HO59" s="2012"/>
      <c r="HP59" s="2012"/>
      <c r="HQ59" s="2012"/>
      <c r="HR59" s="2012"/>
      <c r="HS59" s="2012"/>
      <c r="HT59" s="2012"/>
      <c r="HU59" s="2012"/>
      <c r="HV59" s="2012"/>
      <c r="HW59" s="2012"/>
      <c r="HX59" s="2012"/>
      <c r="HY59" s="2012"/>
      <c r="HZ59" s="2012"/>
      <c r="IA59" s="2012"/>
      <c r="IB59" s="2012"/>
      <c r="IC59" s="2012"/>
      <c r="ID59" s="2012"/>
      <c r="IE59" s="2012"/>
      <c r="IF59" s="2012"/>
      <c r="IG59" s="2012"/>
      <c r="IH59" s="2012"/>
      <c r="II59" s="2012"/>
      <c r="IJ59" s="2012"/>
      <c r="IK59" s="2012"/>
      <c r="IL59" s="2012"/>
      <c r="IM59" s="2012"/>
      <c r="IN59" s="2012"/>
      <c r="IO59" s="2012"/>
      <c r="IP59" s="2012"/>
      <c r="IQ59" s="2012"/>
      <c r="IR59" s="3896"/>
      <c r="IS59" s="2012"/>
      <c r="IT59" s="2012"/>
      <c r="IU59" s="2012"/>
      <c r="IV59" s="2012"/>
      <c r="IW59" s="2012"/>
      <c r="IX59" s="2012"/>
      <c r="IY59" s="2012"/>
      <c r="IZ59" s="2012"/>
      <c r="JA59" s="2548"/>
      <c r="JB59" s="2548"/>
      <c r="JC59" s="2548"/>
      <c r="JD59" s="2548"/>
      <c r="JE59" s="2548"/>
      <c r="JF59" s="2548"/>
      <c r="JG59" s="3796"/>
      <c r="JH59" s="1233"/>
      <c r="JI59" s="1229"/>
      <c r="JJ59" s="1660" t="s">
        <v>6124</v>
      </c>
    </row>
    <row ht="12.75" r="60" spans="1:270" x14ac:dyDescent="0.2">
      <c r="A60" s="1128">
        <v>11</v>
      </c>
      <c r="B60" s="1369" t="str">
        <f si="3" t="shared"/>
        <v/>
      </c>
      <c r="C60" s="1278" t="s">
        <v>1601</v>
      </c>
      <c r="D60" s="1372" t="s">
        <v>4845</v>
      </c>
      <c r="E60" s="1719"/>
      <c r="F60" s="1719"/>
      <c r="G60" s="1719"/>
      <c r="H60" s="1719"/>
      <c r="I60" s="1719"/>
      <c r="J60" s="1719"/>
      <c r="K60" s="1719"/>
      <c r="L60" s="1719"/>
      <c r="M60" s="1719"/>
      <c r="N60" s="1719"/>
      <c r="O60" s="1719"/>
      <c r="P60" s="2012"/>
      <c r="Q60" s="2012"/>
      <c r="R60" s="2012"/>
      <c r="S60" s="2012"/>
      <c r="T60" s="2012"/>
      <c r="U60" s="2012"/>
      <c r="V60" s="2012"/>
      <c r="W60" s="2012"/>
      <c r="X60" s="2012"/>
      <c r="Y60" s="2012"/>
      <c r="Z60" s="2012"/>
      <c r="AA60" s="2012"/>
      <c r="AB60" s="2012"/>
      <c r="AC60" s="2012"/>
      <c r="AD60" s="2548"/>
      <c r="AE60" s="2548"/>
      <c r="AF60" s="2548"/>
      <c r="AG60" s="2548"/>
      <c r="AH60" s="2548"/>
      <c r="AI60" s="2546"/>
      <c r="AJ60" s="2012"/>
      <c r="AK60" s="2012"/>
      <c r="AL60" s="2012"/>
      <c r="AM60" s="2012"/>
      <c r="AN60" s="2012"/>
      <c r="AO60" s="2012"/>
      <c r="AP60" s="2012"/>
      <c r="AQ60" s="2012"/>
      <c r="AR60" s="2012"/>
      <c r="AS60" s="2012"/>
      <c r="AT60" s="2012"/>
      <c r="AU60" s="2012"/>
      <c r="AV60" s="2012"/>
      <c r="AW60" s="2012"/>
      <c r="AX60" s="2012"/>
      <c r="AY60" s="2012"/>
      <c r="AZ60" s="2012"/>
      <c r="BA60" s="2012"/>
      <c r="BB60" s="2012"/>
      <c r="BC60" s="2012"/>
      <c r="BD60" s="2012"/>
      <c r="BE60" s="2012"/>
      <c r="BF60" s="2012"/>
      <c r="BG60" s="2012"/>
      <c r="BH60" s="2012"/>
      <c r="BI60" s="2012"/>
      <c r="BJ60" s="2012"/>
      <c r="BK60" s="2012"/>
      <c r="BL60" s="2012"/>
      <c r="BM60" s="2012"/>
      <c r="BN60" s="2012"/>
      <c r="BO60" s="2012"/>
      <c r="BP60" s="2012"/>
      <c r="BQ60" s="2012"/>
      <c r="BR60" s="2012"/>
      <c r="BS60" s="2012"/>
      <c r="BT60" s="2012"/>
      <c r="BU60" s="2012"/>
      <c r="BV60" s="2012"/>
      <c r="BW60" s="2012"/>
      <c r="BX60" s="2012"/>
      <c r="BY60" s="2012"/>
      <c r="BZ60" s="2012"/>
      <c r="CA60" s="2012"/>
      <c r="CB60" s="2012"/>
      <c r="CC60" s="2012"/>
      <c r="CD60" s="2012"/>
      <c r="CE60" s="2012"/>
      <c r="CF60" s="2012"/>
      <c r="CG60" s="2012"/>
      <c r="CH60" s="2012"/>
      <c r="CI60" s="1711"/>
      <c r="CJ60" s="2012"/>
      <c r="CK60" s="2012"/>
      <c r="CL60" s="2012"/>
      <c r="CM60" s="2012"/>
      <c r="CN60" s="2012"/>
      <c r="CO60" s="2012"/>
      <c r="CP60" s="2012"/>
      <c r="CQ60" s="2012"/>
      <c r="CR60" s="2012"/>
      <c r="CS60" s="2012"/>
      <c r="CT60" s="1711">
        <v>1133</v>
      </c>
      <c r="CU60" s="2012"/>
      <c r="CV60" s="2012"/>
      <c r="CW60" s="2012"/>
      <c r="CX60" s="2012"/>
      <c r="CY60" s="2012"/>
      <c r="CZ60" s="2012"/>
      <c r="DA60" s="2012"/>
      <c r="DB60" s="2012"/>
      <c r="DC60" s="2012"/>
      <c r="DD60" s="2012"/>
      <c r="DE60" s="2012"/>
      <c r="DF60" s="2012"/>
      <c r="DG60" s="2012"/>
      <c r="DH60" s="2012"/>
      <c r="DI60" s="2012"/>
      <c r="DJ60" s="2012"/>
      <c r="DK60" s="2012"/>
      <c r="DL60" s="2012"/>
      <c r="DM60" s="2012"/>
      <c r="DN60" s="2012"/>
      <c r="DO60" s="2012"/>
      <c r="DP60" s="2012"/>
      <c r="DQ60" s="2012"/>
      <c r="DR60" s="2012"/>
      <c r="DS60" s="2012"/>
      <c r="DT60" s="2012"/>
      <c r="DU60" s="2012"/>
      <c r="DV60" s="2012"/>
      <c r="DW60" s="2012"/>
      <c r="DX60" s="2012"/>
      <c r="DY60" s="2012"/>
      <c r="DZ60" s="2012"/>
      <c r="EA60" s="1711"/>
      <c r="EB60" s="1711">
        <v>755</v>
      </c>
      <c r="EC60" s="1711">
        <v>1133</v>
      </c>
      <c r="ED60" s="2012"/>
      <c r="EE60" s="2012"/>
      <c r="EF60" s="2012"/>
      <c r="EG60" s="2012"/>
      <c r="EH60" s="2012"/>
      <c r="EI60" s="2012"/>
      <c r="EJ60" s="2012"/>
      <c r="EK60" s="2012"/>
      <c r="EL60" s="2012"/>
      <c r="EM60" s="2012"/>
      <c r="EN60" s="2012"/>
      <c r="EO60" s="2012"/>
      <c r="EP60" s="2012"/>
      <c r="EQ60" s="2012"/>
      <c r="ER60" s="2012"/>
      <c r="ES60" s="2012"/>
      <c r="ET60" s="2012"/>
      <c r="EU60" s="2012"/>
      <c r="EV60" s="2012"/>
      <c r="EW60" s="2012"/>
      <c r="EX60" s="2012"/>
      <c r="EY60" s="2012"/>
      <c r="EZ60" s="2012"/>
      <c r="FA60" s="2012"/>
      <c r="FB60" s="1711">
        <v>1133</v>
      </c>
      <c r="FC60" s="2012"/>
      <c r="FD60" s="2012"/>
      <c r="FE60" s="2012"/>
      <c r="FF60" s="2012"/>
      <c r="FG60" s="2012"/>
      <c r="FH60" s="2012"/>
      <c r="FI60" s="2012"/>
      <c r="FJ60" s="2012"/>
      <c r="FK60" s="2012"/>
      <c r="FL60" s="2012"/>
      <c r="FM60" s="2012"/>
      <c r="FN60" s="2012"/>
      <c r="FO60" s="2012"/>
      <c r="FP60" s="2012"/>
      <c r="FQ60" s="2012"/>
      <c r="FR60" s="2012"/>
      <c r="FS60" s="2012"/>
      <c r="FT60" s="2012"/>
      <c r="FU60" s="2012"/>
      <c r="FV60" s="2012"/>
      <c r="FW60" s="2012"/>
      <c r="FX60" s="2012"/>
      <c r="FY60" s="2012"/>
      <c r="FZ60" s="2012"/>
      <c r="GA60" s="2012"/>
      <c r="GB60" s="2012"/>
      <c r="GC60" s="2012"/>
      <c r="GD60" s="2012"/>
      <c r="GE60" s="2012"/>
      <c r="GF60" s="2012"/>
      <c r="GG60" s="2012"/>
      <c r="GH60" s="2012"/>
      <c r="GI60" s="2012"/>
      <c r="GJ60" s="2012"/>
      <c r="GK60" s="2012"/>
      <c r="GL60" s="2012"/>
      <c r="GM60" s="2012"/>
      <c r="GN60" s="2012"/>
      <c r="GO60" s="2012"/>
      <c r="GP60" s="2012"/>
      <c r="GQ60" s="2012"/>
      <c r="GR60" s="2012"/>
      <c r="GS60" s="2012"/>
      <c r="GT60" s="2012"/>
      <c r="GU60" s="2012"/>
      <c r="GV60" s="2012"/>
      <c r="GW60" s="2012"/>
      <c r="GX60" s="2012"/>
      <c r="GY60" s="2012"/>
      <c r="GZ60" s="2012"/>
      <c r="HA60" s="2012"/>
      <c r="HB60" s="2012"/>
      <c r="HC60" s="2012"/>
      <c r="HD60" s="2012"/>
      <c r="HE60" s="2012"/>
      <c r="HF60" s="2012"/>
      <c r="HG60" s="2012"/>
      <c r="HH60" s="2012"/>
      <c r="HI60" s="2012"/>
      <c r="HJ60" s="2012"/>
      <c r="HK60" s="2012"/>
      <c r="HL60" s="2012"/>
      <c r="HM60" s="2012"/>
      <c r="HN60" s="2012"/>
      <c r="HO60" s="2012"/>
      <c r="HP60" s="2012"/>
      <c r="HQ60" s="2012"/>
      <c r="HR60" s="2012"/>
      <c r="HS60" s="2012"/>
      <c r="HT60" s="2012"/>
      <c r="HU60" s="2012"/>
      <c r="HV60" s="2012"/>
      <c r="HW60" s="2012"/>
      <c r="HX60" s="2012"/>
      <c r="HY60" s="2012"/>
      <c r="HZ60" s="2012"/>
      <c r="IA60" s="2012"/>
      <c r="IB60" s="2012"/>
      <c r="IC60" s="2012"/>
      <c r="ID60" s="2012"/>
      <c r="IE60" s="2012"/>
      <c r="IF60" s="2012"/>
      <c r="IG60" s="2012"/>
      <c r="IH60" s="2012"/>
      <c r="II60" s="2012"/>
      <c r="IJ60" s="2012"/>
      <c r="IK60" s="2012"/>
      <c r="IL60" s="2012"/>
      <c r="IM60" s="2012"/>
      <c r="IN60" s="2012"/>
      <c r="IO60" s="2012"/>
      <c r="IP60" s="2012"/>
      <c r="IQ60" s="2012"/>
      <c r="IR60" s="3896"/>
      <c r="IS60" s="2012"/>
      <c r="IT60" s="2012"/>
      <c r="IU60" s="2012"/>
      <c r="IV60" s="2012"/>
      <c r="IW60" s="2012"/>
      <c r="IX60" s="2012"/>
      <c r="IY60" s="2012"/>
      <c r="IZ60" s="2012"/>
      <c r="JA60" s="2548"/>
      <c r="JB60" s="2548"/>
      <c r="JC60" s="2548"/>
      <c r="JD60" s="2548"/>
      <c r="JE60" s="2548"/>
      <c r="JF60" s="2548"/>
      <c r="JG60" s="3796"/>
      <c r="JH60" s="1233"/>
      <c r="JI60" s="1229"/>
      <c r="JJ60" s="1660" t="s">
        <v>6124</v>
      </c>
    </row>
    <row ht="12.75" r="61" spans="1:270" x14ac:dyDescent="0.2">
      <c r="A61" s="1128">
        <v>12</v>
      </c>
      <c r="B61" s="1369" t="str">
        <f si="3" t="shared"/>
        <v/>
      </c>
      <c r="C61" s="1278" t="s">
        <v>3452</v>
      </c>
      <c r="D61" s="1372" t="s">
        <v>4846</v>
      </c>
      <c r="E61" s="1719"/>
      <c r="F61" s="1719"/>
      <c r="G61" s="1719"/>
      <c r="H61" s="1719"/>
      <c r="I61" s="1719"/>
      <c r="J61" s="1719"/>
      <c r="K61" s="1719"/>
      <c r="L61" s="1719"/>
      <c r="M61" s="1719"/>
      <c r="N61" s="1719"/>
      <c r="O61" s="1719"/>
      <c r="P61" s="2012"/>
      <c r="Q61" s="2012"/>
      <c r="R61" s="2012"/>
      <c r="S61" s="2012"/>
      <c r="T61" s="2012"/>
      <c r="U61" s="2012"/>
      <c r="V61" s="2012"/>
      <c r="W61" s="2012"/>
      <c r="X61" s="2012"/>
      <c r="Y61" s="2012"/>
      <c r="Z61" s="2012"/>
      <c r="AA61" s="2012"/>
      <c r="AB61" s="2012"/>
      <c r="AC61" s="2012"/>
      <c r="AD61" s="2548"/>
      <c r="AE61" s="2548"/>
      <c r="AF61" s="2548"/>
      <c r="AG61" s="2548"/>
      <c r="AH61" s="2548"/>
      <c r="AI61" s="2546"/>
      <c r="AJ61" s="2012"/>
      <c r="AK61" s="2012"/>
      <c r="AL61" s="2012"/>
      <c r="AM61" s="2012"/>
      <c r="AN61" s="2012"/>
      <c r="AO61" s="2012"/>
      <c r="AP61" s="2012"/>
      <c r="AQ61" s="2012"/>
      <c r="AR61" s="2012"/>
      <c r="AS61" s="2012"/>
      <c r="AT61" s="2012"/>
      <c r="AU61" s="2012"/>
      <c r="AV61" s="2012"/>
      <c r="AW61" s="2012"/>
      <c r="AX61" s="2012"/>
      <c r="AY61" s="2012"/>
      <c r="AZ61" s="2012"/>
      <c r="BA61" s="2012"/>
      <c r="BB61" s="2012"/>
      <c r="BC61" s="2012"/>
      <c r="BD61" s="2012"/>
      <c r="BE61" s="2012"/>
      <c r="BF61" s="2012"/>
      <c r="BG61" s="2012"/>
      <c r="BH61" s="2012"/>
      <c r="BI61" s="2012"/>
      <c r="BJ61" s="2012"/>
      <c r="BK61" s="2012"/>
      <c r="BL61" s="2012"/>
      <c r="BM61" s="2012"/>
      <c r="BN61" s="2012"/>
      <c r="BO61" s="2012"/>
      <c r="BP61" s="2012"/>
      <c r="BQ61" s="2012"/>
      <c r="BR61" s="2012"/>
      <c r="BS61" s="2012"/>
      <c r="BT61" s="2012"/>
      <c r="BU61" s="2012"/>
      <c r="BV61" s="2012"/>
      <c r="BW61" s="2012"/>
      <c r="BX61" s="2012"/>
      <c r="BY61" s="2012"/>
      <c r="BZ61" s="2012"/>
      <c r="CA61" s="2012"/>
      <c r="CB61" s="2012"/>
      <c r="CC61" s="2012"/>
      <c r="CD61" s="2012"/>
      <c r="CE61" s="2012"/>
      <c r="CF61" s="2012"/>
      <c r="CG61" s="2012"/>
      <c r="CH61" s="2012"/>
      <c r="CI61" s="1711"/>
      <c r="CJ61" s="2012"/>
      <c r="CK61" s="2012"/>
      <c r="CL61" s="2012"/>
      <c r="CM61" s="2012"/>
      <c r="CN61" s="2012"/>
      <c r="CO61" s="2012"/>
      <c r="CP61" s="2012"/>
      <c r="CQ61" s="2012"/>
      <c r="CR61" s="2012"/>
      <c r="CS61" s="2012"/>
      <c r="CT61" s="1711">
        <v>75</v>
      </c>
      <c r="CU61" s="2012"/>
      <c r="CV61" s="2012"/>
      <c r="CW61" s="2012"/>
      <c r="CX61" s="2012"/>
      <c r="CY61" s="2012"/>
      <c r="CZ61" s="2012"/>
      <c r="DA61" s="2012"/>
      <c r="DB61" s="2012"/>
      <c r="DC61" s="2012"/>
      <c r="DD61" s="2012"/>
      <c r="DE61" s="2012"/>
      <c r="DF61" s="2012"/>
      <c r="DG61" s="2012"/>
      <c r="DH61" s="2012"/>
      <c r="DI61" s="2012"/>
      <c r="DJ61" s="2012"/>
      <c r="DK61" s="2012"/>
      <c r="DL61" s="2012"/>
      <c r="DM61" s="2012"/>
      <c r="DN61" s="2012"/>
      <c r="DO61" s="2012"/>
      <c r="DP61" s="2012"/>
      <c r="DQ61" s="2012"/>
      <c r="DR61" s="2012"/>
      <c r="DS61" s="2012"/>
      <c r="DT61" s="2012"/>
      <c r="DU61" s="2012"/>
      <c r="DV61" s="2012"/>
      <c r="DW61" s="2012"/>
      <c r="DX61" s="2012"/>
      <c r="DY61" s="2012"/>
      <c r="DZ61" s="2012"/>
      <c r="EA61" s="1711"/>
      <c r="EB61" s="1711"/>
      <c r="EC61" s="1711">
        <v>75</v>
      </c>
      <c r="ED61" s="2012"/>
      <c r="EE61" s="2012"/>
      <c r="EF61" s="2012"/>
      <c r="EG61" s="2012"/>
      <c r="EH61" s="2012"/>
      <c r="EI61" s="2012"/>
      <c r="EJ61" s="2012"/>
      <c r="EK61" s="2012"/>
      <c r="EL61" s="2012"/>
      <c r="EM61" s="2012"/>
      <c r="EN61" s="2012"/>
      <c r="EO61" s="2012"/>
      <c r="EP61" s="2012"/>
      <c r="EQ61" s="2012"/>
      <c r="ER61" s="2012"/>
      <c r="ES61" s="2012"/>
      <c r="ET61" s="2012"/>
      <c r="EU61" s="2012"/>
      <c r="EV61" s="2012"/>
      <c r="EW61" s="2012"/>
      <c r="EX61" s="2012"/>
      <c r="EY61" s="2012"/>
      <c r="EZ61" s="2012"/>
      <c r="FA61" s="2012"/>
      <c r="FB61" s="1711">
        <v>75</v>
      </c>
      <c r="FC61" s="2012"/>
      <c r="FD61" s="2012"/>
      <c r="FE61" s="2012"/>
      <c r="FF61" s="2012"/>
      <c r="FG61" s="2012"/>
      <c r="FH61" s="2012"/>
      <c r="FI61" s="2012"/>
      <c r="FJ61" s="2012"/>
      <c r="FK61" s="2012"/>
      <c r="FL61" s="2012"/>
      <c r="FM61" s="2012"/>
      <c r="FN61" s="2012"/>
      <c r="FO61" s="2012"/>
      <c r="FP61" s="2012"/>
      <c r="FQ61" s="2012"/>
      <c r="FR61" s="2012"/>
      <c r="FS61" s="2012"/>
      <c r="FT61" s="2012"/>
      <c r="FU61" s="2012"/>
      <c r="FV61" s="2012"/>
      <c r="FW61" s="2012"/>
      <c r="FX61" s="2012"/>
      <c r="FY61" s="2012"/>
      <c r="FZ61" s="2012"/>
      <c r="GA61" s="2012"/>
      <c r="GB61" s="2012"/>
      <c r="GC61" s="2012"/>
      <c r="GD61" s="2012"/>
      <c r="GE61" s="2012"/>
      <c r="GF61" s="2012"/>
      <c r="GG61" s="2012"/>
      <c r="GH61" s="2012"/>
      <c r="GI61" s="2012"/>
      <c r="GJ61" s="2012"/>
      <c r="GK61" s="2012"/>
      <c r="GL61" s="2012"/>
      <c r="GM61" s="2012"/>
      <c r="GN61" s="2012"/>
      <c r="GO61" s="2012"/>
      <c r="GP61" s="2012"/>
      <c r="GQ61" s="2012"/>
      <c r="GR61" s="2012"/>
      <c r="GS61" s="2012"/>
      <c r="GT61" s="2012"/>
      <c r="GU61" s="2012"/>
      <c r="GV61" s="2012"/>
      <c r="GW61" s="2012"/>
      <c r="GX61" s="2012"/>
      <c r="GY61" s="2012"/>
      <c r="GZ61" s="2012"/>
      <c r="HA61" s="2012"/>
      <c r="HB61" s="2012"/>
      <c r="HC61" s="2012"/>
      <c r="HD61" s="2012"/>
      <c r="HE61" s="2012"/>
      <c r="HF61" s="2012"/>
      <c r="HG61" s="2012"/>
      <c r="HH61" s="2012"/>
      <c r="HI61" s="2012"/>
      <c r="HJ61" s="2012"/>
      <c r="HK61" s="2012"/>
      <c r="HL61" s="2012"/>
      <c r="HM61" s="2012"/>
      <c r="HN61" s="2012"/>
      <c r="HO61" s="2012"/>
      <c r="HP61" s="2012"/>
      <c r="HQ61" s="2012"/>
      <c r="HR61" s="2012"/>
      <c r="HS61" s="2012"/>
      <c r="HT61" s="2012"/>
      <c r="HU61" s="2012"/>
      <c r="HV61" s="2012"/>
      <c r="HW61" s="2012"/>
      <c r="HX61" s="2012"/>
      <c r="HY61" s="2012"/>
      <c r="HZ61" s="2012"/>
      <c r="IA61" s="2012"/>
      <c r="IB61" s="2012"/>
      <c r="IC61" s="2012"/>
      <c r="ID61" s="2012"/>
      <c r="IE61" s="2012"/>
      <c r="IF61" s="2012"/>
      <c r="IG61" s="2012"/>
      <c r="IH61" s="2012"/>
      <c r="II61" s="2012"/>
      <c r="IJ61" s="2012"/>
      <c r="IK61" s="2012"/>
      <c r="IL61" s="2012"/>
      <c r="IM61" s="2012"/>
      <c r="IN61" s="2012"/>
      <c r="IO61" s="2012"/>
      <c r="IP61" s="2012"/>
      <c r="IQ61" s="2012"/>
      <c r="IR61" s="3896"/>
      <c r="IS61" s="2012"/>
      <c r="IT61" s="2012"/>
      <c r="IU61" s="2012"/>
      <c r="IV61" s="2012"/>
      <c r="IW61" s="2012"/>
      <c r="IX61" s="2012"/>
      <c r="IY61" s="2012"/>
      <c r="IZ61" s="2012"/>
      <c r="JA61" s="2548"/>
      <c r="JB61" s="2548"/>
      <c r="JC61" s="2548"/>
      <c r="JD61" s="2548"/>
      <c r="JE61" s="2548"/>
      <c r="JF61" s="2548"/>
      <c r="JG61" s="3796"/>
      <c r="JH61" s="1233"/>
      <c r="JI61" s="1229" t="s">
        <v>5083</v>
      </c>
      <c r="JJ61" s="1660" t="s">
        <v>6124</v>
      </c>
    </row>
    <row ht="12.75" r="62" spans="1:270" x14ac:dyDescent="0.2">
      <c r="A62" s="1128">
        <v>13</v>
      </c>
      <c r="B62" s="1369" t="str">
        <f si="3" t="shared"/>
        <v/>
      </c>
      <c r="C62" s="1278" t="s">
        <v>3453</v>
      </c>
      <c r="D62" s="1372" t="s">
        <v>4847</v>
      </c>
      <c r="E62" s="1722"/>
      <c r="F62" s="1722"/>
      <c r="G62" s="1722"/>
      <c r="H62" s="1722"/>
      <c r="I62" s="1722"/>
      <c r="J62" s="1722"/>
      <c r="K62" s="1722"/>
      <c r="L62" s="1722"/>
      <c r="M62" s="1722"/>
      <c r="N62" s="1722"/>
      <c r="O62" s="1722"/>
      <c r="P62" s="2015"/>
      <c r="Q62" s="2015"/>
      <c r="R62" s="2015"/>
      <c r="S62" s="2015"/>
      <c r="T62" s="2015"/>
      <c r="U62" s="2015"/>
      <c r="V62" s="2015"/>
      <c r="W62" s="2015"/>
      <c r="X62" s="2015"/>
      <c r="Y62" s="2015"/>
      <c r="Z62" s="2015"/>
      <c r="AA62" s="2015"/>
      <c r="AB62" s="2015"/>
      <c r="AC62" s="2015"/>
      <c r="AD62" s="2580"/>
      <c r="AE62" s="2580"/>
      <c r="AF62" s="2580"/>
      <c r="AG62" s="2580"/>
      <c r="AH62" s="2580"/>
      <c r="AI62" s="4118">
        <f>AI52+AI54+AI55+AI56+AI57+AI58+AI60</f>
        <v>8799</v>
      </c>
      <c r="AJ62" s="2015"/>
      <c r="AK62" s="2015"/>
      <c r="AL62" s="2015"/>
      <c r="AM62" s="2015"/>
      <c r="AN62" s="2015"/>
      <c r="AO62" s="2015"/>
      <c r="AP62" s="2015"/>
      <c r="AQ62" s="2015"/>
      <c r="AR62" s="2015"/>
      <c r="AS62" s="2015"/>
      <c r="AT62" s="2015"/>
      <c r="AU62" s="2015"/>
      <c r="AV62" s="2015"/>
      <c r="AW62" s="2015"/>
      <c r="AX62" s="2015"/>
      <c r="AY62" s="2015"/>
      <c r="AZ62" s="2015"/>
      <c r="BA62" s="2015"/>
      <c r="BB62" s="2015"/>
      <c r="BC62" s="2015"/>
      <c r="BD62" s="2015"/>
      <c r="BE62" s="2015"/>
      <c r="BF62" s="2015"/>
      <c r="BG62" s="2015"/>
      <c r="BH62" s="2015"/>
      <c r="BI62" s="2015"/>
      <c r="BJ62" s="2015"/>
      <c r="BK62" s="2015"/>
      <c r="BL62" s="2015"/>
      <c r="BM62" s="2015"/>
      <c r="BN62" s="2015"/>
      <c r="BO62" s="2015"/>
      <c r="BP62" s="2015"/>
      <c r="BQ62" s="2015"/>
      <c r="BR62" s="2015"/>
      <c r="BS62" s="2015"/>
      <c r="BT62" s="2015"/>
      <c r="BU62" s="2015"/>
      <c r="BV62" s="2015"/>
      <c r="BW62" s="2015"/>
      <c r="BX62" s="2015"/>
      <c r="BY62" s="2015"/>
      <c r="BZ62" s="2015"/>
      <c r="CA62" s="2015"/>
      <c r="CB62" s="2015"/>
      <c r="CC62" s="2015"/>
      <c r="CD62" s="2015"/>
      <c r="CE62" s="2015"/>
      <c r="CF62" s="2015"/>
      <c r="CG62" s="2015"/>
      <c r="CH62" s="2015"/>
      <c r="CI62" s="1714">
        <f>CI52+CI54+CI55+CI56+CI57+CI58+CI60</f>
        <v>4500</v>
      </c>
      <c r="CJ62" s="2015"/>
      <c r="CK62" s="2015"/>
      <c r="CL62" s="2015"/>
      <c r="CM62" s="2015"/>
      <c r="CN62" s="2015"/>
      <c r="CO62" s="2015"/>
      <c r="CP62" s="2015"/>
      <c r="CQ62" s="2015"/>
      <c r="CR62" s="2015"/>
      <c r="CS62" s="2015"/>
      <c r="CT62" s="1714">
        <f>CT52+CT54+CT55+CT56+CT57+CT58+CT60</f>
        <v>20352</v>
      </c>
      <c r="CU62" s="2015"/>
      <c r="CV62" s="2015"/>
      <c r="CW62" s="2015"/>
      <c r="CX62" s="2015"/>
      <c r="CY62" s="2015"/>
      <c r="CZ62" s="2015"/>
      <c r="DA62" s="2015"/>
      <c r="DB62" s="2015"/>
      <c r="DC62" s="2015"/>
      <c r="DD62" s="2015"/>
      <c r="DE62" s="2015"/>
      <c r="DF62" s="2015"/>
      <c r="DG62" s="2015"/>
      <c r="DH62" s="2015"/>
      <c r="DI62" s="2015"/>
      <c r="DJ62" s="2015"/>
      <c r="DK62" s="2015"/>
      <c r="DL62" s="2015"/>
      <c r="DM62" s="2015"/>
      <c r="DN62" s="2015"/>
      <c r="DO62" s="2015"/>
      <c r="DP62" s="2015"/>
      <c r="DQ62" s="2015"/>
      <c r="DR62" s="2015"/>
      <c r="DS62" s="2015"/>
      <c r="DT62" s="2015"/>
      <c r="DU62" s="2015"/>
      <c r="DV62" s="2015"/>
      <c r="DW62" s="2015"/>
      <c r="DX62" s="2015"/>
      <c r="DY62" s="2015"/>
      <c r="DZ62" s="2015"/>
      <c r="EA62" s="1714">
        <f>EA52+EA54+EA55+EA56+EA57+EA58+EA60</f>
        <v>4500</v>
      </c>
      <c r="EB62" s="1714">
        <f>EB52+EB54+EB55+EB56+EB57+EB58+EB60</f>
        <v>18730</v>
      </c>
      <c r="EC62" s="1714">
        <f>EC52+EC54+EC55+EC56+EC57+EC58+EC60</f>
        <v>20352</v>
      </c>
      <c r="ED62" s="2015"/>
      <c r="EE62" s="2015"/>
      <c r="EF62" s="2015"/>
      <c r="EG62" s="2015"/>
      <c r="EH62" s="2015"/>
      <c r="EI62" s="2015"/>
      <c r="EJ62" s="2015"/>
      <c r="EK62" s="2015"/>
      <c r="EL62" s="2015"/>
      <c r="EM62" s="2015"/>
      <c r="EN62" s="2015"/>
      <c r="EO62" s="2015"/>
      <c r="EP62" s="2015"/>
      <c r="EQ62" s="2015"/>
      <c r="ER62" s="2015"/>
      <c r="ES62" s="2015"/>
      <c r="ET62" s="2015"/>
      <c r="EU62" s="2015"/>
      <c r="EV62" s="2015"/>
      <c r="EW62" s="2015"/>
      <c r="EX62" s="2015"/>
      <c r="EY62" s="2015"/>
      <c r="EZ62" s="2015"/>
      <c r="FA62" s="2015"/>
      <c r="FB62" s="1714">
        <f>FB52+FB54+FB55+FB56+FB57+FB58+FB60</f>
        <v>20352</v>
      </c>
      <c r="FC62" s="2015"/>
      <c r="FD62" s="2015"/>
      <c r="FE62" s="2015"/>
      <c r="FF62" s="2015"/>
      <c r="FG62" s="2015"/>
      <c r="FH62" s="2015"/>
      <c r="FI62" s="2015"/>
      <c r="FJ62" s="2015"/>
      <c r="FK62" s="2015"/>
      <c r="FL62" s="2015"/>
      <c r="FM62" s="2015"/>
      <c r="FN62" s="2015"/>
      <c r="FO62" s="2015"/>
      <c r="FP62" s="2015"/>
      <c r="FQ62" s="2015"/>
      <c r="FR62" s="2015"/>
      <c r="FS62" s="2015"/>
      <c r="FT62" s="2015"/>
      <c r="FU62" s="2015"/>
      <c r="FV62" s="2015"/>
      <c r="FW62" s="2015"/>
      <c r="FX62" s="2015"/>
      <c r="FY62" s="2015"/>
      <c r="FZ62" s="2015"/>
      <c r="GA62" s="2015"/>
      <c r="GB62" s="2015"/>
      <c r="GC62" s="2015"/>
      <c r="GD62" s="2015"/>
      <c r="GE62" s="2015"/>
      <c r="GF62" s="2015"/>
      <c r="GG62" s="2015"/>
      <c r="GH62" s="2015"/>
      <c r="GI62" s="2015"/>
      <c r="GJ62" s="2015"/>
      <c r="GK62" s="2015"/>
      <c r="GL62" s="2015"/>
      <c r="GM62" s="2015"/>
      <c r="GN62" s="2015"/>
      <c r="GO62" s="2015"/>
      <c r="GP62" s="2015"/>
      <c r="GQ62" s="2015"/>
      <c r="GR62" s="2015"/>
      <c r="GS62" s="2015"/>
      <c r="GT62" s="2015"/>
      <c r="GU62" s="2015"/>
      <c r="GV62" s="2015"/>
      <c r="GW62" s="2015"/>
      <c r="GX62" s="2015"/>
      <c r="GY62" s="2015"/>
      <c r="GZ62" s="2015"/>
      <c r="HA62" s="2015"/>
      <c r="HB62" s="2015"/>
      <c r="HC62" s="2015"/>
      <c r="HD62" s="2015"/>
      <c r="HE62" s="2015"/>
      <c r="HF62" s="2015"/>
      <c r="HG62" s="2015"/>
      <c r="HH62" s="2015"/>
      <c r="HI62" s="2015"/>
      <c r="HJ62" s="2015"/>
      <c r="HK62" s="2015"/>
      <c r="HL62" s="2015"/>
      <c r="HM62" s="2015"/>
      <c r="HN62" s="2015"/>
      <c r="HO62" s="2015"/>
      <c r="HP62" s="2015"/>
      <c r="HQ62" s="2015"/>
      <c r="HR62" s="2015"/>
      <c r="HS62" s="2015"/>
      <c r="HT62" s="2015"/>
      <c r="HU62" s="2015"/>
      <c r="HV62" s="2015"/>
      <c r="HW62" s="2015"/>
      <c r="HX62" s="2015"/>
      <c r="HY62" s="2015"/>
      <c r="HZ62" s="2015"/>
      <c r="IA62" s="2015"/>
      <c r="IB62" s="2015"/>
      <c r="IC62" s="2015"/>
      <c r="ID62" s="2015"/>
      <c r="IE62" s="2015"/>
      <c r="IF62" s="2015"/>
      <c r="IG62" s="2015"/>
      <c r="IH62" s="2015"/>
      <c r="II62" s="2015"/>
      <c r="IJ62" s="2015"/>
      <c r="IK62" s="2015"/>
      <c r="IL62" s="2015"/>
      <c r="IM62" s="2015"/>
      <c r="IN62" s="2015"/>
      <c r="IO62" s="2015"/>
      <c r="IP62" s="2015"/>
      <c r="IQ62" s="2015"/>
      <c r="IR62" s="3898"/>
      <c r="IS62" s="2015"/>
      <c r="IT62" s="2015"/>
      <c r="IU62" s="2015"/>
      <c r="IV62" s="2015"/>
      <c r="IW62" s="2015"/>
      <c r="IX62" s="2015"/>
      <c r="IY62" s="2015"/>
      <c r="IZ62" s="2015"/>
      <c r="JA62" s="2580"/>
      <c r="JB62" s="2580"/>
      <c r="JC62" s="2580"/>
      <c r="JD62" s="2580"/>
      <c r="JE62" s="2580"/>
      <c r="JF62" s="2580"/>
      <c r="JG62" s="3799"/>
      <c r="JH62" s="1233"/>
      <c r="JI62" s="1232"/>
      <c r="JJ62" s="1660" t="s">
        <v>6108</v>
      </c>
    </row>
    <row ht="12.75" r="63" spans="1:270" x14ac:dyDescent="0.2">
      <c r="A63" s="1128">
        <v>14</v>
      </c>
      <c r="B63" s="1369" t="str">
        <f si="3" t="shared"/>
        <v/>
      </c>
      <c r="C63" s="1278" t="s">
        <v>3454</v>
      </c>
      <c r="D63" s="1372" t="s">
        <v>4848</v>
      </c>
      <c r="E63" s="1719"/>
      <c r="F63" s="1719"/>
      <c r="G63" s="1719"/>
      <c r="H63" s="1719"/>
      <c r="I63" s="1719"/>
      <c r="J63" s="1719"/>
      <c r="K63" s="1719"/>
      <c r="L63" s="1719"/>
      <c r="M63" s="1719"/>
      <c r="N63" s="1719"/>
      <c r="O63" s="1719"/>
      <c r="P63" s="2012"/>
      <c r="Q63" s="2012"/>
      <c r="R63" s="2012"/>
      <c r="S63" s="2012"/>
      <c r="T63" s="2012"/>
      <c r="U63" s="2012"/>
      <c r="V63" s="2012"/>
      <c r="W63" s="2012"/>
      <c r="X63" s="2012"/>
      <c r="Y63" s="2012"/>
      <c r="Z63" s="2012"/>
      <c r="AA63" s="2012"/>
      <c r="AB63" s="2012"/>
      <c r="AC63" s="2012"/>
      <c r="AD63" s="2548"/>
      <c r="AE63" s="2548"/>
      <c r="AF63" s="2548"/>
      <c r="AG63" s="2548"/>
      <c r="AH63" s="2548"/>
      <c r="AI63" s="2546"/>
      <c r="AJ63" s="2012"/>
      <c r="AK63" s="2012"/>
      <c r="AL63" s="2012"/>
      <c r="AM63" s="2012"/>
      <c r="AN63" s="2012"/>
      <c r="AO63" s="2012"/>
      <c r="AP63" s="2012"/>
      <c r="AQ63" s="2012"/>
      <c r="AR63" s="2012"/>
      <c r="AS63" s="2012"/>
      <c r="AT63" s="2012"/>
      <c r="AU63" s="2012"/>
      <c r="AV63" s="2012"/>
      <c r="AW63" s="2012"/>
      <c r="AX63" s="2012"/>
      <c r="AY63" s="2012"/>
      <c r="AZ63" s="2012"/>
      <c r="BA63" s="2012"/>
      <c r="BB63" s="2012"/>
      <c r="BC63" s="2012"/>
      <c r="BD63" s="2012"/>
      <c r="BE63" s="2012"/>
      <c r="BF63" s="2012"/>
      <c r="BG63" s="2012"/>
      <c r="BH63" s="2012"/>
      <c r="BI63" s="2012"/>
      <c r="BJ63" s="2012"/>
      <c r="BK63" s="2012"/>
      <c r="BL63" s="2012"/>
      <c r="BM63" s="2012"/>
      <c r="BN63" s="2012"/>
      <c r="BO63" s="2012"/>
      <c r="BP63" s="2012"/>
      <c r="BQ63" s="2012"/>
      <c r="BR63" s="2012"/>
      <c r="BS63" s="2012"/>
      <c r="BT63" s="2012"/>
      <c r="BU63" s="2012"/>
      <c r="BV63" s="2012"/>
      <c r="BW63" s="2012"/>
      <c r="BX63" s="2012"/>
      <c r="BY63" s="2012"/>
      <c r="BZ63" s="2012"/>
      <c r="CA63" s="2012"/>
      <c r="CB63" s="2012"/>
      <c r="CC63" s="2012"/>
      <c r="CD63" s="2012"/>
      <c r="CE63" s="2012"/>
      <c r="CF63" s="2012"/>
      <c r="CG63" s="2012"/>
      <c r="CH63" s="2012"/>
      <c r="CI63" s="1711"/>
      <c r="CJ63" s="2012"/>
      <c r="CK63" s="2012"/>
      <c r="CL63" s="2012"/>
      <c r="CM63" s="2012"/>
      <c r="CN63" s="2012"/>
      <c r="CO63" s="2012"/>
      <c r="CP63" s="2012"/>
      <c r="CQ63" s="2012"/>
      <c r="CR63" s="2012"/>
      <c r="CS63" s="2012"/>
      <c r="CT63" s="1711">
        <v>465</v>
      </c>
      <c r="CU63" s="2012"/>
      <c r="CV63" s="2012"/>
      <c r="CW63" s="2012"/>
      <c r="CX63" s="2012"/>
      <c r="CY63" s="2012"/>
      <c r="CZ63" s="2012"/>
      <c r="DA63" s="2012"/>
      <c r="DB63" s="2012"/>
      <c r="DC63" s="2012"/>
      <c r="DD63" s="2012"/>
      <c r="DE63" s="2012"/>
      <c r="DF63" s="2012"/>
      <c r="DG63" s="2012"/>
      <c r="DH63" s="2012"/>
      <c r="DI63" s="2012"/>
      <c r="DJ63" s="2012"/>
      <c r="DK63" s="2012"/>
      <c r="DL63" s="2012"/>
      <c r="DM63" s="2012"/>
      <c r="DN63" s="2012"/>
      <c r="DO63" s="2012"/>
      <c r="DP63" s="2012"/>
      <c r="DQ63" s="2012"/>
      <c r="DR63" s="2012"/>
      <c r="DS63" s="2012"/>
      <c r="DT63" s="2012"/>
      <c r="DU63" s="2012"/>
      <c r="DV63" s="2012"/>
      <c r="DW63" s="2012"/>
      <c r="DX63" s="2012"/>
      <c r="DY63" s="2012"/>
      <c r="DZ63" s="2012"/>
      <c r="EA63" s="1711"/>
      <c r="EB63" s="1711">
        <v>480</v>
      </c>
      <c r="EC63" s="1711">
        <v>465</v>
      </c>
      <c r="ED63" s="2012"/>
      <c r="EE63" s="2012"/>
      <c r="EF63" s="2012"/>
      <c r="EG63" s="2012"/>
      <c r="EH63" s="2012"/>
      <c r="EI63" s="2012"/>
      <c r="EJ63" s="2012"/>
      <c r="EK63" s="2012"/>
      <c r="EL63" s="2012"/>
      <c r="EM63" s="2012"/>
      <c r="EN63" s="2012"/>
      <c r="EO63" s="2012"/>
      <c r="EP63" s="2012"/>
      <c r="EQ63" s="2012"/>
      <c r="ER63" s="2012"/>
      <c r="ES63" s="2012"/>
      <c r="ET63" s="2012"/>
      <c r="EU63" s="2012"/>
      <c r="EV63" s="2012"/>
      <c r="EW63" s="2012"/>
      <c r="EX63" s="2012"/>
      <c r="EY63" s="2012"/>
      <c r="EZ63" s="2012"/>
      <c r="FA63" s="2012"/>
      <c r="FB63" s="1711">
        <v>465</v>
      </c>
      <c r="FC63" s="2012"/>
      <c r="FD63" s="2012"/>
      <c r="FE63" s="2012"/>
      <c r="FF63" s="2012"/>
      <c r="FG63" s="2012"/>
      <c r="FH63" s="2012"/>
      <c r="FI63" s="2012"/>
      <c r="FJ63" s="2012"/>
      <c r="FK63" s="2012"/>
      <c r="FL63" s="2012"/>
      <c r="FM63" s="2012"/>
      <c r="FN63" s="2012"/>
      <c r="FO63" s="2012"/>
      <c r="FP63" s="2012"/>
      <c r="FQ63" s="2012"/>
      <c r="FR63" s="2012"/>
      <c r="FS63" s="2012"/>
      <c r="FT63" s="2012"/>
      <c r="FU63" s="2012"/>
      <c r="FV63" s="2012"/>
      <c r="FW63" s="2012"/>
      <c r="FX63" s="2012"/>
      <c r="FY63" s="2012"/>
      <c r="FZ63" s="2012"/>
      <c r="GA63" s="2012"/>
      <c r="GB63" s="2012"/>
      <c r="GC63" s="2012"/>
      <c r="GD63" s="2012"/>
      <c r="GE63" s="2012"/>
      <c r="GF63" s="2012"/>
      <c r="GG63" s="2012"/>
      <c r="GH63" s="2012"/>
      <c r="GI63" s="2012"/>
      <c r="GJ63" s="2012"/>
      <c r="GK63" s="2012"/>
      <c r="GL63" s="2012"/>
      <c r="GM63" s="2012"/>
      <c r="GN63" s="2012"/>
      <c r="GO63" s="2012"/>
      <c r="GP63" s="2012"/>
      <c r="GQ63" s="2012"/>
      <c r="GR63" s="2012"/>
      <c r="GS63" s="2012"/>
      <c r="GT63" s="2012"/>
      <c r="GU63" s="2012"/>
      <c r="GV63" s="2012"/>
      <c r="GW63" s="2012"/>
      <c r="GX63" s="2012"/>
      <c r="GY63" s="2012"/>
      <c r="GZ63" s="2012"/>
      <c r="HA63" s="2012"/>
      <c r="HB63" s="2012"/>
      <c r="HC63" s="2012"/>
      <c r="HD63" s="2012"/>
      <c r="HE63" s="2012"/>
      <c r="HF63" s="2012"/>
      <c r="HG63" s="2012"/>
      <c r="HH63" s="2012"/>
      <c r="HI63" s="2012"/>
      <c r="HJ63" s="2012"/>
      <c r="HK63" s="2012"/>
      <c r="HL63" s="2012"/>
      <c r="HM63" s="2012"/>
      <c r="HN63" s="2012"/>
      <c r="HO63" s="2012"/>
      <c r="HP63" s="2012"/>
      <c r="HQ63" s="2012"/>
      <c r="HR63" s="2012"/>
      <c r="HS63" s="2012"/>
      <c r="HT63" s="2012"/>
      <c r="HU63" s="2012"/>
      <c r="HV63" s="2012"/>
      <c r="HW63" s="2012"/>
      <c r="HX63" s="2012"/>
      <c r="HY63" s="2012"/>
      <c r="HZ63" s="2012"/>
      <c r="IA63" s="2012"/>
      <c r="IB63" s="2012"/>
      <c r="IC63" s="2012"/>
      <c r="ID63" s="2012"/>
      <c r="IE63" s="2012"/>
      <c r="IF63" s="2012"/>
      <c r="IG63" s="2012"/>
      <c r="IH63" s="2012"/>
      <c r="II63" s="2012"/>
      <c r="IJ63" s="2012"/>
      <c r="IK63" s="2012"/>
      <c r="IL63" s="2012"/>
      <c r="IM63" s="2012"/>
      <c r="IN63" s="2012"/>
      <c r="IO63" s="2012"/>
      <c r="IP63" s="2012"/>
      <c r="IQ63" s="2012"/>
      <c r="IR63" s="3896"/>
      <c r="IS63" s="2012"/>
      <c r="IT63" s="2012"/>
      <c r="IU63" s="2012"/>
      <c r="IV63" s="2012"/>
      <c r="IW63" s="2012"/>
      <c r="IX63" s="2012"/>
      <c r="IY63" s="2012"/>
      <c r="IZ63" s="2012"/>
      <c r="JA63" s="2548"/>
      <c r="JB63" s="2548"/>
      <c r="JC63" s="2548"/>
      <c r="JD63" s="2548"/>
      <c r="JE63" s="2548"/>
      <c r="JF63" s="2548"/>
      <c r="JG63" s="3796"/>
      <c r="JH63" s="1233"/>
      <c r="JI63" s="1232"/>
      <c r="JJ63" s="1660" t="s">
        <v>6108</v>
      </c>
    </row>
    <row ht="12.75" r="64" spans="1:270" x14ac:dyDescent="0.2">
      <c r="A64" s="1128">
        <v>15</v>
      </c>
      <c r="B64" s="1369" t="str">
        <f si="3" t="shared"/>
        <v/>
      </c>
      <c r="C64" s="1278" t="s">
        <v>3455</v>
      </c>
      <c r="D64" s="1372" t="s">
        <v>4849</v>
      </c>
      <c r="E64" s="1719"/>
      <c r="F64" s="1719"/>
      <c r="G64" s="1719"/>
      <c r="H64" s="1719"/>
      <c r="I64" s="1719"/>
      <c r="J64" s="1719"/>
      <c r="K64" s="1719"/>
      <c r="L64" s="1719"/>
      <c r="M64" s="1719"/>
      <c r="N64" s="1719"/>
      <c r="O64" s="1719"/>
      <c r="P64" s="2012"/>
      <c r="Q64" s="2012"/>
      <c r="R64" s="2012"/>
      <c r="S64" s="2012"/>
      <c r="T64" s="2012"/>
      <c r="U64" s="2012"/>
      <c r="V64" s="2012"/>
      <c r="W64" s="2012"/>
      <c r="X64" s="2012"/>
      <c r="Y64" s="2012"/>
      <c r="Z64" s="2012"/>
      <c r="AA64" s="2012"/>
      <c r="AB64" s="2012"/>
      <c r="AC64" s="2012"/>
      <c r="AD64" s="2548"/>
      <c r="AE64" s="2548"/>
      <c r="AF64" s="2548"/>
      <c r="AG64" s="2548"/>
      <c r="AH64" s="2548"/>
      <c r="AI64" s="2546">
        <v>1800</v>
      </c>
      <c r="AJ64" s="2012"/>
      <c r="AK64" s="2012"/>
      <c r="AL64" s="2012"/>
      <c r="AM64" s="2012"/>
      <c r="AN64" s="2012"/>
      <c r="AO64" s="2012"/>
      <c r="AP64" s="2012"/>
      <c r="AQ64" s="2012"/>
      <c r="AR64" s="2012"/>
      <c r="AS64" s="2012"/>
      <c r="AT64" s="2012"/>
      <c r="AU64" s="2012"/>
      <c r="AV64" s="2012"/>
      <c r="AW64" s="2012"/>
      <c r="AX64" s="2012"/>
      <c r="AY64" s="2012"/>
      <c r="AZ64" s="2012"/>
      <c r="BA64" s="2012"/>
      <c r="BB64" s="2012"/>
      <c r="BC64" s="2012"/>
      <c r="BD64" s="2012"/>
      <c r="BE64" s="2012"/>
      <c r="BF64" s="2012"/>
      <c r="BG64" s="2012"/>
      <c r="BH64" s="2012"/>
      <c r="BI64" s="2012"/>
      <c r="BJ64" s="2012"/>
      <c r="BK64" s="2012"/>
      <c r="BL64" s="2012"/>
      <c r="BM64" s="2012"/>
      <c r="BN64" s="2012"/>
      <c r="BO64" s="2012"/>
      <c r="BP64" s="2012"/>
      <c r="BQ64" s="2012"/>
      <c r="BR64" s="2012"/>
      <c r="BS64" s="2012"/>
      <c r="BT64" s="2012"/>
      <c r="BU64" s="2012"/>
      <c r="BV64" s="2012"/>
      <c r="BW64" s="2012"/>
      <c r="BX64" s="2012"/>
      <c r="BY64" s="2012"/>
      <c r="BZ64" s="2012"/>
      <c r="CA64" s="2012"/>
      <c r="CB64" s="2012"/>
      <c r="CC64" s="2012"/>
      <c r="CD64" s="2012"/>
      <c r="CE64" s="2012"/>
      <c r="CF64" s="2012"/>
      <c r="CG64" s="2012"/>
      <c r="CH64" s="2012"/>
      <c r="CI64" s="1711"/>
      <c r="CJ64" s="2012"/>
      <c r="CK64" s="2012"/>
      <c r="CL64" s="2012"/>
      <c r="CM64" s="2012"/>
      <c r="CN64" s="2012"/>
      <c r="CO64" s="2012"/>
      <c r="CP64" s="2012"/>
      <c r="CQ64" s="2012"/>
      <c r="CR64" s="2012"/>
      <c r="CS64" s="2012"/>
      <c r="CT64" s="1711"/>
      <c r="CU64" s="2012"/>
      <c r="CV64" s="2012"/>
      <c r="CW64" s="2012"/>
      <c r="CX64" s="2012"/>
      <c r="CY64" s="2012"/>
      <c r="CZ64" s="2012"/>
      <c r="DA64" s="2012"/>
      <c r="DB64" s="2012"/>
      <c r="DC64" s="2012"/>
      <c r="DD64" s="2012"/>
      <c r="DE64" s="2012"/>
      <c r="DF64" s="2012"/>
      <c r="DG64" s="2012"/>
      <c r="DH64" s="2012"/>
      <c r="DI64" s="2012"/>
      <c r="DJ64" s="2012"/>
      <c r="DK64" s="2012"/>
      <c r="DL64" s="2012"/>
      <c r="DM64" s="2012"/>
      <c r="DN64" s="2012"/>
      <c r="DO64" s="2012"/>
      <c r="DP64" s="2012"/>
      <c r="DQ64" s="2012"/>
      <c r="DR64" s="2012"/>
      <c r="DS64" s="2012"/>
      <c r="DT64" s="2012"/>
      <c r="DU64" s="2012"/>
      <c r="DV64" s="2012"/>
      <c r="DW64" s="2012"/>
      <c r="DX64" s="2012"/>
      <c r="DY64" s="2012"/>
      <c r="DZ64" s="2012"/>
      <c r="EA64" s="1711"/>
      <c r="EB64" s="1711">
        <v>1675</v>
      </c>
      <c r="EC64" s="1711"/>
      <c r="ED64" s="2012"/>
      <c r="EE64" s="2012"/>
      <c r="EF64" s="2012"/>
      <c r="EG64" s="2012"/>
      <c r="EH64" s="2012"/>
      <c r="EI64" s="2012"/>
      <c r="EJ64" s="2012"/>
      <c r="EK64" s="2012"/>
      <c r="EL64" s="2012"/>
      <c r="EM64" s="2012"/>
      <c r="EN64" s="2012"/>
      <c r="EO64" s="2012"/>
      <c r="EP64" s="2012"/>
      <c r="EQ64" s="2012"/>
      <c r="ER64" s="2012"/>
      <c r="ES64" s="2012"/>
      <c r="ET64" s="2012"/>
      <c r="EU64" s="2012"/>
      <c r="EV64" s="2012"/>
      <c r="EW64" s="2012"/>
      <c r="EX64" s="2012"/>
      <c r="EY64" s="2012"/>
      <c r="EZ64" s="2012"/>
      <c r="FA64" s="2012"/>
      <c r="FB64" s="1711"/>
      <c r="FC64" s="2012"/>
      <c r="FD64" s="2012"/>
      <c r="FE64" s="2012"/>
      <c r="FF64" s="2012"/>
      <c r="FG64" s="2012"/>
      <c r="FH64" s="2012"/>
      <c r="FI64" s="2012"/>
      <c r="FJ64" s="2012"/>
      <c r="FK64" s="2012"/>
      <c r="FL64" s="2012"/>
      <c r="FM64" s="2012"/>
      <c r="FN64" s="2012"/>
      <c r="FO64" s="2012"/>
      <c r="FP64" s="2012"/>
      <c r="FQ64" s="2012"/>
      <c r="FR64" s="2012"/>
      <c r="FS64" s="2012"/>
      <c r="FT64" s="2012"/>
      <c r="FU64" s="2012"/>
      <c r="FV64" s="2012"/>
      <c r="FW64" s="2012"/>
      <c r="FX64" s="2012"/>
      <c r="FY64" s="2012"/>
      <c r="FZ64" s="2012"/>
      <c r="GA64" s="2012"/>
      <c r="GB64" s="2012"/>
      <c r="GC64" s="2012"/>
      <c r="GD64" s="2012"/>
      <c r="GE64" s="2012"/>
      <c r="GF64" s="2012"/>
      <c r="GG64" s="2012"/>
      <c r="GH64" s="2012"/>
      <c r="GI64" s="2012"/>
      <c r="GJ64" s="2012"/>
      <c r="GK64" s="2012"/>
      <c r="GL64" s="2012"/>
      <c r="GM64" s="2012"/>
      <c r="GN64" s="2012"/>
      <c r="GO64" s="2012"/>
      <c r="GP64" s="2012"/>
      <c r="GQ64" s="2012"/>
      <c r="GR64" s="2012"/>
      <c r="GS64" s="2012"/>
      <c r="GT64" s="2012"/>
      <c r="GU64" s="2012"/>
      <c r="GV64" s="2012"/>
      <c r="GW64" s="2012"/>
      <c r="GX64" s="2012"/>
      <c r="GY64" s="2012"/>
      <c r="GZ64" s="2012"/>
      <c r="HA64" s="2012"/>
      <c r="HB64" s="2012"/>
      <c r="HC64" s="2012"/>
      <c r="HD64" s="2012"/>
      <c r="HE64" s="2012"/>
      <c r="HF64" s="2012"/>
      <c r="HG64" s="2012"/>
      <c r="HH64" s="2012"/>
      <c r="HI64" s="2012"/>
      <c r="HJ64" s="2012"/>
      <c r="HK64" s="2012"/>
      <c r="HL64" s="2012"/>
      <c r="HM64" s="2012"/>
      <c r="HN64" s="2012"/>
      <c r="HO64" s="2012"/>
      <c r="HP64" s="2012"/>
      <c r="HQ64" s="2012"/>
      <c r="HR64" s="2012"/>
      <c r="HS64" s="2012"/>
      <c r="HT64" s="2012"/>
      <c r="HU64" s="2012"/>
      <c r="HV64" s="2012"/>
      <c r="HW64" s="2012"/>
      <c r="HX64" s="2012"/>
      <c r="HY64" s="2012"/>
      <c r="HZ64" s="2012"/>
      <c r="IA64" s="2012"/>
      <c r="IB64" s="2012"/>
      <c r="IC64" s="2012"/>
      <c r="ID64" s="2012"/>
      <c r="IE64" s="2012"/>
      <c r="IF64" s="2012"/>
      <c r="IG64" s="2012"/>
      <c r="IH64" s="2012"/>
      <c r="II64" s="2012"/>
      <c r="IJ64" s="2012"/>
      <c r="IK64" s="2012"/>
      <c r="IL64" s="2012"/>
      <c r="IM64" s="2012"/>
      <c r="IN64" s="2012"/>
      <c r="IO64" s="2012"/>
      <c r="IP64" s="2012"/>
      <c r="IQ64" s="2012"/>
      <c r="IR64" s="3896"/>
      <c r="IS64" s="2012"/>
      <c r="IT64" s="2012"/>
      <c r="IU64" s="2012"/>
      <c r="IV64" s="2012"/>
      <c r="IW64" s="2012"/>
      <c r="IX64" s="2012"/>
      <c r="IY64" s="2012"/>
      <c r="IZ64" s="2012"/>
      <c r="JA64" s="2548"/>
      <c r="JB64" s="2548"/>
      <c r="JC64" s="2548"/>
      <c r="JD64" s="2548"/>
      <c r="JE64" s="2548"/>
      <c r="JF64" s="2548"/>
      <c r="JG64" s="3796"/>
      <c r="JH64" s="1233"/>
      <c r="JI64" s="1232"/>
      <c r="JJ64" s="1660" t="s">
        <v>6108</v>
      </c>
    </row>
    <row ht="12.75" r="65" spans="1:270" x14ac:dyDescent="0.2">
      <c r="A65" s="1128">
        <v>16</v>
      </c>
      <c r="B65" s="1369" t="str">
        <f si="3" t="shared"/>
        <v/>
      </c>
      <c r="C65" s="1278" t="s">
        <v>3456</v>
      </c>
      <c r="D65" s="1372" t="s">
        <v>4850</v>
      </c>
      <c r="E65" s="1719"/>
      <c r="F65" s="1719"/>
      <c r="G65" s="1719"/>
      <c r="H65" s="1719"/>
      <c r="I65" s="1719"/>
      <c r="J65" s="1719"/>
      <c r="K65" s="1719"/>
      <c r="L65" s="1719"/>
      <c r="M65" s="1719"/>
      <c r="N65" s="1719"/>
      <c r="O65" s="1719"/>
      <c r="P65" s="2012"/>
      <c r="Q65" s="2012"/>
      <c r="R65" s="2012"/>
      <c r="S65" s="2012"/>
      <c r="T65" s="2012"/>
      <c r="U65" s="2012"/>
      <c r="V65" s="2012"/>
      <c r="W65" s="2012"/>
      <c r="X65" s="2012"/>
      <c r="Y65" s="2012"/>
      <c r="Z65" s="2012"/>
      <c r="AA65" s="2012"/>
      <c r="AB65" s="2012"/>
      <c r="AC65" s="2012"/>
      <c r="AD65" s="2548"/>
      <c r="AE65" s="2548"/>
      <c r="AF65" s="2548"/>
      <c r="AG65" s="2548"/>
      <c r="AH65" s="2548"/>
      <c r="AI65" s="2546">
        <v>600</v>
      </c>
      <c r="AJ65" s="2012"/>
      <c r="AK65" s="2012"/>
      <c r="AL65" s="2012"/>
      <c r="AM65" s="2012"/>
      <c r="AN65" s="2012"/>
      <c r="AO65" s="2012"/>
      <c r="AP65" s="2012"/>
      <c r="AQ65" s="2012"/>
      <c r="AR65" s="2012"/>
      <c r="AS65" s="2012"/>
      <c r="AT65" s="2012"/>
      <c r="AU65" s="2012"/>
      <c r="AV65" s="2012"/>
      <c r="AW65" s="2012"/>
      <c r="AX65" s="2012"/>
      <c r="AY65" s="2012"/>
      <c r="AZ65" s="2012"/>
      <c r="BA65" s="2012"/>
      <c r="BB65" s="2012"/>
      <c r="BC65" s="2012"/>
      <c r="BD65" s="2012"/>
      <c r="BE65" s="2012"/>
      <c r="BF65" s="2012"/>
      <c r="BG65" s="2012"/>
      <c r="BH65" s="2012"/>
      <c r="BI65" s="2012"/>
      <c r="BJ65" s="2012"/>
      <c r="BK65" s="2012"/>
      <c r="BL65" s="2012"/>
      <c r="BM65" s="2012"/>
      <c r="BN65" s="2012"/>
      <c r="BO65" s="2012"/>
      <c r="BP65" s="2012"/>
      <c r="BQ65" s="2012"/>
      <c r="BR65" s="2012"/>
      <c r="BS65" s="2012"/>
      <c r="BT65" s="2012"/>
      <c r="BU65" s="2012"/>
      <c r="BV65" s="2012"/>
      <c r="BW65" s="2012"/>
      <c r="BX65" s="2012"/>
      <c r="BY65" s="2012"/>
      <c r="BZ65" s="2012"/>
      <c r="CA65" s="2012"/>
      <c r="CB65" s="2012"/>
      <c r="CC65" s="2012"/>
      <c r="CD65" s="2012"/>
      <c r="CE65" s="2012"/>
      <c r="CF65" s="2012"/>
      <c r="CG65" s="2012"/>
      <c r="CH65" s="2012"/>
      <c r="CI65" s="1711"/>
      <c r="CJ65" s="2012"/>
      <c r="CK65" s="2012"/>
      <c r="CL65" s="2012"/>
      <c r="CM65" s="2012"/>
      <c r="CN65" s="2012"/>
      <c r="CO65" s="2012"/>
      <c r="CP65" s="2012"/>
      <c r="CQ65" s="2012"/>
      <c r="CR65" s="2012"/>
      <c r="CS65" s="2012"/>
      <c r="CT65" s="1711"/>
      <c r="CU65" s="2012"/>
      <c r="CV65" s="2012"/>
      <c r="CW65" s="2012"/>
      <c r="CX65" s="2012"/>
      <c r="CY65" s="2012"/>
      <c r="CZ65" s="2012"/>
      <c r="DA65" s="2012"/>
      <c r="DB65" s="2012"/>
      <c r="DC65" s="2012"/>
      <c r="DD65" s="2012"/>
      <c r="DE65" s="2012"/>
      <c r="DF65" s="2012"/>
      <c r="DG65" s="2012"/>
      <c r="DH65" s="2012"/>
      <c r="DI65" s="2012"/>
      <c r="DJ65" s="2012"/>
      <c r="DK65" s="2012"/>
      <c r="DL65" s="2012"/>
      <c r="DM65" s="2012"/>
      <c r="DN65" s="2012"/>
      <c r="DO65" s="2012"/>
      <c r="DP65" s="2012"/>
      <c r="DQ65" s="2012"/>
      <c r="DR65" s="2012"/>
      <c r="DS65" s="2012"/>
      <c r="DT65" s="2012"/>
      <c r="DU65" s="2012"/>
      <c r="DV65" s="2012"/>
      <c r="DW65" s="2012"/>
      <c r="DX65" s="2012"/>
      <c r="DY65" s="2012"/>
      <c r="DZ65" s="2012"/>
      <c r="EA65" s="1711"/>
      <c r="EB65" s="1711"/>
      <c r="EC65" s="1711"/>
      <c r="ED65" s="2012"/>
      <c r="EE65" s="2012"/>
      <c r="EF65" s="2012"/>
      <c r="EG65" s="2012"/>
      <c r="EH65" s="2012"/>
      <c r="EI65" s="2012"/>
      <c r="EJ65" s="2012"/>
      <c r="EK65" s="2012"/>
      <c r="EL65" s="2012"/>
      <c r="EM65" s="2012"/>
      <c r="EN65" s="2012"/>
      <c r="EO65" s="2012"/>
      <c r="EP65" s="2012"/>
      <c r="EQ65" s="2012"/>
      <c r="ER65" s="2012"/>
      <c r="ES65" s="2012"/>
      <c r="ET65" s="2012"/>
      <c r="EU65" s="2012"/>
      <c r="EV65" s="2012"/>
      <c r="EW65" s="2012"/>
      <c r="EX65" s="2012"/>
      <c r="EY65" s="2012"/>
      <c r="EZ65" s="2012"/>
      <c r="FA65" s="2012"/>
      <c r="FB65" s="1711"/>
      <c r="FC65" s="2012"/>
      <c r="FD65" s="2012"/>
      <c r="FE65" s="2012"/>
      <c r="FF65" s="2012"/>
      <c r="FG65" s="2012"/>
      <c r="FH65" s="2012"/>
      <c r="FI65" s="2012"/>
      <c r="FJ65" s="2012"/>
      <c r="FK65" s="2012"/>
      <c r="FL65" s="2012"/>
      <c r="FM65" s="2012"/>
      <c r="FN65" s="2012"/>
      <c r="FO65" s="2012"/>
      <c r="FP65" s="2012"/>
      <c r="FQ65" s="2012"/>
      <c r="FR65" s="2012"/>
      <c r="FS65" s="2012"/>
      <c r="FT65" s="2012"/>
      <c r="FU65" s="2012"/>
      <c r="FV65" s="2012"/>
      <c r="FW65" s="2012"/>
      <c r="FX65" s="2012"/>
      <c r="FY65" s="2012"/>
      <c r="FZ65" s="2012"/>
      <c r="GA65" s="2012"/>
      <c r="GB65" s="2012"/>
      <c r="GC65" s="2012"/>
      <c r="GD65" s="2012"/>
      <c r="GE65" s="2012"/>
      <c r="GF65" s="2012"/>
      <c r="GG65" s="2012"/>
      <c r="GH65" s="2012"/>
      <c r="GI65" s="2012"/>
      <c r="GJ65" s="2012"/>
      <c r="GK65" s="2012"/>
      <c r="GL65" s="2012"/>
      <c r="GM65" s="2012"/>
      <c r="GN65" s="2012"/>
      <c r="GO65" s="2012"/>
      <c r="GP65" s="2012"/>
      <c r="GQ65" s="2012"/>
      <c r="GR65" s="2012"/>
      <c r="GS65" s="2012"/>
      <c r="GT65" s="2012"/>
      <c r="GU65" s="2012"/>
      <c r="GV65" s="2012"/>
      <c r="GW65" s="2012"/>
      <c r="GX65" s="2012"/>
      <c r="GY65" s="2012"/>
      <c r="GZ65" s="2012"/>
      <c r="HA65" s="2012"/>
      <c r="HB65" s="2012"/>
      <c r="HC65" s="2012"/>
      <c r="HD65" s="2012"/>
      <c r="HE65" s="2012"/>
      <c r="HF65" s="2012"/>
      <c r="HG65" s="2012"/>
      <c r="HH65" s="2012"/>
      <c r="HI65" s="2012"/>
      <c r="HJ65" s="2012"/>
      <c r="HK65" s="2012"/>
      <c r="HL65" s="2012"/>
      <c r="HM65" s="2012"/>
      <c r="HN65" s="2012"/>
      <c r="HO65" s="2012"/>
      <c r="HP65" s="2012"/>
      <c r="HQ65" s="2012"/>
      <c r="HR65" s="2012"/>
      <c r="HS65" s="2012"/>
      <c r="HT65" s="2012"/>
      <c r="HU65" s="2012"/>
      <c r="HV65" s="2012"/>
      <c r="HW65" s="2012"/>
      <c r="HX65" s="2012"/>
      <c r="HY65" s="2012"/>
      <c r="HZ65" s="2012"/>
      <c r="IA65" s="2012"/>
      <c r="IB65" s="2012"/>
      <c r="IC65" s="2012"/>
      <c r="ID65" s="2012"/>
      <c r="IE65" s="2012"/>
      <c r="IF65" s="2012"/>
      <c r="IG65" s="2012"/>
      <c r="IH65" s="2012"/>
      <c r="II65" s="2012"/>
      <c r="IJ65" s="2012"/>
      <c r="IK65" s="2012"/>
      <c r="IL65" s="2012"/>
      <c r="IM65" s="2012"/>
      <c r="IN65" s="2012"/>
      <c r="IO65" s="2012"/>
      <c r="IP65" s="2012"/>
      <c r="IQ65" s="2012"/>
      <c r="IR65" s="3896"/>
      <c r="IS65" s="2012"/>
      <c r="IT65" s="2012"/>
      <c r="IU65" s="2012"/>
      <c r="IV65" s="2012"/>
      <c r="IW65" s="2012"/>
      <c r="IX65" s="2012"/>
      <c r="IY65" s="2012"/>
      <c r="IZ65" s="2012"/>
      <c r="JA65" s="2548"/>
      <c r="JB65" s="2548"/>
      <c r="JC65" s="2548"/>
      <c r="JD65" s="2548"/>
      <c r="JE65" s="2548"/>
      <c r="JF65" s="2548"/>
      <c r="JG65" s="3796"/>
      <c r="JH65" s="1233"/>
      <c r="JI65" s="1232"/>
      <c r="JJ65" s="1660" t="s">
        <v>6108</v>
      </c>
    </row>
    <row ht="12.75" r="66" spans="1:270" x14ac:dyDescent="0.2">
      <c r="A66" s="1128">
        <v>17</v>
      </c>
      <c r="B66" s="1369" t="str">
        <f si="3" t="shared"/>
        <v/>
      </c>
      <c r="C66" s="1278" t="s">
        <v>3457</v>
      </c>
      <c r="D66" s="1372" t="s">
        <v>4851</v>
      </c>
      <c r="E66" s="1719"/>
      <c r="F66" s="1719"/>
      <c r="G66" s="1719"/>
      <c r="H66" s="1719"/>
      <c r="I66" s="1719"/>
      <c r="J66" s="1719"/>
      <c r="K66" s="1719"/>
      <c r="L66" s="1719"/>
      <c r="M66" s="1719"/>
      <c r="N66" s="1719"/>
      <c r="O66" s="1719"/>
      <c r="P66" s="2012"/>
      <c r="Q66" s="2012"/>
      <c r="R66" s="2012"/>
      <c r="S66" s="2012"/>
      <c r="T66" s="2012"/>
      <c r="U66" s="2012"/>
      <c r="V66" s="2012"/>
      <c r="W66" s="2012"/>
      <c r="X66" s="2012"/>
      <c r="Y66" s="2012"/>
      <c r="Z66" s="2012"/>
      <c r="AA66" s="2012"/>
      <c r="AB66" s="2012"/>
      <c r="AC66" s="2012"/>
      <c r="AD66" s="2548"/>
      <c r="AE66" s="2548"/>
      <c r="AF66" s="2548"/>
      <c r="AG66" s="2548"/>
      <c r="AH66" s="2548"/>
      <c r="AI66" s="4117">
        <v>3000</v>
      </c>
      <c r="AJ66" s="2012"/>
      <c r="AK66" s="2012"/>
      <c r="AL66" s="2012"/>
      <c r="AM66" s="2012"/>
      <c r="AN66" s="2012"/>
      <c r="AO66" s="2012"/>
      <c r="AP66" s="2012"/>
      <c r="AQ66" s="2012"/>
      <c r="AR66" s="2012"/>
      <c r="AS66" s="2012"/>
      <c r="AT66" s="2012"/>
      <c r="AU66" s="2012"/>
      <c r="AV66" s="2012"/>
      <c r="AW66" s="2012"/>
      <c r="AX66" s="2012"/>
      <c r="AY66" s="2012"/>
      <c r="AZ66" s="2012"/>
      <c r="BA66" s="2012"/>
      <c r="BB66" s="2012"/>
      <c r="BC66" s="2012"/>
      <c r="BD66" s="2012"/>
      <c r="BE66" s="2012"/>
      <c r="BF66" s="2012"/>
      <c r="BG66" s="2012"/>
      <c r="BH66" s="2012"/>
      <c r="BI66" s="2012"/>
      <c r="BJ66" s="2012"/>
      <c r="BK66" s="2012"/>
      <c r="BL66" s="2012"/>
      <c r="BM66" s="2012"/>
      <c r="BN66" s="2012"/>
      <c r="BO66" s="2012"/>
      <c r="BP66" s="2012"/>
      <c r="BQ66" s="2012"/>
      <c r="BR66" s="2012"/>
      <c r="BS66" s="2012"/>
      <c r="BT66" s="2012"/>
      <c r="BU66" s="2012"/>
      <c r="BV66" s="2012"/>
      <c r="BW66" s="2012"/>
      <c r="BX66" s="2012"/>
      <c r="BY66" s="2012"/>
      <c r="BZ66" s="2012"/>
      <c r="CA66" s="2012"/>
      <c r="CB66" s="2012"/>
      <c r="CC66" s="2012"/>
      <c r="CD66" s="2012"/>
      <c r="CE66" s="2012"/>
      <c r="CF66" s="2012"/>
      <c r="CG66" s="2012"/>
      <c r="CH66" s="2012"/>
      <c r="CI66" s="1711">
        <v>1250</v>
      </c>
      <c r="CJ66" s="2012"/>
      <c r="CK66" s="2012"/>
      <c r="CL66" s="2012"/>
      <c r="CM66" s="2012"/>
      <c r="CN66" s="2012"/>
      <c r="CO66" s="2012"/>
      <c r="CP66" s="2012"/>
      <c r="CQ66" s="2012"/>
      <c r="CR66" s="2012"/>
      <c r="CS66" s="2012"/>
      <c r="CT66" s="1711"/>
      <c r="CU66" s="2012"/>
      <c r="CV66" s="2012"/>
      <c r="CW66" s="2012"/>
      <c r="CX66" s="2012"/>
      <c r="CY66" s="2012"/>
      <c r="CZ66" s="2012"/>
      <c r="DA66" s="2012"/>
      <c r="DB66" s="2012"/>
      <c r="DC66" s="2012"/>
      <c r="DD66" s="2012"/>
      <c r="DE66" s="2012"/>
      <c r="DF66" s="2012"/>
      <c r="DG66" s="2012"/>
      <c r="DH66" s="2012"/>
      <c r="DI66" s="2012"/>
      <c r="DJ66" s="2012"/>
      <c r="DK66" s="2012"/>
      <c r="DL66" s="2012"/>
      <c r="DM66" s="2012"/>
      <c r="DN66" s="2012"/>
      <c r="DO66" s="2012"/>
      <c r="DP66" s="2012"/>
      <c r="DQ66" s="2012"/>
      <c r="DR66" s="2012"/>
      <c r="DS66" s="2012"/>
      <c r="DT66" s="2012"/>
      <c r="DU66" s="2012"/>
      <c r="DV66" s="2012"/>
      <c r="DW66" s="2012"/>
      <c r="DX66" s="2012"/>
      <c r="DY66" s="2012"/>
      <c r="DZ66" s="2012"/>
      <c r="EA66" s="1711">
        <v>1250</v>
      </c>
      <c r="EB66" s="1711"/>
      <c r="EC66" s="1711"/>
      <c r="ED66" s="2012"/>
      <c r="EE66" s="2012"/>
      <c r="EF66" s="2012"/>
      <c r="EG66" s="2012"/>
      <c r="EH66" s="2012"/>
      <c r="EI66" s="2012"/>
      <c r="EJ66" s="2012"/>
      <c r="EK66" s="2012"/>
      <c r="EL66" s="2012"/>
      <c r="EM66" s="2012"/>
      <c r="EN66" s="2012"/>
      <c r="EO66" s="2012"/>
      <c r="EP66" s="2012"/>
      <c r="EQ66" s="2012"/>
      <c r="ER66" s="2012"/>
      <c r="ES66" s="2012"/>
      <c r="ET66" s="2012"/>
      <c r="EU66" s="2012"/>
      <c r="EV66" s="2012"/>
      <c r="EW66" s="2012"/>
      <c r="EX66" s="2012"/>
      <c r="EY66" s="2012"/>
      <c r="EZ66" s="2012"/>
      <c r="FA66" s="2012"/>
      <c r="FB66" s="1711"/>
      <c r="FC66" s="2012"/>
      <c r="FD66" s="2012"/>
      <c r="FE66" s="2012"/>
      <c r="FF66" s="2012"/>
      <c r="FG66" s="2012"/>
      <c r="FH66" s="2012"/>
      <c r="FI66" s="2012"/>
      <c r="FJ66" s="2012"/>
      <c r="FK66" s="2012"/>
      <c r="FL66" s="2012"/>
      <c r="FM66" s="2012"/>
      <c r="FN66" s="2012"/>
      <c r="FO66" s="2012"/>
      <c r="FP66" s="2012"/>
      <c r="FQ66" s="2012"/>
      <c r="FR66" s="2012"/>
      <c r="FS66" s="2012"/>
      <c r="FT66" s="2012"/>
      <c r="FU66" s="2012"/>
      <c r="FV66" s="2012"/>
      <c r="FW66" s="2012"/>
      <c r="FX66" s="2012"/>
      <c r="FY66" s="2012"/>
      <c r="FZ66" s="2012"/>
      <c r="GA66" s="2012"/>
      <c r="GB66" s="2012"/>
      <c r="GC66" s="2012"/>
      <c r="GD66" s="2012"/>
      <c r="GE66" s="2012"/>
      <c r="GF66" s="2012"/>
      <c r="GG66" s="2012"/>
      <c r="GH66" s="2012"/>
      <c r="GI66" s="2012"/>
      <c r="GJ66" s="2012"/>
      <c r="GK66" s="2012"/>
      <c r="GL66" s="2012"/>
      <c r="GM66" s="2012"/>
      <c r="GN66" s="2012"/>
      <c r="GO66" s="2012"/>
      <c r="GP66" s="2012"/>
      <c r="GQ66" s="2012"/>
      <c r="GR66" s="2012"/>
      <c r="GS66" s="2012"/>
      <c r="GT66" s="2012"/>
      <c r="GU66" s="2012"/>
      <c r="GV66" s="2012"/>
      <c r="GW66" s="2012"/>
      <c r="GX66" s="2012"/>
      <c r="GY66" s="2012"/>
      <c r="GZ66" s="2012"/>
      <c r="HA66" s="2012"/>
      <c r="HB66" s="2012"/>
      <c r="HC66" s="2012"/>
      <c r="HD66" s="2012"/>
      <c r="HE66" s="2012"/>
      <c r="HF66" s="2012"/>
      <c r="HG66" s="2012"/>
      <c r="HH66" s="2012"/>
      <c r="HI66" s="2012"/>
      <c r="HJ66" s="2012"/>
      <c r="HK66" s="2012"/>
      <c r="HL66" s="2012"/>
      <c r="HM66" s="2012"/>
      <c r="HN66" s="2012"/>
      <c r="HO66" s="2012"/>
      <c r="HP66" s="2012"/>
      <c r="HQ66" s="2012"/>
      <c r="HR66" s="2012"/>
      <c r="HS66" s="2012"/>
      <c r="HT66" s="2012"/>
      <c r="HU66" s="2012"/>
      <c r="HV66" s="2012"/>
      <c r="HW66" s="2012"/>
      <c r="HX66" s="2012"/>
      <c r="HY66" s="2012"/>
      <c r="HZ66" s="2012"/>
      <c r="IA66" s="2012"/>
      <c r="IB66" s="2012"/>
      <c r="IC66" s="2012"/>
      <c r="ID66" s="2012"/>
      <c r="IE66" s="2012"/>
      <c r="IF66" s="2012"/>
      <c r="IG66" s="2012"/>
      <c r="IH66" s="2012"/>
      <c r="II66" s="2012"/>
      <c r="IJ66" s="2012"/>
      <c r="IK66" s="2012"/>
      <c r="IL66" s="2012"/>
      <c r="IM66" s="2012"/>
      <c r="IN66" s="2012"/>
      <c r="IO66" s="2012"/>
      <c r="IP66" s="2012"/>
      <c r="IQ66" s="2012"/>
      <c r="IR66" s="3896"/>
      <c r="IS66" s="2012"/>
      <c r="IT66" s="2012"/>
      <c r="IU66" s="2012"/>
      <c r="IV66" s="2012"/>
      <c r="IW66" s="2012"/>
      <c r="IX66" s="2012"/>
      <c r="IY66" s="2012"/>
      <c r="IZ66" s="2012"/>
      <c r="JA66" s="2548"/>
      <c r="JB66" s="2548"/>
      <c r="JC66" s="2548"/>
      <c r="JD66" s="2548"/>
      <c r="JE66" s="2548"/>
      <c r="JF66" s="2548"/>
      <c r="JG66" s="3796"/>
      <c r="JH66" s="1233"/>
      <c r="JI66" s="1232"/>
      <c r="JJ66" s="1660" t="s">
        <v>6108</v>
      </c>
    </row>
    <row ht="12.75" r="67" spans="1:270" x14ac:dyDescent="0.2">
      <c r="A67" s="1128">
        <v>18</v>
      </c>
      <c r="B67" s="1369" t="str">
        <f si="3" t="shared"/>
        <v/>
      </c>
      <c r="C67" s="1524" t="s">
        <v>2424</v>
      </c>
      <c r="D67" s="1526" t="s">
        <v>4852</v>
      </c>
      <c r="E67" s="1721"/>
      <c r="F67" s="1721"/>
      <c r="G67" s="1721"/>
      <c r="H67" s="1721"/>
      <c r="I67" s="1721"/>
      <c r="J67" s="1721"/>
      <c r="K67" s="1721"/>
      <c r="L67" s="1721"/>
      <c r="M67" s="1721"/>
      <c r="N67" s="1721"/>
      <c r="O67" s="1721"/>
      <c r="P67" s="2014"/>
      <c r="Q67" s="2014"/>
      <c r="R67" s="2014"/>
      <c r="S67" s="2014"/>
      <c r="T67" s="2014"/>
      <c r="U67" s="2014"/>
      <c r="V67" s="2014"/>
      <c r="W67" s="2014"/>
      <c r="X67" s="2014"/>
      <c r="Y67" s="2014"/>
      <c r="Z67" s="2014"/>
      <c r="AA67" s="2014"/>
      <c r="AB67" s="2014"/>
      <c r="AC67" s="2014"/>
      <c r="AD67" s="2552"/>
      <c r="AE67" s="2552"/>
      <c r="AF67" s="2552"/>
      <c r="AG67" s="2552"/>
      <c r="AH67" s="2552"/>
      <c r="AI67" s="2550">
        <v>850</v>
      </c>
      <c r="AJ67" s="2014"/>
      <c r="AK67" s="2014"/>
      <c r="AL67" s="2014"/>
      <c r="AM67" s="2014"/>
      <c r="AN67" s="2014"/>
      <c r="AO67" s="2014"/>
      <c r="AP67" s="2014"/>
      <c r="AQ67" s="2014"/>
      <c r="AR67" s="2014"/>
      <c r="AS67" s="2014"/>
      <c r="AT67" s="2014"/>
      <c r="AU67" s="2014"/>
      <c r="AV67" s="2014"/>
      <c r="AW67" s="2014"/>
      <c r="AX67" s="2014"/>
      <c r="AY67" s="2014"/>
      <c r="AZ67" s="2014"/>
      <c r="BA67" s="2014"/>
      <c r="BB67" s="2014"/>
      <c r="BC67" s="2014"/>
      <c r="BD67" s="2014"/>
      <c r="BE67" s="2014"/>
      <c r="BF67" s="2014"/>
      <c r="BG67" s="2014"/>
      <c r="BH67" s="2014"/>
      <c r="BI67" s="2014"/>
      <c r="BJ67" s="2014"/>
      <c r="BK67" s="2014"/>
      <c r="BL67" s="2014"/>
      <c r="BM67" s="2014"/>
      <c r="BN67" s="2014"/>
      <c r="BO67" s="2014"/>
      <c r="BP67" s="2014"/>
      <c r="BQ67" s="2014"/>
      <c r="BR67" s="2014"/>
      <c r="BS67" s="2014"/>
      <c r="BT67" s="2014"/>
      <c r="BU67" s="2014"/>
      <c r="BV67" s="2014"/>
      <c r="BW67" s="2014"/>
      <c r="BX67" s="2014"/>
      <c r="BY67" s="2014"/>
      <c r="BZ67" s="2014"/>
      <c r="CA67" s="2014"/>
      <c r="CB67" s="2014"/>
      <c r="CC67" s="2014"/>
      <c r="CD67" s="2014"/>
      <c r="CE67" s="2014"/>
      <c r="CF67" s="2014"/>
      <c r="CG67" s="2014"/>
      <c r="CH67" s="2014"/>
      <c r="CI67" s="1713">
        <v>750</v>
      </c>
      <c r="CJ67" s="2014"/>
      <c r="CK67" s="2014"/>
      <c r="CL67" s="2014"/>
      <c r="CM67" s="2014"/>
      <c r="CN67" s="2014"/>
      <c r="CO67" s="2014"/>
      <c r="CP67" s="2014"/>
      <c r="CQ67" s="2014"/>
      <c r="CR67" s="2014"/>
      <c r="CS67" s="2014"/>
      <c r="CT67" s="1713"/>
      <c r="CU67" s="2014"/>
      <c r="CV67" s="2014"/>
      <c r="CW67" s="2014"/>
      <c r="CX67" s="2014"/>
      <c r="CY67" s="2014"/>
      <c r="CZ67" s="2014"/>
      <c r="DA67" s="2014"/>
      <c r="DB67" s="2014"/>
      <c r="DC67" s="2014"/>
      <c r="DD67" s="2014"/>
      <c r="DE67" s="2014"/>
      <c r="DF67" s="2014"/>
      <c r="DG67" s="2014"/>
      <c r="DH67" s="2014"/>
      <c r="DI67" s="2014"/>
      <c r="DJ67" s="2014"/>
      <c r="DK67" s="2014"/>
      <c r="DL67" s="2014"/>
      <c r="DM67" s="2014"/>
      <c r="DN67" s="2014"/>
      <c r="DO67" s="2014"/>
      <c r="DP67" s="2014"/>
      <c r="DQ67" s="2014"/>
      <c r="DR67" s="2014"/>
      <c r="DS67" s="2014"/>
      <c r="DT67" s="2014"/>
      <c r="DU67" s="2014"/>
      <c r="DV67" s="2014"/>
      <c r="DW67" s="2014"/>
      <c r="DX67" s="2014"/>
      <c r="DY67" s="2014"/>
      <c r="DZ67" s="2014"/>
      <c r="EA67" s="1713">
        <v>750</v>
      </c>
      <c r="EB67" s="1713">
        <v>1000</v>
      </c>
      <c r="EC67" s="1713"/>
      <c r="ED67" s="2014"/>
      <c r="EE67" s="2014"/>
      <c r="EF67" s="2014"/>
      <c r="EG67" s="2014"/>
      <c r="EH67" s="2014"/>
      <c r="EI67" s="2014"/>
      <c r="EJ67" s="2014"/>
      <c r="EK67" s="2014"/>
      <c r="EL67" s="2014"/>
      <c r="EM67" s="2014"/>
      <c r="EN67" s="2014"/>
      <c r="EO67" s="2014"/>
      <c r="EP67" s="2014"/>
      <c r="EQ67" s="2014"/>
      <c r="ER67" s="2014"/>
      <c r="ES67" s="2014"/>
      <c r="ET67" s="2014"/>
      <c r="EU67" s="2014"/>
      <c r="EV67" s="2014"/>
      <c r="EW67" s="2014"/>
      <c r="EX67" s="2014"/>
      <c r="EY67" s="2014"/>
      <c r="EZ67" s="2014"/>
      <c r="FA67" s="2014"/>
      <c r="FB67" s="1713"/>
      <c r="FC67" s="2014"/>
      <c r="FD67" s="2014"/>
      <c r="FE67" s="2014"/>
      <c r="FF67" s="2014"/>
      <c r="FG67" s="2014"/>
      <c r="FH67" s="2014"/>
      <c r="FI67" s="2014"/>
      <c r="FJ67" s="2014"/>
      <c r="FK67" s="2014"/>
      <c r="FL67" s="2014"/>
      <c r="FM67" s="2014"/>
      <c r="FN67" s="2014"/>
      <c r="FO67" s="2014"/>
      <c r="FP67" s="2014"/>
      <c r="FQ67" s="2014"/>
      <c r="FR67" s="2014"/>
      <c r="FS67" s="2014"/>
      <c r="FT67" s="2014"/>
      <c r="FU67" s="2014"/>
      <c r="FV67" s="2014"/>
      <c r="FW67" s="2014"/>
      <c r="FX67" s="2014"/>
      <c r="FY67" s="2014"/>
      <c r="FZ67" s="2014"/>
      <c r="GA67" s="2014"/>
      <c r="GB67" s="2014"/>
      <c r="GC67" s="2014"/>
      <c r="GD67" s="2014"/>
      <c r="GE67" s="2014"/>
      <c r="GF67" s="2014"/>
      <c r="GG67" s="2014"/>
      <c r="GH67" s="2014"/>
      <c r="GI67" s="2014"/>
      <c r="GJ67" s="2014"/>
      <c r="GK67" s="2014"/>
      <c r="GL67" s="2014"/>
      <c r="GM67" s="2014"/>
      <c r="GN67" s="2014"/>
      <c r="GO67" s="2014"/>
      <c r="GP67" s="2014"/>
      <c r="GQ67" s="2014"/>
      <c r="GR67" s="2014"/>
      <c r="GS67" s="2014"/>
      <c r="GT67" s="2014"/>
      <c r="GU67" s="2014"/>
      <c r="GV67" s="2014"/>
      <c r="GW67" s="2014"/>
      <c r="GX67" s="2014"/>
      <c r="GY67" s="2014"/>
      <c r="GZ67" s="2014"/>
      <c r="HA67" s="2014"/>
      <c r="HB67" s="2014"/>
      <c r="HC67" s="2014"/>
      <c r="HD67" s="2014"/>
      <c r="HE67" s="2014"/>
      <c r="HF67" s="2014"/>
      <c r="HG67" s="2014"/>
      <c r="HH67" s="2014"/>
      <c r="HI67" s="2014"/>
      <c r="HJ67" s="2014"/>
      <c r="HK67" s="2014"/>
      <c r="HL67" s="2014"/>
      <c r="HM67" s="2014"/>
      <c r="HN67" s="2014"/>
      <c r="HO67" s="2014"/>
      <c r="HP67" s="2014"/>
      <c r="HQ67" s="2014"/>
      <c r="HR67" s="2014"/>
      <c r="HS67" s="2014"/>
      <c r="HT67" s="2014"/>
      <c r="HU67" s="2014"/>
      <c r="HV67" s="2014"/>
      <c r="HW67" s="2014"/>
      <c r="HX67" s="2014"/>
      <c r="HY67" s="2014"/>
      <c r="HZ67" s="2014"/>
      <c r="IA67" s="2014"/>
      <c r="IB67" s="2014"/>
      <c r="IC67" s="2014"/>
      <c r="ID67" s="2014"/>
      <c r="IE67" s="2014"/>
      <c r="IF67" s="2014"/>
      <c r="IG67" s="2014"/>
      <c r="IH67" s="2014"/>
      <c r="II67" s="2014"/>
      <c r="IJ67" s="2014"/>
      <c r="IK67" s="2014"/>
      <c r="IL67" s="2014"/>
      <c r="IM67" s="2014"/>
      <c r="IN67" s="2014"/>
      <c r="IO67" s="2014"/>
      <c r="IP67" s="2014"/>
      <c r="IQ67" s="2014"/>
      <c r="IR67" s="2552"/>
      <c r="IS67" s="2014"/>
      <c r="IT67" s="2014"/>
      <c r="IU67" s="2014"/>
      <c r="IV67" s="2014"/>
      <c r="IW67" s="2014"/>
      <c r="IX67" s="2014"/>
      <c r="IY67" s="2014"/>
      <c r="IZ67" s="2014"/>
      <c r="JA67" s="2552"/>
      <c r="JB67" s="2552"/>
      <c r="JC67" s="2552"/>
      <c r="JD67" s="2552"/>
      <c r="JE67" s="2552"/>
      <c r="JF67" s="2552"/>
      <c r="JG67" s="3798"/>
      <c r="JH67" s="1233"/>
      <c r="JI67" s="1232"/>
      <c r="JJ67" s="1660" t="s">
        <v>6108</v>
      </c>
    </row>
    <row ht="12.75" r="68" spans="1:270" x14ac:dyDescent="0.2">
      <c r="A68" s="1128">
        <v>19</v>
      </c>
      <c r="B68" s="1369" t="str">
        <f si="3" t="shared"/>
        <v/>
      </c>
      <c r="C68" s="1278" t="s">
        <v>2425</v>
      </c>
      <c r="D68" s="1372" t="s">
        <v>972</v>
      </c>
      <c r="E68" s="1719"/>
      <c r="F68" s="1719"/>
      <c r="G68" s="1719"/>
      <c r="H68" s="1719"/>
      <c r="I68" s="1719"/>
      <c r="J68" s="1719"/>
      <c r="K68" s="1719"/>
      <c r="L68" s="1719"/>
      <c r="M68" s="1719"/>
      <c r="N68" s="1719"/>
      <c r="O68" s="1719"/>
      <c r="P68" s="2012"/>
      <c r="Q68" s="2012"/>
      <c r="R68" s="2012"/>
      <c r="S68" s="2012"/>
      <c r="T68" s="2012"/>
      <c r="U68" s="2012"/>
      <c r="V68" s="2012"/>
      <c r="W68" s="2012"/>
      <c r="X68" s="2012"/>
      <c r="Y68" s="2012"/>
      <c r="Z68" s="2012"/>
      <c r="AA68" s="2012"/>
      <c r="AB68" s="2012"/>
      <c r="AC68" s="2012"/>
      <c r="AD68" s="2548"/>
      <c r="AE68" s="2548"/>
      <c r="AF68" s="2548"/>
      <c r="AG68" s="2548"/>
      <c r="AH68" s="2548"/>
      <c r="AI68" s="2546"/>
      <c r="AJ68" s="2012"/>
      <c r="AK68" s="2012"/>
      <c r="AL68" s="2012"/>
      <c r="AM68" s="2012"/>
      <c r="AN68" s="2012"/>
      <c r="AO68" s="2012"/>
      <c r="AP68" s="2012"/>
      <c r="AQ68" s="2012"/>
      <c r="AR68" s="2012"/>
      <c r="AS68" s="2012"/>
      <c r="AT68" s="2012"/>
      <c r="AU68" s="2012"/>
      <c r="AV68" s="2012"/>
      <c r="AW68" s="2012"/>
      <c r="AX68" s="2012"/>
      <c r="AY68" s="2012"/>
      <c r="AZ68" s="2012"/>
      <c r="BA68" s="2012"/>
      <c r="BB68" s="2012"/>
      <c r="BC68" s="2012"/>
      <c r="BD68" s="2012"/>
      <c r="BE68" s="2012"/>
      <c r="BF68" s="2012"/>
      <c r="BG68" s="2012"/>
      <c r="BH68" s="2012"/>
      <c r="BI68" s="2012"/>
      <c r="BJ68" s="2012"/>
      <c r="BK68" s="2012"/>
      <c r="BL68" s="2012"/>
      <c r="BM68" s="2012"/>
      <c r="BN68" s="2012"/>
      <c r="BO68" s="2012"/>
      <c r="BP68" s="2012"/>
      <c r="BQ68" s="2012"/>
      <c r="BR68" s="2012"/>
      <c r="BS68" s="2012"/>
      <c r="BT68" s="2012"/>
      <c r="BU68" s="2012"/>
      <c r="BV68" s="2012"/>
      <c r="BW68" s="2012"/>
      <c r="BX68" s="2012"/>
      <c r="BY68" s="2012"/>
      <c r="BZ68" s="2012"/>
      <c r="CA68" s="2012"/>
      <c r="CB68" s="2012"/>
      <c r="CC68" s="2012"/>
      <c r="CD68" s="2012"/>
      <c r="CE68" s="2012"/>
      <c r="CF68" s="2012"/>
      <c r="CG68" s="2012"/>
      <c r="CH68" s="2012"/>
      <c r="CI68" s="1711"/>
      <c r="CJ68" s="2012"/>
      <c r="CK68" s="2012"/>
      <c r="CL68" s="2012"/>
      <c r="CM68" s="2012"/>
      <c r="CN68" s="2012"/>
      <c r="CO68" s="2012"/>
      <c r="CP68" s="2012"/>
      <c r="CQ68" s="2012"/>
      <c r="CR68" s="2012"/>
      <c r="CS68" s="2012"/>
      <c r="CT68" s="1711">
        <v>1600</v>
      </c>
      <c r="CU68" s="2012"/>
      <c r="CV68" s="2012"/>
      <c r="CW68" s="2012"/>
      <c r="CX68" s="2012"/>
      <c r="CY68" s="2012"/>
      <c r="CZ68" s="2012"/>
      <c r="DA68" s="2012"/>
      <c r="DB68" s="2012"/>
      <c r="DC68" s="2012"/>
      <c r="DD68" s="2012"/>
      <c r="DE68" s="2012"/>
      <c r="DF68" s="2012"/>
      <c r="DG68" s="2012"/>
      <c r="DH68" s="2012"/>
      <c r="DI68" s="2012"/>
      <c r="DJ68" s="2012"/>
      <c r="DK68" s="2012"/>
      <c r="DL68" s="2012"/>
      <c r="DM68" s="2012"/>
      <c r="DN68" s="2012"/>
      <c r="DO68" s="2012"/>
      <c r="DP68" s="2012"/>
      <c r="DQ68" s="2012"/>
      <c r="DR68" s="2012"/>
      <c r="DS68" s="2012"/>
      <c r="DT68" s="2012"/>
      <c r="DU68" s="2012"/>
      <c r="DV68" s="2012"/>
      <c r="DW68" s="2012"/>
      <c r="DX68" s="2012"/>
      <c r="DY68" s="2012"/>
      <c r="DZ68" s="2012"/>
      <c r="EA68" s="1711"/>
      <c r="EB68" s="1711"/>
      <c r="EC68" s="1711">
        <v>1600</v>
      </c>
      <c r="ED68" s="2012"/>
      <c r="EE68" s="2012"/>
      <c r="EF68" s="2012"/>
      <c r="EG68" s="2012"/>
      <c r="EH68" s="2012"/>
      <c r="EI68" s="2012"/>
      <c r="EJ68" s="2012"/>
      <c r="EK68" s="2012"/>
      <c r="EL68" s="2012"/>
      <c r="EM68" s="2012"/>
      <c r="EN68" s="2012"/>
      <c r="EO68" s="2012"/>
      <c r="EP68" s="2012"/>
      <c r="EQ68" s="2012"/>
      <c r="ER68" s="2012"/>
      <c r="ES68" s="2012"/>
      <c r="ET68" s="2012"/>
      <c r="EU68" s="2012"/>
      <c r="EV68" s="2012"/>
      <c r="EW68" s="2012"/>
      <c r="EX68" s="2012"/>
      <c r="EY68" s="2012"/>
      <c r="EZ68" s="2012"/>
      <c r="FA68" s="2012"/>
      <c r="FB68" s="1711">
        <v>1600</v>
      </c>
      <c r="FC68" s="2012"/>
      <c r="FD68" s="2012"/>
      <c r="FE68" s="2012"/>
      <c r="FF68" s="2012"/>
      <c r="FG68" s="2012"/>
      <c r="FH68" s="2012"/>
      <c r="FI68" s="2012"/>
      <c r="FJ68" s="2012"/>
      <c r="FK68" s="2012"/>
      <c r="FL68" s="2012"/>
      <c r="FM68" s="2012"/>
      <c r="FN68" s="2012"/>
      <c r="FO68" s="2012"/>
      <c r="FP68" s="2012"/>
      <c r="FQ68" s="2012"/>
      <c r="FR68" s="2012"/>
      <c r="FS68" s="2012"/>
      <c r="FT68" s="2012"/>
      <c r="FU68" s="2012"/>
      <c r="FV68" s="2012"/>
      <c r="FW68" s="2012"/>
      <c r="FX68" s="2012"/>
      <c r="FY68" s="2012"/>
      <c r="FZ68" s="2012"/>
      <c r="GA68" s="2012"/>
      <c r="GB68" s="2012"/>
      <c r="GC68" s="2012"/>
      <c r="GD68" s="2012"/>
      <c r="GE68" s="2012"/>
      <c r="GF68" s="2012"/>
      <c r="GG68" s="2012"/>
      <c r="GH68" s="2012"/>
      <c r="GI68" s="2012"/>
      <c r="GJ68" s="2012"/>
      <c r="GK68" s="2012"/>
      <c r="GL68" s="2012"/>
      <c r="GM68" s="2012"/>
      <c r="GN68" s="2012"/>
      <c r="GO68" s="2012"/>
      <c r="GP68" s="2012"/>
      <c r="GQ68" s="2012"/>
      <c r="GR68" s="2012"/>
      <c r="GS68" s="2012"/>
      <c r="GT68" s="2012"/>
      <c r="GU68" s="2012"/>
      <c r="GV68" s="2012"/>
      <c r="GW68" s="2012"/>
      <c r="GX68" s="2012"/>
      <c r="GY68" s="2012"/>
      <c r="GZ68" s="2012"/>
      <c r="HA68" s="2012"/>
      <c r="HB68" s="2012"/>
      <c r="HC68" s="2012"/>
      <c r="HD68" s="2012"/>
      <c r="HE68" s="2012"/>
      <c r="HF68" s="2012"/>
      <c r="HG68" s="2012"/>
      <c r="HH68" s="2012"/>
      <c r="HI68" s="2012"/>
      <c r="HJ68" s="2012"/>
      <c r="HK68" s="2012"/>
      <c r="HL68" s="2012"/>
      <c r="HM68" s="2012"/>
      <c r="HN68" s="2012"/>
      <c r="HO68" s="2012"/>
      <c r="HP68" s="2012"/>
      <c r="HQ68" s="2012"/>
      <c r="HR68" s="2012"/>
      <c r="HS68" s="2012"/>
      <c r="HT68" s="2012"/>
      <c r="HU68" s="2012"/>
      <c r="HV68" s="2012"/>
      <c r="HW68" s="2012"/>
      <c r="HX68" s="2012"/>
      <c r="HY68" s="2012"/>
      <c r="HZ68" s="2012"/>
      <c r="IA68" s="2012"/>
      <c r="IB68" s="2012"/>
      <c r="IC68" s="2012"/>
      <c r="ID68" s="2012"/>
      <c r="IE68" s="2012"/>
      <c r="IF68" s="2012"/>
      <c r="IG68" s="2012"/>
      <c r="IH68" s="2012"/>
      <c r="II68" s="2012"/>
      <c r="IJ68" s="2012"/>
      <c r="IK68" s="2012"/>
      <c r="IL68" s="2012"/>
      <c r="IM68" s="2012"/>
      <c r="IN68" s="2012"/>
      <c r="IO68" s="2012"/>
      <c r="IP68" s="2012"/>
      <c r="IQ68" s="2012"/>
      <c r="IR68" s="3896"/>
      <c r="IS68" s="2012"/>
      <c r="IT68" s="2012"/>
      <c r="IU68" s="2012"/>
      <c r="IV68" s="2012"/>
      <c r="IW68" s="2012"/>
      <c r="IX68" s="2012"/>
      <c r="IY68" s="2012"/>
      <c r="IZ68" s="2012"/>
      <c r="JA68" s="2548"/>
      <c r="JB68" s="2548"/>
      <c r="JC68" s="2548"/>
      <c r="JD68" s="2548"/>
      <c r="JE68" s="2548"/>
      <c r="JF68" s="2548"/>
      <c r="JG68" s="3796"/>
      <c r="JH68" s="1233"/>
      <c r="JI68" s="1232"/>
      <c r="JJ68" s="1660" t="s">
        <v>6108</v>
      </c>
    </row>
    <row ht="12.75" r="69" spans="1:270" x14ac:dyDescent="0.2">
      <c r="A69" s="1128">
        <v>20</v>
      </c>
      <c r="B69" s="1369" t="str">
        <f si="3" t="shared"/>
        <v/>
      </c>
      <c r="C69" s="1524" t="s">
        <v>2426</v>
      </c>
      <c r="D69" s="1526" t="s">
        <v>4853</v>
      </c>
      <c r="E69" s="1723"/>
      <c r="F69" s="1723"/>
      <c r="G69" s="1723"/>
      <c r="H69" s="1723"/>
      <c r="I69" s="1723"/>
      <c r="J69" s="1723"/>
      <c r="K69" s="1723"/>
      <c r="L69" s="1723"/>
      <c r="M69" s="1723"/>
      <c r="N69" s="1723"/>
      <c r="O69" s="1723"/>
      <c r="P69" s="2016"/>
      <c r="Q69" s="2016"/>
      <c r="R69" s="2016"/>
      <c r="S69" s="2016"/>
      <c r="T69" s="2016"/>
      <c r="U69" s="2016"/>
      <c r="V69" s="2016"/>
      <c r="W69" s="2016"/>
      <c r="X69" s="2016"/>
      <c r="Y69" s="2016"/>
      <c r="Z69" s="2016"/>
      <c r="AA69" s="2016"/>
      <c r="AB69" s="2016"/>
      <c r="AC69" s="2016"/>
      <c r="AD69" s="2584"/>
      <c r="AE69" s="2584"/>
      <c r="AF69" s="2584"/>
      <c r="AG69" s="2584"/>
      <c r="AH69" s="2584"/>
      <c r="AI69" s="4119">
        <f>AI63+AI64+AI65+AI66+AI67+AI68</f>
        <v>6250</v>
      </c>
      <c r="AJ69" s="2016"/>
      <c r="AK69" s="2016"/>
      <c r="AL69" s="2016"/>
      <c r="AM69" s="2016"/>
      <c r="AN69" s="2016"/>
      <c r="AO69" s="2016"/>
      <c r="AP69" s="2016"/>
      <c r="AQ69" s="2016"/>
      <c r="AR69" s="2016"/>
      <c r="AS69" s="2016"/>
      <c r="AT69" s="2016"/>
      <c r="AU69" s="2016"/>
      <c r="AV69" s="2016"/>
      <c r="AW69" s="2016"/>
      <c r="AX69" s="2016"/>
      <c r="AY69" s="2016"/>
      <c r="AZ69" s="2016"/>
      <c r="BA69" s="2016"/>
      <c r="BB69" s="2016"/>
      <c r="BC69" s="2016"/>
      <c r="BD69" s="2016"/>
      <c r="BE69" s="2016"/>
      <c r="BF69" s="2016"/>
      <c r="BG69" s="2016"/>
      <c r="BH69" s="2016"/>
      <c r="BI69" s="2016"/>
      <c r="BJ69" s="2016"/>
      <c r="BK69" s="2016"/>
      <c r="BL69" s="2016"/>
      <c r="BM69" s="2016"/>
      <c r="BN69" s="2016"/>
      <c r="BO69" s="2016"/>
      <c r="BP69" s="2016"/>
      <c r="BQ69" s="2016"/>
      <c r="BR69" s="2016"/>
      <c r="BS69" s="2016"/>
      <c r="BT69" s="2016"/>
      <c r="BU69" s="2016"/>
      <c r="BV69" s="2016"/>
      <c r="BW69" s="2016"/>
      <c r="BX69" s="2016"/>
      <c r="BY69" s="2016"/>
      <c r="BZ69" s="2016"/>
      <c r="CA69" s="2016"/>
      <c r="CB69" s="2016"/>
      <c r="CC69" s="2016"/>
      <c r="CD69" s="2016"/>
      <c r="CE69" s="2016"/>
      <c r="CF69" s="2016"/>
      <c r="CG69" s="2016"/>
      <c r="CH69" s="2016"/>
      <c r="CI69" s="1716">
        <f>CI63+CI64+CI65+CI66+CI67+CI68</f>
        <v>2000</v>
      </c>
      <c r="CJ69" s="2016"/>
      <c r="CK69" s="2016"/>
      <c r="CL69" s="2016"/>
      <c r="CM69" s="2016"/>
      <c r="CN69" s="2016"/>
      <c r="CO69" s="2016"/>
      <c r="CP69" s="2016"/>
      <c r="CQ69" s="2016"/>
      <c r="CR69" s="2016"/>
      <c r="CS69" s="2016"/>
      <c r="CT69" s="1716">
        <f>CT63+CT64+CT65+CT66+CT67+CT68</f>
        <v>2065</v>
      </c>
      <c r="CU69" s="2016"/>
      <c r="CV69" s="2016"/>
      <c r="CW69" s="2016"/>
      <c r="CX69" s="2016"/>
      <c r="CY69" s="2016"/>
      <c r="CZ69" s="2016"/>
      <c r="DA69" s="2016"/>
      <c r="DB69" s="2016"/>
      <c r="DC69" s="2016"/>
      <c r="DD69" s="2016"/>
      <c r="DE69" s="2016"/>
      <c r="DF69" s="2016"/>
      <c r="DG69" s="2016"/>
      <c r="DH69" s="2016"/>
      <c r="DI69" s="2016"/>
      <c r="DJ69" s="2016"/>
      <c r="DK69" s="2016"/>
      <c r="DL69" s="2016"/>
      <c r="DM69" s="2016"/>
      <c r="DN69" s="2016"/>
      <c r="DO69" s="2016"/>
      <c r="DP69" s="2016"/>
      <c r="DQ69" s="2016"/>
      <c r="DR69" s="2016"/>
      <c r="DS69" s="2016"/>
      <c r="DT69" s="2016"/>
      <c r="DU69" s="2016"/>
      <c r="DV69" s="2016"/>
      <c r="DW69" s="2016"/>
      <c r="DX69" s="2016"/>
      <c r="DY69" s="2016"/>
      <c r="DZ69" s="2016"/>
      <c r="EA69" s="1716">
        <f>EA63+EA64+EA65+EA66+EA67+EA68</f>
        <v>2000</v>
      </c>
      <c r="EB69" s="1716">
        <f>EB63+EB64+EB65+EB66+EB67+EB68</f>
        <v>3155</v>
      </c>
      <c r="EC69" s="1716">
        <f>EC63+EC64+EC65+EC66+EC67+EC68</f>
        <v>2065</v>
      </c>
      <c r="ED69" s="2016"/>
      <c r="EE69" s="2016"/>
      <c r="EF69" s="2016"/>
      <c r="EG69" s="2016"/>
      <c r="EH69" s="2016"/>
      <c r="EI69" s="2016"/>
      <c r="EJ69" s="2016"/>
      <c r="EK69" s="2016"/>
      <c r="EL69" s="2016"/>
      <c r="EM69" s="2016"/>
      <c r="EN69" s="2016"/>
      <c r="EO69" s="2016"/>
      <c r="EP69" s="2016"/>
      <c r="EQ69" s="2016"/>
      <c r="ER69" s="2016"/>
      <c r="ES69" s="2016"/>
      <c r="ET69" s="2016"/>
      <c r="EU69" s="2016"/>
      <c r="EV69" s="2016"/>
      <c r="EW69" s="2016"/>
      <c r="EX69" s="2016"/>
      <c r="EY69" s="2016"/>
      <c r="EZ69" s="2016"/>
      <c r="FA69" s="2016"/>
      <c r="FB69" s="1716">
        <f>FB63+FB64+FB65+FB66+FB67+FB68</f>
        <v>2065</v>
      </c>
      <c r="FC69" s="2016"/>
      <c r="FD69" s="2016"/>
      <c r="FE69" s="2016"/>
      <c r="FF69" s="2016"/>
      <c r="FG69" s="2016"/>
      <c r="FH69" s="2016"/>
      <c r="FI69" s="2016"/>
      <c r="FJ69" s="2016"/>
      <c r="FK69" s="2016"/>
      <c r="FL69" s="2016"/>
      <c r="FM69" s="2016"/>
      <c r="FN69" s="2016"/>
      <c r="FO69" s="2016"/>
      <c r="FP69" s="2016"/>
      <c r="FQ69" s="2016"/>
      <c r="FR69" s="2016"/>
      <c r="FS69" s="2016"/>
      <c r="FT69" s="2016"/>
      <c r="FU69" s="2016"/>
      <c r="FV69" s="2016"/>
      <c r="FW69" s="2016"/>
      <c r="FX69" s="2016"/>
      <c r="FY69" s="2016"/>
      <c r="FZ69" s="2016"/>
      <c r="GA69" s="2016"/>
      <c r="GB69" s="2016"/>
      <c r="GC69" s="2016"/>
      <c r="GD69" s="2016"/>
      <c r="GE69" s="2016"/>
      <c r="GF69" s="2016"/>
      <c r="GG69" s="2016"/>
      <c r="GH69" s="2016"/>
      <c r="GI69" s="2016"/>
      <c r="GJ69" s="2016"/>
      <c r="GK69" s="2016"/>
      <c r="GL69" s="2016"/>
      <c r="GM69" s="2016"/>
      <c r="GN69" s="2016"/>
      <c r="GO69" s="2016"/>
      <c r="GP69" s="2016"/>
      <c r="GQ69" s="2016"/>
      <c r="GR69" s="2016"/>
      <c r="GS69" s="2016"/>
      <c r="GT69" s="2016"/>
      <c r="GU69" s="2016"/>
      <c r="GV69" s="2016"/>
      <c r="GW69" s="2016"/>
      <c r="GX69" s="2016"/>
      <c r="GY69" s="2016"/>
      <c r="GZ69" s="2016"/>
      <c r="HA69" s="2016"/>
      <c r="HB69" s="2016"/>
      <c r="HC69" s="2016"/>
      <c r="HD69" s="2016"/>
      <c r="HE69" s="2016"/>
      <c r="HF69" s="2016"/>
      <c r="HG69" s="2016"/>
      <c r="HH69" s="2016"/>
      <c r="HI69" s="2016"/>
      <c r="HJ69" s="2016"/>
      <c r="HK69" s="2016"/>
      <c r="HL69" s="2016"/>
      <c r="HM69" s="2016"/>
      <c r="HN69" s="2016"/>
      <c r="HO69" s="2016"/>
      <c r="HP69" s="2016"/>
      <c r="HQ69" s="2016"/>
      <c r="HR69" s="2016"/>
      <c r="HS69" s="2016"/>
      <c r="HT69" s="2016"/>
      <c r="HU69" s="2016"/>
      <c r="HV69" s="2016"/>
      <c r="HW69" s="2016"/>
      <c r="HX69" s="2016"/>
      <c r="HY69" s="2016"/>
      <c r="HZ69" s="2016"/>
      <c r="IA69" s="2016"/>
      <c r="IB69" s="2016"/>
      <c r="IC69" s="2016"/>
      <c r="ID69" s="2016"/>
      <c r="IE69" s="2016"/>
      <c r="IF69" s="2016"/>
      <c r="IG69" s="2016"/>
      <c r="IH69" s="2016"/>
      <c r="II69" s="2016"/>
      <c r="IJ69" s="2016"/>
      <c r="IK69" s="2016"/>
      <c r="IL69" s="2016"/>
      <c r="IM69" s="2016"/>
      <c r="IN69" s="2016"/>
      <c r="IO69" s="2016"/>
      <c r="IP69" s="2016"/>
      <c r="IQ69" s="2016"/>
      <c r="IR69" s="2584"/>
      <c r="IS69" s="2016"/>
      <c r="IT69" s="2016"/>
      <c r="IU69" s="2016"/>
      <c r="IV69" s="2016"/>
      <c r="IW69" s="2016"/>
      <c r="IX69" s="2016"/>
      <c r="IY69" s="2016"/>
      <c r="IZ69" s="2016"/>
      <c r="JA69" s="2584"/>
      <c r="JB69" s="2584"/>
      <c r="JC69" s="2584"/>
      <c r="JD69" s="2584"/>
      <c r="JE69" s="2584"/>
      <c r="JF69" s="2584"/>
      <c r="JG69" s="3800"/>
      <c r="JH69" s="1233"/>
      <c r="JI69" s="1229" t="s">
        <v>5084</v>
      </c>
      <c r="JJ69" s="1660" t="s">
        <v>6108</v>
      </c>
    </row>
    <row ht="12.75" r="70" spans="1:270" x14ac:dyDescent="0.2">
      <c r="A70" s="1128">
        <v>21</v>
      </c>
      <c r="B70" s="1369" t="str">
        <f si="3" t="shared"/>
        <v/>
      </c>
      <c r="C70" s="1278" t="s">
        <v>2427</v>
      </c>
      <c r="D70" s="1372" t="s">
        <v>4854</v>
      </c>
      <c r="E70" s="1722"/>
      <c r="F70" s="1722"/>
      <c r="G70" s="1722"/>
      <c r="H70" s="1722"/>
      <c r="I70" s="1722"/>
      <c r="J70" s="1722"/>
      <c r="K70" s="1722"/>
      <c r="L70" s="1722"/>
      <c r="M70" s="1722"/>
      <c r="N70" s="1722"/>
      <c r="O70" s="1722"/>
      <c r="P70" s="2015"/>
      <c r="Q70" s="2015"/>
      <c r="R70" s="2015"/>
      <c r="S70" s="2015"/>
      <c r="T70" s="2015"/>
      <c r="U70" s="2015"/>
      <c r="V70" s="2015"/>
      <c r="W70" s="2015"/>
      <c r="X70" s="2015"/>
      <c r="Y70" s="2015"/>
      <c r="Z70" s="2015"/>
      <c r="AA70" s="2015"/>
      <c r="AB70" s="2015"/>
      <c r="AC70" s="2015"/>
      <c r="AD70" s="2580"/>
      <c r="AE70" s="2580"/>
      <c r="AF70" s="2580"/>
      <c r="AG70" s="2580"/>
      <c r="AH70" s="2580"/>
      <c r="AI70" s="4118">
        <f>IF(AI62+AI69&lt;8500,AI62-AI55,AI62+AI69)</f>
        <v>15049</v>
      </c>
      <c r="AJ70" s="2015"/>
      <c r="AK70" s="2015"/>
      <c r="AL70" s="2015"/>
      <c r="AM70" s="2015"/>
      <c r="AN70" s="2015"/>
      <c r="AO70" s="2015"/>
      <c r="AP70" s="2015"/>
      <c r="AQ70" s="2015"/>
      <c r="AR70" s="2015"/>
      <c r="AS70" s="2015"/>
      <c r="AT70" s="2015"/>
      <c r="AU70" s="2015"/>
      <c r="AV70" s="2015"/>
      <c r="AW70" s="2015"/>
      <c r="AX70" s="2015"/>
      <c r="AY70" s="2015"/>
      <c r="AZ70" s="2015"/>
      <c r="BA70" s="2015"/>
      <c r="BB70" s="2015"/>
      <c r="BC70" s="2015"/>
      <c r="BD70" s="2015"/>
      <c r="BE70" s="2015"/>
      <c r="BF70" s="2015"/>
      <c r="BG70" s="2015"/>
      <c r="BH70" s="2015"/>
      <c r="BI70" s="2015"/>
      <c r="BJ70" s="2015"/>
      <c r="BK70" s="2015"/>
      <c r="BL70" s="2015"/>
      <c r="BM70" s="2015"/>
      <c r="BN70" s="2015"/>
      <c r="BO70" s="2015"/>
      <c r="BP70" s="2015"/>
      <c r="BQ70" s="2015"/>
      <c r="BR70" s="2015"/>
      <c r="BS70" s="2015"/>
      <c r="BT70" s="2015"/>
      <c r="BU70" s="2015"/>
      <c r="BV70" s="2015"/>
      <c r="BW70" s="2015"/>
      <c r="BX70" s="2015"/>
      <c r="BY70" s="2015"/>
      <c r="BZ70" s="2015"/>
      <c r="CA70" s="2015"/>
      <c r="CB70" s="2015"/>
      <c r="CC70" s="2015"/>
      <c r="CD70" s="2015"/>
      <c r="CE70" s="2015"/>
      <c r="CF70" s="2015"/>
      <c r="CG70" s="2015"/>
      <c r="CH70" s="2015"/>
      <c r="CI70" s="1714">
        <f>IF(CI62+CI69&lt;8500,CI62-CI55,CI62+CI69)</f>
        <v>4500</v>
      </c>
      <c r="CJ70" s="2015"/>
      <c r="CK70" s="2015"/>
      <c r="CL70" s="2015"/>
      <c r="CM70" s="2015"/>
      <c r="CN70" s="2015"/>
      <c r="CO70" s="2015"/>
      <c r="CP70" s="2015"/>
      <c r="CQ70" s="2015"/>
      <c r="CR70" s="2015"/>
      <c r="CS70" s="2015"/>
      <c r="CT70" s="1714">
        <f>IF(CT62+CT69&lt;8500,CT62-CT55,CT62+CT69)</f>
        <v>22417</v>
      </c>
      <c r="CU70" s="2015"/>
      <c r="CV70" s="2015"/>
      <c r="CW70" s="2015"/>
      <c r="CX70" s="2015"/>
      <c r="CY70" s="2015"/>
      <c r="CZ70" s="2015"/>
      <c r="DA70" s="2015"/>
      <c r="DB70" s="2015"/>
      <c r="DC70" s="2015"/>
      <c r="DD70" s="2015"/>
      <c r="DE70" s="2015"/>
      <c r="DF70" s="2015"/>
      <c r="DG70" s="2015"/>
      <c r="DH70" s="2015"/>
      <c r="DI70" s="2015"/>
      <c r="DJ70" s="2015"/>
      <c r="DK70" s="2015"/>
      <c r="DL70" s="2015"/>
      <c r="DM70" s="2015"/>
      <c r="DN70" s="2015"/>
      <c r="DO70" s="2015"/>
      <c r="DP70" s="2015"/>
      <c r="DQ70" s="2015"/>
      <c r="DR70" s="2015"/>
      <c r="DS70" s="2015"/>
      <c r="DT70" s="2015"/>
      <c r="DU70" s="2015"/>
      <c r="DV70" s="2015"/>
      <c r="DW70" s="2015"/>
      <c r="DX70" s="2015"/>
      <c r="DY70" s="2015"/>
      <c r="DZ70" s="2015"/>
      <c r="EA70" s="1714">
        <f>IF(EA62+EA69&lt;8500,EA62-EA55,EA62+EA69)</f>
        <v>4500</v>
      </c>
      <c r="EB70" s="1714">
        <f>IF(EB62+EB69&lt;8500,EB62-EB55,EB62+EB69)</f>
        <v>21885</v>
      </c>
      <c r="EC70" s="1714">
        <f>IF(EC62+EC69&lt;8500,EC62-EC55,EC62+EC69)</f>
        <v>22417</v>
      </c>
      <c r="ED70" s="2015"/>
      <c r="EE70" s="2015"/>
      <c r="EF70" s="2015"/>
      <c r="EG70" s="2015"/>
      <c r="EH70" s="2015"/>
      <c r="EI70" s="2015"/>
      <c r="EJ70" s="2015"/>
      <c r="EK70" s="2015"/>
      <c r="EL70" s="2015"/>
      <c r="EM70" s="2015"/>
      <c r="EN70" s="2015"/>
      <c r="EO70" s="2015"/>
      <c r="EP70" s="2015"/>
      <c r="EQ70" s="2015"/>
      <c r="ER70" s="2015"/>
      <c r="ES70" s="2015"/>
      <c r="ET70" s="2015"/>
      <c r="EU70" s="2015"/>
      <c r="EV70" s="2015"/>
      <c r="EW70" s="2015"/>
      <c r="EX70" s="2015"/>
      <c r="EY70" s="2015"/>
      <c r="EZ70" s="2015"/>
      <c r="FA70" s="2015"/>
      <c r="FB70" s="1714">
        <f>IF(FB62+FB69&lt;8500,FB62-FB55,FB62+FB69)</f>
        <v>22417</v>
      </c>
      <c r="FC70" s="2015"/>
      <c r="FD70" s="2015"/>
      <c r="FE70" s="2015"/>
      <c r="FF70" s="2015"/>
      <c r="FG70" s="2015"/>
      <c r="FH70" s="2015"/>
      <c r="FI70" s="2015"/>
      <c r="FJ70" s="2015"/>
      <c r="FK70" s="2015"/>
      <c r="FL70" s="2015"/>
      <c r="FM70" s="2015"/>
      <c r="FN70" s="2015"/>
      <c r="FO70" s="2015"/>
      <c r="FP70" s="2015"/>
      <c r="FQ70" s="2015"/>
      <c r="FR70" s="2015"/>
      <c r="FS70" s="2015"/>
      <c r="FT70" s="2015"/>
      <c r="FU70" s="2015"/>
      <c r="FV70" s="2015"/>
      <c r="FW70" s="2015"/>
      <c r="FX70" s="2015"/>
      <c r="FY70" s="2015"/>
      <c r="FZ70" s="2015"/>
      <c r="GA70" s="2015"/>
      <c r="GB70" s="2015"/>
      <c r="GC70" s="2015"/>
      <c r="GD70" s="2015"/>
      <c r="GE70" s="2015"/>
      <c r="GF70" s="2015"/>
      <c r="GG70" s="2015"/>
      <c r="GH70" s="2015"/>
      <c r="GI70" s="2015"/>
      <c r="GJ70" s="2015"/>
      <c r="GK70" s="2015"/>
      <c r="GL70" s="2015"/>
      <c r="GM70" s="2015"/>
      <c r="GN70" s="2015"/>
      <c r="GO70" s="2015"/>
      <c r="GP70" s="2015"/>
      <c r="GQ70" s="2015"/>
      <c r="GR70" s="2015"/>
      <c r="GS70" s="2015"/>
      <c r="GT70" s="2015"/>
      <c r="GU70" s="2015"/>
      <c r="GV70" s="2015"/>
      <c r="GW70" s="2015"/>
      <c r="GX70" s="2015"/>
      <c r="GY70" s="2015"/>
      <c r="GZ70" s="2015"/>
      <c r="HA70" s="2015"/>
      <c r="HB70" s="2015"/>
      <c r="HC70" s="2015"/>
      <c r="HD70" s="2015"/>
      <c r="HE70" s="2015"/>
      <c r="HF70" s="2015"/>
      <c r="HG70" s="2015"/>
      <c r="HH70" s="2015"/>
      <c r="HI70" s="2015"/>
      <c r="HJ70" s="2015"/>
      <c r="HK70" s="2015"/>
      <c r="HL70" s="2015"/>
      <c r="HM70" s="2015"/>
      <c r="HN70" s="2015"/>
      <c r="HO70" s="2015"/>
      <c r="HP70" s="2015"/>
      <c r="HQ70" s="2015"/>
      <c r="HR70" s="2015"/>
      <c r="HS70" s="2015"/>
      <c r="HT70" s="2015"/>
      <c r="HU70" s="2015"/>
      <c r="HV70" s="2015"/>
      <c r="HW70" s="2015"/>
      <c r="HX70" s="2015"/>
      <c r="HY70" s="2015"/>
      <c r="HZ70" s="2015"/>
      <c r="IA70" s="2015"/>
      <c r="IB70" s="2015"/>
      <c r="IC70" s="2015"/>
      <c r="ID70" s="2015"/>
      <c r="IE70" s="2015"/>
      <c r="IF70" s="2015"/>
      <c r="IG70" s="2015"/>
      <c r="IH70" s="2015"/>
      <c r="II70" s="2015"/>
      <c r="IJ70" s="2015"/>
      <c r="IK70" s="2015"/>
      <c r="IL70" s="2015"/>
      <c r="IM70" s="2015"/>
      <c r="IN70" s="2015"/>
      <c r="IO70" s="2015"/>
      <c r="IP70" s="2015"/>
      <c r="IQ70" s="2015"/>
      <c r="IR70" s="3898"/>
      <c r="IS70" s="2015"/>
      <c r="IT70" s="2015"/>
      <c r="IU70" s="2015"/>
      <c r="IV70" s="2015"/>
      <c r="IW70" s="2015"/>
      <c r="IX70" s="2015"/>
      <c r="IY70" s="2015"/>
      <c r="IZ70" s="2015"/>
      <c r="JA70" s="2580"/>
      <c r="JB70" s="2580"/>
      <c r="JC70" s="2580"/>
      <c r="JD70" s="2580"/>
      <c r="JE70" s="2580"/>
      <c r="JF70" s="2580"/>
      <c r="JG70" s="3799"/>
      <c r="JH70" s="1233"/>
      <c r="JI70" s="1231" t="s">
        <v>5085</v>
      </c>
      <c r="JJ70" s="1660" t="s">
        <v>6124</v>
      </c>
    </row>
    <row ht="12.75" r="71" spans="1:270" x14ac:dyDescent="0.2">
      <c r="A71" s="1128">
        <v>22</v>
      </c>
      <c r="B71" s="1369" t="str">
        <f si="3" t="shared"/>
        <v/>
      </c>
      <c r="C71" s="1278" t="s">
        <v>2428</v>
      </c>
      <c r="D71" s="1372" t="s">
        <v>4855</v>
      </c>
      <c r="E71" s="1719"/>
      <c r="F71" s="1719"/>
      <c r="G71" s="1719"/>
      <c r="H71" s="1719"/>
      <c r="I71" s="1719"/>
      <c r="J71" s="1719"/>
      <c r="K71" s="1719"/>
      <c r="L71" s="1719"/>
      <c r="M71" s="1719"/>
      <c r="N71" s="1719"/>
      <c r="O71" s="1719"/>
      <c r="P71" s="2012"/>
      <c r="Q71" s="2012"/>
      <c r="R71" s="2012"/>
      <c r="S71" s="2012"/>
      <c r="T71" s="2012"/>
      <c r="U71" s="2012"/>
      <c r="V71" s="2012"/>
      <c r="W71" s="2012"/>
      <c r="X71" s="2012"/>
      <c r="Y71" s="2012"/>
      <c r="Z71" s="2012"/>
      <c r="AA71" s="2012"/>
      <c r="AB71" s="2012"/>
      <c r="AC71" s="2012"/>
      <c r="AD71" s="2548"/>
      <c r="AE71" s="2548"/>
      <c r="AF71" s="2548"/>
      <c r="AG71" s="2548"/>
      <c r="AH71" s="2548"/>
      <c r="AI71" s="4117">
        <v>380</v>
      </c>
      <c r="AJ71" s="2012"/>
      <c r="AK71" s="2012"/>
      <c r="AL71" s="2012"/>
      <c r="AM71" s="2012"/>
      <c r="AN71" s="2012"/>
      <c r="AO71" s="2012"/>
      <c r="AP71" s="2012"/>
      <c r="AQ71" s="2012"/>
      <c r="AR71" s="2012"/>
      <c r="AS71" s="2012"/>
      <c r="AT71" s="2012"/>
      <c r="AU71" s="2012"/>
      <c r="AV71" s="2012"/>
      <c r="AW71" s="2012"/>
      <c r="AX71" s="2012"/>
      <c r="AY71" s="2012"/>
      <c r="AZ71" s="2012"/>
      <c r="BA71" s="2012"/>
      <c r="BB71" s="2012"/>
      <c r="BC71" s="2012"/>
      <c r="BD71" s="2012"/>
      <c r="BE71" s="2012"/>
      <c r="BF71" s="2012"/>
      <c r="BG71" s="2012"/>
      <c r="BH71" s="2012"/>
      <c r="BI71" s="2012"/>
      <c r="BJ71" s="2012"/>
      <c r="BK71" s="2012"/>
      <c r="BL71" s="2012"/>
      <c r="BM71" s="2012"/>
      <c r="BN71" s="2012"/>
      <c r="BO71" s="2012"/>
      <c r="BP71" s="2012"/>
      <c r="BQ71" s="2012"/>
      <c r="BR71" s="2012"/>
      <c r="BS71" s="2012"/>
      <c r="BT71" s="2012"/>
      <c r="BU71" s="2012"/>
      <c r="BV71" s="2012"/>
      <c r="BW71" s="2012"/>
      <c r="BX71" s="2012"/>
      <c r="BY71" s="2012"/>
      <c r="BZ71" s="2012"/>
      <c r="CA71" s="2012"/>
      <c r="CB71" s="2012"/>
      <c r="CC71" s="2012"/>
      <c r="CD71" s="2012"/>
      <c r="CE71" s="2012"/>
      <c r="CF71" s="2012"/>
      <c r="CG71" s="2012"/>
      <c r="CH71" s="2012"/>
      <c r="CI71" s="1711"/>
      <c r="CJ71" s="2012"/>
      <c r="CK71" s="2012"/>
      <c r="CL71" s="2012"/>
      <c r="CM71" s="2012"/>
      <c r="CN71" s="2012"/>
      <c r="CO71" s="2012"/>
      <c r="CP71" s="2012"/>
      <c r="CQ71" s="2012"/>
      <c r="CR71" s="2012"/>
      <c r="CS71" s="2012"/>
      <c r="CT71" s="1711"/>
      <c r="CU71" s="2012"/>
      <c r="CV71" s="2012"/>
      <c r="CW71" s="2012"/>
      <c r="CX71" s="2012"/>
      <c r="CY71" s="2012"/>
      <c r="CZ71" s="2012"/>
      <c r="DA71" s="2012"/>
      <c r="DB71" s="2012"/>
      <c r="DC71" s="2012"/>
      <c r="DD71" s="2012"/>
      <c r="DE71" s="2012"/>
      <c r="DF71" s="2012"/>
      <c r="DG71" s="2012"/>
      <c r="DH71" s="2012"/>
      <c r="DI71" s="2012"/>
      <c r="DJ71" s="2012"/>
      <c r="DK71" s="2012"/>
      <c r="DL71" s="2012"/>
      <c r="DM71" s="2012"/>
      <c r="DN71" s="2012"/>
      <c r="DO71" s="2012"/>
      <c r="DP71" s="2012"/>
      <c r="DQ71" s="2012"/>
      <c r="DR71" s="2012"/>
      <c r="DS71" s="2012"/>
      <c r="DT71" s="2012"/>
      <c r="DU71" s="2012"/>
      <c r="DV71" s="2012"/>
      <c r="DW71" s="2012"/>
      <c r="DX71" s="2012"/>
      <c r="DY71" s="2012"/>
      <c r="DZ71" s="2012"/>
      <c r="EA71" s="1711"/>
      <c r="EB71" s="1711"/>
      <c r="EC71" s="1711"/>
      <c r="ED71" s="2012"/>
      <c r="EE71" s="2012"/>
      <c r="EF71" s="2012"/>
      <c r="EG71" s="2012"/>
      <c r="EH71" s="2012"/>
      <c r="EI71" s="2012"/>
      <c r="EJ71" s="2012"/>
      <c r="EK71" s="2012"/>
      <c r="EL71" s="2012"/>
      <c r="EM71" s="2012"/>
      <c r="EN71" s="2012"/>
      <c r="EO71" s="2012"/>
      <c r="EP71" s="2012"/>
      <c r="EQ71" s="2012"/>
      <c r="ER71" s="2012"/>
      <c r="ES71" s="2012"/>
      <c r="ET71" s="2012"/>
      <c r="EU71" s="2012"/>
      <c r="EV71" s="2012"/>
      <c r="EW71" s="2012"/>
      <c r="EX71" s="2012"/>
      <c r="EY71" s="2012"/>
      <c r="EZ71" s="2012"/>
      <c r="FA71" s="2012"/>
      <c r="FB71" s="1711"/>
      <c r="FC71" s="2012"/>
      <c r="FD71" s="2012"/>
      <c r="FE71" s="2012"/>
      <c r="FF71" s="2012"/>
      <c r="FG71" s="2012"/>
      <c r="FH71" s="2012"/>
      <c r="FI71" s="2012"/>
      <c r="FJ71" s="2012"/>
      <c r="FK71" s="2012"/>
      <c r="FL71" s="2012"/>
      <c r="FM71" s="2012"/>
      <c r="FN71" s="2012"/>
      <c r="FO71" s="2012"/>
      <c r="FP71" s="2012"/>
      <c r="FQ71" s="2012"/>
      <c r="FR71" s="2012"/>
      <c r="FS71" s="2012"/>
      <c r="FT71" s="2012"/>
      <c r="FU71" s="2012"/>
      <c r="FV71" s="2012"/>
      <c r="FW71" s="2012"/>
      <c r="FX71" s="2012"/>
      <c r="FY71" s="2012"/>
      <c r="FZ71" s="2012"/>
      <c r="GA71" s="2012"/>
      <c r="GB71" s="2012"/>
      <c r="GC71" s="2012"/>
      <c r="GD71" s="2012"/>
      <c r="GE71" s="2012"/>
      <c r="GF71" s="2012"/>
      <c r="GG71" s="2012"/>
      <c r="GH71" s="2012"/>
      <c r="GI71" s="2012"/>
      <c r="GJ71" s="2012"/>
      <c r="GK71" s="2012"/>
      <c r="GL71" s="2012"/>
      <c r="GM71" s="2012"/>
      <c r="GN71" s="2012"/>
      <c r="GO71" s="2012"/>
      <c r="GP71" s="2012"/>
      <c r="GQ71" s="2012"/>
      <c r="GR71" s="2012"/>
      <c r="GS71" s="2012"/>
      <c r="GT71" s="2012"/>
      <c r="GU71" s="2012"/>
      <c r="GV71" s="2012"/>
      <c r="GW71" s="2012"/>
      <c r="GX71" s="2012"/>
      <c r="GY71" s="2012"/>
      <c r="GZ71" s="2012"/>
      <c r="HA71" s="2012"/>
      <c r="HB71" s="2012"/>
      <c r="HC71" s="2012"/>
      <c r="HD71" s="2012"/>
      <c r="HE71" s="2012"/>
      <c r="HF71" s="2012"/>
      <c r="HG71" s="2012"/>
      <c r="HH71" s="2012"/>
      <c r="HI71" s="2012"/>
      <c r="HJ71" s="2012"/>
      <c r="HK71" s="2012"/>
      <c r="HL71" s="2012"/>
      <c r="HM71" s="2012"/>
      <c r="HN71" s="2012"/>
      <c r="HO71" s="2012"/>
      <c r="HP71" s="2012"/>
      <c r="HQ71" s="2012"/>
      <c r="HR71" s="2012"/>
      <c r="HS71" s="2012"/>
      <c r="HT71" s="2012"/>
      <c r="HU71" s="2012"/>
      <c r="HV71" s="2012"/>
      <c r="HW71" s="2012"/>
      <c r="HX71" s="2012"/>
      <c r="HY71" s="2012"/>
      <c r="HZ71" s="2012"/>
      <c r="IA71" s="2012"/>
      <c r="IB71" s="2012"/>
      <c r="IC71" s="2012"/>
      <c r="ID71" s="2012"/>
      <c r="IE71" s="2012"/>
      <c r="IF71" s="2012"/>
      <c r="IG71" s="2012"/>
      <c r="IH71" s="2012"/>
      <c r="II71" s="2012"/>
      <c r="IJ71" s="2012"/>
      <c r="IK71" s="2012"/>
      <c r="IL71" s="2012"/>
      <c r="IM71" s="2012"/>
      <c r="IN71" s="2012"/>
      <c r="IO71" s="2012"/>
      <c r="IP71" s="2012"/>
      <c r="IQ71" s="2012"/>
      <c r="IR71" s="3896"/>
      <c r="IS71" s="2012"/>
      <c r="IT71" s="2012"/>
      <c r="IU71" s="2012"/>
      <c r="IV71" s="2012"/>
      <c r="IW71" s="2012"/>
      <c r="IX71" s="2012"/>
      <c r="IY71" s="2012"/>
      <c r="IZ71" s="2012"/>
      <c r="JA71" s="2548"/>
      <c r="JB71" s="2548"/>
      <c r="JC71" s="2548"/>
      <c r="JD71" s="2548"/>
      <c r="JE71" s="2548"/>
      <c r="JF71" s="2548"/>
      <c r="JG71" s="3796"/>
      <c r="JH71" s="1233"/>
      <c r="JI71" s="1232"/>
      <c r="JJ71" s="1660" t="s">
        <v>6108</v>
      </c>
    </row>
    <row ht="12.75" r="72" spans="1:270" x14ac:dyDescent="0.2">
      <c r="A72" s="1128">
        <v>23</v>
      </c>
      <c r="B72" s="1369" t="str">
        <f si="3" t="shared"/>
        <v/>
      </c>
      <c r="C72" s="1278" t="s">
        <v>2429</v>
      </c>
      <c r="D72" s="1372" t="s">
        <v>4856</v>
      </c>
      <c r="E72" s="1719"/>
      <c r="F72" s="1719"/>
      <c r="G72" s="1719"/>
      <c r="H72" s="1719"/>
      <c r="I72" s="1719"/>
      <c r="J72" s="1719"/>
      <c r="K72" s="1719"/>
      <c r="L72" s="1719"/>
      <c r="M72" s="1719"/>
      <c r="N72" s="1719"/>
      <c r="O72" s="1719"/>
      <c r="P72" s="2012"/>
      <c r="Q72" s="2012"/>
      <c r="R72" s="2012"/>
      <c r="S72" s="2012"/>
      <c r="T72" s="2012"/>
      <c r="U72" s="2012"/>
      <c r="V72" s="2012"/>
      <c r="W72" s="2012"/>
      <c r="X72" s="2012"/>
      <c r="Y72" s="2012"/>
      <c r="Z72" s="2012"/>
      <c r="AA72" s="2012"/>
      <c r="AB72" s="2012"/>
      <c r="AC72" s="2012"/>
      <c r="AD72" s="2548"/>
      <c r="AE72" s="2548"/>
      <c r="AF72" s="2548"/>
      <c r="AG72" s="2548"/>
      <c r="AH72" s="2548"/>
      <c r="AI72" s="4117">
        <v>414</v>
      </c>
      <c r="AJ72" s="2012"/>
      <c r="AK72" s="2012"/>
      <c r="AL72" s="2012"/>
      <c r="AM72" s="2012"/>
      <c r="AN72" s="2012"/>
      <c r="AO72" s="2012"/>
      <c r="AP72" s="2012"/>
      <c r="AQ72" s="2012"/>
      <c r="AR72" s="2012"/>
      <c r="AS72" s="2012"/>
      <c r="AT72" s="2012"/>
      <c r="AU72" s="2012"/>
      <c r="AV72" s="2012"/>
      <c r="AW72" s="2012"/>
      <c r="AX72" s="2012"/>
      <c r="AY72" s="2012"/>
      <c r="AZ72" s="2012"/>
      <c r="BA72" s="2012"/>
      <c r="BB72" s="2012"/>
      <c r="BC72" s="2012"/>
      <c r="BD72" s="2012"/>
      <c r="BE72" s="2012"/>
      <c r="BF72" s="2012"/>
      <c r="BG72" s="2012"/>
      <c r="BH72" s="2012"/>
      <c r="BI72" s="2012"/>
      <c r="BJ72" s="2012"/>
      <c r="BK72" s="2012"/>
      <c r="BL72" s="2012"/>
      <c r="BM72" s="2012"/>
      <c r="BN72" s="2012"/>
      <c r="BO72" s="2012"/>
      <c r="BP72" s="2012"/>
      <c r="BQ72" s="2012"/>
      <c r="BR72" s="2012"/>
      <c r="BS72" s="2012"/>
      <c r="BT72" s="2012"/>
      <c r="BU72" s="2012"/>
      <c r="BV72" s="2012"/>
      <c r="BW72" s="2012"/>
      <c r="BX72" s="2012"/>
      <c r="BY72" s="2012"/>
      <c r="BZ72" s="2012"/>
      <c r="CA72" s="2012"/>
      <c r="CB72" s="2012"/>
      <c r="CC72" s="2012"/>
      <c r="CD72" s="2012"/>
      <c r="CE72" s="2012"/>
      <c r="CF72" s="2012"/>
      <c r="CG72" s="2012"/>
      <c r="CH72" s="2012"/>
      <c r="CI72" s="1711"/>
      <c r="CJ72" s="2012"/>
      <c r="CK72" s="2012"/>
      <c r="CL72" s="2012"/>
      <c r="CM72" s="2012"/>
      <c r="CN72" s="2012"/>
      <c r="CO72" s="2012"/>
      <c r="CP72" s="2012"/>
      <c r="CQ72" s="2012"/>
      <c r="CR72" s="2012"/>
      <c r="CS72" s="2012"/>
      <c r="CT72" s="1711"/>
      <c r="CU72" s="2012"/>
      <c r="CV72" s="2012"/>
      <c r="CW72" s="2012"/>
      <c r="CX72" s="2012"/>
      <c r="CY72" s="2012"/>
      <c r="CZ72" s="2012"/>
      <c r="DA72" s="2012"/>
      <c r="DB72" s="2012"/>
      <c r="DC72" s="2012"/>
      <c r="DD72" s="2012"/>
      <c r="DE72" s="2012"/>
      <c r="DF72" s="2012"/>
      <c r="DG72" s="2012"/>
      <c r="DH72" s="2012"/>
      <c r="DI72" s="2012"/>
      <c r="DJ72" s="2012"/>
      <c r="DK72" s="2012"/>
      <c r="DL72" s="2012"/>
      <c r="DM72" s="2012"/>
      <c r="DN72" s="2012"/>
      <c r="DO72" s="2012"/>
      <c r="DP72" s="2012"/>
      <c r="DQ72" s="2012"/>
      <c r="DR72" s="2012"/>
      <c r="DS72" s="2012"/>
      <c r="DT72" s="2012"/>
      <c r="DU72" s="2012"/>
      <c r="DV72" s="2012"/>
      <c r="DW72" s="2012"/>
      <c r="DX72" s="2012"/>
      <c r="DY72" s="2012"/>
      <c r="DZ72" s="2012"/>
      <c r="EA72" s="1711"/>
      <c r="EB72" s="1711">
        <v>620</v>
      </c>
      <c r="EC72" s="1711"/>
      <c r="ED72" s="2012"/>
      <c r="EE72" s="2012"/>
      <c r="EF72" s="2012"/>
      <c r="EG72" s="2012"/>
      <c r="EH72" s="2012"/>
      <c r="EI72" s="2012"/>
      <c r="EJ72" s="2012"/>
      <c r="EK72" s="2012"/>
      <c r="EL72" s="2012"/>
      <c r="EM72" s="2012"/>
      <c r="EN72" s="2012"/>
      <c r="EO72" s="2012"/>
      <c r="EP72" s="2012"/>
      <c r="EQ72" s="2012"/>
      <c r="ER72" s="2012"/>
      <c r="ES72" s="2012"/>
      <c r="ET72" s="2012"/>
      <c r="EU72" s="2012"/>
      <c r="EV72" s="2012"/>
      <c r="EW72" s="2012"/>
      <c r="EX72" s="2012"/>
      <c r="EY72" s="2012"/>
      <c r="EZ72" s="2012"/>
      <c r="FA72" s="2012"/>
      <c r="FB72" s="1711"/>
      <c r="FC72" s="2012"/>
      <c r="FD72" s="2012"/>
      <c r="FE72" s="2012"/>
      <c r="FF72" s="2012"/>
      <c r="FG72" s="2012"/>
      <c r="FH72" s="2012"/>
      <c r="FI72" s="2012"/>
      <c r="FJ72" s="2012"/>
      <c r="FK72" s="2012"/>
      <c r="FL72" s="2012"/>
      <c r="FM72" s="2012"/>
      <c r="FN72" s="2012"/>
      <c r="FO72" s="2012"/>
      <c r="FP72" s="2012"/>
      <c r="FQ72" s="2012"/>
      <c r="FR72" s="2012"/>
      <c r="FS72" s="2012"/>
      <c r="FT72" s="2012"/>
      <c r="FU72" s="2012"/>
      <c r="FV72" s="2012"/>
      <c r="FW72" s="2012"/>
      <c r="FX72" s="2012"/>
      <c r="FY72" s="2012"/>
      <c r="FZ72" s="2012"/>
      <c r="GA72" s="2012"/>
      <c r="GB72" s="2012"/>
      <c r="GC72" s="2012"/>
      <c r="GD72" s="2012"/>
      <c r="GE72" s="2012"/>
      <c r="GF72" s="2012"/>
      <c r="GG72" s="2012"/>
      <c r="GH72" s="2012"/>
      <c r="GI72" s="2012"/>
      <c r="GJ72" s="2012"/>
      <c r="GK72" s="2012"/>
      <c r="GL72" s="2012"/>
      <c r="GM72" s="2012"/>
      <c r="GN72" s="2012"/>
      <c r="GO72" s="2012"/>
      <c r="GP72" s="2012"/>
      <c r="GQ72" s="2012"/>
      <c r="GR72" s="2012"/>
      <c r="GS72" s="2012"/>
      <c r="GT72" s="2012"/>
      <c r="GU72" s="2012"/>
      <c r="GV72" s="2012"/>
      <c r="GW72" s="2012"/>
      <c r="GX72" s="2012"/>
      <c r="GY72" s="2012"/>
      <c r="GZ72" s="2012"/>
      <c r="HA72" s="2012"/>
      <c r="HB72" s="2012"/>
      <c r="HC72" s="2012"/>
      <c r="HD72" s="2012"/>
      <c r="HE72" s="2012"/>
      <c r="HF72" s="2012"/>
      <c r="HG72" s="2012"/>
      <c r="HH72" s="2012"/>
      <c r="HI72" s="2012"/>
      <c r="HJ72" s="2012"/>
      <c r="HK72" s="2012"/>
      <c r="HL72" s="2012"/>
      <c r="HM72" s="2012"/>
      <c r="HN72" s="2012"/>
      <c r="HO72" s="2012"/>
      <c r="HP72" s="2012"/>
      <c r="HQ72" s="2012"/>
      <c r="HR72" s="2012"/>
      <c r="HS72" s="2012"/>
      <c r="HT72" s="2012"/>
      <c r="HU72" s="2012"/>
      <c r="HV72" s="2012"/>
      <c r="HW72" s="2012"/>
      <c r="HX72" s="2012"/>
      <c r="HY72" s="2012"/>
      <c r="HZ72" s="2012"/>
      <c r="IA72" s="2012"/>
      <c r="IB72" s="2012"/>
      <c r="IC72" s="2012"/>
      <c r="ID72" s="2012"/>
      <c r="IE72" s="2012"/>
      <c r="IF72" s="2012"/>
      <c r="IG72" s="2012"/>
      <c r="IH72" s="2012"/>
      <c r="II72" s="2012"/>
      <c r="IJ72" s="2012"/>
      <c r="IK72" s="2012"/>
      <c r="IL72" s="2012"/>
      <c r="IM72" s="2012"/>
      <c r="IN72" s="2012"/>
      <c r="IO72" s="2012"/>
      <c r="IP72" s="2012"/>
      <c r="IQ72" s="2012"/>
      <c r="IR72" s="3896"/>
      <c r="IS72" s="2012"/>
      <c r="IT72" s="2012"/>
      <c r="IU72" s="2012"/>
      <c r="IV72" s="2012"/>
      <c r="IW72" s="2012"/>
      <c r="IX72" s="2012"/>
      <c r="IY72" s="2012"/>
      <c r="IZ72" s="2012"/>
      <c r="JA72" s="2548"/>
      <c r="JB72" s="2548"/>
      <c r="JC72" s="2548"/>
      <c r="JD72" s="2548"/>
      <c r="JE72" s="2548"/>
      <c r="JF72" s="2548"/>
      <c r="JG72" s="3796"/>
      <c r="JH72" s="1233"/>
      <c r="JI72" s="1232"/>
      <c r="JJ72" s="1660" t="s">
        <v>6108</v>
      </c>
    </row>
    <row ht="12.75" r="73" spans="1:270" x14ac:dyDescent="0.2">
      <c r="A73" s="1128">
        <v>24</v>
      </c>
      <c r="B73" s="1369" t="str">
        <f si="3" t="shared"/>
        <v/>
      </c>
      <c r="C73" s="1278" t="s">
        <v>2430</v>
      </c>
      <c r="D73" s="1372" t="s">
        <v>4857</v>
      </c>
      <c r="E73" s="1719"/>
      <c r="F73" s="1719"/>
      <c r="G73" s="1719"/>
      <c r="H73" s="1719"/>
      <c r="I73" s="1719"/>
      <c r="J73" s="1719"/>
      <c r="K73" s="1719"/>
      <c r="L73" s="1719"/>
      <c r="M73" s="1719"/>
      <c r="N73" s="1719"/>
      <c r="O73" s="1719"/>
      <c r="P73" s="2012"/>
      <c r="Q73" s="2012"/>
      <c r="R73" s="2012"/>
      <c r="S73" s="2012"/>
      <c r="T73" s="2012"/>
      <c r="U73" s="2012"/>
      <c r="V73" s="2012"/>
      <c r="W73" s="2012"/>
      <c r="X73" s="2012"/>
      <c r="Y73" s="2012"/>
      <c r="Z73" s="2012"/>
      <c r="AA73" s="2012"/>
      <c r="AB73" s="2012"/>
      <c r="AC73" s="2012"/>
      <c r="AD73" s="2548"/>
      <c r="AE73" s="2548"/>
      <c r="AF73" s="2548"/>
      <c r="AG73" s="2548"/>
      <c r="AH73" s="2548"/>
      <c r="AI73" s="4117">
        <v>3600</v>
      </c>
      <c r="AJ73" s="2012"/>
      <c r="AK73" s="2012"/>
      <c r="AL73" s="2012"/>
      <c r="AM73" s="2012"/>
      <c r="AN73" s="2012"/>
      <c r="AO73" s="2012"/>
      <c r="AP73" s="2012"/>
      <c r="AQ73" s="2012"/>
      <c r="AR73" s="2012"/>
      <c r="AS73" s="2012"/>
      <c r="AT73" s="2012"/>
      <c r="AU73" s="2012"/>
      <c r="AV73" s="2012"/>
      <c r="AW73" s="2012"/>
      <c r="AX73" s="2012"/>
      <c r="AY73" s="2012"/>
      <c r="AZ73" s="2012"/>
      <c r="BA73" s="2012"/>
      <c r="BB73" s="2012"/>
      <c r="BC73" s="2012"/>
      <c r="BD73" s="2012"/>
      <c r="BE73" s="2012"/>
      <c r="BF73" s="2012"/>
      <c r="BG73" s="2012"/>
      <c r="BH73" s="2012"/>
      <c r="BI73" s="2012"/>
      <c r="BJ73" s="2012"/>
      <c r="BK73" s="2012"/>
      <c r="BL73" s="2012"/>
      <c r="BM73" s="2012"/>
      <c r="BN73" s="2012"/>
      <c r="BO73" s="2012"/>
      <c r="BP73" s="2012"/>
      <c r="BQ73" s="2012"/>
      <c r="BR73" s="2012"/>
      <c r="BS73" s="2012"/>
      <c r="BT73" s="2012"/>
      <c r="BU73" s="2012"/>
      <c r="BV73" s="2012"/>
      <c r="BW73" s="2012"/>
      <c r="BX73" s="2012"/>
      <c r="BY73" s="2012"/>
      <c r="BZ73" s="2012"/>
      <c r="CA73" s="2012"/>
      <c r="CB73" s="2012"/>
      <c r="CC73" s="2012"/>
      <c r="CD73" s="2012"/>
      <c r="CE73" s="2012"/>
      <c r="CF73" s="2012"/>
      <c r="CG73" s="2012"/>
      <c r="CH73" s="2012"/>
      <c r="CI73" s="1711"/>
      <c r="CJ73" s="2012"/>
      <c r="CK73" s="2012"/>
      <c r="CL73" s="2012"/>
      <c r="CM73" s="2012"/>
      <c r="CN73" s="2012"/>
      <c r="CO73" s="2012"/>
      <c r="CP73" s="2012"/>
      <c r="CQ73" s="2012"/>
      <c r="CR73" s="2012"/>
      <c r="CS73" s="2012"/>
      <c r="CT73" s="1711"/>
      <c r="CU73" s="2012"/>
      <c r="CV73" s="2012"/>
      <c r="CW73" s="2012"/>
      <c r="CX73" s="2012"/>
      <c r="CY73" s="2012"/>
      <c r="CZ73" s="2012"/>
      <c r="DA73" s="2012"/>
      <c r="DB73" s="2012"/>
      <c r="DC73" s="2012"/>
      <c r="DD73" s="2012"/>
      <c r="DE73" s="2012"/>
      <c r="DF73" s="2012"/>
      <c r="DG73" s="2012"/>
      <c r="DH73" s="2012"/>
      <c r="DI73" s="2012"/>
      <c r="DJ73" s="2012"/>
      <c r="DK73" s="2012"/>
      <c r="DL73" s="2012"/>
      <c r="DM73" s="2012"/>
      <c r="DN73" s="2012"/>
      <c r="DO73" s="2012"/>
      <c r="DP73" s="2012"/>
      <c r="DQ73" s="2012"/>
      <c r="DR73" s="2012"/>
      <c r="DS73" s="2012"/>
      <c r="DT73" s="2012"/>
      <c r="DU73" s="2012"/>
      <c r="DV73" s="2012"/>
      <c r="DW73" s="2012"/>
      <c r="DX73" s="2012"/>
      <c r="DY73" s="2012"/>
      <c r="DZ73" s="2012"/>
      <c r="EA73" s="1711"/>
      <c r="EB73" s="1711">
        <v>4800</v>
      </c>
      <c r="EC73" s="1711"/>
      <c r="ED73" s="2012"/>
      <c r="EE73" s="2012"/>
      <c r="EF73" s="2012"/>
      <c r="EG73" s="2012"/>
      <c r="EH73" s="2012"/>
      <c r="EI73" s="2012"/>
      <c r="EJ73" s="2012"/>
      <c r="EK73" s="2012"/>
      <c r="EL73" s="2012"/>
      <c r="EM73" s="2012"/>
      <c r="EN73" s="2012"/>
      <c r="EO73" s="2012"/>
      <c r="EP73" s="2012"/>
      <c r="EQ73" s="2012"/>
      <c r="ER73" s="2012"/>
      <c r="ES73" s="2012"/>
      <c r="ET73" s="2012"/>
      <c r="EU73" s="2012"/>
      <c r="EV73" s="2012"/>
      <c r="EW73" s="2012"/>
      <c r="EX73" s="2012"/>
      <c r="EY73" s="2012"/>
      <c r="EZ73" s="2012"/>
      <c r="FA73" s="2012"/>
      <c r="FB73" s="1711"/>
      <c r="FC73" s="2012"/>
      <c r="FD73" s="2012"/>
      <c r="FE73" s="2012"/>
      <c r="FF73" s="2012"/>
      <c r="FG73" s="2012"/>
      <c r="FH73" s="2012"/>
      <c r="FI73" s="2012"/>
      <c r="FJ73" s="2012"/>
      <c r="FK73" s="2012"/>
      <c r="FL73" s="2012"/>
      <c r="FM73" s="2012"/>
      <c r="FN73" s="2012"/>
      <c r="FO73" s="2012"/>
      <c r="FP73" s="2012"/>
      <c r="FQ73" s="2012"/>
      <c r="FR73" s="2012"/>
      <c r="FS73" s="2012"/>
      <c r="FT73" s="2012"/>
      <c r="FU73" s="2012"/>
      <c r="FV73" s="2012"/>
      <c r="FW73" s="2012"/>
      <c r="FX73" s="2012"/>
      <c r="FY73" s="2012"/>
      <c r="FZ73" s="2012"/>
      <c r="GA73" s="2012"/>
      <c r="GB73" s="2012"/>
      <c r="GC73" s="2012"/>
      <c r="GD73" s="2012"/>
      <c r="GE73" s="2012"/>
      <c r="GF73" s="2012"/>
      <c r="GG73" s="2012"/>
      <c r="GH73" s="2012"/>
      <c r="GI73" s="2012"/>
      <c r="GJ73" s="2012"/>
      <c r="GK73" s="2012"/>
      <c r="GL73" s="2012"/>
      <c r="GM73" s="2012"/>
      <c r="GN73" s="2012"/>
      <c r="GO73" s="2012"/>
      <c r="GP73" s="2012"/>
      <c r="GQ73" s="2012"/>
      <c r="GR73" s="2012"/>
      <c r="GS73" s="2012"/>
      <c r="GT73" s="2012"/>
      <c r="GU73" s="2012"/>
      <c r="GV73" s="2012"/>
      <c r="GW73" s="2012"/>
      <c r="GX73" s="2012"/>
      <c r="GY73" s="2012"/>
      <c r="GZ73" s="2012"/>
      <c r="HA73" s="2012"/>
      <c r="HB73" s="2012"/>
      <c r="HC73" s="2012"/>
      <c r="HD73" s="2012"/>
      <c r="HE73" s="2012"/>
      <c r="HF73" s="2012"/>
      <c r="HG73" s="2012"/>
      <c r="HH73" s="2012"/>
      <c r="HI73" s="2012"/>
      <c r="HJ73" s="2012"/>
      <c r="HK73" s="2012"/>
      <c r="HL73" s="2012"/>
      <c r="HM73" s="2012"/>
      <c r="HN73" s="2012"/>
      <c r="HO73" s="2012"/>
      <c r="HP73" s="2012"/>
      <c r="HQ73" s="2012"/>
      <c r="HR73" s="2012"/>
      <c r="HS73" s="2012"/>
      <c r="HT73" s="2012"/>
      <c r="HU73" s="2012"/>
      <c r="HV73" s="2012"/>
      <c r="HW73" s="2012"/>
      <c r="HX73" s="2012"/>
      <c r="HY73" s="2012"/>
      <c r="HZ73" s="2012"/>
      <c r="IA73" s="2012"/>
      <c r="IB73" s="2012"/>
      <c r="IC73" s="2012"/>
      <c r="ID73" s="2012"/>
      <c r="IE73" s="2012"/>
      <c r="IF73" s="2012"/>
      <c r="IG73" s="2012"/>
      <c r="IH73" s="2012"/>
      <c r="II73" s="2012"/>
      <c r="IJ73" s="2012"/>
      <c r="IK73" s="2012"/>
      <c r="IL73" s="2012"/>
      <c r="IM73" s="2012"/>
      <c r="IN73" s="2012"/>
      <c r="IO73" s="2012"/>
      <c r="IP73" s="2012"/>
      <c r="IQ73" s="2012"/>
      <c r="IR73" s="3896"/>
      <c r="IS73" s="2012"/>
      <c r="IT73" s="2012"/>
      <c r="IU73" s="2012"/>
      <c r="IV73" s="2012"/>
      <c r="IW73" s="2012"/>
      <c r="IX73" s="2012"/>
      <c r="IY73" s="2012"/>
      <c r="IZ73" s="2012"/>
      <c r="JA73" s="2548"/>
      <c r="JB73" s="2548"/>
      <c r="JC73" s="2548"/>
      <c r="JD73" s="2548"/>
      <c r="JE73" s="2548"/>
      <c r="JF73" s="2548"/>
      <c r="JG73" s="3796"/>
      <c r="JH73" s="1233"/>
      <c r="JI73" s="1232"/>
      <c r="JJ73" s="1660" t="s">
        <v>6108</v>
      </c>
    </row>
    <row ht="12.75" r="74" spans="1:270" x14ac:dyDescent="0.2">
      <c r="A74" s="1128">
        <v>25</v>
      </c>
      <c r="B74" s="1369" t="str">
        <f si="3" t="shared"/>
        <v/>
      </c>
      <c r="C74" s="1278" t="s">
        <v>2431</v>
      </c>
      <c r="D74" s="1372" t="s">
        <v>4858</v>
      </c>
      <c r="E74" s="1719"/>
      <c r="F74" s="1719"/>
      <c r="G74" s="1719"/>
      <c r="H74" s="1719"/>
      <c r="I74" s="1719"/>
      <c r="J74" s="1719"/>
      <c r="K74" s="1719"/>
      <c r="L74" s="1719"/>
      <c r="M74" s="1719"/>
      <c r="N74" s="1719"/>
      <c r="O74" s="1719"/>
      <c r="P74" s="2012"/>
      <c r="Q74" s="2012"/>
      <c r="R74" s="2012"/>
      <c r="S74" s="2012"/>
      <c r="T74" s="2012"/>
      <c r="U74" s="2012"/>
      <c r="V74" s="2012"/>
      <c r="W74" s="2012"/>
      <c r="X74" s="2012"/>
      <c r="Y74" s="2012"/>
      <c r="Z74" s="2012"/>
      <c r="AA74" s="2012"/>
      <c r="AB74" s="2012"/>
      <c r="AC74" s="2012"/>
      <c r="AD74" s="2548"/>
      <c r="AE74" s="2548"/>
      <c r="AF74" s="2548"/>
      <c r="AG74" s="2548"/>
      <c r="AH74" s="2548"/>
      <c r="AI74" s="2546"/>
      <c r="AJ74" s="2012"/>
      <c r="AK74" s="2012"/>
      <c r="AL74" s="2012"/>
      <c r="AM74" s="2012"/>
      <c r="AN74" s="2012"/>
      <c r="AO74" s="2012"/>
      <c r="AP74" s="2012"/>
      <c r="AQ74" s="2012"/>
      <c r="AR74" s="2012"/>
      <c r="AS74" s="2012"/>
      <c r="AT74" s="2012"/>
      <c r="AU74" s="2012"/>
      <c r="AV74" s="2012"/>
      <c r="AW74" s="2012"/>
      <c r="AX74" s="2012"/>
      <c r="AY74" s="2012"/>
      <c r="AZ74" s="2012"/>
      <c r="BA74" s="2012"/>
      <c r="BB74" s="2012"/>
      <c r="BC74" s="2012"/>
      <c r="BD74" s="2012"/>
      <c r="BE74" s="2012"/>
      <c r="BF74" s="2012"/>
      <c r="BG74" s="2012"/>
      <c r="BH74" s="2012"/>
      <c r="BI74" s="2012"/>
      <c r="BJ74" s="2012"/>
      <c r="BK74" s="2012"/>
      <c r="BL74" s="2012"/>
      <c r="BM74" s="2012"/>
      <c r="BN74" s="2012"/>
      <c r="BO74" s="2012"/>
      <c r="BP74" s="2012"/>
      <c r="BQ74" s="2012"/>
      <c r="BR74" s="2012"/>
      <c r="BS74" s="2012"/>
      <c r="BT74" s="2012"/>
      <c r="BU74" s="2012"/>
      <c r="BV74" s="2012"/>
      <c r="BW74" s="2012"/>
      <c r="BX74" s="2012"/>
      <c r="BY74" s="2012"/>
      <c r="BZ74" s="2012"/>
      <c r="CA74" s="2012"/>
      <c r="CB74" s="2012"/>
      <c r="CC74" s="2012"/>
      <c r="CD74" s="2012"/>
      <c r="CE74" s="2012"/>
      <c r="CF74" s="2012"/>
      <c r="CG74" s="2012"/>
      <c r="CH74" s="2012"/>
      <c r="CI74" s="1711"/>
      <c r="CJ74" s="2012"/>
      <c r="CK74" s="2012"/>
      <c r="CL74" s="2012"/>
      <c r="CM74" s="2012"/>
      <c r="CN74" s="2012"/>
      <c r="CO74" s="2012"/>
      <c r="CP74" s="2012"/>
      <c r="CQ74" s="2012"/>
      <c r="CR74" s="2012"/>
      <c r="CS74" s="2012"/>
      <c r="CT74" s="1711">
        <v>780</v>
      </c>
      <c r="CU74" s="2012"/>
      <c r="CV74" s="2012"/>
      <c r="CW74" s="2012"/>
      <c r="CX74" s="2012"/>
      <c r="CY74" s="2012"/>
      <c r="CZ74" s="2012"/>
      <c r="DA74" s="2012"/>
      <c r="DB74" s="2012"/>
      <c r="DC74" s="2012"/>
      <c r="DD74" s="2012"/>
      <c r="DE74" s="2012"/>
      <c r="DF74" s="2012"/>
      <c r="DG74" s="2012"/>
      <c r="DH74" s="2012"/>
      <c r="DI74" s="2012"/>
      <c r="DJ74" s="2012"/>
      <c r="DK74" s="2012"/>
      <c r="DL74" s="2012"/>
      <c r="DM74" s="2012"/>
      <c r="DN74" s="2012"/>
      <c r="DO74" s="2012"/>
      <c r="DP74" s="2012"/>
      <c r="DQ74" s="2012"/>
      <c r="DR74" s="2012"/>
      <c r="DS74" s="2012"/>
      <c r="DT74" s="2012"/>
      <c r="DU74" s="2012"/>
      <c r="DV74" s="2012"/>
      <c r="DW74" s="2012"/>
      <c r="DX74" s="2012"/>
      <c r="DY74" s="2012"/>
      <c r="DZ74" s="2012"/>
      <c r="EA74" s="1711"/>
      <c r="EB74" s="1711">
        <v>480</v>
      </c>
      <c r="EC74" s="1711">
        <v>780</v>
      </c>
      <c r="ED74" s="2012"/>
      <c r="EE74" s="2012"/>
      <c r="EF74" s="2012"/>
      <c r="EG74" s="2012"/>
      <c r="EH74" s="2012"/>
      <c r="EI74" s="2012"/>
      <c r="EJ74" s="2012"/>
      <c r="EK74" s="2012"/>
      <c r="EL74" s="2012"/>
      <c r="EM74" s="2012"/>
      <c r="EN74" s="2012"/>
      <c r="EO74" s="2012"/>
      <c r="EP74" s="2012"/>
      <c r="EQ74" s="2012"/>
      <c r="ER74" s="2012"/>
      <c r="ES74" s="2012"/>
      <c r="ET74" s="2012"/>
      <c r="EU74" s="2012"/>
      <c r="EV74" s="2012"/>
      <c r="EW74" s="2012"/>
      <c r="EX74" s="2012"/>
      <c r="EY74" s="2012"/>
      <c r="EZ74" s="2012"/>
      <c r="FA74" s="2012"/>
      <c r="FB74" s="1711">
        <v>780</v>
      </c>
      <c r="FC74" s="2012"/>
      <c r="FD74" s="2012"/>
      <c r="FE74" s="2012"/>
      <c r="FF74" s="2012"/>
      <c r="FG74" s="2012"/>
      <c r="FH74" s="2012"/>
      <c r="FI74" s="2012"/>
      <c r="FJ74" s="2012"/>
      <c r="FK74" s="2012"/>
      <c r="FL74" s="2012"/>
      <c r="FM74" s="2012"/>
      <c r="FN74" s="2012"/>
      <c r="FO74" s="2012"/>
      <c r="FP74" s="2012"/>
      <c r="FQ74" s="2012"/>
      <c r="FR74" s="2012"/>
      <c r="FS74" s="2012"/>
      <c r="FT74" s="2012"/>
      <c r="FU74" s="2012"/>
      <c r="FV74" s="2012"/>
      <c r="FW74" s="2012"/>
      <c r="FX74" s="2012"/>
      <c r="FY74" s="2012"/>
      <c r="FZ74" s="2012"/>
      <c r="GA74" s="2012"/>
      <c r="GB74" s="2012"/>
      <c r="GC74" s="2012"/>
      <c r="GD74" s="2012"/>
      <c r="GE74" s="2012"/>
      <c r="GF74" s="2012"/>
      <c r="GG74" s="2012"/>
      <c r="GH74" s="2012"/>
      <c r="GI74" s="2012"/>
      <c r="GJ74" s="2012"/>
      <c r="GK74" s="2012"/>
      <c r="GL74" s="2012"/>
      <c r="GM74" s="2012"/>
      <c r="GN74" s="2012"/>
      <c r="GO74" s="2012"/>
      <c r="GP74" s="2012"/>
      <c r="GQ74" s="2012"/>
      <c r="GR74" s="2012"/>
      <c r="GS74" s="2012"/>
      <c r="GT74" s="2012"/>
      <c r="GU74" s="2012"/>
      <c r="GV74" s="2012"/>
      <c r="GW74" s="2012"/>
      <c r="GX74" s="2012"/>
      <c r="GY74" s="2012"/>
      <c r="GZ74" s="2012"/>
      <c r="HA74" s="2012"/>
      <c r="HB74" s="2012"/>
      <c r="HC74" s="2012"/>
      <c r="HD74" s="2012"/>
      <c r="HE74" s="2012"/>
      <c r="HF74" s="2012"/>
      <c r="HG74" s="2012"/>
      <c r="HH74" s="2012"/>
      <c r="HI74" s="2012"/>
      <c r="HJ74" s="2012"/>
      <c r="HK74" s="2012"/>
      <c r="HL74" s="2012"/>
      <c r="HM74" s="2012"/>
      <c r="HN74" s="2012"/>
      <c r="HO74" s="2012"/>
      <c r="HP74" s="2012"/>
      <c r="HQ74" s="2012"/>
      <c r="HR74" s="2012"/>
      <c r="HS74" s="2012"/>
      <c r="HT74" s="2012"/>
      <c r="HU74" s="2012"/>
      <c r="HV74" s="2012"/>
      <c r="HW74" s="2012"/>
      <c r="HX74" s="2012"/>
      <c r="HY74" s="2012"/>
      <c r="HZ74" s="2012"/>
      <c r="IA74" s="2012"/>
      <c r="IB74" s="2012"/>
      <c r="IC74" s="2012"/>
      <c r="ID74" s="2012"/>
      <c r="IE74" s="2012"/>
      <c r="IF74" s="2012"/>
      <c r="IG74" s="2012"/>
      <c r="IH74" s="2012"/>
      <c r="II74" s="2012"/>
      <c r="IJ74" s="2012"/>
      <c r="IK74" s="2012"/>
      <c r="IL74" s="2012"/>
      <c r="IM74" s="2012"/>
      <c r="IN74" s="2012"/>
      <c r="IO74" s="2012"/>
      <c r="IP74" s="2012"/>
      <c r="IQ74" s="2012"/>
      <c r="IR74" s="3896"/>
      <c r="IS74" s="2012"/>
      <c r="IT74" s="2012"/>
      <c r="IU74" s="2012"/>
      <c r="IV74" s="2012"/>
      <c r="IW74" s="2012"/>
      <c r="IX74" s="2012"/>
      <c r="IY74" s="2012"/>
      <c r="IZ74" s="2012"/>
      <c r="JA74" s="2548"/>
      <c r="JB74" s="2548"/>
      <c r="JC74" s="2548"/>
      <c r="JD74" s="2548"/>
      <c r="JE74" s="2548"/>
      <c r="JF74" s="2548"/>
      <c r="JG74" s="3796"/>
      <c r="JH74" s="1233"/>
      <c r="JI74" s="1232"/>
      <c r="JJ74" s="1660" t="s">
        <v>6108</v>
      </c>
    </row>
    <row ht="12.75" r="75" spans="1:270" x14ac:dyDescent="0.2">
      <c r="A75" s="1128">
        <v>26</v>
      </c>
      <c r="B75" s="1369" t="str">
        <f si="3" t="shared"/>
        <v/>
      </c>
      <c r="C75" s="1278" t="s">
        <v>2432</v>
      </c>
      <c r="D75" s="1372" t="s">
        <v>1865</v>
      </c>
      <c r="E75" s="1719"/>
      <c r="F75" s="1719"/>
      <c r="G75" s="1719"/>
      <c r="H75" s="1719"/>
      <c r="I75" s="1719"/>
      <c r="J75" s="1719"/>
      <c r="K75" s="1719"/>
      <c r="L75" s="1719"/>
      <c r="M75" s="1719"/>
      <c r="N75" s="1719"/>
      <c r="O75" s="1719"/>
      <c r="P75" s="2012"/>
      <c r="Q75" s="2012"/>
      <c r="R75" s="2012"/>
      <c r="S75" s="2012"/>
      <c r="T75" s="2012"/>
      <c r="U75" s="2012"/>
      <c r="V75" s="2012"/>
      <c r="W75" s="2012"/>
      <c r="X75" s="2012"/>
      <c r="Y75" s="2012"/>
      <c r="Z75" s="2012"/>
      <c r="AA75" s="2012"/>
      <c r="AB75" s="2012"/>
      <c r="AC75" s="2012"/>
      <c r="AD75" s="2548"/>
      <c r="AE75" s="2548"/>
      <c r="AF75" s="2548"/>
      <c r="AG75" s="2548"/>
      <c r="AH75" s="2548"/>
      <c r="AI75" s="4117">
        <v>3255</v>
      </c>
      <c r="AJ75" s="2012"/>
      <c r="AK75" s="2012"/>
      <c r="AL75" s="2012"/>
      <c r="AM75" s="2012"/>
      <c r="AN75" s="2012"/>
      <c r="AO75" s="2012"/>
      <c r="AP75" s="2012"/>
      <c r="AQ75" s="2012"/>
      <c r="AR75" s="2012"/>
      <c r="AS75" s="2012"/>
      <c r="AT75" s="2012"/>
      <c r="AU75" s="2012"/>
      <c r="AV75" s="2012"/>
      <c r="AW75" s="2012"/>
      <c r="AX75" s="2012"/>
      <c r="AY75" s="2012"/>
      <c r="AZ75" s="2012"/>
      <c r="BA75" s="2012"/>
      <c r="BB75" s="2012"/>
      <c r="BC75" s="2012"/>
      <c r="BD75" s="2012"/>
      <c r="BE75" s="2012"/>
      <c r="BF75" s="2012"/>
      <c r="BG75" s="2012"/>
      <c r="BH75" s="2012"/>
      <c r="BI75" s="2012"/>
      <c r="BJ75" s="2012"/>
      <c r="BK75" s="2012"/>
      <c r="BL75" s="2012"/>
      <c r="BM75" s="2012"/>
      <c r="BN75" s="2012"/>
      <c r="BO75" s="2012"/>
      <c r="BP75" s="2012"/>
      <c r="BQ75" s="2012"/>
      <c r="BR75" s="2012"/>
      <c r="BS75" s="2012"/>
      <c r="BT75" s="2012"/>
      <c r="BU75" s="2012"/>
      <c r="BV75" s="2012"/>
      <c r="BW75" s="2012"/>
      <c r="BX75" s="2012"/>
      <c r="BY75" s="2012"/>
      <c r="BZ75" s="2012"/>
      <c r="CA75" s="2012"/>
      <c r="CB75" s="2012"/>
      <c r="CC75" s="2012"/>
      <c r="CD75" s="2012"/>
      <c r="CE75" s="2012"/>
      <c r="CF75" s="2012"/>
      <c r="CG75" s="2012"/>
      <c r="CH75" s="2012"/>
      <c r="CI75" s="1711"/>
      <c r="CJ75" s="2012"/>
      <c r="CK75" s="2012"/>
      <c r="CL75" s="2012"/>
      <c r="CM75" s="2012"/>
      <c r="CN75" s="2012"/>
      <c r="CO75" s="2012"/>
      <c r="CP75" s="2012"/>
      <c r="CQ75" s="2012"/>
      <c r="CR75" s="2012"/>
      <c r="CS75" s="2012"/>
      <c r="CT75" s="1711"/>
      <c r="CU75" s="2012"/>
      <c r="CV75" s="2012"/>
      <c r="CW75" s="2012"/>
      <c r="CX75" s="2012"/>
      <c r="CY75" s="2012"/>
      <c r="CZ75" s="2012"/>
      <c r="DA75" s="2012"/>
      <c r="DB75" s="2012"/>
      <c r="DC75" s="2012"/>
      <c r="DD75" s="2012"/>
      <c r="DE75" s="2012"/>
      <c r="DF75" s="2012"/>
      <c r="DG75" s="2012"/>
      <c r="DH75" s="2012"/>
      <c r="DI75" s="2012"/>
      <c r="DJ75" s="2012"/>
      <c r="DK75" s="2012"/>
      <c r="DL75" s="2012"/>
      <c r="DM75" s="2012"/>
      <c r="DN75" s="2012"/>
      <c r="DO75" s="2012"/>
      <c r="DP75" s="2012"/>
      <c r="DQ75" s="2012"/>
      <c r="DR75" s="2012"/>
      <c r="DS75" s="2012"/>
      <c r="DT75" s="2012"/>
      <c r="DU75" s="2012"/>
      <c r="DV75" s="2012"/>
      <c r="DW75" s="2012"/>
      <c r="DX75" s="2012"/>
      <c r="DY75" s="2012"/>
      <c r="DZ75" s="2012"/>
      <c r="EA75" s="1711"/>
      <c r="EB75" s="1711"/>
      <c r="EC75" s="1711"/>
      <c r="ED75" s="2012"/>
      <c r="EE75" s="2012"/>
      <c r="EF75" s="2012"/>
      <c r="EG75" s="2012"/>
      <c r="EH75" s="2012"/>
      <c r="EI75" s="2012"/>
      <c r="EJ75" s="2012"/>
      <c r="EK75" s="2012"/>
      <c r="EL75" s="2012"/>
      <c r="EM75" s="2012"/>
      <c r="EN75" s="2012"/>
      <c r="EO75" s="2012"/>
      <c r="EP75" s="2012"/>
      <c r="EQ75" s="2012"/>
      <c r="ER75" s="2012"/>
      <c r="ES75" s="2012"/>
      <c r="ET75" s="2012"/>
      <c r="EU75" s="2012"/>
      <c r="EV75" s="2012"/>
      <c r="EW75" s="2012"/>
      <c r="EX75" s="2012"/>
      <c r="EY75" s="2012"/>
      <c r="EZ75" s="2012"/>
      <c r="FA75" s="2012"/>
      <c r="FB75" s="1711"/>
      <c r="FC75" s="2012"/>
      <c r="FD75" s="2012"/>
      <c r="FE75" s="2012"/>
      <c r="FF75" s="2012"/>
      <c r="FG75" s="2012"/>
      <c r="FH75" s="2012"/>
      <c r="FI75" s="2012"/>
      <c r="FJ75" s="2012"/>
      <c r="FK75" s="2012"/>
      <c r="FL75" s="2012"/>
      <c r="FM75" s="2012"/>
      <c r="FN75" s="2012"/>
      <c r="FO75" s="2012"/>
      <c r="FP75" s="2012"/>
      <c r="FQ75" s="2012"/>
      <c r="FR75" s="2012"/>
      <c r="FS75" s="2012"/>
      <c r="FT75" s="2012"/>
      <c r="FU75" s="2012"/>
      <c r="FV75" s="2012"/>
      <c r="FW75" s="2012"/>
      <c r="FX75" s="2012"/>
      <c r="FY75" s="2012"/>
      <c r="FZ75" s="2012"/>
      <c r="GA75" s="2012"/>
      <c r="GB75" s="2012"/>
      <c r="GC75" s="2012"/>
      <c r="GD75" s="2012"/>
      <c r="GE75" s="2012"/>
      <c r="GF75" s="2012"/>
      <c r="GG75" s="2012"/>
      <c r="GH75" s="2012"/>
      <c r="GI75" s="2012"/>
      <c r="GJ75" s="2012"/>
      <c r="GK75" s="2012"/>
      <c r="GL75" s="2012"/>
      <c r="GM75" s="2012"/>
      <c r="GN75" s="2012"/>
      <c r="GO75" s="2012"/>
      <c r="GP75" s="2012"/>
      <c r="GQ75" s="2012"/>
      <c r="GR75" s="2012"/>
      <c r="GS75" s="2012"/>
      <c r="GT75" s="2012"/>
      <c r="GU75" s="2012"/>
      <c r="GV75" s="2012"/>
      <c r="GW75" s="2012"/>
      <c r="GX75" s="2012"/>
      <c r="GY75" s="2012"/>
      <c r="GZ75" s="2012"/>
      <c r="HA75" s="2012"/>
      <c r="HB75" s="2012"/>
      <c r="HC75" s="2012"/>
      <c r="HD75" s="2012"/>
      <c r="HE75" s="2012"/>
      <c r="HF75" s="2012"/>
      <c r="HG75" s="2012"/>
      <c r="HH75" s="2012"/>
      <c r="HI75" s="2012"/>
      <c r="HJ75" s="2012"/>
      <c r="HK75" s="2012"/>
      <c r="HL75" s="2012"/>
      <c r="HM75" s="2012"/>
      <c r="HN75" s="2012"/>
      <c r="HO75" s="2012"/>
      <c r="HP75" s="2012"/>
      <c r="HQ75" s="2012"/>
      <c r="HR75" s="2012"/>
      <c r="HS75" s="2012"/>
      <c r="HT75" s="2012"/>
      <c r="HU75" s="2012"/>
      <c r="HV75" s="2012"/>
      <c r="HW75" s="2012"/>
      <c r="HX75" s="2012"/>
      <c r="HY75" s="2012"/>
      <c r="HZ75" s="2012"/>
      <c r="IA75" s="2012"/>
      <c r="IB75" s="2012"/>
      <c r="IC75" s="2012"/>
      <c r="ID75" s="2012"/>
      <c r="IE75" s="2012"/>
      <c r="IF75" s="2012"/>
      <c r="IG75" s="2012"/>
      <c r="IH75" s="2012"/>
      <c r="II75" s="2012"/>
      <c r="IJ75" s="2012"/>
      <c r="IK75" s="2012"/>
      <c r="IL75" s="2012"/>
      <c r="IM75" s="2012"/>
      <c r="IN75" s="2012"/>
      <c r="IO75" s="2012"/>
      <c r="IP75" s="2012"/>
      <c r="IQ75" s="2012"/>
      <c r="IR75" s="3896"/>
      <c r="IS75" s="2012"/>
      <c r="IT75" s="2012"/>
      <c r="IU75" s="2012"/>
      <c r="IV75" s="2012"/>
      <c r="IW75" s="2012"/>
      <c r="IX75" s="2012"/>
      <c r="IY75" s="2012"/>
      <c r="IZ75" s="2012"/>
      <c r="JA75" s="2548"/>
      <c r="JB75" s="2548"/>
      <c r="JC75" s="2548"/>
      <c r="JD75" s="2548"/>
      <c r="JE75" s="2548"/>
      <c r="JF75" s="2548"/>
      <c r="JG75" s="3796"/>
      <c r="JH75" s="1233"/>
      <c r="JI75" s="1232"/>
      <c r="JJ75" s="1660" t="s">
        <v>6108</v>
      </c>
    </row>
    <row ht="12.75" r="76" spans="1:270" x14ac:dyDescent="0.2">
      <c r="A76" s="1128">
        <v>27</v>
      </c>
      <c r="B76" s="1369" t="str">
        <f si="3" t="shared"/>
        <v/>
      </c>
      <c r="C76" s="1278" t="s">
        <v>2433</v>
      </c>
      <c r="D76" s="1372" t="s">
        <v>4859</v>
      </c>
      <c r="E76" s="1722"/>
      <c r="F76" s="1722"/>
      <c r="G76" s="1722"/>
      <c r="H76" s="1722"/>
      <c r="I76" s="1722"/>
      <c r="J76" s="1722"/>
      <c r="K76" s="1722"/>
      <c r="L76" s="1722"/>
      <c r="M76" s="1722"/>
      <c r="N76" s="1722"/>
      <c r="O76" s="1722"/>
      <c r="P76" s="2015"/>
      <c r="Q76" s="2015"/>
      <c r="R76" s="2015"/>
      <c r="S76" s="2015"/>
      <c r="T76" s="2015"/>
      <c r="U76" s="2015"/>
      <c r="V76" s="2015"/>
      <c r="W76" s="2015"/>
      <c r="X76" s="2015"/>
      <c r="Y76" s="2015"/>
      <c r="Z76" s="2015"/>
      <c r="AA76" s="2015"/>
      <c r="AB76" s="2015"/>
      <c r="AC76" s="2015"/>
      <c r="AD76" s="2580"/>
      <c r="AE76" s="2580"/>
      <c r="AF76" s="2580"/>
      <c r="AG76" s="2580"/>
      <c r="AH76" s="2580"/>
      <c r="AI76" s="1714">
        <f>AI71+AI72+AI73+AI74+AI75</f>
        <v>7649</v>
      </c>
      <c r="AJ76" s="2015"/>
      <c r="AK76" s="2015"/>
      <c r="AL76" s="2015"/>
      <c r="AM76" s="2015"/>
      <c r="AN76" s="2015"/>
      <c r="AO76" s="2015"/>
      <c r="AP76" s="2015"/>
      <c r="AQ76" s="2015"/>
      <c r="AR76" s="2015"/>
      <c r="AS76" s="2015"/>
      <c r="AT76" s="2015"/>
      <c r="AU76" s="2015"/>
      <c r="AV76" s="2015"/>
      <c r="AW76" s="2015"/>
      <c r="AX76" s="2015"/>
      <c r="AY76" s="2015"/>
      <c r="AZ76" s="2015"/>
      <c r="BA76" s="2015"/>
      <c r="BB76" s="2015"/>
      <c r="BC76" s="2015"/>
      <c r="BD76" s="2015"/>
      <c r="BE76" s="2015"/>
      <c r="BF76" s="2015"/>
      <c r="BG76" s="2015"/>
      <c r="BH76" s="2015"/>
      <c r="BI76" s="2015"/>
      <c r="BJ76" s="2015"/>
      <c r="BK76" s="2015"/>
      <c r="BL76" s="2015"/>
      <c r="BM76" s="2015"/>
      <c r="BN76" s="2015"/>
      <c r="BO76" s="2015"/>
      <c r="BP76" s="2015"/>
      <c r="BQ76" s="2015"/>
      <c r="BR76" s="2015"/>
      <c r="BS76" s="2015"/>
      <c r="BT76" s="2015"/>
      <c r="BU76" s="2015"/>
      <c r="BV76" s="2015"/>
      <c r="BW76" s="2015"/>
      <c r="BX76" s="2015"/>
      <c r="BY76" s="2015"/>
      <c r="BZ76" s="2015"/>
      <c r="CA76" s="2015"/>
      <c r="CB76" s="2015"/>
      <c r="CC76" s="2015"/>
      <c r="CD76" s="2015"/>
      <c r="CE76" s="2015"/>
      <c r="CF76" s="2015"/>
      <c r="CG76" s="2015"/>
      <c r="CH76" s="2015"/>
      <c r="CI76" s="1715"/>
      <c r="CJ76" s="2015"/>
      <c r="CK76" s="2015"/>
      <c r="CL76" s="2015"/>
      <c r="CM76" s="2015"/>
      <c r="CN76" s="2015"/>
      <c r="CO76" s="2015"/>
      <c r="CP76" s="2015"/>
      <c r="CQ76" s="2015"/>
      <c r="CR76" s="2015"/>
      <c r="CS76" s="2015"/>
      <c r="CT76" s="1714">
        <f>CT71+CT72+CT73+CT74+CT75</f>
        <v>780</v>
      </c>
      <c r="CU76" s="2015"/>
      <c r="CV76" s="2015"/>
      <c r="CW76" s="2015"/>
      <c r="CX76" s="2015"/>
      <c r="CY76" s="2015"/>
      <c r="CZ76" s="2015"/>
      <c r="DA76" s="2015"/>
      <c r="DB76" s="2015"/>
      <c r="DC76" s="2015"/>
      <c r="DD76" s="2015"/>
      <c r="DE76" s="2015"/>
      <c r="DF76" s="2015"/>
      <c r="DG76" s="2015"/>
      <c r="DH76" s="2015"/>
      <c r="DI76" s="2015"/>
      <c r="DJ76" s="2015"/>
      <c r="DK76" s="2015"/>
      <c r="DL76" s="2015"/>
      <c r="DM76" s="2015"/>
      <c r="DN76" s="2015"/>
      <c r="DO76" s="2015"/>
      <c r="DP76" s="2015"/>
      <c r="DQ76" s="2015"/>
      <c r="DR76" s="2015"/>
      <c r="DS76" s="2015"/>
      <c r="DT76" s="2015"/>
      <c r="DU76" s="2015"/>
      <c r="DV76" s="2015"/>
      <c r="DW76" s="2015"/>
      <c r="DX76" s="2015"/>
      <c r="DY76" s="2015"/>
      <c r="DZ76" s="2015"/>
      <c r="EA76" s="1715"/>
      <c r="EB76" s="1714">
        <f>EB71+EB72+EB73+EB74+EB75</f>
        <v>5900</v>
      </c>
      <c r="EC76" s="1714">
        <f>EC71+EC72+EC73+EC74+EC75</f>
        <v>780</v>
      </c>
      <c r="ED76" s="2015"/>
      <c r="EE76" s="2015"/>
      <c r="EF76" s="2015"/>
      <c r="EG76" s="2015"/>
      <c r="EH76" s="2015"/>
      <c r="EI76" s="2015"/>
      <c r="EJ76" s="2015"/>
      <c r="EK76" s="2015"/>
      <c r="EL76" s="2015"/>
      <c r="EM76" s="2015"/>
      <c r="EN76" s="2015"/>
      <c r="EO76" s="2015"/>
      <c r="EP76" s="2015"/>
      <c r="EQ76" s="2015"/>
      <c r="ER76" s="2015"/>
      <c r="ES76" s="2015"/>
      <c r="ET76" s="2015"/>
      <c r="EU76" s="2015"/>
      <c r="EV76" s="2015"/>
      <c r="EW76" s="2015"/>
      <c r="EX76" s="2015"/>
      <c r="EY76" s="2015"/>
      <c r="EZ76" s="2015"/>
      <c r="FA76" s="2015"/>
      <c r="FB76" s="1714">
        <f>FB71+FB72+FB73+FB74+FB75</f>
        <v>780</v>
      </c>
      <c r="FC76" s="2015"/>
      <c r="FD76" s="2015"/>
      <c r="FE76" s="2015"/>
      <c r="FF76" s="2015"/>
      <c r="FG76" s="2015"/>
      <c r="FH76" s="2015"/>
      <c r="FI76" s="2015"/>
      <c r="FJ76" s="2015"/>
      <c r="FK76" s="2015"/>
      <c r="FL76" s="2015"/>
      <c r="FM76" s="2015"/>
      <c r="FN76" s="2015"/>
      <c r="FO76" s="2015"/>
      <c r="FP76" s="2015"/>
      <c r="FQ76" s="2015"/>
      <c r="FR76" s="2015"/>
      <c r="FS76" s="2015"/>
      <c r="FT76" s="2015"/>
      <c r="FU76" s="2015"/>
      <c r="FV76" s="2015"/>
      <c r="FW76" s="2015"/>
      <c r="FX76" s="2015"/>
      <c r="FY76" s="2015"/>
      <c r="FZ76" s="2015"/>
      <c r="GA76" s="2015"/>
      <c r="GB76" s="2015"/>
      <c r="GC76" s="2015"/>
      <c r="GD76" s="2015"/>
      <c r="GE76" s="2015"/>
      <c r="GF76" s="2015"/>
      <c r="GG76" s="2015"/>
      <c r="GH76" s="2015"/>
      <c r="GI76" s="2015"/>
      <c r="GJ76" s="2015"/>
      <c r="GK76" s="2015"/>
      <c r="GL76" s="2015"/>
      <c r="GM76" s="2015"/>
      <c r="GN76" s="2015"/>
      <c r="GO76" s="2015"/>
      <c r="GP76" s="2015"/>
      <c r="GQ76" s="2015"/>
      <c r="GR76" s="2015"/>
      <c r="GS76" s="2015"/>
      <c r="GT76" s="2015"/>
      <c r="GU76" s="2015"/>
      <c r="GV76" s="2015"/>
      <c r="GW76" s="2015"/>
      <c r="GX76" s="2015"/>
      <c r="GY76" s="2015"/>
      <c r="GZ76" s="2015"/>
      <c r="HA76" s="2015"/>
      <c r="HB76" s="2015"/>
      <c r="HC76" s="2015"/>
      <c r="HD76" s="2015"/>
      <c r="HE76" s="2015"/>
      <c r="HF76" s="2015"/>
      <c r="HG76" s="2015"/>
      <c r="HH76" s="2015"/>
      <c r="HI76" s="2015"/>
      <c r="HJ76" s="2015"/>
      <c r="HK76" s="2015"/>
      <c r="HL76" s="2015"/>
      <c r="HM76" s="2015"/>
      <c r="HN76" s="2015"/>
      <c r="HO76" s="2015"/>
      <c r="HP76" s="2015"/>
      <c r="HQ76" s="2015"/>
      <c r="HR76" s="2015"/>
      <c r="HS76" s="2015"/>
      <c r="HT76" s="2015"/>
      <c r="HU76" s="2015"/>
      <c r="HV76" s="2015"/>
      <c r="HW76" s="2015"/>
      <c r="HX76" s="2015"/>
      <c r="HY76" s="2015"/>
      <c r="HZ76" s="2015"/>
      <c r="IA76" s="2015"/>
      <c r="IB76" s="2015"/>
      <c r="IC76" s="2015"/>
      <c r="ID76" s="2015"/>
      <c r="IE76" s="2015"/>
      <c r="IF76" s="2015"/>
      <c r="IG76" s="2015"/>
      <c r="IH76" s="2015"/>
      <c r="II76" s="2015"/>
      <c r="IJ76" s="2015"/>
      <c r="IK76" s="2015"/>
      <c r="IL76" s="2015"/>
      <c r="IM76" s="2015"/>
      <c r="IN76" s="2015"/>
      <c r="IO76" s="2015"/>
      <c r="IP76" s="2015"/>
      <c r="IQ76" s="2015"/>
      <c r="IR76" s="3898"/>
      <c r="IS76" s="2015"/>
      <c r="IT76" s="2015"/>
      <c r="IU76" s="2015"/>
      <c r="IV76" s="2015"/>
      <c r="IW76" s="2015"/>
      <c r="IX76" s="2015"/>
      <c r="IY76" s="2015"/>
      <c r="IZ76" s="2015"/>
      <c r="JA76" s="2580"/>
      <c r="JB76" s="2580"/>
      <c r="JC76" s="2580"/>
      <c r="JD76" s="2580"/>
      <c r="JE76" s="2580"/>
      <c r="JF76" s="2580"/>
      <c r="JG76" s="3799"/>
      <c r="JH76" s="1233"/>
      <c r="JI76" s="1229" t="s">
        <v>5086</v>
      </c>
      <c r="JJ76" s="1660" t="s">
        <v>6108</v>
      </c>
    </row>
    <row ht="12.75" r="77" spans="1:270" x14ac:dyDescent="0.2">
      <c r="A77" s="1128">
        <v>28</v>
      </c>
      <c r="B77" s="1369" t="str">
        <f si="3" t="shared"/>
        <v/>
      </c>
      <c r="C77" s="1278" t="s">
        <v>2434</v>
      </c>
      <c r="D77" s="1372" t="s">
        <v>4860</v>
      </c>
      <c r="E77" s="1722"/>
      <c r="F77" s="1722"/>
      <c r="G77" s="1722"/>
      <c r="H77" s="1722"/>
      <c r="I77" s="1722"/>
      <c r="J77" s="1722"/>
      <c r="K77" s="1722"/>
      <c r="L77" s="1722"/>
      <c r="M77" s="1722"/>
      <c r="N77" s="1722"/>
      <c r="O77" s="1722"/>
      <c r="P77" s="2015"/>
      <c r="Q77" s="2015"/>
      <c r="R77" s="2015"/>
      <c r="S77" s="2015"/>
      <c r="T77" s="2015"/>
      <c r="U77" s="2015"/>
      <c r="V77" s="2015"/>
      <c r="W77" s="2015"/>
      <c r="X77" s="2015"/>
      <c r="Y77" s="2015"/>
      <c r="Z77" s="2015"/>
      <c r="AA77" s="2015"/>
      <c r="AB77" s="2015"/>
      <c r="AC77" s="2015"/>
      <c r="AD77" s="2580"/>
      <c r="AE77" s="2580"/>
      <c r="AF77" s="2580"/>
      <c r="AG77" s="2580"/>
      <c r="AH77" s="2580"/>
      <c r="AI77" s="1714">
        <f>IF(AI62+AI69&gt;=8500,MAX(0,AI70-(AI55+AI63)),0)</f>
        <v>15049</v>
      </c>
      <c r="AJ77" s="2015"/>
      <c r="AK77" s="2015"/>
      <c r="AL77" s="2015"/>
      <c r="AM77" s="2015"/>
      <c r="AN77" s="2015"/>
      <c r="AO77" s="2015"/>
      <c r="AP77" s="2015"/>
      <c r="AQ77" s="2015"/>
      <c r="AR77" s="2015"/>
      <c r="AS77" s="2015"/>
      <c r="AT77" s="2015"/>
      <c r="AU77" s="2015"/>
      <c r="AV77" s="2015"/>
      <c r="AW77" s="2015"/>
      <c r="AX77" s="2015"/>
      <c r="AY77" s="2015"/>
      <c r="AZ77" s="2015"/>
      <c r="BA77" s="2015"/>
      <c r="BB77" s="2015"/>
      <c r="BC77" s="2015"/>
      <c r="BD77" s="2015"/>
      <c r="BE77" s="2015"/>
      <c r="BF77" s="2015"/>
      <c r="BG77" s="2015"/>
      <c r="BH77" s="2015"/>
      <c r="BI77" s="2015"/>
      <c r="BJ77" s="2015"/>
      <c r="BK77" s="2015"/>
      <c r="BL77" s="2015"/>
      <c r="BM77" s="2015"/>
      <c r="BN77" s="2015"/>
      <c r="BO77" s="2015"/>
      <c r="BP77" s="2015"/>
      <c r="BQ77" s="2015"/>
      <c r="BR77" s="2015"/>
      <c r="BS77" s="2015"/>
      <c r="BT77" s="2015"/>
      <c r="BU77" s="2015"/>
      <c r="BV77" s="2015"/>
      <c r="BW77" s="2015"/>
      <c r="BX77" s="2015"/>
      <c r="BY77" s="2015"/>
      <c r="BZ77" s="2015"/>
      <c r="CA77" s="2015"/>
      <c r="CB77" s="2015"/>
      <c r="CC77" s="2015"/>
      <c r="CD77" s="2015"/>
      <c r="CE77" s="2015"/>
      <c r="CF77" s="2015"/>
      <c r="CG77" s="2015"/>
      <c r="CH77" s="2015"/>
      <c r="CI77" s="1714">
        <f>IF(CI62+CI69&gt;=8500,MAX(0,CI70-(CI55+CI63)),0)</f>
        <v>0</v>
      </c>
      <c r="CJ77" s="2015"/>
      <c r="CK77" s="2015"/>
      <c r="CL77" s="2015"/>
      <c r="CM77" s="2015"/>
      <c r="CN77" s="2015"/>
      <c r="CO77" s="2015"/>
      <c r="CP77" s="2015"/>
      <c r="CQ77" s="2015"/>
      <c r="CR77" s="2015"/>
      <c r="CS77" s="2015"/>
      <c r="CT77" s="1714">
        <f>IF(CT62+CT69&gt;=8500,MAX(0,CT70-(CT55+CT63)),0)</f>
        <v>21952</v>
      </c>
      <c r="CU77" s="2015"/>
      <c r="CV77" s="2015"/>
      <c r="CW77" s="2015"/>
      <c r="CX77" s="2015"/>
      <c r="CY77" s="2015"/>
      <c r="CZ77" s="2015"/>
      <c r="DA77" s="2015"/>
      <c r="DB77" s="2015"/>
      <c r="DC77" s="2015"/>
      <c r="DD77" s="2015"/>
      <c r="DE77" s="2015"/>
      <c r="DF77" s="2015"/>
      <c r="DG77" s="2015"/>
      <c r="DH77" s="2015"/>
      <c r="DI77" s="2015"/>
      <c r="DJ77" s="2015"/>
      <c r="DK77" s="2015"/>
      <c r="DL77" s="2015"/>
      <c r="DM77" s="2015"/>
      <c r="DN77" s="2015"/>
      <c r="DO77" s="2015"/>
      <c r="DP77" s="2015"/>
      <c r="DQ77" s="2015"/>
      <c r="DR77" s="2015"/>
      <c r="DS77" s="2015"/>
      <c r="DT77" s="2015"/>
      <c r="DU77" s="2015"/>
      <c r="DV77" s="2015"/>
      <c r="DW77" s="2015"/>
      <c r="DX77" s="2015"/>
      <c r="DY77" s="2015"/>
      <c r="DZ77" s="2015"/>
      <c r="EA77" s="1714">
        <f>IF(EA62+EA69&gt;=8500,MAX(0,EA70-(EA55+EA63)),0)</f>
        <v>0</v>
      </c>
      <c r="EB77" s="1714">
        <f>IF(EB62+EB69&gt;=8500,MAX(0,EB70-(EB55+EB63)),0)</f>
        <v>19880</v>
      </c>
      <c r="EC77" s="1714">
        <f>IF(EC62+EC69&gt;=8500,MAX(0,EC70-(EC55+EC63)),0)</f>
        <v>21952</v>
      </c>
      <c r="ED77" s="2015"/>
      <c r="EE77" s="2015"/>
      <c r="EF77" s="2015"/>
      <c r="EG77" s="2015"/>
      <c r="EH77" s="2015"/>
      <c r="EI77" s="2015"/>
      <c r="EJ77" s="2015"/>
      <c r="EK77" s="2015"/>
      <c r="EL77" s="2015"/>
      <c r="EM77" s="2015"/>
      <c r="EN77" s="2015"/>
      <c r="EO77" s="2015"/>
      <c r="EP77" s="2015"/>
      <c r="EQ77" s="2015"/>
      <c r="ER77" s="2015"/>
      <c r="ES77" s="2015"/>
      <c r="ET77" s="2015"/>
      <c r="EU77" s="2015"/>
      <c r="EV77" s="2015"/>
      <c r="EW77" s="2015"/>
      <c r="EX77" s="2015"/>
      <c r="EY77" s="2015"/>
      <c r="EZ77" s="2015"/>
      <c r="FA77" s="2015"/>
      <c r="FB77" s="1714">
        <f>IF(FB62+FB69&gt;=8500,MAX(0,FB70-(FB55+FB63)),0)</f>
        <v>21952</v>
      </c>
      <c r="FC77" s="2015"/>
      <c r="FD77" s="2015"/>
      <c r="FE77" s="2015"/>
      <c r="FF77" s="2015"/>
      <c r="FG77" s="2015"/>
      <c r="FH77" s="2015"/>
      <c r="FI77" s="2015"/>
      <c r="FJ77" s="2015"/>
      <c r="FK77" s="2015"/>
      <c r="FL77" s="2015"/>
      <c r="FM77" s="2015"/>
      <c r="FN77" s="2015"/>
      <c r="FO77" s="2015"/>
      <c r="FP77" s="2015"/>
      <c r="FQ77" s="2015"/>
      <c r="FR77" s="2015"/>
      <c r="FS77" s="2015"/>
      <c r="FT77" s="2015"/>
      <c r="FU77" s="2015"/>
      <c r="FV77" s="2015"/>
      <c r="FW77" s="2015"/>
      <c r="FX77" s="2015"/>
      <c r="FY77" s="2015"/>
      <c r="FZ77" s="2015"/>
      <c r="GA77" s="2015"/>
      <c r="GB77" s="2015"/>
      <c r="GC77" s="2015"/>
      <c r="GD77" s="2015"/>
      <c r="GE77" s="2015"/>
      <c r="GF77" s="2015"/>
      <c r="GG77" s="2015"/>
      <c r="GH77" s="2015"/>
      <c r="GI77" s="2015"/>
      <c r="GJ77" s="2015"/>
      <c r="GK77" s="2015"/>
      <c r="GL77" s="2015"/>
      <c r="GM77" s="2015"/>
      <c r="GN77" s="2015"/>
      <c r="GO77" s="2015"/>
      <c r="GP77" s="2015"/>
      <c r="GQ77" s="2015"/>
      <c r="GR77" s="2015"/>
      <c r="GS77" s="2015"/>
      <c r="GT77" s="2015"/>
      <c r="GU77" s="2015"/>
      <c r="GV77" s="2015"/>
      <c r="GW77" s="2015"/>
      <c r="GX77" s="2015"/>
      <c r="GY77" s="2015"/>
      <c r="GZ77" s="2015"/>
      <c r="HA77" s="2015"/>
      <c r="HB77" s="2015"/>
      <c r="HC77" s="2015"/>
      <c r="HD77" s="2015"/>
      <c r="HE77" s="2015"/>
      <c r="HF77" s="2015"/>
      <c r="HG77" s="2015"/>
      <c r="HH77" s="2015"/>
      <c r="HI77" s="2015"/>
      <c r="HJ77" s="2015"/>
      <c r="HK77" s="2015"/>
      <c r="HL77" s="2015"/>
      <c r="HM77" s="2015"/>
      <c r="HN77" s="2015"/>
      <c r="HO77" s="2015"/>
      <c r="HP77" s="2015"/>
      <c r="HQ77" s="2015"/>
      <c r="HR77" s="2015"/>
      <c r="HS77" s="2015"/>
      <c r="HT77" s="2015"/>
      <c r="HU77" s="2015"/>
      <c r="HV77" s="2015"/>
      <c r="HW77" s="2015"/>
      <c r="HX77" s="2015"/>
      <c r="HY77" s="2015"/>
      <c r="HZ77" s="2015"/>
      <c r="IA77" s="2015"/>
      <c r="IB77" s="2015"/>
      <c r="IC77" s="2015"/>
      <c r="ID77" s="2015"/>
      <c r="IE77" s="2015"/>
      <c r="IF77" s="2015"/>
      <c r="IG77" s="2015"/>
      <c r="IH77" s="2015"/>
      <c r="II77" s="2015"/>
      <c r="IJ77" s="2015"/>
      <c r="IK77" s="2015"/>
      <c r="IL77" s="2015"/>
      <c r="IM77" s="2015"/>
      <c r="IN77" s="2015"/>
      <c r="IO77" s="2015"/>
      <c r="IP77" s="2015"/>
      <c r="IQ77" s="2015"/>
      <c r="IR77" s="3898"/>
      <c r="IS77" s="2015"/>
      <c r="IT77" s="2015"/>
      <c r="IU77" s="2015"/>
      <c r="IV77" s="2015"/>
      <c r="IW77" s="2015"/>
      <c r="IX77" s="2015"/>
      <c r="IY77" s="2015"/>
      <c r="IZ77" s="2015"/>
      <c r="JA77" s="2580"/>
      <c r="JB77" s="2580"/>
      <c r="JC77" s="2580"/>
      <c r="JD77" s="2580"/>
      <c r="JE77" s="2580"/>
      <c r="JF77" s="2580"/>
      <c r="JG77" s="3799"/>
      <c r="JH77" s="1233"/>
      <c r="JI77" s="1231" t="s">
        <v>5087</v>
      </c>
      <c r="JJ77" s="1660" t="s">
        <v>6124</v>
      </c>
    </row>
    <row ht="12.75" r="78" spans="1:270" x14ac:dyDescent="0.2">
      <c r="A78" s="1128">
        <v>29</v>
      </c>
      <c r="B78" s="1369" t="str">
        <f si="3" t="shared"/>
        <v/>
      </c>
      <c r="C78" s="1278" t="s">
        <v>2435</v>
      </c>
      <c r="D78" s="1372" t="str">
        <f>tax_year&amp;" back pay, received after 5 April "&amp;Tax_year_end</f>
        <v>2019-20 back pay, received after 5 April 2020</v>
      </c>
      <c r="E78" s="1719"/>
      <c r="F78" s="1719"/>
      <c r="G78" s="1719"/>
      <c r="H78" s="1719"/>
      <c r="I78" s="1719"/>
      <c r="J78" s="1719"/>
      <c r="K78" s="1719"/>
      <c r="L78" s="1719"/>
      <c r="M78" s="1719"/>
      <c r="N78" s="1719"/>
      <c r="O78" s="1719"/>
      <c r="P78" s="2012"/>
      <c r="Q78" s="2012"/>
      <c r="R78" s="2012"/>
      <c r="S78" s="2012"/>
      <c r="T78" s="2012"/>
      <c r="U78" s="2012"/>
      <c r="V78" s="2012"/>
      <c r="W78" s="2012"/>
      <c r="X78" s="2012"/>
      <c r="Y78" s="2012"/>
      <c r="Z78" s="2012"/>
      <c r="AA78" s="2012"/>
      <c r="AB78" s="2012"/>
      <c r="AC78" s="2012"/>
      <c r="AD78" s="2548"/>
      <c r="AE78" s="2548"/>
      <c r="AF78" s="2548"/>
      <c r="AG78" s="2548"/>
      <c r="AH78" s="2548"/>
      <c r="AI78" s="1711"/>
      <c r="AJ78" s="2012"/>
      <c r="AK78" s="2012"/>
      <c r="AL78" s="2012"/>
      <c r="AM78" s="2012"/>
      <c r="AN78" s="2012"/>
      <c r="AO78" s="2012"/>
      <c r="AP78" s="2012"/>
      <c r="AQ78" s="2012"/>
      <c r="AR78" s="2012"/>
      <c r="AS78" s="2012"/>
      <c r="AT78" s="2012"/>
      <c r="AU78" s="2012"/>
      <c r="AV78" s="2012"/>
      <c r="AW78" s="2012"/>
      <c r="AX78" s="2012"/>
      <c r="AY78" s="2012"/>
      <c r="AZ78" s="2012"/>
      <c r="BA78" s="2012"/>
      <c r="BB78" s="2012"/>
      <c r="BC78" s="2012"/>
      <c r="BD78" s="2012"/>
      <c r="BE78" s="2012"/>
      <c r="BF78" s="2012"/>
      <c r="BG78" s="2012"/>
      <c r="BH78" s="2012"/>
      <c r="BI78" s="2012"/>
      <c r="BJ78" s="2012"/>
      <c r="BK78" s="2012"/>
      <c r="BL78" s="2012"/>
      <c r="BM78" s="2012"/>
      <c r="BN78" s="2012"/>
      <c r="BO78" s="2012"/>
      <c r="BP78" s="2012"/>
      <c r="BQ78" s="2012"/>
      <c r="BR78" s="2012"/>
      <c r="BS78" s="2012"/>
      <c r="BT78" s="2012"/>
      <c r="BU78" s="2012"/>
      <c r="BV78" s="2012"/>
      <c r="BW78" s="2012"/>
      <c r="BX78" s="2012"/>
      <c r="BY78" s="2012"/>
      <c r="BZ78" s="2012"/>
      <c r="CA78" s="2012"/>
      <c r="CB78" s="2012"/>
      <c r="CC78" s="2012"/>
      <c r="CD78" s="2012"/>
      <c r="CE78" s="2012"/>
      <c r="CF78" s="2012"/>
      <c r="CG78" s="2012"/>
      <c r="CH78" s="2012"/>
      <c r="CI78" s="1712"/>
      <c r="CJ78" s="2012"/>
      <c r="CK78" s="2012"/>
      <c r="CL78" s="2012"/>
      <c r="CM78" s="2012"/>
      <c r="CN78" s="2012"/>
      <c r="CO78" s="2012"/>
      <c r="CP78" s="2012"/>
      <c r="CQ78" s="2012"/>
      <c r="CR78" s="2012"/>
      <c r="CS78" s="2012"/>
      <c r="CT78" s="1711"/>
      <c r="CU78" s="2012"/>
      <c r="CV78" s="2012"/>
      <c r="CW78" s="2012"/>
      <c r="CX78" s="2012"/>
      <c r="CY78" s="2012"/>
      <c r="CZ78" s="2012"/>
      <c r="DA78" s="2012"/>
      <c r="DB78" s="2012"/>
      <c r="DC78" s="2012"/>
      <c r="DD78" s="2012"/>
      <c r="DE78" s="2012"/>
      <c r="DF78" s="2012"/>
      <c r="DG78" s="2012"/>
      <c r="DH78" s="2012"/>
      <c r="DI78" s="2012"/>
      <c r="DJ78" s="2012"/>
      <c r="DK78" s="2012"/>
      <c r="DL78" s="2012"/>
      <c r="DM78" s="2012"/>
      <c r="DN78" s="2012"/>
      <c r="DO78" s="2012"/>
      <c r="DP78" s="2012"/>
      <c r="DQ78" s="2012"/>
      <c r="DR78" s="2012"/>
      <c r="DS78" s="2012"/>
      <c r="DT78" s="2012"/>
      <c r="DU78" s="2012"/>
      <c r="DV78" s="2012"/>
      <c r="DW78" s="2012"/>
      <c r="DX78" s="2012"/>
      <c r="DY78" s="2012"/>
      <c r="DZ78" s="2012"/>
      <c r="EA78" s="1712"/>
      <c r="EB78" s="1711"/>
      <c r="EC78" s="1711"/>
      <c r="ED78" s="2012"/>
      <c r="EE78" s="2012"/>
      <c r="EF78" s="2012"/>
      <c r="EG78" s="2012"/>
      <c r="EH78" s="2012"/>
      <c r="EI78" s="2012"/>
      <c r="EJ78" s="2012"/>
      <c r="EK78" s="2012"/>
      <c r="EL78" s="2012"/>
      <c r="EM78" s="2012"/>
      <c r="EN78" s="2012"/>
      <c r="EO78" s="2012"/>
      <c r="EP78" s="2012"/>
      <c r="EQ78" s="2012"/>
      <c r="ER78" s="2012"/>
      <c r="ES78" s="2012"/>
      <c r="ET78" s="2012"/>
      <c r="EU78" s="2012"/>
      <c r="EV78" s="2012"/>
      <c r="EW78" s="2012"/>
      <c r="EX78" s="2012"/>
      <c r="EY78" s="2012"/>
      <c r="EZ78" s="2012"/>
      <c r="FA78" s="2012"/>
      <c r="FB78" s="1711"/>
      <c r="FC78" s="2012"/>
      <c r="FD78" s="2012"/>
      <c r="FE78" s="2012"/>
      <c r="FF78" s="2012"/>
      <c r="FG78" s="2012"/>
      <c r="FH78" s="2012"/>
      <c r="FI78" s="2012"/>
      <c r="FJ78" s="2012"/>
      <c r="FK78" s="2012"/>
      <c r="FL78" s="2012"/>
      <c r="FM78" s="2012"/>
      <c r="FN78" s="2012"/>
      <c r="FO78" s="2012"/>
      <c r="FP78" s="2012"/>
      <c r="FQ78" s="2012"/>
      <c r="FR78" s="2012"/>
      <c r="FS78" s="2012"/>
      <c r="FT78" s="2012"/>
      <c r="FU78" s="2012"/>
      <c r="FV78" s="2012"/>
      <c r="FW78" s="2012"/>
      <c r="FX78" s="2012"/>
      <c r="FY78" s="2012"/>
      <c r="FZ78" s="2012"/>
      <c r="GA78" s="2012"/>
      <c r="GB78" s="2012"/>
      <c r="GC78" s="2012"/>
      <c r="GD78" s="2012"/>
      <c r="GE78" s="2012"/>
      <c r="GF78" s="2012"/>
      <c r="GG78" s="2012"/>
      <c r="GH78" s="2012"/>
      <c r="GI78" s="2012"/>
      <c r="GJ78" s="2012"/>
      <c r="GK78" s="2012"/>
      <c r="GL78" s="2012"/>
      <c r="GM78" s="2012"/>
      <c r="GN78" s="2012"/>
      <c r="GO78" s="2012"/>
      <c r="GP78" s="2012"/>
      <c r="GQ78" s="2012"/>
      <c r="GR78" s="2012"/>
      <c r="GS78" s="2012"/>
      <c r="GT78" s="2012"/>
      <c r="GU78" s="2012"/>
      <c r="GV78" s="2012"/>
      <c r="GW78" s="2012"/>
      <c r="GX78" s="2012"/>
      <c r="GY78" s="2012"/>
      <c r="GZ78" s="2012"/>
      <c r="HA78" s="2012"/>
      <c r="HB78" s="2012"/>
      <c r="HC78" s="2012"/>
      <c r="HD78" s="2012"/>
      <c r="HE78" s="2012"/>
      <c r="HF78" s="2012"/>
      <c r="HG78" s="2012"/>
      <c r="HH78" s="2012"/>
      <c r="HI78" s="2012"/>
      <c r="HJ78" s="2012"/>
      <c r="HK78" s="2012"/>
      <c r="HL78" s="2012"/>
      <c r="HM78" s="2012"/>
      <c r="HN78" s="2012"/>
      <c r="HO78" s="2012"/>
      <c r="HP78" s="2012"/>
      <c r="HQ78" s="2012"/>
      <c r="HR78" s="2012"/>
      <c r="HS78" s="2012"/>
      <c r="HT78" s="2012"/>
      <c r="HU78" s="2012"/>
      <c r="HV78" s="2012"/>
      <c r="HW78" s="2012"/>
      <c r="HX78" s="2012"/>
      <c r="HY78" s="2012"/>
      <c r="HZ78" s="2012"/>
      <c r="IA78" s="2012"/>
      <c r="IB78" s="2012"/>
      <c r="IC78" s="2012"/>
      <c r="ID78" s="2012"/>
      <c r="IE78" s="2012"/>
      <c r="IF78" s="2012"/>
      <c r="IG78" s="2012"/>
      <c r="IH78" s="2012"/>
      <c r="II78" s="2012"/>
      <c r="IJ78" s="2012"/>
      <c r="IK78" s="2012"/>
      <c r="IL78" s="2012"/>
      <c r="IM78" s="2012"/>
      <c r="IN78" s="2012"/>
      <c r="IO78" s="2012"/>
      <c r="IP78" s="2012"/>
      <c r="IQ78" s="2012"/>
      <c r="IR78" s="3896"/>
      <c r="IS78" s="2012"/>
      <c r="IT78" s="2012"/>
      <c r="IU78" s="2012"/>
      <c r="IV78" s="2012"/>
      <c r="IW78" s="2012"/>
      <c r="IX78" s="2012"/>
      <c r="IY78" s="2012"/>
      <c r="IZ78" s="2012"/>
      <c r="JA78" s="2548"/>
      <c r="JB78" s="2548"/>
      <c r="JC78" s="2548"/>
      <c r="JD78" s="2548"/>
      <c r="JE78" s="2548"/>
      <c r="JF78" s="2548"/>
      <c r="JG78" s="3796"/>
      <c r="JH78" s="1233"/>
      <c r="JI78" s="1232"/>
      <c r="JJ78" s="1660" t="s">
        <v>6108</v>
      </c>
    </row>
    <row ht="12.75" r="79" spans="1:270" x14ac:dyDescent="0.2">
      <c r="A79" s="1128">
        <v>30</v>
      </c>
      <c r="B79" s="1369" t="str">
        <f si="3" t="shared"/>
        <v/>
      </c>
      <c r="C79" s="1278" t="s">
        <v>927</v>
      </c>
      <c r="D79" s="1372" t="str">
        <f>"Earlier years’ back pay, received during "&amp;tax_year</f>
        <v>Earlier years’ back pay, received during 2019-20</v>
      </c>
      <c r="E79" s="1719"/>
      <c r="F79" s="1719"/>
      <c r="G79" s="1719"/>
      <c r="H79" s="1719"/>
      <c r="I79" s="1719"/>
      <c r="J79" s="1719"/>
      <c r="K79" s="1719"/>
      <c r="L79" s="1719"/>
      <c r="M79" s="1719"/>
      <c r="N79" s="1719"/>
      <c r="O79" s="1719"/>
      <c r="P79" s="2012"/>
      <c r="Q79" s="2012"/>
      <c r="R79" s="2012"/>
      <c r="S79" s="2012"/>
      <c r="T79" s="2012"/>
      <c r="U79" s="2012"/>
      <c r="V79" s="2012"/>
      <c r="W79" s="2012"/>
      <c r="X79" s="2012"/>
      <c r="Y79" s="2012"/>
      <c r="Z79" s="2012"/>
      <c r="AA79" s="2012"/>
      <c r="AB79" s="2012"/>
      <c r="AC79" s="2012"/>
      <c r="AD79" s="2548"/>
      <c r="AE79" s="2548"/>
      <c r="AF79" s="2548"/>
      <c r="AG79" s="2548"/>
      <c r="AH79" s="2548"/>
      <c r="AI79" s="1711"/>
      <c r="AJ79" s="2012"/>
      <c r="AK79" s="2012"/>
      <c r="AL79" s="2012"/>
      <c r="AM79" s="2012"/>
      <c r="AN79" s="2012"/>
      <c r="AO79" s="2012"/>
      <c r="AP79" s="2012"/>
      <c r="AQ79" s="2012"/>
      <c r="AR79" s="2012"/>
      <c r="AS79" s="2012"/>
      <c r="AT79" s="2012"/>
      <c r="AU79" s="2012"/>
      <c r="AV79" s="2012"/>
      <c r="AW79" s="2012"/>
      <c r="AX79" s="2012"/>
      <c r="AY79" s="2012"/>
      <c r="AZ79" s="2012"/>
      <c r="BA79" s="2012"/>
      <c r="BB79" s="2012"/>
      <c r="BC79" s="2012"/>
      <c r="BD79" s="2012"/>
      <c r="BE79" s="2012"/>
      <c r="BF79" s="2012"/>
      <c r="BG79" s="2012"/>
      <c r="BH79" s="2012"/>
      <c r="BI79" s="2012"/>
      <c r="BJ79" s="2012"/>
      <c r="BK79" s="2012"/>
      <c r="BL79" s="2012"/>
      <c r="BM79" s="2012"/>
      <c r="BN79" s="2012"/>
      <c r="BO79" s="2012"/>
      <c r="BP79" s="2012"/>
      <c r="BQ79" s="2012"/>
      <c r="BR79" s="2012"/>
      <c r="BS79" s="2012"/>
      <c r="BT79" s="2012"/>
      <c r="BU79" s="2012"/>
      <c r="BV79" s="2012"/>
      <c r="BW79" s="2012"/>
      <c r="BX79" s="2012"/>
      <c r="BY79" s="2012"/>
      <c r="BZ79" s="2012"/>
      <c r="CA79" s="2012"/>
      <c r="CB79" s="2012"/>
      <c r="CC79" s="2012"/>
      <c r="CD79" s="2012"/>
      <c r="CE79" s="2012"/>
      <c r="CF79" s="2012"/>
      <c r="CG79" s="2012"/>
      <c r="CH79" s="2012"/>
      <c r="CI79" s="1712"/>
      <c r="CJ79" s="2012"/>
      <c r="CK79" s="2012"/>
      <c r="CL79" s="2012"/>
      <c r="CM79" s="2012"/>
      <c r="CN79" s="2012"/>
      <c r="CO79" s="2012"/>
      <c r="CP79" s="2012"/>
      <c r="CQ79" s="2012"/>
      <c r="CR79" s="2012"/>
      <c r="CS79" s="2012"/>
      <c r="CT79" s="1711"/>
      <c r="CU79" s="2012"/>
      <c r="CV79" s="2012"/>
      <c r="CW79" s="2012"/>
      <c r="CX79" s="2012"/>
      <c r="CY79" s="2012"/>
      <c r="CZ79" s="2012"/>
      <c r="DA79" s="2012"/>
      <c r="DB79" s="2012"/>
      <c r="DC79" s="2012"/>
      <c r="DD79" s="2012"/>
      <c r="DE79" s="2012"/>
      <c r="DF79" s="2012"/>
      <c r="DG79" s="2012"/>
      <c r="DH79" s="2012"/>
      <c r="DI79" s="2012"/>
      <c r="DJ79" s="2012"/>
      <c r="DK79" s="2012"/>
      <c r="DL79" s="2012"/>
      <c r="DM79" s="2012"/>
      <c r="DN79" s="2012"/>
      <c r="DO79" s="2012"/>
      <c r="DP79" s="2012"/>
      <c r="DQ79" s="2012"/>
      <c r="DR79" s="2012"/>
      <c r="DS79" s="2012"/>
      <c r="DT79" s="2012"/>
      <c r="DU79" s="2012"/>
      <c r="DV79" s="2012"/>
      <c r="DW79" s="2012"/>
      <c r="DX79" s="2012"/>
      <c r="DY79" s="2012"/>
      <c r="DZ79" s="2012"/>
      <c r="EA79" s="1712"/>
      <c r="EB79" s="1711">
        <v>1800</v>
      </c>
      <c r="EC79" s="1711"/>
      <c r="ED79" s="2012"/>
      <c r="EE79" s="2012"/>
      <c r="EF79" s="2012"/>
      <c r="EG79" s="2012"/>
      <c r="EH79" s="2012"/>
      <c r="EI79" s="2012"/>
      <c r="EJ79" s="2012"/>
      <c r="EK79" s="2012"/>
      <c r="EL79" s="2012"/>
      <c r="EM79" s="2012"/>
      <c r="EN79" s="2012"/>
      <c r="EO79" s="2012"/>
      <c r="EP79" s="2012"/>
      <c r="EQ79" s="2012"/>
      <c r="ER79" s="2012"/>
      <c r="ES79" s="2012"/>
      <c r="ET79" s="2012"/>
      <c r="EU79" s="2012"/>
      <c r="EV79" s="2012"/>
      <c r="EW79" s="2012"/>
      <c r="EX79" s="2012"/>
      <c r="EY79" s="2012"/>
      <c r="EZ79" s="2012"/>
      <c r="FA79" s="2012"/>
      <c r="FB79" s="1711"/>
      <c r="FC79" s="2012"/>
      <c r="FD79" s="2012"/>
      <c r="FE79" s="2012"/>
      <c r="FF79" s="2012"/>
      <c r="FG79" s="2012"/>
      <c r="FH79" s="2012"/>
      <c r="FI79" s="2012"/>
      <c r="FJ79" s="2012"/>
      <c r="FK79" s="2012"/>
      <c r="FL79" s="2012"/>
      <c r="FM79" s="2012"/>
      <c r="FN79" s="2012"/>
      <c r="FO79" s="2012"/>
      <c r="FP79" s="2012"/>
      <c r="FQ79" s="2012"/>
      <c r="FR79" s="2012"/>
      <c r="FS79" s="2012"/>
      <c r="FT79" s="2012"/>
      <c r="FU79" s="2012"/>
      <c r="FV79" s="2012"/>
      <c r="FW79" s="2012"/>
      <c r="FX79" s="2012"/>
      <c r="FY79" s="2012"/>
      <c r="FZ79" s="2012"/>
      <c r="GA79" s="2012"/>
      <c r="GB79" s="2012"/>
      <c r="GC79" s="2012"/>
      <c r="GD79" s="2012"/>
      <c r="GE79" s="2012"/>
      <c r="GF79" s="2012"/>
      <c r="GG79" s="2012"/>
      <c r="GH79" s="2012"/>
      <c r="GI79" s="2012"/>
      <c r="GJ79" s="2012"/>
      <c r="GK79" s="2012"/>
      <c r="GL79" s="2012"/>
      <c r="GM79" s="2012"/>
      <c r="GN79" s="2012"/>
      <c r="GO79" s="2012"/>
      <c r="GP79" s="2012"/>
      <c r="GQ79" s="2012"/>
      <c r="GR79" s="2012"/>
      <c r="GS79" s="2012"/>
      <c r="GT79" s="2012"/>
      <c r="GU79" s="2012"/>
      <c r="GV79" s="2012"/>
      <c r="GW79" s="2012"/>
      <c r="GX79" s="2012"/>
      <c r="GY79" s="2012"/>
      <c r="GZ79" s="2012"/>
      <c r="HA79" s="2012"/>
      <c r="HB79" s="2012"/>
      <c r="HC79" s="2012"/>
      <c r="HD79" s="2012"/>
      <c r="HE79" s="2012"/>
      <c r="HF79" s="2012"/>
      <c r="HG79" s="2012"/>
      <c r="HH79" s="2012"/>
      <c r="HI79" s="2012"/>
      <c r="HJ79" s="2012"/>
      <c r="HK79" s="2012"/>
      <c r="HL79" s="2012"/>
      <c r="HM79" s="2012"/>
      <c r="HN79" s="2012"/>
      <c r="HO79" s="2012"/>
      <c r="HP79" s="2012"/>
      <c r="HQ79" s="2012"/>
      <c r="HR79" s="2012"/>
      <c r="HS79" s="2012"/>
      <c r="HT79" s="2012"/>
      <c r="HU79" s="2012"/>
      <c r="HV79" s="2012"/>
      <c r="HW79" s="2012"/>
      <c r="HX79" s="2012"/>
      <c r="HY79" s="2012"/>
      <c r="HZ79" s="2012"/>
      <c r="IA79" s="2012"/>
      <c r="IB79" s="2012"/>
      <c r="IC79" s="2012"/>
      <c r="ID79" s="2012"/>
      <c r="IE79" s="2012"/>
      <c r="IF79" s="2012"/>
      <c r="IG79" s="2012"/>
      <c r="IH79" s="2012"/>
      <c r="II79" s="2012"/>
      <c r="IJ79" s="2012"/>
      <c r="IK79" s="2012"/>
      <c r="IL79" s="2012"/>
      <c r="IM79" s="2012"/>
      <c r="IN79" s="2012"/>
      <c r="IO79" s="2012"/>
      <c r="IP79" s="2012"/>
      <c r="IQ79" s="2012"/>
      <c r="IR79" s="3896"/>
      <c r="IS79" s="2012"/>
      <c r="IT79" s="2012"/>
      <c r="IU79" s="2012"/>
      <c r="IV79" s="2012"/>
      <c r="IW79" s="2012"/>
      <c r="IX79" s="2012"/>
      <c r="IY79" s="2012"/>
      <c r="IZ79" s="2012"/>
      <c r="JA79" s="2548"/>
      <c r="JB79" s="2548"/>
      <c r="JC79" s="2548"/>
      <c r="JD79" s="2548"/>
      <c r="JE79" s="2548"/>
      <c r="JF79" s="2548"/>
      <c r="JG79" s="3796"/>
      <c r="JH79" s="1233"/>
      <c r="JI79" s="1232"/>
      <c r="JJ79" s="1660" t="s">
        <v>6108</v>
      </c>
    </row>
    <row ht="12.75" r="80" spans="1:270" x14ac:dyDescent="0.2">
      <c r="A80" s="1128">
        <v>31</v>
      </c>
      <c r="B80" s="1369" t="str">
        <f si="3" t="shared"/>
        <v/>
      </c>
      <c r="C80" s="1278" t="s">
        <v>928</v>
      </c>
      <c r="D80" s="1372" t="s">
        <v>4861</v>
      </c>
      <c r="E80" s="1719"/>
      <c r="F80" s="1719"/>
      <c r="G80" s="1719"/>
      <c r="H80" s="1719"/>
      <c r="I80" s="1719"/>
      <c r="J80" s="1719"/>
      <c r="K80" s="1719"/>
      <c r="L80" s="1719"/>
      <c r="M80" s="1719"/>
      <c r="N80" s="1719"/>
      <c r="O80" s="1719"/>
      <c r="P80" s="2012"/>
      <c r="Q80" s="2012"/>
      <c r="R80" s="2012"/>
      <c r="S80" s="2012"/>
      <c r="T80" s="2012"/>
      <c r="U80" s="2012"/>
      <c r="V80" s="2012"/>
      <c r="W80" s="2012"/>
      <c r="X80" s="2012"/>
      <c r="Y80" s="2012"/>
      <c r="Z80" s="2012"/>
      <c r="AA80" s="2012"/>
      <c r="AB80" s="2012"/>
      <c r="AC80" s="2012"/>
      <c r="AD80" s="2548"/>
      <c r="AE80" s="2548"/>
      <c r="AF80" s="2548"/>
      <c r="AG80" s="2548"/>
      <c r="AH80" s="2548"/>
      <c r="AI80" s="1711"/>
      <c r="AJ80" s="2012"/>
      <c r="AK80" s="2012"/>
      <c r="AL80" s="2012"/>
      <c r="AM80" s="2012"/>
      <c r="AN80" s="2012"/>
      <c r="AO80" s="2012"/>
      <c r="AP80" s="2012"/>
      <c r="AQ80" s="2012"/>
      <c r="AR80" s="2012"/>
      <c r="AS80" s="2012"/>
      <c r="AT80" s="2012"/>
      <c r="AU80" s="2012"/>
      <c r="AV80" s="2012"/>
      <c r="AW80" s="2012"/>
      <c r="AX80" s="2012"/>
      <c r="AY80" s="2012"/>
      <c r="AZ80" s="2012"/>
      <c r="BA80" s="2012"/>
      <c r="BB80" s="2012"/>
      <c r="BC80" s="2012"/>
      <c r="BD80" s="2012"/>
      <c r="BE80" s="2012"/>
      <c r="BF80" s="2012"/>
      <c r="BG80" s="2012"/>
      <c r="BH80" s="2012"/>
      <c r="BI80" s="2012"/>
      <c r="BJ80" s="2012"/>
      <c r="BK80" s="2012"/>
      <c r="BL80" s="2012"/>
      <c r="BM80" s="2012"/>
      <c r="BN80" s="2012"/>
      <c r="BO80" s="2012"/>
      <c r="BP80" s="2012"/>
      <c r="BQ80" s="2012"/>
      <c r="BR80" s="2012"/>
      <c r="BS80" s="2012"/>
      <c r="BT80" s="2012"/>
      <c r="BU80" s="2012"/>
      <c r="BV80" s="2012"/>
      <c r="BW80" s="2012"/>
      <c r="BX80" s="2012"/>
      <c r="BY80" s="2012"/>
      <c r="BZ80" s="2012"/>
      <c r="CA80" s="2012"/>
      <c r="CB80" s="2012"/>
      <c r="CC80" s="2012"/>
      <c r="CD80" s="2012"/>
      <c r="CE80" s="2012"/>
      <c r="CF80" s="2012"/>
      <c r="CG80" s="2012"/>
      <c r="CH80" s="2012"/>
      <c r="CI80" s="1712"/>
      <c r="CJ80" s="2012"/>
      <c r="CK80" s="2012"/>
      <c r="CL80" s="2012"/>
      <c r="CM80" s="2012"/>
      <c r="CN80" s="2012"/>
      <c r="CO80" s="2012"/>
      <c r="CP80" s="2012"/>
      <c r="CQ80" s="2012"/>
      <c r="CR80" s="2012"/>
      <c r="CS80" s="2012"/>
      <c r="CT80" s="1711"/>
      <c r="CU80" s="2012"/>
      <c r="CV80" s="2012"/>
      <c r="CW80" s="2012"/>
      <c r="CX80" s="2012"/>
      <c r="CY80" s="2012"/>
      <c r="CZ80" s="2012"/>
      <c r="DA80" s="2012"/>
      <c r="DB80" s="2012"/>
      <c r="DC80" s="2012"/>
      <c r="DD80" s="2012"/>
      <c r="DE80" s="2012"/>
      <c r="DF80" s="2012"/>
      <c r="DG80" s="2012"/>
      <c r="DH80" s="2012"/>
      <c r="DI80" s="2012"/>
      <c r="DJ80" s="2012"/>
      <c r="DK80" s="2012"/>
      <c r="DL80" s="2012"/>
      <c r="DM80" s="2012"/>
      <c r="DN80" s="2012"/>
      <c r="DO80" s="2012"/>
      <c r="DP80" s="2012"/>
      <c r="DQ80" s="2012"/>
      <c r="DR80" s="2012"/>
      <c r="DS80" s="2012"/>
      <c r="DT80" s="2012"/>
      <c r="DU80" s="2012"/>
      <c r="DV80" s="2012"/>
      <c r="DW80" s="2012"/>
      <c r="DX80" s="2012"/>
      <c r="DY80" s="2012"/>
      <c r="DZ80" s="2012"/>
      <c r="EA80" s="1712"/>
      <c r="EB80" s="1711">
        <v>600</v>
      </c>
      <c r="EC80" s="1711"/>
      <c r="ED80" s="2012"/>
      <c r="EE80" s="2012"/>
      <c r="EF80" s="2012"/>
      <c r="EG80" s="2012"/>
      <c r="EH80" s="2012"/>
      <c r="EI80" s="2012"/>
      <c r="EJ80" s="2012"/>
      <c r="EK80" s="2012"/>
      <c r="EL80" s="2012"/>
      <c r="EM80" s="2012"/>
      <c r="EN80" s="2012"/>
      <c r="EO80" s="2012"/>
      <c r="EP80" s="2012"/>
      <c r="EQ80" s="2012"/>
      <c r="ER80" s="2012"/>
      <c r="ES80" s="2012"/>
      <c r="ET80" s="2012"/>
      <c r="EU80" s="2012"/>
      <c r="EV80" s="2012"/>
      <c r="EW80" s="2012"/>
      <c r="EX80" s="2012"/>
      <c r="EY80" s="2012"/>
      <c r="EZ80" s="2012"/>
      <c r="FA80" s="2012"/>
      <c r="FB80" s="1711"/>
      <c r="FC80" s="2012"/>
      <c r="FD80" s="2012"/>
      <c r="FE80" s="2012"/>
      <c r="FF80" s="2012"/>
      <c r="FG80" s="2012"/>
      <c r="FH80" s="2012"/>
      <c r="FI80" s="2012"/>
      <c r="FJ80" s="2012"/>
      <c r="FK80" s="2012"/>
      <c r="FL80" s="2012"/>
      <c r="FM80" s="2012"/>
      <c r="FN80" s="2012"/>
      <c r="FO80" s="2012"/>
      <c r="FP80" s="2012"/>
      <c r="FQ80" s="2012"/>
      <c r="FR80" s="2012"/>
      <c r="FS80" s="2012"/>
      <c r="FT80" s="2012"/>
      <c r="FU80" s="2012"/>
      <c r="FV80" s="2012"/>
      <c r="FW80" s="2012"/>
      <c r="FX80" s="2012"/>
      <c r="FY80" s="2012"/>
      <c r="FZ80" s="2012"/>
      <c r="GA80" s="2012"/>
      <c r="GB80" s="2012"/>
      <c r="GC80" s="2012"/>
      <c r="GD80" s="2012"/>
      <c r="GE80" s="2012"/>
      <c r="GF80" s="2012"/>
      <c r="GG80" s="2012"/>
      <c r="GH80" s="2012"/>
      <c r="GI80" s="2012"/>
      <c r="GJ80" s="2012"/>
      <c r="GK80" s="2012"/>
      <c r="GL80" s="2012"/>
      <c r="GM80" s="2012"/>
      <c r="GN80" s="2012"/>
      <c r="GO80" s="2012"/>
      <c r="GP80" s="2012"/>
      <c r="GQ80" s="2012"/>
      <c r="GR80" s="2012"/>
      <c r="GS80" s="2012"/>
      <c r="GT80" s="2012"/>
      <c r="GU80" s="2012"/>
      <c r="GV80" s="2012"/>
      <c r="GW80" s="2012"/>
      <c r="GX80" s="2012"/>
      <c r="GY80" s="2012"/>
      <c r="GZ80" s="2012"/>
      <c r="HA80" s="2012"/>
      <c r="HB80" s="2012"/>
      <c r="HC80" s="2012"/>
      <c r="HD80" s="2012"/>
      <c r="HE80" s="2012"/>
      <c r="HF80" s="2012"/>
      <c r="HG80" s="2012"/>
      <c r="HH80" s="2012"/>
      <c r="HI80" s="2012"/>
      <c r="HJ80" s="2012"/>
      <c r="HK80" s="2012"/>
      <c r="HL80" s="2012"/>
      <c r="HM80" s="2012"/>
      <c r="HN80" s="2012"/>
      <c r="HO80" s="2012"/>
      <c r="HP80" s="2012"/>
      <c r="HQ80" s="2012"/>
      <c r="HR80" s="2012"/>
      <c r="HS80" s="2012"/>
      <c r="HT80" s="2012"/>
      <c r="HU80" s="2012"/>
      <c r="HV80" s="2012"/>
      <c r="HW80" s="2012"/>
      <c r="HX80" s="2012"/>
      <c r="HY80" s="2012"/>
      <c r="HZ80" s="2012"/>
      <c r="IA80" s="2012"/>
      <c r="IB80" s="2012"/>
      <c r="IC80" s="2012"/>
      <c r="ID80" s="2012"/>
      <c r="IE80" s="2012"/>
      <c r="IF80" s="2012"/>
      <c r="IG80" s="2012"/>
      <c r="IH80" s="2012"/>
      <c r="II80" s="2012"/>
      <c r="IJ80" s="2012"/>
      <c r="IK80" s="2012"/>
      <c r="IL80" s="2012"/>
      <c r="IM80" s="2012"/>
      <c r="IN80" s="2012"/>
      <c r="IO80" s="2012"/>
      <c r="IP80" s="2012"/>
      <c r="IQ80" s="2012"/>
      <c r="IR80" s="3896"/>
      <c r="IS80" s="2012"/>
      <c r="IT80" s="2012"/>
      <c r="IU80" s="2012"/>
      <c r="IV80" s="2012"/>
      <c r="IW80" s="2012"/>
      <c r="IX80" s="2012"/>
      <c r="IY80" s="2012"/>
      <c r="IZ80" s="2012"/>
      <c r="JA80" s="2548"/>
      <c r="JB80" s="2548"/>
      <c r="JC80" s="2548"/>
      <c r="JD80" s="2548"/>
      <c r="JE80" s="2548"/>
      <c r="JF80" s="2548"/>
      <c r="JG80" s="3796"/>
      <c r="JH80" s="1233"/>
      <c r="JI80" s="1232"/>
      <c r="JJ80" s="1660" t="s">
        <v>6108</v>
      </c>
    </row>
    <row ht="12.75" r="81" spans="1:270" x14ac:dyDescent="0.2">
      <c r="A81" s="1128">
        <v>32</v>
      </c>
      <c r="B81" s="1369" t="str">
        <f si="3" t="shared"/>
        <v/>
      </c>
      <c r="C81" s="1278" t="s">
        <v>979</v>
      </c>
      <c r="D81" s="1372" t="s">
        <v>4862</v>
      </c>
      <c r="E81" s="1722"/>
      <c r="F81" s="1722"/>
      <c r="G81" s="1722"/>
      <c r="H81" s="1722"/>
      <c r="I81" s="1722"/>
      <c r="J81" s="1722"/>
      <c r="K81" s="1722"/>
      <c r="L81" s="1722"/>
      <c r="M81" s="1722"/>
      <c r="N81" s="1722"/>
      <c r="O81" s="1722"/>
      <c r="P81" s="2015"/>
      <c r="Q81" s="2015"/>
      <c r="R81" s="2015"/>
      <c r="S81" s="2015"/>
      <c r="T81" s="2015"/>
      <c r="U81" s="2015"/>
      <c r="V81" s="2015"/>
      <c r="W81" s="2015"/>
      <c r="X81" s="2015"/>
      <c r="Y81" s="2015"/>
      <c r="Z81" s="2015"/>
      <c r="AA81" s="2015"/>
      <c r="AB81" s="2015"/>
      <c r="AC81" s="2015"/>
      <c r="AD81" s="2580"/>
      <c r="AE81" s="2580"/>
      <c r="AF81" s="2580"/>
      <c r="AG81" s="2580"/>
      <c r="AH81" s="2580"/>
      <c r="AI81" s="1714">
        <f>IF(AND(AI62+AI69&gt;=8500,AI55+AI63&gt;0),MAX(AI77+AI78-(AI76+AI79+AI80)),0)</f>
        <v>0</v>
      </c>
      <c r="AJ81" s="2015"/>
      <c r="AK81" s="2015"/>
      <c r="AL81" s="2015"/>
      <c r="AM81" s="2015"/>
      <c r="AN81" s="2015"/>
      <c r="AO81" s="2015"/>
      <c r="AP81" s="2015"/>
      <c r="AQ81" s="2015"/>
      <c r="AR81" s="2015"/>
      <c r="AS81" s="2015"/>
      <c r="AT81" s="2015"/>
      <c r="AU81" s="2015"/>
      <c r="AV81" s="2015"/>
      <c r="AW81" s="2015"/>
      <c r="AX81" s="2015"/>
      <c r="AY81" s="2015"/>
      <c r="AZ81" s="2015"/>
      <c r="BA81" s="2015"/>
      <c r="BB81" s="2015"/>
      <c r="BC81" s="2015"/>
      <c r="BD81" s="2015"/>
      <c r="BE81" s="2015"/>
      <c r="BF81" s="2015"/>
      <c r="BG81" s="2015"/>
      <c r="BH81" s="2015"/>
      <c r="BI81" s="2015"/>
      <c r="BJ81" s="2015"/>
      <c r="BK81" s="2015"/>
      <c r="BL81" s="2015"/>
      <c r="BM81" s="2015"/>
      <c r="BN81" s="2015"/>
      <c r="BO81" s="2015"/>
      <c r="BP81" s="2015"/>
      <c r="BQ81" s="2015"/>
      <c r="BR81" s="2015"/>
      <c r="BS81" s="2015"/>
      <c r="BT81" s="2015"/>
      <c r="BU81" s="2015"/>
      <c r="BV81" s="2015"/>
      <c r="BW81" s="2015"/>
      <c r="BX81" s="2015"/>
      <c r="BY81" s="2015"/>
      <c r="BZ81" s="2015"/>
      <c r="CA81" s="2015"/>
      <c r="CB81" s="2015"/>
      <c r="CC81" s="2015"/>
      <c r="CD81" s="2015"/>
      <c r="CE81" s="2015"/>
      <c r="CF81" s="2015"/>
      <c r="CG81" s="2015"/>
      <c r="CH81" s="2015"/>
      <c r="CI81" s="1714">
        <f>IF(AND(CI62+CI69&gt;=8500,CI55+CI63&gt;0),MAX(CI77+CI78-(CI76+CI79+CI80)),0)</f>
        <v>0</v>
      </c>
      <c r="CJ81" s="2015"/>
      <c r="CK81" s="2015"/>
      <c r="CL81" s="2015"/>
      <c r="CM81" s="2015"/>
      <c r="CN81" s="2015"/>
      <c r="CO81" s="2015"/>
      <c r="CP81" s="2015"/>
      <c r="CQ81" s="2015"/>
      <c r="CR81" s="2015"/>
      <c r="CS81" s="2015"/>
      <c r="CT81" s="1714">
        <f>IF(AND(CT62+CT69&gt;=8500,CT55+CT63&gt;0),MAX(CT77+CT78-(CT76+CT79+CT80)),0)</f>
        <v>21172</v>
      </c>
      <c r="CU81" s="2015"/>
      <c r="CV81" s="2015"/>
      <c r="CW81" s="2015"/>
      <c r="CX81" s="2015"/>
      <c r="CY81" s="2015"/>
      <c r="CZ81" s="2015"/>
      <c r="DA81" s="2015"/>
      <c r="DB81" s="2015"/>
      <c r="DC81" s="2015"/>
      <c r="DD81" s="2015"/>
      <c r="DE81" s="2015"/>
      <c r="DF81" s="2015"/>
      <c r="DG81" s="2015"/>
      <c r="DH81" s="2015"/>
      <c r="DI81" s="2015"/>
      <c r="DJ81" s="2015"/>
      <c r="DK81" s="2015"/>
      <c r="DL81" s="2015"/>
      <c r="DM81" s="2015"/>
      <c r="DN81" s="2015"/>
      <c r="DO81" s="2015"/>
      <c r="DP81" s="2015"/>
      <c r="DQ81" s="2015"/>
      <c r="DR81" s="2015"/>
      <c r="DS81" s="2015"/>
      <c r="DT81" s="2015"/>
      <c r="DU81" s="2015"/>
      <c r="DV81" s="2015"/>
      <c r="DW81" s="2015"/>
      <c r="DX81" s="2015"/>
      <c r="DY81" s="2015"/>
      <c r="DZ81" s="2015"/>
      <c r="EA81" s="1714">
        <f>IF(AND(EA62+EA69&gt;=8500,EA55+EA63&gt;0),MAX(EA77+EA78-(EA76+EA79+EA80)),0)</f>
        <v>0</v>
      </c>
      <c r="EB81" s="1714">
        <f>IF(AND(EB62+EB69&gt;=8500,EB55+EB63&gt;0),MAX(EB77+EB78-(EB76+EB79+EB80)),0)</f>
        <v>11580</v>
      </c>
      <c r="EC81" s="1714">
        <f>IF(AND(EC62+EC69&gt;=8500,EC55+EC63&gt;0),MAX(EC77+EC78-(EC76+EC79+EC80)),0)</f>
        <v>21172</v>
      </c>
      <c r="ED81" s="2015"/>
      <c r="EE81" s="2015"/>
      <c r="EF81" s="2015"/>
      <c r="EG81" s="2015"/>
      <c r="EH81" s="2015"/>
      <c r="EI81" s="2015"/>
      <c r="EJ81" s="2015"/>
      <c r="EK81" s="2015"/>
      <c r="EL81" s="2015"/>
      <c r="EM81" s="2015"/>
      <c r="EN81" s="2015"/>
      <c r="EO81" s="2015"/>
      <c r="EP81" s="2015"/>
      <c r="EQ81" s="2015"/>
      <c r="ER81" s="2015"/>
      <c r="ES81" s="2015"/>
      <c r="ET81" s="2015"/>
      <c r="EU81" s="2015"/>
      <c r="EV81" s="2015"/>
      <c r="EW81" s="2015"/>
      <c r="EX81" s="2015"/>
      <c r="EY81" s="2015"/>
      <c r="EZ81" s="2015"/>
      <c r="FA81" s="2015"/>
      <c r="FB81" s="1714">
        <f>IF(AND(FB62+FB69&gt;=8500,FB55+FB63&gt;0),MAX(FB77+FB78-(FB76+FB79+FB80)),0)</f>
        <v>21172</v>
      </c>
      <c r="FC81" s="2015"/>
      <c r="FD81" s="2015"/>
      <c r="FE81" s="2015"/>
      <c r="FF81" s="2015"/>
      <c r="FG81" s="2015"/>
      <c r="FH81" s="2015"/>
      <c r="FI81" s="2015"/>
      <c r="FJ81" s="2015"/>
      <c r="FK81" s="2015"/>
      <c r="FL81" s="2015"/>
      <c r="FM81" s="2015"/>
      <c r="FN81" s="2015"/>
      <c r="FO81" s="2015"/>
      <c r="FP81" s="2015"/>
      <c r="FQ81" s="2015"/>
      <c r="FR81" s="2015"/>
      <c r="FS81" s="2015"/>
      <c r="FT81" s="2015"/>
      <c r="FU81" s="2015"/>
      <c r="FV81" s="2015"/>
      <c r="FW81" s="2015"/>
      <c r="FX81" s="2015"/>
      <c r="FY81" s="2015"/>
      <c r="FZ81" s="2015"/>
      <c r="GA81" s="2015"/>
      <c r="GB81" s="2015"/>
      <c r="GC81" s="2015"/>
      <c r="GD81" s="2015"/>
      <c r="GE81" s="2015"/>
      <c r="GF81" s="2015"/>
      <c r="GG81" s="2015"/>
      <c r="GH81" s="2015"/>
      <c r="GI81" s="2015"/>
      <c r="GJ81" s="2015"/>
      <c r="GK81" s="2015"/>
      <c r="GL81" s="2015"/>
      <c r="GM81" s="2015"/>
      <c r="GN81" s="2015"/>
      <c r="GO81" s="2015"/>
      <c r="GP81" s="2015"/>
      <c r="GQ81" s="2015"/>
      <c r="GR81" s="2015"/>
      <c r="GS81" s="2015"/>
      <c r="GT81" s="2015"/>
      <c r="GU81" s="2015"/>
      <c r="GV81" s="2015"/>
      <c r="GW81" s="2015"/>
      <c r="GX81" s="2015"/>
      <c r="GY81" s="2015"/>
      <c r="GZ81" s="2015"/>
      <c r="HA81" s="2015"/>
      <c r="HB81" s="2015"/>
      <c r="HC81" s="2015"/>
      <c r="HD81" s="2015"/>
      <c r="HE81" s="2015"/>
      <c r="HF81" s="2015"/>
      <c r="HG81" s="2015"/>
      <c r="HH81" s="2015"/>
      <c r="HI81" s="2015"/>
      <c r="HJ81" s="2015"/>
      <c r="HK81" s="2015"/>
      <c r="HL81" s="2015"/>
      <c r="HM81" s="2015"/>
      <c r="HN81" s="2015"/>
      <c r="HO81" s="2015"/>
      <c r="HP81" s="2015"/>
      <c r="HQ81" s="2015"/>
      <c r="HR81" s="2015"/>
      <c r="HS81" s="2015"/>
      <c r="HT81" s="2015"/>
      <c r="HU81" s="2015"/>
      <c r="HV81" s="2015"/>
      <c r="HW81" s="2015"/>
      <c r="HX81" s="2015"/>
      <c r="HY81" s="2015"/>
      <c r="HZ81" s="2015"/>
      <c r="IA81" s="2015"/>
      <c r="IB81" s="2015"/>
      <c r="IC81" s="2015"/>
      <c r="ID81" s="2015"/>
      <c r="IE81" s="2015"/>
      <c r="IF81" s="2015"/>
      <c r="IG81" s="2015"/>
      <c r="IH81" s="2015"/>
      <c r="II81" s="2015"/>
      <c r="IJ81" s="2015"/>
      <c r="IK81" s="2015"/>
      <c r="IL81" s="2015"/>
      <c r="IM81" s="2015"/>
      <c r="IN81" s="2015"/>
      <c r="IO81" s="2015"/>
      <c r="IP81" s="2015"/>
      <c r="IQ81" s="2015"/>
      <c r="IR81" s="3898"/>
      <c r="IS81" s="2015"/>
      <c r="IT81" s="2015"/>
      <c r="IU81" s="2015"/>
      <c r="IV81" s="2015"/>
      <c r="IW81" s="2015"/>
      <c r="IX81" s="2015"/>
      <c r="IY81" s="2015"/>
      <c r="IZ81" s="2015"/>
      <c r="JA81" s="2580"/>
      <c r="JB81" s="2580"/>
      <c r="JC81" s="2580"/>
      <c r="JD81" s="2580"/>
      <c r="JE81" s="2580"/>
      <c r="JF81" s="2580"/>
      <c r="JG81" s="3799"/>
      <c r="JH81" s="1233"/>
      <c r="JI81" s="1229" t="s">
        <v>5088</v>
      </c>
      <c r="JJ81" s="1660" t="s">
        <v>6124</v>
      </c>
    </row>
    <row ht="12.75" r="82" spans="1:270" x14ac:dyDescent="0.2">
      <c r="A82" s="1128">
        <v>33</v>
      </c>
      <c r="B82" s="1369" t="str">
        <f si="3" t="shared"/>
        <v/>
      </c>
      <c r="C82" s="1278" t="s">
        <v>980</v>
      </c>
      <c r="D82" s="1372" t="s">
        <v>4863</v>
      </c>
      <c r="E82" s="1722"/>
      <c r="F82" s="1722"/>
      <c r="G82" s="1722"/>
      <c r="H82" s="1722"/>
      <c r="I82" s="1722"/>
      <c r="J82" s="1722"/>
      <c r="K82" s="1722"/>
      <c r="L82" s="1722"/>
      <c r="M82" s="1722"/>
      <c r="N82" s="1722"/>
      <c r="O82" s="1722"/>
      <c r="P82" s="2015"/>
      <c r="Q82" s="2015"/>
      <c r="R82" s="2015"/>
      <c r="S82" s="2015"/>
      <c r="T82" s="2015"/>
      <c r="U82" s="2015"/>
      <c r="V82" s="2015"/>
      <c r="W82" s="2015"/>
      <c r="X82" s="2015"/>
      <c r="Y82" s="2015"/>
      <c r="Z82" s="2015"/>
      <c r="AA82" s="2015"/>
      <c r="AB82" s="2015"/>
      <c r="AC82" s="2015"/>
      <c r="AD82" s="2580"/>
      <c r="AE82" s="2580"/>
      <c r="AF82" s="2580"/>
      <c r="AG82" s="2580"/>
      <c r="AH82" s="2580"/>
      <c r="AI82" s="1714">
        <f>AI81*10%</f>
        <v>0</v>
      </c>
      <c r="AJ82" s="2015"/>
      <c r="AK82" s="2015"/>
      <c r="AL82" s="2015"/>
      <c r="AM82" s="2015"/>
      <c r="AN82" s="2015"/>
      <c r="AO82" s="2015"/>
      <c r="AP82" s="2015"/>
      <c r="AQ82" s="2015"/>
      <c r="AR82" s="2015"/>
      <c r="AS82" s="2015"/>
      <c r="AT82" s="2015"/>
      <c r="AU82" s="2015"/>
      <c r="AV82" s="2015"/>
      <c r="AW82" s="2015"/>
      <c r="AX82" s="2015"/>
      <c r="AY82" s="2015"/>
      <c r="AZ82" s="2015"/>
      <c r="BA82" s="2015"/>
      <c r="BB82" s="2015"/>
      <c r="BC82" s="2015"/>
      <c r="BD82" s="2015"/>
      <c r="BE82" s="2015"/>
      <c r="BF82" s="2015"/>
      <c r="BG82" s="2015"/>
      <c r="BH82" s="2015"/>
      <c r="BI82" s="2015"/>
      <c r="BJ82" s="2015"/>
      <c r="BK82" s="2015"/>
      <c r="BL82" s="2015"/>
      <c r="BM82" s="2015"/>
      <c r="BN82" s="2015"/>
      <c r="BO82" s="2015"/>
      <c r="BP82" s="2015"/>
      <c r="BQ82" s="2015"/>
      <c r="BR82" s="2015"/>
      <c r="BS82" s="2015"/>
      <c r="BT82" s="2015"/>
      <c r="BU82" s="2015"/>
      <c r="BV82" s="2015"/>
      <c r="BW82" s="2015"/>
      <c r="BX82" s="2015"/>
      <c r="BY82" s="2015"/>
      <c r="BZ82" s="2015"/>
      <c r="CA82" s="2015"/>
      <c r="CB82" s="2015"/>
      <c r="CC82" s="2015"/>
      <c r="CD82" s="2015"/>
      <c r="CE82" s="2015"/>
      <c r="CF82" s="2015"/>
      <c r="CG82" s="2015"/>
      <c r="CH82" s="2015"/>
      <c r="CI82" s="1714">
        <f>CI81*10%</f>
        <v>0</v>
      </c>
      <c r="CJ82" s="2015"/>
      <c r="CK82" s="2015"/>
      <c r="CL82" s="2015"/>
      <c r="CM82" s="2015"/>
      <c r="CN82" s="2015"/>
      <c r="CO82" s="2015"/>
      <c r="CP82" s="2015"/>
      <c r="CQ82" s="2015"/>
      <c r="CR82" s="2015"/>
      <c r="CS82" s="2015"/>
      <c r="CT82" s="1714">
        <f>CT81*10%</f>
        <v>2117.2000000000003</v>
      </c>
      <c r="CU82" s="2015"/>
      <c r="CV82" s="2015"/>
      <c r="CW82" s="2015"/>
      <c r="CX82" s="2015"/>
      <c r="CY82" s="2015"/>
      <c r="CZ82" s="2015"/>
      <c r="DA82" s="2015"/>
      <c r="DB82" s="2015"/>
      <c r="DC82" s="2015"/>
      <c r="DD82" s="2015"/>
      <c r="DE82" s="2015"/>
      <c r="DF82" s="2015"/>
      <c r="DG82" s="2015"/>
      <c r="DH82" s="2015"/>
      <c r="DI82" s="2015"/>
      <c r="DJ82" s="2015"/>
      <c r="DK82" s="2015"/>
      <c r="DL82" s="2015"/>
      <c r="DM82" s="2015"/>
      <c r="DN82" s="2015"/>
      <c r="DO82" s="2015"/>
      <c r="DP82" s="2015"/>
      <c r="DQ82" s="2015"/>
      <c r="DR82" s="2015"/>
      <c r="DS82" s="2015"/>
      <c r="DT82" s="2015"/>
      <c r="DU82" s="2015"/>
      <c r="DV82" s="2015"/>
      <c r="DW82" s="2015"/>
      <c r="DX82" s="2015"/>
      <c r="DY82" s="2015"/>
      <c r="DZ82" s="2015"/>
      <c r="EA82" s="1714">
        <f>EA81*10%</f>
        <v>0</v>
      </c>
      <c r="EB82" s="1714">
        <f>EB81*10%</f>
        <v>1158</v>
      </c>
      <c r="EC82" s="1714">
        <f>EC81*10%</f>
        <v>2117.2000000000003</v>
      </c>
      <c r="ED82" s="2015"/>
      <c r="EE82" s="2015"/>
      <c r="EF82" s="2015"/>
      <c r="EG82" s="2015"/>
      <c r="EH82" s="2015"/>
      <c r="EI82" s="2015"/>
      <c r="EJ82" s="2015"/>
      <c r="EK82" s="2015"/>
      <c r="EL82" s="2015"/>
      <c r="EM82" s="2015"/>
      <c r="EN82" s="2015"/>
      <c r="EO82" s="2015"/>
      <c r="EP82" s="2015"/>
      <c r="EQ82" s="2015"/>
      <c r="ER82" s="2015"/>
      <c r="ES82" s="2015"/>
      <c r="ET82" s="2015"/>
      <c r="EU82" s="2015"/>
      <c r="EV82" s="2015"/>
      <c r="EW82" s="2015"/>
      <c r="EX82" s="2015"/>
      <c r="EY82" s="2015"/>
      <c r="EZ82" s="2015"/>
      <c r="FA82" s="2015"/>
      <c r="FB82" s="1714">
        <f>FB81*10%</f>
        <v>2117.2000000000003</v>
      </c>
      <c r="FC82" s="2015"/>
      <c r="FD82" s="2015"/>
      <c r="FE82" s="2015"/>
      <c r="FF82" s="2015"/>
      <c r="FG82" s="2015"/>
      <c r="FH82" s="2015"/>
      <c r="FI82" s="2015"/>
      <c r="FJ82" s="2015"/>
      <c r="FK82" s="2015"/>
      <c r="FL82" s="2015"/>
      <c r="FM82" s="2015"/>
      <c r="FN82" s="2015"/>
      <c r="FO82" s="2015"/>
      <c r="FP82" s="2015"/>
      <c r="FQ82" s="2015"/>
      <c r="FR82" s="2015"/>
      <c r="FS82" s="2015"/>
      <c r="FT82" s="2015"/>
      <c r="FU82" s="2015"/>
      <c r="FV82" s="2015"/>
      <c r="FW82" s="2015"/>
      <c r="FX82" s="2015"/>
      <c r="FY82" s="2015"/>
      <c r="FZ82" s="2015"/>
      <c r="GA82" s="2015"/>
      <c r="GB82" s="2015"/>
      <c r="GC82" s="2015"/>
      <c r="GD82" s="2015"/>
      <c r="GE82" s="2015"/>
      <c r="GF82" s="2015"/>
      <c r="GG82" s="2015"/>
      <c r="GH82" s="2015"/>
      <c r="GI82" s="2015"/>
      <c r="GJ82" s="2015"/>
      <c r="GK82" s="2015"/>
      <c r="GL82" s="2015"/>
      <c r="GM82" s="2015"/>
      <c r="GN82" s="2015"/>
      <c r="GO82" s="2015"/>
      <c r="GP82" s="2015"/>
      <c r="GQ82" s="2015"/>
      <c r="GR82" s="2015"/>
      <c r="GS82" s="2015"/>
      <c r="GT82" s="2015"/>
      <c r="GU82" s="2015"/>
      <c r="GV82" s="2015"/>
      <c r="GW82" s="2015"/>
      <c r="GX82" s="2015"/>
      <c r="GY82" s="2015"/>
      <c r="GZ82" s="2015"/>
      <c r="HA82" s="2015"/>
      <c r="HB82" s="2015"/>
      <c r="HC82" s="2015"/>
      <c r="HD82" s="2015"/>
      <c r="HE82" s="2015"/>
      <c r="HF82" s="2015"/>
      <c r="HG82" s="2015"/>
      <c r="HH82" s="2015"/>
      <c r="HI82" s="2015"/>
      <c r="HJ82" s="2015"/>
      <c r="HK82" s="2015"/>
      <c r="HL82" s="2015"/>
      <c r="HM82" s="2015"/>
      <c r="HN82" s="2015"/>
      <c r="HO82" s="2015"/>
      <c r="HP82" s="2015"/>
      <c r="HQ82" s="2015"/>
      <c r="HR82" s="2015"/>
      <c r="HS82" s="2015"/>
      <c r="HT82" s="2015"/>
      <c r="HU82" s="2015"/>
      <c r="HV82" s="2015"/>
      <c r="HW82" s="2015"/>
      <c r="HX82" s="2015"/>
      <c r="HY82" s="2015"/>
      <c r="HZ82" s="2015"/>
      <c r="IA82" s="2015"/>
      <c r="IB82" s="2015"/>
      <c r="IC82" s="2015"/>
      <c r="ID82" s="2015"/>
      <c r="IE82" s="2015"/>
      <c r="IF82" s="2015"/>
      <c r="IG82" s="2015"/>
      <c r="IH82" s="2015"/>
      <c r="II82" s="2015"/>
      <c r="IJ82" s="2015"/>
      <c r="IK82" s="2015"/>
      <c r="IL82" s="2015"/>
      <c r="IM82" s="2015"/>
      <c r="IN82" s="2015"/>
      <c r="IO82" s="2015"/>
      <c r="IP82" s="2015"/>
      <c r="IQ82" s="2015"/>
      <c r="IR82" s="3898"/>
      <c r="IS82" s="2015"/>
      <c r="IT82" s="2015"/>
      <c r="IU82" s="2015"/>
      <c r="IV82" s="2015"/>
      <c r="IW82" s="2015"/>
      <c r="IX82" s="2015"/>
      <c r="IY82" s="2015"/>
      <c r="IZ82" s="2015"/>
      <c r="JA82" s="2580"/>
      <c r="JB82" s="2580"/>
      <c r="JC82" s="2580"/>
      <c r="JD82" s="2580"/>
      <c r="JE82" s="2580"/>
      <c r="JF82" s="2580"/>
      <c r="JG82" s="3799"/>
      <c r="JH82" s="1233"/>
      <c r="JI82" s="1229" t="s">
        <v>5089</v>
      </c>
      <c r="JJ82" s="1660" t="s">
        <v>6124</v>
      </c>
    </row>
    <row ht="12.75" r="83" spans="1:270" x14ac:dyDescent="0.2">
      <c r="A83" s="1128">
        <v>34</v>
      </c>
      <c r="B83" s="1369" t="str">
        <f si="3" t="shared"/>
        <v/>
      </c>
      <c r="C83" s="1278" t="s">
        <v>981</v>
      </c>
      <c r="D83" s="1372" t="s">
        <v>4864</v>
      </c>
      <c r="E83" s="1719"/>
      <c r="F83" s="1719"/>
      <c r="G83" s="1719"/>
      <c r="H83" s="1719"/>
      <c r="I83" s="1719"/>
      <c r="J83" s="1719"/>
      <c r="K83" s="1719"/>
      <c r="L83" s="1719"/>
      <c r="M83" s="1719"/>
      <c r="N83" s="1719"/>
      <c r="O83" s="1719"/>
      <c r="P83" s="2012"/>
      <c r="Q83" s="2012"/>
      <c r="R83" s="2012"/>
      <c r="S83" s="2012"/>
      <c r="T83" s="2012"/>
      <c r="U83" s="2012"/>
      <c r="V83" s="2012"/>
      <c r="W83" s="2012"/>
      <c r="X83" s="2012"/>
      <c r="Y83" s="2012"/>
      <c r="Z83" s="2012"/>
      <c r="AA83" s="2012"/>
      <c r="AB83" s="2012"/>
      <c r="AC83" s="2012"/>
      <c r="AD83" s="2548"/>
      <c r="AE83" s="2548"/>
      <c r="AF83" s="2548"/>
      <c r="AG83" s="2548"/>
      <c r="AH83" s="2548"/>
      <c r="AI83" s="1711"/>
      <c r="AJ83" s="2012"/>
      <c r="AK83" s="2012"/>
      <c r="AL83" s="2012"/>
      <c r="AM83" s="2012"/>
      <c r="AN83" s="2012"/>
      <c r="AO83" s="2012"/>
      <c r="AP83" s="2012"/>
      <c r="AQ83" s="2012"/>
      <c r="AR83" s="2012"/>
      <c r="AS83" s="2012"/>
      <c r="AT83" s="2012"/>
      <c r="AU83" s="2012"/>
      <c r="AV83" s="2012"/>
      <c r="AW83" s="2012"/>
      <c r="AX83" s="2012"/>
      <c r="AY83" s="2012"/>
      <c r="AZ83" s="2012"/>
      <c r="BA83" s="2012"/>
      <c r="BB83" s="2012"/>
      <c r="BC83" s="2012"/>
      <c r="BD83" s="2012"/>
      <c r="BE83" s="2012"/>
      <c r="BF83" s="2012"/>
      <c r="BG83" s="2012"/>
      <c r="BH83" s="2012"/>
      <c r="BI83" s="2012"/>
      <c r="BJ83" s="2012"/>
      <c r="BK83" s="2012"/>
      <c r="BL83" s="2012"/>
      <c r="BM83" s="2012"/>
      <c r="BN83" s="2012"/>
      <c r="BO83" s="2012"/>
      <c r="BP83" s="2012"/>
      <c r="BQ83" s="2012"/>
      <c r="BR83" s="2012"/>
      <c r="BS83" s="2012"/>
      <c r="BT83" s="2012"/>
      <c r="BU83" s="2012"/>
      <c r="BV83" s="2012"/>
      <c r="BW83" s="2012"/>
      <c r="BX83" s="2012"/>
      <c r="BY83" s="2012"/>
      <c r="BZ83" s="2012"/>
      <c r="CA83" s="2012"/>
      <c r="CB83" s="2012"/>
      <c r="CC83" s="2012"/>
      <c r="CD83" s="2012"/>
      <c r="CE83" s="2012"/>
      <c r="CF83" s="2012"/>
      <c r="CG83" s="2012"/>
      <c r="CH83" s="2012"/>
      <c r="CI83" s="1712"/>
      <c r="CJ83" s="2012"/>
      <c r="CK83" s="2012"/>
      <c r="CL83" s="2012"/>
      <c r="CM83" s="2012"/>
      <c r="CN83" s="2012"/>
      <c r="CO83" s="2012"/>
      <c r="CP83" s="2012"/>
      <c r="CQ83" s="2012"/>
      <c r="CR83" s="2012"/>
      <c r="CS83" s="2012"/>
      <c r="CT83" s="1711"/>
      <c r="CU83" s="2012"/>
      <c r="CV83" s="2012"/>
      <c r="CW83" s="2012"/>
      <c r="CX83" s="2012"/>
      <c r="CY83" s="2012"/>
      <c r="CZ83" s="2012"/>
      <c r="DA83" s="2012"/>
      <c r="DB83" s="2012"/>
      <c r="DC83" s="2012"/>
      <c r="DD83" s="2012"/>
      <c r="DE83" s="2012"/>
      <c r="DF83" s="2012"/>
      <c r="DG83" s="2012"/>
      <c r="DH83" s="2012"/>
      <c r="DI83" s="2012"/>
      <c r="DJ83" s="2012"/>
      <c r="DK83" s="2012"/>
      <c r="DL83" s="2012"/>
      <c r="DM83" s="2012"/>
      <c r="DN83" s="2012"/>
      <c r="DO83" s="2012"/>
      <c r="DP83" s="2012"/>
      <c r="DQ83" s="2012"/>
      <c r="DR83" s="2012"/>
      <c r="DS83" s="2012"/>
      <c r="DT83" s="2012"/>
      <c r="DU83" s="2012"/>
      <c r="DV83" s="2012"/>
      <c r="DW83" s="2012"/>
      <c r="DX83" s="2012"/>
      <c r="DY83" s="2012"/>
      <c r="DZ83" s="2012"/>
      <c r="EA83" s="1712"/>
      <c r="EB83" s="1711"/>
      <c r="EC83" s="1711"/>
      <c r="ED83" s="2012"/>
      <c r="EE83" s="2012"/>
      <c r="EF83" s="2012"/>
      <c r="EG83" s="2012"/>
      <c r="EH83" s="2012"/>
      <c r="EI83" s="2012"/>
      <c r="EJ83" s="2012"/>
      <c r="EK83" s="2012"/>
      <c r="EL83" s="2012"/>
      <c r="EM83" s="2012"/>
      <c r="EN83" s="2012"/>
      <c r="EO83" s="2012"/>
      <c r="EP83" s="2012"/>
      <c r="EQ83" s="2012"/>
      <c r="ER83" s="2012"/>
      <c r="ES83" s="2012"/>
      <c r="ET83" s="2012"/>
      <c r="EU83" s="2012"/>
      <c r="EV83" s="2012"/>
      <c r="EW83" s="2012"/>
      <c r="EX83" s="2012"/>
      <c r="EY83" s="2012"/>
      <c r="EZ83" s="2012"/>
      <c r="FA83" s="2012"/>
      <c r="FB83" s="1711"/>
      <c r="FC83" s="2012"/>
      <c r="FD83" s="2012"/>
      <c r="FE83" s="2012"/>
      <c r="FF83" s="2012"/>
      <c r="FG83" s="2012"/>
      <c r="FH83" s="2012"/>
      <c r="FI83" s="2012"/>
      <c r="FJ83" s="2012"/>
      <c r="FK83" s="2012"/>
      <c r="FL83" s="2012"/>
      <c r="FM83" s="2012"/>
      <c r="FN83" s="2012"/>
      <c r="FO83" s="2012"/>
      <c r="FP83" s="2012"/>
      <c r="FQ83" s="2012"/>
      <c r="FR83" s="2012"/>
      <c r="FS83" s="2012"/>
      <c r="FT83" s="2012"/>
      <c r="FU83" s="2012"/>
      <c r="FV83" s="2012"/>
      <c r="FW83" s="2012"/>
      <c r="FX83" s="2012"/>
      <c r="FY83" s="2012"/>
      <c r="FZ83" s="2012"/>
      <c r="GA83" s="2012"/>
      <c r="GB83" s="2012"/>
      <c r="GC83" s="2012"/>
      <c r="GD83" s="2012"/>
      <c r="GE83" s="2012"/>
      <c r="GF83" s="2012"/>
      <c r="GG83" s="2012"/>
      <c r="GH83" s="2012"/>
      <c r="GI83" s="2012"/>
      <c r="GJ83" s="2012"/>
      <c r="GK83" s="2012"/>
      <c r="GL83" s="2012"/>
      <c r="GM83" s="2012"/>
      <c r="GN83" s="2012"/>
      <c r="GO83" s="2012"/>
      <c r="GP83" s="2012"/>
      <c r="GQ83" s="2012"/>
      <c r="GR83" s="2012"/>
      <c r="GS83" s="2012"/>
      <c r="GT83" s="2012"/>
      <c r="GU83" s="2012"/>
      <c r="GV83" s="2012"/>
      <c r="GW83" s="2012"/>
      <c r="GX83" s="2012"/>
      <c r="GY83" s="2012"/>
      <c r="GZ83" s="2012"/>
      <c r="HA83" s="2012"/>
      <c r="HB83" s="2012"/>
      <c r="HC83" s="2012"/>
      <c r="HD83" s="2012"/>
      <c r="HE83" s="2012"/>
      <c r="HF83" s="2012"/>
      <c r="HG83" s="2012"/>
      <c r="HH83" s="2012"/>
      <c r="HI83" s="2012"/>
      <c r="HJ83" s="2012"/>
      <c r="HK83" s="2012"/>
      <c r="HL83" s="2012"/>
      <c r="HM83" s="2012"/>
      <c r="HN83" s="2012"/>
      <c r="HO83" s="2012"/>
      <c r="HP83" s="2012"/>
      <c r="HQ83" s="2012"/>
      <c r="HR83" s="2012"/>
      <c r="HS83" s="2012"/>
      <c r="HT83" s="2012"/>
      <c r="HU83" s="2012"/>
      <c r="HV83" s="2012"/>
      <c r="HW83" s="2012"/>
      <c r="HX83" s="2012"/>
      <c r="HY83" s="2012"/>
      <c r="HZ83" s="2012"/>
      <c r="IA83" s="2012"/>
      <c r="IB83" s="2012"/>
      <c r="IC83" s="2012"/>
      <c r="ID83" s="2012"/>
      <c r="IE83" s="2012"/>
      <c r="IF83" s="2012"/>
      <c r="IG83" s="2012"/>
      <c r="IH83" s="2012"/>
      <c r="II83" s="2012"/>
      <c r="IJ83" s="2012"/>
      <c r="IK83" s="2012"/>
      <c r="IL83" s="2012"/>
      <c r="IM83" s="2012"/>
      <c r="IN83" s="2012"/>
      <c r="IO83" s="2012"/>
      <c r="IP83" s="2012"/>
      <c r="IQ83" s="2012"/>
      <c r="IR83" s="3896"/>
      <c r="IS83" s="2012"/>
      <c r="IT83" s="2012"/>
      <c r="IU83" s="2012"/>
      <c r="IV83" s="2012"/>
      <c r="IW83" s="2012"/>
      <c r="IX83" s="2012"/>
      <c r="IY83" s="2012"/>
      <c r="IZ83" s="2012"/>
      <c r="JA83" s="2548"/>
      <c r="JB83" s="2548"/>
      <c r="JC83" s="2548"/>
      <c r="JD83" s="2548"/>
      <c r="JE83" s="2548"/>
      <c r="JF83" s="2548"/>
      <c r="JG83" s="3796"/>
      <c r="JH83" s="1233"/>
      <c r="JI83" s="1229"/>
      <c r="JJ83" s="1660" t="s">
        <v>6108</v>
      </c>
    </row>
    <row ht="12.75" r="84" spans="1:270" x14ac:dyDescent="0.2">
      <c r="A84" s="1128">
        <v>35</v>
      </c>
      <c r="B84" s="1369" t="str">
        <f si="3" t="shared"/>
        <v/>
      </c>
      <c r="C84" s="1278" t="s">
        <v>982</v>
      </c>
      <c r="D84" s="1372" t="s">
        <v>4865</v>
      </c>
      <c r="E84" s="1722"/>
      <c r="F84" s="1722"/>
      <c r="G84" s="1722"/>
      <c r="H84" s="1722"/>
      <c r="I84" s="1722"/>
      <c r="J84" s="1722"/>
      <c r="K84" s="1722"/>
      <c r="L84" s="1722"/>
      <c r="M84" s="1722"/>
      <c r="N84" s="1722"/>
      <c r="O84" s="1722"/>
      <c r="P84" s="2015"/>
      <c r="Q84" s="2015"/>
      <c r="R84" s="2015"/>
      <c r="S84" s="2015"/>
      <c r="T84" s="2015"/>
      <c r="U84" s="2015"/>
      <c r="V84" s="2015"/>
      <c r="W84" s="2015"/>
      <c r="X84" s="2015"/>
      <c r="Y84" s="2015"/>
      <c r="Z84" s="2015"/>
      <c r="AA84" s="2015"/>
      <c r="AB84" s="2015"/>
      <c r="AC84" s="2015"/>
      <c r="AD84" s="2580"/>
      <c r="AE84" s="2580"/>
      <c r="AF84" s="2580"/>
      <c r="AG84" s="2580"/>
      <c r="AH84" s="2580"/>
      <c r="AI84" s="1714">
        <f>IF(AI62+AI69&gt;=8500,AI55+AI63,0)</f>
        <v>0</v>
      </c>
      <c r="AJ84" s="2015"/>
      <c r="AK84" s="2015"/>
      <c r="AL84" s="2015"/>
      <c r="AM84" s="2015"/>
      <c r="AN84" s="2015"/>
      <c r="AO84" s="2015"/>
      <c r="AP84" s="2015"/>
      <c r="AQ84" s="2015"/>
      <c r="AR84" s="2015"/>
      <c r="AS84" s="2015"/>
      <c r="AT84" s="2015"/>
      <c r="AU84" s="2015"/>
      <c r="AV84" s="2015"/>
      <c r="AW84" s="2015"/>
      <c r="AX84" s="2015"/>
      <c r="AY84" s="2015"/>
      <c r="AZ84" s="2015"/>
      <c r="BA84" s="2015"/>
      <c r="BB84" s="2015"/>
      <c r="BC84" s="2015"/>
      <c r="BD84" s="2015"/>
      <c r="BE84" s="2015"/>
      <c r="BF84" s="2015"/>
      <c r="BG84" s="2015"/>
      <c r="BH84" s="2015"/>
      <c r="BI84" s="2015"/>
      <c r="BJ84" s="2015"/>
      <c r="BK84" s="2015"/>
      <c r="BL84" s="2015"/>
      <c r="BM84" s="2015"/>
      <c r="BN84" s="2015"/>
      <c r="BO84" s="2015"/>
      <c r="BP84" s="2015"/>
      <c r="BQ84" s="2015"/>
      <c r="BR84" s="2015"/>
      <c r="BS84" s="2015"/>
      <c r="BT84" s="2015"/>
      <c r="BU84" s="2015"/>
      <c r="BV84" s="2015"/>
      <c r="BW84" s="2015"/>
      <c r="BX84" s="2015"/>
      <c r="BY84" s="2015"/>
      <c r="BZ84" s="2015"/>
      <c r="CA84" s="2015"/>
      <c r="CB84" s="2015"/>
      <c r="CC84" s="2015"/>
      <c r="CD84" s="2015"/>
      <c r="CE84" s="2015"/>
      <c r="CF84" s="2015"/>
      <c r="CG84" s="2015"/>
      <c r="CH84" s="2015"/>
      <c r="CI84" s="1715"/>
      <c r="CJ84" s="2015"/>
      <c r="CK84" s="2015"/>
      <c r="CL84" s="2015"/>
      <c r="CM84" s="2015"/>
      <c r="CN84" s="2015"/>
      <c r="CO84" s="2015"/>
      <c r="CP84" s="2015"/>
      <c r="CQ84" s="2015"/>
      <c r="CR84" s="2015"/>
      <c r="CS84" s="2015"/>
      <c r="CT84" s="1714">
        <f>IF(CT62+CT69&gt;=8500,CT55+CT63,0)</f>
        <v>465</v>
      </c>
      <c r="CU84" s="2015"/>
      <c r="CV84" s="2015"/>
      <c r="CW84" s="2015"/>
      <c r="CX84" s="2015"/>
      <c r="CY84" s="2015"/>
      <c r="CZ84" s="2015"/>
      <c r="DA84" s="2015"/>
      <c r="DB84" s="2015"/>
      <c r="DC84" s="2015"/>
      <c r="DD84" s="2015"/>
      <c r="DE84" s="2015"/>
      <c r="DF84" s="2015"/>
      <c r="DG84" s="2015"/>
      <c r="DH84" s="2015"/>
      <c r="DI84" s="2015"/>
      <c r="DJ84" s="2015"/>
      <c r="DK84" s="2015"/>
      <c r="DL84" s="2015"/>
      <c r="DM84" s="2015"/>
      <c r="DN84" s="2015"/>
      <c r="DO84" s="2015"/>
      <c r="DP84" s="2015"/>
      <c r="DQ84" s="2015"/>
      <c r="DR84" s="2015"/>
      <c r="DS84" s="2015"/>
      <c r="DT84" s="2015"/>
      <c r="DU84" s="2015"/>
      <c r="DV84" s="2015"/>
      <c r="DW84" s="2015"/>
      <c r="DX84" s="2015"/>
      <c r="DY84" s="2015"/>
      <c r="DZ84" s="2015"/>
      <c r="EA84" s="1715"/>
      <c r="EB84" s="1714">
        <f>IF(EB62+EB69&gt;=8500,EB55+EB63,0)</f>
        <v>2005</v>
      </c>
      <c r="EC84" s="1714">
        <f>IF(EC62+EC69&gt;=8500,EC55+EC63,0)</f>
        <v>465</v>
      </c>
      <c r="ED84" s="2015"/>
      <c r="EE84" s="2015"/>
      <c r="EF84" s="2015"/>
      <c r="EG84" s="2015"/>
      <c r="EH84" s="2015"/>
      <c r="EI84" s="2015"/>
      <c r="EJ84" s="2015"/>
      <c r="EK84" s="2015"/>
      <c r="EL84" s="2015"/>
      <c r="EM84" s="2015"/>
      <c r="EN84" s="2015"/>
      <c r="EO84" s="2015"/>
      <c r="EP84" s="2015"/>
      <c r="EQ84" s="2015"/>
      <c r="ER84" s="2015"/>
      <c r="ES84" s="2015"/>
      <c r="ET84" s="2015"/>
      <c r="EU84" s="2015"/>
      <c r="EV84" s="2015"/>
      <c r="EW84" s="2015"/>
      <c r="EX84" s="2015"/>
      <c r="EY84" s="2015"/>
      <c r="EZ84" s="2015"/>
      <c r="FA84" s="2015"/>
      <c r="FB84" s="1714">
        <f>IF(FB62+FB69&gt;=8500,FB55+FB63,0)</f>
        <v>465</v>
      </c>
      <c r="FC84" s="2015"/>
      <c r="FD84" s="2015"/>
      <c r="FE84" s="2015"/>
      <c r="FF84" s="2015"/>
      <c r="FG84" s="2015"/>
      <c r="FH84" s="2015"/>
      <c r="FI84" s="2015"/>
      <c r="FJ84" s="2015"/>
      <c r="FK84" s="2015"/>
      <c r="FL84" s="2015"/>
      <c r="FM84" s="2015"/>
      <c r="FN84" s="2015"/>
      <c r="FO84" s="2015"/>
      <c r="FP84" s="2015"/>
      <c r="FQ84" s="2015"/>
      <c r="FR84" s="2015"/>
      <c r="FS84" s="2015"/>
      <c r="FT84" s="2015"/>
      <c r="FU84" s="2015"/>
      <c r="FV84" s="2015"/>
      <c r="FW84" s="2015"/>
      <c r="FX84" s="2015"/>
      <c r="FY84" s="2015"/>
      <c r="FZ84" s="2015"/>
      <c r="GA84" s="2015"/>
      <c r="GB84" s="2015"/>
      <c r="GC84" s="2015"/>
      <c r="GD84" s="2015"/>
      <c r="GE84" s="2015"/>
      <c r="GF84" s="2015"/>
      <c r="GG84" s="2015"/>
      <c r="GH84" s="2015"/>
      <c r="GI84" s="2015"/>
      <c r="GJ84" s="2015"/>
      <c r="GK84" s="2015"/>
      <c r="GL84" s="2015"/>
      <c r="GM84" s="2015"/>
      <c r="GN84" s="2015"/>
      <c r="GO84" s="2015"/>
      <c r="GP84" s="2015"/>
      <c r="GQ84" s="2015"/>
      <c r="GR84" s="2015"/>
      <c r="GS84" s="2015"/>
      <c r="GT84" s="2015"/>
      <c r="GU84" s="2015"/>
      <c r="GV84" s="2015"/>
      <c r="GW84" s="2015"/>
      <c r="GX84" s="2015"/>
      <c r="GY84" s="2015"/>
      <c r="GZ84" s="2015"/>
      <c r="HA84" s="2015"/>
      <c r="HB84" s="2015"/>
      <c r="HC84" s="2015"/>
      <c r="HD84" s="2015"/>
      <c r="HE84" s="2015"/>
      <c r="HF84" s="2015"/>
      <c r="HG84" s="2015"/>
      <c r="HH84" s="2015"/>
      <c r="HI84" s="2015"/>
      <c r="HJ84" s="2015"/>
      <c r="HK84" s="2015"/>
      <c r="HL84" s="2015"/>
      <c r="HM84" s="2015"/>
      <c r="HN84" s="2015"/>
      <c r="HO84" s="2015"/>
      <c r="HP84" s="2015"/>
      <c r="HQ84" s="2015"/>
      <c r="HR84" s="2015"/>
      <c r="HS84" s="2015"/>
      <c r="HT84" s="2015"/>
      <c r="HU84" s="2015"/>
      <c r="HV84" s="2015"/>
      <c r="HW84" s="2015"/>
      <c r="HX84" s="2015"/>
      <c r="HY84" s="2015"/>
      <c r="HZ84" s="2015"/>
      <c r="IA84" s="2015"/>
      <c r="IB84" s="2015"/>
      <c r="IC84" s="2015"/>
      <c r="ID84" s="2015"/>
      <c r="IE84" s="2015"/>
      <c r="IF84" s="2015"/>
      <c r="IG84" s="2015"/>
      <c r="IH84" s="2015"/>
      <c r="II84" s="2015"/>
      <c r="IJ84" s="2015"/>
      <c r="IK84" s="2015"/>
      <c r="IL84" s="2015"/>
      <c r="IM84" s="2015"/>
      <c r="IN84" s="2015"/>
      <c r="IO84" s="2015"/>
      <c r="IP84" s="2015"/>
      <c r="IQ84" s="2015"/>
      <c r="IR84" s="3898"/>
      <c r="IS84" s="2015"/>
      <c r="IT84" s="2015"/>
      <c r="IU84" s="2015"/>
      <c r="IV84" s="2015"/>
      <c r="IW84" s="2015"/>
      <c r="IX84" s="2015"/>
      <c r="IY84" s="2015"/>
      <c r="IZ84" s="2015"/>
      <c r="JA84" s="2580"/>
      <c r="JB84" s="2580"/>
      <c r="JC84" s="2580"/>
      <c r="JD84" s="2580"/>
      <c r="JE84" s="2580"/>
      <c r="JF84" s="2580"/>
      <c r="JG84" s="3799"/>
      <c r="JH84" s="1233"/>
      <c r="JI84" s="1229" t="s">
        <v>5090</v>
      </c>
      <c r="JJ84" s="1660" t="s">
        <v>6108</v>
      </c>
    </row>
    <row ht="24" r="85" spans="1:270" x14ac:dyDescent="0.2">
      <c r="A85" s="1128">
        <v>36</v>
      </c>
      <c r="B85" s="1369" t="str">
        <f si="3" t="shared"/>
        <v/>
      </c>
      <c r="C85" s="1278" t="s">
        <v>983</v>
      </c>
      <c r="D85" s="1372" t="s">
        <v>4866</v>
      </c>
      <c r="E85" s="1722"/>
      <c r="F85" s="1722"/>
      <c r="G85" s="1722"/>
      <c r="H85" s="1722"/>
      <c r="I85" s="1722"/>
      <c r="J85" s="1722"/>
      <c r="K85" s="1722"/>
      <c r="L85" s="1722"/>
      <c r="M85" s="1722"/>
      <c r="N85" s="1722"/>
      <c r="O85" s="1722"/>
      <c r="P85" s="2015"/>
      <c r="Q85" s="2015"/>
      <c r="R85" s="2015"/>
      <c r="S85" s="2015"/>
      <c r="T85" s="2015"/>
      <c r="U85" s="2015"/>
      <c r="V85" s="2015"/>
      <c r="W85" s="2015"/>
      <c r="X85" s="2015"/>
      <c r="Y85" s="2015"/>
      <c r="Z85" s="2015"/>
      <c r="AA85" s="2015"/>
      <c r="AB85" s="2015"/>
      <c r="AC85" s="2015"/>
      <c r="AD85" s="2580"/>
      <c r="AE85" s="2580"/>
      <c r="AF85" s="2580"/>
      <c r="AG85" s="2580"/>
      <c r="AH85" s="2580"/>
      <c r="AI85" s="1714">
        <f>MAX(0,AI83+AI84-AI82)</f>
        <v>0</v>
      </c>
      <c r="AJ85" s="2015"/>
      <c r="AK85" s="2015"/>
      <c r="AL85" s="2015"/>
      <c r="AM85" s="2015"/>
      <c r="AN85" s="2015"/>
      <c r="AO85" s="2015"/>
      <c r="AP85" s="2015"/>
      <c r="AQ85" s="2015"/>
      <c r="AR85" s="2015"/>
      <c r="AS85" s="2015"/>
      <c r="AT85" s="2015"/>
      <c r="AU85" s="2015"/>
      <c r="AV85" s="2015"/>
      <c r="AW85" s="2015"/>
      <c r="AX85" s="2015"/>
      <c r="AY85" s="2015"/>
      <c r="AZ85" s="2015"/>
      <c r="BA85" s="2015"/>
      <c r="BB85" s="2015"/>
      <c r="BC85" s="2015"/>
      <c r="BD85" s="2015"/>
      <c r="BE85" s="2015"/>
      <c r="BF85" s="2015"/>
      <c r="BG85" s="2015"/>
      <c r="BH85" s="2015"/>
      <c r="BI85" s="2015"/>
      <c r="BJ85" s="2015"/>
      <c r="BK85" s="2015"/>
      <c r="BL85" s="2015"/>
      <c r="BM85" s="2015"/>
      <c r="BN85" s="2015"/>
      <c r="BO85" s="2015"/>
      <c r="BP85" s="2015"/>
      <c r="BQ85" s="2015"/>
      <c r="BR85" s="2015"/>
      <c r="BS85" s="2015"/>
      <c r="BT85" s="2015"/>
      <c r="BU85" s="2015"/>
      <c r="BV85" s="2015"/>
      <c r="BW85" s="2015"/>
      <c r="BX85" s="2015"/>
      <c r="BY85" s="2015"/>
      <c r="BZ85" s="2015"/>
      <c r="CA85" s="2015"/>
      <c r="CB85" s="2015"/>
      <c r="CC85" s="2015"/>
      <c r="CD85" s="2015"/>
      <c r="CE85" s="2015"/>
      <c r="CF85" s="2015"/>
      <c r="CG85" s="2015"/>
      <c r="CH85" s="2015"/>
      <c r="CI85" s="1714">
        <f>MAX(0,CI83+CI84-CI82)</f>
        <v>0</v>
      </c>
      <c r="CJ85" s="2015"/>
      <c r="CK85" s="2015"/>
      <c r="CL85" s="2015"/>
      <c r="CM85" s="2015"/>
      <c r="CN85" s="2015"/>
      <c r="CO85" s="2015"/>
      <c r="CP85" s="2015"/>
      <c r="CQ85" s="2015"/>
      <c r="CR85" s="2015"/>
      <c r="CS85" s="2015"/>
      <c r="CT85" s="1714">
        <f>MAX(0,CT83+CT84-CT82)</f>
        <v>0</v>
      </c>
      <c r="CU85" s="2015"/>
      <c r="CV85" s="2015"/>
      <c r="CW85" s="2015"/>
      <c r="CX85" s="2015"/>
      <c r="CY85" s="2015"/>
      <c r="CZ85" s="2015"/>
      <c r="DA85" s="2015"/>
      <c r="DB85" s="2015"/>
      <c r="DC85" s="2015"/>
      <c r="DD85" s="2015"/>
      <c r="DE85" s="2015"/>
      <c r="DF85" s="2015"/>
      <c r="DG85" s="2015"/>
      <c r="DH85" s="2015"/>
      <c r="DI85" s="2015"/>
      <c r="DJ85" s="2015"/>
      <c r="DK85" s="2015"/>
      <c r="DL85" s="2015"/>
      <c r="DM85" s="2015"/>
      <c r="DN85" s="2015"/>
      <c r="DO85" s="2015"/>
      <c r="DP85" s="2015"/>
      <c r="DQ85" s="2015"/>
      <c r="DR85" s="2015"/>
      <c r="DS85" s="2015"/>
      <c r="DT85" s="2015"/>
      <c r="DU85" s="2015"/>
      <c r="DV85" s="2015"/>
      <c r="DW85" s="2015"/>
      <c r="DX85" s="2015"/>
      <c r="DY85" s="2015"/>
      <c r="DZ85" s="2015"/>
      <c r="EA85" s="1714">
        <f>MAX(0,EA83+EA84-EA82)</f>
        <v>0</v>
      </c>
      <c r="EB85" s="1714">
        <f>MAX(0,EB83+EB84-EB82)</f>
        <v>847</v>
      </c>
      <c r="EC85" s="1714">
        <f>MAX(0,EC83+EC84-EC82)</f>
        <v>0</v>
      </c>
      <c r="ED85" s="2015"/>
      <c r="EE85" s="2015"/>
      <c r="EF85" s="2015"/>
      <c r="EG85" s="2015"/>
      <c r="EH85" s="2015"/>
      <c r="EI85" s="2015"/>
      <c r="EJ85" s="2015"/>
      <c r="EK85" s="2015"/>
      <c r="EL85" s="2015"/>
      <c r="EM85" s="2015"/>
      <c r="EN85" s="2015"/>
      <c r="EO85" s="2015"/>
      <c r="EP85" s="2015"/>
      <c r="EQ85" s="2015"/>
      <c r="ER85" s="2015"/>
      <c r="ES85" s="2015"/>
      <c r="ET85" s="2015"/>
      <c r="EU85" s="2015"/>
      <c r="EV85" s="2015"/>
      <c r="EW85" s="2015"/>
      <c r="EX85" s="2015"/>
      <c r="EY85" s="2015"/>
      <c r="EZ85" s="2015"/>
      <c r="FA85" s="2015"/>
      <c r="FB85" s="1714">
        <f>MAX(0,FB83+FB84-FB82)</f>
        <v>0</v>
      </c>
      <c r="FC85" s="2015"/>
      <c r="FD85" s="2015"/>
      <c r="FE85" s="2015"/>
      <c r="FF85" s="2015"/>
      <c r="FG85" s="2015"/>
      <c r="FH85" s="2015"/>
      <c r="FI85" s="2015"/>
      <c r="FJ85" s="2015"/>
      <c r="FK85" s="2015"/>
      <c r="FL85" s="2015"/>
      <c r="FM85" s="2015"/>
      <c r="FN85" s="2015"/>
      <c r="FO85" s="2015"/>
      <c r="FP85" s="2015"/>
      <c r="FQ85" s="2015"/>
      <c r="FR85" s="2015"/>
      <c r="FS85" s="2015"/>
      <c r="FT85" s="2015"/>
      <c r="FU85" s="2015"/>
      <c r="FV85" s="2015"/>
      <c r="FW85" s="2015"/>
      <c r="FX85" s="2015"/>
      <c r="FY85" s="2015"/>
      <c r="FZ85" s="2015"/>
      <c r="GA85" s="2015"/>
      <c r="GB85" s="2015"/>
      <c r="GC85" s="2015"/>
      <c r="GD85" s="2015"/>
      <c r="GE85" s="2015"/>
      <c r="GF85" s="2015"/>
      <c r="GG85" s="2015"/>
      <c r="GH85" s="2015"/>
      <c r="GI85" s="2015"/>
      <c r="GJ85" s="2015"/>
      <c r="GK85" s="2015"/>
      <c r="GL85" s="2015"/>
      <c r="GM85" s="2015"/>
      <c r="GN85" s="2015"/>
      <c r="GO85" s="2015"/>
      <c r="GP85" s="2015"/>
      <c r="GQ85" s="2015"/>
      <c r="GR85" s="2015"/>
      <c r="GS85" s="2015"/>
      <c r="GT85" s="2015"/>
      <c r="GU85" s="2015"/>
      <c r="GV85" s="2015"/>
      <c r="GW85" s="2015"/>
      <c r="GX85" s="2015"/>
      <c r="GY85" s="2015"/>
      <c r="GZ85" s="2015"/>
      <c r="HA85" s="2015"/>
      <c r="HB85" s="2015"/>
      <c r="HC85" s="2015"/>
      <c r="HD85" s="2015"/>
      <c r="HE85" s="2015"/>
      <c r="HF85" s="2015"/>
      <c r="HG85" s="2015"/>
      <c r="HH85" s="2015"/>
      <c r="HI85" s="2015"/>
      <c r="HJ85" s="2015"/>
      <c r="HK85" s="2015"/>
      <c r="HL85" s="2015"/>
      <c r="HM85" s="2015"/>
      <c r="HN85" s="2015"/>
      <c r="HO85" s="2015"/>
      <c r="HP85" s="2015"/>
      <c r="HQ85" s="2015"/>
      <c r="HR85" s="2015"/>
      <c r="HS85" s="2015"/>
      <c r="HT85" s="2015"/>
      <c r="HU85" s="2015"/>
      <c r="HV85" s="2015"/>
      <c r="HW85" s="2015"/>
      <c r="HX85" s="2015"/>
      <c r="HY85" s="2015"/>
      <c r="HZ85" s="2015"/>
      <c r="IA85" s="2015"/>
      <c r="IB85" s="2015"/>
      <c r="IC85" s="2015"/>
      <c r="ID85" s="2015"/>
      <c r="IE85" s="2015"/>
      <c r="IF85" s="2015"/>
      <c r="IG85" s="2015"/>
      <c r="IH85" s="2015"/>
      <c r="II85" s="2015"/>
      <c r="IJ85" s="2015"/>
      <c r="IK85" s="2015"/>
      <c r="IL85" s="2015"/>
      <c r="IM85" s="2015"/>
      <c r="IN85" s="2015"/>
      <c r="IO85" s="2015"/>
      <c r="IP85" s="2015"/>
      <c r="IQ85" s="2015"/>
      <c r="IR85" s="3898"/>
      <c r="IS85" s="2015"/>
      <c r="IT85" s="2015"/>
      <c r="IU85" s="2015"/>
      <c r="IV85" s="2015"/>
      <c r="IW85" s="2015"/>
      <c r="IX85" s="2015"/>
      <c r="IY85" s="2015"/>
      <c r="IZ85" s="2015"/>
      <c r="JA85" s="2580"/>
      <c r="JB85" s="2580"/>
      <c r="JC85" s="2580"/>
      <c r="JD85" s="2580"/>
      <c r="JE85" s="2580"/>
      <c r="JF85" s="2580"/>
      <c r="JG85" s="3799"/>
      <c r="JH85" s="1233"/>
      <c r="JI85" s="1229" t="s">
        <v>5091</v>
      </c>
      <c r="JJ85" s="1660" t="s">
        <v>6124</v>
      </c>
    </row>
    <row ht="12.75" r="86" spans="1:270" x14ac:dyDescent="0.2">
      <c r="A86" s="1128">
        <v>37</v>
      </c>
      <c r="B86" s="1369" t="str">
        <f si="3" t="shared"/>
        <v/>
      </c>
      <c r="C86" s="1278" t="s">
        <v>984</v>
      </c>
      <c r="D86" s="1372" t="s">
        <v>4867</v>
      </c>
      <c r="E86" s="1719"/>
      <c r="F86" s="1719"/>
      <c r="G86" s="1719"/>
      <c r="H86" s="1719"/>
      <c r="I86" s="1719"/>
      <c r="J86" s="1719"/>
      <c r="K86" s="1719"/>
      <c r="L86" s="1719"/>
      <c r="M86" s="1719"/>
      <c r="N86" s="1719"/>
      <c r="O86" s="1719"/>
      <c r="P86" s="2012"/>
      <c r="Q86" s="2012"/>
      <c r="R86" s="2012"/>
      <c r="S86" s="2012"/>
      <c r="T86" s="2012"/>
      <c r="U86" s="2012"/>
      <c r="V86" s="2012"/>
      <c r="W86" s="2012"/>
      <c r="X86" s="2012"/>
      <c r="Y86" s="2012"/>
      <c r="Z86" s="2012"/>
      <c r="AA86" s="2012"/>
      <c r="AB86" s="2012"/>
      <c r="AC86" s="2012"/>
      <c r="AD86" s="2548"/>
      <c r="AE86" s="2548"/>
      <c r="AF86" s="2548"/>
      <c r="AG86" s="2548"/>
      <c r="AH86" s="2548"/>
      <c r="AI86" s="1711">
        <v>1250</v>
      </c>
      <c r="AJ86" s="2012"/>
      <c r="AK86" s="2012"/>
      <c r="AL86" s="2012"/>
      <c r="AM86" s="2012"/>
      <c r="AN86" s="2012"/>
      <c r="AO86" s="2012"/>
      <c r="AP86" s="2012"/>
      <c r="AQ86" s="2012"/>
      <c r="AR86" s="2012"/>
      <c r="AS86" s="2012"/>
      <c r="AT86" s="2012"/>
      <c r="AU86" s="2012"/>
      <c r="AV86" s="2012"/>
      <c r="AW86" s="2012"/>
      <c r="AX86" s="2012"/>
      <c r="AY86" s="2012"/>
      <c r="AZ86" s="2012"/>
      <c r="BA86" s="2012"/>
      <c r="BB86" s="2012"/>
      <c r="BC86" s="2012"/>
      <c r="BD86" s="2012"/>
      <c r="BE86" s="2012"/>
      <c r="BF86" s="2012"/>
      <c r="BG86" s="2012"/>
      <c r="BH86" s="2012"/>
      <c r="BI86" s="2012"/>
      <c r="BJ86" s="2012"/>
      <c r="BK86" s="2012"/>
      <c r="BL86" s="2012"/>
      <c r="BM86" s="2012"/>
      <c r="BN86" s="2012"/>
      <c r="BO86" s="2012"/>
      <c r="BP86" s="2012"/>
      <c r="BQ86" s="2012"/>
      <c r="BR86" s="2012"/>
      <c r="BS86" s="2012"/>
      <c r="BT86" s="2012"/>
      <c r="BU86" s="2012"/>
      <c r="BV86" s="2012"/>
      <c r="BW86" s="2012"/>
      <c r="BX86" s="2012"/>
      <c r="BY86" s="2012"/>
      <c r="BZ86" s="2012"/>
      <c r="CA86" s="2012"/>
      <c r="CB86" s="2012"/>
      <c r="CC86" s="2012"/>
      <c r="CD86" s="2012"/>
      <c r="CE86" s="2012"/>
      <c r="CF86" s="2012"/>
      <c r="CG86" s="2012"/>
      <c r="CH86" s="2012"/>
      <c r="CI86" s="1711"/>
      <c r="CJ86" s="2012"/>
      <c r="CK86" s="2012"/>
      <c r="CL86" s="2012"/>
      <c r="CM86" s="2012"/>
      <c r="CN86" s="2012"/>
      <c r="CO86" s="2012"/>
      <c r="CP86" s="2012"/>
      <c r="CQ86" s="2012"/>
      <c r="CR86" s="2012"/>
      <c r="CS86" s="2012"/>
      <c r="CT86" s="1711">
        <v>5600</v>
      </c>
      <c r="CU86" s="2012"/>
      <c r="CV86" s="2012"/>
      <c r="CW86" s="2012"/>
      <c r="CX86" s="2012"/>
      <c r="CY86" s="2012"/>
      <c r="CZ86" s="2012"/>
      <c r="DA86" s="2012"/>
      <c r="DB86" s="2012"/>
      <c r="DC86" s="2012"/>
      <c r="DD86" s="2012"/>
      <c r="DE86" s="2012"/>
      <c r="DF86" s="2012"/>
      <c r="DG86" s="2012"/>
      <c r="DH86" s="2012"/>
      <c r="DI86" s="2012"/>
      <c r="DJ86" s="2012"/>
      <c r="DK86" s="2012"/>
      <c r="DL86" s="2012"/>
      <c r="DM86" s="2012"/>
      <c r="DN86" s="2012"/>
      <c r="DO86" s="2012"/>
      <c r="DP86" s="2012"/>
      <c r="DQ86" s="2012"/>
      <c r="DR86" s="2012"/>
      <c r="DS86" s="2012"/>
      <c r="DT86" s="2012"/>
      <c r="DU86" s="2012"/>
      <c r="DV86" s="2012"/>
      <c r="DW86" s="2012"/>
      <c r="DX86" s="2012"/>
      <c r="DY86" s="2012"/>
      <c r="DZ86" s="2012"/>
      <c r="EA86" s="1711"/>
      <c r="EB86" s="1711"/>
      <c r="EC86" s="1711">
        <v>5600</v>
      </c>
      <c r="ED86" s="2012"/>
      <c r="EE86" s="2012"/>
      <c r="EF86" s="2012"/>
      <c r="EG86" s="2012"/>
      <c r="EH86" s="2012"/>
      <c r="EI86" s="2012"/>
      <c r="EJ86" s="2012"/>
      <c r="EK86" s="2012"/>
      <c r="EL86" s="2012"/>
      <c r="EM86" s="2012"/>
      <c r="EN86" s="2012"/>
      <c r="EO86" s="2012"/>
      <c r="EP86" s="2012"/>
      <c r="EQ86" s="2012"/>
      <c r="ER86" s="2012"/>
      <c r="ES86" s="2012"/>
      <c r="ET86" s="2012"/>
      <c r="EU86" s="2012"/>
      <c r="EV86" s="2012"/>
      <c r="EW86" s="2012"/>
      <c r="EX86" s="2012"/>
      <c r="EY86" s="2012"/>
      <c r="EZ86" s="2012"/>
      <c r="FA86" s="2012"/>
      <c r="FB86" s="1711">
        <v>5600</v>
      </c>
      <c r="FC86" s="2012"/>
      <c r="FD86" s="2012"/>
      <c r="FE86" s="2012"/>
      <c r="FF86" s="2012"/>
      <c r="FG86" s="2012"/>
      <c r="FH86" s="2012"/>
      <c r="FI86" s="2012"/>
      <c r="FJ86" s="2012"/>
      <c r="FK86" s="2012"/>
      <c r="FL86" s="2012"/>
      <c r="FM86" s="2012"/>
      <c r="FN86" s="2012"/>
      <c r="FO86" s="2012"/>
      <c r="FP86" s="2012"/>
      <c r="FQ86" s="2012"/>
      <c r="FR86" s="2012"/>
      <c r="FS86" s="2012"/>
      <c r="FT86" s="2012"/>
      <c r="FU86" s="2012"/>
      <c r="FV86" s="2012"/>
      <c r="FW86" s="2012"/>
      <c r="FX86" s="2012"/>
      <c r="FY86" s="2012"/>
      <c r="FZ86" s="2012"/>
      <c r="GA86" s="2012"/>
      <c r="GB86" s="2012"/>
      <c r="GC86" s="2012"/>
      <c r="GD86" s="2012"/>
      <c r="GE86" s="2012"/>
      <c r="GF86" s="2012"/>
      <c r="GG86" s="2012"/>
      <c r="GH86" s="2012"/>
      <c r="GI86" s="2012"/>
      <c r="GJ86" s="2012"/>
      <c r="GK86" s="2012"/>
      <c r="GL86" s="2012"/>
      <c r="GM86" s="2012"/>
      <c r="GN86" s="2012"/>
      <c r="GO86" s="2012"/>
      <c r="GP86" s="2012"/>
      <c r="GQ86" s="2012"/>
      <c r="GR86" s="2012"/>
      <c r="GS86" s="2012"/>
      <c r="GT86" s="2012"/>
      <c r="GU86" s="2012"/>
      <c r="GV86" s="2012"/>
      <c r="GW86" s="2012"/>
      <c r="GX86" s="2012"/>
      <c r="GY86" s="2012"/>
      <c r="GZ86" s="2012"/>
      <c r="HA86" s="2012"/>
      <c r="HB86" s="2012"/>
      <c r="HC86" s="2012"/>
      <c r="HD86" s="2012"/>
      <c r="HE86" s="2012"/>
      <c r="HF86" s="2012"/>
      <c r="HG86" s="2012"/>
      <c r="HH86" s="2012"/>
      <c r="HI86" s="2012"/>
      <c r="HJ86" s="2012"/>
      <c r="HK86" s="2012"/>
      <c r="HL86" s="2012"/>
      <c r="HM86" s="2012"/>
      <c r="HN86" s="2012"/>
      <c r="HO86" s="2012"/>
      <c r="HP86" s="2012"/>
      <c r="HQ86" s="2012"/>
      <c r="HR86" s="2012"/>
      <c r="HS86" s="2012"/>
      <c r="HT86" s="2012"/>
      <c r="HU86" s="2012"/>
      <c r="HV86" s="2012"/>
      <c r="HW86" s="2012"/>
      <c r="HX86" s="2012"/>
      <c r="HY86" s="2012"/>
      <c r="HZ86" s="2012"/>
      <c r="IA86" s="2012"/>
      <c r="IB86" s="2012"/>
      <c r="IC86" s="2012"/>
      <c r="ID86" s="2012"/>
      <c r="IE86" s="2012"/>
      <c r="IF86" s="2012"/>
      <c r="IG86" s="2012"/>
      <c r="IH86" s="2012"/>
      <c r="II86" s="2012"/>
      <c r="IJ86" s="2012"/>
      <c r="IK86" s="2012"/>
      <c r="IL86" s="2012"/>
      <c r="IM86" s="2012"/>
      <c r="IN86" s="2012"/>
      <c r="IO86" s="2012"/>
      <c r="IP86" s="2012"/>
      <c r="IQ86" s="2012"/>
      <c r="IR86" s="3896"/>
      <c r="IS86" s="2012"/>
      <c r="IT86" s="2012"/>
      <c r="IU86" s="2012"/>
      <c r="IV86" s="2012"/>
      <c r="IW86" s="2012"/>
      <c r="IX86" s="2012"/>
      <c r="IY86" s="2012"/>
      <c r="IZ86" s="2012"/>
      <c r="JA86" s="2548"/>
      <c r="JB86" s="2548"/>
      <c r="JC86" s="2548"/>
      <c r="JD86" s="2548"/>
      <c r="JE86" s="2548"/>
      <c r="JF86" s="2548"/>
      <c r="JG86" s="3796"/>
      <c r="JH86" s="1233"/>
      <c r="JI86" s="1232"/>
      <c r="JJ86" s="1660" t="s">
        <v>6108</v>
      </c>
    </row>
    <row ht="12.75" r="87" spans="1:270" x14ac:dyDescent="0.2">
      <c r="A87" s="1128">
        <v>38</v>
      </c>
      <c r="B87" s="1369" t="str">
        <f si="3" t="shared"/>
        <v/>
      </c>
      <c r="C87" s="1278" t="s">
        <v>985</v>
      </c>
      <c r="D87" s="1372" t="s">
        <v>4868</v>
      </c>
      <c r="E87" s="1724"/>
      <c r="F87" s="1724"/>
      <c r="G87" s="1724"/>
      <c r="H87" s="1724"/>
      <c r="I87" s="1724"/>
      <c r="J87" s="1724"/>
      <c r="K87" s="1724"/>
      <c r="L87" s="1724"/>
      <c r="M87" s="1724"/>
      <c r="N87" s="1724"/>
      <c r="O87" s="1724"/>
      <c r="P87" s="2017"/>
      <c r="Q87" s="2017"/>
      <c r="R87" s="2017"/>
      <c r="S87" s="2017"/>
      <c r="T87" s="2017"/>
      <c r="U87" s="2017"/>
      <c r="V87" s="2017"/>
      <c r="W87" s="2017"/>
      <c r="X87" s="2017"/>
      <c r="Y87" s="2017"/>
      <c r="Z87" s="2017"/>
      <c r="AA87" s="2017"/>
      <c r="AB87" s="2017"/>
      <c r="AC87" s="2017"/>
      <c r="AD87" s="2556"/>
      <c r="AE87" s="2556"/>
      <c r="AF87" s="2556"/>
      <c r="AG87" s="2556"/>
      <c r="AH87" s="2556"/>
      <c r="AI87" s="4120">
        <v>0</v>
      </c>
      <c r="AJ87" s="2017"/>
      <c r="AK87" s="2017"/>
      <c r="AL87" s="2017"/>
      <c r="AM87" s="2017"/>
      <c r="AN87" s="2017"/>
      <c r="AO87" s="2017"/>
      <c r="AP87" s="2017"/>
      <c r="AQ87" s="2017"/>
      <c r="AR87" s="2017"/>
      <c r="AS87" s="2017"/>
      <c r="AT87" s="2017"/>
      <c r="AU87" s="2017"/>
      <c r="AV87" s="2017"/>
      <c r="AW87" s="2017"/>
      <c r="AX87" s="2017"/>
      <c r="AY87" s="2017"/>
      <c r="AZ87" s="2017"/>
      <c r="BA87" s="2017"/>
      <c r="BB87" s="2017"/>
      <c r="BC87" s="2017"/>
      <c r="BD87" s="2017"/>
      <c r="BE87" s="2017"/>
      <c r="BF87" s="2017"/>
      <c r="BG87" s="2017"/>
      <c r="BH87" s="2017"/>
      <c r="BI87" s="2017"/>
      <c r="BJ87" s="2017"/>
      <c r="BK87" s="2017"/>
      <c r="BL87" s="2017"/>
      <c r="BM87" s="2017"/>
      <c r="BN87" s="2017"/>
      <c r="BO87" s="2017"/>
      <c r="BP87" s="2017"/>
      <c r="BQ87" s="2017"/>
      <c r="BR87" s="2017"/>
      <c r="BS87" s="2017"/>
      <c r="BT87" s="2017"/>
      <c r="BU87" s="2017"/>
      <c r="BV87" s="2017"/>
      <c r="BW87" s="2017"/>
      <c r="BX87" s="2017"/>
      <c r="BY87" s="2017"/>
      <c r="BZ87" s="2017"/>
      <c r="CA87" s="2017"/>
      <c r="CB87" s="2017"/>
      <c r="CC87" s="2017"/>
      <c r="CD87" s="2017"/>
      <c r="CE87" s="2017"/>
      <c r="CF87" s="2017"/>
      <c r="CG87" s="2017"/>
      <c r="CH87" s="2017"/>
      <c r="CI87" s="1717">
        <f>CI86*BR_rate</f>
        <v>0</v>
      </c>
      <c r="CJ87" s="2017"/>
      <c r="CK87" s="2017"/>
      <c r="CL87" s="2017"/>
      <c r="CM87" s="2017"/>
      <c r="CN87" s="2017"/>
      <c r="CO87" s="2017"/>
      <c r="CP87" s="2017"/>
      <c r="CQ87" s="2017"/>
      <c r="CR87" s="2017"/>
      <c r="CS87" s="2017"/>
      <c r="CT87" s="1717">
        <f>CT86*BR_rate</f>
        <v>1120</v>
      </c>
      <c r="CU87" s="2017"/>
      <c r="CV87" s="2017"/>
      <c r="CW87" s="2017"/>
      <c r="CX87" s="2017"/>
      <c r="CY87" s="2017"/>
      <c r="CZ87" s="2017"/>
      <c r="DA87" s="2017"/>
      <c r="DB87" s="2017"/>
      <c r="DC87" s="2017"/>
      <c r="DD87" s="2017"/>
      <c r="DE87" s="2017"/>
      <c r="DF87" s="2017"/>
      <c r="DG87" s="2017"/>
      <c r="DH87" s="2017"/>
      <c r="DI87" s="2017"/>
      <c r="DJ87" s="2017"/>
      <c r="DK87" s="2017"/>
      <c r="DL87" s="2017"/>
      <c r="DM87" s="2017"/>
      <c r="DN87" s="2017"/>
      <c r="DO87" s="2017"/>
      <c r="DP87" s="2017"/>
      <c r="DQ87" s="2017"/>
      <c r="DR87" s="2017"/>
      <c r="DS87" s="2017"/>
      <c r="DT87" s="2017"/>
      <c r="DU87" s="2017"/>
      <c r="DV87" s="2017"/>
      <c r="DW87" s="2017"/>
      <c r="DX87" s="2017"/>
      <c r="DY87" s="2017"/>
      <c r="DZ87" s="2017"/>
      <c r="EA87" s="1717">
        <f>EA86*BR_rate</f>
        <v>0</v>
      </c>
      <c r="EB87" s="1717">
        <f>EB86*BR_rate</f>
        <v>0</v>
      </c>
      <c r="EC87" s="1717">
        <f>EC86*BR_rate</f>
        <v>1120</v>
      </c>
      <c r="ED87" s="2017"/>
      <c r="EE87" s="2017"/>
      <c r="EF87" s="2017"/>
      <c r="EG87" s="2017"/>
      <c r="EH87" s="2017"/>
      <c r="EI87" s="2017"/>
      <c r="EJ87" s="2017"/>
      <c r="EK87" s="2017"/>
      <c r="EL87" s="2017"/>
      <c r="EM87" s="2017"/>
      <c r="EN87" s="2017"/>
      <c r="EO87" s="2017"/>
      <c r="EP87" s="2017"/>
      <c r="EQ87" s="2017"/>
      <c r="ER87" s="2017"/>
      <c r="ES87" s="2017"/>
      <c r="ET87" s="2017"/>
      <c r="EU87" s="2017"/>
      <c r="EV87" s="2017"/>
      <c r="EW87" s="2017"/>
      <c r="EX87" s="2017"/>
      <c r="EY87" s="2017"/>
      <c r="EZ87" s="2017"/>
      <c r="FA87" s="2017"/>
      <c r="FB87" s="1717">
        <f>FB86*BR_rate</f>
        <v>1120</v>
      </c>
      <c r="FC87" s="2017"/>
      <c r="FD87" s="2017"/>
      <c r="FE87" s="2017"/>
      <c r="FF87" s="2017"/>
      <c r="FG87" s="2017"/>
      <c r="FH87" s="2017"/>
      <c r="FI87" s="2017"/>
      <c r="FJ87" s="2017"/>
      <c r="FK87" s="2017"/>
      <c r="FL87" s="2017"/>
      <c r="FM87" s="2017"/>
      <c r="FN87" s="2017"/>
      <c r="FO87" s="2017"/>
      <c r="FP87" s="2017"/>
      <c r="FQ87" s="2017"/>
      <c r="FR87" s="2017"/>
      <c r="FS87" s="2017"/>
      <c r="FT87" s="2017"/>
      <c r="FU87" s="2017"/>
      <c r="FV87" s="2017"/>
      <c r="FW87" s="2017"/>
      <c r="FX87" s="2017"/>
      <c r="FY87" s="2017"/>
      <c r="FZ87" s="2017"/>
      <c r="GA87" s="2017"/>
      <c r="GB87" s="2017"/>
      <c r="GC87" s="2017"/>
      <c r="GD87" s="2017"/>
      <c r="GE87" s="2017"/>
      <c r="GF87" s="2017"/>
      <c r="GG87" s="2017"/>
      <c r="GH87" s="2017"/>
      <c r="GI87" s="2017"/>
      <c r="GJ87" s="2017"/>
      <c r="GK87" s="2017"/>
      <c r="GL87" s="2017"/>
      <c r="GM87" s="2017"/>
      <c r="GN87" s="2017"/>
      <c r="GO87" s="2017"/>
      <c r="GP87" s="2017"/>
      <c r="GQ87" s="2017"/>
      <c r="GR87" s="2017"/>
      <c r="GS87" s="2017"/>
      <c r="GT87" s="2017"/>
      <c r="GU87" s="2017"/>
      <c r="GV87" s="2017"/>
      <c r="GW87" s="2017"/>
      <c r="GX87" s="2017"/>
      <c r="GY87" s="2017"/>
      <c r="GZ87" s="2017"/>
      <c r="HA87" s="2017"/>
      <c r="HB87" s="2017"/>
      <c r="HC87" s="2017"/>
      <c r="HD87" s="2017"/>
      <c r="HE87" s="2017"/>
      <c r="HF87" s="2017"/>
      <c r="HG87" s="2017"/>
      <c r="HH87" s="2017"/>
      <c r="HI87" s="2017"/>
      <c r="HJ87" s="2017"/>
      <c r="HK87" s="2017"/>
      <c r="HL87" s="2017"/>
      <c r="HM87" s="2017"/>
      <c r="HN87" s="2017"/>
      <c r="HO87" s="2017"/>
      <c r="HP87" s="2017"/>
      <c r="HQ87" s="2017"/>
      <c r="HR87" s="2017"/>
      <c r="HS87" s="2017"/>
      <c r="HT87" s="2017"/>
      <c r="HU87" s="2017"/>
      <c r="HV87" s="2017"/>
      <c r="HW87" s="2017"/>
      <c r="HX87" s="2017"/>
      <c r="HY87" s="2017"/>
      <c r="HZ87" s="2017"/>
      <c r="IA87" s="2017"/>
      <c r="IB87" s="2017"/>
      <c r="IC87" s="2017"/>
      <c r="ID87" s="2017"/>
      <c r="IE87" s="2017"/>
      <c r="IF87" s="2017"/>
      <c r="IG87" s="2017"/>
      <c r="IH87" s="2017"/>
      <c r="II87" s="2017"/>
      <c r="IJ87" s="2017"/>
      <c r="IK87" s="2017"/>
      <c r="IL87" s="2017"/>
      <c r="IM87" s="2017"/>
      <c r="IN87" s="2017"/>
      <c r="IO87" s="2017"/>
      <c r="IP87" s="2017"/>
      <c r="IQ87" s="2017"/>
      <c r="IR87" s="3899"/>
      <c r="IS87" s="2017"/>
      <c r="IT87" s="2017"/>
      <c r="IU87" s="2017"/>
      <c r="IV87" s="2017"/>
      <c r="IW87" s="2017"/>
      <c r="IX87" s="2017"/>
      <c r="IY87" s="2017"/>
      <c r="IZ87" s="2017"/>
      <c r="JA87" s="2556"/>
      <c r="JB87" s="2556"/>
      <c r="JC87" s="2556"/>
      <c r="JD87" s="2556"/>
      <c r="JE87" s="2556"/>
      <c r="JF87" s="2556"/>
      <c r="JG87" s="3801"/>
      <c r="JH87" s="1233"/>
      <c r="JI87" s="1229" t="s">
        <v>5092</v>
      </c>
      <c r="JJ87" s="1660" t="s">
        <v>6124</v>
      </c>
    </row>
    <row ht="12.75" r="88" spans="1:270" x14ac:dyDescent="0.2">
      <c r="A88" s="1128">
        <v>39</v>
      </c>
      <c r="B88" s="1369" t="str">
        <f si="3" t="shared"/>
        <v/>
      </c>
      <c r="C88" s="1524" t="s">
        <v>2565</v>
      </c>
      <c r="D88" s="1526" t="s">
        <v>4869</v>
      </c>
      <c r="E88" s="1725"/>
      <c r="F88" s="1725"/>
      <c r="G88" s="1725"/>
      <c r="H88" s="1725"/>
      <c r="I88" s="1725"/>
      <c r="J88" s="1725"/>
      <c r="K88" s="1725"/>
      <c r="L88" s="1725"/>
      <c r="M88" s="1725"/>
      <c r="N88" s="1725"/>
      <c r="O88" s="1725"/>
      <c r="P88" s="2018"/>
      <c r="Q88" s="2018"/>
      <c r="R88" s="2018"/>
      <c r="S88" s="2018"/>
      <c r="T88" s="2018"/>
      <c r="U88" s="2018"/>
      <c r="V88" s="2018"/>
      <c r="W88" s="2018"/>
      <c r="X88" s="2018"/>
      <c r="Y88" s="2018"/>
      <c r="Z88" s="2018"/>
      <c r="AA88" s="2018"/>
      <c r="AB88" s="2018"/>
      <c r="AC88" s="2018"/>
      <c r="AD88" s="2560"/>
      <c r="AE88" s="2560"/>
      <c r="AF88" s="2560"/>
      <c r="AG88" s="2560"/>
      <c r="AH88" s="2560"/>
      <c r="AI88" s="1718">
        <f>MAX(0,AI70+AI86-(AI76+AI85))</f>
        <v>8650</v>
      </c>
      <c r="AJ88" s="2018"/>
      <c r="AK88" s="2018"/>
      <c r="AL88" s="2018"/>
      <c r="AM88" s="2018"/>
      <c r="AN88" s="2018"/>
      <c r="AO88" s="2018"/>
      <c r="AP88" s="2018"/>
      <c r="AQ88" s="2018"/>
      <c r="AR88" s="2018"/>
      <c r="AS88" s="2018"/>
      <c r="AT88" s="2018"/>
      <c r="AU88" s="2018"/>
      <c r="AV88" s="2018"/>
      <c r="AW88" s="2018"/>
      <c r="AX88" s="2018"/>
      <c r="AY88" s="2018"/>
      <c r="AZ88" s="2018"/>
      <c r="BA88" s="2018"/>
      <c r="BB88" s="2018"/>
      <c r="BC88" s="2018"/>
      <c r="BD88" s="2018"/>
      <c r="BE88" s="2018"/>
      <c r="BF88" s="2018"/>
      <c r="BG88" s="2018"/>
      <c r="BH88" s="2018"/>
      <c r="BI88" s="2018"/>
      <c r="BJ88" s="2018"/>
      <c r="BK88" s="2018"/>
      <c r="BL88" s="2018"/>
      <c r="BM88" s="2018"/>
      <c r="BN88" s="2018"/>
      <c r="BO88" s="2018"/>
      <c r="BP88" s="2018"/>
      <c r="BQ88" s="2018"/>
      <c r="BR88" s="2018"/>
      <c r="BS88" s="2018"/>
      <c r="BT88" s="2018"/>
      <c r="BU88" s="2018"/>
      <c r="BV88" s="2018"/>
      <c r="BW88" s="2018"/>
      <c r="BX88" s="2018"/>
      <c r="BY88" s="2018"/>
      <c r="BZ88" s="2018"/>
      <c r="CA88" s="2018"/>
      <c r="CB88" s="2018"/>
      <c r="CC88" s="2018"/>
      <c r="CD88" s="2018"/>
      <c r="CE88" s="2018"/>
      <c r="CF88" s="2018"/>
      <c r="CG88" s="2018"/>
      <c r="CH88" s="2018"/>
      <c r="CI88" s="1718">
        <f>MAX(0,CI70+CI86-(CI76+CI85))</f>
        <v>4500</v>
      </c>
      <c r="CJ88" s="2018"/>
      <c r="CK88" s="2018"/>
      <c r="CL88" s="2018"/>
      <c r="CM88" s="2018"/>
      <c r="CN88" s="2018"/>
      <c r="CO88" s="2018"/>
      <c r="CP88" s="2018"/>
      <c r="CQ88" s="2018"/>
      <c r="CR88" s="2018"/>
      <c r="CS88" s="2018"/>
      <c r="CT88" s="1718">
        <f>MAX(0,CT70+CT86-(CT76+CT85))</f>
        <v>27237</v>
      </c>
      <c r="CU88" s="2018"/>
      <c r="CV88" s="2018"/>
      <c r="CW88" s="2018"/>
      <c r="CX88" s="2018"/>
      <c r="CY88" s="2018"/>
      <c r="CZ88" s="2018"/>
      <c r="DA88" s="2018"/>
      <c r="DB88" s="2018"/>
      <c r="DC88" s="2018"/>
      <c r="DD88" s="2018"/>
      <c r="DE88" s="2018"/>
      <c r="DF88" s="2018"/>
      <c r="DG88" s="2018"/>
      <c r="DH88" s="2018"/>
      <c r="DI88" s="2018"/>
      <c r="DJ88" s="2018"/>
      <c r="DK88" s="2018"/>
      <c r="DL88" s="2018"/>
      <c r="DM88" s="2018"/>
      <c r="DN88" s="2018"/>
      <c r="DO88" s="2018"/>
      <c r="DP88" s="2018"/>
      <c r="DQ88" s="2018"/>
      <c r="DR88" s="2018"/>
      <c r="DS88" s="2018"/>
      <c r="DT88" s="2018"/>
      <c r="DU88" s="2018"/>
      <c r="DV88" s="2018"/>
      <c r="DW88" s="2018"/>
      <c r="DX88" s="2018"/>
      <c r="DY88" s="2018"/>
      <c r="DZ88" s="2018"/>
      <c r="EA88" s="1718">
        <f>MAX(0,EA70+EA86-(EA76+EA85))</f>
        <v>4500</v>
      </c>
      <c r="EB88" s="1718">
        <f>MAX(0,EB70+EB86-(EB76+EB85))</f>
        <v>15138</v>
      </c>
      <c r="EC88" s="1718">
        <f>MAX(0,EC70+EC86-(EC76+EC85))</f>
        <v>27237</v>
      </c>
      <c r="ED88" s="2018"/>
      <c r="EE88" s="2018"/>
      <c r="EF88" s="2018"/>
      <c r="EG88" s="2018"/>
      <c r="EH88" s="2018"/>
      <c r="EI88" s="2018"/>
      <c r="EJ88" s="2018"/>
      <c r="EK88" s="2018"/>
      <c r="EL88" s="2018"/>
      <c r="EM88" s="2018"/>
      <c r="EN88" s="2018"/>
      <c r="EO88" s="2018"/>
      <c r="EP88" s="2018"/>
      <c r="EQ88" s="2018"/>
      <c r="ER88" s="2018"/>
      <c r="ES88" s="2018"/>
      <c r="ET88" s="2018"/>
      <c r="EU88" s="2018"/>
      <c r="EV88" s="2018"/>
      <c r="EW88" s="2018"/>
      <c r="EX88" s="2018"/>
      <c r="EY88" s="2018"/>
      <c r="EZ88" s="2018"/>
      <c r="FA88" s="2018"/>
      <c r="FB88" s="1718">
        <f>MAX(0,FB70+FB86-(FB76+FB85))</f>
        <v>27237</v>
      </c>
      <c r="FC88" s="2018"/>
      <c r="FD88" s="2018"/>
      <c r="FE88" s="2018"/>
      <c r="FF88" s="2018"/>
      <c r="FG88" s="2018"/>
      <c r="FH88" s="2018"/>
      <c r="FI88" s="2018"/>
      <c r="FJ88" s="2018"/>
      <c r="FK88" s="2018"/>
      <c r="FL88" s="2018"/>
      <c r="FM88" s="2018"/>
      <c r="FN88" s="2018"/>
      <c r="FO88" s="2018"/>
      <c r="FP88" s="2018"/>
      <c r="FQ88" s="2018"/>
      <c r="FR88" s="2018"/>
      <c r="FS88" s="2018"/>
      <c r="FT88" s="2018"/>
      <c r="FU88" s="2018"/>
      <c r="FV88" s="2018"/>
      <c r="FW88" s="2018"/>
      <c r="FX88" s="2018"/>
      <c r="FY88" s="2018"/>
      <c r="FZ88" s="2018"/>
      <c r="GA88" s="2018"/>
      <c r="GB88" s="2018"/>
      <c r="GC88" s="2018"/>
      <c r="GD88" s="2018"/>
      <c r="GE88" s="2018"/>
      <c r="GF88" s="2018"/>
      <c r="GG88" s="2018"/>
      <c r="GH88" s="2018"/>
      <c r="GI88" s="2018"/>
      <c r="GJ88" s="2018"/>
      <c r="GK88" s="2018"/>
      <c r="GL88" s="2018"/>
      <c r="GM88" s="2018"/>
      <c r="GN88" s="2018"/>
      <c r="GO88" s="2018"/>
      <c r="GP88" s="2018"/>
      <c r="GQ88" s="2018"/>
      <c r="GR88" s="2018"/>
      <c r="GS88" s="2018"/>
      <c r="GT88" s="2018"/>
      <c r="GU88" s="2018"/>
      <c r="GV88" s="2018"/>
      <c r="GW88" s="2018"/>
      <c r="GX88" s="2018"/>
      <c r="GY88" s="2018"/>
      <c r="GZ88" s="2018"/>
      <c r="HA88" s="2018"/>
      <c r="HB88" s="2018"/>
      <c r="HC88" s="2018"/>
      <c r="HD88" s="2018"/>
      <c r="HE88" s="2018"/>
      <c r="HF88" s="2018"/>
      <c r="HG88" s="2018"/>
      <c r="HH88" s="2018"/>
      <c r="HI88" s="2018"/>
      <c r="HJ88" s="2018"/>
      <c r="HK88" s="2018"/>
      <c r="HL88" s="2018"/>
      <c r="HM88" s="2018"/>
      <c r="HN88" s="2018"/>
      <c r="HO88" s="2018"/>
      <c r="HP88" s="2018"/>
      <c r="HQ88" s="2018"/>
      <c r="HR88" s="2018"/>
      <c r="HS88" s="2018"/>
      <c r="HT88" s="2018"/>
      <c r="HU88" s="2018"/>
      <c r="HV88" s="2018"/>
      <c r="HW88" s="2018"/>
      <c r="HX88" s="2018"/>
      <c r="HY88" s="2018"/>
      <c r="HZ88" s="2018"/>
      <c r="IA88" s="2018"/>
      <c r="IB88" s="2018"/>
      <c r="IC88" s="2018"/>
      <c r="ID88" s="2018"/>
      <c r="IE88" s="2018"/>
      <c r="IF88" s="2018"/>
      <c r="IG88" s="2018"/>
      <c r="IH88" s="2018"/>
      <c r="II88" s="2018"/>
      <c r="IJ88" s="2018"/>
      <c r="IK88" s="2018"/>
      <c r="IL88" s="2018"/>
      <c r="IM88" s="2018"/>
      <c r="IN88" s="2018"/>
      <c r="IO88" s="2018"/>
      <c r="IP88" s="2018"/>
      <c r="IQ88" s="2018"/>
      <c r="IR88" s="2560"/>
      <c r="IS88" s="2018"/>
      <c r="IT88" s="2018"/>
      <c r="IU88" s="2018"/>
      <c r="IV88" s="2018"/>
      <c r="IW88" s="2018"/>
      <c r="IX88" s="2018"/>
      <c r="IY88" s="2018"/>
      <c r="IZ88" s="2018"/>
      <c r="JA88" s="2560"/>
      <c r="JB88" s="2560"/>
      <c r="JC88" s="2560"/>
      <c r="JD88" s="2560"/>
      <c r="JE88" s="2560"/>
      <c r="JF88" s="2560"/>
      <c r="JG88" s="3802"/>
      <c r="JH88" s="1233"/>
      <c r="JI88" s="1229" t="s">
        <v>5093</v>
      </c>
      <c r="JJ88" s="1660" t="s">
        <v>6124</v>
      </c>
    </row>
    <row ht="13.5" r="89" spans="1:270" thickBot="1" x14ac:dyDescent="0.25">
      <c r="A89" s="1128">
        <v>40</v>
      </c>
      <c r="B89" s="1369" t="str">
        <f si="3" t="shared"/>
        <v/>
      </c>
      <c r="C89" s="1525" t="s">
        <v>2451</v>
      </c>
      <c r="D89" s="1527" t="s">
        <v>4870</v>
      </c>
      <c r="E89" s="1726"/>
      <c r="F89" s="1726"/>
      <c r="G89" s="1726"/>
      <c r="H89" s="1726"/>
      <c r="I89" s="1726"/>
      <c r="J89" s="1726"/>
      <c r="K89" s="1726"/>
      <c r="L89" s="1726"/>
      <c r="M89" s="1726"/>
      <c r="N89" s="1726"/>
      <c r="O89" s="1726"/>
      <c r="P89" s="2019"/>
      <c r="Q89" s="2019"/>
      <c r="R89" s="2019"/>
      <c r="S89" s="2072"/>
      <c r="T89" s="2072"/>
      <c r="U89" s="2072"/>
      <c r="V89" s="2072"/>
      <c r="W89" s="2072"/>
      <c r="X89" s="2072"/>
      <c r="Y89" s="2072"/>
      <c r="Z89" s="2072"/>
      <c r="AA89" s="2072"/>
      <c r="AB89" s="2072"/>
      <c r="AC89" s="2072"/>
      <c r="AD89" s="2072"/>
      <c r="AE89" s="2072"/>
      <c r="AF89" s="2072"/>
      <c r="AG89" s="2072"/>
      <c r="AH89" s="2072"/>
      <c r="AI89" s="1528">
        <f>AI53+AI59+AI61+AI87</f>
        <v>250</v>
      </c>
      <c r="AJ89" s="2072"/>
      <c r="AK89" s="2072"/>
      <c r="AL89" s="2072"/>
      <c r="AM89" s="2072"/>
      <c r="AN89" s="2072"/>
      <c r="AO89" s="2072"/>
      <c r="AP89" s="2072"/>
      <c r="AQ89" s="2072"/>
      <c r="AR89" s="2072"/>
      <c r="AS89" s="2072"/>
      <c r="AT89" s="2072"/>
      <c r="AU89" s="2072"/>
      <c r="AV89" s="2072"/>
      <c r="AW89" s="2072"/>
      <c r="AX89" s="2072"/>
      <c r="AY89" s="2072"/>
      <c r="AZ89" s="2072"/>
      <c r="BA89" s="2072"/>
      <c r="BB89" s="2072"/>
      <c r="BC89" s="2072"/>
      <c r="BD89" s="2072"/>
      <c r="BE89" s="2072"/>
      <c r="BF89" s="2072"/>
      <c r="BG89" s="2072"/>
      <c r="BH89" s="2072"/>
      <c r="BI89" s="2072"/>
      <c r="BJ89" s="2072"/>
      <c r="BK89" s="2072"/>
      <c r="BL89" s="2072"/>
      <c r="BM89" s="2072"/>
      <c r="BN89" s="2072"/>
      <c r="BO89" s="2072"/>
      <c r="BP89" s="2072"/>
      <c r="BQ89" s="2072"/>
      <c r="BR89" s="2072"/>
      <c r="BS89" s="2072"/>
      <c r="BT89" s="2072"/>
      <c r="BU89" s="2072"/>
      <c r="BV89" s="2072"/>
      <c r="BW89" s="2072"/>
      <c r="BX89" s="2072"/>
      <c r="BY89" s="2072"/>
      <c r="BZ89" s="2072"/>
      <c r="CA89" s="2072"/>
      <c r="CB89" s="2072"/>
      <c r="CC89" s="2072"/>
      <c r="CD89" s="2072"/>
      <c r="CE89" s="2072"/>
      <c r="CF89" s="2072"/>
      <c r="CG89" s="2072"/>
      <c r="CH89" s="2072"/>
      <c r="CI89" s="1665"/>
      <c r="CJ89" s="2072"/>
      <c r="CK89" s="2072"/>
      <c r="CL89" s="2072"/>
      <c r="CM89" s="2072"/>
      <c r="CN89" s="2072"/>
      <c r="CO89" s="2072"/>
      <c r="CP89" s="2072"/>
      <c r="CQ89" s="2072"/>
      <c r="CR89" s="2072"/>
      <c r="CS89" s="2072"/>
      <c r="CT89" s="1528">
        <f>CT53+CT59+CT61+CT87</f>
        <v>1648.4</v>
      </c>
      <c r="CU89" s="2072"/>
      <c r="CV89" s="2072"/>
      <c r="CW89" s="2072"/>
      <c r="CX89" s="2072"/>
      <c r="CY89" s="2072"/>
      <c r="CZ89" s="2072"/>
      <c r="DA89" s="2072"/>
      <c r="DB89" s="2072"/>
      <c r="DC89" s="2072"/>
      <c r="DD89" s="2072"/>
      <c r="DE89" s="2072"/>
      <c r="DF89" s="2072"/>
      <c r="DG89" s="2072"/>
      <c r="DH89" s="2072"/>
      <c r="DI89" s="2072"/>
      <c r="DJ89" s="2072"/>
      <c r="DK89" s="2072"/>
      <c r="DL89" s="2072"/>
      <c r="DM89" s="2072"/>
      <c r="DN89" s="2072"/>
      <c r="DO89" s="2072"/>
      <c r="DP89" s="2072"/>
      <c r="DQ89" s="2072"/>
      <c r="DR89" s="2072"/>
      <c r="DS89" s="2072"/>
      <c r="DT89" s="2072"/>
      <c r="DU89" s="2072"/>
      <c r="DV89" s="2072"/>
      <c r="DW89" s="2072"/>
      <c r="DX89" s="2072"/>
      <c r="DY89" s="2072"/>
      <c r="DZ89" s="2072"/>
      <c r="EA89" s="1528">
        <f>EA53+EA59+EA61+EA87</f>
        <v>-250</v>
      </c>
      <c r="EB89" s="1528">
        <f>EB53+EB59+EB61+EB87</f>
        <v>550</v>
      </c>
      <c r="EC89" s="1528">
        <f>EC53+EC59+EC61+EC87</f>
        <v>1648.4</v>
      </c>
      <c r="ED89" s="2072"/>
      <c r="EE89" s="2072"/>
      <c r="EF89" s="2072"/>
      <c r="EG89" s="2072"/>
      <c r="EH89" s="2072"/>
      <c r="EI89" s="2072"/>
      <c r="EJ89" s="2072"/>
      <c r="EK89" s="2072"/>
      <c r="EL89" s="2072"/>
      <c r="EM89" s="2072"/>
      <c r="EN89" s="2072"/>
      <c r="EO89" s="2072"/>
      <c r="EP89" s="2072"/>
      <c r="EQ89" s="2072"/>
      <c r="ER89" s="2072"/>
      <c r="ES89" s="2072"/>
      <c r="ET89" s="2072"/>
      <c r="EU89" s="2072"/>
      <c r="EV89" s="2072"/>
      <c r="EW89" s="2072"/>
      <c r="EX89" s="2072"/>
      <c r="EY89" s="2072"/>
      <c r="EZ89" s="2072"/>
      <c r="FA89" s="2072"/>
      <c r="FB89" s="1528">
        <f>FB53+FB59+FB61+FB87</f>
        <v>1648.4</v>
      </c>
      <c r="FC89" s="2072"/>
      <c r="FD89" s="2072"/>
      <c r="FE89" s="2072"/>
      <c r="FF89" s="2072"/>
      <c r="FG89" s="2072"/>
      <c r="FH89" s="2072"/>
      <c r="FI89" s="2072"/>
      <c r="FJ89" s="2072"/>
      <c r="FK89" s="2072"/>
      <c r="FL89" s="2072"/>
      <c r="FM89" s="2072"/>
      <c r="FN89" s="2072"/>
      <c r="FO89" s="2072"/>
      <c r="FP89" s="2072"/>
      <c r="FQ89" s="2072"/>
      <c r="FR89" s="2072"/>
      <c r="FS89" s="2072"/>
      <c r="FT89" s="2072"/>
      <c r="FU89" s="2072"/>
      <c r="FV89" s="2072"/>
      <c r="FW89" s="2072"/>
      <c r="FX89" s="2072"/>
      <c r="FY89" s="2072"/>
      <c r="FZ89" s="2072"/>
      <c r="GA89" s="2072"/>
      <c r="GB89" s="2072"/>
      <c r="GC89" s="2072"/>
      <c r="GD89" s="2072"/>
      <c r="GE89" s="2072"/>
      <c r="GF89" s="2072"/>
      <c r="GG89" s="2072"/>
      <c r="GH89" s="2072"/>
      <c r="GI89" s="2072"/>
      <c r="GJ89" s="2072"/>
      <c r="GK89" s="2072"/>
      <c r="GL89" s="2072"/>
      <c r="GM89" s="2072"/>
      <c r="GN89" s="2072"/>
      <c r="GO89" s="2072"/>
      <c r="GP89" s="2072"/>
      <c r="GQ89" s="2072"/>
      <c r="GR89" s="2072"/>
      <c r="GS89" s="2072"/>
      <c r="GT89" s="2072"/>
      <c r="GU89" s="2072"/>
      <c r="GV89" s="2072"/>
      <c r="GW89" s="2072"/>
      <c r="GX89" s="2072"/>
      <c r="GY89" s="2072"/>
      <c r="GZ89" s="2072"/>
      <c r="HA89" s="2072"/>
      <c r="HB89" s="2072"/>
      <c r="HC89" s="2072"/>
      <c r="HD89" s="2072"/>
      <c r="HE89" s="2072"/>
      <c r="HF89" s="2072"/>
      <c r="HG89" s="2072"/>
      <c r="HH89" s="2072"/>
      <c r="HI89" s="2072"/>
      <c r="HJ89" s="2072"/>
      <c r="HK89" s="2072"/>
      <c r="HL89" s="2072"/>
      <c r="HM89" s="2072"/>
      <c r="HN89" s="2072"/>
      <c r="HO89" s="2072"/>
      <c r="HP89" s="2072"/>
      <c r="HQ89" s="2072"/>
      <c r="HR89" s="2072"/>
      <c r="HS89" s="2072"/>
      <c r="HT89" s="2072"/>
      <c r="HU89" s="2072"/>
      <c r="HV89" s="2072"/>
      <c r="HW89" s="2072"/>
      <c r="HX89" s="2072"/>
      <c r="HY89" s="2072"/>
      <c r="HZ89" s="2072"/>
      <c r="IA89" s="2072"/>
      <c r="IB89" s="2072"/>
      <c r="IC89" s="2072"/>
      <c r="ID89" s="2072"/>
      <c r="IE89" s="2072"/>
      <c r="IF89" s="2072"/>
      <c r="IG89" s="2072"/>
      <c r="IH89" s="2072"/>
      <c r="II89" s="2072"/>
      <c r="IJ89" s="2072"/>
      <c r="IK89" s="2072"/>
      <c r="IL89" s="2072"/>
      <c r="IM89" s="2072"/>
      <c r="IN89" s="2072"/>
      <c r="IO89" s="2072"/>
      <c r="IP89" s="2072"/>
      <c r="IQ89" s="2072"/>
      <c r="IR89" s="2072"/>
      <c r="IS89" s="2072"/>
      <c r="IT89" s="2072"/>
      <c r="IU89" s="2072"/>
      <c r="IV89" s="2072"/>
      <c r="IW89" s="2072"/>
      <c r="IX89" s="2072"/>
      <c r="IY89" s="2072"/>
      <c r="IZ89" s="2072"/>
      <c r="JA89" s="2072"/>
      <c r="JB89" s="2072"/>
      <c r="JC89" s="2072"/>
      <c r="JD89" s="2072"/>
      <c r="JE89" s="2072"/>
      <c r="JF89" s="2072"/>
      <c r="JG89" s="3803"/>
      <c r="JH89" s="1233"/>
      <c r="JI89" s="1229" t="s">
        <v>5094</v>
      </c>
      <c r="JJ89" s="1660" t="s">
        <v>6127</v>
      </c>
    </row>
    <row ht="12.75" r="90" spans="1:270" thickBot="1" x14ac:dyDescent="0.25">
      <c r="JA90" s="34"/>
      <c r="JB90" s="34"/>
      <c r="JC90" s="34"/>
      <c r="JD90" s="34"/>
      <c r="JE90" s="34"/>
      <c r="JF90" s="34"/>
      <c r="JG90" s="34"/>
    </row>
    <row r="91" spans="1:270" x14ac:dyDescent="0.2">
      <c r="A91" s="1128" t="s">
        <v>4479</v>
      </c>
      <c r="B91" s="2905" t="str">
        <f>"selected "&amp;NI1_IND-1</f>
        <v>selected 3</v>
      </c>
      <c r="C91" s="1290" t="s">
        <v>4565</v>
      </c>
      <c r="D91" s="1291"/>
      <c r="E91" s="1292">
        <v>1</v>
      </c>
      <c r="F91" s="1292">
        <v>2</v>
      </c>
      <c r="G91" s="1293">
        <v>3</v>
      </c>
      <c r="H91" s="1293">
        <v>4</v>
      </c>
      <c r="I91" s="1293">
        <v>5</v>
      </c>
      <c r="J91" s="1293">
        <v>6</v>
      </c>
      <c r="K91" s="1293">
        <v>7</v>
      </c>
      <c r="L91" s="1293">
        <v>8</v>
      </c>
      <c r="M91" s="1293">
        <v>9</v>
      </c>
      <c r="N91" s="1293">
        <v>10</v>
      </c>
      <c r="O91" s="2898">
        <v>11</v>
      </c>
      <c r="P91" s="2898">
        <v>12</v>
      </c>
      <c r="Q91" s="2898">
        <v>13</v>
      </c>
      <c r="R91" s="2898">
        <v>14</v>
      </c>
      <c r="S91" s="2898">
        <v>15</v>
      </c>
      <c r="T91" s="2898">
        <v>16</v>
      </c>
      <c r="U91" s="2898">
        <v>17</v>
      </c>
      <c r="V91" s="2898">
        <v>18</v>
      </c>
      <c r="W91" s="2898">
        <v>19</v>
      </c>
      <c r="X91" s="2898">
        <v>20</v>
      </c>
      <c r="Y91" s="2898">
        <v>21</v>
      </c>
      <c r="Z91" s="2898">
        <v>22</v>
      </c>
      <c r="AA91" s="2898">
        <v>23</v>
      </c>
      <c r="AB91" s="2898">
        <v>24</v>
      </c>
      <c r="AC91" s="2898">
        <v>25</v>
      </c>
      <c r="AD91" s="3517">
        <v>26</v>
      </c>
      <c r="AE91" s="3517">
        <v>27</v>
      </c>
      <c r="AF91" s="3517">
        <v>28</v>
      </c>
      <c r="AG91" s="3517">
        <v>29</v>
      </c>
      <c r="AH91" s="3517">
        <v>30</v>
      </c>
      <c r="AI91" s="2026">
        <v>31</v>
      </c>
      <c r="AJ91" s="2026">
        <v>32</v>
      </c>
      <c r="AK91" s="2026">
        <v>33</v>
      </c>
      <c r="AL91" s="2026">
        <v>34</v>
      </c>
      <c r="AM91" s="2026">
        <v>35</v>
      </c>
      <c r="AN91" s="2026">
        <v>36</v>
      </c>
      <c r="AO91" s="2026">
        <v>37</v>
      </c>
      <c r="AP91" s="2026">
        <v>38</v>
      </c>
      <c r="AQ91" s="2026">
        <v>39</v>
      </c>
      <c r="AR91" s="2026">
        <v>40</v>
      </c>
      <c r="AS91" s="2026">
        <v>41</v>
      </c>
      <c r="AT91" s="2026">
        <v>42</v>
      </c>
      <c r="AU91" s="2026">
        <v>43</v>
      </c>
      <c r="AV91" s="2026">
        <v>44</v>
      </c>
      <c r="AW91" s="2026">
        <v>45</v>
      </c>
      <c r="AX91" s="2026">
        <v>46</v>
      </c>
      <c r="AY91" s="2026">
        <v>47</v>
      </c>
      <c r="AZ91" s="2026">
        <v>48</v>
      </c>
      <c r="BA91" s="2026">
        <v>49</v>
      </c>
      <c r="BB91" s="2026">
        <v>50</v>
      </c>
      <c r="BC91" s="2026">
        <v>51</v>
      </c>
      <c r="BD91" s="2026">
        <v>52</v>
      </c>
      <c r="BE91" s="2026">
        <v>53</v>
      </c>
      <c r="BF91" s="2026">
        <v>54</v>
      </c>
      <c r="BG91" s="2026">
        <v>55</v>
      </c>
      <c r="BH91" s="2026">
        <v>56</v>
      </c>
      <c r="BI91" s="2026">
        <v>57</v>
      </c>
      <c r="BJ91" s="2026">
        <v>58</v>
      </c>
      <c r="BK91" s="2026">
        <v>59</v>
      </c>
      <c r="BL91" s="2026">
        <v>60</v>
      </c>
      <c r="BM91" s="2026">
        <v>61</v>
      </c>
      <c r="BN91" s="2026">
        <v>62</v>
      </c>
      <c r="BO91" s="2026">
        <v>63</v>
      </c>
      <c r="BP91" s="2026">
        <v>64</v>
      </c>
      <c r="BQ91" s="2026">
        <v>65</v>
      </c>
      <c r="BR91" s="2026">
        <v>66</v>
      </c>
      <c r="BS91" s="2026">
        <v>67</v>
      </c>
      <c r="BT91" s="2026">
        <v>68</v>
      </c>
      <c r="BU91" s="2026">
        <v>69</v>
      </c>
      <c r="BV91" s="2026">
        <v>70</v>
      </c>
      <c r="BW91" s="2026">
        <v>71</v>
      </c>
      <c r="BX91" s="2026">
        <v>72</v>
      </c>
      <c r="BY91" s="2026">
        <v>73</v>
      </c>
      <c r="BZ91" s="2026">
        <v>74</v>
      </c>
      <c r="CA91" s="2026">
        <v>75</v>
      </c>
      <c r="CB91" s="2026">
        <v>76</v>
      </c>
      <c r="CC91" s="2026">
        <v>77</v>
      </c>
      <c r="CD91" s="2026">
        <v>78</v>
      </c>
      <c r="CE91" s="2026">
        <v>79</v>
      </c>
      <c r="CF91" s="2026">
        <v>80</v>
      </c>
      <c r="CG91" s="2026">
        <v>81</v>
      </c>
      <c r="CH91" s="2026">
        <v>82</v>
      </c>
      <c r="CI91" s="2026">
        <v>83</v>
      </c>
      <c r="CJ91" s="2026">
        <v>84</v>
      </c>
      <c r="CK91" s="2026">
        <v>85</v>
      </c>
      <c r="CL91" s="2026">
        <v>86</v>
      </c>
      <c r="CM91" s="2026">
        <v>87</v>
      </c>
      <c r="CN91" s="2026">
        <v>88</v>
      </c>
      <c r="CO91" s="2026">
        <v>89</v>
      </c>
      <c r="CP91" s="2026">
        <v>90</v>
      </c>
      <c r="CQ91" s="2026">
        <v>91</v>
      </c>
      <c r="CR91" s="2026">
        <v>92</v>
      </c>
      <c r="CS91" s="2026">
        <v>93</v>
      </c>
      <c r="CT91" s="2026">
        <v>94</v>
      </c>
      <c r="CU91" s="2026">
        <v>95</v>
      </c>
      <c r="CV91" s="2026">
        <v>96</v>
      </c>
      <c r="CW91" s="2026">
        <v>97</v>
      </c>
      <c r="CX91" s="2026">
        <v>98</v>
      </c>
      <c r="CY91" s="2026">
        <v>99</v>
      </c>
      <c r="CZ91" s="2026">
        <v>100</v>
      </c>
      <c r="DA91" s="2026">
        <v>101</v>
      </c>
      <c r="DB91" s="2026">
        <v>102</v>
      </c>
      <c r="DC91" s="2026">
        <v>103</v>
      </c>
      <c r="DD91" s="2026">
        <v>104</v>
      </c>
      <c r="DE91" s="2026">
        <v>105</v>
      </c>
      <c r="DF91" s="2026">
        <v>106</v>
      </c>
      <c r="DG91" s="2026">
        <v>107</v>
      </c>
      <c r="DH91" s="2026">
        <v>108</v>
      </c>
      <c r="DI91" s="2026">
        <v>109</v>
      </c>
      <c r="DJ91" s="2026">
        <v>110</v>
      </c>
      <c r="DK91" s="2026">
        <v>111</v>
      </c>
      <c r="DL91" s="2026">
        <v>112</v>
      </c>
      <c r="DM91" s="2026">
        <v>113</v>
      </c>
      <c r="DN91" s="2026">
        <v>114</v>
      </c>
      <c r="DO91" s="2026">
        <v>115</v>
      </c>
      <c r="DP91" s="2026">
        <v>116</v>
      </c>
      <c r="DQ91" s="2026">
        <v>117</v>
      </c>
      <c r="DR91" s="2026">
        <v>118</v>
      </c>
      <c r="DS91" s="2026">
        <v>119</v>
      </c>
      <c r="DT91" s="2026">
        <v>120</v>
      </c>
      <c r="DU91" s="2026">
        <v>121</v>
      </c>
      <c r="DV91" s="2026">
        <v>122</v>
      </c>
      <c r="DW91" s="2026">
        <v>123</v>
      </c>
      <c r="DX91" s="2026">
        <v>124</v>
      </c>
      <c r="DY91" s="2026">
        <v>125</v>
      </c>
      <c r="DZ91" s="2026">
        <v>126</v>
      </c>
      <c r="EA91" s="2026">
        <v>127</v>
      </c>
      <c r="EB91" s="2026">
        <v>128</v>
      </c>
      <c r="EC91" s="2026">
        <v>129</v>
      </c>
      <c r="ED91" s="2026">
        <v>130</v>
      </c>
      <c r="EE91" s="2026">
        <v>131</v>
      </c>
      <c r="EF91" s="2026">
        <v>132</v>
      </c>
      <c r="EG91" s="2026">
        <v>133</v>
      </c>
      <c r="EH91" s="2026">
        <v>134</v>
      </c>
      <c r="EI91" s="2026">
        <v>135</v>
      </c>
      <c r="EJ91" s="2026">
        <v>136</v>
      </c>
      <c r="EK91" s="2026">
        <v>137</v>
      </c>
      <c r="EL91" s="2026">
        <v>138</v>
      </c>
      <c r="EM91" s="2026">
        <v>139</v>
      </c>
      <c r="EN91" s="2026">
        <v>140</v>
      </c>
      <c r="EO91" s="2026">
        <v>141</v>
      </c>
      <c r="EP91" s="2026">
        <v>142</v>
      </c>
      <c r="EQ91" s="2026">
        <v>143</v>
      </c>
      <c r="ER91" s="2026">
        <v>144</v>
      </c>
      <c r="ES91" s="2026">
        <v>145</v>
      </c>
      <c r="ET91" s="2026">
        <v>146</v>
      </c>
      <c r="EU91" s="2026">
        <v>147</v>
      </c>
      <c r="EV91" s="2026">
        <v>148</v>
      </c>
      <c r="EW91" s="2026">
        <v>149</v>
      </c>
      <c r="EX91" s="2026">
        <v>150</v>
      </c>
      <c r="EY91" s="2026">
        <v>151</v>
      </c>
      <c r="EZ91" s="2026">
        <v>152</v>
      </c>
      <c r="FA91" s="2026">
        <v>153</v>
      </c>
      <c r="FB91" s="2026">
        <v>154</v>
      </c>
      <c r="FC91" s="2026">
        <v>155</v>
      </c>
      <c r="FD91" s="2026">
        <v>156</v>
      </c>
      <c r="FE91" s="2026">
        <v>157</v>
      </c>
      <c r="FF91" s="2026">
        <v>158</v>
      </c>
      <c r="FG91" s="2026">
        <v>159</v>
      </c>
      <c r="FH91" s="2026">
        <v>160</v>
      </c>
      <c r="FI91" s="2026">
        <v>161</v>
      </c>
      <c r="FJ91" s="2026">
        <v>162</v>
      </c>
      <c r="FK91" s="2026">
        <v>163</v>
      </c>
      <c r="FL91" s="2026">
        <v>164</v>
      </c>
      <c r="FM91" s="2026">
        <v>165</v>
      </c>
      <c r="FN91" s="2026">
        <v>166</v>
      </c>
      <c r="FO91" s="2026">
        <v>167</v>
      </c>
      <c r="FP91" s="2026">
        <v>168</v>
      </c>
      <c r="FQ91" s="2026">
        <v>169</v>
      </c>
      <c r="FR91" s="2026">
        <v>170</v>
      </c>
      <c r="FS91" s="2026">
        <v>171</v>
      </c>
      <c r="FT91" s="2026">
        <v>172</v>
      </c>
      <c r="FU91" s="2026">
        <v>173</v>
      </c>
      <c r="FV91" s="2026">
        <v>174</v>
      </c>
      <c r="FW91" s="2026">
        <v>175</v>
      </c>
      <c r="FX91" s="2026">
        <v>176</v>
      </c>
      <c r="FY91" s="2026">
        <v>177</v>
      </c>
      <c r="FZ91" s="2026">
        <v>178</v>
      </c>
      <c r="GA91" s="2026">
        <v>179</v>
      </c>
      <c r="GB91" s="2026">
        <v>180</v>
      </c>
      <c r="GC91" s="2026">
        <v>181</v>
      </c>
      <c r="GD91" s="2026">
        <v>182</v>
      </c>
      <c r="GE91" s="2026">
        <v>183</v>
      </c>
      <c r="GF91" s="2026">
        <v>184</v>
      </c>
      <c r="GG91" s="2026">
        <v>185</v>
      </c>
      <c r="GH91" s="2026">
        <v>186</v>
      </c>
      <c r="GI91" s="2026">
        <v>187</v>
      </c>
      <c r="GJ91" s="2026">
        <v>188</v>
      </c>
      <c r="GK91" s="2026">
        <v>189</v>
      </c>
      <c r="GL91" s="2026">
        <v>190</v>
      </c>
      <c r="GM91" s="2026">
        <v>191</v>
      </c>
      <c r="GN91" s="2026">
        <v>192</v>
      </c>
      <c r="GO91" s="2026">
        <v>193</v>
      </c>
      <c r="GP91" s="2026">
        <v>194</v>
      </c>
      <c r="GQ91" s="2026">
        <v>195</v>
      </c>
      <c r="GR91" s="2026">
        <v>196</v>
      </c>
      <c r="GS91" s="2026">
        <v>197</v>
      </c>
      <c r="GT91" s="2026">
        <v>198</v>
      </c>
      <c r="GU91" s="2026">
        <v>199</v>
      </c>
      <c r="GV91" s="2026">
        <v>200</v>
      </c>
      <c r="GW91" s="2026">
        <v>201</v>
      </c>
      <c r="GX91" s="2026">
        <v>202</v>
      </c>
      <c r="GY91" s="2026">
        <v>203</v>
      </c>
      <c r="GZ91" s="2026">
        <v>204</v>
      </c>
      <c r="HA91" s="2026">
        <v>205</v>
      </c>
      <c r="HB91" s="2026">
        <v>206</v>
      </c>
      <c r="HC91" s="2026">
        <v>207</v>
      </c>
      <c r="HD91" s="2026">
        <v>208</v>
      </c>
      <c r="HE91" s="2026">
        <v>209</v>
      </c>
      <c r="HF91" s="2026">
        <v>210</v>
      </c>
      <c r="HG91" s="2026">
        <v>211</v>
      </c>
      <c r="HH91" s="2026">
        <v>212</v>
      </c>
      <c r="HI91" s="2026">
        <v>213</v>
      </c>
      <c r="HJ91" s="2026">
        <v>214</v>
      </c>
      <c r="HK91" s="2026">
        <v>215</v>
      </c>
      <c r="HL91" s="2026">
        <v>216</v>
      </c>
      <c r="HM91" s="2026">
        <v>217</v>
      </c>
      <c r="HN91" s="2026">
        <v>218</v>
      </c>
      <c r="HO91" s="2026">
        <v>219</v>
      </c>
      <c r="HP91" s="2026">
        <v>220</v>
      </c>
      <c r="HQ91" s="2026">
        <v>221</v>
      </c>
      <c r="HR91" s="2026">
        <v>222</v>
      </c>
      <c r="HS91" s="2026">
        <v>223</v>
      </c>
      <c r="HT91" s="2026">
        <v>224</v>
      </c>
      <c r="HU91" s="2026">
        <v>225</v>
      </c>
      <c r="HV91" s="2026">
        <v>226</v>
      </c>
      <c r="HW91" s="2026">
        <v>227</v>
      </c>
      <c r="HX91" s="2026">
        <v>228</v>
      </c>
      <c r="HY91" s="2026">
        <v>229</v>
      </c>
      <c r="HZ91" s="2026">
        <v>230</v>
      </c>
      <c r="IA91" s="2026">
        <v>231</v>
      </c>
      <c r="IB91" s="2026">
        <v>232</v>
      </c>
      <c r="IC91" s="2026">
        <v>233</v>
      </c>
      <c r="ID91" s="2026">
        <v>234</v>
      </c>
      <c r="IE91" s="2026">
        <v>235</v>
      </c>
      <c r="IF91" s="2026">
        <v>236</v>
      </c>
      <c r="IG91" s="2026">
        <v>237</v>
      </c>
      <c r="IH91" s="2026">
        <v>238</v>
      </c>
      <c r="II91" s="2026">
        <v>239</v>
      </c>
      <c r="IJ91" s="2026">
        <v>240</v>
      </c>
      <c r="IK91" s="2026">
        <v>241</v>
      </c>
      <c r="IL91" s="2026">
        <v>242</v>
      </c>
      <c r="IM91" s="2026">
        <v>243</v>
      </c>
      <c r="IN91" s="2026">
        <v>244</v>
      </c>
      <c r="IO91" s="2026">
        <v>245</v>
      </c>
      <c r="IP91" s="2026">
        <v>246</v>
      </c>
      <c r="IQ91" s="2026">
        <v>247</v>
      </c>
      <c r="IR91" s="2026">
        <v>248</v>
      </c>
      <c r="IS91" s="2026">
        <v>249</v>
      </c>
      <c r="IT91" s="2026">
        <v>250</v>
      </c>
      <c r="IU91" s="2026">
        <v>251</v>
      </c>
      <c r="IV91" s="2026">
        <v>252</v>
      </c>
      <c r="IW91" s="2026">
        <v>253</v>
      </c>
      <c r="IX91" s="2026">
        <v>254</v>
      </c>
      <c r="IY91" s="2026">
        <v>255</v>
      </c>
      <c r="IZ91" s="2026">
        <v>256</v>
      </c>
      <c r="JA91" s="2026">
        <v>257</v>
      </c>
      <c r="JB91" s="2026">
        <v>258</v>
      </c>
      <c r="JC91" s="2026">
        <v>259</v>
      </c>
      <c r="JD91" s="1134">
        <v>260</v>
      </c>
      <c r="JE91" s="1134">
        <v>261</v>
      </c>
      <c r="JF91" s="1134">
        <v>262</v>
      </c>
      <c r="JG91" s="2485">
        <v>263</v>
      </c>
      <c r="JH91" s="1367"/>
    </row>
    <row r="92" spans="1:270" x14ac:dyDescent="0.2">
      <c r="A92" s="1128">
        <v>2</v>
      </c>
      <c r="B92" s="2897">
        <f>IF(NI1_IND&gt;1,IF(HLOOKUP(NI1_IND-1,NI1_RANGE,A92)="","",HLOOKUP(NI1_IND-1,NI1_RANGE,A92)),"")</f>
        <v>24622</v>
      </c>
      <c r="C92" s="2899" t="s">
        <v>7277</v>
      </c>
      <c r="D92" s="2900"/>
      <c r="E92" s="2903">
        <f>IF('C2'!E3="",0,MAX(0,MIN('C2'!E3,Class1_UEL)-Class1_PT))</f>
        <v>41368</v>
      </c>
      <c r="F92" s="2903">
        <f>IF('C2'!F3="",0,MAX(0,MIN('C2'!F3,Class1_UEL)-Class1_PT))</f>
        <v>24622</v>
      </c>
      <c r="G92" s="2903">
        <f>IF('C2'!G3="",0,MAX(0,MIN('C2'!G3,Class1_UEL)-Class1_PT))</f>
        <v>24622</v>
      </c>
      <c r="H92" s="2903">
        <f>IF('C2'!H3="",0,MAX(0,MIN('C2'!H3,Class1_UEL)-Class1_PT))</f>
        <v>31879</v>
      </c>
      <c r="I92" s="2903"/>
      <c r="J92" s="2903"/>
      <c r="K92" s="2903">
        <f>IF('C2'!K3="",0,MAX(0,MIN('C2'!K3,Class1_UEL)-Class1_PT))</f>
        <v>24622</v>
      </c>
      <c r="L92" s="2903"/>
      <c r="M92" s="2903"/>
      <c r="N92" s="2903"/>
      <c r="O92" s="2903">
        <f>IF('C2'!O3="",0,MAX(0,MIN('C2'!O3,Class1_UEL)-Class1_PT))</f>
        <v>24622</v>
      </c>
      <c r="P92" s="2903"/>
      <c r="Q92" s="2903">
        <f>IF('C2'!Q3="",0,MAX(0,MIN('C2'!Q3,Class1_UEL)-Class1_PT))</f>
        <v>24622</v>
      </c>
      <c r="R92" s="2903">
        <f>IF('C2'!R3="",0,MAX(0,MIN('C2'!R3,Class1_UEL)-Class1_PT))</f>
        <v>24622</v>
      </c>
      <c r="S92" s="2903"/>
      <c r="T92" s="2903"/>
      <c r="U92" s="2903">
        <f>IF('C2'!U3="",0,MAX(0,MIN('C2'!U3,Class1_UEL)-Class1_PT))</f>
        <v>41368</v>
      </c>
      <c r="V92" s="2903">
        <f>IF('C2'!V3="",0,MAX(0,MIN('C2'!V3,Class1_UEL)-Class1_PT))</f>
        <v>29318</v>
      </c>
      <c r="W92" s="2903">
        <f>IF('C2'!W3="",0,MAX(0,MIN('C2'!W3,Class1_UEL)-Class1_PT))</f>
        <v>418</v>
      </c>
      <c r="X92" s="2903">
        <f>IF('C2'!X3="",0,MAX(0,MIN('C2'!X3,Class1_UEL)-Class1_PT))</f>
        <v>2868</v>
      </c>
      <c r="Y92" s="2903">
        <f>IF('C2'!Y3="",0,MAX(0,MIN('C2'!Y3,Class1_UEL)-Class1_PT))</f>
        <v>4868</v>
      </c>
      <c r="Z92" s="2903"/>
      <c r="AA92" s="2903">
        <f>IF('C2'!AA3="",0,MAX(0,MIN('C2'!AA3,Class1_UEL)-Class1_PT))</f>
        <v>24622</v>
      </c>
      <c r="AB92" s="2903"/>
      <c r="AC92" s="2903">
        <f>IF('C2'!AC3="",0,MAX(0,MIN('C2'!AC3,Class1_UEL)-Class1_PT))</f>
        <v>418</v>
      </c>
      <c r="AD92" s="2903">
        <f>IF('C2'!AD3="",0,MAX(0,MIN('C2'!AD3,Class1_UEL)-Class1_PT))</f>
        <v>41368</v>
      </c>
      <c r="AE92" s="2903">
        <f>IF('C2'!AE3="",0,MAX(0,MIN('C2'!AE3,Class1_UEL)-Class1_PT))</f>
        <v>27848</v>
      </c>
      <c r="AF92" s="2903"/>
      <c r="AG92" s="2903">
        <f>IF('C2'!AG3="",0,MAX(0,MIN('C2'!AG3,Class1_UEL)-Class1_PT))</f>
        <v>41368</v>
      </c>
      <c r="AH92" s="2903">
        <f>IF('C2'!AH3="",0,MAX(0,MIN('C2'!AH3,Class1_UEL)-Class1_PT))</f>
        <v>41368</v>
      </c>
      <c r="AI92" s="2903">
        <f>IF('C2'!AI3="",0,MAX(0,MIN('C2'!AI3,Class1_UEL)-Class1_PT))</f>
        <v>0</v>
      </c>
      <c r="AJ92" s="2903">
        <f>IF('C2'!AJ3="",0,MAX(0,MIN('C2'!AJ3,Class1_UEL)-Class1_PT))</f>
        <v>11157</v>
      </c>
      <c r="AK92" s="2903">
        <f>IF('C2'!AK3="",0,MAX(0,MIN('C2'!AK3,Class1_UEL)-Class1_PT))</f>
        <v>24622</v>
      </c>
      <c r="AL92" s="2903"/>
      <c r="AM92" s="2903"/>
      <c r="AN92" s="2903"/>
      <c r="AO92" s="2903"/>
      <c r="AP92" s="2903">
        <f>IF('C2'!AP3="",0,MAX(0,MIN('C2'!AP3,Class1_UEL)-Class1_PT))</f>
        <v>24622</v>
      </c>
      <c r="AQ92" s="2903">
        <f>IF('C2'!AQ3="",0,MAX(0,MIN('C2'!AQ3,Class1_UEL)-Class1_PT))</f>
        <v>24622</v>
      </c>
      <c r="AR92" s="2903"/>
      <c r="AS92" s="2903">
        <f>IF('C2'!AS3="",0,MAX(0,MIN('C2'!AS3,Class1_UEL)-Class1_PT))</f>
        <v>9868</v>
      </c>
      <c r="AT92" s="2903">
        <f>IF('C2'!AT3="",0,MAX(0,MIN('C2'!AT3,Class1_UEL)-Class1_PT))</f>
        <v>2868</v>
      </c>
      <c r="AU92" s="2903">
        <f>IF('C2'!AU3="",0,MAX(0,MIN('C2'!AU3,Class1_UEL)-Class1_PT))</f>
        <v>41368</v>
      </c>
      <c r="AV92" s="2903"/>
      <c r="AW92" s="2903"/>
      <c r="AX92" s="2903"/>
      <c r="AY92" s="2903"/>
      <c r="AZ92" s="2903"/>
      <c r="BA92" s="2903">
        <f>IF('C2'!BA3="",0,MAX(0,MIN('C2'!BA3,Class1_UEL)-Class1_PT))</f>
        <v>18883</v>
      </c>
      <c r="BB92" s="2903">
        <f>IF('C2'!BB3="",0,MAX(0,MIN('C2'!BB3,Class1_UEL)-Class1_PT))</f>
        <v>0</v>
      </c>
      <c r="BC92" s="2903"/>
      <c r="BD92" s="2903">
        <f>IF('C2'!BD3="",0,MAX(0,MIN('C2'!BD3,Class1_UEL)-Class1_PT))</f>
        <v>9868</v>
      </c>
      <c r="BE92" s="2903">
        <f>IF('C2'!BE3="",0,MAX(0,MIN('C2'!BE3,Class1_UEL)-Class1_PT))</f>
        <v>0</v>
      </c>
      <c r="BF92" s="2903">
        <f>IF('C2'!BF3="",0,MAX(0,MIN('C2'!BF3,Class1_UEL)-Class1_PT))</f>
        <v>16868</v>
      </c>
      <c r="BG92" s="2903">
        <f>IF('C2'!BG3="",0,MAX(0,MIN('C2'!BG3,Class1_UEL)-Class1_PT))</f>
        <v>24622</v>
      </c>
      <c r="BH92" s="2903">
        <f>IF('C2'!BH3="",0,MAX(0,MIN('C2'!BH3,Class1_UEL)-Class1_PT))</f>
        <v>2418</v>
      </c>
      <c r="BI92" s="2903">
        <f>IF('C2'!BI3="",0,MAX(0,MIN('C2'!BI3,Class1_UEL)-Class1_PT))</f>
        <v>23768</v>
      </c>
      <c r="BJ92" s="2903"/>
      <c r="BK92" s="2903"/>
      <c r="BL92" s="2903"/>
      <c r="BM92" s="2903">
        <f>IF('C2'!BM3="",0,MAX(0,MIN('C2'!BM3,Class1_UEL)-Class1_PT))</f>
        <v>18883</v>
      </c>
      <c r="BN92" s="2903"/>
      <c r="BO92" s="2903">
        <f>IF('C2'!BO3="",0,MAX(0,MIN('C2'!BO3,Class1_UEL)-Class1_PT))</f>
        <v>24622</v>
      </c>
      <c r="BP92" s="2903"/>
      <c r="BQ92" s="2903"/>
      <c r="BR92" s="2903"/>
      <c r="BS92" s="2903">
        <f>IF('C2'!BS3="",0,MAX(0,MIN('C2'!BS3,Class1_UEL)-Class1_PT))</f>
        <v>0</v>
      </c>
      <c r="BT92" s="2903"/>
      <c r="BU92" s="2903"/>
      <c r="BV92" s="2903"/>
      <c r="BW92" s="2903"/>
      <c r="BX92" s="2903"/>
      <c r="BY92" s="2903"/>
      <c r="BZ92" s="2903"/>
      <c r="CA92" s="2903"/>
      <c r="CB92" s="2903"/>
      <c r="CC92" s="2903"/>
      <c r="CD92" s="2903">
        <f>IF('C2'!CD3="",0,MAX(0,MIN('C2'!CD3,Class1_UEL)-Class1_PT))</f>
        <v>0</v>
      </c>
      <c r="CE92" s="2903">
        <f>IF('C2'!CE3="",0,MAX(0,MIN('C2'!CE3,Class1_UEL)-Class1_PT))</f>
        <v>41368</v>
      </c>
      <c r="CF92" s="2903">
        <f>IF('C2'!CF3="",0,MAX(0,MIN('C2'!CF3,Class1_UEL)-Class1_PT))</f>
        <v>24622</v>
      </c>
      <c r="CG92" s="2903"/>
      <c r="CH92" s="2903">
        <f>IF('C2'!CH3="",0,MAX(0,MIN('C2'!CH3,Class1_UEL)-Class1_PT))</f>
        <v>24622</v>
      </c>
      <c r="CI92" s="2903"/>
      <c r="CJ92" s="2903"/>
      <c r="CK92" s="2903"/>
      <c r="CL92" s="2903"/>
      <c r="CM92" s="2903"/>
      <c r="CN92" s="2903">
        <f>IF('C2'!CN3="",0,MAX(0,MIN('C2'!CN3,Class1_UEL)-Class1_PT))</f>
        <v>9868</v>
      </c>
      <c r="CO92" s="2903">
        <f>IF('C2'!CO3="",0,MAX(0,MIN('C2'!CO3,Class1_UEL)-Class1_PT))</f>
        <v>9868</v>
      </c>
      <c r="CP92" s="2903"/>
      <c r="CQ92" s="2903">
        <f>IF('C2'!CQ3="",0,MAX(0,MIN('C2'!CQ3,Class1_UEL)-Class1_PT))</f>
        <v>418</v>
      </c>
      <c r="CR92" s="2903"/>
      <c r="CS92" s="2903"/>
      <c r="CT92" s="2903">
        <f>IF('C2'!CT3="",0,MAX(0,MIN('C2'!CT3,Class1_UEL)-Class1_PT))</f>
        <v>0</v>
      </c>
      <c r="CU92" s="2903"/>
      <c r="CV92" s="2903">
        <f>IF('C2'!CV3="",0,MAX(0,MIN('C2'!CV3,Class1_UEL)-Class1_PT))</f>
        <v>18883</v>
      </c>
      <c r="CW92" s="2903"/>
      <c r="CX92" s="2903"/>
      <c r="CY92" s="2903"/>
      <c r="CZ92" s="2903"/>
      <c r="DA92" s="2903"/>
      <c r="DB92" s="2903">
        <f>IF('C2'!DB3="",0,MAX(0,MIN('C2'!DB3,Class1_UEL)-Class1_PT))</f>
        <v>6702</v>
      </c>
      <c r="DC92" s="2903"/>
      <c r="DD92" s="2903">
        <f>IF('C2'!DD3="",0,MAX(0,MIN('C2'!DD3,Class1_UEL)-Class1_PT))</f>
        <v>0</v>
      </c>
      <c r="DE92" s="2903">
        <f>IF('C2'!DE3="",0,MAX(0,MIN('C2'!DE3,Class1_UEL)-Class1_PT))</f>
        <v>9868</v>
      </c>
      <c r="DF92" s="2903">
        <f>IF('C2'!DF3="",0,MAX(0,MIN('C2'!DF3,Class1_UEL)-Class1_PT))</f>
        <v>24622</v>
      </c>
      <c r="DG92" s="2903"/>
      <c r="DH92" s="2903"/>
      <c r="DI92" s="2903">
        <f>IF('C2'!DI3="",0,MAX(0,MIN('C2'!DI3,Class1_UEL)-Class1_PT))</f>
        <v>418</v>
      </c>
      <c r="DJ92" s="2903"/>
      <c r="DK92" s="2903">
        <f>IF('C2'!DK3="",0,MAX(0,MIN('C2'!DK3,Class1_UEL)-Class1_PT))</f>
        <v>18883</v>
      </c>
      <c r="DL92" s="2903">
        <f>IF('C2'!DL3="",0,MAX(0,MIN('C2'!DL3,Class1_UEL)-Class1_PT))</f>
        <v>41368</v>
      </c>
      <c r="DM92" s="2903"/>
      <c r="DN92" s="2903"/>
      <c r="DO92" s="2903"/>
      <c r="DP92" s="2903">
        <f>IF('C2'!DP3="",0,MAX(0,MIN('C2'!DP3,Class1_UEL)-Class1_PT))</f>
        <v>41368</v>
      </c>
      <c r="DQ92" s="2903"/>
      <c r="DR92" s="2903"/>
      <c r="DS92" s="2903"/>
      <c r="DT92" s="2903">
        <f>IF('C2'!DT3="",0,MAX(0,MIN('C2'!DT3,Class1_UEL)-Class1_PT))</f>
        <v>41368</v>
      </c>
      <c r="DU92" s="2903">
        <f>IF('C2'!DU3="",0,MAX(0,MIN('C2'!DU3,Class1_UEL)-Class1_PT))</f>
        <v>0</v>
      </c>
      <c r="DV92" s="2903">
        <f>IF('C2'!DV3="",0,MAX(0,MIN('C2'!DV3,Class1_UEL)-Class1_PT))</f>
        <v>18883</v>
      </c>
      <c r="DW92" s="2903"/>
      <c r="DX92" s="2903"/>
      <c r="DY92" s="2903"/>
      <c r="DZ92" s="2903"/>
      <c r="EA92" s="2903">
        <f>IF('C2'!EA3="",0,MAX(0,MIN('C2'!EA3,Class1_UEL)-Class1_PT))</f>
        <v>358</v>
      </c>
      <c r="EB92" s="2903"/>
      <c r="EC92" s="2903"/>
      <c r="ED92" s="2903">
        <f>IF('C2'!ED3="",0,MAX(0,MIN('C2'!ED3,Class1_UEL)-Class1_PT))</f>
        <v>24622</v>
      </c>
      <c r="EE92" s="2903">
        <f>IF('C2'!EE3="",0,MAX(0,MIN('C2'!EE3,Class1_UEL)-Class1_PT))</f>
        <v>24622</v>
      </c>
      <c r="EF92" s="2903"/>
      <c r="EG92" s="2903">
        <f>IF('C2'!EG3="",0,MAX(0,MIN('C2'!EG3,Class1_UEL)-Class1_PT))</f>
        <v>41368</v>
      </c>
      <c r="EH92" s="2903">
        <f>IF('C2'!EH3="",0,MAX(0,MIN('C2'!EH3,Class1_UEL)-Class1_PT))</f>
        <v>41368</v>
      </c>
      <c r="EI92" s="2903">
        <f>IF('C2'!EI3="",0,MAX(0,MIN('C2'!EI3,Class1_UEL)-Class1_PT))</f>
        <v>41368</v>
      </c>
      <c r="EJ92" s="2903">
        <f>IF('C2'!EJ3="",0,MAX(0,MIN('C2'!EJ3,Class1_UEL)-Class1_PT))</f>
        <v>0</v>
      </c>
      <c r="EK92" s="2903">
        <f>IF('C2'!EK3="",0,MAX(0,MIN('C2'!EK3,Class1_UEL)-Class1_PT))</f>
        <v>0</v>
      </c>
      <c r="EL92" s="2903">
        <f>IF('C2'!EL3="",0,MAX(0,MIN('C2'!EL3,Class1_UEL)-Class1_PT))</f>
        <v>41368</v>
      </c>
      <c r="EM92" s="2903"/>
      <c r="EN92" s="2903"/>
      <c r="EO92" s="2903">
        <f>IF('C2'!EO3="",0,MAX(0,MIN('C2'!EO3,Class1_UEL)-Class1_PT))</f>
        <v>41368</v>
      </c>
      <c r="EP92" s="2903">
        <f>IF('C2'!EP3="",0,MAX(0,MIN('C2'!EP3,Class1_UEL)-Class1_PT))</f>
        <v>41368</v>
      </c>
      <c r="EQ92" s="2903"/>
      <c r="ER92" s="2903"/>
      <c r="ES92" s="2903"/>
      <c r="ET92" s="2903"/>
      <c r="EU92" s="2903"/>
      <c r="EV92" s="2903"/>
      <c r="EW92" s="2903"/>
      <c r="EX92" s="2903"/>
      <c r="EY92" s="2903"/>
      <c r="EZ92" s="2903">
        <f>IF('C2'!EZ3="",0,MAX(0,MIN('C2'!EZ3,Class1_UEL)-Class1_PT))</f>
        <v>9868</v>
      </c>
      <c r="FA92" s="2903"/>
      <c r="FB92" s="2903">
        <f>IF('C2'!FB3="",0,MAX(0,MIN('C2'!FB3,Class1_UEL)-Class1_PT))</f>
        <v>0</v>
      </c>
      <c r="FC92" s="2903">
        <f>IF('C2'!FC3="",0,MAX(0,MIN('C2'!FC3,Class1_UEL)-Class1_PT))</f>
        <v>41368</v>
      </c>
      <c r="FD92" s="2903">
        <f>IF('C2'!FD3="",0,MAX(0,MIN('C2'!FD3,Class1_UEL)-Class1_PT))</f>
        <v>41368</v>
      </c>
      <c r="FE92" s="2903"/>
      <c r="FF92" s="2903"/>
      <c r="FG92" s="2903"/>
      <c r="FH92" s="2903"/>
      <c r="FI92" s="2903"/>
      <c r="FJ92" s="2903"/>
      <c r="FK92" s="2903"/>
      <c r="FL92" s="2903"/>
      <c r="FM92" s="2903">
        <f>IF('C2'!FM3="",0,MAX(0,MIN('C2'!FM3,Class1_UEL)-Class1_PT))</f>
        <v>0</v>
      </c>
      <c r="FN92" s="2903">
        <f>IF('C2'!FN3="",0,MAX(0,MIN('C2'!FN3,Class1_UEL)-Class1_PT))</f>
        <v>41368</v>
      </c>
      <c r="FO92" s="2903">
        <f>IF('C2'!FO3="",0,MAX(0,MIN('C2'!FO3,Class1_UEL)-Class1_PT))</f>
        <v>41368</v>
      </c>
      <c r="FP92" s="2903">
        <f>IF('C2'!FP3="",0,MAX(0,MIN('C2'!FP3,Class1_UEL)-Class1_PT))</f>
        <v>30420</v>
      </c>
      <c r="FQ92" s="2903">
        <f>IF('C2'!FQ3="",0,MAX(0,MIN('C2'!FQ3,Class1_UEL)-Class1_PT))</f>
        <v>24622</v>
      </c>
      <c r="FR92" s="2903"/>
      <c r="FS92" s="2903"/>
      <c r="FT92" s="2903"/>
      <c r="FU92" s="2903"/>
      <c r="FV92" s="2903"/>
      <c r="FW92" s="2903">
        <f>IF('C2'!FW3="",0,MAX(0,MIN('C2'!FW3,Class1_UEL)-Class1_PT))</f>
        <v>9868</v>
      </c>
      <c r="FX92" s="2903"/>
      <c r="FY92" s="2903"/>
      <c r="FZ92" s="2903"/>
      <c r="GA92" s="2903"/>
      <c r="GB92" s="2903"/>
      <c r="GC92" s="2903">
        <f>IF('C2'!GC3="",0,MAX(0,MIN('C2'!GC3,Class1_UEL)-Class1_PT))</f>
        <v>24622</v>
      </c>
      <c r="GD92" s="2903">
        <f>IF('C2'!GD3="",0,MAX(0,MIN('C2'!GD3,Class1_UEL)-Class1_PT))</f>
        <v>9868</v>
      </c>
      <c r="GE92" s="2903"/>
      <c r="GF92" s="2903">
        <f>IF('C2'!GF3="",0,MAX(0,MIN('C2'!GF3,Class1_UEL)-Class1_PT))</f>
        <v>41368</v>
      </c>
      <c r="GG92" s="2903"/>
      <c r="GH92" s="2903"/>
      <c r="GI92" s="2903"/>
      <c r="GJ92" s="2903"/>
      <c r="GK92" s="2903">
        <f>IF('C2'!GK3="",0,MAX(0,MIN('C2'!GK3,Class1_UEL)-Class1_PT))</f>
        <v>9868</v>
      </c>
      <c r="GL92" s="2903"/>
      <c r="GM92" s="2903"/>
      <c r="GN92" s="2903"/>
      <c r="GO92" s="2903">
        <f>IF('C2'!GO3="",0,MAX(0,MIN('C2'!GO3,Class1_UEL)-Class1_PT))</f>
        <v>24622</v>
      </c>
      <c r="GP92" s="2903">
        <f>IF('C2'!GP3="",0,MAX(0,MIN('C2'!GP3,Class1_UEL)-Class1_PT))</f>
        <v>29318</v>
      </c>
      <c r="GQ92" s="2903">
        <f>IF('C2'!GQ3="",0,MAX(0,MIN('C2'!GQ3,Class1_UEL)-Class1_PT))</f>
        <v>9868</v>
      </c>
      <c r="GR92" s="2903">
        <f>IF('C2'!GR3="",0,MAX(0,MIN('C2'!GR3,Class1_UEL)-Class1_PT))</f>
        <v>29318</v>
      </c>
      <c r="GS92" s="2903">
        <f>IF('C2'!GS3="",0,MAX(0,MIN('C2'!GS3,Class1_UEL)-Class1_PT))</f>
        <v>41368</v>
      </c>
      <c r="GT92" s="2903"/>
      <c r="GU92" s="2903"/>
      <c r="GV92" s="2903">
        <f>IF('C2'!GV3="",0,MAX(0,MIN('C2'!GV3,Class1_UEL)-Class1_PT))</f>
        <v>0</v>
      </c>
      <c r="GW92" s="2903">
        <f>IF('C2'!GW3="",0,MAX(0,MIN('C2'!GW3,Class1_UEL)-Class1_PT))</f>
        <v>24622</v>
      </c>
      <c r="GX92" s="2903">
        <f>IF('C2'!GX3="",0,MAX(0,MIN('C2'!GX3,Class1_UEL)-Class1_PT))</f>
        <v>41368</v>
      </c>
      <c r="GY92" s="2903"/>
      <c r="GZ92" s="2903">
        <f>IF('C2'!GZ3="",0,MAX(0,MIN('C2'!GZ3,Class1_UEL)-Class1_PT))</f>
        <v>41368</v>
      </c>
      <c r="HA92" s="2903">
        <f>IF('C2'!HA3="",0,MAX(0,MIN('C2'!HA3,Class1_UEL)-Class1_PT))</f>
        <v>41368</v>
      </c>
      <c r="HB92" s="2903">
        <f>IF('C2'!HB3="",0,MAX(0,MIN('C2'!HB3,Class1_UEL)-Class1_PT))</f>
        <v>41368</v>
      </c>
      <c r="HC92" s="2903"/>
      <c r="HD92" s="2903"/>
      <c r="HE92" s="2903"/>
      <c r="HF92" s="2903">
        <f>IF('C2'!HF3="",0,MAX(0,MIN('C2'!HF3,Class1_UEL)-Class1_PT))</f>
        <v>41368</v>
      </c>
      <c r="HG92" s="2903">
        <f>IF('C2'!HG3="",0,MAX(0,MIN('C2'!HG3,Class1_UEL)-Class1_PT))</f>
        <v>41368</v>
      </c>
      <c r="HH92" s="2903"/>
      <c r="HI92" s="2903">
        <f>IF('C2'!HI3="",0,MAX(0,MIN('C2'!HI3,Class1_UEL)-Class1_PT))</f>
        <v>24622</v>
      </c>
      <c r="HJ92" s="2903"/>
      <c r="HK92" s="2903"/>
      <c r="HL92" s="2903"/>
      <c r="HM92" s="2903"/>
      <c r="HN92" s="2903"/>
      <c r="HO92" s="2903">
        <f>IF('C2'!HO3="",0,MAX(0,MIN('C2'!HO3,Class1_UEL)-Class1_PT))</f>
        <v>418</v>
      </c>
      <c r="HP92" s="2903"/>
      <c r="HQ92" s="2903"/>
      <c r="HR92" s="2903"/>
      <c r="HS92" s="2903"/>
      <c r="HT92" s="2903"/>
      <c r="HU92" s="2903"/>
      <c r="HV92" s="2903"/>
      <c r="HW92" s="2903"/>
      <c r="HX92" s="2903"/>
      <c r="HY92" s="2903">
        <f>IF('C2'!HY3="",0,MAX(0,MIN('C2'!HY3,Class1_UEL)-Class1_PT))</f>
        <v>41368</v>
      </c>
      <c r="HZ92" s="2903"/>
      <c r="IA92" s="2903"/>
      <c r="IB92" s="2903"/>
      <c r="IC92" s="2903"/>
      <c r="ID92" s="2903"/>
      <c r="IE92" s="2903">
        <f>IF('C2'!IE3="",0,MAX(0,MIN('C2'!IE3,Class1_UEL)-Class1_PT))</f>
        <v>2868</v>
      </c>
      <c r="IF92" s="2903">
        <f>IF('C2'!IF3="",0,MAX(0,MIN('C2'!IF3,Class1_UEL)-Class1_PT))</f>
        <v>4868</v>
      </c>
      <c r="IG92" s="2903">
        <f>IF('C2'!IG3="",0,MAX(0,MIN('C2'!IG3,Class1_UEL)-Class1_PT))</f>
        <v>2868</v>
      </c>
      <c r="IH92" s="2903">
        <f>IF('C2'!IH3="",0,MAX(0,MIN('C2'!IH3,Class1_UEL)-Class1_PT))</f>
        <v>0</v>
      </c>
      <c r="II92" s="2903">
        <f>IF('C2'!II3="",0,MAX(0,MIN('C2'!II3,Class1_UEL)-Class1_PT))</f>
        <v>6368</v>
      </c>
      <c r="IJ92" s="2903"/>
      <c r="IK92" s="2903">
        <f>IF('C2'!IK3="",0,MAX(0,MIN('C2'!IK3,Class1_UEL)-Class1_PT))</f>
        <v>5368</v>
      </c>
      <c r="IL92" s="2903"/>
      <c r="IM92" s="2903"/>
      <c r="IN92" s="2903"/>
      <c r="IO92" s="2903">
        <f>IF('C2'!IO3="",0,MAX(0,MIN('C2'!IO3,Class1_UEL)-Class1_PT))</f>
        <v>0</v>
      </c>
      <c r="IP92" s="2903"/>
      <c r="IQ92" s="2903"/>
      <c r="IR92" s="2903"/>
      <c r="IS92" s="2903">
        <f>IF('C2'!IS3="",0,MAX(0,MIN('C2'!IS3,Class1_UEL)-Class1_PT))</f>
        <v>41368</v>
      </c>
      <c r="IT92" s="2903"/>
      <c r="IU92" s="2903"/>
      <c r="IV92" s="2903"/>
      <c r="IW92" s="2903"/>
      <c r="IX92" s="2903"/>
      <c r="IY92" s="2903"/>
      <c r="IZ92" s="2903">
        <f>IF('C2'!IZ3="",0,MAX(0,MIN('C2'!IZ3,Class1_UEL)-Class1_PT))</f>
        <v>41368</v>
      </c>
      <c r="JA92" s="2903"/>
      <c r="JB92" s="2903"/>
      <c r="JC92" s="2903"/>
      <c r="JD92" s="2903"/>
      <c r="JE92" s="2903"/>
      <c r="JF92" s="2903"/>
      <c r="JG92" s="2903"/>
      <c r="JH92" s="1367"/>
    </row>
    <row r="93" spans="1:270" x14ac:dyDescent="0.2">
      <c r="A93" s="1996">
        <v>3</v>
      </c>
      <c r="B93" s="2897">
        <f>IF(NI1_IND&gt;1,IF(HLOOKUP(NI1_IND-1,NI1_RANGE,A93)="","",HLOOKUP(NI1_IND-1,NI1_RANGE,A93)),"")</f>
        <v>0</v>
      </c>
      <c r="C93" s="2899" t="s">
        <v>7278</v>
      </c>
      <c r="D93" s="2900"/>
      <c r="E93" s="2903">
        <f>IF('C2'!E27="",0,MAX(0,MIN('C2'!E27,Class1_UEL)-Class1_PT))</f>
        <v>0</v>
      </c>
      <c r="F93" s="2903">
        <f>IF('C2'!F27="",0,MAX(0,MIN('C2'!F27,Class1_UEL)-Class1_PT))</f>
        <v>0</v>
      </c>
      <c r="G93" s="2903">
        <f>IF('C2'!G27="",0,MAX(0,MIN('C2'!G27,Class1_UEL)-Class1_PT))</f>
        <v>0</v>
      </c>
      <c r="H93" s="2903">
        <f>IF('C2'!H27="",0,MAX(0,MIN('C2'!H27,Class1_UEL)-Class1_PT))</f>
        <v>0</v>
      </c>
      <c r="I93" s="2903"/>
      <c r="J93" s="2903"/>
      <c r="K93" s="2903">
        <f>IF('C2'!K27="",0,MAX(0,MIN('C2'!K27,Class1_UEL)-Class1_PT))</f>
        <v>0</v>
      </c>
      <c r="L93" s="2903"/>
      <c r="M93" s="2903"/>
      <c r="N93" s="2903"/>
      <c r="O93" s="2903">
        <f>IF('C2'!O27="",0,MAX(0,MIN('C2'!O27,Class1_UEL)-Class1_PT))</f>
        <v>0</v>
      </c>
      <c r="P93" s="2903"/>
      <c r="Q93" s="2903">
        <f>IF('C2'!Q27="",0,MAX(0,MIN('C2'!Q27,Class1_UEL)-Class1_PT))</f>
        <v>0</v>
      </c>
      <c r="R93" s="2903">
        <f>IF('C2'!R27="",0,MAX(0,MIN('C2'!R27,Class1_UEL)-Class1_PT))</f>
        <v>0</v>
      </c>
      <c r="S93" s="2903"/>
      <c r="T93" s="2903"/>
      <c r="U93" s="2903">
        <f>IF('C2'!U27="",0,MAX(0,MIN('C2'!U27,Class1_UEL)-Class1_PT))</f>
        <v>0</v>
      </c>
      <c r="V93" s="2903">
        <f>IF('C2'!V27="",0,MAX(0,MIN('C2'!V27,Class1_UEL)-Class1_PT))</f>
        <v>0</v>
      </c>
      <c r="W93" s="2903">
        <f>IF('C2'!W27="",0,MAX(0,MIN('C2'!W27,Class1_UEL)-Class1_PT))</f>
        <v>0</v>
      </c>
      <c r="X93" s="2903">
        <f>IF('C2'!X27="",0,MAX(0,MIN('C2'!X27,Class1_UEL)-Class1_PT))</f>
        <v>0</v>
      </c>
      <c r="Y93" s="2903">
        <f>IF('C2'!Y27="",0,MAX(0,MIN('C2'!Y27,Class1_UEL)-Class1_PT))</f>
        <v>0</v>
      </c>
      <c r="Z93" s="2903"/>
      <c r="AA93" s="2903">
        <f>IF('C2'!AA27="",0,MAX(0,MIN('C2'!AA27,Class1_UEL)-Class1_PT))</f>
        <v>0</v>
      </c>
      <c r="AB93" s="2903"/>
      <c r="AC93" s="2903">
        <f>IF('C2'!AC27="",0,MAX(0,MIN('C2'!AC27,Class1_UEL)-Class1_PT))</f>
        <v>0</v>
      </c>
      <c r="AD93" s="2903">
        <f>IF('C2'!AD27="",0,MAX(0,MIN('C2'!AD27,Class1_UEL)-Class1_PT))</f>
        <v>0</v>
      </c>
      <c r="AE93" s="2903">
        <f>IF('C2'!AE27="",0,MAX(0,MIN('C2'!AE27,Class1_UEL)-Class1_PT))</f>
        <v>0</v>
      </c>
      <c r="AF93" s="2903"/>
      <c r="AG93" s="2903">
        <f>IF('C2'!AG27="",0,MAX(0,MIN('C2'!AG27,Class1_UEL)-Class1_PT))</f>
        <v>0</v>
      </c>
      <c r="AH93" s="2903">
        <f>IF('C2'!AH27="",0,MAX(0,MIN('C2'!AH27,Class1_UEL)-Class1_PT))</f>
        <v>0</v>
      </c>
      <c r="AI93" s="2903">
        <f>IF('C2'!AI27="",0,MAX(0,MIN('C2'!AI27,Class1_UEL)-Class1_PT))</f>
        <v>0</v>
      </c>
      <c r="AJ93" s="2903">
        <f>IF('C2'!AJ27="",0,MAX(0,MIN('C2'!AJ27,Class1_UEL)-Class1_PT))</f>
        <v>0</v>
      </c>
      <c r="AK93" s="2903">
        <f>IF('C2'!AK27="",0,MAX(0,MIN('C2'!AK27,Class1_UEL)-Class1_PT))</f>
        <v>0</v>
      </c>
      <c r="AL93" s="2903"/>
      <c r="AM93" s="2903"/>
      <c r="AN93" s="2903"/>
      <c r="AO93" s="2903"/>
      <c r="AP93" s="2903">
        <f>IF('C2'!AP27="",0,MAX(0,MIN('C2'!AP27,Class1_UEL)-Class1_PT))</f>
        <v>0</v>
      </c>
      <c r="AQ93" s="2903">
        <f>IF('C2'!AQ27="",0,MAX(0,MIN('C2'!AQ27,Class1_UEL)-Class1_PT))</f>
        <v>0</v>
      </c>
      <c r="AR93" s="2903"/>
      <c r="AS93" s="2903">
        <f>IF('C2'!AS27="",0,MAX(0,MIN('C2'!AS27,Class1_UEL)-Class1_PT))</f>
        <v>41368</v>
      </c>
      <c r="AT93" s="2903">
        <f>IF('C2'!AT27="",0,MAX(0,MIN('C2'!AT27,Class1_UEL)-Class1_PT))</f>
        <v>0</v>
      </c>
      <c r="AU93" s="2903">
        <f>IF('C2'!AU27="",0,MAX(0,MIN('C2'!AU27,Class1_UEL)-Class1_PT))</f>
        <v>0</v>
      </c>
      <c r="AV93" s="2903"/>
      <c r="AW93" s="2903"/>
      <c r="AX93" s="2903"/>
      <c r="AY93" s="2903"/>
      <c r="AZ93" s="2903"/>
      <c r="BA93" s="2903">
        <f>IF('C2'!BA27="",0,MAX(0,MIN('C2'!BA27,Class1_UEL)-Class1_PT))</f>
        <v>41368</v>
      </c>
      <c r="BB93" s="2903">
        <f>IF('C2'!BB27="",0,MAX(0,MIN('C2'!BB27,Class1_UEL)-Class1_PT))</f>
        <v>418</v>
      </c>
      <c r="BC93" s="2903"/>
      <c r="BD93" s="2903">
        <f>IF('C2'!BD27="",0,MAX(0,MIN('C2'!BD27,Class1_UEL)-Class1_PT))</f>
        <v>41368</v>
      </c>
      <c r="BE93" s="2903">
        <f>IF('C2'!BE27="",0,MAX(0,MIN('C2'!BE27,Class1_UEL)-Class1_PT))</f>
        <v>0</v>
      </c>
      <c r="BF93" s="2903">
        <f>IF('C2'!BF27="",0,MAX(0,MIN('C2'!BF27,Class1_UEL)-Class1_PT))</f>
        <v>9872</v>
      </c>
      <c r="BG93" s="2903">
        <f>IF('C2'!BG27="",0,MAX(0,MIN('C2'!BG27,Class1_UEL)-Class1_PT))</f>
        <v>0</v>
      </c>
      <c r="BH93" s="2903">
        <f>IF('C2'!BH27="",0,MAX(0,MIN('C2'!BH27,Class1_UEL)-Class1_PT))</f>
        <v>0</v>
      </c>
      <c r="BI93" s="2903">
        <f>IF('C2'!BI27="",0,MAX(0,MIN('C2'!BI27,Class1_UEL)-Class1_PT))</f>
        <v>0</v>
      </c>
      <c r="BJ93" s="2903"/>
      <c r="BK93" s="2903"/>
      <c r="BL93" s="2903"/>
      <c r="BM93" s="2903">
        <f>IF('C2'!BM27="",0,MAX(0,MIN('C2'!BM27,Class1_UEL)-Class1_PT))</f>
        <v>0</v>
      </c>
      <c r="BN93" s="2903"/>
      <c r="BO93" s="2903">
        <f>IF('C2'!BO27="",0,MAX(0,MIN('C2'!BO27,Class1_UEL)-Class1_PT))</f>
        <v>0</v>
      </c>
      <c r="BP93" s="2903"/>
      <c r="BQ93" s="2903"/>
      <c r="BR93" s="2903"/>
      <c r="BS93" s="2903">
        <f>IF('C2'!BS27="",0,MAX(0,MIN('C2'!BS27,Class1_UEL)-Class1_PT))</f>
        <v>0</v>
      </c>
      <c r="BT93" s="2903"/>
      <c r="BU93" s="2903"/>
      <c r="BV93" s="2903"/>
      <c r="BW93" s="2903"/>
      <c r="BX93" s="2903"/>
      <c r="BY93" s="2903"/>
      <c r="BZ93" s="2903"/>
      <c r="CA93" s="2903"/>
      <c r="CB93" s="2903"/>
      <c r="CC93" s="2903"/>
      <c r="CD93" s="2903">
        <f>IF('C2'!CD27="",0,MAX(0,MIN('C2'!CD27,Class1_UEL)-Class1_PT))</f>
        <v>0</v>
      </c>
      <c r="CE93" s="2903">
        <f>IF('C2'!CE27="",0,MAX(0,MIN('C2'!CE27,Class1_UEL)-Class1_PT))</f>
        <v>9868</v>
      </c>
      <c r="CF93" s="2903">
        <f>IF('C2'!CF27="",0,MAX(0,MIN('C2'!CF27,Class1_UEL)-Class1_PT))</f>
        <v>0</v>
      </c>
      <c r="CG93" s="2903"/>
      <c r="CH93" s="2903">
        <f>IF('C2'!CH27="",0,MAX(0,MIN('C2'!CH27,Class1_UEL)-Class1_PT))</f>
        <v>0</v>
      </c>
      <c r="CI93" s="2903"/>
      <c r="CJ93" s="2903"/>
      <c r="CK93" s="2903"/>
      <c r="CL93" s="2903"/>
      <c r="CM93" s="2903"/>
      <c r="CN93" s="2903">
        <f>IF('C2'!CN27="",0,MAX(0,MIN('C2'!CN27,Class1_UEL)-Class1_PT))</f>
        <v>0</v>
      </c>
      <c r="CO93" s="2903">
        <f>IF('C2'!CO27="",0,MAX(0,MIN('C2'!CO27,Class1_UEL)-Class1_PT))</f>
        <v>0</v>
      </c>
      <c r="CP93" s="2903"/>
      <c r="CQ93" s="2903">
        <f>IF('C2'!CQ27="",0,MAX(0,MIN('C2'!CQ27,Class1_UEL)-Class1_PT))</f>
        <v>0</v>
      </c>
      <c r="CR93" s="2903"/>
      <c r="CS93" s="2903"/>
      <c r="CT93" s="2903">
        <f>IF('C2'!CT27="",0,MAX(0,MIN('C2'!CT27,Class1_UEL)-Class1_PT))</f>
        <v>0</v>
      </c>
      <c r="CU93" s="2903"/>
      <c r="CV93" s="2903">
        <f>IF('C2'!CV27="",0,MAX(0,MIN('C2'!CV27,Class1_UEL)-Class1_PT))</f>
        <v>0</v>
      </c>
      <c r="CW93" s="2903"/>
      <c r="CX93" s="2903"/>
      <c r="CY93" s="2903"/>
      <c r="CZ93" s="2903"/>
      <c r="DA93" s="2903"/>
      <c r="DB93" s="2903">
        <f>IF('C2'!DB27="",0,MAX(0,MIN('C2'!DB27,Class1_UEL)-Class1_PT))</f>
        <v>41368</v>
      </c>
      <c r="DC93" s="2903"/>
      <c r="DD93" s="2903">
        <f>IF('C2'!DD27="",0,MAX(0,MIN('C2'!DD27,Class1_UEL)-Class1_PT))</f>
        <v>0</v>
      </c>
      <c r="DE93" s="2903">
        <f>IF('C2'!DE27="",0,MAX(0,MIN('C2'!DE27,Class1_UEL)-Class1_PT))</f>
        <v>0</v>
      </c>
      <c r="DF93" s="2903">
        <f>IF('C2'!DF27="",0,MAX(0,MIN('C2'!DF27,Class1_UEL)-Class1_PT))</f>
        <v>0</v>
      </c>
      <c r="DG93" s="2903"/>
      <c r="DH93" s="2903"/>
      <c r="DI93" s="2903">
        <f>IF('C2'!DI27="",0,MAX(0,MIN('C2'!DI27,Class1_UEL)-Class1_PT))</f>
        <v>0</v>
      </c>
      <c r="DJ93" s="2903"/>
      <c r="DK93" s="2903">
        <f>IF('C2'!DK27="",0,MAX(0,MIN('C2'!DK27,Class1_UEL)-Class1_PT))</f>
        <v>0</v>
      </c>
      <c r="DL93" s="2903">
        <f>IF('C2'!DL27="",0,MAX(0,MIN('C2'!DL27,Class1_UEL)-Class1_PT))</f>
        <v>9868</v>
      </c>
      <c r="DM93" s="2903"/>
      <c r="DN93" s="2903"/>
      <c r="DO93" s="2903"/>
      <c r="DP93" s="2903">
        <f>IF('C2'!DP27="",0,MAX(0,MIN('C2'!DP27,Class1_UEL)-Class1_PT))</f>
        <v>0</v>
      </c>
      <c r="DQ93" s="2903"/>
      <c r="DR93" s="2903"/>
      <c r="DS93" s="2903"/>
      <c r="DT93" s="2903">
        <f>IF('C2'!DT27="",0,MAX(0,MIN('C2'!DT27,Class1_UEL)-Class1_PT))</f>
        <v>0</v>
      </c>
      <c r="DU93" s="2903">
        <f>IF('C2'!DU27="",0,MAX(0,MIN('C2'!DU27,Class1_UEL)-Class1_PT))</f>
        <v>0</v>
      </c>
      <c r="DV93" s="2903">
        <f>IF('C2'!DV27="",0,MAX(0,MIN('C2'!DV27,Class1_UEL)-Class1_PT))</f>
        <v>0</v>
      </c>
      <c r="DW93" s="2903"/>
      <c r="DX93" s="2903"/>
      <c r="DY93" s="2903"/>
      <c r="DZ93" s="2903"/>
      <c r="EA93" s="2903">
        <f>IF('C2'!EA27="",0,MAX(0,MIN('C2'!EA27,Class1_UEL)-Class1_PT))</f>
        <v>0</v>
      </c>
      <c r="EB93" s="2903"/>
      <c r="EC93" s="2903"/>
      <c r="ED93" s="2903">
        <f>IF('C2'!ED27="",0,MAX(0,MIN('C2'!ED27,Class1_UEL)-Class1_PT))</f>
        <v>0</v>
      </c>
      <c r="EE93" s="2903">
        <f>IF('C2'!EE27="",0,MAX(0,MIN('C2'!EE27,Class1_UEL)-Class1_PT))</f>
        <v>41368</v>
      </c>
      <c r="EF93" s="2903"/>
      <c r="EG93" s="2903">
        <f>IF('C2'!EG27="",0,MAX(0,MIN('C2'!EG27,Class1_UEL)-Class1_PT))</f>
        <v>0</v>
      </c>
      <c r="EH93" s="2903">
        <f>IF('C2'!EH27="",0,MAX(0,MIN('C2'!EH27,Class1_UEL)-Class1_PT))</f>
        <v>0</v>
      </c>
      <c r="EI93" s="2903">
        <f>IF('C2'!EI27="",0,MAX(0,MIN('C2'!EI27,Class1_UEL)-Class1_PT))</f>
        <v>0</v>
      </c>
      <c r="EJ93" s="2903">
        <f>IF('C2'!EJ27="",0,MAX(0,MIN('C2'!EJ27,Class1_UEL)-Class1_PT))</f>
        <v>0</v>
      </c>
      <c r="EK93" s="2903">
        <f>IF('C2'!EK27="",0,MAX(0,MIN('C2'!EK27,Class1_UEL)-Class1_PT))</f>
        <v>0</v>
      </c>
      <c r="EL93" s="2903">
        <f>IF('C2'!EL27="",0,MAX(0,MIN('C2'!EL27,Class1_UEL)-Class1_PT))</f>
        <v>0</v>
      </c>
      <c r="EM93" s="2903"/>
      <c r="EN93" s="2903"/>
      <c r="EO93" s="2903">
        <f>IF('C2'!EO27="",0,MAX(0,MIN('C2'!EO27,Class1_UEL)-Class1_PT))</f>
        <v>0</v>
      </c>
      <c r="EP93" s="2903">
        <f>IF('C2'!EP27="",0,MAX(0,MIN('C2'!EP27,Class1_UEL)-Class1_PT))</f>
        <v>0</v>
      </c>
      <c r="EQ93" s="2903"/>
      <c r="ER93" s="2903"/>
      <c r="ES93" s="2903"/>
      <c r="ET93" s="2903"/>
      <c r="EU93" s="2903"/>
      <c r="EV93" s="2903"/>
      <c r="EW93" s="2903"/>
      <c r="EX93" s="2903"/>
      <c r="EY93" s="2903"/>
      <c r="EZ93" s="2903">
        <f>IF('C2'!EZ27="",0,MAX(0,MIN('C2'!EZ27,Class1_UEL)-Class1_PT))</f>
        <v>0</v>
      </c>
      <c r="FA93" s="2903"/>
      <c r="FB93" s="2903">
        <f>IF('C2'!FB27="",0,MAX(0,MIN('C2'!FB27,Class1_UEL)-Class1_PT))</f>
        <v>0</v>
      </c>
      <c r="FC93" s="2903">
        <f>IF('C2'!FC27="",0,MAX(0,MIN('C2'!FC27,Class1_UEL)-Class1_PT))</f>
        <v>0</v>
      </c>
      <c r="FD93" s="2903">
        <f>IF('C2'!FD27="",0,MAX(0,MIN('C2'!FD27,Class1_UEL)-Class1_PT))</f>
        <v>0</v>
      </c>
      <c r="FE93" s="2903"/>
      <c r="FF93" s="2903"/>
      <c r="FG93" s="2903"/>
      <c r="FH93" s="2903"/>
      <c r="FI93" s="2903"/>
      <c r="FJ93" s="2903"/>
      <c r="FK93" s="2903"/>
      <c r="FL93" s="2903"/>
      <c r="FM93" s="2903">
        <f>IF('C2'!FM27="",0,MAX(0,MIN('C2'!FM27,Class1_UEL)-Class1_PT))</f>
        <v>0</v>
      </c>
      <c r="FN93" s="2903">
        <f>IF('C2'!FN27="",0,MAX(0,MIN('C2'!FN27,Class1_UEL)-Class1_PT))</f>
        <v>0</v>
      </c>
      <c r="FO93" s="2903">
        <f>IF('C2'!FO27="",0,MAX(0,MIN('C2'!FO27,Class1_UEL)-Class1_PT))</f>
        <v>0</v>
      </c>
      <c r="FP93" s="2903">
        <f>IF('C2'!FP27="",0,MAX(0,MIN('C2'!FP27,Class1_UEL)-Class1_PT))</f>
        <v>0</v>
      </c>
      <c r="FQ93" s="2903">
        <f>IF('C2'!FQ27="",0,MAX(0,MIN('C2'!FQ27,Class1_UEL)-Class1_PT))</f>
        <v>0</v>
      </c>
      <c r="FR93" s="2903"/>
      <c r="FS93" s="2903"/>
      <c r="FT93" s="2903"/>
      <c r="FU93" s="2903"/>
      <c r="FV93" s="2903"/>
      <c r="FW93" s="2903">
        <f>IF('C2'!FW27="",0,MAX(0,MIN('C2'!FW27,Class1_UEL)-Class1_PT))</f>
        <v>0</v>
      </c>
      <c r="FX93" s="2903"/>
      <c r="FY93" s="2903"/>
      <c r="FZ93" s="2903"/>
      <c r="GA93" s="2903"/>
      <c r="GB93" s="2903"/>
      <c r="GC93" s="2903">
        <f>IF('C2'!GC27="",0,MAX(0,MIN('C2'!GC27,Class1_UEL)-Class1_PT))</f>
        <v>18883</v>
      </c>
      <c r="GD93" s="2903">
        <f>IF('C2'!GD27="",0,MAX(0,MIN('C2'!GD27,Class1_UEL)-Class1_PT))</f>
        <v>0</v>
      </c>
      <c r="GE93" s="2903"/>
      <c r="GF93" s="2903">
        <f>IF('C2'!GF27="",0,MAX(0,MIN('C2'!GF27,Class1_UEL)-Class1_PT))</f>
        <v>0</v>
      </c>
      <c r="GG93" s="2903"/>
      <c r="GH93" s="2903"/>
      <c r="GI93" s="2903"/>
      <c r="GJ93" s="2903"/>
      <c r="GK93" s="2903">
        <f>IF('C2'!GK27="",0,MAX(0,MIN('C2'!GK27,Class1_UEL)-Class1_PT))</f>
        <v>0</v>
      </c>
      <c r="GL93" s="2903"/>
      <c r="GM93" s="2903"/>
      <c r="GN93" s="2903"/>
      <c r="GO93" s="2903">
        <f>IF('C2'!GO27="",0,MAX(0,MIN('C2'!GO27,Class1_UEL)-Class1_PT))</f>
        <v>0</v>
      </c>
      <c r="GP93" s="2903">
        <f>IF('C2'!GP27="",0,MAX(0,MIN('C2'!GP27,Class1_UEL)-Class1_PT))</f>
        <v>0</v>
      </c>
      <c r="GQ93" s="2903">
        <f>IF('C2'!GQ27="",0,MAX(0,MIN('C2'!GQ27,Class1_UEL)-Class1_PT))</f>
        <v>0</v>
      </c>
      <c r="GR93" s="2903">
        <f>IF('C2'!GR27="",0,MAX(0,MIN('C2'!GR27,Class1_UEL)-Class1_PT))</f>
        <v>0</v>
      </c>
      <c r="GS93" s="2903">
        <f>IF('C2'!GS27="",0,MAX(0,MIN('C2'!GS27,Class1_UEL)-Class1_PT))</f>
        <v>0</v>
      </c>
      <c r="GT93" s="2903"/>
      <c r="GU93" s="2903"/>
      <c r="GV93" s="2903">
        <f>IF('C2'!GV27="",0,MAX(0,MIN('C2'!GV27,Class1_UEL)-Class1_PT))</f>
        <v>0</v>
      </c>
      <c r="GW93" s="2903">
        <f>IF('C2'!GW27="",0,MAX(0,MIN('C2'!GW27,Class1_UEL)-Class1_PT))</f>
        <v>0</v>
      </c>
      <c r="GX93" s="2903">
        <f>IF('C2'!GX27="",0,MAX(0,MIN('C2'!GX27,Class1_UEL)-Class1_PT))</f>
        <v>41368</v>
      </c>
      <c r="GY93" s="2903"/>
      <c r="GZ93" s="2903">
        <f>IF('C2'!GZ27="",0,MAX(0,MIN('C2'!GZ27,Class1_UEL)-Class1_PT))</f>
        <v>0</v>
      </c>
      <c r="HA93" s="2903">
        <f>IF('C2'!HA27="",0,MAX(0,MIN('C2'!HA27,Class1_UEL)-Class1_PT))</f>
        <v>0</v>
      </c>
      <c r="HB93" s="2903">
        <f>IF('C2'!HB27="",0,MAX(0,MIN('C2'!HB27,Class1_UEL)-Class1_PT))</f>
        <v>38368</v>
      </c>
      <c r="HC93" s="2903"/>
      <c r="HD93" s="2903"/>
      <c r="HE93" s="2903"/>
      <c r="HF93" s="2903">
        <f>IF('C2'!HF27="",0,MAX(0,MIN('C2'!HF27,Class1_UEL)-Class1_PT))</f>
        <v>0</v>
      </c>
      <c r="HG93" s="2903">
        <f>IF('C2'!HG27="",0,MAX(0,MIN('C2'!HG27,Class1_UEL)-Class1_PT))</f>
        <v>0</v>
      </c>
      <c r="HH93" s="2903"/>
      <c r="HI93" s="2903">
        <f>IF('C2'!HI27="",0,MAX(0,MIN('C2'!HI27,Class1_UEL)-Class1_PT))</f>
        <v>0</v>
      </c>
      <c r="HJ93" s="2903"/>
      <c r="HK93" s="2903"/>
      <c r="HL93" s="2903"/>
      <c r="HM93" s="2903"/>
      <c r="HN93" s="2903"/>
      <c r="HO93" s="2903">
        <f>IF('C2'!HO27="",0,MAX(0,MIN('C2'!HO27,Class1_UEL)-Class1_PT))</f>
        <v>0</v>
      </c>
      <c r="HP93" s="2903"/>
      <c r="HQ93" s="2903"/>
      <c r="HR93" s="2903"/>
      <c r="HS93" s="2903"/>
      <c r="HT93" s="2903"/>
      <c r="HU93" s="2903"/>
      <c r="HV93" s="2903"/>
      <c r="HW93" s="2903"/>
      <c r="HX93" s="2903"/>
      <c r="HY93" s="2903">
        <f>IF('C2'!HY27="",0,MAX(0,MIN('C2'!HY27,Class1_UEL)-Class1_PT))</f>
        <v>0</v>
      </c>
      <c r="HZ93" s="2903"/>
      <c r="IA93" s="2903"/>
      <c r="IB93" s="2903"/>
      <c r="IC93" s="2903"/>
      <c r="ID93" s="2903"/>
      <c r="IE93" s="2903">
        <f>IF('C2'!IE27="",0,MAX(0,MIN('C2'!IE27,Class1_UEL)-Class1_PT))</f>
        <v>0</v>
      </c>
      <c r="IF93" s="2903">
        <f>IF('C2'!IF27="",0,MAX(0,MIN('C2'!IF27,Class1_UEL)-Class1_PT))</f>
        <v>0</v>
      </c>
      <c r="IG93" s="2903">
        <f>IF('C2'!IG27="",0,MAX(0,MIN('C2'!IG27,Class1_UEL)-Class1_PT))</f>
        <v>0</v>
      </c>
      <c r="IH93" s="2903">
        <f>IF('C2'!IH27="",0,MAX(0,MIN('C2'!IH27,Class1_UEL)-Class1_PT))</f>
        <v>0</v>
      </c>
      <c r="II93" s="2903">
        <f>IF('C2'!II27="",0,MAX(0,MIN('C2'!II27,Class1_UEL)-Class1_PT))</f>
        <v>0</v>
      </c>
      <c r="IJ93" s="2903"/>
      <c r="IK93" s="2903">
        <f>IF('C2'!IK27="",0,MAX(0,MIN('C2'!IK27,Class1_UEL)-Class1_PT))</f>
        <v>0</v>
      </c>
      <c r="IL93" s="2903"/>
      <c r="IM93" s="2903"/>
      <c r="IN93" s="2903"/>
      <c r="IO93" s="2903">
        <f>IF('C2'!IO27="",0,MAX(0,MIN('C2'!IO27,Class1_UEL)-Class1_PT))</f>
        <v>0</v>
      </c>
      <c r="IP93" s="2903"/>
      <c r="IQ93" s="2903"/>
      <c r="IR93" s="2903"/>
      <c r="IS93" s="2903">
        <f>IF('C2'!IS27="",0,MAX(0,MIN('C2'!IS27,Class1_UEL)-Class1_PT))</f>
        <v>0</v>
      </c>
      <c r="IT93" s="2903"/>
      <c r="IU93" s="2903"/>
      <c r="IV93" s="2903"/>
      <c r="IW93" s="2903"/>
      <c r="IX93" s="2903"/>
      <c r="IY93" s="2903"/>
      <c r="IZ93" s="2903">
        <f>IF('C2'!IZ27="",0,MAX(0,MIN('C2'!IZ27,Class1_UEL)-Class1_PT))</f>
        <v>0</v>
      </c>
      <c r="JA93" s="2903"/>
      <c r="JB93" s="2903"/>
      <c r="JC93" s="2903"/>
      <c r="JD93" s="2903"/>
      <c r="JE93" s="2903"/>
      <c r="JF93" s="2903"/>
      <c r="JG93" s="2903"/>
      <c r="JH93" s="1367"/>
    </row>
    <row ht="12.75" r="94" spans="1:270" thickBot="1" x14ac:dyDescent="0.25">
      <c r="A94" s="1128">
        <v>4</v>
      </c>
      <c r="B94" s="2897">
        <f>IF(NI1_IND&gt;1,IF(HLOOKUP(NI1_IND-1,NI1_RANGE,A94)="","",HLOOKUP(NI1_IND-1,NI1_RANGE,A94)),"")</f>
        <v>24622</v>
      </c>
      <c r="C94" s="1830" t="s">
        <v>6514</v>
      </c>
      <c r="D94" s="2901"/>
      <c r="E94" s="2902">
        <f ref="E94:O94" si="4" t="shared">E92+E93</f>
        <v>41368</v>
      </c>
      <c r="F94" s="2902">
        <f si="4" t="shared"/>
        <v>24622</v>
      </c>
      <c r="G94" s="2902">
        <f>G92+G93</f>
        <v>24622</v>
      </c>
      <c r="H94" s="2902">
        <f si="4" t="shared"/>
        <v>31879</v>
      </c>
      <c r="I94" s="2902"/>
      <c r="J94" s="2902"/>
      <c r="K94" s="2902">
        <f si="4" t="shared"/>
        <v>24622</v>
      </c>
      <c r="L94" s="2902"/>
      <c r="M94" s="2902"/>
      <c r="N94" s="2902"/>
      <c r="O94" s="2902">
        <f si="4" t="shared"/>
        <v>24622</v>
      </c>
      <c r="P94" s="2902"/>
      <c r="Q94" s="2902"/>
      <c r="R94" s="2902"/>
      <c r="S94" s="2902"/>
      <c r="T94" s="2902"/>
      <c r="U94" s="2902"/>
      <c r="V94" s="2902"/>
      <c r="W94" s="2902"/>
      <c r="X94" s="2902"/>
      <c r="Y94" s="2902"/>
      <c r="Z94" s="2902"/>
      <c r="AA94" s="2902"/>
      <c r="AB94" s="2902"/>
      <c r="AC94" s="2902"/>
      <c r="AD94" s="2590"/>
      <c r="AE94" s="2590"/>
      <c r="AF94" s="2590"/>
      <c r="AG94" s="2590"/>
      <c r="AH94" s="2590"/>
      <c r="AI94" s="2902"/>
      <c r="AJ94" s="2902"/>
      <c r="AK94" s="2902"/>
      <c r="AL94" s="2902"/>
      <c r="AM94" s="2902"/>
      <c r="AN94" s="2902"/>
      <c r="AO94" s="2902"/>
      <c r="AP94" s="2902"/>
      <c r="AQ94" s="2902"/>
      <c r="AR94" s="2902"/>
      <c r="AS94" s="2902"/>
      <c r="AT94" s="2902"/>
      <c r="AU94" s="2902"/>
      <c r="AV94" s="2902"/>
      <c r="AW94" s="2902"/>
      <c r="AX94" s="2902"/>
      <c r="AY94" s="2902"/>
      <c r="AZ94" s="2902"/>
      <c r="BA94" s="2902"/>
      <c r="BB94" s="2902"/>
      <c r="BC94" s="2902"/>
      <c r="BD94" s="2902"/>
      <c r="BE94" s="2902"/>
      <c r="BF94" s="2902"/>
      <c r="BG94" s="2902"/>
      <c r="BH94" s="2902"/>
      <c r="BI94" s="2902"/>
      <c r="BJ94" s="2902"/>
      <c r="BK94" s="2902"/>
      <c r="BL94" s="2902"/>
      <c r="BM94" s="2902"/>
      <c r="BN94" s="2902"/>
      <c r="BO94" s="2902"/>
      <c r="BP94" s="2902"/>
      <c r="BQ94" s="2902"/>
      <c r="BR94" s="2902"/>
      <c r="BS94" s="2902"/>
      <c r="BT94" s="2902"/>
      <c r="BU94" s="2902"/>
      <c r="BV94" s="2902"/>
      <c r="BW94" s="2902"/>
      <c r="BX94" s="2902"/>
      <c r="BY94" s="2902"/>
      <c r="BZ94" s="2902"/>
      <c r="CA94" s="2902"/>
      <c r="CB94" s="2902"/>
      <c r="CC94" s="2902"/>
      <c r="CD94" s="2902"/>
      <c r="CE94" s="2902"/>
      <c r="CF94" s="2902"/>
      <c r="CG94" s="2902"/>
      <c r="CH94" s="2902"/>
      <c r="CI94" s="2902"/>
      <c r="CJ94" s="2902"/>
      <c r="CK94" s="2902"/>
      <c r="CL94" s="2902"/>
      <c r="CM94" s="2902"/>
      <c r="CN94" s="2902"/>
      <c r="CO94" s="2902"/>
      <c r="CP94" s="2902"/>
      <c r="CQ94" s="2902"/>
      <c r="CR94" s="2902"/>
      <c r="CS94" s="2902"/>
      <c r="CT94" s="2902"/>
      <c r="CU94" s="2902"/>
      <c r="CV94" s="2902"/>
      <c r="CW94" s="2902"/>
      <c r="CX94" s="2902"/>
      <c r="CY94" s="2902"/>
      <c r="CZ94" s="2902"/>
      <c r="DA94" s="2902"/>
      <c r="DB94" s="2902"/>
      <c r="DC94" s="2902"/>
      <c r="DD94" s="2902"/>
      <c r="DE94" s="2902"/>
      <c r="DF94" s="2902"/>
      <c r="DG94" s="2902"/>
      <c r="DH94" s="2902"/>
      <c r="DI94" s="2902"/>
      <c r="DJ94" s="2902"/>
      <c r="DK94" s="2902"/>
      <c r="DL94" s="2902"/>
      <c r="DM94" s="2902"/>
      <c r="DN94" s="2902"/>
      <c r="DO94" s="2902"/>
      <c r="DP94" s="2902"/>
      <c r="DQ94" s="2902"/>
      <c r="DR94" s="2902"/>
      <c r="DS94" s="2902"/>
      <c r="DT94" s="2902"/>
      <c r="DU94" s="2902"/>
      <c r="DV94" s="2902"/>
      <c r="DW94" s="2902"/>
      <c r="DX94" s="2902"/>
      <c r="DY94" s="2902"/>
      <c r="DZ94" s="2902"/>
      <c r="EA94" s="2902"/>
      <c r="EB94" s="2902"/>
      <c r="EC94" s="2902"/>
      <c r="ED94" s="2902"/>
      <c r="EE94" s="2902"/>
      <c r="EF94" s="2902"/>
      <c r="EG94" s="2902"/>
      <c r="EH94" s="2902"/>
      <c r="EI94" s="2902"/>
      <c r="EJ94" s="2902"/>
      <c r="EK94" s="2902"/>
      <c r="EL94" s="2902"/>
      <c r="EM94" s="2902"/>
      <c r="EN94" s="2902"/>
      <c r="EO94" s="2902"/>
      <c r="EP94" s="2902"/>
      <c r="EQ94" s="2902"/>
      <c r="ER94" s="2902"/>
      <c r="ES94" s="2902"/>
      <c r="ET94" s="2902"/>
      <c r="EU94" s="2902"/>
      <c r="EV94" s="2902"/>
      <c r="EW94" s="2902"/>
      <c r="EX94" s="2902"/>
      <c r="EY94" s="2902"/>
      <c r="EZ94" s="2902"/>
      <c r="FA94" s="2902"/>
      <c r="FB94" s="2902"/>
      <c r="FC94" s="2902"/>
      <c r="FD94" s="2902"/>
      <c r="FE94" s="2902"/>
      <c r="FF94" s="2902"/>
      <c r="FG94" s="2902"/>
      <c r="FH94" s="2902"/>
      <c r="FI94" s="2902"/>
      <c r="FJ94" s="2902"/>
      <c r="FK94" s="2902"/>
      <c r="FL94" s="2902"/>
      <c r="FM94" s="2902"/>
      <c r="FN94" s="2902"/>
      <c r="FO94" s="2902"/>
      <c r="FP94" s="2902"/>
      <c r="FQ94" s="2902"/>
      <c r="FR94" s="2902"/>
      <c r="FS94" s="2902"/>
      <c r="FT94" s="2902"/>
      <c r="FU94" s="2902"/>
      <c r="FV94" s="2902"/>
      <c r="FW94" s="2902"/>
      <c r="FX94" s="2902"/>
      <c r="FY94" s="2902"/>
      <c r="FZ94" s="2902"/>
      <c r="GA94" s="2902"/>
      <c r="GB94" s="2902"/>
      <c r="GC94" s="2902"/>
      <c r="GD94" s="2902"/>
      <c r="GE94" s="2902"/>
      <c r="GF94" s="2902"/>
      <c r="GG94" s="2902"/>
      <c r="GH94" s="2902"/>
      <c r="GI94" s="2902"/>
      <c r="GJ94" s="2902"/>
      <c r="GK94" s="2902"/>
      <c r="GL94" s="2902"/>
      <c r="GM94" s="2902"/>
      <c r="GN94" s="2902"/>
      <c r="GO94" s="2902"/>
      <c r="GP94" s="2902"/>
      <c r="GQ94" s="2902"/>
      <c r="GR94" s="2902"/>
      <c r="GS94" s="2902"/>
      <c r="GT94" s="2902"/>
      <c r="GU94" s="2902"/>
      <c r="GV94" s="2902"/>
      <c r="GW94" s="2902"/>
      <c r="GX94" s="2902"/>
      <c r="GY94" s="2902"/>
      <c r="GZ94" s="2902"/>
      <c r="HA94" s="2902"/>
      <c r="HB94" s="2902"/>
      <c r="HC94" s="2902"/>
      <c r="HD94" s="2902"/>
      <c r="HE94" s="2902"/>
      <c r="HF94" s="2902"/>
      <c r="HG94" s="2902"/>
      <c r="HH94" s="2902"/>
      <c r="HI94" s="2902"/>
      <c r="HJ94" s="2902"/>
      <c r="HK94" s="2902"/>
      <c r="HL94" s="2902"/>
      <c r="HM94" s="2902"/>
      <c r="HN94" s="2902"/>
      <c r="HO94" s="2902"/>
      <c r="HP94" s="2902"/>
      <c r="HQ94" s="2902"/>
      <c r="HR94" s="2902"/>
      <c r="HS94" s="2902"/>
      <c r="HT94" s="2902"/>
      <c r="HU94" s="2902"/>
      <c r="HV94" s="2902"/>
      <c r="HW94" s="2902"/>
      <c r="HX94" s="2902"/>
      <c r="HY94" s="2902"/>
      <c r="HZ94" s="2902"/>
      <c r="IA94" s="2902"/>
      <c r="IB94" s="2902"/>
      <c r="IC94" s="2902"/>
      <c r="ID94" s="2902"/>
      <c r="IE94" s="2902"/>
      <c r="IF94" s="2902"/>
      <c r="IG94" s="2902"/>
      <c r="IH94" s="2902"/>
      <c r="II94" s="2902"/>
      <c r="IJ94" s="2902"/>
      <c r="IK94" s="2902"/>
      <c r="IL94" s="2902"/>
      <c r="IM94" s="2902"/>
      <c r="IN94" s="2902"/>
      <c r="IO94" s="2902"/>
      <c r="IP94" s="2902"/>
      <c r="IQ94" s="2902"/>
      <c r="IR94" s="2902"/>
      <c r="IS94" s="2902"/>
      <c r="IT94" s="2902"/>
      <c r="IU94" s="2902"/>
      <c r="IV94" s="2902"/>
      <c r="IW94" s="2902"/>
      <c r="IX94" s="2902"/>
      <c r="IY94" s="2902"/>
      <c r="IZ94" s="2902"/>
      <c r="JA94" s="3804"/>
      <c r="JB94" s="3804"/>
      <c r="JC94" s="3804"/>
      <c r="JD94" s="3804"/>
      <c r="JE94" s="3804"/>
      <c r="JF94" s="3804"/>
      <c r="JG94" s="3805"/>
      <c r="JH94" s="1367"/>
    </row>
    <row ht="12.75" r="95" spans="1:270" thickBot="1" x14ac:dyDescent="0.25">
      <c r="JA95" s="34"/>
      <c r="JB95" s="34"/>
      <c r="JC95" s="34"/>
      <c r="JD95" s="34"/>
      <c r="JE95" s="34"/>
      <c r="JF95" s="34"/>
      <c r="JG95" s="34"/>
    </row>
    <row r="96" spans="1:270" x14ac:dyDescent="0.2">
      <c r="A96" s="1128" t="s">
        <v>4479</v>
      </c>
      <c r="B96" s="2897" t="s">
        <v>3922</v>
      </c>
      <c r="C96" s="1290" t="s">
        <v>7279</v>
      </c>
      <c r="D96" s="1291"/>
      <c r="E96" s="1292">
        <v>1</v>
      </c>
      <c r="F96" s="1292">
        <v>2</v>
      </c>
      <c r="G96" s="1293">
        <v>3</v>
      </c>
      <c r="H96" s="1293">
        <v>4</v>
      </c>
      <c r="I96" s="1293">
        <v>5</v>
      </c>
      <c r="J96" s="1293">
        <v>6</v>
      </c>
      <c r="K96" s="1293">
        <v>7</v>
      </c>
      <c r="L96" s="1293">
        <v>8</v>
      </c>
      <c r="M96" s="1293">
        <v>9</v>
      </c>
      <c r="N96" s="1293">
        <v>10</v>
      </c>
      <c r="O96" s="1293">
        <v>11</v>
      </c>
      <c r="P96" s="1293">
        <v>12</v>
      </c>
      <c r="Q96" s="1293">
        <v>13</v>
      </c>
      <c r="R96" s="1293">
        <v>14</v>
      </c>
      <c r="S96" s="1293">
        <v>15</v>
      </c>
      <c r="T96" s="1293">
        <v>16</v>
      </c>
      <c r="U96" s="1293">
        <v>17</v>
      </c>
      <c r="V96" s="1293">
        <v>18</v>
      </c>
      <c r="W96" s="1293">
        <v>19</v>
      </c>
      <c r="X96" s="1293">
        <v>20</v>
      </c>
      <c r="Y96" s="1293">
        <v>21</v>
      </c>
      <c r="Z96" s="1293">
        <v>22</v>
      </c>
      <c r="AA96" s="1293">
        <v>23</v>
      </c>
      <c r="AB96" s="1293">
        <v>24</v>
      </c>
      <c r="AC96" s="1293">
        <v>25</v>
      </c>
      <c r="AD96" s="1293">
        <v>26</v>
      </c>
      <c r="AE96" s="1293">
        <v>27</v>
      </c>
      <c r="AF96" s="1293">
        <v>28</v>
      </c>
      <c r="AG96" s="1293">
        <v>29</v>
      </c>
      <c r="AH96" s="1293">
        <v>30</v>
      </c>
      <c r="AI96" s="1293">
        <v>31</v>
      </c>
      <c r="AJ96" s="1293">
        <v>32</v>
      </c>
      <c r="AK96" s="1293">
        <v>33</v>
      </c>
      <c r="AL96" s="1293">
        <v>34</v>
      </c>
      <c r="AM96" s="1293">
        <v>35</v>
      </c>
      <c r="AN96" s="1293">
        <v>36</v>
      </c>
      <c r="AO96" s="1293">
        <v>37</v>
      </c>
      <c r="AP96" s="1293">
        <v>38</v>
      </c>
      <c r="AQ96" s="1293">
        <v>39</v>
      </c>
      <c r="AR96" s="1293">
        <v>40</v>
      </c>
      <c r="AS96" s="1293">
        <v>41</v>
      </c>
      <c r="AT96" s="1293">
        <v>42</v>
      </c>
      <c r="AU96" s="1293">
        <v>43</v>
      </c>
      <c r="AV96" s="1293">
        <v>44</v>
      </c>
      <c r="AW96" s="1293">
        <v>45</v>
      </c>
      <c r="AX96" s="1293">
        <v>46</v>
      </c>
      <c r="AY96" s="1293">
        <v>47</v>
      </c>
      <c r="AZ96" s="1293">
        <v>48</v>
      </c>
      <c r="BA96" s="1293">
        <v>49</v>
      </c>
      <c r="BB96" s="1293">
        <v>50</v>
      </c>
      <c r="BC96" s="1293">
        <v>51</v>
      </c>
      <c r="BD96" s="1293">
        <v>52</v>
      </c>
      <c r="BE96" s="1293">
        <v>53</v>
      </c>
      <c r="BF96" s="1293">
        <v>54</v>
      </c>
      <c r="BG96" s="1293">
        <v>55</v>
      </c>
      <c r="BH96" s="1293">
        <v>56</v>
      </c>
      <c r="BI96" s="1293">
        <v>57</v>
      </c>
      <c r="BJ96" s="1293">
        <v>58</v>
      </c>
      <c r="BK96" s="1293">
        <v>59</v>
      </c>
      <c r="BL96" s="1293">
        <v>60</v>
      </c>
      <c r="BM96" s="1293">
        <v>61</v>
      </c>
      <c r="BN96" s="1293">
        <v>62</v>
      </c>
      <c r="BO96" s="1293">
        <v>63</v>
      </c>
      <c r="BP96" s="1293">
        <v>64</v>
      </c>
      <c r="BQ96" s="1293">
        <v>65</v>
      </c>
      <c r="BR96" s="1293">
        <v>66</v>
      </c>
      <c r="BS96" s="1293">
        <v>67</v>
      </c>
      <c r="BT96" s="1293">
        <v>68</v>
      </c>
      <c r="BU96" s="1293">
        <v>69</v>
      </c>
      <c r="BV96" s="1293">
        <v>70</v>
      </c>
      <c r="BW96" s="1293">
        <v>71</v>
      </c>
      <c r="BX96" s="1293">
        <v>72</v>
      </c>
      <c r="BY96" s="1293">
        <v>73</v>
      </c>
      <c r="BZ96" s="1293">
        <v>74</v>
      </c>
      <c r="CA96" s="1293">
        <v>75</v>
      </c>
      <c r="CB96" s="1293">
        <v>76</v>
      </c>
      <c r="CC96" s="1293">
        <v>77</v>
      </c>
      <c r="CD96" s="1293">
        <v>78</v>
      </c>
      <c r="CE96" s="1293">
        <v>79</v>
      </c>
      <c r="CF96" s="1293">
        <v>80</v>
      </c>
      <c r="CG96" s="1293">
        <v>81</v>
      </c>
      <c r="CH96" s="1293">
        <v>82</v>
      </c>
      <c r="CI96" s="1293">
        <v>83</v>
      </c>
      <c r="CJ96" s="1293">
        <v>84</v>
      </c>
      <c r="CK96" s="1293">
        <v>85</v>
      </c>
      <c r="CL96" s="1293">
        <v>86</v>
      </c>
      <c r="CM96" s="1293">
        <v>87</v>
      </c>
      <c r="CN96" s="1293">
        <v>88</v>
      </c>
      <c r="CO96" s="1293">
        <v>89</v>
      </c>
      <c r="CP96" s="1293">
        <v>90</v>
      </c>
      <c r="CQ96" s="1293">
        <v>91</v>
      </c>
      <c r="CR96" s="1293">
        <v>92</v>
      </c>
      <c r="CS96" s="1293">
        <v>93</v>
      </c>
      <c r="CT96" s="1293">
        <v>94</v>
      </c>
      <c r="CU96" s="1293">
        <v>95</v>
      </c>
      <c r="CV96" s="1293">
        <v>96</v>
      </c>
      <c r="CW96" s="1293">
        <v>97</v>
      </c>
      <c r="CX96" s="1293">
        <v>98</v>
      </c>
      <c r="CY96" s="1293">
        <v>99</v>
      </c>
      <c r="CZ96" s="1293">
        <v>100</v>
      </c>
      <c r="DA96" s="1293">
        <v>101</v>
      </c>
      <c r="DB96" s="1293">
        <v>102</v>
      </c>
      <c r="DC96" s="1293">
        <v>103</v>
      </c>
      <c r="DD96" s="1293">
        <v>104</v>
      </c>
      <c r="DE96" s="1293">
        <v>105</v>
      </c>
      <c r="DF96" s="1293">
        <v>106</v>
      </c>
      <c r="DG96" s="1293">
        <v>107</v>
      </c>
      <c r="DH96" s="1293">
        <v>108</v>
      </c>
      <c r="DI96" s="1293">
        <v>109</v>
      </c>
      <c r="DJ96" s="1293">
        <v>110</v>
      </c>
      <c r="DK96" s="1293">
        <v>111</v>
      </c>
      <c r="DL96" s="1293">
        <v>112</v>
      </c>
      <c r="DM96" s="1293">
        <v>113</v>
      </c>
      <c r="DN96" s="1293">
        <v>114</v>
      </c>
      <c r="DO96" s="1293">
        <v>115</v>
      </c>
      <c r="DP96" s="1293">
        <v>116</v>
      </c>
      <c r="DQ96" s="1293">
        <v>117</v>
      </c>
      <c r="DR96" s="1293">
        <v>118</v>
      </c>
      <c r="DS96" s="1293">
        <v>119</v>
      </c>
      <c r="DT96" s="1293">
        <v>120</v>
      </c>
      <c r="DU96" s="1293">
        <v>121</v>
      </c>
      <c r="DV96" s="1293">
        <v>122</v>
      </c>
      <c r="DW96" s="1293">
        <v>123</v>
      </c>
      <c r="DX96" s="1293">
        <v>124</v>
      </c>
      <c r="DY96" s="1293">
        <v>125</v>
      </c>
      <c r="DZ96" s="1293">
        <v>126</v>
      </c>
      <c r="EA96" s="1293">
        <v>127</v>
      </c>
      <c r="EB96" s="1293">
        <v>128</v>
      </c>
      <c r="EC96" s="1293">
        <v>129</v>
      </c>
      <c r="ED96" s="1293">
        <v>130</v>
      </c>
      <c r="EE96" s="1293">
        <v>131</v>
      </c>
      <c r="EF96" s="1293">
        <v>132</v>
      </c>
      <c r="EG96" s="1293">
        <v>133</v>
      </c>
      <c r="EH96" s="1293">
        <v>134</v>
      </c>
      <c r="EI96" s="1293">
        <v>135</v>
      </c>
      <c r="EJ96" s="1293">
        <v>136</v>
      </c>
      <c r="EK96" s="1293">
        <v>137</v>
      </c>
      <c r="EL96" s="1293">
        <v>138</v>
      </c>
      <c r="EM96" s="1293">
        <v>139</v>
      </c>
      <c r="EN96" s="1293">
        <v>140</v>
      </c>
      <c r="EO96" s="1293">
        <v>141</v>
      </c>
      <c r="EP96" s="1293">
        <v>142</v>
      </c>
      <c r="EQ96" s="1293">
        <v>143</v>
      </c>
      <c r="ER96" s="1293">
        <v>144</v>
      </c>
      <c r="ES96" s="1293">
        <v>145</v>
      </c>
      <c r="ET96" s="1293">
        <v>146</v>
      </c>
      <c r="EU96" s="1293">
        <v>147</v>
      </c>
      <c r="EV96" s="1293">
        <v>148</v>
      </c>
      <c r="EW96" s="1293">
        <v>149</v>
      </c>
      <c r="EX96" s="1293">
        <v>150</v>
      </c>
      <c r="EY96" s="1293">
        <v>151</v>
      </c>
      <c r="EZ96" s="1293">
        <v>152</v>
      </c>
      <c r="FA96" s="1293">
        <v>153</v>
      </c>
      <c r="FB96" s="1293">
        <v>154</v>
      </c>
      <c r="FC96" s="1293">
        <v>155</v>
      </c>
      <c r="FD96" s="1293">
        <v>156</v>
      </c>
      <c r="FE96" s="1293">
        <v>157</v>
      </c>
      <c r="FF96" s="1293">
        <v>158</v>
      </c>
      <c r="FG96" s="1293">
        <v>159</v>
      </c>
      <c r="FH96" s="1293">
        <v>160</v>
      </c>
      <c r="FI96" s="1293">
        <v>161</v>
      </c>
      <c r="FJ96" s="1293">
        <v>162</v>
      </c>
      <c r="FK96" s="1293">
        <v>163</v>
      </c>
      <c r="FL96" s="1293">
        <v>164</v>
      </c>
      <c r="FM96" s="1293">
        <v>165</v>
      </c>
      <c r="FN96" s="1293">
        <v>166</v>
      </c>
      <c r="FO96" s="1293">
        <v>167</v>
      </c>
      <c r="FP96" s="1293">
        <v>168</v>
      </c>
      <c r="FQ96" s="1293">
        <v>169</v>
      </c>
      <c r="FR96" s="1293">
        <v>170</v>
      </c>
      <c r="FS96" s="1293">
        <v>171</v>
      </c>
      <c r="FT96" s="1293">
        <v>172</v>
      </c>
      <c r="FU96" s="1293">
        <v>173</v>
      </c>
      <c r="FV96" s="1293">
        <v>174</v>
      </c>
      <c r="FW96" s="1293">
        <v>175</v>
      </c>
      <c r="FX96" s="1293">
        <v>176</v>
      </c>
      <c r="FY96" s="1293">
        <v>177</v>
      </c>
      <c r="FZ96" s="1293">
        <v>178</v>
      </c>
      <c r="GA96" s="1293">
        <v>179</v>
      </c>
      <c r="GB96" s="1293">
        <v>180</v>
      </c>
      <c r="GC96" s="1293">
        <v>181</v>
      </c>
      <c r="GD96" s="1293">
        <v>182</v>
      </c>
      <c r="GE96" s="1293">
        <v>183</v>
      </c>
      <c r="GF96" s="1293">
        <v>184</v>
      </c>
      <c r="GG96" s="1293">
        <v>185</v>
      </c>
      <c r="GH96" s="1293">
        <v>186</v>
      </c>
      <c r="GI96" s="1293">
        <v>187</v>
      </c>
      <c r="GJ96" s="1293">
        <v>188</v>
      </c>
      <c r="GK96" s="1293">
        <v>189</v>
      </c>
      <c r="GL96" s="1293">
        <v>190</v>
      </c>
      <c r="GM96" s="1293">
        <v>191</v>
      </c>
      <c r="GN96" s="1293">
        <v>192</v>
      </c>
      <c r="GO96" s="1293">
        <v>193</v>
      </c>
      <c r="GP96" s="1293">
        <v>194</v>
      </c>
      <c r="GQ96" s="1293">
        <v>195</v>
      </c>
      <c r="GR96" s="1293">
        <v>196</v>
      </c>
      <c r="GS96" s="1293">
        <v>197</v>
      </c>
      <c r="GT96" s="1293">
        <v>198</v>
      </c>
      <c r="GU96" s="1293">
        <v>199</v>
      </c>
      <c r="GV96" s="1293">
        <v>200</v>
      </c>
      <c r="GW96" s="1293">
        <v>201</v>
      </c>
      <c r="GX96" s="1293">
        <v>202</v>
      </c>
      <c r="GY96" s="1293">
        <v>203</v>
      </c>
      <c r="GZ96" s="1293">
        <v>204</v>
      </c>
      <c r="HA96" s="1293">
        <v>205</v>
      </c>
      <c r="HB96" s="1293">
        <v>206</v>
      </c>
      <c r="HC96" s="1293">
        <v>207</v>
      </c>
      <c r="HD96" s="1293">
        <v>208</v>
      </c>
      <c r="HE96" s="1293">
        <v>209</v>
      </c>
      <c r="HF96" s="1293">
        <v>210</v>
      </c>
      <c r="HG96" s="1293">
        <v>211</v>
      </c>
      <c r="HH96" s="1293">
        <v>212</v>
      </c>
      <c r="HI96" s="1293">
        <v>213</v>
      </c>
      <c r="HJ96" s="1293">
        <v>214</v>
      </c>
      <c r="HK96" s="1293">
        <v>215</v>
      </c>
      <c r="HL96" s="1293">
        <v>216</v>
      </c>
      <c r="HM96" s="1293">
        <v>217</v>
      </c>
      <c r="HN96" s="1293">
        <v>218</v>
      </c>
      <c r="HO96" s="1293">
        <v>219</v>
      </c>
      <c r="HP96" s="1293">
        <v>220</v>
      </c>
      <c r="HQ96" s="1293">
        <v>221</v>
      </c>
      <c r="HR96" s="1293">
        <v>222</v>
      </c>
      <c r="HS96" s="1293">
        <v>223</v>
      </c>
      <c r="HT96" s="1293">
        <v>224</v>
      </c>
      <c r="HU96" s="1293">
        <v>225</v>
      </c>
      <c r="HV96" s="1293">
        <v>226</v>
      </c>
      <c r="HW96" s="1293">
        <v>227</v>
      </c>
      <c r="HX96" s="1293">
        <v>228</v>
      </c>
      <c r="HY96" s="1293">
        <v>229</v>
      </c>
      <c r="HZ96" s="1293">
        <v>230</v>
      </c>
      <c r="IA96" s="1293">
        <v>231</v>
      </c>
      <c r="IB96" s="1293">
        <v>232</v>
      </c>
      <c r="IC96" s="1293">
        <v>233</v>
      </c>
      <c r="ID96" s="1293">
        <v>234</v>
      </c>
      <c r="IE96" s="1293">
        <v>235</v>
      </c>
      <c r="IF96" s="1293">
        <v>236</v>
      </c>
      <c r="IG96" s="1293">
        <v>237</v>
      </c>
      <c r="IH96" s="1293">
        <v>238</v>
      </c>
      <c r="II96" s="1293">
        <v>239</v>
      </c>
      <c r="IJ96" s="1293">
        <v>240</v>
      </c>
      <c r="IK96" s="1293">
        <v>241</v>
      </c>
      <c r="IL96" s="1293">
        <v>242</v>
      </c>
      <c r="IM96" s="1293">
        <v>243</v>
      </c>
      <c r="IN96" s="1293">
        <v>244</v>
      </c>
      <c r="IO96" s="1293">
        <v>245</v>
      </c>
      <c r="IP96" s="1293">
        <v>246</v>
      </c>
      <c r="IQ96" s="1293">
        <v>247</v>
      </c>
      <c r="IR96" s="1293">
        <v>248</v>
      </c>
      <c r="IS96" s="1293">
        <v>249</v>
      </c>
      <c r="IT96" s="1293">
        <v>250</v>
      </c>
      <c r="IU96" s="1293">
        <v>251</v>
      </c>
      <c r="IV96" s="1293">
        <v>252</v>
      </c>
      <c r="IW96" s="1293">
        <v>253</v>
      </c>
      <c r="IX96" s="1293">
        <v>254</v>
      </c>
      <c r="IY96" s="1293">
        <v>255</v>
      </c>
      <c r="IZ96" s="1293">
        <v>256</v>
      </c>
      <c r="JA96" s="1293">
        <v>257</v>
      </c>
      <c r="JB96" s="1293">
        <v>258</v>
      </c>
      <c r="JC96" s="1293">
        <v>259</v>
      </c>
      <c r="JD96" s="1134">
        <v>260</v>
      </c>
      <c r="JE96" s="1134">
        <v>261</v>
      </c>
      <c r="JF96" s="1134">
        <v>262</v>
      </c>
      <c r="JG96" s="2485">
        <v>263</v>
      </c>
    </row>
    <row ht="12.75" r="97" spans="1:267" thickBot="1" x14ac:dyDescent="0.25">
      <c r="A97" s="1128">
        <v>2</v>
      </c>
      <c r="B97" s="2897">
        <f>IF(NI1_IND&gt;1,IF(HLOOKUP(NI1_IND-1,NI1_MOR_RANGE,A97)="","",HLOOKUP(NI1_IND-1,NI1_MOR_RANGE,A97)),"")</f>
        <v>0</v>
      </c>
      <c r="C97" s="2899" t="s">
        <v>7277</v>
      </c>
      <c r="D97" s="2900"/>
      <c r="E97" s="2903">
        <f>IF('C2'!E52="",0,MAX(0,MIN('C2'!E52,Class1_UEL)-Class1_PT))</f>
        <v>0</v>
      </c>
      <c r="F97" s="2903">
        <f>IF('C2'!F52="",0,MAX(0,MIN('C2'!F52,Class1_UEL)-Class1_PT))</f>
        <v>0</v>
      </c>
      <c r="G97" s="2903">
        <f>IF('C2'!G52="",0,MAX(0,MIN('C2'!G52,Class1_UEL)-Class1_PT))</f>
        <v>0</v>
      </c>
      <c r="H97" s="2903">
        <f>IF('C2'!H52="",0,MAX(0,MIN('C2'!H52,Class1_UEL)-Class1_PT))</f>
        <v>0</v>
      </c>
      <c r="I97" s="2903"/>
      <c r="J97" s="2906"/>
      <c r="K97" s="2906">
        <f>IF('C2'!K52="",0,MAX(0,MIN('C2'!K52,Class1_UEL)-Class1_PT))</f>
        <v>0</v>
      </c>
      <c r="L97" s="2906"/>
      <c r="M97" s="2906"/>
      <c r="N97" s="2906"/>
      <c r="O97" s="2906">
        <f>IF('C2'!O52="",0,MAX(0,MIN('C2'!O52,Class1_UEL)-Class1_PT))</f>
        <v>0</v>
      </c>
      <c r="P97" s="2906"/>
      <c r="Q97" s="2906">
        <f>IF('C2'!Q52="",0,MAX(0,MIN('C2'!Q52,Class1_UEL)-Class1_PT))</f>
        <v>0</v>
      </c>
      <c r="R97" s="2906">
        <f>IF('C2'!R52="",0,MAX(0,MIN('C2'!R52,Class1_UEL)-Class1_PT))</f>
        <v>0</v>
      </c>
      <c r="S97" s="2906"/>
      <c r="T97" s="2906"/>
      <c r="U97" s="2906">
        <f>IF('C2'!U52="",0,MAX(0,MIN('C2'!U52,Class1_UEL)-Class1_PT))</f>
        <v>0</v>
      </c>
      <c r="V97" s="2906">
        <f>IF('C2'!V52="",0,MAX(0,MIN('C2'!V52,Class1_UEL)-Class1_PT))</f>
        <v>0</v>
      </c>
      <c r="W97" s="2906">
        <f>IF('C2'!W52="",0,MAX(0,MIN('C2'!W52,Class1_UEL)-Class1_PT))</f>
        <v>0</v>
      </c>
      <c r="X97" s="2906">
        <f>IF('C2'!X52="",0,MAX(0,MIN('C2'!X52,Class1_UEL)-Class1_PT))</f>
        <v>0</v>
      </c>
      <c r="Y97" s="2906">
        <f>IF('C2'!Y52="",0,MAX(0,MIN('C2'!Y52,Class1_UEL)-Class1_PT))</f>
        <v>0</v>
      </c>
      <c r="Z97" s="2906"/>
      <c r="AA97" s="2906">
        <f>IF('C2'!JG52="",0,MAX(0,MIN('C2'!JG52,Class1_UEL)-Class1_PT))</f>
        <v>0</v>
      </c>
      <c r="AB97" s="2906"/>
      <c r="AC97" s="2906">
        <f>IF('C2'!AC52="",0,MAX(0,MIN('C2'!AC52,Class1_UEL)-Class1_PT))</f>
        <v>0</v>
      </c>
      <c r="AD97" s="2906">
        <f>IF('C2'!AD52="",0,MAX(0,MIN('C2'!AD52,Class1_UEL)-Class1_PT))</f>
        <v>0</v>
      </c>
      <c r="AE97" s="2906">
        <f>IF('C2'!AE52="",0,MAX(0,MIN('C2'!AE52,Class1_UEL)-Class1_PT))</f>
        <v>0</v>
      </c>
      <c r="AF97" s="2906"/>
      <c r="AG97" s="2906">
        <f>IF('C2'!AG52="",0,MAX(0,MIN('C2'!AG52,Class1_UEL)-Class1_PT))</f>
        <v>0</v>
      </c>
      <c r="AH97" s="2906">
        <f>IF('C2'!AH52="",0,MAX(0,MIN('C2'!AH52,Class1_UEL)-Class1_PT))</f>
        <v>0</v>
      </c>
      <c r="AI97" s="2906">
        <f>IF('C2'!AI52="",0,MAX(0,MIN('C2'!AI52,Class1_UEL)-Class1_PT))</f>
        <v>167</v>
      </c>
      <c r="AJ97" s="2906">
        <f>IF('C2'!AJ52="",0,MAX(0,MIN('C2'!AJ52,Class1_UEL)-Class1_PT))</f>
        <v>0</v>
      </c>
      <c r="AK97" s="2906">
        <f>IF('C2'!AK52="",0,MAX(0,MIN('C2'!AK52,Class1_UEL)-Class1_PT))</f>
        <v>0</v>
      </c>
      <c r="AL97" s="2906"/>
      <c r="AM97" s="2906"/>
      <c r="AN97" s="2906"/>
      <c r="AO97" s="2906"/>
      <c r="AP97" s="2906">
        <f>IF('C2'!AP52="",0,MAX(0,MIN('C2'!AP52,Class1_UEL)-Class1_PT))</f>
        <v>0</v>
      </c>
      <c r="AQ97" s="2906">
        <f>IF('C2'!AQ52="",0,MAX(0,MIN('C2'!AQ52,Class1_UEL)-Class1_PT))</f>
        <v>0</v>
      </c>
      <c r="AR97" s="2906"/>
      <c r="AS97" s="2906">
        <f>IF('C2'!AS52="",0,MAX(0,MIN('C2'!AS52,Class1_UEL)-Class1_PT))</f>
        <v>0</v>
      </c>
      <c r="AT97" s="2906">
        <f>IF('C2'!AT52="",0,MAX(0,MIN('C2'!AT52,Class1_UEL)-Class1_PT))</f>
        <v>0</v>
      </c>
      <c r="AU97" s="2906">
        <f>IF('C2'!AU52="",0,MAX(0,MIN('C2'!AU52,Class1_UEL)-Class1_PT))</f>
        <v>0</v>
      </c>
      <c r="AV97" s="2906"/>
      <c r="AW97" s="2906"/>
      <c r="AX97" s="2906"/>
      <c r="AY97" s="2906"/>
      <c r="AZ97" s="2906"/>
      <c r="BA97" s="2906">
        <f>IF('C2'!BA52="",0,MAX(0,MIN('C2'!BA52,Class1_UEL)-Class1_PT))</f>
        <v>0</v>
      </c>
      <c r="BB97" s="2906">
        <f>IF('C2'!BB52="",0,MAX(0,MIN('C2'!BB52,Class1_UEL)-Class1_PT))</f>
        <v>0</v>
      </c>
      <c r="BC97" s="2906"/>
      <c r="BD97" s="2906">
        <f>IF('C2'!BD52="",0,MAX(0,MIN('C2'!BD52,Class1_UEL)-Class1_PT))</f>
        <v>0</v>
      </c>
      <c r="BE97" s="2906">
        <f>IF('C2'!BE52="",0,MAX(0,MIN('C2'!BE52,Class1_UEL)-Class1_PT))</f>
        <v>0</v>
      </c>
      <c r="BF97" s="2906">
        <f>IF('C2'!BF52="",0,MAX(0,MIN('C2'!BF52,Class1_UEL)-Class1_PT))</f>
        <v>0</v>
      </c>
      <c r="BG97" s="2906">
        <f>IF('C2'!BG52="",0,MAX(0,MIN('C2'!BG52,Class1_UEL)-Class1_PT))</f>
        <v>0</v>
      </c>
      <c r="BH97" s="2906">
        <f>IF('C2'!BH52="",0,MAX(0,MIN('C2'!BH52,Class1_UEL)-Class1_PT))</f>
        <v>0</v>
      </c>
      <c r="BI97" s="2906">
        <f>IF('C2'!BI52="",0,MAX(0,MIN('C2'!BI52,Class1_UEL)-Class1_PT))</f>
        <v>0</v>
      </c>
      <c r="BJ97" s="2906"/>
      <c r="BK97" s="2906"/>
      <c r="BL97" s="2906"/>
      <c r="BM97" s="2906">
        <f>IF('C2'!BM52="",0,MAX(0,MIN('C2'!BM52,Class1_UEL)-Class1_PT))</f>
        <v>0</v>
      </c>
      <c r="BN97" s="2906"/>
      <c r="BO97" s="2906">
        <f>IF('C2'!BO52="",0,MAX(0,MIN('C2'!BO52,Class1_UEL)-Class1_PT))</f>
        <v>0</v>
      </c>
      <c r="BP97" s="2906"/>
      <c r="BQ97" s="2906"/>
      <c r="BR97" s="2906"/>
      <c r="BS97" s="2906">
        <f>IF('C2'!BS52="",0,MAX(0,MIN('C2'!BS52,Class1_UEL)-Class1_PT))</f>
        <v>0</v>
      </c>
      <c r="BT97" s="2906"/>
      <c r="BU97" s="2906"/>
      <c r="BV97" s="2906"/>
      <c r="BW97" s="2906"/>
      <c r="BX97" s="2906"/>
      <c r="BY97" s="2906"/>
      <c r="BZ97" s="2906"/>
      <c r="CA97" s="2906"/>
      <c r="CB97" s="2906"/>
      <c r="CC97" s="2906"/>
      <c r="CD97" s="2906">
        <f>IF('C2'!CD52="",0,MAX(0,MIN('C2'!CD52,Class1_UEL)-Class1_PT))</f>
        <v>0</v>
      </c>
      <c r="CE97" s="2906">
        <f>IF('C2'!CE52="",0,MAX(0,MIN('C2'!CE52,Class1_UEL)-Class1_PT))</f>
        <v>0</v>
      </c>
      <c r="CF97" s="2906">
        <f>IF('C2'!CF52="",0,MAX(0,MIN('C2'!CF52,Class1_UEL)-Class1_PT))</f>
        <v>0</v>
      </c>
      <c r="CG97" s="2906"/>
      <c r="CH97" s="2906">
        <f>IF('C2'!CH52="",0,MAX(0,MIN('C2'!CH52,Class1_UEL)-Class1_PT))</f>
        <v>0</v>
      </c>
      <c r="CI97" s="2906"/>
      <c r="CJ97" s="2906"/>
      <c r="CK97" s="2906"/>
      <c r="CL97" s="2906"/>
      <c r="CM97" s="2906"/>
      <c r="CN97" s="2906">
        <f>IF('C2'!CN52="",0,MAX(0,MIN('C2'!CN52,Class1_UEL)-Class1_PT))</f>
        <v>0</v>
      </c>
      <c r="CO97" s="2906">
        <f>IF('C2'!CO52="",0,MAX(0,MIN('C2'!CO52,Class1_UEL)-Class1_PT))</f>
        <v>0</v>
      </c>
      <c r="CP97" s="2906"/>
      <c r="CQ97" s="2906">
        <f>IF('C2'!CQ52="",0,MAX(0,MIN('C2'!CQ52,Class1_UEL)-Class1_PT))</f>
        <v>0</v>
      </c>
      <c r="CR97" s="2906"/>
      <c r="CS97" s="2906"/>
      <c r="CT97" s="2906">
        <f>IF('C2'!CT52="",0,MAX(0,MIN('C2'!CT52,Class1_UEL)-Class1_PT))</f>
        <v>6135</v>
      </c>
      <c r="CU97" s="2906"/>
      <c r="CV97" s="2906">
        <f>IF('C2'!CV52="",0,MAX(0,MIN('C2'!CV52,Class1_UEL)-Class1_PT))</f>
        <v>0</v>
      </c>
      <c r="CW97" s="2906"/>
      <c r="CX97" s="2906"/>
      <c r="CY97" s="2906"/>
      <c r="CZ97" s="2906"/>
      <c r="DA97" s="2906"/>
      <c r="DB97" s="2906">
        <f>IF('C2'!DB52="",0,MAX(0,MIN('C2'!DB52,Class1_UEL)-Class1_PT))</f>
        <v>0</v>
      </c>
      <c r="DC97" s="2906"/>
      <c r="DD97" s="2906">
        <f>IF('C2'!DD52="",0,MAX(0,MIN('C2'!DD52,Class1_UEL)-Class1_PT))</f>
        <v>0</v>
      </c>
      <c r="DE97" s="2906">
        <f>IF('C2'!DE52="",0,MAX(0,MIN('C2'!DE52,Class1_UEL)-Class1_PT))</f>
        <v>0</v>
      </c>
      <c r="DF97" s="2906">
        <f>IF('C2'!DF52="",0,MAX(0,MIN('C2'!DF52,Class1_UEL)-Class1_PT))</f>
        <v>0</v>
      </c>
      <c r="DG97" s="2906"/>
      <c r="DH97" s="2906"/>
      <c r="DI97" s="2906">
        <f>IF('C2'!DI52="",0,MAX(0,MIN('C2'!DI52,Class1_UEL)-Class1_PT))</f>
        <v>0</v>
      </c>
      <c r="DJ97" s="2906"/>
      <c r="DK97" s="2906">
        <f>IF('C2'!DK52="",0,MAX(0,MIN('C2'!DK52,Class1_UEL)-Class1_PT))</f>
        <v>0</v>
      </c>
      <c r="DL97" s="2906">
        <f>IF('C2'!DL52="",0,MAX(0,MIN('C2'!DL52,Class1_UEL)-Class1_PT))</f>
        <v>0</v>
      </c>
      <c r="DM97" s="2906"/>
      <c r="DN97" s="2906"/>
      <c r="DO97" s="2906"/>
      <c r="DP97" s="2906">
        <f>IF('C2'!DP52="",0,MAX(0,MIN('C2'!DP52,Class1_UEL)-Class1_PT))</f>
        <v>0</v>
      </c>
      <c r="DQ97" s="2906"/>
      <c r="DR97" s="2906"/>
      <c r="DS97" s="2906"/>
      <c r="DT97" s="2906">
        <f>IF('C2'!DT52="",0,MAX(0,MIN('C2'!DT52,Class1_UEL)-Class1_PT))</f>
        <v>0</v>
      </c>
      <c r="DU97" s="2906">
        <f>IF('C2'!DU52="",0,MAX(0,MIN('C2'!DU52,Class1_UEL)-Class1_PT))</f>
        <v>0</v>
      </c>
      <c r="DV97" s="2906">
        <f>IF('C2'!DV52="",0,MAX(0,MIN('C2'!DV52,Class1_UEL)-Class1_PT))</f>
        <v>0</v>
      </c>
      <c r="DW97" s="2906"/>
      <c r="DX97" s="2906"/>
      <c r="DY97" s="2906"/>
      <c r="DZ97" s="2906"/>
      <c r="EA97" s="2906">
        <f>IF('C2'!EA52="",0,MAX(0,MIN('C2'!EA52,Class1_UEL)-Class1_PT))</f>
        <v>0</v>
      </c>
      <c r="EB97" s="2906">
        <f>IF('C2'!EB52="",0,MAX(0,MIN('C2'!EB52,Class1_UEL)-Class1_PT))</f>
        <v>6618</v>
      </c>
      <c r="EC97" s="2906">
        <f>IF('C2'!EC52="",0,MAX(0,MIN('C2'!EC52,Class1_UEL)-Class1_PT))</f>
        <v>6135</v>
      </c>
      <c r="ED97" s="2906">
        <f>IF('C2'!ED52="",0,MAX(0,MIN('C2'!ED52,Class1_UEL)-Class1_PT))</f>
        <v>0</v>
      </c>
      <c r="EE97" s="2906">
        <f>IF('C2'!EE52="",0,MAX(0,MIN('C2'!EE52,Class1_UEL)-Class1_PT))</f>
        <v>0</v>
      </c>
      <c r="EF97" s="2906"/>
      <c r="EG97" s="2906">
        <f>IF('C2'!EG52="",0,MAX(0,MIN('C2'!EG52,Class1_UEL)-Class1_PT))</f>
        <v>0</v>
      </c>
      <c r="EH97" s="2906">
        <f>IF('C2'!EH52="",0,MAX(0,MIN('C2'!EH52,Class1_UEL)-Class1_PT))</f>
        <v>0</v>
      </c>
      <c r="EI97" s="2906">
        <f>IF('C2'!EI52="",0,MAX(0,MIN('C2'!EI52,Class1_UEL)-Class1_PT))</f>
        <v>0</v>
      </c>
      <c r="EJ97" s="2906">
        <f>IF('C2'!EJ52="",0,MAX(0,MIN('C2'!EJ52,Class1_UEL)-Class1_PT))</f>
        <v>0</v>
      </c>
      <c r="EK97" s="2906">
        <f>IF('C2'!EK52="",0,MAX(0,MIN('C2'!EK52,Class1_UEL)-Class1_PT))</f>
        <v>0</v>
      </c>
      <c r="EL97" s="2906">
        <f>IF('C2'!EL52="",0,MAX(0,MIN('C2'!EL52,Class1_UEL)-Class1_PT))</f>
        <v>0</v>
      </c>
      <c r="EM97" s="2906"/>
      <c r="EN97" s="2906"/>
      <c r="EO97" s="2906">
        <f>IF('C2'!EO52="",0,MAX(0,MIN('C2'!EO52,Class1_UEL)-Class1_PT))</f>
        <v>0</v>
      </c>
      <c r="EP97" s="2906">
        <f>IF('C2'!EP52="",0,MAX(0,MIN('C2'!EP52,Class1_UEL)-Class1_PT))</f>
        <v>0</v>
      </c>
      <c r="EQ97" s="2906"/>
      <c r="ER97" s="2906"/>
      <c r="ES97" s="2906"/>
      <c r="ET97" s="2906"/>
      <c r="EU97" s="2906"/>
      <c r="EV97" s="2906"/>
      <c r="EW97" s="2906"/>
      <c r="EX97" s="2906"/>
      <c r="EY97" s="2906"/>
      <c r="EZ97" s="2906">
        <f>IF('C2'!EZ52="",0,MAX(0,MIN('C2'!EZ52,Class1_UEL)-Class1_PT))</f>
        <v>0</v>
      </c>
      <c r="FA97" s="2906"/>
      <c r="FB97" s="2906">
        <f>IF('C2'!FB52="",0,MAX(0,MIN('C2'!FB52,Class1_UEL)-Class1_PT))</f>
        <v>6135</v>
      </c>
      <c r="FC97" s="2906">
        <f>IF('C2'!FC52="",0,MAX(0,MIN('C2'!FC52,Class1_UEL)-Class1_PT))</f>
        <v>0</v>
      </c>
      <c r="FD97" s="2906">
        <f>IF('C2'!FD52="",0,MAX(0,MIN('C2'!FD52,Class1_UEL)-Class1_PT))</f>
        <v>0</v>
      </c>
      <c r="FE97" s="2906"/>
      <c r="FF97" s="2906"/>
      <c r="FG97" s="2906"/>
      <c r="FH97" s="2906"/>
      <c r="FI97" s="2906"/>
      <c r="FJ97" s="2906"/>
      <c r="FK97" s="2906"/>
      <c r="FL97" s="2906"/>
      <c r="FM97" s="2906">
        <f>IF('C2'!FM52="",0,MAX(0,MIN('C2'!FM52,Class1_UEL)-Class1_PT))</f>
        <v>0</v>
      </c>
      <c r="FN97" s="2906">
        <f>IF('C2'!FN52="",0,MAX(0,MIN('C2'!FN52,Class1_UEL)-Class1_PT))</f>
        <v>0</v>
      </c>
      <c r="FO97" s="2906">
        <f>IF('C2'!FO52="",0,MAX(0,MIN('C2'!FO52,Class1_UEL)-Class1_PT))</f>
        <v>0</v>
      </c>
      <c r="FP97" s="2906">
        <f>IF('C2'!FP52="",0,MAX(0,MIN('C2'!FP52,Class1_UEL)-Class1_PT))</f>
        <v>0</v>
      </c>
      <c r="FQ97" s="2906">
        <f>IF('C2'!FQ52="",0,MAX(0,MIN('C2'!FQ52,Class1_UEL)-Class1_PT))</f>
        <v>0</v>
      </c>
      <c r="FR97" s="2906"/>
      <c r="FS97" s="2906"/>
      <c r="FT97" s="2906"/>
      <c r="FU97" s="2906"/>
      <c r="FV97" s="2906"/>
      <c r="FW97" s="2906">
        <f>IF('C2'!FW52="",0,MAX(0,MIN('C2'!FW52,Class1_UEL)-Class1_PT))</f>
        <v>0</v>
      </c>
      <c r="FX97" s="2906"/>
      <c r="FY97" s="2906"/>
      <c r="FZ97" s="2906"/>
      <c r="GA97" s="2906"/>
      <c r="GB97" s="2906"/>
      <c r="GC97" s="2906">
        <f>IF('C2'!GC52="",0,MAX(0,MIN('C2'!GC52,Class1_UEL)-Class1_PT))</f>
        <v>0</v>
      </c>
      <c r="GD97" s="2906">
        <f>IF('C2'!GD52="",0,MAX(0,MIN('C2'!GD52,Class1_UEL)-Class1_PT))</f>
        <v>0</v>
      </c>
      <c r="GE97" s="2906"/>
      <c r="GF97" s="2906">
        <f>IF('C2'!GF52="",0,MAX(0,MIN('C2'!GF52,Class1_UEL)-Class1_PT))</f>
        <v>0</v>
      </c>
      <c r="GG97" s="2906"/>
      <c r="GH97" s="2906"/>
      <c r="GI97" s="2906"/>
      <c r="GJ97" s="2906"/>
      <c r="GK97" s="2906">
        <f>IF('C2'!GK52="",0,MAX(0,MIN('C2'!GK52,Class1_UEL)-Class1_PT))</f>
        <v>0</v>
      </c>
      <c r="GL97" s="2906"/>
      <c r="GM97" s="2906"/>
      <c r="GN97" s="2906"/>
      <c r="GO97" s="2906">
        <f>IF('C2'!GO52="",0,MAX(0,MIN('C2'!GO52,Class1_UEL)-Class1_PT))</f>
        <v>0</v>
      </c>
      <c r="GP97" s="2906">
        <f>IF('C2'!GP52="",0,MAX(0,MIN('C2'!GP52,Class1_UEL)-Class1_PT))</f>
        <v>0</v>
      </c>
      <c r="GQ97" s="2906">
        <f>IF('C2'!GQ52="",0,MAX(0,MIN('C2'!GQ52,Class1_UEL)-Class1_PT))</f>
        <v>0</v>
      </c>
      <c r="GR97" s="2906">
        <f>IF('C2'!GR52="",0,MAX(0,MIN('C2'!GR52,Class1_UEL)-Class1_PT))</f>
        <v>0</v>
      </c>
      <c r="GS97" s="2906">
        <f>IF('C2'!GS52="",0,MAX(0,MIN('C2'!GS52,Class1_UEL)-Class1_PT))</f>
        <v>0</v>
      </c>
      <c r="GT97" s="2906"/>
      <c r="GU97" s="2906"/>
      <c r="GV97" s="2906">
        <f>IF('C2'!GV52="",0,MAX(0,MIN('C2'!GV52,Class1_UEL)-Class1_PT))</f>
        <v>0</v>
      </c>
      <c r="GW97" s="2906">
        <f>IF('C2'!GW52="",0,MAX(0,MIN('C2'!GW52,Class1_UEL)-Class1_PT))</f>
        <v>0</v>
      </c>
      <c r="GX97" s="2906">
        <f>IF('C2'!GX52="",0,MAX(0,MIN('C2'!GX52,Class1_UEL)-Class1_PT))</f>
        <v>0</v>
      </c>
      <c r="GY97" s="2906"/>
      <c r="GZ97" s="2906">
        <f>IF('C2'!GZ52="",0,MAX(0,MIN('C2'!GZ52,Class1_UEL)-Class1_PT))</f>
        <v>0</v>
      </c>
      <c r="HA97" s="2906">
        <f>IF('C2'!HA52="",0,MAX(0,MIN('C2'!HA52,Class1_UEL)-Class1_PT))</f>
        <v>0</v>
      </c>
      <c r="HB97" s="2906">
        <f>IF('C2'!HB52="",0,MAX(0,MIN('C2'!HB52,Class1_UEL)-Class1_PT))</f>
        <v>0</v>
      </c>
      <c r="HC97" s="2906"/>
      <c r="HD97" s="2906"/>
      <c r="HE97" s="2906"/>
      <c r="HF97" s="2906">
        <f>IF('C2'!HF52="",0,MAX(0,MIN('C2'!HF52,Class1_UEL)-Class1_PT))</f>
        <v>0</v>
      </c>
      <c r="HG97" s="2906">
        <f>IF('C2'!HG52="",0,MAX(0,MIN('C2'!HG52,Class1_UEL)-Class1_PT))</f>
        <v>0</v>
      </c>
      <c r="HH97" s="2906"/>
      <c r="HI97" s="2906">
        <f>IF('C2'!HI52="",0,MAX(0,MIN('C2'!HI52,Class1_UEL)-Class1_PT))</f>
        <v>0</v>
      </c>
      <c r="HJ97" s="2906"/>
      <c r="HK97" s="2906"/>
      <c r="HL97" s="2906"/>
      <c r="HM97" s="2906"/>
      <c r="HN97" s="2906"/>
      <c r="HO97" s="2906">
        <f>IF('C2'!HO52="",0,MAX(0,MIN('C2'!HO52,Class1_UEL)-Class1_PT))</f>
        <v>0</v>
      </c>
      <c r="HP97" s="2906"/>
      <c r="HQ97" s="2906"/>
      <c r="HR97" s="2906"/>
      <c r="HS97" s="2906"/>
      <c r="HT97" s="2906"/>
      <c r="HU97" s="2906"/>
      <c r="HV97" s="2906"/>
      <c r="HW97" s="2906"/>
      <c r="HX97" s="2906"/>
      <c r="HY97" s="2906">
        <f>IF('C2'!HY52="",0,MAX(0,MIN('C2'!HY52,Class1_UEL)-Class1_PT))</f>
        <v>0</v>
      </c>
      <c r="HZ97" s="2906"/>
      <c r="IA97" s="2906"/>
      <c r="IB97" s="2906"/>
      <c r="IC97" s="2906"/>
      <c r="ID97" s="2906"/>
      <c r="IE97" s="2906">
        <f>IF('C2'!IE52="",0,MAX(0,MIN('C2'!IE52,Class1_UEL)-Class1_PT))</f>
        <v>0</v>
      </c>
      <c r="IF97" s="2906">
        <f>IF('C2'!IF52="",0,MAX(0,MIN('C2'!IF52,Class1_UEL)-Class1_PT))</f>
        <v>0</v>
      </c>
      <c r="IG97" s="2906">
        <f>IF('C2'!IG52="",0,MAX(0,MIN('C2'!IG52,Class1_UEL)-Class1_PT))</f>
        <v>0</v>
      </c>
      <c r="IH97" s="2906">
        <f>IF('C2'!IH52="",0,MAX(0,MIN('C2'!IH52,Class1_UEL)-Class1_PT))</f>
        <v>0</v>
      </c>
      <c r="II97" s="2906">
        <f>IF('C2'!II52="",0,MAX(0,MIN('C2'!II52,Class1_UEL)-Class1_PT))</f>
        <v>0</v>
      </c>
      <c r="IJ97" s="2906"/>
      <c r="IK97" s="2906">
        <f>IF('C2'!IK52="",0,MAX(0,MIN('C2'!IK52,Class1_UEL)-Class1_PT))</f>
        <v>0</v>
      </c>
      <c r="IL97" s="2906"/>
      <c r="IM97" s="2906"/>
      <c r="IN97" s="2906"/>
      <c r="IO97" s="2906">
        <f>IF('C2'!IO52="",0,MAX(0,MIN('C2'!IO52,Class1_UEL)-Class1_PT))</f>
        <v>0</v>
      </c>
      <c r="IP97" s="2906"/>
      <c r="IQ97" s="2906"/>
      <c r="IR97" s="2906"/>
      <c r="IS97" s="2906">
        <f>IF('C2'!IS52="",0,MAX(0,MIN('C2'!IS52,Class1_UEL)-Class1_PT))</f>
        <v>0</v>
      </c>
      <c r="IT97" s="2906"/>
      <c r="IU97" s="2906"/>
      <c r="IV97" s="2906"/>
      <c r="IW97" s="2906"/>
      <c r="IX97" s="2906"/>
      <c r="IY97" s="2906"/>
      <c r="IZ97" s="2906">
        <f>IF('C2'!IZ52="",0,MAX(0,MIN('C2'!IZ52,Class1_UEL)-Class1_PT))</f>
        <v>0</v>
      </c>
      <c r="JA97" s="2906"/>
      <c r="JB97" s="2906"/>
      <c r="JC97" s="2906"/>
      <c r="JD97" s="2906"/>
      <c r="JE97" s="2906"/>
      <c r="JF97" s="2906"/>
      <c r="JG97" s="2906"/>
    </row>
  </sheetData>
  <phoneticPr fontId="67" type="noConversion"/>
  <dataValidations count="1">
    <dataValidation allowBlank="1" showErrorMessage="1" showInputMessage="1" sqref="JJ51:JJ89 JJ27:JJ48 JJ3:JJ24" type="list" xr:uid="{00000000-0002-0000-0B00-000000000000}">
      <formula1>allowedTypes</formula1>
    </dataValidation>
  </dataValidations>
  <pageMargins bottom="1" footer="0.5" header="0.5" left="0.75" right="0.75" top="1"/>
  <pageSetup horizontalDpi="1200" orientation="portrait" paperSize="9" r:id="rId1" scale="86" verticalDpi="1200"/>
  <headerFooter alignWithMargins="0"/>
  <colBreaks count="1" manualBreakCount="1">
    <brk id="12" man="1" max="1048575"/>
  </colBreaks>
  <legacyDrawing r:id="rId2"/>
</worksheet>
</file>

<file path=xl/worksheets/sheet13.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xmlns:xr="http://schemas.microsoft.com/office/spreadsheetml/2014/revision" xmlns:xr2="http://schemas.microsoft.com/office/spreadsheetml/2015/revision2" xmlns:xr3="http://schemas.microsoft.com/office/spreadsheetml/2016/revision3" mc:Ignorable="x14ac xr xr2 xr3" xr:uid="{00000000-0001-0000-0C00-000000000000}">
  <sheetPr codeName="Sheet64"/>
  <dimension ref="A1:JK217"/>
  <sheetViews>
    <sheetView showGridLines="0" workbookViewId="0" zoomScaleNormal="100">
      <pane activePane="bottomRight" state="frozen" topLeftCell="E67" xSplit="4" ySplit="1"/>
      <selection activeCell="E1" pane="topRight" sqref="E1"/>
      <selection activeCell="A2" pane="bottomLeft" sqref="A2"/>
      <selection activeCell="IT11" pane="bottomRight" sqref="IT11"/>
    </sheetView>
  </sheetViews>
  <sheetFormatPr defaultColWidth="9.140625" defaultRowHeight="12" x14ac:dyDescent="0.2"/>
  <cols>
    <col min="1" max="1" bestFit="true" customWidth="true" style="1127" width="3.85546875" collapsed="true"/>
    <col min="2" max="2" customWidth="true" style="181" width="10.0" collapsed="true"/>
    <col min="3" max="3" customWidth="true" style="381" width="8.0" collapsed="true"/>
    <col min="4" max="4" customWidth="true" style="381" width="50.7109375" collapsed="true"/>
    <col min="5" max="9" customWidth="true" style="181" width="10.7109375" collapsed="true"/>
    <col min="10" max="10" customWidth="true" style="181" width="11.0" collapsed="true"/>
    <col min="11" max="11" bestFit="true" customWidth="true" style="181" width="11.28515625" collapsed="true"/>
    <col min="12" max="13" customWidth="true" style="181" width="10.7109375" collapsed="true"/>
    <col min="14" max="17" style="181" width="9.140625" collapsed="true"/>
    <col min="18" max="18" bestFit="true" customWidth="true" style="181" width="9.85546875" collapsed="true"/>
    <col min="19" max="29" customWidth="true" style="181" width="9.85546875" collapsed="true"/>
    <col min="30" max="34" customWidth="true" style="34" width="9.85546875" collapsed="true"/>
    <col min="35" max="265" customWidth="true" style="181" width="9.85546875" collapsed="true"/>
    <col min="266" max="266" customWidth="true" style="181" width="15.28515625" collapsed="true"/>
    <col min="267" max="267" customWidth="true" style="181" width="9.85546875" collapsed="true"/>
    <col min="268" max="268" customWidth="true" style="181" width="2.140625" collapsed="true"/>
    <col min="269" max="269" customWidth="true" style="6" width="34.7109375" collapsed="true"/>
    <col min="270" max="270" customWidth="true" style="4" width="32.0" collapsed="true"/>
    <col min="271" max="16384" style="181" width="9.140625" collapsed="true"/>
  </cols>
  <sheetData>
    <row ht="12.75" r="1" spans="1:270" thickBot="1" x14ac:dyDescent="0.25">
      <c r="E1" s="2463">
        <v>1</v>
      </c>
      <c r="F1" s="2463">
        <v>2</v>
      </c>
      <c r="G1" s="2463">
        <v>3</v>
      </c>
      <c r="H1" s="2463">
        <v>4</v>
      </c>
      <c r="I1" s="2463">
        <v>5</v>
      </c>
      <c r="J1" s="2463">
        <v>6</v>
      </c>
      <c r="K1" s="2463">
        <v>7</v>
      </c>
      <c r="L1" s="2463">
        <v>8</v>
      </c>
      <c r="M1" s="2463">
        <v>9</v>
      </c>
      <c r="N1" s="2463">
        <v>10</v>
      </c>
      <c r="O1" s="2463">
        <v>11</v>
      </c>
      <c r="P1" s="2463">
        <v>12</v>
      </c>
      <c r="Q1" s="2463">
        <v>13</v>
      </c>
      <c r="R1" s="2463">
        <v>14</v>
      </c>
      <c r="S1" s="2463">
        <v>15</v>
      </c>
      <c r="T1" s="2463">
        <v>16</v>
      </c>
      <c r="U1" s="2463">
        <v>17</v>
      </c>
      <c r="V1" s="2463">
        <v>18</v>
      </c>
      <c r="W1" s="2463">
        <v>19</v>
      </c>
      <c r="X1" s="2463">
        <v>20</v>
      </c>
      <c r="Y1" s="2463">
        <v>21</v>
      </c>
      <c r="Z1" s="2463">
        <v>22</v>
      </c>
      <c r="AA1" s="2463">
        <v>23</v>
      </c>
      <c r="AB1" s="2463">
        <v>24</v>
      </c>
      <c r="AC1" s="2463">
        <v>25</v>
      </c>
      <c r="AD1" s="3511">
        <v>26</v>
      </c>
      <c r="AE1" s="3511">
        <v>27</v>
      </c>
      <c r="AF1" s="3511">
        <v>28</v>
      </c>
      <c r="AG1" s="3511">
        <v>29</v>
      </c>
      <c r="AH1" s="3511">
        <v>30</v>
      </c>
      <c r="AI1" s="2463">
        <v>31</v>
      </c>
      <c r="AJ1" s="2463">
        <v>32</v>
      </c>
      <c r="AK1" s="2463">
        <v>33</v>
      </c>
      <c r="AL1" s="2463">
        <v>34</v>
      </c>
      <c r="AM1" s="2463">
        <v>35</v>
      </c>
      <c r="AN1" s="2463">
        <v>36</v>
      </c>
      <c r="AO1" s="2463">
        <v>37</v>
      </c>
      <c r="AP1" s="2463">
        <v>38</v>
      </c>
      <c r="AQ1" s="2463">
        <v>39</v>
      </c>
      <c r="AR1" s="2463">
        <v>40</v>
      </c>
      <c r="AS1" s="2463">
        <v>41</v>
      </c>
      <c r="AT1" s="2463">
        <v>42</v>
      </c>
      <c r="AU1" s="2463">
        <v>43</v>
      </c>
      <c r="AV1" s="2463">
        <v>44</v>
      </c>
      <c r="AW1" s="2463">
        <v>45</v>
      </c>
      <c r="AX1" s="2463">
        <v>46</v>
      </c>
      <c r="AY1" s="2463">
        <v>47</v>
      </c>
      <c r="AZ1" s="2463">
        <v>48</v>
      </c>
      <c r="BA1" s="2463">
        <v>49</v>
      </c>
      <c r="BB1" s="2463">
        <v>50</v>
      </c>
      <c r="BC1" s="2463">
        <v>51</v>
      </c>
      <c r="BD1" s="2463">
        <v>52</v>
      </c>
      <c r="BE1" s="2463">
        <v>53</v>
      </c>
      <c r="BF1" s="2463">
        <v>54</v>
      </c>
      <c r="BG1" s="2463">
        <v>55</v>
      </c>
      <c r="BH1" s="2463">
        <v>56</v>
      </c>
      <c r="BI1" s="2463">
        <v>57</v>
      </c>
      <c r="BJ1" s="2463">
        <v>58</v>
      </c>
      <c r="BK1" s="2463">
        <v>59</v>
      </c>
      <c r="BL1" s="2463">
        <v>60</v>
      </c>
      <c r="BM1" s="2463">
        <v>61</v>
      </c>
      <c r="BN1" s="2463">
        <v>62</v>
      </c>
      <c r="BO1" s="2463">
        <v>63</v>
      </c>
      <c r="BP1" s="2463">
        <v>64</v>
      </c>
      <c r="BQ1" s="2463">
        <v>65</v>
      </c>
      <c r="BR1" s="2463">
        <v>66</v>
      </c>
      <c r="BS1" s="2463">
        <v>67</v>
      </c>
      <c r="BT1" s="2463">
        <v>68</v>
      </c>
      <c r="BU1" s="2463">
        <v>69</v>
      </c>
      <c r="BV1" s="2463">
        <v>70</v>
      </c>
      <c r="BW1" s="2463">
        <v>71</v>
      </c>
      <c r="BX1" s="2463">
        <v>72</v>
      </c>
      <c r="BY1" s="2463">
        <v>73</v>
      </c>
      <c r="BZ1" s="2463">
        <v>74</v>
      </c>
      <c r="CA1" s="2463">
        <v>75</v>
      </c>
      <c r="CB1" s="2463">
        <v>76</v>
      </c>
      <c r="CC1" s="2463">
        <v>77</v>
      </c>
      <c r="CD1" s="2463">
        <v>78</v>
      </c>
      <c r="CE1" s="2463">
        <v>79</v>
      </c>
      <c r="CF1" s="2463">
        <v>80</v>
      </c>
      <c r="CG1" s="2463">
        <v>81</v>
      </c>
      <c r="CH1" s="2463">
        <v>82</v>
      </c>
      <c r="CI1" s="2463">
        <v>83</v>
      </c>
      <c r="CJ1" s="2463">
        <v>84</v>
      </c>
      <c r="CK1" s="2463">
        <v>85</v>
      </c>
      <c r="CL1" s="2463">
        <v>86</v>
      </c>
      <c r="CM1" s="2463">
        <v>87</v>
      </c>
      <c r="CN1" s="2463">
        <v>88</v>
      </c>
      <c r="CO1" s="2463">
        <v>89</v>
      </c>
      <c r="CP1" s="2463">
        <v>90</v>
      </c>
      <c r="CQ1" s="2463">
        <v>91</v>
      </c>
      <c r="CR1" s="2463">
        <v>92</v>
      </c>
      <c r="CS1" s="2463">
        <v>93</v>
      </c>
      <c r="CT1" s="2463">
        <v>94</v>
      </c>
      <c r="CU1" s="2463">
        <v>95</v>
      </c>
      <c r="CV1" s="2463">
        <v>96</v>
      </c>
      <c r="CW1" s="2463">
        <v>97</v>
      </c>
      <c r="CX1" s="2463">
        <v>98</v>
      </c>
      <c r="CY1" s="2463">
        <v>99</v>
      </c>
      <c r="CZ1" s="2463">
        <v>100</v>
      </c>
      <c r="DA1" s="2463">
        <v>101</v>
      </c>
      <c r="DB1" s="2463">
        <v>102</v>
      </c>
      <c r="DC1" s="2463">
        <v>103</v>
      </c>
      <c r="DD1" s="2463">
        <v>104</v>
      </c>
      <c r="DE1" s="2463">
        <v>105</v>
      </c>
      <c r="DF1" s="2463">
        <v>106</v>
      </c>
      <c r="DG1" s="2463">
        <v>107</v>
      </c>
      <c r="DH1" s="2463">
        <v>108</v>
      </c>
      <c r="DI1" s="2463">
        <v>109</v>
      </c>
      <c r="DJ1" s="2463">
        <v>110</v>
      </c>
      <c r="DK1" s="2463">
        <v>111</v>
      </c>
      <c r="DL1" s="2463">
        <v>112</v>
      </c>
      <c r="DM1" s="2463">
        <v>113</v>
      </c>
      <c r="DN1" s="2463">
        <v>114</v>
      </c>
      <c r="DO1" s="2463">
        <v>115</v>
      </c>
      <c r="DP1" s="2463">
        <v>116</v>
      </c>
      <c r="DQ1" s="2463">
        <v>117</v>
      </c>
      <c r="DR1" s="2463">
        <v>118</v>
      </c>
      <c r="DS1" s="2463">
        <v>119</v>
      </c>
      <c r="DT1" s="2463">
        <v>120</v>
      </c>
      <c r="DU1" s="2463">
        <v>121</v>
      </c>
      <c r="DV1" s="2463">
        <v>122</v>
      </c>
      <c r="DW1" s="2463">
        <v>123</v>
      </c>
      <c r="DX1" s="2463">
        <v>124</v>
      </c>
      <c r="DY1" s="2463">
        <v>125</v>
      </c>
      <c r="DZ1" s="2463">
        <v>126</v>
      </c>
      <c r="EA1" s="2463">
        <v>127</v>
      </c>
      <c r="EB1" s="2463">
        <v>128</v>
      </c>
      <c r="EC1" s="2463">
        <v>129</v>
      </c>
      <c r="ED1" s="2463">
        <v>130</v>
      </c>
      <c r="EE1" s="2463">
        <v>131</v>
      </c>
      <c r="EF1" s="2463">
        <v>132</v>
      </c>
      <c r="EG1" s="2463">
        <v>133</v>
      </c>
      <c r="EH1" s="2463">
        <v>134</v>
      </c>
      <c r="EI1" s="2463">
        <v>135</v>
      </c>
      <c r="EJ1" s="2463">
        <v>136</v>
      </c>
      <c r="EK1" s="2463">
        <v>137</v>
      </c>
      <c r="EL1" s="2463">
        <v>138</v>
      </c>
      <c r="EM1" s="2463">
        <v>139</v>
      </c>
      <c r="EN1" s="2463">
        <v>140</v>
      </c>
      <c r="EO1" s="2463">
        <v>141</v>
      </c>
      <c r="EP1" s="2463">
        <v>142</v>
      </c>
      <c r="EQ1" s="2463">
        <v>143</v>
      </c>
      <c r="ER1" s="2463">
        <v>144</v>
      </c>
      <c r="ES1" s="2463">
        <v>145</v>
      </c>
      <c r="ET1" s="2463">
        <v>146</v>
      </c>
      <c r="EU1" s="2463">
        <v>147</v>
      </c>
      <c r="EV1" s="2463">
        <v>148</v>
      </c>
      <c r="EW1" s="2463">
        <v>149</v>
      </c>
      <c r="EX1" s="2463">
        <v>150</v>
      </c>
      <c r="EY1" s="2463">
        <v>151</v>
      </c>
      <c r="EZ1" s="2463">
        <v>152</v>
      </c>
      <c r="FA1" s="2463">
        <v>153</v>
      </c>
      <c r="FB1" s="2463">
        <v>154</v>
      </c>
      <c r="FC1" s="2463">
        <v>155</v>
      </c>
      <c r="FD1" s="2463">
        <v>156</v>
      </c>
      <c r="FE1" s="2463">
        <v>157</v>
      </c>
      <c r="FF1" s="2463">
        <v>158</v>
      </c>
      <c r="FG1" s="2463">
        <v>159</v>
      </c>
      <c r="FH1" s="2463">
        <v>160</v>
      </c>
      <c r="FI1" s="2463">
        <v>161</v>
      </c>
      <c r="FJ1" s="2463">
        <v>162</v>
      </c>
      <c r="FK1" s="2463">
        <v>163</v>
      </c>
      <c r="FL1" s="2463">
        <v>164</v>
      </c>
      <c r="FM1" s="2463">
        <v>165</v>
      </c>
      <c r="FN1" s="2463">
        <v>166</v>
      </c>
      <c r="FO1" s="2463">
        <v>167</v>
      </c>
      <c r="FP1" s="2463">
        <v>168</v>
      </c>
      <c r="FQ1" s="2463">
        <v>169</v>
      </c>
      <c r="FR1" s="2463">
        <v>170</v>
      </c>
      <c r="FS1" s="2463">
        <v>171</v>
      </c>
      <c r="FT1" s="2463">
        <v>172</v>
      </c>
      <c r="FU1" s="2463">
        <v>173</v>
      </c>
      <c r="FV1" s="2463">
        <v>174</v>
      </c>
      <c r="FW1" s="2463">
        <v>175</v>
      </c>
      <c r="FX1" s="2463">
        <v>176</v>
      </c>
      <c r="FY1" s="2463">
        <v>177</v>
      </c>
      <c r="FZ1" s="2463">
        <v>178</v>
      </c>
      <c r="GA1" s="2463">
        <v>179</v>
      </c>
      <c r="GB1" s="2463">
        <v>180</v>
      </c>
      <c r="GC1" s="2463">
        <v>181</v>
      </c>
      <c r="GD1" s="2463">
        <v>182</v>
      </c>
      <c r="GE1" s="2463">
        <v>183</v>
      </c>
      <c r="GF1" s="2463">
        <v>184</v>
      </c>
      <c r="GG1" s="2463">
        <v>185</v>
      </c>
      <c r="GH1" s="2463">
        <v>186</v>
      </c>
      <c r="GI1" s="2463">
        <v>187</v>
      </c>
      <c r="GJ1" s="2463">
        <v>188</v>
      </c>
      <c r="GK1" s="2463">
        <v>189</v>
      </c>
      <c r="GL1" s="2463">
        <v>190</v>
      </c>
      <c r="GM1" s="2463">
        <v>191</v>
      </c>
      <c r="GN1" s="2463">
        <v>192</v>
      </c>
      <c r="GO1" s="2463">
        <v>193</v>
      </c>
      <c r="GP1" s="2463">
        <v>194</v>
      </c>
      <c r="GQ1" s="2463">
        <v>195</v>
      </c>
      <c r="GR1" s="2463">
        <v>196</v>
      </c>
      <c r="GS1" s="2463">
        <v>197</v>
      </c>
      <c r="GT1" s="2463">
        <v>198</v>
      </c>
      <c r="GU1" s="2463">
        <v>199</v>
      </c>
      <c r="GV1" s="2463">
        <v>200</v>
      </c>
      <c r="GW1" s="2463">
        <v>201</v>
      </c>
      <c r="GX1" s="2463">
        <v>202</v>
      </c>
      <c r="GY1" s="2463">
        <v>203</v>
      </c>
      <c r="GZ1" s="2463">
        <v>204</v>
      </c>
      <c r="HA1" s="2463">
        <v>205</v>
      </c>
      <c r="HB1" s="2463">
        <v>206</v>
      </c>
      <c r="HC1" s="2463">
        <v>207</v>
      </c>
      <c r="HD1" s="2463">
        <v>208</v>
      </c>
      <c r="HE1" s="2463">
        <v>209</v>
      </c>
      <c r="HF1" s="2463">
        <v>210</v>
      </c>
      <c r="HG1" s="2463">
        <v>211</v>
      </c>
      <c r="HH1" s="2463">
        <v>212</v>
      </c>
      <c r="HI1" s="2463">
        <v>213</v>
      </c>
      <c r="HJ1" s="2463">
        <v>214</v>
      </c>
      <c r="HK1" s="2463">
        <v>215</v>
      </c>
      <c r="HL1" s="2463">
        <v>216</v>
      </c>
      <c r="HM1" s="2463">
        <v>217</v>
      </c>
      <c r="HN1" s="2463">
        <v>218</v>
      </c>
      <c r="HO1" s="2463">
        <v>219</v>
      </c>
      <c r="HP1" s="2463">
        <v>220</v>
      </c>
      <c r="HQ1" s="2463">
        <v>221</v>
      </c>
      <c r="HR1" s="2463">
        <v>222</v>
      </c>
      <c r="HS1" s="2463">
        <v>223</v>
      </c>
      <c r="HT1" s="2463">
        <v>224</v>
      </c>
      <c r="HU1" s="2463">
        <v>225</v>
      </c>
      <c r="HV1" s="2463">
        <v>226</v>
      </c>
      <c r="HW1" s="2463">
        <v>227</v>
      </c>
      <c r="HX1" s="2463">
        <v>228</v>
      </c>
      <c r="HY1" s="2463">
        <v>229</v>
      </c>
      <c r="HZ1" s="2463">
        <v>230</v>
      </c>
      <c r="IA1" s="2463">
        <v>231</v>
      </c>
      <c r="IB1" s="2463">
        <v>232</v>
      </c>
      <c r="IC1" s="2463">
        <v>233</v>
      </c>
      <c r="ID1" s="2463">
        <v>234</v>
      </c>
      <c r="IE1" s="2463">
        <v>235</v>
      </c>
      <c r="IF1" s="2463">
        <v>236</v>
      </c>
      <c r="IG1" s="2463">
        <v>237</v>
      </c>
      <c r="IH1" s="2463">
        <v>238</v>
      </c>
      <c r="II1" s="2463">
        <v>239</v>
      </c>
      <c r="IJ1" s="2463">
        <v>240</v>
      </c>
      <c r="IK1" s="2463">
        <v>241</v>
      </c>
      <c r="IL1" s="2463">
        <v>242</v>
      </c>
      <c r="IM1" s="2463">
        <v>243</v>
      </c>
      <c r="IN1" s="2463">
        <v>244</v>
      </c>
      <c r="IO1" s="2463">
        <v>245</v>
      </c>
      <c r="IP1" s="2463">
        <v>246</v>
      </c>
      <c r="IQ1" s="2463">
        <v>247</v>
      </c>
      <c r="IR1" s="2463">
        <v>248</v>
      </c>
      <c r="IS1" s="2463">
        <v>249</v>
      </c>
      <c r="IT1" s="2463">
        <v>250</v>
      </c>
      <c r="IU1" s="2463">
        <v>251</v>
      </c>
      <c r="IV1" s="2463">
        <v>252</v>
      </c>
      <c r="IW1" s="2463">
        <v>253</v>
      </c>
      <c r="IX1" s="2463">
        <v>254</v>
      </c>
      <c r="IY1" s="2463">
        <v>255</v>
      </c>
      <c r="IZ1" s="2463">
        <v>256</v>
      </c>
      <c r="JA1" s="2463">
        <v>257</v>
      </c>
      <c r="JB1" s="2463">
        <v>258</v>
      </c>
      <c r="JC1" s="2463">
        <v>259</v>
      </c>
      <c r="JD1" s="2463">
        <v>260</v>
      </c>
      <c r="JE1" s="2463">
        <v>261</v>
      </c>
      <c r="JF1" s="2463">
        <v>262</v>
      </c>
      <c r="JG1" s="3511">
        <v>263</v>
      </c>
      <c r="JH1" s="1233"/>
      <c r="JI1" s="4279" t="s">
        <v>5040</v>
      </c>
      <c r="JJ1" s="1688" t="s">
        <v>6104</v>
      </c>
    </row>
    <row r="2" spans="1:270" x14ac:dyDescent="0.2">
      <c r="A2" s="1128" t="s">
        <v>4479</v>
      </c>
      <c r="B2" s="2755" t="str">
        <f>"selected "&amp;SE_A_IND-1</f>
        <v>selected 0</v>
      </c>
      <c r="C2" s="1383" t="s">
        <v>2076</v>
      </c>
      <c r="D2" s="1348"/>
      <c r="E2" s="2026">
        <v>1</v>
      </c>
      <c r="F2" s="2026">
        <v>2</v>
      </c>
      <c r="G2" s="2026">
        <v>3</v>
      </c>
      <c r="H2" s="2026">
        <v>4</v>
      </c>
      <c r="I2" s="2026">
        <v>5</v>
      </c>
      <c r="J2" s="2026">
        <v>6</v>
      </c>
      <c r="K2" s="2026">
        <v>7</v>
      </c>
      <c r="L2" s="2026">
        <v>8</v>
      </c>
      <c r="M2" s="2026">
        <v>9</v>
      </c>
      <c r="N2" s="2026">
        <v>10</v>
      </c>
      <c r="O2" s="2484">
        <v>11</v>
      </c>
      <c r="P2" s="2484">
        <v>12</v>
      </c>
      <c r="Q2" s="2484">
        <v>13</v>
      </c>
      <c r="R2" s="2484">
        <v>14</v>
      </c>
      <c r="S2" s="2484">
        <v>15</v>
      </c>
      <c r="T2" s="2484">
        <v>16</v>
      </c>
      <c r="U2" s="2484">
        <v>17</v>
      </c>
      <c r="V2" s="2484">
        <v>18</v>
      </c>
      <c r="W2" s="2484">
        <v>19</v>
      </c>
      <c r="X2" s="2484">
        <v>20</v>
      </c>
      <c r="Y2" s="2484">
        <v>21</v>
      </c>
      <c r="Z2" s="2026">
        <v>22</v>
      </c>
      <c r="AA2" s="2484">
        <v>23</v>
      </c>
      <c r="AB2" s="2484">
        <v>24</v>
      </c>
      <c r="AC2" s="2026">
        <v>25</v>
      </c>
      <c r="AD2" s="3517">
        <v>26</v>
      </c>
      <c r="AE2" s="3517">
        <v>27</v>
      </c>
      <c r="AF2" s="3517">
        <v>28</v>
      </c>
      <c r="AG2" s="3517">
        <v>29</v>
      </c>
      <c r="AH2" s="3517">
        <v>30</v>
      </c>
      <c r="AI2" s="2026">
        <v>31</v>
      </c>
      <c r="AJ2" s="2026">
        <v>32</v>
      </c>
      <c r="AK2" s="2026">
        <v>33</v>
      </c>
      <c r="AL2" s="2026">
        <v>34</v>
      </c>
      <c r="AM2" s="2026">
        <v>35</v>
      </c>
      <c r="AN2" s="2026">
        <v>36</v>
      </c>
      <c r="AO2" s="2026">
        <v>37</v>
      </c>
      <c r="AP2" s="2026">
        <v>38</v>
      </c>
      <c r="AQ2" s="2026">
        <v>39</v>
      </c>
      <c r="AR2" s="2026">
        <v>40</v>
      </c>
      <c r="AS2" s="2026">
        <v>41</v>
      </c>
      <c r="AT2" s="2026">
        <v>42</v>
      </c>
      <c r="AU2" s="2026">
        <v>43</v>
      </c>
      <c r="AV2" s="2026">
        <v>44</v>
      </c>
      <c r="AW2" s="2026">
        <v>45</v>
      </c>
      <c r="AX2" s="2026">
        <v>46</v>
      </c>
      <c r="AY2" s="2026">
        <v>47</v>
      </c>
      <c r="AZ2" s="2026">
        <v>48</v>
      </c>
      <c r="BA2" s="2026">
        <v>49</v>
      </c>
      <c r="BB2" s="2026">
        <v>50</v>
      </c>
      <c r="BC2" s="2026">
        <v>51</v>
      </c>
      <c r="BD2" s="2026">
        <v>52</v>
      </c>
      <c r="BE2" s="2026">
        <v>53</v>
      </c>
      <c r="BF2" s="2026">
        <v>54</v>
      </c>
      <c r="BG2" s="2026">
        <v>55</v>
      </c>
      <c r="BH2" s="2026">
        <v>56</v>
      </c>
      <c r="BI2" s="2026">
        <v>57</v>
      </c>
      <c r="BJ2" s="2026">
        <v>58</v>
      </c>
      <c r="BK2" s="2026">
        <v>59</v>
      </c>
      <c r="BL2" s="2026">
        <v>60</v>
      </c>
      <c r="BM2" s="2026">
        <v>61</v>
      </c>
      <c r="BN2" s="2026">
        <v>62</v>
      </c>
      <c r="BO2" s="2026">
        <v>63</v>
      </c>
      <c r="BP2" s="2026">
        <v>64</v>
      </c>
      <c r="BQ2" s="2026">
        <v>65</v>
      </c>
      <c r="BR2" s="2026">
        <v>66</v>
      </c>
      <c r="BS2" s="2026">
        <v>67</v>
      </c>
      <c r="BT2" s="2026">
        <v>68</v>
      </c>
      <c r="BU2" s="2026">
        <v>69</v>
      </c>
      <c r="BV2" s="2026">
        <v>70</v>
      </c>
      <c r="BW2" s="2026">
        <v>71</v>
      </c>
      <c r="BX2" s="2026">
        <v>72</v>
      </c>
      <c r="BY2" s="2026">
        <v>73</v>
      </c>
      <c r="BZ2" s="2026">
        <v>74</v>
      </c>
      <c r="CA2" s="2026">
        <v>75</v>
      </c>
      <c r="CB2" s="2026">
        <v>76</v>
      </c>
      <c r="CC2" s="2026">
        <v>77</v>
      </c>
      <c r="CD2" s="2026">
        <v>78</v>
      </c>
      <c r="CE2" s="2026">
        <v>79</v>
      </c>
      <c r="CF2" s="2026">
        <v>80</v>
      </c>
      <c r="CG2" s="2026">
        <v>81</v>
      </c>
      <c r="CH2" s="2026">
        <v>82</v>
      </c>
      <c r="CI2" s="2026">
        <v>83</v>
      </c>
      <c r="CJ2" s="2026">
        <v>84</v>
      </c>
      <c r="CK2" s="2026">
        <v>85</v>
      </c>
      <c r="CL2" s="2026">
        <v>86</v>
      </c>
      <c r="CM2" s="2026">
        <v>87</v>
      </c>
      <c r="CN2" s="2026">
        <v>88</v>
      </c>
      <c r="CO2" s="2026">
        <v>89</v>
      </c>
      <c r="CP2" s="2026">
        <v>90</v>
      </c>
      <c r="CQ2" s="2026">
        <v>91</v>
      </c>
      <c r="CR2" s="2026">
        <v>92</v>
      </c>
      <c r="CS2" s="2026">
        <v>93</v>
      </c>
      <c r="CT2" s="2026">
        <v>94</v>
      </c>
      <c r="CU2" s="2026">
        <v>95</v>
      </c>
      <c r="CV2" s="2026">
        <v>96</v>
      </c>
      <c r="CW2" s="2026">
        <v>97</v>
      </c>
      <c r="CX2" s="2026">
        <v>98</v>
      </c>
      <c r="CY2" s="2026">
        <v>99</v>
      </c>
      <c r="CZ2" s="2026">
        <v>100</v>
      </c>
      <c r="DA2" s="2026">
        <v>101</v>
      </c>
      <c r="DB2" s="2026">
        <v>102</v>
      </c>
      <c r="DC2" s="2026">
        <v>103</v>
      </c>
      <c r="DD2" s="2026">
        <v>104</v>
      </c>
      <c r="DE2" s="2026">
        <v>105</v>
      </c>
      <c r="DF2" s="2026">
        <v>106</v>
      </c>
      <c r="DG2" s="2026">
        <v>107</v>
      </c>
      <c r="DH2" s="2026">
        <v>108</v>
      </c>
      <c r="DI2" s="2026">
        <v>109</v>
      </c>
      <c r="DJ2" s="2026">
        <v>110</v>
      </c>
      <c r="DK2" s="2026">
        <v>111</v>
      </c>
      <c r="DL2" s="2026">
        <v>112</v>
      </c>
      <c r="DM2" s="2026">
        <v>113</v>
      </c>
      <c r="DN2" s="2026">
        <v>114</v>
      </c>
      <c r="DO2" s="2026">
        <v>115</v>
      </c>
      <c r="DP2" s="2026">
        <v>116</v>
      </c>
      <c r="DQ2" s="2026">
        <v>117</v>
      </c>
      <c r="DR2" s="2026">
        <v>118</v>
      </c>
      <c r="DS2" s="2026">
        <v>119</v>
      </c>
      <c r="DT2" s="2026">
        <v>120</v>
      </c>
      <c r="DU2" s="2026">
        <v>121</v>
      </c>
      <c r="DV2" s="2026">
        <v>122</v>
      </c>
      <c r="DW2" s="2026">
        <v>123</v>
      </c>
      <c r="DX2" s="2026">
        <v>124</v>
      </c>
      <c r="DY2" s="2026">
        <v>125</v>
      </c>
      <c r="DZ2" s="2026">
        <v>126</v>
      </c>
      <c r="EA2" s="2026">
        <v>127</v>
      </c>
      <c r="EB2" s="2026">
        <v>128</v>
      </c>
      <c r="EC2" s="2026">
        <v>129</v>
      </c>
      <c r="ED2" s="2026">
        <v>130</v>
      </c>
      <c r="EE2" s="2026">
        <v>131</v>
      </c>
      <c r="EF2" s="2026">
        <v>132</v>
      </c>
      <c r="EG2" s="2026">
        <v>133</v>
      </c>
      <c r="EH2" s="2026">
        <v>134</v>
      </c>
      <c r="EI2" s="2026">
        <v>135</v>
      </c>
      <c r="EJ2" s="2026">
        <v>136</v>
      </c>
      <c r="EK2" s="2026">
        <v>137</v>
      </c>
      <c r="EL2" s="2026">
        <v>138</v>
      </c>
      <c r="EM2" s="2026">
        <v>139</v>
      </c>
      <c r="EN2" s="2026">
        <v>140</v>
      </c>
      <c r="EO2" s="2026">
        <v>141</v>
      </c>
      <c r="EP2" s="2026">
        <v>142</v>
      </c>
      <c r="EQ2" s="2026">
        <v>143</v>
      </c>
      <c r="ER2" s="2026">
        <v>144</v>
      </c>
      <c r="ES2" s="2026">
        <v>145</v>
      </c>
      <c r="ET2" s="2026">
        <v>146</v>
      </c>
      <c r="EU2" s="2026">
        <v>147</v>
      </c>
      <c r="EV2" s="2026">
        <v>148</v>
      </c>
      <c r="EW2" s="2026">
        <v>149</v>
      </c>
      <c r="EX2" s="2026">
        <v>150</v>
      </c>
      <c r="EY2" s="2026">
        <v>151</v>
      </c>
      <c r="EZ2" s="2026">
        <v>152</v>
      </c>
      <c r="FA2" s="2026">
        <v>153</v>
      </c>
      <c r="FB2" s="2026">
        <v>154</v>
      </c>
      <c r="FC2" s="2026">
        <v>155</v>
      </c>
      <c r="FD2" s="2026">
        <v>156</v>
      </c>
      <c r="FE2" s="2026">
        <v>157</v>
      </c>
      <c r="FF2" s="2026">
        <v>158</v>
      </c>
      <c r="FG2" s="2026">
        <v>159</v>
      </c>
      <c r="FH2" s="2026">
        <v>160</v>
      </c>
      <c r="FI2" s="2026">
        <v>161</v>
      </c>
      <c r="FJ2" s="2026">
        <v>162</v>
      </c>
      <c r="FK2" s="2026">
        <v>163</v>
      </c>
      <c r="FL2" s="2026">
        <v>164</v>
      </c>
      <c r="FM2" s="2026">
        <v>165</v>
      </c>
      <c r="FN2" s="2026">
        <v>166</v>
      </c>
      <c r="FO2" s="2026">
        <v>167</v>
      </c>
      <c r="FP2" s="2026">
        <v>168</v>
      </c>
      <c r="FQ2" s="2026">
        <v>169</v>
      </c>
      <c r="FR2" s="2026">
        <v>170</v>
      </c>
      <c r="FS2" s="2026">
        <v>171</v>
      </c>
      <c r="FT2" s="2026">
        <v>172</v>
      </c>
      <c r="FU2" s="2026">
        <v>173</v>
      </c>
      <c r="FV2" s="2026">
        <v>174</v>
      </c>
      <c r="FW2" s="2026">
        <v>175</v>
      </c>
      <c r="FX2" s="2026">
        <v>176</v>
      </c>
      <c r="FY2" s="2026">
        <v>177</v>
      </c>
      <c r="FZ2" s="2026">
        <v>178</v>
      </c>
      <c r="GA2" s="2026">
        <v>179</v>
      </c>
      <c r="GB2" s="2026">
        <v>180</v>
      </c>
      <c r="GC2" s="2026">
        <v>181</v>
      </c>
      <c r="GD2" s="2026">
        <v>182</v>
      </c>
      <c r="GE2" s="2026">
        <v>183</v>
      </c>
      <c r="GF2" s="2026">
        <v>184</v>
      </c>
      <c r="GG2" s="2026">
        <v>185</v>
      </c>
      <c r="GH2" s="2026">
        <v>186</v>
      </c>
      <c r="GI2" s="2026">
        <v>187</v>
      </c>
      <c r="GJ2" s="2026">
        <v>188</v>
      </c>
      <c r="GK2" s="2026">
        <v>189</v>
      </c>
      <c r="GL2" s="2026">
        <v>190</v>
      </c>
      <c r="GM2" s="2026">
        <v>191</v>
      </c>
      <c r="GN2" s="2026">
        <v>192</v>
      </c>
      <c r="GO2" s="2026">
        <v>193</v>
      </c>
      <c r="GP2" s="2026">
        <v>194</v>
      </c>
      <c r="GQ2" s="2026">
        <v>195</v>
      </c>
      <c r="GR2" s="2026">
        <v>196</v>
      </c>
      <c r="GS2" s="2026">
        <v>197</v>
      </c>
      <c r="GT2" s="2026">
        <v>198</v>
      </c>
      <c r="GU2" s="2026">
        <v>199</v>
      </c>
      <c r="GV2" s="2026">
        <v>200</v>
      </c>
      <c r="GW2" s="2026">
        <v>201</v>
      </c>
      <c r="GX2" s="2026">
        <v>202</v>
      </c>
      <c r="GY2" s="2026">
        <v>203</v>
      </c>
      <c r="GZ2" s="2026">
        <v>204</v>
      </c>
      <c r="HA2" s="2026">
        <v>205</v>
      </c>
      <c r="HB2" s="2026">
        <v>206</v>
      </c>
      <c r="HC2" s="2026">
        <v>207</v>
      </c>
      <c r="HD2" s="2026">
        <v>208</v>
      </c>
      <c r="HE2" s="2026">
        <v>209</v>
      </c>
      <c r="HF2" s="2026">
        <v>210</v>
      </c>
      <c r="HG2" s="2026">
        <v>211</v>
      </c>
      <c r="HH2" s="2026">
        <v>212</v>
      </c>
      <c r="HI2" s="2026">
        <v>213</v>
      </c>
      <c r="HJ2" s="2026">
        <v>214</v>
      </c>
      <c r="HK2" s="2026">
        <v>215</v>
      </c>
      <c r="HL2" s="2026">
        <v>216</v>
      </c>
      <c r="HM2" s="2026">
        <v>217</v>
      </c>
      <c r="HN2" s="2026">
        <v>218</v>
      </c>
      <c r="HO2" s="2026">
        <v>219</v>
      </c>
      <c r="HP2" s="2026">
        <v>220</v>
      </c>
      <c r="HQ2" s="2026">
        <v>221</v>
      </c>
      <c r="HR2" s="2026">
        <v>222</v>
      </c>
      <c r="HS2" s="2026">
        <v>223</v>
      </c>
      <c r="HT2" s="2026">
        <v>224</v>
      </c>
      <c r="HU2" s="2026">
        <v>225</v>
      </c>
      <c r="HV2" s="2026">
        <v>226</v>
      </c>
      <c r="HW2" s="2026">
        <v>227</v>
      </c>
      <c r="HX2" s="2026">
        <v>228</v>
      </c>
      <c r="HY2" s="2026">
        <v>229</v>
      </c>
      <c r="HZ2" s="2026">
        <v>230</v>
      </c>
      <c r="IA2" s="2026">
        <v>231</v>
      </c>
      <c r="IB2" s="2026">
        <v>232</v>
      </c>
      <c r="IC2" s="2026">
        <v>233</v>
      </c>
      <c r="ID2" s="2026">
        <v>234</v>
      </c>
      <c r="IE2" s="2026">
        <v>235</v>
      </c>
      <c r="IF2" s="2026">
        <v>236</v>
      </c>
      <c r="IG2" s="2026">
        <v>237</v>
      </c>
      <c r="IH2" s="2026">
        <v>238</v>
      </c>
      <c r="II2" s="2026">
        <v>239</v>
      </c>
      <c r="IJ2" s="2026">
        <v>240</v>
      </c>
      <c r="IK2" s="2026">
        <v>241</v>
      </c>
      <c r="IL2" s="2026">
        <v>242</v>
      </c>
      <c r="IM2" s="2026">
        <v>243</v>
      </c>
      <c r="IN2" s="2026">
        <v>244</v>
      </c>
      <c r="IO2" s="2026">
        <v>245</v>
      </c>
      <c r="IP2" s="2026">
        <v>246</v>
      </c>
      <c r="IQ2" s="2026">
        <v>247</v>
      </c>
      <c r="IR2" s="2026">
        <v>248</v>
      </c>
      <c r="IS2" s="2026">
        <v>249</v>
      </c>
      <c r="IT2" s="2026">
        <v>250</v>
      </c>
      <c r="IU2" s="2026">
        <v>251</v>
      </c>
      <c r="IV2" s="2026">
        <v>252</v>
      </c>
      <c r="IW2" s="2026">
        <v>253</v>
      </c>
      <c r="IX2" s="2026">
        <v>254</v>
      </c>
      <c r="IY2" s="2026">
        <v>255</v>
      </c>
      <c r="IZ2" s="2026">
        <v>256</v>
      </c>
      <c r="JA2" s="2026">
        <v>257</v>
      </c>
      <c r="JB2" s="2026">
        <v>258</v>
      </c>
      <c r="JC2" s="2026">
        <v>259</v>
      </c>
      <c r="JD2" s="1134">
        <v>260</v>
      </c>
      <c r="JE2" s="1134">
        <v>261</v>
      </c>
      <c r="JF2" s="1134">
        <v>262</v>
      </c>
      <c r="JG2" s="2485">
        <v>263</v>
      </c>
      <c r="JH2" s="1233"/>
      <c r="JI2" s="4279" t="s">
        <v>5040</v>
      </c>
      <c r="JJ2" s="1688" t="s">
        <v>6104</v>
      </c>
    </row>
    <row ht="24" r="3" spans="1:270" x14ac:dyDescent="0.2">
      <c r="A3" s="1128">
        <v>2</v>
      </c>
      <c r="B3" s="1347" t="str">
        <f ref="B3:B11" si="0" t="shared">IF(SE_A_IND&gt;1,IF(HLOOKUP(SE_A_IND-1,SSE_RANGE,A3)="","",HLOOKUP(SE_A_IND-1,SSE_RANGE,A3)),"")</f>
        <v/>
      </c>
      <c r="C3" s="1349" t="s">
        <v>684</v>
      </c>
      <c r="D3" s="1350" t="s">
        <v>5439</v>
      </c>
      <c r="E3" s="2486"/>
      <c r="F3" s="2476"/>
      <c r="G3" s="2476"/>
      <c r="H3" s="2476"/>
      <c r="I3" s="2476"/>
      <c r="J3" s="2476"/>
      <c r="K3" s="2476"/>
      <c r="L3" s="2476"/>
      <c r="M3" s="2476" t="s">
        <v>682</v>
      </c>
      <c r="N3" s="2487"/>
      <c r="O3" s="2487"/>
      <c r="P3" s="2487"/>
      <c r="Q3" s="2487"/>
      <c r="R3" s="2488"/>
      <c r="S3" s="2488"/>
      <c r="T3" s="2488"/>
      <c r="U3" s="2488"/>
      <c r="V3" s="2488"/>
      <c r="W3" s="2488"/>
      <c r="X3" s="2488"/>
      <c r="Y3" s="2488"/>
      <c r="Z3" s="2476" t="s">
        <v>1116</v>
      </c>
      <c r="AA3" s="2488"/>
      <c r="AB3" s="2488"/>
      <c r="AC3" s="2476" t="s">
        <v>1117</v>
      </c>
      <c r="AD3" s="3518"/>
      <c r="AE3" s="3518"/>
      <c r="AF3" s="3518"/>
      <c r="AG3" s="3518"/>
      <c r="AH3" s="3518"/>
      <c r="AI3" s="2488"/>
      <c r="AJ3" s="2488"/>
      <c r="AK3" s="2488"/>
      <c r="AL3" s="2488"/>
      <c r="AM3" s="2488"/>
      <c r="AN3" s="2488"/>
      <c r="AO3" s="2476" t="s">
        <v>682</v>
      </c>
      <c r="AP3" s="2488"/>
      <c r="AQ3" s="2488"/>
      <c r="AR3" s="2488"/>
      <c r="AS3" s="2488"/>
      <c r="AT3" s="2476" t="s">
        <v>683</v>
      </c>
      <c r="AU3" s="2488"/>
      <c r="AV3" s="2486" t="s">
        <v>681</v>
      </c>
      <c r="AW3" s="2488"/>
      <c r="AX3" s="2488"/>
      <c r="AY3" s="2488"/>
      <c r="AZ3" s="2488"/>
      <c r="BA3" s="2488"/>
      <c r="BB3" s="2487"/>
      <c r="BC3" s="2488"/>
      <c r="BD3" s="2476" t="s">
        <v>683</v>
      </c>
      <c r="BE3" s="2476" t="s">
        <v>1116</v>
      </c>
      <c r="BF3" s="2488"/>
      <c r="BG3" s="2488"/>
      <c r="BH3" s="2488"/>
      <c r="BI3" s="2488"/>
      <c r="BJ3" s="2488"/>
      <c r="BK3" s="2488"/>
      <c r="BL3" s="2488"/>
      <c r="BM3" s="2488"/>
      <c r="BN3" s="2488"/>
      <c r="BO3" s="2488"/>
      <c r="BP3" s="2488"/>
      <c r="BQ3" s="2488"/>
      <c r="BR3" s="2488"/>
      <c r="BS3" s="2488"/>
      <c r="BT3" s="2488"/>
      <c r="BU3" s="2488"/>
      <c r="BV3" s="2476" t="s">
        <v>682</v>
      </c>
      <c r="BW3" s="2488"/>
      <c r="BX3" s="2488"/>
      <c r="BY3" s="2488"/>
      <c r="BZ3" s="2488"/>
      <c r="CA3" s="2488"/>
      <c r="CB3" s="2476" t="s">
        <v>682</v>
      </c>
      <c r="CC3" s="2488"/>
      <c r="CD3" s="2488"/>
      <c r="CE3" s="2488"/>
      <c r="CF3" s="2488"/>
      <c r="CG3" s="2488"/>
      <c r="CH3" s="2488"/>
      <c r="CI3" s="2476" t="s">
        <v>1117</v>
      </c>
      <c r="CJ3" s="2488"/>
      <c r="CK3" s="2488"/>
      <c r="CL3" s="2488"/>
      <c r="CM3" s="2488"/>
      <c r="CN3" s="2488"/>
      <c r="CO3" s="2476" t="s">
        <v>683</v>
      </c>
      <c r="CP3" s="2476" t="s">
        <v>682</v>
      </c>
      <c r="CQ3" s="2488"/>
      <c r="CR3" s="2488"/>
      <c r="CS3" s="2488"/>
      <c r="CT3" s="2488"/>
      <c r="CU3" s="2488"/>
      <c r="CV3" s="2488"/>
      <c r="CW3" s="2488"/>
      <c r="CX3" s="2488"/>
      <c r="CY3" s="2488"/>
      <c r="CZ3" s="2488"/>
      <c r="DA3" s="2488"/>
      <c r="DB3" s="2488"/>
      <c r="DC3" s="3648" t="s">
        <v>8387</v>
      </c>
      <c r="DD3" s="2476" t="s">
        <v>1116</v>
      </c>
      <c r="DE3" s="2488"/>
      <c r="DF3" s="2488"/>
      <c r="DG3" s="2488"/>
      <c r="DH3" s="2488"/>
      <c r="DI3" s="2488"/>
      <c r="DJ3" s="2488"/>
      <c r="DK3" s="2488"/>
      <c r="DL3" s="2488"/>
      <c r="DM3" s="2488"/>
      <c r="DN3" s="2476" t="s">
        <v>1116</v>
      </c>
      <c r="DO3" s="2476" t="s">
        <v>683</v>
      </c>
      <c r="DP3" s="2488"/>
      <c r="DQ3" s="2488"/>
      <c r="DR3" s="2488"/>
      <c r="DS3" s="2488"/>
      <c r="DT3" s="2488"/>
      <c r="DU3" s="2488"/>
      <c r="DV3" s="2488"/>
      <c r="DW3" s="2488"/>
      <c r="DX3" s="2476" t="s">
        <v>682</v>
      </c>
      <c r="DY3" s="2488"/>
      <c r="DZ3" s="2488"/>
      <c r="EA3" s="2488"/>
      <c r="EB3" s="2488"/>
      <c r="EC3" s="2488"/>
      <c r="ED3" s="2476" t="s">
        <v>3167</v>
      </c>
      <c r="EE3" s="2476" t="s">
        <v>3168</v>
      </c>
      <c r="EF3" s="2488"/>
      <c r="EG3" s="2488"/>
      <c r="EH3" s="2488"/>
      <c r="EI3" s="2488"/>
      <c r="EJ3" s="2488"/>
      <c r="EK3" s="2488"/>
      <c r="EL3" s="2488"/>
      <c r="EM3" s="2488"/>
      <c r="EN3" s="2476" t="s">
        <v>3167</v>
      </c>
      <c r="EO3" s="2488"/>
      <c r="EP3" s="2488"/>
      <c r="EQ3" s="2488"/>
      <c r="ER3" s="2488"/>
      <c r="ES3" s="2488"/>
      <c r="ET3" s="2488"/>
      <c r="EU3" s="2488"/>
      <c r="EV3" s="2488"/>
      <c r="EW3" s="2488"/>
      <c r="EX3" s="2488"/>
      <c r="EY3" s="2488"/>
      <c r="EZ3" s="2488"/>
      <c r="FA3" s="2488"/>
      <c r="FB3" s="2488"/>
      <c r="FC3" s="2488"/>
      <c r="FD3" s="2488"/>
      <c r="FE3" s="2476" t="s">
        <v>682</v>
      </c>
      <c r="FF3" s="2488"/>
      <c r="FG3" s="2476" t="s">
        <v>682</v>
      </c>
      <c r="FH3" s="2476" t="s">
        <v>682</v>
      </c>
      <c r="FI3" s="2488"/>
      <c r="FJ3" s="2488"/>
      <c r="FK3" s="2488"/>
      <c r="FL3" s="2488"/>
      <c r="FM3" s="2488"/>
      <c r="FN3" s="2488"/>
      <c r="FO3" s="2488"/>
      <c r="FP3" s="3648" t="s">
        <v>3029</v>
      </c>
      <c r="FQ3" s="2488"/>
      <c r="FR3" s="2488"/>
      <c r="FS3" s="2488"/>
      <c r="FT3" s="2488"/>
      <c r="FU3" s="2488"/>
      <c r="FV3" s="2488"/>
      <c r="FW3" s="2488"/>
      <c r="FX3" s="2488"/>
      <c r="FY3" s="2488"/>
      <c r="FZ3" s="2488"/>
      <c r="GA3" s="2488"/>
      <c r="GB3" s="2488"/>
      <c r="GC3" s="2488"/>
      <c r="GD3" s="2488"/>
      <c r="GE3" s="2488"/>
      <c r="GF3" s="2488"/>
      <c r="GG3" s="2488"/>
      <c r="GH3" s="2488"/>
      <c r="GI3" s="2476" t="s">
        <v>682</v>
      </c>
      <c r="GJ3" s="2488"/>
      <c r="GK3" s="2488"/>
      <c r="GL3" s="2488"/>
      <c r="GM3" s="2488"/>
      <c r="GN3" s="2476" t="s">
        <v>1116</v>
      </c>
      <c r="GO3" s="2486" t="s">
        <v>681</v>
      </c>
      <c r="GP3" s="2488"/>
      <c r="GQ3" s="2486" t="s">
        <v>681</v>
      </c>
      <c r="GR3" s="2488"/>
      <c r="GS3" s="2488"/>
      <c r="GT3" s="2488"/>
      <c r="GU3" s="2488"/>
      <c r="GV3" s="2488"/>
      <c r="GW3" s="2476" t="s">
        <v>1116</v>
      </c>
      <c r="GX3" s="2488"/>
      <c r="GY3" s="2488"/>
      <c r="GZ3" s="2488"/>
      <c r="HA3" s="2488"/>
      <c r="HB3" s="2476" t="s">
        <v>683</v>
      </c>
      <c r="HC3" s="2488"/>
      <c r="HD3" s="2488"/>
      <c r="HE3" s="2488"/>
      <c r="HF3" s="2488"/>
      <c r="HG3" s="2488"/>
      <c r="HH3" s="2488"/>
      <c r="HI3" s="2488"/>
      <c r="HJ3" s="2488"/>
      <c r="HK3" s="2488"/>
      <c r="HL3" s="2488"/>
      <c r="HM3" s="2488"/>
      <c r="HN3" s="2488"/>
      <c r="HO3" s="2488"/>
      <c r="HP3" s="2488"/>
      <c r="HQ3" s="2488"/>
      <c r="HR3" s="2488"/>
      <c r="HS3" s="2488"/>
      <c r="HT3" s="2476" t="s">
        <v>682</v>
      </c>
      <c r="HU3" s="2476" t="s">
        <v>1116</v>
      </c>
      <c r="HV3" s="2476" t="s">
        <v>682</v>
      </c>
      <c r="HW3" s="2488"/>
      <c r="HX3" s="2488"/>
      <c r="HY3" s="2488"/>
      <c r="HZ3" s="2488"/>
      <c r="IA3" s="2488"/>
      <c r="IB3" s="2488"/>
      <c r="IC3" s="2488"/>
      <c r="ID3" s="2488"/>
      <c r="IE3" s="2488"/>
      <c r="IF3" s="2488"/>
      <c r="IG3" s="2488"/>
      <c r="IH3" s="2488"/>
      <c r="II3" s="2488"/>
      <c r="IJ3" s="2488"/>
      <c r="IK3" s="2488"/>
      <c r="IL3" s="2488"/>
      <c r="IM3" s="2488"/>
      <c r="IN3" s="2488"/>
      <c r="IO3" s="2395" t="s">
        <v>6622</v>
      </c>
      <c r="IP3" s="2488"/>
      <c r="IQ3" s="2488"/>
      <c r="IR3" s="2488"/>
      <c r="IS3" s="2488"/>
      <c r="IT3" s="2488"/>
      <c r="IU3" s="2488"/>
      <c r="IV3" s="2488"/>
      <c r="IW3" s="2488"/>
      <c r="IX3" s="2488"/>
      <c r="IY3" s="2488"/>
      <c r="IZ3" s="2488"/>
      <c r="JA3" s="2488"/>
      <c r="JB3" s="2488"/>
      <c r="JC3" s="2488"/>
      <c r="JD3" s="2488"/>
      <c r="JE3" s="2488"/>
      <c r="JF3" s="3971" t="s">
        <v>8825</v>
      </c>
      <c r="JG3" s="2477"/>
      <c r="JH3" s="1233"/>
      <c r="JI3" s="2248"/>
      <c r="JJ3" s="2248" t="s">
        <v>6112</v>
      </c>
    </row>
    <row r="4" spans="1:270" x14ac:dyDescent="0.2">
      <c r="A4" s="1128">
        <v>3</v>
      </c>
      <c r="B4" s="1347" t="str">
        <f si="0" t="shared"/>
        <v/>
      </c>
      <c r="C4" s="1349" t="s">
        <v>685</v>
      </c>
      <c r="D4" s="1350" t="s">
        <v>5440</v>
      </c>
      <c r="E4" s="2447"/>
      <c r="F4" s="2378"/>
      <c r="G4" s="2378"/>
      <c r="H4" s="2378"/>
      <c r="I4" s="2378"/>
      <c r="J4" s="2378"/>
      <c r="K4" s="2378"/>
      <c r="L4" s="2378"/>
      <c r="M4" s="2378"/>
      <c r="N4" s="2489"/>
      <c r="O4" s="2489"/>
      <c r="P4" s="2489"/>
      <c r="Q4" s="2489"/>
      <c r="R4" s="2490"/>
      <c r="S4" s="2490"/>
      <c r="T4" s="2490"/>
      <c r="U4" s="2490"/>
      <c r="V4" s="2490"/>
      <c r="W4" s="2490"/>
      <c r="X4" s="2490"/>
      <c r="Y4" s="2490"/>
      <c r="Z4" s="2378"/>
      <c r="AA4" s="2490"/>
      <c r="AB4" s="2490"/>
      <c r="AC4" s="2378"/>
      <c r="AD4" s="2880"/>
      <c r="AE4" s="2880"/>
      <c r="AF4" s="2880"/>
      <c r="AG4" s="2880"/>
      <c r="AH4" s="2880"/>
      <c r="AI4" s="2490"/>
      <c r="AJ4" s="2490"/>
      <c r="AK4" s="2490"/>
      <c r="AL4" s="2490"/>
      <c r="AM4" s="2490"/>
      <c r="AN4" s="2490"/>
      <c r="AO4" s="2378"/>
      <c r="AP4" s="2490"/>
      <c r="AQ4" s="2490"/>
      <c r="AR4" s="2490"/>
      <c r="AS4" s="2490"/>
      <c r="AT4" s="2378"/>
      <c r="AU4" s="2490"/>
      <c r="AV4" s="2447"/>
      <c r="AW4" s="2490"/>
      <c r="AX4" s="2490"/>
      <c r="AY4" s="2490"/>
      <c r="AZ4" s="2490"/>
      <c r="BA4" s="2490"/>
      <c r="BB4" s="2489"/>
      <c r="BC4" s="2490"/>
      <c r="BD4" s="2378"/>
      <c r="BE4" s="2378"/>
      <c r="BF4" s="2490"/>
      <c r="BG4" s="2490"/>
      <c r="BH4" s="2490"/>
      <c r="BI4" s="2490"/>
      <c r="BJ4" s="2490"/>
      <c r="BK4" s="2490"/>
      <c r="BL4" s="2490"/>
      <c r="BM4" s="2490"/>
      <c r="BN4" s="2490"/>
      <c r="BO4" s="2490"/>
      <c r="BP4" s="2490"/>
      <c r="BQ4" s="2490"/>
      <c r="BR4" s="2490"/>
      <c r="BS4" s="2490"/>
      <c r="BT4" s="2490"/>
      <c r="BU4" s="2490"/>
      <c r="BV4" s="2378"/>
      <c r="BW4" s="2490"/>
      <c r="BX4" s="2490"/>
      <c r="BY4" s="2490"/>
      <c r="BZ4" s="2490"/>
      <c r="CA4" s="2490"/>
      <c r="CB4" s="2378"/>
      <c r="CC4" s="2490"/>
      <c r="CD4" s="2490"/>
      <c r="CE4" s="2490"/>
      <c r="CF4" s="2490"/>
      <c r="CG4" s="2490"/>
      <c r="CH4" s="2490"/>
      <c r="CI4" s="2378"/>
      <c r="CJ4" s="2490"/>
      <c r="CK4" s="2490"/>
      <c r="CL4" s="2490"/>
      <c r="CM4" s="2490"/>
      <c r="CN4" s="2490"/>
      <c r="CO4" s="2378"/>
      <c r="CP4" s="2378"/>
      <c r="CQ4" s="2490"/>
      <c r="CR4" s="2490"/>
      <c r="CS4" s="2490"/>
      <c r="CT4" s="2490"/>
      <c r="CU4" s="2490"/>
      <c r="CV4" s="2490"/>
      <c r="CW4" s="2490"/>
      <c r="CX4" s="2490"/>
      <c r="CY4" s="2490"/>
      <c r="CZ4" s="2490"/>
      <c r="DA4" s="2490"/>
      <c r="DB4" s="2490"/>
      <c r="DC4" s="3649"/>
      <c r="DD4" s="2378"/>
      <c r="DE4" s="2490"/>
      <c r="DF4" s="2490"/>
      <c r="DG4" s="2490"/>
      <c r="DH4" s="2490"/>
      <c r="DI4" s="2490"/>
      <c r="DJ4" s="2490"/>
      <c r="DK4" s="2490"/>
      <c r="DL4" s="2490"/>
      <c r="DM4" s="2490"/>
      <c r="DN4" s="2378"/>
      <c r="DO4" s="2378"/>
      <c r="DP4" s="2490"/>
      <c r="DQ4" s="2490"/>
      <c r="DR4" s="2490"/>
      <c r="DS4" s="2490"/>
      <c r="DT4" s="2490"/>
      <c r="DU4" s="2490"/>
      <c r="DV4" s="2490"/>
      <c r="DW4" s="2490"/>
      <c r="DX4" s="2378"/>
      <c r="DY4" s="2490"/>
      <c r="DZ4" s="2490"/>
      <c r="EA4" s="2490"/>
      <c r="EB4" s="2490"/>
      <c r="EC4" s="2490"/>
      <c r="ED4" s="2378"/>
      <c r="EE4" s="2378"/>
      <c r="EF4" s="2490"/>
      <c r="EG4" s="2490"/>
      <c r="EH4" s="2490"/>
      <c r="EI4" s="2490"/>
      <c r="EJ4" s="2490"/>
      <c r="EK4" s="2490"/>
      <c r="EL4" s="2490"/>
      <c r="EM4" s="2490"/>
      <c r="EN4" s="2378"/>
      <c r="EO4" s="2490"/>
      <c r="EP4" s="2490"/>
      <c r="EQ4" s="2490"/>
      <c r="ER4" s="2490"/>
      <c r="ES4" s="2490"/>
      <c r="ET4" s="2490"/>
      <c r="EU4" s="2490"/>
      <c r="EV4" s="2490"/>
      <c r="EW4" s="2490"/>
      <c r="EX4" s="2490"/>
      <c r="EY4" s="2490"/>
      <c r="EZ4" s="2490"/>
      <c r="FA4" s="2490"/>
      <c r="FB4" s="2490"/>
      <c r="FC4" s="2490"/>
      <c r="FD4" s="2490"/>
      <c r="FE4" s="2378"/>
      <c r="FF4" s="2490"/>
      <c r="FG4" s="2378"/>
      <c r="FH4" s="2378"/>
      <c r="FI4" s="2490"/>
      <c r="FJ4" s="2490"/>
      <c r="FK4" s="2490"/>
      <c r="FL4" s="2490"/>
      <c r="FM4" s="2490"/>
      <c r="FN4" s="2490"/>
      <c r="FO4" s="2490"/>
      <c r="FP4" s="3649"/>
      <c r="FQ4" s="2490"/>
      <c r="FR4" s="2490"/>
      <c r="FS4" s="2490"/>
      <c r="FT4" s="2490"/>
      <c r="FU4" s="2490"/>
      <c r="FV4" s="2490"/>
      <c r="FW4" s="2490"/>
      <c r="FX4" s="2490"/>
      <c r="FY4" s="2490"/>
      <c r="FZ4" s="2490"/>
      <c r="GA4" s="2490"/>
      <c r="GB4" s="2490"/>
      <c r="GC4" s="2490"/>
      <c r="GD4" s="2490"/>
      <c r="GE4" s="2490"/>
      <c r="GF4" s="2490"/>
      <c r="GG4" s="2490"/>
      <c r="GH4" s="2490"/>
      <c r="GI4" s="2378"/>
      <c r="GJ4" s="2490"/>
      <c r="GK4" s="2490"/>
      <c r="GL4" s="2490"/>
      <c r="GM4" s="2490"/>
      <c r="GN4" s="2378"/>
      <c r="GO4" s="2447"/>
      <c r="GP4" s="2490"/>
      <c r="GQ4" s="2447"/>
      <c r="GR4" s="2490"/>
      <c r="GS4" s="2490"/>
      <c r="GT4" s="2490"/>
      <c r="GU4" s="2490"/>
      <c r="GV4" s="2490"/>
      <c r="GW4" s="2378"/>
      <c r="GX4" s="2490"/>
      <c r="GY4" s="2490"/>
      <c r="GZ4" s="2490"/>
      <c r="HA4" s="2490"/>
      <c r="HB4" s="2378"/>
      <c r="HC4" s="2490"/>
      <c r="HD4" s="2490"/>
      <c r="HE4" s="2490"/>
      <c r="HF4" s="2490"/>
      <c r="HG4" s="2490"/>
      <c r="HH4" s="2490"/>
      <c r="HI4" s="2490"/>
      <c r="HJ4" s="2490"/>
      <c r="HK4" s="2490"/>
      <c r="HL4" s="2490"/>
      <c r="HM4" s="2490"/>
      <c r="HN4" s="2490"/>
      <c r="HO4" s="2490"/>
      <c r="HP4" s="2490"/>
      <c r="HQ4" s="2490"/>
      <c r="HR4" s="2490"/>
      <c r="HS4" s="2490"/>
      <c r="HT4" s="2378"/>
      <c r="HU4" s="2378"/>
      <c r="HV4" s="2378"/>
      <c r="HW4" s="2490"/>
      <c r="HX4" s="2490"/>
      <c r="HY4" s="2490"/>
      <c r="HZ4" s="2490"/>
      <c r="IA4" s="2490"/>
      <c r="IB4" s="2490"/>
      <c r="IC4" s="2490"/>
      <c r="ID4" s="2490"/>
      <c r="IE4" s="2490"/>
      <c r="IF4" s="2490"/>
      <c r="IG4" s="2490"/>
      <c r="IH4" s="2490"/>
      <c r="II4" s="2490"/>
      <c r="IJ4" s="2490"/>
      <c r="IK4" s="2490"/>
      <c r="IL4" s="2490"/>
      <c r="IM4" s="2490"/>
      <c r="IN4" s="2490"/>
      <c r="IO4" s="2399"/>
      <c r="IP4" s="2490"/>
      <c r="IQ4" s="2490"/>
      <c r="IR4" s="2490"/>
      <c r="IS4" s="2490"/>
      <c r="IT4" s="2490"/>
      <c r="IU4" s="2490"/>
      <c r="IV4" s="2490"/>
      <c r="IW4" s="2490"/>
      <c r="IX4" s="2490"/>
      <c r="IY4" s="2490"/>
      <c r="IZ4" s="2490"/>
      <c r="JA4" s="2490"/>
      <c r="JB4" s="2490"/>
      <c r="JC4" s="2490"/>
      <c r="JD4" s="2490"/>
      <c r="JE4" s="2490"/>
      <c r="JF4" s="3640"/>
      <c r="JG4" s="2491"/>
      <c r="JH4" s="1233"/>
      <c r="JI4" s="2248"/>
      <c r="JJ4" s="2248" t="s">
        <v>6105</v>
      </c>
    </row>
    <row r="5" spans="1:270" x14ac:dyDescent="0.2">
      <c r="A5" s="1128">
        <v>4</v>
      </c>
      <c r="B5" s="1347" t="str">
        <f si="0" t="shared"/>
        <v/>
      </c>
      <c r="C5" s="1349" t="s">
        <v>686</v>
      </c>
      <c r="D5" s="1350" t="s">
        <v>5441</v>
      </c>
      <c r="E5" s="2447"/>
      <c r="F5" s="2378"/>
      <c r="G5" s="2378"/>
      <c r="H5" s="2378"/>
      <c r="I5" s="2378"/>
      <c r="J5" s="2378"/>
      <c r="K5" s="2378"/>
      <c r="L5" s="2378"/>
      <c r="M5" s="2378"/>
      <c r="N5" s="2489"/>
      <c r="O5" s="2489"/>
      <c r="P5" s="2489"/>
      <c r="Q5" s="2489"/>
      <c r="R5" s="2490"/>
      <c r="S5" s="2490"/>
      <c r="T5" s="2490"/>
      <c r="U5" s="2490"/>
      <c r="V5" s="2490"/>
      <c r="W5" s="2490"/>
      <c r="X5" s="2490"/>
      <c r="Y5" s="2490"/>
      <c r="Z5" s="2378"/>
      <c r="AA5" s="2490"/>
      <c r="AB5" s="2490"/>
      <c r="AC5" s="2378"/>
      <c r="AD5" s="2880"/>
      <c r="AE5" s="2880"/>
      <c r="AF5" s="2880"/>
      <c r="AG5" s="2880"/>
      <c r="AH5" s="2880"/>
      <c r="AI5" s="2490"/>
      <c r="AJ5" s="2490"/>
      <c r="AK5" s="2490"/>
      <c r="AL5" s="2490"/>
      <c r="AM5" s="2490"/>
      <c r="AN5" s="2490"/>
      <c r="AO5" s="2378"/>
      <c r="AP5" s="2490"/>
      <c r="AQ5" s="2490"/>
      <c r="AR5" s="2490"/>
      <c r="AS5" s="2490"/>
      <c r="AT5" s="2378"/>
      <c r="AU5" s="2490"/>
      <c r="AV5" s="2447"/>
      <c r="AW5" s="2490"/>
      <c r="AX5" s="2490"/>
      <c r="AY5" s="2490"/>
      <c r="AZ5" s="2490"/>
      <c r="BA5" s="2490"/>
      <c r="BB5" s="2489"/>
      <c r="BC5" s="2490"/>
      <c r="BD5" s="2378"/>
      <c r="BE5" s="2378"/>
      <c r="BF5" s="2490"/>
      <c r="BG5" s="2490"/>
      <c r="BH5" s="2490"/>
      <c r="BI5" s="2490"/>
      <c r="BJ5" s="2490"/>
      <c r="BK5" s="2490"/>
      <c r="BL5" s="2490"/>
      <c r="BM5" s="2490"/>
      <c r="BN5" s="2490"/>
      <c r="BO5" s="2490"/>
      <c r="BP5" s="2490"/>
      <c r="BQ5" s="2490"/>
      <c r="BR5" s="2490"/>
      <c r="BS5" s="2490"/>
      <c r="BT5" s="2490"/>
      <c r="BU5" s="2490"/>
      <c r="BV5" s="2378"/>
      <c r="BW5" s="2490"/>
      <c r="BX5" s="2490"/>
      <c r="BY5" s="2490"/>
      <c r="BZ5" s="2490"/>
      <c r="CA5" s="2490"/>
      <c r="CB5" s="2378"/>
      <c r="CC5" s="2490"/>
      <c r="CD5" s="2490"/>
      <c r="CE5" s="2490"/>
      <c r="CF5" s="2490"/>
      <c r="CG5" s="2490"/>
      <c r="CH5" s="2490"/>
      <c r="CI5" s="2378"/>
      <c r="CJ5" s="2490"/>
      <c r="CK5" s="2490"/>
      <c r="CL5" s="2490"/>
      <c r="CM5" s="2490"/>
      <c r="CN5" s="2490"/>
      <c r="CO5" s="2378"/>
      <c r="CP5" s="2378"/>
      <c r="CQ5" s="2490"/>
      <c r="CR5" s="2490"/>
      <c r="CS5" s="2490"/>
      <c r="CT5" s="2490"/>
      <c r="CU5" s="2490"/>
      <c r="CV5" s="2490"/>
      <c r="CW5" s="2490"/>
      <c r="CX5" s="2490"/>
      <c r="CY5" s="2490"/>
      <c r="CZ5" s="2490"/>
      <c r="DA5" s="2490"/>
      <c r="DB5" s="2490"/>
      <c r="DC5" s="3649"/>
      <c r="DD5" s="2378"/>
      <c r="DE5" s="2490"/>
      <c r="DF5" s="2490"/>
      <c r="DG5" s="2490"/>
      <c r="DH5" s="2490"/>
      <c r="DI5" s="2490"/>
      <c r="DJ5" s="2490"/>
      <c r="DK5" s="2490"/>
      <c r="DL5" s="2490"/>
      <c r="DM5" s="2490"/>
      <c r="DN5" s="2378"/>
      <c r="DO5" s="2378"/>
      <c r="DP5" s="2490"/>
      <c r="DQ5" s="2490"/>
      <c r="DR5" s="2490"/>
      <c r="DS5" s="2490"/>
      <c r="DT5" s="2490"/>
      <c r="DU5" s="2490"/>
      <c r="DV5" s="2490"/>
      <c r="DW5" s="2490"/>
      <c r="DX5" s="2378"/>
      <c r="DY5" s="2490"/>
      <c r="DZ5" s="2490"/>
      <c r="EA5" s="2490"/>
      <c r="EB5" s="2490"/>
      <c r="EC5" s="2490"/>
      <c r="ED5" s="2378"/>
      <c r="EE5" s="2378"/>
      <c r="EF5" s="2490"/>
      <c r="EG5" s="2490"/>
      <c r="EH5" s="2490"/>
      <c r="EI5" s="2490"/>
      <c r="EJ5" s="2490"/>
      <c r="EK5" s="2490"/>
      <c r="EL5" s="2490"/>
      <c r="EM5" s="2490"/>
      <c r="EN5" s="2378"/>
      <c r="EO5" s="2490"/>
      <c r="EP5" s="2490"/>
      <c r="EQ5" s="2490"/>
      <c r="ER5" s="2490"/>
      <c r="ES5" s="2490"/>
      <c r="ET5" s="2490"/>
      <c r="EU5" s="2490"/>
      <c r="EV5" s="2490"/>
      <c r="EW5" s="2490"/>
      <c r="EX5" s="2490"/>
      <c r="EY5" s="2490"/>
      <c r="EZ5" s="2490"/>
      <c r="FA5" s="2490"/>
      <c r="FB5" s="2490"/>
      <c r="FC5" s="2490"/>
      <c r="FD5" s="2490"/>
      <c r="FE5" s="2378"/>
      <c r="FF5" s="2490"/>
      <c r="FG5" s="2378"/>
      <c r="FH5" s="2378"/>
      <c r="FI5" s="2490"/>
      <c r="FJ5" s="2490"/>
      <c r="FK5" s="2490"/>
      <c r="FL5" s="2490"/>
      <c r="FM5" s="2490"/>
      <c r="FN5" s="2490"/>
      <c r="FO5" s="2490"/>
      <c r="FP5" s="3649"/>
      <c r="FQ5" s="2490"/>
      <c r="FR5" s="2490"/>
      <c r="FS5" s="2490"/>
      <c r="FT5" s="2490"/>
      <c r="FU5" s="2490"/>
      <c r="FV5" s="2490"/>
      <c r="FW5" s="2490"/>
      <c r="FX5" s="2490"/>
      <c r="FY5" s="2490"/>
      <c r="FZ5" s="2490"/>
      <c r="GA5" s="2490"/>
      <c r="GB5" s="2490"/>
      <c r="GC5" s="2490"/>
      <c r="GD5" s="2490"/>
      <c r="GE5" s="2490"/>
      <c r="GF5" s="2490"/>
      <c r="GG5" s="2490"/>
      <c r="GH5" s="2490"/>
      <c r="GI5" s="2378"/>
      <c r="GJ5" s="2490"/>
      <c r="GK5" s="2490"/>
      <c r="GL5" s="2490"/>
      <c r="GM5" s="2490"/>
      <c r="GN5" s="2378"/>
      <c r="GO5" s="2447"/>
      <c r="GP5" s="2490"/>
      <c r="GQ5" s="2447"/>
      <c r="GR5" s="2490"/>
      <c r="GS5" s="2490"/>
      <c r="GT5" s="2490"/>
      <c r="GU5" s="2490"/>
      <c r="GV5" s="2490"/>
      <c r="GW5" s="2378"/>
      <c r="GX5" s="2490"/>
      <c r="GY5" s="2490"/>
      <c r="GZ5" s="2490"/>
      <c r="HA5" s="2490"/>
      <c r="HB5" s="2378"/>
      <c r="HC5" s="2490"/>
      <c r="HD5" s="2490"/>
      <c r="HE5" s="2490"/>
      <c r="HF5" s="2490"/>
      <c r="HG5" s="2490"/>
      <c r="HH5" s="2490"/>
      <c r="HI5" s="2490"/>
      <c r="HJ5" s="2490"/>
      <c r="HK5" s="2490"/>
      <c r="HL5" s="2490"/>
      <c r="HM5" s="2490"/>
      <c r="HN5" s="2490"/>
      <c r="HO5" s="2490"/>
      <c r="HP5" s="2490"/>
      <c r="HQ5" s="2490"/>
      <c r="HR5" s="2490"/>
      <c r="HS5" s="2490"/>
      <c r="HT5" s="2378"/>
      <c r="HU5" s="2378"/>
      <c r="HV5" s="2378"/>
      <c r="HW5" s="2490"/>
      <c r="HX5" s="2490"/>
      <c r="HY5" s="2490"/>
      <c r="HZ5" s="2490"/>
      <c r="IA5" s="2490"/>
      <c r="IB5" s="2490"/>
      <c r="IC5" s="2490"/>
      <c r="ID5" s="2490"/>
      <c r="IE5" s="2490"/>
      <c r="IF5" s="2490"/>
      <c r="IG5" s="2490"/>
      <c r="IH5" s="2490"/>
      <c r="II5" s="2490"/>
      <c r="IJ5" s="2490"/>
      <c r="IK5" s="2490"/>
      <c r="IL5" s="2490"/>
      <c r="IM5" s="2490"/>
      <c r="IN5" s="2490"/>
      <c r="IO5" s="2399"/>
      <c r="IP5" s="2490"/>
      <c r="IQ5" s="2490"/>
      <c r="IR5" s="2490"/>
      <c r="IS5" s="2490"/>
      <c r="IT5" s="2490"/>
      <c r="IU5" s="2490"/>
      <c r="IV5" s="2490"/>
      <c r="IW5" s="2490"/>
      <c r="IX5" s="2490"/>
      <c r="IY5" s="2490"/>
      <c r="IZ5" s="2490"/>
      <c r="JA5" s="2490"/>
      <c r="JB5" s="2490"/>
      <c r="JC5" s="2490"/>
      <c r="JD5" s="2490"/>
      <c r="JE5" s="2490"/>
      <c r="JF5" s="3640"/>
      <c r="JG5" s="2491"/>
      <c r="JH5" s="1233"/>
      <c r="JI5" s="2248"/>
      <c r="JJ5" s="2248" t="s">
        <v>6111</v>
      </c>
    </row>
    <row r="6" spans="1:270" x14ac:dyDescent="0.2">
      <c r="A6" s="1128">
        <v>5</v>
      </c>
      <c r="B6" s="1347" t="str">
        <f si="0" t="shared"/>
        <v/>
      </c>
      <c r="C6" s="1349" t="s">
        <v>687</v>
      </c>
      <c r="D6" s="1350" t="s">
        <v>5442</v>
      </c>
      <c r="E6" s="2379"/>
      <c r="F6" s="2378"/>
      <c r="G6" s="2378"/>
      <c r="H6" s="2378"/>
      <c r="I6" s="2378"/>
      <c r="J6" s="2378"/>
      <c r="K6" s="2378"/>
      <c r="L6" s="2378"/>
      <c r="M6" s="2378"/>
      <c r="N6" s="2489"/>
      <c r="O6" s="2489"/>
      <c r="P6" s="2489"/>
      <c r="Q6" s="2489"/>
      <c r="R6" s="2490"/>
      <c r="S6" s="2490"/>
      <c r="T6" s="2490"/>
      <c r="U6" s="2490"/>
      <c r="V6" s="2490"/>
      <c r="W6" s="2490"/>
      <c r="X6" s="2490"/>
      <c r="Y6" s="2490"/>
      <c r="Z6" s="2378"/>
      <c r="AA6" s="2490"/>
      <c r="AB6" s="2490"/>
      <c r="AC6" s="2378"/>
      <c r="AD6" s="2880"/>
      <c r="AE6" s="2880"/>
      <c r="AF6" s="2880"/>
      <c r="AG6" s="2880"/>
      <c r="AH6" s="2880"/>
      <c r="AI6" s="2490"/>
      <c r="AJ6" s="2490"/>
      <c r="AK6" s="2490"/>
      <c r="AL6" s="2490"/>
      <c r="AM6" s="2490"/>
      <c r="AN6" s="2490"/>
      <c r="AO6" s="2378"/>
      <c r="AP6" s="2490"/>
      <c r="AQ6" s="2490"/>
      <c r="AR6" s="2490"/>
      <c r="AS6" s="2490"/>
      <c r="AT6" s="2378"/>
      <c r="AU6" s="2490"/>
      <c r="AV6" s="2379"/>
      <c r="AW6" s="2490"/>
      <c r="AX6" s="2490"/>
      <c r="AY6" s="2490"/>
      <c r="AZ6" s="2490"/>
      <c r="BA6" s="2490"/>
      <c r="BB6" s="2489"/>
      <c r="BC6" s="2490"/>
      <c r="BD6" s="2378"/>
      <c r="BE6" s="2378"/>
      <c r="BF6" s="2490"/>
      <c r="BG6" s="2490"/>
      <c r="BH6" s="2490"/>
      <c r="BI6" s="2490"/>
      <c r="BJ6" s="2490"/>
      <c r="BK6" s="2490"/>
      <c r="BL6" s="2490"/>
      <c r="BM6" s="2490"/>
      <c r="BN6" s="2490"/>
      <c r="BO6" s="2490"/>
      <c r="BP6" s="2490"/>
      <c r="BQ6" s="2490"/>
      <c r="BR6" s="2490"/>
      <c r="BS6" s="2490"/>
      <c r="BT6" s="2490"/>
      <c r="BU6" s="2490"/>
      <c r="BV6" s="2378"/>
      <c r="BW6" s="2490"/>
      <c r="BX6" s="2490"/>
      <c r="BY6" s="2490"/>
      <c r="BZ6" s="2490"/>
      <c r="CA6" s="2490"/>
      <c r="CB6" s="2378"/>
      <c r="CC6" s="2490"/>
      <c r="CD6" s="2490"/>
      <c r="CE6" s="2490"/>
      <c r="CF6" s="2490"/>
      <c r="CG6" s="2490"/>
      <c r="CH6" s="2490"/>
      <c r="CI6" s="2378"/>
      <c r="CJ6" s="2490"/>
      <c r="CK6" s="2490"/>
      <c r="CL6" s="2490"/>
      <c r="CM6" s="2490"/>
      <c r="CN6" s="2490"/>
      <c r="CO6" s="2378"/>
      <c r="CP6" s="2378"/>
      <c r="CQ6" s="2490"/>
      <c r="CR6" s="2490"/>
      <c r="CS6" s="2490"/>
      <c r="CT6" s="2490"/>
      <c r="CU6" s="2490"/>
      <c r="CV6" s="2490"/>
      <c r="CW6" s="2490"/>
      <c r="CX6" s="2490"/>
      <c r="CY6" s="2490"/>
      <c r="CZ6" s="2490"/>
      <c r="DA6" s="2490"/>
      <c r="DB6" s="2490"/>
      <c r="DC6" s="3649"/>
      <c r="DD6" s="2378"/>
      <c r="DE6" s="2490"/>
      <c r="DF6" s="2490"/>
      <c r="DG6" s="2490"/>
      <c r="DH6" s="2490"/>
      <c r="DI6" s="2490"/>
      <c r="DJ6" s="2490"/>
      <c r="DK6" s="2490"/>
      <c r="DL6" s="2490"/>
      <c r="DM6" s="2490"/>
      <c r="DN6" s="2378"/>
      <c r="DO6" s="2378"/>
      <c r="DP6" s="2490"/>
      <c r="DQ6" s="2490"/>
      <c r="DR6" s="2490"/>
      <c r="DS6" s="2490"/>
      <c r="DT6" s="2490"/>
      <c r="DU6" s="2490"/>
      <c r="DV6" s="2490"/>
      <c r="DW6" s="2490"/>
      <c r="DX6" s="2378"/>
      <c r="DY6" s="2490"/>
      <c r="DZ6" s="2490"/>
      <c r="EA6" s="2490"/>
      <c r="EB6" s="2490"/>
      <c r="EC6" s="2490"/>
      <c r="ED6" s="2378"/>
      <c r="EE6" s="2378"/>
      <c r="EF6" s="2490"/>
      <c r="EG6" s="2490"/>
      <c r="EH6" s="2490"/>
      <c r="EI6" s="2490"/>
      <c r="EJ6" s="2490"/>
      <c r="EK6" s="2490"/>
      <c r="EL6" s="2490"/>
      <c r="EM6" s="2490"/>
      <c r="EN6" s="2378"/>
      <c r="EO6" s="2490"/>
      <c r="EP6" s="2490"/>
      <c r="EQ6" s="2490"/>
      <c r="ER6" s="2490"/>
      <c r="ES6" s="2490"/>
      <c r="ET6" s="2490"/>
      <c r="EU6" s="2490"/>
      <c r="EV6" s="2490"/>
      <c r="EW6" s="2490"/>
      <c r="EX6" s="2490"/>
      <c r="EY6" s="2490"/>
      <c r="EZ6" s="2490"/>
      <c r="FA6" s="2490"/>
      <c r="FB6" s="2490"/>
      <c r="FC6" s="2490"/>
      <c r="FD6" s="2490"/>
      <c r="FE6" s="2378"/>
      <c r="FF6" s="2490"/>
      <c r="FG6" s="2378"/>
      <c r="FH6" s="2378"/>
      <c r="FI6" s="2490"/>
      <c r="FJ6" s="2490"/>
      <c r="FK6" s="2490"/>
      <c r="FL6" s="2490"/>
      <c r="FM6" s="2490"/>
      <c r="FN6" s="2490"/>
      <c r="FO6" s="2490"/>
      <c r="FP6" s="3649"/>
      <c r="FQ6" s="2490"/>
      <c r="FR6" s="2490"/>
      <c r="FS6" s="2490"/>
      <c r="FT6" s="2490"/>
      <c r="FU6" s="2490"/>
      <c r="FV6" s="2490"/>
      <c r="FW6" s="2490"/>
      <c r="FX6" s="2490"/>
      <c r="FY6" s="2490"/>
      <c r="FZ6" s="2490"/>
      <c r="GA6" s="2490"/>
      <c r="GB6" s="2490"/>
      <c r="GC6" s="2490"/>
      <c r="GD6" s="2490"/>
      <c r="GE6" s="2490"/>
      <c r="GF6" s="2490"/>
      <c r="GG6" s="2490"/>
      <c r="GH6" s="2490"/>
      <c r="GI6" s="2378"/>
      <c r="GJ6" s="2490"/>
      <c r="GK6" s="2490"/>
      <c r="GL6" s="2490"/>
      <c r="GM6" s="2490"/>
      <c r="GN6" s="2378"/>
      <c r="GO6" s="2379"/>
      <c r="GP6" s="2490"/>
      <c r="GQ6" s="2379"/>
      <c r="GR6" s="2490"/>
      <c r="GS6" s="2490"/>
      <c r="GT6" s="2490"/>
      <c r="GU6" s="2490"/>
      <c r="GV6" s="2490"/>
      <c r="GW6" s="2378"/>
      <c r="GX6" s="2490"/>
      <c r="GY6" s="2490"/>
      <c r="GZ6" s="2490"/>
      <c r="HA6" s="2490"/>
      <c r="HB6" s="2378"/>
      <c r="HC6" s="2490"/>
      <c r="HD6" s="2490"/>
      <c r="HE6" s="2490"/>
      <c r="HF6" s="2490"/>
      <c r="HG6" s="2490"/>
      <c r="HH6" s="2490"/>
      <c r="HI6" s="2490"/>
      <c r="HJ6" s="2490"/>
      <c r="HK6" s="2490"/>
      <c r="HL6" s="2490"/>
      <c r="HM6" s="2490"/>
      <c r="HN6" s="2490"/>
      <c r="HO6" s="2490"/>
      <c r="HP6" s="2490"/>
      <c r="HQ6" s="2490"/>
      <c r="HR6" s="2490"/>
      <c r="HS6" s="2490"/>
      <c r="HT6" s="2378"/>
      <c r="HU6" s="2378"/>
      <c r="HV6" s="2378"/>
      <c r="HW6" s="2490"/>
      <c r="HX6" s="2490"/>
      <c r="HY6" s="2490"/>
      <c r="HZ6" s="2490"/>
      <c r="IA6" s="2490"/>
      <c r="IB6" s="2490"/>
      <c r="IC6" s="2490"/>
      <c r="ID6" s="2490"/>
      <c r="IE6" s="2490"/>
      <c r="IF6" s="2490"/>
      <c r="IG6" s="2490"/>
      <c r="IH6" s="2490"/>
      <c r="II6" s="2490"/>
      <c r="IJ6" s="2490"/>
      <c r="IK6" s="2490"/>
      <c r="IL6" s="2490"/>
      <c r="IM6" s="2490"/>
      <c r="IN6" s="2490"/>
      <c r="IO6" s="2399"/>
      <c r="IP6" s="2490"/>
      <c r="IQ6" s="2490"/>
      <c r="IR6" s="2490"/>
      <c r="IS6" s="2490"/>
      <c r="IT6" s="2490"/>
      <c r="IU6" s="2490"/>
      <c r="IV6" s="2490"/>
      <c r="IW6" s="2490"/>
      <c r="IX6" s="2490"/>
      <c r="IY6" s="2490"/>
      <c r="IZ6" s="2490"/>
      <c r="JA6" s="2490"/>
      <c r="JB6" s="2490"/>
      <c r="JC6" s="2490"/>
      <c r="JD6" s="2490"/>
      <c r="JE6" s="2490"/>
      <c r="JF6" s="3640"/>
      <c r="JG6" s="2491"/>
      <c r="JH6" s="1233"/>
      <c r="JI6" s="2248"/>
      <c r="JJ6" s="2248" t="s">
        <v>6111</v>
      </c>
    </row>
    <row r="7" spans="1:270" x14ac:dyDescent="0.2">
      <c r="A7" s="1128">
        <v>6</v>
      </c>
      <c r="B7" s="1347" t="str">
        <f si="0" t="shared"/>
        <v/>
      </c>
      <c r="C7" s="1349" t="s">
        <v>688</v>
      </c>
      <c r="D7" s="1350" t="s">
        <v>5443</v>
      </c>
      <c r="E7" s="2492"/>
      <c r="F7" s="2493"/>
      <c r="G7" s="2494"/>
      <c r="H7" s="2493"/>
      <c r="I7" s="2493"/>
      <c r="J7" s="2493"/>
      <c r="K7" s="2493"/>
      <c r="L7" s="2493"/>
      <c r="M7" s="2493"/>
      <c r="N7" s="2495"/>
      <c r="O7" s="2495"/>
      <c r="P7" s="2495"/>
      <c r="Q7" s="2495"/>
      <c r="R7" s="2496"/>
      <c r="S7" s="2496"/>
      <c r="T7" s="2496"/>
      <c r="U7" s="2496"/>
      <c r="V7" s="2496"/>
      <c r="W7" s="2496"/>
      <c r="X7" s="2496"/>
      <c r="Y7" s="2496"/>
      <c r="Z7" s="2493"/>
      <c r="AA7" s="2496"/>
      <c r="AB7" s="2496"/>
      <c r="AC7" s="2493"/>
      <c r="AD7" s="3519"/>
      <c r="AE7" s="3519"/>
      <c r="AF7" s="3519"/>
      <c r="AG7" s="3519"/>
      <c r="AH7" s="3519"/>
      <c r="AI7" s="2496"/>
      <c r="AJ7" s="2496"/>
      <c r="AK7" s="2496"/>
      <c r="AL7" s="2496"/>
      <c r="AM7" s="2496"/>
      <c r="AN7" s="2496"/>
      <c r="AO7" s="2493"/>
      <c r="AP7" s="2496"/>
      <c r="AQ7" s="2496"/>
      <c r="AR7" s="2496"/>
      <c r="AS7" s="2496"/>
      <c r="AT7" s="2494" t="str">
        <f>"06/04/"&amp;Tax_year_start</f>
        <v>06/04/2019</v>
      </c>
      <c r="AU7" s="2496"/>
      <c r="AV7" s="2492"/>
      <c r="AW7" s="2496"/>
      <c r="AX7" s="2496"/>
      <c r="AY7" s="2496"/>
      <c r="AZ7" s="2496"/>
      <c r="BA7" s="2496"/>
      <c r="BB7" s="2495"/>
      <c r="BC7" s="2496"/>
      <c r="BD7" s="2494" t="str">
        <f>"06/04/"&amp;Tax_year_start</f>
        <v>06/04/2019</v>
      </c>
      <c r="BE7" s="2493"/>
      <c r="BF7" s="2496"/>
      <c r="BG7" s="2496"/>
      <c r="BH7" s="2496"/>
      <c r="BI7" s="2496"/>
      <c r="BJ7" s="2496"/>
      <c r="BK7" s="2496"/>
      <c r="BL7" s="2496"/>
      <c r="BM7" s="2496"/>
      <c r="BN7" s="2496"/>
      <c r="BO7" s="2496"/>
      <c r="BP7" s="2496"/>
      <c r="BQ7" s="2496"/>
      <c r="BR7" s="2496"/>
      <c r="BS7" s="2496"/>
      <c r="BT7" s="2496"/>
      <c r="BU7" s="2496"/>
      <c r="BV7" s="2493"/>
      <c r="BW7" s="2496"/>
      <c r="BX7" s="2496"/>
      <c r="BY7" s="2496"/>
      <c r="BZ7" s="2496"/>
      <c r="CA7" s="2496"/>
      <c r="CB7" s="2493"/>
      <c r="CC7" s="2496"/>
      <c r="CD7" s="2496"/>
      <c r="CE7" s="2496"/>
      <c r="CF7" s="2496"/>
      <c r="CG7" s="2496"/>
      <c r="CH7" s="2496"/>
      <c r="CI7" s="2493"/>
      <c r="CJ7" s="2496"/>
      <c r="CK7" s="2496"/>
      <c r="CL7" s="2496"/>
      <c r="CM7" s="2496"/>
      <c r="CN7" s="2496"/>
      <c r="CO7" s="2494" t="str">
        <f>"06/04/"&amp;Tax_year_start</f>
        <v>06/04/2019</v>
      </c>
      <c r="CP7" s="2493"/>
      <c r="CQ7" s="2496"/>
      <c r="CR7" s="2496"/>
      <c r="CS7" s="2496"/>
      <c r="CT7" s="2496"/>
      <c r="CU7" s="2496"/>
      <c r="CV7" s="2496"/>
      <c r="CW7" s="2496"/>
      <c r="CX7" s="2496"/>
      <c r="CY7" s="2496"/>
      <c r="CZ7" s="2496"/>
      <c r="DA7" s="2496"/>
      <c r="DB7" s="2496"/>
      <c r="DC7" s="3650" t="str">
        <f>"06/04/"&amp;Tax_year_start</f>
        <v>06/04/2019</v>
      </c>
      <c r="DD7" s="2493"/>
      <c r="DE7" s="2496"/>
      <c r="DF7" s="2496"/>
      <c r="DG7" s="2496"/>
      <c r="DH7" s="2496"/>
      <c r="DI7" s="2496"/>
      <c r="DJ7" s="2496"/>
      <c r="DK7" s="2496"/>
      <c r="DL7" s="2496"/>
      <c r="DM7" s="2496"/>
      <c r="DN7" s="2493"/>
      <c r="DO7" s="2494" t="str">
        <f>"06/04/"&amp;Tax_year_start</f>
        <v>06/04/2019</v>
      </c>
      <c r="DP7" s="2496"/>
      <c r="DQ7" s="2496"/>
      <c r="DR7" s="2496"/>
      <c r="DS7" s="2496"/>
      <c r="DT7" s="2496"/>
      <c r="DU7" s="2496"/>
      <c r="DV7" s="2496"/>
      <c r="DW7" s="2496"/>
      <c r="DX7" s="2493"/>
      <c r="DY7" s="2496"/>
      <c r="DZ7" s="2496"/>
      <c r="EA7" s="2496"/>
      <c r="EB7" s="2496"/>
      <c r="EC7" s="2496"/>
      <c r="ED7" s="2493"/>
      <c r="EE7" s="2493"/>
      <c r="EF7" s="2496"/>
      <c r="EG7" s="2496"/>
      <c r="EH7" s="2496"/>
      <c r="EI7" s="2496"/>
      <c r="EJ7" s="2496"/>
      <c r="EK7" s="2496"/>
      <c r="EL7" s="2496"/>
      <c r="EM7" s="2496"/>
      <c r="EN7" s="2493"/>
      <c r="EO7" s="2496"/>
      <c r="EP7" s="2496"/>
      <c r="EQ7" s="2496"/>
      <c r="ER7" s="2496"/>
      <c r="ES7" s="2496"/>
      <c r="ET7" s="2496"/>
      <c r="EU7" s="2496"/>
      <c r="EV7" s="2496"/>
      <c r="EW7" s="2496"/>
      <c r="EX7" s="2496"/>
      <c r="EY7" s="2496"/>
      <c r="EZ7" s="2496"/>
      <c r="FA7" s="2496"/>
      <c r="FB7" s="2496"/>
      <c r="FC7" s="2496"/>
      <c r="FD7" s="2496"/>
      <c r="FE7" s="2493"/>
      <c r="FF7" s="2496"/>
      <c r="FG7" s="2493"/>
      <c r="FH7" s="2493"/>
      <c r="FI7" s="2496"/>
      <c r="FJ7" s="2496"/>
      <c r="FK7" s="2496"/>
      <c r="FL7" s="2496"/>
      <c r="FM7" s="2496"/>
      <c r="FN7" s="2496"/>
      <c r="FO7" s="2496"/>
      <c r="FP7" s="3650" t="str">
        <f>"06/04/"&amp;Tax_year_start</f>
        <v>06/04/2019</v>
      </c>
      <c r="FQ7" s="2496"/>
      <c r="FR7" s="2496"/>
      <c r="FS7" s="2496"/>
      <c r="FT7" s="2496"/>
      <c r="FU7" s="2496"/>
      <c r="FV7" s="2496"/>
      <c r="FW7" s="2496"/>
      <c r="FX7" s="2496"/>
      <c r="FY7" s="2496"/>
      <c r="FZ7" s="2496"/>
      <c r="GA7" s="2496"/>
      <c r="GB7" s="2496"/>
      <c r="GC7" s="2496"/>
      <c r="GD7" s="2496"/>
      <c r="GE7" s="2496"/>
      <c r="GF7" s="2496"/>
      <c r="GG7" s="2496"/>
      <c r="GH7" s="2496"/>
      <c r="GI7" s="2493"/>
      <c r="GJ7" s="2496"/>
      <c r="GK7" s="2496"/>
      <c r="GL7" s="2496"/>
      <c r="GM7" s="2496"/>
      <c r="GN7" s="2493"/>
      <c r="GO7" s="2492"/>
      <c r="GP7" s="2496"/>
      <c r="GQ7" s="2492"/>
      <c r="GR7" s="2496"/>
      <c r="GS7" s="2496"/>
      <c r="GT7" s="2496"/>
      <c r="GU7" s="2496"/>
      <c r="GV7" s="2496"/>
      <c r="GW7" s="2493"/>
      <c r="GX7" s="2496"/>
      <c r="GY7" s="2496"/>
      <c r="GZ7" s="2496"/>
      <c r="HA7" s="2496"/>
      <c r="HB7" s="2494" t="str">
        <f>"06/04/"&amp;Tax_year_start</f>
        <v>06/04/2019</v>
      </c>
      <c r="HC7" s="2496"/>
      <c r="HD7" s="2496"/>
      <c r="HE7" s="2496"/>
      <c r="HF7" s="2496"/>
      <c r="HG7" s="2496"/>
      <c r="HH7" s="2496"/>
      <c r="HI7" s="2496"/>
      <c r="HJ7" s="2496"/>
      <c r="HK7" s="2496"/>
      <c r="HL7" s="2496"/>
      <c r="HM7" s="2496"/>
      <c r="HN7" s="2496"/>
      <c r="HO7" s="2496"/>
      <c r="HP7" s="2496"/>
      <c r="HQ7" s="2496"/>
      <c r="HR7" s="2496"/>
      <c r="HS7" s="2496"/>
      <c r="HT7" s="2493"/>
      <c r="HU7" s="2493"/>
      <c r="HV7" s="2493"/>
      <c r="HW7" s="2496"/>
      <c r="HX7" s="2496"/>
      <c r="HY7" s="2496"/>
      <c r="HZ7" s="2496"/>
      <c r="IA7" s="2496"/>
      <c r="IB7" s="2496"/>
      <c r="IC7" s="2496"/>
      <c r="ID7" s="2496"/>
      <c r="IE7" s="2496"/>
      <c r="IF7" s="2496"/>
      <c r="IG7" s="2496"/>
      <c r="IH7" s="2496"/>
      <c r="II7" s="2496"/>
      <c r="IJ7" s="2496"/>
      <c r="IK7" s="2496"/>
      <c r="IL7" s="2496"/>
      <c r="IM7" s="2496"/>
      <c r="IN7" s="2496"/>
      <c r="IO7" s="2493"/>
      <c r="IP7" s="2496"/>
      <c r="IQ7" s="2496"/>
      <c r="IR7" s="2496"/>
      <c r="IS7" s="2496"/>
      <c r="IT7" s="2496"/>
      <c r="IU7" s="2496"/>
      <c r="IV7" s="2496"/>
      <c r="IW7" s="2496"/>
      <c r="IX7" s="2496"/>
      <c r="IY7" s="2496"/>
      <c r="IZ7" s="2496"/>
      <c r="JA7" s="2496"/>
      <c r="JB7" s="2496"/>
      <c r="JC7" s="2496"/>
      <c r="JD7" s="2496"/>
      <c r="JE7" s="2496"/>
      <c r="JF7" s="4263" t="str">
        <f>"06/04/"&amp;Tax_year_start</f>
        <v>06/04/2019</v>
      </c>
      <c r="JG7" s="2497"/>
      <c r="JH7" s="1233"/>
      <c r="JI7" s="2248" t="s">
        <v>5433</v>
      </c>
      <c r="JJ7" s="2248" t="s">
        <v>6126</v>
      </c>
    </row>
    <row ht="33.75" r="8" spans="1:270" x14ac:dyDescent="0.2">
      <c r="A8" s="1128">
        <v>7</v>
      </c>
      <c r="B8" s="1347" t="str">
        <f si="0" t="shared"/>
        <v/>
      </c>
      <c r="C8" s="1349" t="s">
        <v>3838</v>
      </c>
      <c r="D8" s="1350" t="s">
        <v>5444</v>
      </c>
      <c r="E8" s="2498"/>
      <c r="F8" s="2494"/>
      <c r="G8" s="2499"/>
      <c r="H8" s="2499"/>
      <c r="I8" s="2499"/>
      <c r="J8" s="2499"/>
      <c r="K8" s="2499"/>
      <c r="L8" s="2499"/>
      <c r="M8" s="2494" t="str">
        <f>"31/03/"&amp;Tax_year_end</f>
        <v>31/03/2020</v>
      </c>
      <c r="N8" s="2500"/>
      <c r="O8" s="2500"/>
      <c r="P8" s="2500"/>
      <c r="Q8" s="2500"/>
      <c r="R8" s="2501"/>
      <c r="S8" s="2501"/>
      <c r="T8" s="2501"/>
      <c r="U8" s="2501"/>
      <c r="V8" s="2501"/>
      <c r="W8" s="2501"/>
      <c r="X8" s="2501"/>
      <c r="Y8" s="2501"/>
      <c r="Z8" s="2499"/>
      <c r="AA8" s="2501"/>
      <c r="AB8" s="2501"/>
      <c r="AC8" s="2499"/>
      <c r="AD8" s="3520"/>
      <c r="AE8" s="3520"/>
      <c r="AF8" s="3520"/>
      <c r="AG8" s="3520"/>
      <c r="AH8" s="3520"/>
      <c r="AI8" s="2501"/>
      <c r="AJ8" s="2501"/>
      <c r="AK8" s="2501"/>
      <c r="AL8" s="2501"/>
      <c r="AM8" s="2501"/>
      <c r="AN8" s="2501"/>
      <c r="AO8" s="2494" t="str">
        <f>"31/03/"&amp;Tax_year_end</f>
        <v>31/03/2020</v>
      </c>
      <c r="AP8" s="2501"/>
      <c r="AQ8" s="2501"/>
      <c r="AR8" s="2501"/>
      <c r="AS8" s="2501"/>
      <c r="AT8" s="2499"/>
      <c r="AU8" s="2501"/>
      <c r="AV8" s="2498"/>
      <c r="AW8" s="2501"/>
      <c r="AX8" s="2501"/>
      <c r="AY8" s="2501"/>
      <c r="AZ8" s="2501"/>
      <c r="BA8" s="2501"/>
      <c r="BB8" s="2500"/>
      <c r="BC8" s="2501"/>
      <c r="BD8" s="2499"/>
      <c r="BE8" s="2499"/>
      <c r="BF8" s="2501"/>
      <c r="BG8" s="2501"/>
      <c r="BH8" s="2501"/>
      <c r="BI8" s="2501"/>
      <c r="BJ8" s="2501"/>
      <c r="BK8" s="2501"/>
      <c r="BL8" s="2501"/>
      <c r="BM8" s="2501"/>
      <c r="BN8" s="2501"/>
      <c r="BO8" s="2501"/>
      <c r="BP8" s="2501"/>
      <c r="BQ8" s="2501"/>
      <c r="BR8" s="2501"/>
      <c r="BS8" s="2501"/>
      <c r="BT8" s="2501"/>
      <c r="BU8" s="2501"/>
      <c r="BV8" s="2494" t="str">
        <f>"31/03/"&amp;Tax_year_end</f>
        <v>31/03/2020</v>
      </c>
      <c r="BW8" s="2501"/>
      <c r="BX8" s="2501"/>
      <c r="BY8" s="2501"/>
      <c r="BZ8" s="2501"/>
      <c r="CA8" s="2501"/>
      <c r="CB8" s="2494" t="str">
        <f>"31/03/"&amp;Tax_year_end</f>
        <v>31/03/2020</v>
      </c>
      <c r="CC8" s="2501"/>
      <c r="CD8" s="2501"/>
      <c r="CE8" s="2501"/>
      <c r="CF8" s="2501"/>
      <c r="CG8" s="2501"/>
      <c r="CH8" s="2501"/>
      <c r="CI8" s="2499"/>
      <c r="CJ8" s="2501"/>
      <c r="CK8" s="2501"/>
      <c r="CL8" s="2501"/>
      <c r="CM8" s="2501"/>
      <c r="CN8" s="2501"/>
      <c r="CO8" s="2499"/>
      <c r="CP8" s="2494" t="str">
        <f>"31/03/"&amp;Tax_year_end</f>
        <v>31/03/2020</v>
      </c>
      <c r="CQ8" s="2501"/>
      <c r="CR8" s="2501"/>
      <c r="CS8" s="2501"/>
      <c r="CT8" s="2501"/>
      <c r="CU8" s="2501"/>
      <c r="CV8" s="2501"/>
      <c r="CW8" s="2501"/>
      <c r="CX8" s="2501"/>
      <c r="CY8" s="2501"/>
      <c r="CZ8" s="2501"/>
      <c r="DA8" s="2501"/>
      <c r="DB8" s="2501"/>
      <c r="DC8" s="3651"/>
      <c r="DD8" s="2499"/>
      <c r="DE8" s="2501"/>
      <c r="DF8" s="2501"/>
      <c r="DG8" s="2501"/>
      <c r="DH8" s="2501"/>
      <c r="DI8" s="2501"/>
      <c r="DJ8" s="2501"/>
      <c r="DK8" s="2501"/>
      <c r="DL8" s="2501"/>
      <c r="DM8" s="2501"/>
      <c r="DN8" s="2499"/>
      <c r="DO8" s="2499"/>
      <c r="DP8" s="2501"/>
      <c r="DQ8" s="2501"/>
      <c r="DR8" s="2501"/>
      <c r="DS8" s="2501"/>
      <c r="DT8" s="2501"/>
      <c r="DU8" s="2501"/>
      <c r="DV8" s="2501"/>
      <c r="DW8" s="2501"/>
      <c r="DX8" s="2494" t="str">
        <f>"31/03/"&amp;Tax_year_end</f>
        <v>31/03/2020</v>
      </c>
      <c r="DY8" s="2501"/>
      <c r="DZ8" s="2501"/>
      <c r="EA8" s="2501"/>
      <c r="EB8" s="2501"/>
      <c r="EC8" s="2501"/>
      <c r="ED8" s="2499"/>
      <c r="EE8" s="2499"/>
      <c r="EF8" s="2501"/>
      <c r="EG8" s="2501"/>
      <c r="EH8" s="2501"/>
      <c r="EI8" s="2501"/>
      <c r="EJ8" s="2501"/>
      <c r="EK8" s="2501"/>
      <c r="EL8" s="2501"/>
      <c r="EM8" s="2501"/>
      <c r="EN8" s="2499"/>
      <c r="EO8" s="2501"/>
      <c r="EP8" s="2501"/>
      <c r="EQ8" s="2501"/>
      <c r="ER8" s="2501"/>
      <c r="ES8" s="2501"/>
      <c r="ET8" s="2501"/>
      <c r="EU8" s="2501"/>
      <c r="EV8" s="2501"/>
      <c r="EW8" s="2501"/>
      <c r="EX8" s="2501"/>
      <c r="EY8" s="2501"/>
      <c r="EZ8" s="2501"/>
      <c r="FA8" s="2501"/>
      <c r="FB8" s="2501"/>
      <c r="FC8" s="2501"/>
      <c r="FD8" s="2501"/>
      <c r="FE8" s="2494" t="str">
        <f>"31/03/"&amp;Tax_year_end</f>
        <v>31/03/2020</v>
      </c>
      <c r="FF8" s="2501"/>
      <c r="FG8" s="2494" t="str">
        <f>"31/03/"&amp;Tax_year_end</f>
        <v>31/03/2020</v>
      </c>
      <c r="FH8" s="2494" t="str">
        <f>"31/03/"&amp;Tax_year_end</f>
        <v>31/03/2020</v>
      </c>
      <c r="FI8" s="2501"/>
      <c r="FJ8" s="2501"/>
      <c r="FK8" s="2501"/>
      <c r="FL8" s="2501"/>
      <c r="FM8" s="2501"/>
      <c r="FN8" s="2501"/>
      <c r="FO8" s="2501"/>
      <c r="FP8" s="3651"/>
      <c r="FQ8" s="2501"/>
      <c r="FR8" s="2501"/>
      <c r="FS8" s="2501"/>
      <c r="FT8" s="2501"/>
      <c r="FU8" s="2501"/>
      <c r="FV8" s="2501"/>
      <c r="FW8" s="2501"/>
      <c r="FX8" s="2501"/>
      <c r="FY8" s="2501"/>
      <c r="FZ8" s="2501"/>
      <c r="GA8" s="2501"/>
      <c r="GB8" s="2501"/>
      <c r="GC8" s="2501"/>
      <c r="GD8" s="2501"/>
      <c r="GE8" s="2501"/>
      <c r="GF8" s="2501"/>
      <c r="GG8" s="2501"/>
      <c r="GH8" s="2501"/>
      <c r="GI8" s="2494" t="str">
        <f>"31/03/"&amp;Tax_year_end</f>
        <v>31/03/2020</v>
      </c>
      <c r="GJ8" s="2501"/>
      <c r="GK8" s="2501"/>
      <c r="GL8" s="2501"/>
      <c r="GM8" s="2501"/>
      <c r="GN8" s="2499"/>
      <c r="GO8" s="2498"/>
      <c r="GP8" s="2501"/>
      <c r="GQ8" s="2498"/>
      <c r="GR8" s="2501"/>
      <c r="GS8" s="2501"/>
      <c r="GT8" s="2501"/>
      <c r="GU8" s="2501"/>
      <c r="GV8" s="2501"/>
      <c r="GW8" s="2499"/>
      <c r="GX8" s="2501"/>
      <c r="GY8" s="2501"/>
      <c r="GZ8" s="2501"/>
      <c r="HA8" s="2501"/>
      <c r="HB8" s="2499"/>
      <c r="HC8" s="2501"/>
      <c r="HD8" s="2501"/>
      <c r="HE8" s="2501"/>
      <c r="HF8" s="2501"/>
      <c r="HG8" s="2501"/>
      <c r="HH8" s="2501"/>
      <c r="HI8" s="2501"/>
      <c r="HJ8" s="2501"/>
      <c r="HK8" s="2501"/>
      <c r="HL8" s="2501"/>
      <c r="HM8" s="2501"/>
      <c r="HN8" s="2501"/>
      <c r="HO8" s="2501"/>
      <c r="HP8" s="2501"/>
      <c r="HQ8" s="2501"/>
      <c r="HR8" s="2501"/>
      <c r="HS8" s="2501"/>
      <c r="HT8" s="2494" t="str">
        <f>"31/03/"&amp;Tax_year_end</f>
        <v>31/03/2020</v>
      </c>
      <c r="HU8" s="2499"/>
      <c r="HV8" s="2494" t="str">
        <f>"31/03/"&amp;Tax_year_end</f>
        <v>31/03/2020</v>
      </c>
      <c r="HW8" s="2501"/>
      <c r="HX8" s="2501"/>
      <c r="HY8" s="2501"/>
      <c r="HZ8" s="2501"/>
      <c r="IA8" s="2501"/>
      <c r="IB8" s="2501"/>
      <c r="IC8" s="2501"/>
      <c r="ID8" s="2501"/>
      <c r="IE8" s="2501"/>
      <c r="IF8" s="2501"/>
      <c r="IG8" s="2501"/>
      <c r="IH8" s="2501"/>
      <c r="II8" s="2501"/>
      <c r="IJ8" s="2501"/>
      <c r="IK8" s="2501"/>
      <c r="IL8" s="2501"/>
      <c r="IM8" s="2501"/>
      <c r="IN8" s="2501"/>
      <c r="IO8" s="2502"/>
      <c r="IP8" s="2501"/>
      <c r="IQ8" s="2501"/>
      <c r="IR8" s="2501"/>
      <c r="IS8" s="2501"/>
      <c r="IT8" s="2501"/>
      <c r="IU8" s="2501"/>
      <c r="IV8" s="2501"/>
      <c r="IW8" s="2501"/>
      <c r="IX8" s="2501"/>
      <c r="IY8" s="2501"/>
      <c r="IZ8" s="2501"/>
      <c r="JA8" s="2501"/>
      <c r="JB8" s="2501"/>
      <c r="JC8" s="2501"/>
      <c r="JD8" s="2501"/>
      <c r="JE8" s="2501"/>
      <c r="JF8" s="4264"/>
      <c r="JG8" s="2503"/>
      <c r="JH8" s="1233"/>
      <c r="JI8" s="2248" t="s">
        <v>5434</v>
      </c>
      <c r="JJ8" s="2248" t="s">
        <v>6126</v>
      </c>
    </row>
    <row r="9" spans="1:270" x14ac:dyDescent="0.2">
      <c r="A9" s="1128">
        <v>8</v>
      </c>
      <c r="B9" s="1347" t="str">
        <f si="0" t="shared"/>
        <v/>
      </c>
      <c r="C9" s="1349" t="s">
        <v>3556</v>
      </c>
      <c r="D9" s="1350" t="s">
        <v>5445</v>
      </c>
      <c r="E9" s="2494"/>
      <c r="F9" s="2494"/>
      <c r="G9" s="2494"/>
      <c r="H9" s="2494"/>
      <c r="I9" s="2494"/>
      <c r="J9" s="2494"/>
      <c r="K9" s="2494"/>
      <c r="L9" s="2494"/>
      <c r="M9" s="2494" t="str">
        <f>"05/04/"&amp;Tax_year_end</f>
        <v>05/04/2020</v>
      </c>
      <c r="N9" s="2495"/>
      <c r="O9" s="2495"/>
      <c r="P9" s="2495"/>
      <c r="Q9" s="2495"/>
      <c r="R9" s="2496"/>
      <c r="S9" s="2496"/>
      <c r="T9" s="2496"/>
      <c r="U9" s="2496"/>
      <c r="V9" s="2496"/>
      <c r="W9" s="2496"/>
      <c r="X9" s="2496"/>
      <c r="Y9" s="2496"/>
      <c r="Z9" s="2494" t="str">
        <f>"05/04/"&amp;Tax_year_end</f>
        <v>05/04/2020</v>
      </c>
      <c r="AA9" s="2496"/>
      <c r="AB9" s="2496"/>
      <c r="AC9" s="2494" t="str">
        <f>"05/04/"&amp;Tax_year_end</f>
        <v>05/04/2020</v>
      </c>
      <c r="AD9" s="3521"/>
      <c r="AE9" s="3521"/>
      <c r="AF9" s="3521"/>
      <c r="AG9" s="3521"/>
      <c r="AH9" s="3521"/>
      <c r="AI9" s="2496"/>
      <c r="AJ9" s="2496"/>
      <c r="AK9" s="2496"/>
      <c r="AL9" s="2496"/>
      <c r="AM9" s="2496"/>
      <c r="AN9" s="2496"/>
      <c r="AO9" s="2494" t="str">
        <f>"05/04/"&amp;Tax_year_end</f>
        <v>05/04/2020</v>
      </c>
      <c r="AP9" s="2496"/>
      <c r="AQ9" s="2496"/>
      <c r="AR9" s="2496"/>
      <c r="AS9" s="2496"/>
      <c r="AT9" s="2494" t="str">
        <f>"05/04/"&amp;Tax_year_end</f>
        <v>05/04/2020</v>
      </c>
      <c r="AU9" s="2496"/>
      <c r="AV9" s="2494" t="str">
        <f>"05/04/"&amp;Tax_year_end</f>
        <v>05/04/2020</v>
      </c>
      <c r="AW9" s="2496"/>
      <c r="AX9" s="2496"/>
      <c r="AY9" s="2496"/>
      <c r="AZ9" s="2496"/>
      <c r="BA9" s="2496"/>
      <c r="BB9" s="2495"/>
      <c r="BC9" s="2496"/>
      <c r="BD9" s="2494" t="str">
        <f>"05/04/"&amp;Tax_year_end</f>
        <v>05/04/2020</v>
      </c>
      <c r="BE9" s="2494" t="str">
        <f>"05/04/"&amp;Tax_year_end</f>
        <v>05/04/2020</v>
      </c>
      <c r="BF9" s="2496"/>
      <c r="BG9" s="2496"/>
      <c r="BH9" s="2496"/>
      <c r="BI9" s="2496"/>
      <c r="BJ9" s="2496"/>
      <c r="BK9" s="2496"/>
      <c r="BL9" s="2496"/>
      <c r="BM9" s="2496"/>
      <c r="BN9" s="2496"/>
      <c r="BO9" s="2496"/>
      <c r="BP9" s="2496"/>
      <c r="BQ9" s="2496"/>
      <c r="BR9" s="2496"/>
      <c r="BS9" s="2496"/>
      <c r="BT9" s="2496"/>
      <c r="BU9" s="2496"/>
      <c r="BV9" s="2494" t="str">
        <f>"05/04/"&amp;Tax_year_end</f>
        <v>05/04/2020</v>
      </c>
      <c r="BW9" s="2496"/>
      <c r="BX9" s="2496"/>
      <c r="BY9" s="2496"/>
      <c r="BZ9" s="2496"/>
      <c r="CA9" s="2496"/>
      <c r="CB9" s="2494" t="str">
        <f>"05/04/"&amp;Tax_year_end</f>
        <v>05/04/2020</v>
      </c>
      <c r="CC9" s="2496"/>
      <c r="CD9" s="2496"/>
      <c r="CE9" s="2496"/>
      <c r="CF9" s="2496"/>
      <c r="CG9" s="2496"/>
      <c r="CH9" s="2496"/>
      <c r="CI9" s="2494" t="str">
        <f>"05/04/"&amp;Tax_year_end</f>
        <v>05/04/2020</v>
      </c>
      <c r="CJ9" s="2496"/>
      <c r="CK9" s="2496"/>
      <c r="CL9" s="2496"/>
      <c r="CM9" s="2496"/>
      <c r="CN9" s="2496"/>
      <c r="CO9" s="2494" t="str">
        <f>"05/04/"&amp;Tax_year_end</f>
        <v>05/04/2020</v>
      </c>
      <c r="CP9" s="2494" t="str">
        <f>"05/04/"&amp;Tax_year_end</f>
        <v>05/04/2020</v>
      </c>
      <c r="CQ9" s="2496"/>
      <c r="CR9" s="2496"/>
      <c r="CS9" s="2496"/>
      <c r="CT9" s="2496"/>
      <c r="CU9" s="2496"/>
      <c r="CV9" s="2496"/>
      <c r="CW9" s="2496"/>
      <c r="CX9" s="2496"/>
      <c r="CY9" s="2496"/>
      <c r="CZ9" s="2496"/>
      <c r="DA9" s="2496"/>
      <c r="DB9" s="2496"/>
      <c r="DC9" s="3650" t="str">
        <f>"05/04/"&amp;Tax_year_end</f>
        <v>05/04/2020</v>
      </c>
      <c r="DD9" s="2494" t="str">
        <f>"05/04/"&amp;Tax_year_end</f>
        <v>05/04/2020</v>
      </c>
      <c r="DE9" s="2496"/>
      <c r="DF9" s="2496"/>
      <c r="DG9" s="2496"/>
      <c r="DH9" s="2496"/>
      <c r="DI9" s="2496"/>
      <c r="DJ9" s="2496"/>
      <c r="DK9" s="2496"/>
      <c r="DL9" s="2496"/>
      <c r="DM9" s="2496"/>
      <c r="DN9" s="2494" t="str">
        <f>"05/04/"&amp;Tax_year_end</f>
        <v>05/04/2020</v>
      </c>
      <c r="DO9" s="2494" t="str">
        <f>"05/04/"&amp;Tax_year_end</f>
        <v>05/04/2020</v>
      </c>
      <c r="DP9" s="2496"/>
      <c r="DQ9" s="2496"/>
      <c r="DR9" s="2496"/>
      <c r="DS9" s="2496"/>
      <c r="DT9" s="2496"/>
      <c r="DU9" s="2496"/>
      <c r="DV9" s="2496"/>
      <c r="DW9" s="2496"/>
      <c r="DX9" s="2494" t="str">
        <f>"05/04/"&amp;Tax_year_end</f>
        <v>05/04/2020</v>
      </c>
      <c r="DY9" s="2496"/>
      <c r="DZ9" s="2496"/>
      <c r="EA9" s="2496"/>
      <c r="EB9" s="2496"/>
      <c r="EC9" s="2496"/>
      <c r="ED9" s="2494" t="str">
        <f>"05/04/"&amp;Tax_year_end</f>
        <v>05/04/2020</v>
      </c>
      <c r="EE9" s="2494" t="str">
        <f>"05/04/"&amp;Tax_year_end</f>
        <v>05/04/2020</v>
      </c>
      <c r="EF9" s="2496"/>
      <c r="EG9" s="2496"/>
      <c r="EH9" s="2496"/>
      <c r="EI9" s="2496"/>
      <c r="EJ9" s="2496"/>
      <c r="EK9" s="2496"/>
      <c r="EL9" s="2496"/>
      <c r="EM9" s="2496"/>
      <c r="EN9" s="2494" t="str">
        <f>"05/04/"&amp;Tax_year_end</f>
        <v>05/04/2020</v>
      </c>
      <c r="EO9" s="2496"/>
      <c r="EP9" s="2496"/>
      <c r="EQ9" s="2496"/>
      <c r="ER9" s="2496"/>
      <c r="ES9" s="2496"/>
      <c r="ET9" s="2496"/>
      <c r="EU9" s="2496"/>
      <c r="EV9" s="2496"/>
      <c r="EW9" s="2496"/>
      <c r="EX9" s="2496"/>
      <c r="EY9" s="2496"/>
      <c r="EZ9" s="2496"/>
      <c r="FA9" s="2496"/>
      <c r="FB9" s="2496"/>
      <c r="FC9" s="2496"/>
      <c r="FD9" s="2496"/>
      <c r="FE9" s="2494" t="str">
        <f>"05/04/"&amp;Tax_year_end</f>
        <v>05/04/2020</v>
      </c>
      <c r="FF9" s="2496"/>
      <c r="FG9" s="2494" t="str">
        <f>"05/04/"&amp;Tax_year_end</f>
        <v>05/04/2020</v>
      </c>
      <c r="FH9" s="2494" t="str">
        <f>"05/04/"&amp;Tax_year_end</f>
        <v>05/04/2020</v>
      </c>
      <c r="FI9" s="2496"/>
      <c r="FJ9" s="2496"/>
      <c r="FK9" s="2496"/>
      <c r="FL9" s="2496"/>
      <c r="FM9" s="2496"/>
      <c r="FN9" s="2496"/>
      <c r="FO9" s="2496"/>
      <c r="FP9" s="3650" t="str">
        <f>"05/04/"&amp;Tax_year_end</f>
        <v>05/04/2020</v>
      </c>
      <c r="FQ9" s="2496"/>
      <c r="FR9" s="2496"/>
      <c r="FS9" s="2496"/>
      <c r="FT9" s="2496"/>
      <c r="FU9" s="2496"/>
      <c r="FV9" s="2496"/>
      <c r="FW9" s="2496"/>
      <c r="FX9" s="2496"/>
      <c r="FY9" s="2496"/>
      <c r="FZ9" s="2496"/>
      <c r="GA9" s="2496"/>
      <c r="GB9" s="2496"/>
      <c r="GC9" s="2496"/>
      <c r="GD9" s="2496"/>
      <c r="GE9" s="2496"/>
      <c r="GF9" s="2496"/>
      <c r="GG9" s="2496"/>
      <c r="GH9" s="2496"/>
      <c r="GI9" s="2494" t="str">
        <f>"05/04/"&amp;Tax_year_end</f>
        <v>05/04/2020</v>
      </c>
      <c r="GJ9" s="2496"/>
      <c r="GK9" s="2496"/>
      <c r="GL9" s="2496"/>
      <c r="GM9" s="2496"/>
      <c r="GN9" s="2494" t="str">
        <f>"05/04/"&amp;Tax_year_end</f>
        <v>05/04/2020</v>
      </c>
      <c r="GO9" s="2494" t="str">
        <f>"05/04/"&amp;Tax_year_end</f>
        <v>05/04/2020</v>
      </c>
      <c r="GP9" s="2496"/>
      <c r="GQ9" s="2494" t="str">
        <f>"05/04/"&amp;Tax_year_end</f>
        <v>05/04/2020</v>
      </c>
      <c r="GR9" s="2496"/>
      <c r="GS9" s="2496"/>
      <c r="GT9" s="2496"/>
      <c r="GU9" s="2496"/>
      <c r="GV9" s="2496"/>
      <c r="GW9" s="2494" t="str">
        <f>"05/04/"&amp;Tax_year_end</f>
        <v>05/04/2020</v>
      </c>
      <c r="GX9" s="2496"/>
      <c r="GY9" s="2496"/>
      <c r="GZ9" s="2496"/>
      <c r="HA9" s="2496"/>
      <c r="HB9" s="2494" t="str">
        <f>"05/04/"&amp;Tax_year_end</f>
        <v>05/04/2020</v>
      </c>
      <c r="HC9" s="2496"/>
      <c r="HD9" s="2496"/>
      <c r="HE9" s="2496"/>
      <c r="HF9" s="2496"/>
      <c r="HG9" s="2496"/>
      <c r="HH9" s="2496"/>
      <c r="HI9" s="2496"/>
      <c r="HJ9" s="2496"/>
      <c r="HK9" s="2496"/>
      <c r="HL9" s="2496"/>
      <c r="HM9" s="2496"/>
      <c r="HN9" s="2496"/>
      <c r="HO9" s="2496"/>
      <c r="HP9" s="2496"/>
      <c r="HQ9" s="2496"/>
      <c r="HR9" s="2496"/>
      <c r="HS9" s="2496"/>
      <c r="HT9" s="2494" t="str">
        <f>"05/04/"&amp;Tax_year_end</f>
        <v>05/04/2020</v>
      </c>
      <c r="HU9" s="2494" t="str">
        <f>"05/04/"&amp;Tax_year_end</f>
        <v>05/04/2020</v>
      </c>
      <c r="HV9" s="2494" t="str">
        <f>"05/04/"&amp;Tax_year_end</f>
        <v>05/04/2020</v>
      </c>
      <c r="HW9" s="2496"/>
      <c r="HX9" s="2496"/>
      <c r="HY9" s="2496"/>
      <c r="HZ9" s="2496"/>
      <c r="IA9" s="2496"/>
      <c r="IB9" s="2496"/>
      <c r="IC9" s="2496"/>
      <c r="ID9" s="2496"/>
      <c r="IE9" s="2496"/>
      <c r="IF9" s="2496"/>
      <c r="IG9" s="2496"/>
      <c r="IH9" s="2496"/>
      <c r="II9" s="2496"/>
      <c r="IJ9" s="2496"/>
      <c r="IK9" s="2496"/>
      <c r="IL9" s="2496"/>
      <c r="IM9" s="2496"/>
      <c r="IN9" s="2496"/>
      <c r="IO9" s="2493"/>
      <c r="IP9" s="2496"/>
      <c r="IQ9" s="2496"/>
      <c r="IR9" s="2496"/>
      <c r="IS9" s="2496"/>
      <c r="IT9" s="2496"/>
      <c r="IU9" s="2496"/>
      <c r="IV9" s="2496"/>
      <c r="IW9" s="2496"/>
      <c r="IX9" s="2496"/>
      <c r="IY9" s="2496"/>
      <c r="IZ9" s="2496"/>
      <c r="JA9" s="2496"/>
      <c r="JB9" s="2496"/>
      <c r="JC9" s="2496"/>
      <c r="JD9" s="2496"/>
      <c r="JE9" s="2496"/>
      <c r="JF9" s="4263" t="str">
        <f>"05/04/"&amp;Tax_year_end</f>
        <v>05/04/2020</v>
      </c>
      <c r="JG9" s="2497"/>
      <c r="JH9" s="1233"/>
      <c r="JI9" s="2248"/>
      <c r="JJ9" s="2248" t="s">
        <v>6126</v>
      </c>
    </row>
    <row r="10" spans="1:270" x14ac:dyDescent="0.2">
      <c r="A10" s="1128">
        <v>9</v>
      </c>
      <c r="B10" s="1347" t="str">
        <f si="0" t="shared"/>
        <v/>
      </c>
      <c r="C10" s="1349" t="s">
        <v>3557</v>
      </c>
      <c r="D10" s="1350" t="s">
        <v>5446</v>
      </c>
      <c r="E10" s="2504"/>
      <c r="F10" s="2504"/>
      <c r="G10" s="2504"/>
      <c r="H10" s="2504"/>
      <c r="I10" s="2504"/>
      <c r="J10" s="2504"/>
      <c r="K10" s="2504"/>
      <c r="L10" s="2505"/>
      <c r="M10" s="2504" t="s">
        <v>1189</v>
      </c>
      <c r="N10" s="2506"/>
      <c r="O10" s="2506"/>
      <c r="P10" s="2506"/>
      <c r="Q10" s="2506"/>
      <c r="R10" s="2507"/>
      <c r="S10" s="2507"/>
      <c r="T10" s="2507"/>
      <c r="U10" s="2507"/>
      <c r="V10" s="2507"/>
      <c r="W10" s="2507"/>
      <c r="X10" s="2507"/>
      <c r="Y10" s="2507"/>
      <c r="Z10" s="2504" t="s">
        <v>1189</v>
      </c>
      <c r="AA10" s="2507"/>
      <c r="AB10" s="2507"/>
      <c r="AC10" s="2504" t="s">
        <v>1189</v>
      </c>
      <c r="AD10" s="3522"/>
      <c r="AE10" s="3522"/>
      <c r="AF10" s="3522"/>
      <c r="AG10" s="3522"/>
      <c r="AH10" s="3522"/>
      <c r="AI10" s="2507"/>
      <c r="AJ10" s="2507"/>
      <c r="AK10" s="2507"/>
      <c r="AL10" s="2507"/>
      <c r="AM10" s="2507"/>
      <c r="AN10" s="2507"/>
      <c r="AO10" s="2504" t="s">
        <v>1189</v>
      </c>
      <c r="AP10" s="2507"/>
      <c r="AQ10" s="2507"/>
      <c r="AR10" s="2507"/>
      <c r="AS10" s="2507"/>
      <c r="AT10" s="2504" t="s">
        <v>1189</v>
      </c>
      <c r="AU10" s="2507"/>
      <c r="AV10" s="2504" t="s">
        <v>1189</v>
      </c>
      <c r="AW10" s="2507"/>
      <c r="AX10" s="2507"/>
      <c r="AY10" s="2507"/>
      <c r="AZ10" s="2507"/>
      <c r="BA10" s="2507"/>
      <c r="BB10" s="2506"/>
      <c r="BC10" s="2507"/>
      <c r="BD10" s="2504" t="s">
        <v>1189</v>
      </c>
      <c r="BE10" s="2504" t="s">
        <v>1189</v>
      </c>
      <c r="BF10" s="2507"/>
      <c r="BG10" s="2507"/>
      <c r="BH10" s="2507"/>
      <c r="BI10" s="2507"/>
      <c r="BJ10" s="2507"/>
      <c r="BK10" s="2507"/>
      <c r="BL10" s="2507"/>
      <c r="BM10" s="2507"/>
      <c r="BN10" s="2507"/>
      <c r="BO10" s="2507"/>
      <c r="BP10" s="2507"/>
      <c r="BQ10" s="2507"/>
      <c r="BR10" s="2507"/>
      <c r="BS10" s="2507"/>
      <c r="BT10" s="2507"/>
      <c r="BU10" s="2507"/>
      <c r="BV10" s="2504" t="s">
        <v>1189</v>
      </c>
      <c r="BW10" s="2507"/>
      <c r="BX10" s="2507"/>
      <c r="BY10" s="2507"/>
      <c r="BZ10" s="2507"/>
      <c r="CA10" s="2507"/>
      <c r="CB10" s="2504" t="s">
        <v>1189</v>
      </c>
      <c r="CC10" s="2507"/>
      <c r="CD10" s="2507"/>
      <c r="CE10" s="2507"/>
      <c r="CF10" s="2507"/>
      <c r="CG10" s="2507"/>
      <c r="CH10" s="2507"/>
      <c r="CI10" s="2504" t="s">
        <v>1189</v>
      </c>
      <c r="CJ10" s="2507"/>
      <c r="CK10" s="2507"/>
      <c r="CL10" s="2507"/>
      <c r="CM10" s="2507"/>
      <c r="CN10" s="2507"/>
      <c r="CO10" s="2504" t="s">
        <v>1189</v>
      </c>
      <c r="CP10" s="2504" t="s">
        <v>1189</v>
      </c>
      <c r="CQ10" s="2507"/>
      <c r="CR10" s="2507"/>
      <c r="CS10" s="2507"/>
      <c r="CT10" s="2507"/>
      <c r="CU10" s="2507"/>
      <c r="CV10" s="2507"/>
      <c r="CW10" s="2507"/>
      <c r="CX10" s="2507"/>
      <c r="CY10" s="2507"/>
      <c r="CZ10" s="2507"/>
      <c r="DA10" s="2507"/>
      <c r="DB10" s="2507"/>
      <c r="DC10" s="3652" t="s">
        <v>1189</v>
      </c>
      <c r="DD10" s="2504" t="s">
        <v>1189</v>
      </c>
      <c r="DE10" s="2507"/>
      <c r="DF10" s="2507"/>
      <c r="DG10" s="2507"/>
      <c r="DH10" s="2507"/>
      <c r="DI10" s="2507"/>
      <c r="DJ10" s="2507"/>
      <c r="DK10" s="2507"/>
      <c r="DL10" s="2507"/>
      <c r="DM10" s="2507"/>
      <c r="DN10" s="2504" t="s">
        <v>1189</v>
      </c>
      <c r="DO10" s="2504" t="s">
        <v>1189</v>
      </c>
      <c r="DP10" s="2507"/>
      <c r="DQ10" s="2507"/>
      <c r="DR10" s="2507"/>
      <c r="DS10" s="2507"/>
      <c r="DT10" s="2507"/>
      <c r="DU10" s="2507"/>
      <c r="DV10" s="2507"/>
      <c r="DW10" s="2507"/>
      <c r="DX10" s="2504" t="s">
        <v>1189</v>
      </c>
      <c r="DY10" s="2507"/>
      <c r="DZ10" s="2507"/>
      <c r="EA10" s="2507"/>
      <c r="EB10" s="2507"/>
      <c r="EC10" s="2507"/>
      <c r="ED10" s="2504" t="s">
        <v>572</v>
      </c>
      <c r="EE10" s="2504" t="s">
        <v>1189</v>
      </c>
      <c r="EF10" s="2507"/>
      <c r="EG10" s="2507"/>
      <c r="EH10" s="2507"/>
      <c r="EI10" s="2507"/>
      <c r="EJ10" s="2507"/>
      <c r="EK10" s="2507"/>
      <c r="EL10" s="2507"/>
      <c r="EM10" s="2507"/>
      <c r="EN10" s="2504" t="s">
        <v>572</v>
      </c>
      <c r="EO10" s="2507"/>
      <c r="EP10" s="2507"/>
      <c r="EQ10" s="2507"/>
      <c r="ER10" s="2507"/>
      <c r="ES10" s="2507"/>
      <c r="ET10" s="2507"/>
      <c r="EU10" s="2507"/>
      <c r="EV10" s="2507"/>
      <c r="EW10" s="2507"/>
      <c r="EX10" s="2507"/>
      <c r="EY10" s="2507"/>
      <c r="EZ10" s="2507"/>
      <c r="FA10" s="2507"/>
      <c r="FB10" s="2507"/>
      <c r="FC10" s="2507"/>
      <c r="FD10" s="2507"/>
      <c r="FE10" s="2504" t="s">
        <v>1189</v>
      </c>
      <c r="FF10" s="2507"/>
      <c r="FG10" s="2504" t="s">
        <v>1189</v>
      </c>
      <c r="FH10" s="2504" t="s">
        <v>1189</v>
      </c>
      <c r="FI10" s="2507"/>
      <c r="FJ10" s="2507"/>
      <c r="FK10" s="2507"/>
      <c r="FL10" s="2507"/>
      <c r="FM10" s="2507"/>
      <c r="FN10" s="2507"/>
      <c r="FO10" s="2507"/>
      <c r="FP10" s="3652" t="s">
        <v>1189</v>
      </c>
      <c r="FQ10" s="2507"/>
      <c r="FR10" s="2507"/>
      <c r="FS10" s="2507"/>
      <c r="FT10" s="2507"/>
      <c r="FU10" s="2507"/>
      <c r="FV10" s="2507"/>
      <c r="FW10" s="2507"/>
      <c r="FX10" s="2507"/>
      <c r="FY10" s="2507"/>
      <c r="FZ10" s="2507"/>
      <c r="GA10" s="2507"/>
      <c r="GB10" s="2507"/>
      <c r="GC10" s="2507"/>
      <c r="GD10" s="2507"/>
      <c r="GE10" s="2507"/>
      <c r="GF10" s="2507"/>
      <c r="GG10" s="2507"/>
      <c r="GH10" s="2507"/>
      <c r="GI10" s="2504" t="s">
        <v>1189</v>
      </c>
      <c r="GJ10" s="2507"/>
      <c r="GK10" s="2507"/>
      <c r="GL10" s="2507"/>
      <c r="GM10" s="2507"/>
      <c r="GN10" s="2504" t="s">
        <v>1189</v>
      </c>
      <c r="GO10" s="2504" t="s">
        <v>1189</v>
      </c>
      <c r="GP10" s="2507"/>
      <c r="GQ10" s="2504" t="s">
        <v>1189</v>
      </c>
      <c r="GR10" s="2507"/>
      <c r="GS10" s="2507"/>
      <c r="GT10" s="2507"/>
      <c r="GU10" s="2507"/>
      <c r="GV10" s="2507"/>
      <c r="GW10" s="2504" t="s">
        <v>1189</v>
      </c>
      <c r="GX10" s="2507"/>
      <c r="GY10" s="2507"/>
      <c r="GZ10" s="2507"/>
      <c r="HA10" s="2507"/>
      <c r="HB10" s="2504" t="s">
        <v>1189</v>
      </c>
      <c r="HC10" s="2507"/>
      <c r="HD10" s="2507"/>
      <c r="HE10" s="2507"/>
      <c r="HF10" s="2507"/>
      <c r="HG10" s="2507"/>
      <c r="HH10" s="2507"/>
      <c r="HI10" s="2507"/>
      <c r="HJ10" s="2507"/>
      <c r="HK10" s="2507"/>
      <c r="HL10" s="2507"/>
      <c r="HM10" s="2507"/>
      <c r="HN10" s="2507"/>
      <c r="HO10" s="2507"/>
      <c r="HP10" s="2507"/>
      <c r="HQ10" s="2507"/>
      <c r="HR10" s="2507"/>
      <c r="HS10" s="2507"/>
      <c r="HT10" s="2504" t="s">
        <v>1189</v>
      </c>
      <c r="HU10" s="2504" t="s">
        <v>1189</v>
      </c>
      <c r="HV10" s="2504" t="s">
        <v>1189</v>
      </c>
      <c r="HW10" s="2507"/>
      <c r="HX10" s="2507"/>
      <c r="HY10" s="2507"/>
      <c r="HZ10" s="2507"/>
      <c r="IA10" s="2507"/>
      <c r="IB10" s="2507"/>
      <c r="IC10" s="2507"/>
      <c r="ID10" s="2507"/>
      <c r="IE10" s="2507"/>
      <c r="IF10" s="2507"/>
      <c r="IG10" s="2507"/>
      <c r="IH10" s="2507"/>
      <c r="II10" s="2507"/>
      <c r="IJ10" s="2507"/>
      <c r="IK10" s="2507"/>
      <c r="IL10" s="2507"/>
      <c r="IM10" s="2507"/>
      <c r="IN10" s="2507"/>
      <c r="IO10" s="2401" t="s">
        <v>1189</v>
      </c>
      <c r="IP10" s="2507"/>
      <c r="IQ10" s="2507"/>
      <c r="IR10" s="2507"/>
      <c r="IS10" s="2507"/>
      <c r="IT10" s="2507"/>
      <c r="IU10" s="2507"/>
      <c r="IV10" s="2507"/>
      <c r="IW10" s="2507"/>
      <c r="IX10" s="2507"/>
      <c r="IY10" s="2507"/>
      <c r="IZ10" s="2507"/>
      <c r="JA10" s="2507"/>
      <c r="JB10" s="2507"/>
      <c r="JC10" s="2507"/>
      <c r="JD10" s="2507"/>
      <c r="JE10" s="2507"/>
      <c r="JF10" s="4265" t="s">
        <v>1189</v>
      </c>
      <c r="JG10" s="2508"/>
      <c r="JH10" s="1233"/>
      <c r="JI10" s="2248"/>
      <c r="JJ10" s="2248" t="s">
        <v>6111</v>
      </c>
    </row>
    <row ht="180" r="11" spans="1:270" x14ac:dyDescent="0.2">
      <c r="A11" s="1128">
        <v>10</v>
      </c>
      <c r="B11" s="1347" t="str">
        <f si="0" t="shared"/>
        <v/>
      </c>
      <c r="C11" s="1349" t="s">
        <v>3834</v>
      </c>
      <c r="D11" s="1350" t="s">
        <v>5447</v>
      </c>
      <c r="E11" s="2472"/>
      <c r="F11" s="2472"/>
      <c r="G11" s="2472"/>
      <c r="H11" s="2472"/>
      <c r="I11" s="2472"/>
      <c r="J11" s="2472"/>
      <c r="K11" s="2472"/>
      <c r="L11" s="2472"/>
      <c r="M11" s="2472">
        <v>14560</v>
      </c>
      <c r="N11" s="2509"/>
      <c r="O11" s="2509"/>
      <c r="P11" s="2509"/>
      <c r="Q11" s="2509"/>
      <c r="R11" s="2510"/>
      <c r="S11" s="2510"/>
      <c r="T11" s="2510"/>
      <c r="U11" s="2510"/>
      <c r="V11" s="2510"/>
      <c r="W11" s="2510"/>
      <c r="X11" s="2510"/>
      <c r="Y11" s="2510"/>
      <c r="Z11" s="2472">
        <v>32495</v>
      </c>
      <c r="AA11" s="2510"/>
      <c r="AB11" s="2510"/>
      <c r="AC11" s="2472">
        <v>17995</v>
      </c>
      <c r="AD11" s="2841"/>
      <c r="AE11" s="2841"/>
      <c r="AF11" s="2841"/>
      <c r="AG11" s="2841"/>
      <c r="AH11" s="2841"/>
      <c r="AI11" s="2510"/>
      <c r="AJ11" s="2510"/>
      <c r="AK11" s="2510"/>
      <c r="AL11" s="2510"/>
      <c r="AM11" s="2510"/>
      <c r="AN11" s="2510"/>
      <c r="AO11" s="2472">
        <v>14560</v>
      </c>
      <c r="AP11" s="2510"/>
      <c r="AQ11" s="2510"/>
      <c r="AR11" s="2510"/>
      <c r="AS11" s="2510"/>
      <c r="AT11" s="2472">
        <v>27643</v>
      </c>
      <c r="AU11" s="2510"/>
      <c r="AV11" s="2472">
        <v>59465</v>
      </c>
      <c r="AW11" s="2510"/>
      <c r="AX11" s="2510"/>
      <c r="AY11" s="2510"/>
      <c r="AZ11" s="2510"/>
      <c r="BA11" s="2510"/>
      <c r="BB11" s="2509"/>
      <c r="BC11" s="2510"/>
      <c r="BD11" s="2472">
        <v>27643</v>
      </c>
      <c r="BE11" s="3728">
        <f>P_A+3620</f>
        <v>16120</v>
      </c>
      <c r="BF11" s="2510"/>
      <c r="BG11" s="2510"/>
      <c r="BH11" s="2510"/>
      <c r="BI11" s="2510"/>
      <c r="BJ11" s="2510"/>
      <c r="BK11" s="2510"/>
      <c r="BL11" s="2510"/>
      <c r="BM11" s="2510"/>
      <c r="BN11" s="2510"/>
      <c r="BO11" s="2510"/>
      <c r="BP11" s="2510"/>
      <c r="BQ11" s="2510"/>
      <c r="BR11" s="2510"/>
      <c r="BS11" s="2510"/>
      <c r="BT11" s="2510"/>
      <c r="BU11" s="2510"/>
      <c r="BV11" s="2472">
        <v>14560</v>
      </c>
      <c r="BW11" s="2510"/>
      <c r="BX11" s="2510"/>
      <c r="BY11" s="2510"/>
      <c r="BZ11" s="2510"/>
      <c r="CA11" s="2510"/>
      <c r="CB11" s="2472">
        <v>14560</v>
      </c>
      <c r="CC11" s="2510"/>
      <c r="CD11" s="2510"/>
      <c r="CE11" s="2510"/>
      <c r="CF11" s="2510"/>
      <c r="CG11" s="2510"/>
      <c r="CH11" s="2510"/>
      <c r="CI11" s="2472">
        <v>17995</v>
      </c>
      <c r="CJ11" s="2510"/>
      <c r="CK11" s="2510"/>
      <c r="CL11" s="2510"/>
      <c r="CM11" s="2510"/>
      <c r="CN11" s="2510"/>
      <c r="CO11" s="2472">
        <v>27643</v>
      </c>
      <c r="CP11" s="2472">
        <v>14560</v>
      </c>
      <c r="CQ11" s="2510"/>
      <c r="CR11" s="2510"/>
      <c r="CS11" s="2510"/>
      <c r="CT11" s="2510"/>
      <c r="CU11" s="2510"/>
      <c r="CV11" s="2510"/>
      <c r="CW11" s="2510"/>
      <c r="CX11" s="2510"/>
      <c r="CY11" s="2510"/>
      <c r="CZ11" s="2510"/>
      <c r="DA11" s="2510"/>
      <c r="DB11" s="2510"/>
      <c r="DC11" s="3653">
        <v>29011</v>
      </c>
      <c r="DD11" s="2472">
        <v>32495</v>
      </c>
      <c r="DE11" s="2510"/>
      <c r="DF11" s="2510"/>
      <c r="DG11" s="2510"/>
      <c r="DH11" s="2510"/>
      <c r="DI11" s="2510"/>
      <c r="DJ11" s="2510"/>
      <c r="DK11" s="2510"/>
      <c r="DL11" s="2510"/>
      <c r="DM11" s="2510"/>
      <c r="DN11" s="2472">
        <v>32495</v>
      </c>
      <c r="DO11" s="2472">
        <v>27643</v>
      </c>
      <c r="DP11" s="2510"/>
      <c r="DQ11" s="2510"/>
      <c r="DR11" s="2510"/>
      <c r="DS11" s="2510"/>
      <c r="DT11" s="2510"/>
      <c r="DU11" s="2510"/>
      <c r="DV11" s="2510"/>
      <c r="DW11" s="2510"/>
      <c r="DX11" s="2472">
        <v>14560</v>
      </c>
      <c r="DY11" s="2510"/>
      <c r="DZ11" s="2510"/>
      <c r="EA11" s="2510"/>
      <c r="EB11" s="2510"/>
      <c r="EC11" s="2510"/>
      <c r="ED11" s="2472">
        <v>10000</v>
      </c>
      <c r="EE11" s="2472">
        <v>5000</v>
      </c>
      <c r="EF11" s="2510"/>
      <c r="EG11" s="2510"/>
      <c r="EH11" s="2510"/>
      <c r="EI11" s="2510"/>
      <c r="EJ11" s="2510"/>
      <c r="EK11" s="2510"/>
      <c r="EL11" s="2510"/>
      <c r="EM11" s="2510"/>
      <c r="EN11" s="2472">
        <v>10000</v>
      </c>
      <c r="EO11" s="2510"/>
      <c r="EP11" s="2510"/>
      <c r="EQ11" s="2510"/>
      <c r="ER11" s="2510"/>
      <c r="ES11" s="2510"/>
      <c r="ET11" s="2510"/>
      <c r="EU11" s="2510"/>
      <c r="EV11" s="2510"/>
      <c r="EW11" s="2510"/>
      <c r="EX11" s="2510"/>
      <c r="EY11" s="2510"/>
      <c r="EZ11" s="2510"/>
      <c r="FA11" s="2510"/>
      <c r="FB11" s="2510"/>
      <c r="FC11" s="2510"/>
      <c r="FD11" s="2510"/>
      <c r="FE11" s="2472">
        <v>14560</v>
      </c>
      <c r="FF11" s="2510"/>
      <c r="FG11" s="2472">
        <v>14560</v>
      </c>
      <c r="FH11" s="2472">
        <v>14560</v>
      </c>
      <c r="FI11" s="2510"/>
      <c r="FJ11" s="2510"/>
      <c r="FK11" s="2510"/>
      <c r="FL11" s="2510"/>
      <c r="FM11" s="2510"/>
      <c r="FN11" s="2510"/>
      <c r="FO11" s="2510"/>
      <c r="FP11" s="3653">
        <v>27643</v>
      </c>
      <c r="FQ11" s="2510"/>
      <c r="FR11" s="2510"/>
      <c r="FS11" s="2510"/>
      <c r="FT11" s="2510"/>
      <c r="FU11" s="2510"/>
      <c r="FV11" s="2510"/>
      <c r="FW11" s="2510"/>
      <c r="FX11" s="2510"/>
      <c r="FY11" s="2510"/>
      <c r="FZ11" s="2510"/>
      <c r="GA11" s="2510"/>
      <c r="GB11" s="2510"/>
      <c r="GC11" s="2510"/>
      <c r="GD11" s="2510"/>
      <c r="GE11" s="2510"/>
      <c r="GF11" s="2510"/>
      <c r="GG11" s="2510"/>
      <c r="GH11" s="2510"/>
      <c r="GI11" s="2472">
        <v>14560</v>
      </c>
      <c r="GJ11" s="2510"/>
      <c r="GK11" s="2510"/>
      <c r="GL11" s="2510"/>
      <c r="GM11" s="2510"/>
      <c r="GN11" s="2472">
        <v>32495</v>
      </c>
      <c r="GO11" s="2472">
        <v>59465</v>
      </c>
      <c r="GP11" s="2510"/>
      <c r="GQ11" s="2472">
        <v>59465</v>
      </c>
      <c r="GR11" s="2510"/>
      <c r="GS11" s="2510"/>
      <c r="GT11" s="2510"/>
      <c r="GU11" s="2510"/>
      <c r="GV11" s="2510"/>
      <c r="GW11" s="2472">
        <v>32495</v>
      </c>
      <c r="GX11" s="2510"/>
      <c r="GY11" s="2510"/>
      <c r="GZ11" s="2510"/>
      <c r="HA11" s="2510"/>
      <c r="HB11" s="2472">
        <v>27643</v>
      </c>
      <c r="HC11" s="2510"/>
      <c r="HD11" s="2510"/>
      <c r="HE11" s="2510"/>
      <c r="HF11" s="2510"/>
      <c r="HG11" s="2510"/>
      <c r="HH11" s="2510"/>
      <c r="HI11" s="2510"/>
      <c r="HJ11" s="2510"/>
      <c r="HK11" s="2510"/>
      <c r="HL11" s="2510"/>
      <c r="HM11" s="2510"/>
      <c r="HN11" s="2510"/>
      <c r="HO11" s="2510"/>
      <c r="HP11" s="2510"/>
      <c r="HQ11" s="2510"/>
      <c r="HR11" s="2510"/>
      <c r="HS11" s="2510"/>
      <c r="HT11" s="2472">
        <v>14560</v>
      </c>
      <c r="HU11" s="2472">
        <v>32495</v>
      </c>
      <c r="HV11" s="2472">
        <v>14560</v>
      </c>
      <c r="HW11" s="2510"/>
      <c r="HX11" s="2510"/>
      <c r="HY11" s="2510"/>
      <c r="HZ11" s="2510"/>
      <c r="IA11" s="2510"/>
      <c r="IB11" s="2510"/>
      <c r="IC11" s="2510"/>
      <c r="ID11" s="2510"/>
      <c r="IE11" s="2510"/>
      <c r="IF11" s="2510"/>
      <c r="IG11" s="2510"/>
      <c r="IH11" s="2510"/>
      <c r="II11" s="2510"/>
      <c r="IJ11" s="2510"/>
      <c r="IK11" s="2510"/>
      <c r="IL11" s="2510"/>
      <c r="IM11" s="2510"/>
      <c r="IN11" s="2510"/>
      <c r="IO11" s="2511">
        <v>366</v>
      </c>
      <c r="IP11" s="2510"/>
      <c r="IQ11" s="2510"/>
      <c r="IR11" s="2510"/>
      <c r="IS11" s="2510"/>
      <c r="IT11" s="2510"/>
      <c r="IU11" s="2510"/>
      <c r="IV11" s="2510"/>
      <c r="IW11" s="2510"/>
      <c r="IX11" s="2510"/>
      <c r="IY11" s="2510"/>
      <c r="IZ11" s="2510"/>
      <c r="JA11" s="2510"/>
      <c r="JB11" s="2510"/>
      <c r="JC11" s="2510"/>
      <c r="JD11" s="2510"/>
      <c r="JE11" s="2510"/>
      <c r="JF11" s="3728">
        <v>1399978</v>
      </c>
      <c r="JG11" s="2479"/>
      <c r="JH11" s="1233"/>
      <c r="JI11" s="2248" t="s">
        <v>8867</v>
      </c>
      <c r="JJ11" s="2248" t="s">
        <v>6124</v>
      </c>
    </row>
    <row r="12" spans="1:270" x14ac:dyDescent="0.2">
      <c r="A12" s="1128">
        <v>11</v>
      </c>
      <c r="B12" s="1347" t="str">
        <f ref="B12:B28" si="1" t="shared">IF(SE_A_IND&gt;1,IF(HLOOKUP(SE_A_IND-1,SSE_RANGE,A12)="","",HLOOKUP(SE_A_IND-1,SSE_RANGE,A12)),"")</f>
        <v/>
      </c>
      <c r="C12" s="1349" t="s">
        <v>3835</v>
      </c>
      <c r="D12" s="1350" t="s">
        <v>5448</v>
      </c>
      <c r="E12" s="2472"/>
      <c r="F12" s="2472"/>
      <c r="G12" s="2472"/>
      <c r="H12" s="2472"/>
      <c r="I12" s="2472"/>
      <c r="J12" s="2472"/>
      <c r="K12" s="2472"/>
      <c r="L12" s="2472"/>
      <c r="M12" s="2472"/>
      <c r="N12" s="2509"/>
      <c r="O12" s="2509"/>
      <c r="P12" s="2509"/>
      <c r="Q12" s="2509"/>
      <c r="R12" s="2510"/>
      <c r="S12" s="2510"/>
      <c r="T12" s="2510"/>
      <c r="U12" s="2510"/>
      <c r="V12" s="2510"/>
      <c r="W12" s="2510"/>
      <c r="X12" s="2510"/>
      <c r="Y12" s="2510"/>
      <c r="Z12" s="2472"/>
      <c r="AA12" s="2510"/>
      <c r="AB12" s="2510"/>
      <c r="AC12" s="2472"/>
      <c r="AD12" s="2841"/>
      <c r="AE12" s="2841"/>
      <c r="AF12" s="2841"/>
      <c r="AG12" s="2841"/>
      <c r="AH12" s="2841"/>
      <c r="AI12" s="2510"/>
      <c r="AJ12" s="2510"/>
      <c r="AK12" s="2510"/>
      <c r="AL12" s="2510"/>
      <c r="AM12" s="2510"/>
      <c r="AN12" s="2510"/>
      <c r="AO12" s="2472"/>
      <c r="AP12" s="2510"/>
      <c r="AQ12" s="2510"/>
      <c r="AR12" s="2510"/>
      <c r="AS12" s="2510"/>
      <c r="AT12" s="2472"/>
      <c r="AU12" s="2510"/>
      <c r="AV12" s="2472"/>
      <c r="AW12" s="2510"/>
      <c r="AX12" s="2510"/>
      <c r="AY12" s="2510"/>
      <c r="AZ12" s="2510"/>
      <c r="BA12" s="2510"/>
      <c r="BB12" s="2509"/>
      <c r="BC12" s="2510"/>
      <c r="BD12" s="2472"/>
      <c r="BE12" s="2472"/>
      <c r="BF12" s="2510"/>
      <c r="BG12" s="2510"/>
      <c r="BH12" s="2510"/>
      <c r="BI12" s="2510"/>
      <c r="BJ12" s="2510"/>
      <c r="BK12" s="2510"/>
      <c r="BL12" s="2510"/>
      <c r="BM12" s="2510"/>
      <c r="BN12" s="2510"/>
      <c r="BO12" s="2510"/>
      <c r="BP12" s="2510"/>
      <c r="BQ12" s="2510"/>
      <c r="BR12" s="2510"/>
      <c r="BS12" s="2510"/>
      <c r="BT12" s="2510"/>
      <c r="BU12" s="2510"/>
      <c r="BV12" s="2472"/>
      <c r="BW12" s="2510"/>
      <c r="BX12" s="2510"/>
      <c r="BY12" s="2510"/>
      <c r="BZ12" s="2510"/>
      <c r="CA12" s="2510"/>
      <c r="CB12" s="2472"/>
      <c r="CC12" s="2510"/>
      <c r="CD12" s="2510"/>
      <c r="CE12" s="2510"/>
      <c r="CF12" s="2510"/>
      <c r="CG12" s="2510"/>
      <c r="CH12" s="2510"/>
      <c r="CI12" s="2472"/>
      <c r="CJ12" s="2510"/>
      <c r="CK12" s="2510"/>
      <c r="CL12" s="2510"/>
      <c r="CM12" s="2510"/>
      <c r="CN12" s="2510"/>
      <c r="CO12" s="2472"/>
      <c r="CP12" s="2472"/>
      <c r="CQ12" s="2510"/>
      <c r="CR12" s="2510"/>
      <c r="CS12" s="2510"/>
      <c r="CT12" s="2510"/>
      <c r="CU12" s="2510"/>
      <c r="CV12" s="2510"/>
      <c r="CW12" s="2510"/>
      <c r="CX12" s="2510"/>
      <c r="CY12" s="2510"/>
      <c r="CZ12" s="2510"/>
      <c r="DA12" s="2510"/>
      <c r="DB12" s="2510"/>
      <c r="DC12" s="3653"/>
      <c r="DD12" s="2472"/>
      <c r="DE12" s="2510"/>
      <c r="DF12" s="2510"/>
      <c r="DG12" s="2510"/>
      <c r="DH12" s="2510"/>
      <c r="DI12" s="2510"/>
      <c r="DJ12" s="2510"/>
      <c r="DK12" s="2510"/>
      <c r="DL12" s="2510"/>
      <c r="DM12" s="2510"/>
      <c r="DN12" s="2472"/>
      <c r="DO12" s="2472"/>
      <c r="DP12" s="2510"/>
      <c r="DQ12" s="2510"/>
      <c r="DR12" s="2510"/>
      <c r="DS12" s="2510"/>
      <c r="DT12" s="2510"/>
      <c r="DU12" s="2510"/>
      <c r="DV12" s="2510"/>
      <c r="DW12" s="2510"/>
      <c r="DX12" s="2472"/>
      <c r="DY12" s="2510"/>
      <c r="DZ12" s="2510"/>
      <c r="EA12" s="2510"/>
      <c r="EB12" s="2510"/>
      <c r="EC12" s="2510"/>
      <c r="ED12" s="2472"/>
      <c r="EE12" s="2472"/>
      <c r="EF12" s="2510"/>
      <c r="EG12" s="2510"/>
      <c r="EH12" s="2510"/>
      <c r="EI12" s="2510"/>
      <c r="EJ12" s="2510"/>
      <c r="EK12" s="2510"/>
      <c r="EL12" s="2510"/>
      <c r="EM12" s="2510"/>
      <c r="EN12" s="2472"/>
      <c r="EO12" s="2510"/>
      <c r="EP12" s="2510"/>
      <c r="EQ12" s="2510"/>
      <c r="ER12" s="2510"/>
      <c r="ES12" s="2510"/>
      <c r="ET12" s="2510"/>
      <c r="EU12" s="2510"/>
      <c r="EV12" s="2510"/>
      <c r="EW12" s="2510"/>
      <c r="EX12" s="2510"/>
      <c r="EY12" s="2510"/>
      <c r="EZ12" s="2510"/>
      <c r="FA12" s="2510"/>
      <c r="FB12" s="2510"/>
      <c r="FC12" s="2510"/>
      <c r="FD12" s="2510"/>
      <c r="FE12" s="2472"/>
      <c r="FF12" s="2510"/>
      <c r="FG12" s="2472"/>
      <c r="FH12" s="2472"/>
      <c r="FI12" s="2510"/>
      <c r="FJ12" s="2510"/>
      <c r="FK12" s="2510"/>
      <c r="FL12" s="2510"/>
      <c r="FM12" s="2510"/>
      <c r="FN12" s="2510"/>
      <c r="FO12" s="2510"/>
      <c r="FP12" s="3653"/>
      <c r="FQ12" s="2510"/>
      <c r="FR12" s="2510"/>
      <c r="FS12" s="2510"/>
      <c r="FT12" s="2510"/>
      <c r="FU12" s="2510"/>
      <c r="FV12" s="2510"/>
      <c r="FW12" s="2510"/>
      <c r="FX12" s="2510"/>
      <c r="FY12" s="2510"/>
      <c r="FZ12" s="2510"/>
      <c r="GA12" s="2510"/>
      <c r="GB12" s="2510"/>
      <c r="GC12" s="2510"/>
      <c r="GD12" s="2510"/>
      <c r="GE12" s="2510"/>
      <c r="GF12" s="2510"/>
      <c r="GG12" s="2510"/>
      <c r="GH12" s="2510"/>
      <c r="GI12" s="2472"/>
      <c r="GJ12" s="2510"/>
      <c r="GK12" s="2510"/>
      <c r="GL12" s="2510"/>
      <c r="GM12" s="2510"/>
      <c r="GN12" s="2472"/>
      <c r="GO12" s="2472"/>
      <c r="GP12" s="2510"/>
      <c r="GQ12" s="2472"/>
      <c r="GR12" s="2510"/>
      <c r="GS12" s="2510"/>
      <c r="GT12" s="2510"/>
      <c r="GU12" s="2510"/>
      <c r="GV12" s="2510"/>
      <c r="GW12" s="2472"/>
      <c r="GX12" s="2510"/>
      <c r="GY12" s="2510"/>
      <c r="GZ12" s="2510"/>
      <c r="HA12" s="2510"/>
      <c r="HB12" s="2472"/>
      <c r="HC12" s="2510"/>
      <c r="HD12" s="2510"/>
      <c r="HE12" s="2510"/>
      <c r="HF12" s="2510"/>
      <c r="HG12" s="2510"/>
      <c r="HH12" s="2510"/>
      <c r="HI12" s="2510"/>
      <c r="HJ12" s="2510"/>
      <c r="HK12" s="2510"/>
      <c r="HL12" s="2510"/>
      <c r="HM12" s="2510"/>
      <c r="HN12" s="2510"/>
      <c r="HO12" s="2510"/>
      <c r="HP12" s="2510"/>
      <c r="HQ12" s="2510"/>
      <c r="HR12" s="2510"/>
      <c r="HS12" s="2510"/>
      <c r="HT12" s="2472"/>
      <c r="HU12" s="2472"/>
      <c r="HV12" s="2472"/>
      <c r="HW12" s="2510"/>
      <c r="HX12" s="2510"/>
      <c r="HY12" s="2510"/>
      <c r="HZ12" s="2510"/>
      <c r="IA12" s="2510"/>
      <c r="IB12" s="2510"/>
      <c r="IC12" s="2510"/>
      <c r="ID12" s="2510"/>
      <c r="IE12" s="2510"/>
      <c r="IF12" s="2510"/>
      <c r="IG12" s="2510"/>
      <c r="IH12" s="2510"/>
      <c r="II12" s="2510"/>
      <c r="IJ12" s="2510"/>
      <c r="IK12" s="2510"/>
      <c r="IL12" s="2510"/>
      <c r="IM12" s="2510"/>
      <c r="IN12" s="2510"/>
      <c r="IO12" s="2511"/>
      <c r="IP12" s="2510"/>
      <c r="IQ12" s="2510"/>
      <c r="IR12" s="2510"/>
      <c r="IS12" s="2510"/>
      <c r="IT12" s="2510"/>
      <c r="IU12" s="2510"/>
      <c r="IV12" s="2510"/>
      <c r="IW12" s="2510"/>
      <c r="IX12" s="2510"/>
      <c r="IY12" s="2510"/>
      <c r="IZ12" s="2510"/>
      <c r="JA12" s="2510"/>
      <c r="JB12" s="2510"/>
      <c r="JC12" s="2510"/>
      <c r="JD12" s="2510"/>
      <c r="JE12" s="2510"/>
      <c r="JF12" s="3728"/>
      <c r="JG12" s="2479"/>
      <c r="JH12" s="1233"/>
      <c r="JI12" s="2248"/>
      <c r="JJ12" s="2248" t="s">
        <v>6108</v>
      </c>
    </row>
    <row ht="22.5" r="13" spans="1:270" x14ac:dyDescent="0.2">
      <c r="A13" s="1128">
        <v>12</v>
      </c>
      <c r="B13" s="1347" t="str">
        <f si="1" t="shared"/>
        <v/>
      </c>
      <c r="C13" s="1349" t="s">
        <v>6594</v>
      </c>
      <c r="D13" s="1350" t="s">
        <v>6595</v>
      </c>
      <c r="E13" s="2472"/>
      <c r="F13" s="2472"/>
      <c r="G13" s="2472"/>
      <c r="H13" s="2472"/>
      <c r="I13" s="2472"/>
      <c r="J13" s="2472"/>
      <c r="K13" s="2472"/>
      <c r="L13" s="2472"/>
      <c r="M13" s="2472"/>
      <c r="N13" s="2509"/>
      <c r="O13" s="2509"/>
      <c r="P13" s="2509"/>
      <c r="Q13" s="2509"/>
      <c r="R13" s="2510"/>
      <c r="S13" s="2510"/>
      <c r="T13" s="2510"/>
      <c r="U13" s="2510"/>
      <c r="V13" s="2510"/>
      <c r="W13" s="2510"/>
      <c r="X13" s="2510"/>
      <c r="Y13" s="2510"/>
      <c r="Z13" s="2472"/>
      <c r="AA13" s="2510"/>
      <c r="AB13" s="2510"/>
      <c r="AC13" s="2472"/>
      <c r="AD13" s="2841"/>
      <c r="AE13" s="2841"/>
      <c r="AF13" s="2841"/>
      <c r="AG13" s="2841"/>
      <c r="AH13" s="2841"/>
      <c r="AI13" s="2510"/>
      <c r="AJ13" s="2510"/>
      <c r="AK13" s="2510"/>
      <c r="AL13" s="2510"/>
      <c r="AM13" s="2510"/>
      <c r="AN13" s="2510"/>
      <c r="AO13" s="2472"/>
      <c r="AP13" s="2510"/>
      <c r="AQ13" s="2510"/>
      <c r="AR13" s="2510"/>
      <c r="AS13" s="2510"/>
      <c r="AT13" s="2472"/>
      <c r="AU13" s="2510"/>
      <c r="AV13" s="2472"/>
      <c r="AW13" s="2510"/>
      <c r="AX13" s="2510"/>
      <c r="AY13" s="2510"/>
      <c r="AZ13" s="2510"/>
      <c r="BA13" s="2510"/>
      <c r="BB13" s="2509"/>
      <c r="BC13" s="2510"/>
      <c r="BD13" s="2472"/>
      <c r="BE13" s="2472"/>
      <c r="BF13" s="2510"/>
      <c r="BG13" s="2510"/>
      <c r="BH13" s="2510"/>
      <c r="BI13" s="2510"/>
      <c r="BJ13" s="2510"/>
      <c r="BK13" s="2510"/>
      <c r="BL13" s="2510"/>
      <c r="BM13" s="2510"/>
      <c r="BN13" s="2510"/>
      <c r="BO13" s="2510"/>
      <c r="BP13" s="2510"/>
      <c r="BQ13" s="2510"/>
      <c r="BR13" s="2510"/>
      <c r="BS13" s="2510"/>
      <c r="BT13" s="2510"/>
      <c r="BU13" s="2510"/>
      <c r="BV13" s="2472"/>
      <c r="BW13" s="2510"/>
      <c r="BX13" s="2510"/>
      <c r="BY13" s="2510"/>
      <c r="BZ13" s="2510"/>
      <c r="CA13" s="2510"/>
      <c r="CB13" s="2472"/>
      <c r="CC13" s="2510"/>
      <c r="CD13" s="2510"/>
      <c r="CE13" s="2510"/>
      <c r="CF13" s="2510"/>
      <c r="CG13" s="2510"/>
      <c r="CH13" s="2510"/>
      <c r="CI13" s="2472"/>
      <c r="CJ13" s="2510"/>
      <c r="CK13" s="2510"/>
      <c r="CL13" s="2510"/>
      <c r="CM13" s="2510"/>
      <c r="CN13" s="2510"/>
      <c r="CO13" s="2472"/>
      <c r="CP13" s="2472"/>
      <c r="CQ13" s="2510"/>
      <c r="CR13" s="2510"/>
      <c r="CS13" s="2510"/>
      <c r="CT13" s="2510"/>
      <c r="CU13" s="2510"/>
      <c r="CV13" s="2510"/>
      <c r="CW13" s="2510"/>
      <c r="CX13" s="2510"/>
      <c r="CY13" s="2510"/>
      <c r="CZ13" s="2510"/>
      <c r="DA13" s="2510"/>
      <c r="DB13" s="2510"/>
      <c r="DC13" s="3653"/>
      <c r="DD13" s="2472"/>
      <c r="DE13" s="2510"/>
      <c r="DF13" s="2510"/>
      <c r="DG13" s="2510"/>
      <c r="DH13" s="2510"/>
      <c r="DI13" s="2510"/>
      <c r="DJ13" s="2510"/>
      <c r="DK13" s="2510"/>
      <c r="DL13" s="2510"/>
      <c r="DM13" s="2510"/>
      <c r="DN13" s="2472"/>
      <c r="DO13" s="2472"/>
      <c r="DP13" s="2510"/>
      <c r="DQ13" s="2510"/>
      <c r="DR13" s="2510"/>
      <c r="DS13" s="2510"/>
      <c r="DT13" s="2510"/>
      <c r="DU13" s="2510"/>
      <c r="DV13" s="2510"/>
      <c r="DW13" s="2510"/>
      <c r="DX13" s="2472"/>
      <c r="DY13" s="2510"/>
      <c r="DZ13" s="2510"/>
      <c r="EA13" s="2510"/>
      <c r="EB13" s="2510"/>
      <c r="EC13" s="2510"/>
      <c r="ED13" s="2472"/>
      <c r="EE13" s="2472"/>
      <c r="EF13" s="2510"/>
      <c r="EG13" s="2510"/>
      <c r="EH13" s="2510"/>
      <c r="EI13" s="2510"/>
      <c r="EJ13" s="2510"/>
      <c r="EK13" s="2510"/>
      <c r="EL13" s="2510"/>
      <c r="EM13" s="2510"/>
      <c r="EN13" s="2472"/>
      <c r="EO13" s="2510"/>
      <c r="EP13" s="2510"/>
      <c r="EQ13" s="2510"/>
      <c r="ER13" s="2510"/>
      <c r="ES13" s="2510"/>
      <c r="ET13" s="2510"/>
      <c r="EU13" s="2510"/>
      <c r="EV13" s="2510"/>
      <c r="EW13" s="2510"/>
      <c r="EX13" s="2510"/>
      <c r="EY13" s="2510"/>
      <c r="EZ13" s="2510"/>
      <c r="FA13" s="2510"/>
      <c r="FB13" s="2510"/>
      <c r="FC13" s="2510"/>
      <c r="FD13" s="2510"/>
      <c r="FE13" s="2472"/>
      <c r="FF13" s="2510"/>
      <c r="FG13" s="2472"/>
      <c r="FH13" s="2472"/>
      <c r="FI13" s="2510"/>
      <c r="FJ13" s="2510"/>
      <c r="FK13" s="2510"/>
      <c r="FL13" s="2510"/>
      <c r="FM13" s="2510"/>
      <c r="FN13" s="2510"/>
      <c r="FO13" s="2510"/>
      <c r="FP13" s="3653"/>
      <c r="FQ13" s="2510"/>
      <c r="FR13" s="2510"/>
      <c r="FS13" s="2510"/>
      <c r="FT13" s="2510"/>
      <c r="FU13" s="2510"/>
      <c r="FV13" s="2510"/>
      <c r="FW13" s="2510"/>
      <c r="FX13" s="2510"/>
      <c r="FY13" s="2510"/>
      <c r="FZ13" s="2510"/>
      <c r="GA13" s="2510"/>
      <c r="GB13" s="2510"/>
      <c r="GC13" s="2510"/>
      <c r="GD13" s="2510"/>
      <c r="GE13" s="2510"/>
      <c r="GF13" s="2510"/>
      <c r="GG13" s="2510"/>
      <c r="GH13" s="2510"/>
      <c r="GI13" s="2472"/>
      <c r="GJ13" s="2510"/>
      <c r="GK13" s="2510"/>
      <c r="GL13" s="2510"/>
      <c r="GM13" s="2510"/>
      <c r="GN13" s="2472"/>
      <c r="GO13" s="2472"/>
      <c r="GP13" s="2510"/>
      <c r="GQ13" s="2472"/>
      <c r="GR13" s="2510"/>
      <c r="GS13" s="2510"/>
      <c r="GT13" s="2510"/>
      <c r="GU13" s="2510"/>
      <c r="GV13" s="2510"/>
      <c r="GW13" s="2472"/>
      <c r="GX13" s="2510"/>
      <c r="GY13" s="2510"/>
      <c r="GZ13" s="2510"/>
      <c r="HA13" s="2510"/>
      <c r="HB13" s="2472"/>
      <c r="HC13" s="2510"/>
      <c r="HD13" s="2510"/>
      <c r="HE13" s="2510"/>
      <c r="HF13" s="2510"/>
      <c r="HG13" s="2510"/>
      <c r="HH13" s="2510"/>
      <c r="HI13" s="2510"/>
      <c r="HJ13" s="2510"/>
      <c r="HK13" s="2510"/>
      <c r="HL13" s="2510"/>
      <c r="HM13" s="2510"/>
      <c r="HN13" s="2510"/>
      <c r="HO13" s="2510"/>
      <c r="HP13" s="2510"/>
      <c r="HQ13" s="2510"/>
      <c r="HR13" s="2510"/>
      <c r="HS13" s="2510"/>
      <c r="HT13" s="2472"/>
      <c r="HU13" s="2472"/>
      <c r="HV13" s="2472"/>
      <c r="HW13" s="2510"/>
      <c r="HX13" s="2510"/>
      <c r="HY13" s="2510"/>
      <c r="HZ13" s="2510"/>
      <c r="IA13" s="2510"/>
      <c r="IB13" s="2510"/>
      <c r="IC13" s="2510"/>
      <c r="ID13" s="2510"/>
      <c r="IE13" s="2510"/>
      <c r="IF13" s="2510"/>
      <c r="IG13" s="2510"/>
      <c r="IH13" s="2510"/>
      <c r="II13" s="2510"/>
      <c r="IJ13" s="2510"/>
      <c r="IK13" s="2510"/>
      <c r="IL13" s="2510"/>
      <c r="IM13" s="2510"/>
      <c r="IN13" s="2510"/>
      <c r="IO13" s="2511"/>
      <c r="IP13" s="2510"/>
      <c r="IQ13" s="2510"/>
      <c r="IR13" s="2510"/>
      <c r="IS13" s="2510"/>
      <c r="IT13" s="2510"/>
      <c r="IU13" s="2510"/>
      <c r="IV13" s="2510"/>
      <c r="IW13" s="2510"/>
      <c r="IX13" s="2510"/>
      <c r="IY13" s="2510"/>
      <c r="IZ13" s="2510"/>
      <c r="JA13" s="2510"/>
      <c r="JB13" s="2510"/>
      <c r="JC13" s="2510"/>
      <c r="JD13" s="2510"/>
      <c r="JE13" s="2510"/>
      <c r="JF13" s="3728"/>
      <c r="JG13" s="2479"/>
      <c r="JH13" s="1233"/>
      <c r="JI13" s="2248" t="s">
        <v>8854</v>
      </c>
      <c r="JJ13" s="2248" t="s">
        <v>6108</v>
      </c>
    </row>
    <row r="14" spans="1:270" x14ac:dyDescent="0.2">
      <c r="A14" s="1128">
        <v>13</v>
      </c>
      <c r="B14" s="1347" t="str">
        <f si="1" t="shared"/>
        <v/>
      </c>
      <c r="C14" s="1349" t="s">
        <v>3836</v>
      </c>
      <c r="D14" s="1350" t="s">
        <v>5449</v>
      </c>
      <c r="E14" s="2472"/>
      <c r="F14" s="2472"/>
      <c r="G14" s="2472"/>
      <c r="H14" s="2472"/>
      <c r="I14" s="2472"/>
      <c r="J14" s="2472"/>
      <c r="K14" s="2472"/>
      <c r="L14" s="2472"/>
      <c r="M14" s="2472"/>
      <c r="N14" s="2509"/>
      <c r="O14" s="2509"/>
      <c r="P14" s="2509"/>
      <c r="Q14" s="2509"/>
      <c r="R14" s="2510"/>
      <c r="S14" s="2510"/>
      <c r="T14" s="2510"/>
      <c r="U14" s="2510"/>
      <c r="V14" s="2510"/>
      <c r="W14" s="2510"/>
      <c r="X14" s="2510"/>
      <c r="Y14" s="2510"/>
      <c r="Z14" s="2472"/>
      <c r="AA14" s="2510"/>
      <c r="AB14" s="2510"/>
      <c r="AC14" s="2472"/>
      <c r="AD14" s="2841"/>
      <c r="AE14" s="2841"/>
      <c r="AF14" s="2841"/>
      <c r="AG14" s="2841"/>
      <c r="AH14" s="2841"/>
      <c r="AI14" s="2510"/>
      <c r="AJ14" s="2510"/>
      <c r="AK14" s="2510"/>
      <c r="AL14" s="2510"/>
      <c r="AM14" s="2510"/>
      <c r="AN14" s="2510"/>
      <c r="AO14" s="2472"/>
      <c r="AP14" s="2510"/>
      <c r="AQ14" s="2510"/>
      <c r="AR14" s="2510"/>
      <c r="AS14" s="2510"/>
      <c r="AT14" s="2472">
        <v>1200</v>
      </c>
      <c r="AU14" s="2510"/>
      <c r="AV14" s="2472"/>
      <c r="AW14" s="2510"/>
      <c r="AX14" s="2510"/>
      <c r="AY14" s="2510"/>
      <c r="AZ14" s="2510"/>
      <c r="BA14" s="2510"/>
      <c r="BB14" s="2509"/>
      <c r="BC14" s="2510"/>
      <c r="BD14" s="2472">
        <v>1200</v>
      </c>
      <c r="BE14" s="2472"/>
      <c r="BF14" s="2510"/>
      <c r="BG14" s="2510"/>
      <c r="BH14" s="2510"/>
      <c r="BI14" s="2510"/>
      <c r="BJ14" s="2510"/>
      <c r="BK14" s="2510"/>
      <c r="BL14" s="2510"/>
      <c r="BM14" s="2510"/>
      <c r="BN14" s="2510"/>
      <c r="BO14" s="2510"/>
      <c r="BP14" s="2510"/>
      <c r="BQ14" s="2510"/>
      <c r="BR14" s="2510"/>
      <c r="BS14" s="2510"/>
      <c r="BT14" s="2510"/>
      <c r="BU14" s="2510"/>
      <c r="BV14" s="2472"/>
      <c r="BW14" s="2510"/>
      <c r="BX14" s="2510"/>
      <c r="BY14" s="2510"/>
      <c r="BZ14" s="2510"/>
      <c r="CA14" s="2510"/>
      <c r="CB14" s="2472"/>
      <c r="CC14" s="2510"/>
      <c r="CD14" s="2510"/>
      <c r="CE14" s="2510"/>
      <c r="CF14" s="2510"/>
      <c r="CG14" s="2510"/>
      <c r="CH14" s="2510"/>
      <c r="CI14" s="2472"/>
      <c r="CJ14" s="2510"/>
      <c r="CK14" s="2510"/>
      <c r="CL14" s="2510"/>
      <c r="CM14" s="2510"/>
      <c r="CN14" s="2510"/>
      <c r="CO14" s="2472">
        <v>1200</v>
      </c>
      <c r="CP14" s="2472"/>
      <c r="CQ14" s="2510"/>
      <c r="CR14" s="2510"/>
      <c r="CS14" s="2510"/>
      <c r="CT14" s="2510"/>
      <c r="CU14" s="2510"/>
      <c r="CV14" s="2510"/>
      <c r="CW14" s="2510"/>
      <c r="CX14" s="2510"/>
      <c r="CY14" s="2510"/>
      <c r="CZ14" s="2510"/>
      <c r="DA14" s="2510"/>
      <c r="DB14" s="2510"/>
      <c r="DC14" s="3653">
        <v>1200</v>
      </c>
      <c r="DD14" s="2472"/>
      <c r="DE14" s="2510"/>
      <c r="DF14" s="2510"/>
      <c r="DG14" s="2510"/>
      <c r="DH14" s="2510"/>
      <c r="DI14" s="2510"/>
      <c r="DJ14" s="2510"/>
      <c r="DK14" s="2510"/>
      <c r="DL14" s="2510"/>
      <c r="DM14" s="2510"/>
      <c r="DN14" s="2472"/>
      <c r="DO14" s="2472">
        <v>1200</v>
      </c>
      <c r="DP14" s="2510"/>
      <c r="DQ14" s="2510"/>
      <c r="DR14" s="2510"/>
      <c r="DS14" s="2510"/>
      <c r="DT14" s="2510"/>
      <c r="DU14" s="2510"/>
      <c r="DV14" s="2510"/>
      <c r="DW14" s="2510"/>
      <c r="DX14" s="2472"/>
      <c r="DY14" s="2510"/>
      <c r="DZ14" s="2510"/>
      <c r="EA14" s="2510"/>
      <c r="EB14" s="2510"/>
      <c r="EC14" s="2510"/>
      <c r="ED14" s="2472"/>
      <c r="EE14" s="2472"/>
      <c r="EF14" s="2510"/>
      <c r="EG14" s="2510"/>
      <c r="EH14" s="2510"/>
      <c r="EI14" s="2510"/>
      <c r="EJ14" s="2510"/>
      <c r="EK14" s="2510"/>
      <c r="EL14" s="2510"/>
      <c r="EM14" s="2510"/>
      <c r="EN14" s="2472"/>
      <c r="EO14" s="2510"/>
      <c r="EP14" s="2510"/>
      <c r="EQ14" s="2510"/>
      <c r="ER14" s="2510"/>
      <c r="ES14" s="2510"/>
      <c r="ET14" s="2510"/>
      <c r="EU14" s="2510"/>
      <c r="EV14" s="2510"/>
      <c r="EW14" s="2510"/>
      <c r="EX14" s="2510"/>
      <c r="EY14" s="2510"/>
      <c r="EZ14" s="2510"/>
      <c r="FA14" s="2510"/>
      <c r="FB14" s="2510"/>
      <c r="FC14" s="2510"/>
      <c r="FD14" s="2510"/>
      <c r="FE14" s="2472"/>
      <c r="FF14" s="2510"/>
      <c r="FG14" s="2472"/>
      <c r="FH14" s="2472"/>
      <c r="FI14" s="2510"/>
      <c r="FJ14" s="2510"/>
      <c r="FK14" s="2510"/>
      <c r="FL14" s="2510"/>
      <c r="FM14" s="2510"/>
      <c r="FN14" s="2510"/>
      <c r="FO14" s="2510"/>
      <c r="FP14" s="3653">
        <v>1200</v>
      </c>
      <c r="FQ14" s="2510"/>
      <c r="FR14" s="2510"/>
      <c r="FS14" s="2510"/>
      <c r="FT14" s="2510"/>
      <c r="FU14" s="2510"/>
      <c r="FV14" s="2510"/>
      <c r="FW14" s="2510"/>
      <c r="FX14" s="2510"/>
      <c r="FY14" s="2510"/>
      <c r="FZ14" s="2510"/>
      <c r="GA14" s="2510"/>
      <c r="GB14" s="2510"/>
      <c r="GC14" s="2510"/>
      <c r="GD14" s="2510"/>
      <c r="GE14" s="2510"/>
      <c r="GF14" s="2510"/>
      <c r="GG14" s="2510"/>
      <c r="GH14" s="2510"/>
      <c r="GI14" s="2472"/>
      <c r="GJ14" s="2510"/>
      <c r="GK14" s="2510"/>
      <c r="GL14" s="2510"/>
      <c r="GM14" s="2510"/>
      <c r="GN14" s="2472"/>
      <c r="GO14" s="2472"/>
      <c r="GP14" s="2510"/>
      <c r="GQ14" s="2472"/>
      <c r="GR14" s="2510"/>
      <c r="GS14" s="2510"/>
      <c r="GT14" s="2510"/>
      <c r="GU14" s="2510"/>
      <c r="GV14" s="2510"/>
      <c r="GW14" s="2472"/>
      <c r="GX14" s="2510"/>
      <c r="GY14" s="2510"/>
      <c r="GZ14" s="2510"/>
      <c r="HA14" s="2510"/>
      <c r="HB14" s="2472">
        <v>1200</v>
      </c>
      <c r="HC14" s="2510"/>
      <c r="HD14" s="2510"/>
      <c r="HE14" s="2510"/>
      <c r="HF14" s="2510"/>
      <c r="HG14" s="2510"/>
      <c r="HH14" s="2510"/>
      <c r="HI14" s="2510"/>
      <c r="HJ14" s="2510"/>
      <c r="HK14" s="2510"/>
      <c r="HL14" s="2510"/>
      <c r="HM14" s="2510"/>
      <c r="HN14" s="2510"/>
      <c r="HO14" s="2510"/>
      <c r="HP14" s="2510"/>
      <c r="HQ14" s="2510"/>
      <c r="HR14" s="2510"/>
      <c r="HS14" s="2510"/>
      <c r="HT14" s="2472"/>
      <c r="HU14" s="2472"/>
      <c r="HV14" s="2472"/>
      <c r="HW14" s="2510"/>
      <c r="HX14" s="2510"/>
      <c r="HY14" s="2510"/>
      <c r="HZ14" s="2510"/>
      <c r="IA14" s="2510"/>
      <c r="IB14" s="2510"/>
      <c r="IC14" s="2510"/>
      <c r="ID14" s="2510"/>
      <c r="IE14" s="2510"/>
      <c r="IF14" s="2510"/>
      <c r="IG14" s="2510"/>
      <c r="IH14" s="2510"/>
      <c r="II14" s="2510"/>
      <c r="IJ14" s="2510"/>
      <c r="IK14" s="2510"/>
      <c r="IL14" s="2510"/>
      <c r="IM14" s="2510"/>
      <c r="IN14" s="2510"/>
      <c r="IO14" s="2511"/>
      <c r="IP14" s="2510"/>
      <c r="IQ14" s="2510"/>
      <c r="IR14" s="2510"/>
      <c r="IS14" s="2510"/>
      <c r="IT14" s="2510"/>
      <c r="IU14" s="2510"/>
      <c r="IV14" s="2510"/>
      <c r="IW14" s="2510"/>
      <c r="IX14" s="2510"/>
      <c r="IY14" s="2510"/>
      <c r="IZ14" s="2510"/>
      <c r="JA14" s="2510"/>
      <c r="JB14" s="2510"/>
      <c r="JC14" s="2510"/>
      <c r="JD14" s="2510"/>
      <c r="JE14" s="2510"/>
      <c r="JF14" s="3728">
        <v>21745</v>
      </c>
      <c r="JG14" s="2479"/>
      <c r="JH14" s="1233"/>
      <c r="JI14" s="2248" t="s">
        <v>8868</v>
      </c>
      <c r="JJ14" s="2248" t="s">
        <v>6127</v>
      </c>
    </row>
    <row r="15" spans="1:270" x14ac:dyDescent="0.2">
      <c r="A15" s="1128">
        <v>14</v>
      </c>
      <c r="B15" s="1347" t="str">
        <f si="1" t="shared"/>
        <v/>
      </c>
      <c r="C15" s="1349" t="s">
        <v>3837</v>
      </c>
      <c r="D15" s="1350" t="s">
        <v>5450</v>
      </c>
      <c r="E15" s="2472"/>
      <c r="F15" s="2472"/>
      <c r="G15" s="2472"/>
      <c r="H15" s="2472"/>
      <c r="I15" s="2472"/>
      <c r="J15" s="2472"/>
      <c r="K15" s="2472"/>
      <c r="L15" s="2472"/>
      <c r="M15" s="2472"/>
      <c r="N15" s="2509"/>
      <c r="O15" s="2509"/>
      <c r="P15" s="2509"/>
      <c r="Q15" s="2509"/>
      <c r="R15" s="2510"/>
      <c r="S15" s="2510"/>
      <c r="T15" s="2510"/>
      <c r="U15" s="2510"/>
      <c r="V15" s="2510"/>
      <c r="W15" s="2510"/>
      <c r="X15" s="2510"/>
      <c r="Y15" s="2510"/>
      <c r="Z15" s="2472"/>
      <c r="AA15" s="2510"/>
      <c r="AB15" s="2510"/>
      <c r="AC15" s="2472"/>
      <c r="AD15" s="2841"/>
      <c r="AE15" s="2841"/>
      <c r="AF15" s="2841"/>
      <c r="AG15" s="2841"/>
      <c r="AH15" s="2841"/>
      <c r="AI15" s="2510"/>
      <c r="AJ15" s="2510"/>
      <c r="AK15" s="2510"/>
      <c r="AL15" s="2510"/>
      <c r="AM15" s="2510"/>
      <c r="AN15" s="2510"/>
      <c r="AO15" s="2472"/>
      <c r="AP15" s="2510"/>
      <c r="AQ15" s="2510"/>
      <c r="AR15" s="2510"/>
      <c r="AS15" s="2510"/>
      <c r="AT15" s="2472">
        <v>5200</v>
      </c>
      <c r="AU15" s="2510"/>
      <c r="AV15" s="2472"/>
      <c r="AW15" s="2510"/>
      <c r="AX15" s="2510"/>
      <c r="AY15" s="2510"/>
      <c r="AZ15" s="2510"/>
      <c r="BA15" s="2510"/>
      <c r="BB15" s="2509"/>
      <c r="BC15" s="2510"/>
      <c r="BD15" s="2472">
        <v>5200</v>
      </c>
      <c r="BE15" s="2472"/>
      <c r="BF15" s="2510"/>
      <c r="BG15" s="2510"/>
      <c r="BH15" s="2510"/>
      <c r="BI15" s="2510"/>
      <c r="BJ15" s="2510"/>
      <c r="BK15" s="2510"/>
      <c r="BL15" s="2510"/>
      <c r="BM15" s="2510"/>
      <c r="BN15" s="2510"/>
      <c r="BO15" s="2510"/>
      <c r="BP15" s="2510"/>
      <c r="BQ15" s="2510"/>
      <c r="BR15" s="2510"/>
      <c r="BS15" s="2510"/>
      <c r="BT15" s="2510"/>
      <c r="BU15" s="2510"/>
      <c r="BV15" s="2472"/>
      <c r="BW15" s="2510"/>
      <c r="BX15" s="2510"/>
      <c r="BY15" s="2510"/>
      <c r="BZ15" s="2510"/>
      <c r="CA15" s="2510"/>
      <c r="CB15" s="2472"/>
      <c r="CC15" s="2510"/>
      <c r="CD15" s="2510"/>
      <c r="CE15" s="2510"/>
      <c r="CF15" s="2510"/>
      <c r="CG15" s="2510"/>
      <c r="CH15" s="2510"/>
      <c r="CI15" s="2472"/>
      <c r="CJ15" s="2510"/>
      <c r="CK15" s="2510"/>
      <c r="CL15" s="2510"/>
      <c r="CM15" s="2510"/>
      <c r="CN15" s="2510"/>
      <c r="CO15" s="2472">
        <v>5200</v>
      </c>
      <c r="CP15" s="2472"/>
      <c r="CQ15" s="2510"/>
      <c r="CR15" s="2510"/>
      <c r="CS15" s="2510"/>
      <c r="CT15" s="2510"/>
      <c r="CU15" s="2510"/>
      <c r="CV15" s="2510"/>
      <c r="CW15" s="2510"/>
      <c r="CX15" s="2510"/>
      <c r="CY15" s="2510"/>
      <c r="CZ15" s="2510"/>
      <c r="DA15" s="2510"/>
      <c r="DB15" s="2510"/>
      <c r="DC15" s="3653">
        <v>9200</v>
      </c>
      <c r="DD15" s="2472"/>
      <c r="DE15" s="2510"/>
      <c r="DF15" s="2510"/>
      <c r="DG15" s="2510"/>
      <c r="DH15" s="2510"/>
      <c r="DI15" s="2510"/>
      <c r="DJ15" s="2510"/>
      <c r="DK15" s="2510"/>
      <c r="DL15" s="2510"/>
      <c r="DM15" s="2510"/>
      <c r="DN15" s="2472"/>
      <c r="DO15" s="2472">
        <v>5200</v>
      </c>
      <c r="DP15" s="2510"/>
      <c r="DQ15" s="2510"/>
      <c r="DR15" s="2510"/>
      <c r="DS15" s="2510"/>
      <c r="DT15" s="2510"/>
      <c r="DU15" s="2510"/>
      <c r="DV15" s="2510"/>
      <c r="DW15" s="2510"/>
      <c r="DX15" s="2472"/>
      <c r="DY15" s="2510"/>
      <c r="DZ15" s="2510"/>
      <c r="EA15" s="2510"/>
      <c r="EB15" s="2510"/>
      <c r="EC15" s="2510"/>
      <c r="ED15" s="2472"/>
      <c r="EE15" s="2472"/>
      <c r="EF15" s="2510"/>
      <c r="EG15" s="2510"/>
      <c r="EH15" s="2510"/>
      <c r="EI15" s="2510"/>
      <c r="EJ15" s="2510"/>
      <c r="EK15" s="2510"/>
      <c r="EL15" s="2510"/>
      <c r="EM15" s="2510"/>
      <c r="EN15" s="2472"/>
      <c r="EO15" s="2510"/>
      <c r="EP15" s="2510"/>
      <c r="EQ15" s="2510"/>
      <c r="ER15" s="2510"/>
      <c r="ES15" s="2510"/>
      <c r="ET15" s="2510"/>
      <c r="EU15" s="2510"/>
      <c r="EV15" s="2510"/>
      <c r="EW15" s="2510"/>
      <c r="EX15" s="2510"/>
      <c r="EY15" s="2510"/>
      <c r="EZ15" s="2510"/>
      <c r="FA15" s="2510"/>
      <c r="FB15" s="2510"/>
      <c r="FC15" s="2510"/>
      <c r="FD15" s="2510"/>
      <c r="FE15" s="2472"/>
      <c r="FF15" s="2510"/>
      <c r="FG15" s="2472"/>
      <c r="FH15" s="2472"/>
      <c r="FI15" s="2510"/>
      <c r="FJ15" s="2510"/>
      <c r="FK15" s="2510"/>
      <c r="FL15" s="2510"/>
      <c r="FM15" s="2510"/>
      <c r="FN15" s="2510"/>
      <c r="FO15" s="2510"/>
      <c r="FP15" s="3653">
        <v>9200</v>
      </c>
      <c r="FQ15" s="2510"/>
      <c r="FR15" s="2510"/>
      <c r="FS15" s="2510"/>
      <c r="FT15" s="2510"/>
      <c r="FU15" s="2510"/>
      <c r="FV15" s="2510"/>
      <c r="FW15" s="2510"/>
      <c r="FX15" s="2510"/>
      <c r="FY15" s="2510"/>
      <c r="FZ15" s="2510"/>
      <c r="GA15" s="2510"/>
      <c r="GB15" s="2510"/>
      <c r="GC15" s="2510"/>
      <c r="GD15" s="2510"/>
      <c r="GE15" s="2510"/>
      <c r="GF15" s="2510"/>
      <c r="GG15" s="2510"/>
      <c r="GH15" s="2510"/>
      <c r="GI15" s="2472"/>
      <c r="GJ15" s="2510"/>
      <c r="GK15" s="2510"/>
      <c r="GL15" s="2510"/>
      <c r="GM15" s="2510"/>
      <c r="GN15" s="2472"/>
      <c r="GO15" s="2472"/>
      <c r="GP15" s="2510"/>
      <c r="GQ15" s="2472"/>
      <c r="GR15" s="2510"/>
      <c r="GS15" s="2510"/>
      <c r="GT15" s="2510"/>
      <c r="GU15" s="2510"/>
      <c r="GV15" s="2510"/>
      <c r="GW15" s="2472"/>
      <c r="GX15" s="2510"/>
      <c r="GY15" s="2510"/>
      <c r="GZ15" s="2510"/>
      <c r="HA15" s="2510"/>
      <c r="HB15" s="2472">
        <v>5200</v>
      </c>
      <c r="HC15" s="2510"/>
      <c r="HD15" s="2510"/>
      <c r="HE15" s="2510"/>
      <c r="HF15" s="2510"/>
      <c r="HG15" s="2510"/>
      <c r="HH15" s="2510"/>
      <c r="HI15" s="2510"/>
      <c r="HJ15" s="2510"/>
      <c r="HK15" s="2510"/>
      <c r="HL15" s="2510"/>
      <c r="HM15" s="2510"/>
      <c r="HN15" s="2510"/>
      <c r="HO15" s="2510"/>
      <c r="HP15" s="2510"/>
      <c r="HQ15" s="2510"/>
      <c r="HR15" s="2510"/>
      <c r="HS15" s="2510"/>
      <c r="HT15" s="2472"/>
      <c r="HU15" s="2472"/>
      <c r="HV15" s="2472"/>
      <c r="HW15" s="2510"/>
      <c r="HX15" s="2510"/>
      <c r="HY15" s="2510"/>
      <c r="HZ15" s="2510"/>
      <c r="IA15" s="2510"/>
      <c r="IB15" s="2510"/>
      <c r="IC15" s="2510"/>
      <c r="ID15" s="2510"/>
      <c r="IE15" s="2510"/>
      <c r="IF15" s="2510"/>
      <c r="IG15" s="2510"/>
      <c r="IH15" s="2510"/>
      <c r="II15" s="2510"/>
      <c r="IJ15" s="2510"/>
      <c r="IK15" s="2510"/>
      <c r="IL15" s="2510"/>
      <c r="IM15" s="2510"/>
      <c r="IN15" s="2510"/>
      <c r="IO15" s="2511"/>
      <c r="IP15" s="2510"/>
      <c r="IQ15" s="2510"/>
      <c r="IR15" s="2510"/>
      <c r="IS15" s="2510"/>
      <c r="IT15" s="2510"/>
      <c r="IU15" s="2510"/>
      <c r="IV15" s="2510"/>
      <c r="IW15" s="2510"/>
      <c r="IX15" s="2510"/>
      <c r="IY15" s="2510"/>
      <c r="IZ15" s="2510"/>
      <c r="JA15" s="2510"/>
      <c r="JB15" s="2510"/>
      <c r="JC15" s="2510"/>
      <c r="JD15" s="2510"/>
      <c r="JE15" s="2510"/>
      <c r="JF15" s="3728">
        <v>5200</v>
      </c>
      <c r="JG15" s="2479"/>
      <c r="JH15" s="1233"/>
      <c r="JI15" s="2248" t="s">
        <v>8868</v>
      </c>
      <c r="JJ15" s="2248" t="s">
        <v>6108</v>
      </c>
    </row>
    <row r="16" spans="1:270" x14ac:dyDescent="0.2">
      <c r="A16" s="1128">
        <v>15</v>
      </c>
      <c r="B16" s="1347" t="str">
        <f si="1" t="shared"/>
        <v/>
      </c>
      <c r="C16" s="1349" t="s">
        <v>4021</v>
      </c>
      <c r="D16" s="1350" t="s">
        <v>5451</v>
      </c>
      <c r="E16" s="2472"/>
      <c r="F16" s="2472"/>
      <c r="G16" s="2472"/>
      <c r="H16" s="2472"/>
      <c r="I16" s="2472"/>
      <c r="J16" s="2472"/>
      <c r="K16" s="2472"/>
      <c r="L16" s="2472"/>
      <c r="M16" s="2472"/>
      <c r="N16" s="2509"/>
      <c r="O16" s="2509"/>
      <c r="P16" s="2509"/>
      <c r="Q16" s="2509"/>
      <c r="R16" s="2510"/>
      <c r="S16" s="2510"/>
      <c r="T16" s="2510"/>
      <c r="U16" s="2510"/>
      <c r="V16" s="2510"/>
      <c r="W16" s="2510"/>
      <c r="X16" s="2510"/>
      <c r="Y16" s="2510"/>
      <c r="Z16" s="2472"/>
      <c r="AA16" s="2510"/>
      <c r="AB16" s="2510"/>
      <c r="AC16" s="2472"/>
      <c r="AD16" s="2841"/>
      <c r="AE16" s="2841"/>
      <c r="AF16" s="2841"/>
      <c r="AG16" s="2841"/>
      <c r="AH16" s="2841"/>
      <c r="AI16" s="2510"/>
      <c r="AJ16" s="2510"/>
      <c r="AK16" s="2510"/>
      <c r="AL16" s="2510"/>
      <c r="AM16" s="2510"/>
      <c r="AN16" s="2510"/>
      <c r="AO16" s="2472"/>
      <c r="AP16" s="2510"/>
      <c r="AQ16" s="2510"/>
      <c r="AR16" s="2510"/>
      <c r="AS16" s="2510"/>
      <c r="AT16" s="2472">
        <v>3900</v>
      </c>
      <c r="AU16" s="2510"/>
      <c r="AV16" s="2472"/>
      <c r="AW16" s="2510"/>
      <c r="AX16" s="2510"/>
      <c r="AY16" s="2510"/>
      <c r="AZ16" s="2510"/>
      <c r="BA16" s="2510"/>
      <c r="BB16" s="2509"/>
      <c r="BC16" s="2510"/>
      <c r="BD16" s="2472">
        <v>3900</v>
      </c>
      <c r="BE16" s="2472"/>
      <c r="BF16" s="2510"/>
      <c r="BG16" s="2510"/>
      <c r="BH16" s="2510"/>
      <c r="BI16" s="2510"/>
      <c r="BJ16" s="2510"/>
      <c r="BK16" s="2510"/>
      <c r="BL16" s="2510"/>
      <c r="BM16" s="2510"/>
      <c r="BN16" s="2510"/>
      <c r="BO16" s="2510"/>
      <c r="BP16" s="2510"/>
      <c r="BQ16" s="2510"/>
      <c r="BR16" s="2510"/>
      <c r="BS16" s="2510"/>
      <c r="BT16" s="2510"/>
      <c r="BU16" s="2510"/>
      <c r="BV16" s="2472"/>
      <c r="BW16" s="2510"/>
      <c r="BX16" s="2510"/>
      <c r="BY16" s="2510"/>
      <c r="BZ16" s="2510"/>
      <c r="CA16" s="2510"/>
      <c r="CB16" s="2472"/>
      <c r="CC16" s="2510"/>
      <c r="CD16" s="2510"/>
      <c r="CE16" s="2510"/>
      <c r="CF16" s="2510"/>
      <c r="CG16" s="2510"/>
      <c r="CH16" s="2510"/>
      <c r="CI16" s="2472"/>
      <c r="CJ16" s="2510"/>
      <c r="CK16" s="2510"/>
      <c r="CL16" s="2510"/>
      <c r="CM16" s="2510"/>
      <c r="CN16" s="2510"/>
      <c r="CO16" s="2472">
        <v>3900</v>
      </c>
      <c r="CP16" s="2472"/>
      <c r="CQ16" s="2510"/>
      <c r="CR16" s="2510"/>
      <c r="CS16" s="2510"/>
      <c r="CT16" s="2510"/>
      <c r="CU16" s="2510"/>
      <c r="CV16" s="2510"/>
      <c r="CW16" s="2510"/>
      <c r="CX16" s="2510"/>
      <c r="CY16" s="2510"/>
      <c r="CZ16" s="2510"/>
      <c r="DA16" s="2510"/>
      <c r="DB16" s="2510"/>
      <c r="DC16" s="3653">
        <v>12500</v>
      </c>
      <c r="DD16" s="2472"/>
      <c r="DE16" s="2510"/>
      <c r="DF16" s="2510"/>
      <c r="DG16" s="2510"/>
      <c r="DH16" s="2510"/>
      <c r="DI16" s="2510"/>
      <c r="DJ16" s="2510"/>
      <c r="DK16" s="2510"/>
      <c r="DL16" s="2510"/>
      <c r="DM16" s="2510"/>
      <c r="DN16" s="2472"/>
      <c r="DO16" s="2472">
        <v>3900</v>
      </c>
      <c r="DP16" s="2510"/>
      <c r="DQ16" s="2510"/>
      <c r="DR16" s="2510"/>
      <c r="DS16" s="2510"/>
      <c r="DT16" s="2510"/>
      <c r="DU16" s="2510"/>
      <c r="DV16" s="2510"/>
      <c r="DW16" s="2510"/>
      <c r="DX16" s="2472"/>
      <c r="DY16" s="2510"/>
      <c r="DZ16" s="2510"/>
      <c r="EA16" s="2510"/>
      <c r="EB16" s="2510"/>
      <c r="EC16" s="2510"/>
      <c r="ED16" s="2472"/>
      <c r="EE16" s="2472"/>
      <c r="EF16" s="2510"/>
      <c r="EG16" s="2510"/>
      <c r="EH16" s="2510"/>
      <c r="EI16" s="2510"/>
      <c r="EJ16" s="2510"/>
      <c r="EK16" s="2510"/>
      <c r="EL16" s="2510"/>
      <c r="EM16" s="2510"/>
      <c r="EN16" s="2472"/>
      <c r="EO16" s="2510"/>
      <c r="EP16" s="2510"/>
      <c r="EQ16" s="2510"/>
      <c r="ER16" s="2510"/>
      <c r="ES16" s="2510"/>
      <c r="ET16" s="2510"/>
      <c r="EU16" s="2510"/>
      <c r="EV16" s="2510"/>
      <c r="EW16" s="2510"/>
      <c r="EX16" s="2510"/>
      <c r="EY16" s="2510"/>
      <c r="EZ16" s="2510"/>
      <c r="FA16" s="2510"/>
      <c r="FB16" s="2510"/>
      <c r="FC16" s="2510"/>
      <c r="FD16" s="2510"/>
      <c r="FE16" s="2472"/>
      <c r="FF16" s="2510"/>
      <c r="FG16" s="2472"/>
      <c r="FH16" s="2472"/>
      <c r="FI16" s="2510"/>
      <c r="FJ16" s="2510"/>
      <c r="FK16" s="2510"/>
      <c r="FL16" s="2510"/>
      <c r="FM16" s="2510"/>
      <c r="FN16" s="2510"/>
      <c r="FO16" s="2510"/>
      <c r="FP16" s="3653">
        <v>12500</v>
      </c>
      <c r="FQ16" s="2510"/>
      <c r="FR16" s="2510"/>
      <c r="FS16" s="2510"/>
      <c r="FT16" s="2510"/>
      <c r="FU16" s="2510"/>
      <c r="FV16" s="2510"/>
      <c r="FW16" s="2510"/>
      <c r="FX16" s="2510"/>
      <c r="FY16" s="2510"/>
      <c r="FZ16" s="2510"/>
      <c r="GA16" s="2510"/>
      <c r="GB16" s="2510"/>
      <c r="GC16" s="2510"/>
      <c r="GD16" s="2510"/>
      <c r="GE16" s="2510"/>
      <c r="GF16" s="2510"/>
      <c r="GG16" s="2510"/>
      <c r="GH16" s="2510"/>
      <c r="GI16" s="2472"/>
      <c r="GJ16" s="2510"/>
      <c r="GK16" s="2510"/>
      <c r="GL16" s="2510"/>
      <c r="GM16" s="2510"/>
      <c r="GN16" s="2472"/>
      <c r="GO16" s="2472"/>
      <c r="GP16" s="2510"/>
      <c r="GQ16" s="2472"/>
      <c r="GR16" s="2510"/>
      <c r="GS16" s="2510"/>
      <c r="GT16" s="2510"/>
      <c r="GU16" s="2510"/>
      <c r="GV16" s="2510"/>
      <c r="GW16" s="2472"/>
      <c r="GX16" s="2510"/>
      <c r="GY16" s="2510"/>
      <c r="GZ16" s="2510"/>
      <c r="HA16" s="2510"/>
      <c r="HB16" s="2472">
        <v>3900</v>
      </c>
      <c r="HC16" s="2510"/>
      <c r="HD16" s="2510"/>
      <c r="HE16" s="2510"/>
      <c r="HF16" s="2510"/>
      <c r="HG16" s="2510"/>
      <c r="HH16" s="2510"/>
      <c r="HI16" s="2510"/>
      <c r="HJ16" s="2510"/>
      <c r="HK16" s="2510"/>
      <c r="HL16" s="2510"/>
      <c r="HM16" s="2510"/>
      <c r="HN16" s="2510"/>
      <c r="HO16" s="2510"/>
      <c r="HP16" s="2510"/>
      <c r="HQ16" s="2510"/>
      <c r="HR16" s="2510"/>
      <c r="HS16" s="2510"/>
      <c r="HT16" s="2472"/>
      <c r="HU16" s="2472"/>
      <c r="HV16" s="2472"/>
      <c r="HW16" s="2510"/>
      <c r="HX16" s="2510"/>
      <c r="HY16" s="2510"/>
      <c r="HZ16" s="2510"/>
      <c r="IA16" s="2510"/>
      <c r="IB16" s="2510"/>
      <c r="IC16" s="2510"/>
      <c r="ID16" s="2510"/>
      <c r="IE16" s="2510"/>
      <c r="IF16" s="2510"/>
      <c r="IG16" s="2510"/>
      <c r="IH16" s="2510"/>
      <c r="II16" s="2510"/>
      <c r="IJ16" s="2510"/>
      <c r="IK16" s="2510"/>
      <c r="IL16" s="2510"/>
      <c r="IM16" s="2510"/>
      <c r="IN16" s="2510"/>
      <c r="IO16" s="2511"/>
      <c r="IP16" s="2510"/>
      <c r="IQ16" s="2510"/>
      <c r="IR16" s="2510"/>
      <c r="IS16" s="2510"/>
      <c r="IT16" s="2510"/>
      <c r="IU16" s="2510"/>
      <c r="IV16" s="2510"/>
      <c r="IW16" s="2510"/>
      <c r="IX16" s="2510"/>
      <c r="IY16" s="2510"/>
      <c r="IZ16" s="2510"/>
      <c r="JA16" s="2510"/>
      <c r="JB16" s="2510"/>
      <c r="JC16" s="2510"/>
      <c r="JD16" s="2510"/>
      <c r="JE16" s="2510"/>
      <c r="JF16" s="3728">
        <v>12500</v>
      </c>
      <c r="JG16" s="2479"/>
      <c r="JH16" s="1233"/>
      <c r="JI16" s="2248" t="s">
        <v>8868</v>
      </c>
      <c r="JJ16" s="2248" t="s">
        <v>6108</v>
      </c>
    </row>
    <row r="17" spans="1:270" x14ac:dyDescent="0.2">
      <c r="A17" s="1128">
        <v>16</v>
      </c>
      <c r="B17" s="1347" t="str">
        <f si="1" t="shared"/>
        <v/>
      </c>
      <c r="C17" s="1349" t="s">
        <v>4022</v>
      </c>
      <c r="D17" s="1350" t="s">
        <v>5452</v>
      </c>
      <c r="E17" s="2472"/>
      <c r="F17" s="2472"/>
      <c r="G17" s="2472"/>
      <c r="H17" s="2472"/>
      <c r="I17" s="2472"/>
      <c r="J17" s="2472"/>
      <c r="K17" s="2472"/>
      <c r="L17" s="2472"/>
      <c r="M17" s="2472"/>
      <c r="N17" s="2509"/>
      <c r="O17" s="2509"/>
      <c r="P17" s="2509"/>
      <c r="Q17" s="2509"/>
      <c r="R17" s="2510"/>
      <c r="S17" s="2510"/>
      <c r="T17" s="2510"/>
      <c r="U17" s="2510"/>
      <c r="V17" s="2510"/>
      <c r="W17" s="2510"/>
      <c r="X17" s="2510"/>
      <c r="Y17" s="2510"/>
      <c r="Z17" s="2472"/>
      <c r="AA17" s="2510"/>
      <c r="AB17" s="2510"/>
      <c r="AC17" s="2472"/>
      <c r="AD17" s="2841"/>
      <c r="AE17" s="2841"/>
      <c r="AF17" s="2841"/>
      <c r="AG17" s="2841"/>
      <c r="AH17" s="2841"/>
      <c r="AI17" s="2510"/>
      <c r="AJ17" s="2510"/>
      <c r="AK17" s="2510"/>
      <c r="AL17" s="2510"/>
      <c r="AM17" s="2510"/>
      <c r="AN17" s="2510"/>
      <c r="AO17" s="2472"/>
      <c r="AP17" s="2510"/>
      <c r="AQ17" s="2510"/>
      <c r="AR17" s="2510"/>
      <c r="AS17" s="2510"/>
      <c r="AT17" s="2472">
        <v>7320</v>
      </c>
      <c r="AU17" s="2510"/>
      <c r="AV17" s="2472"/>
      <c r="AW17" s="2510"/>
      <c r="AX17" s="2510"/>
      <c r="AY17" s="2510"/>
      <c r="AZ17" s="2510"/>
      <c r="BA17" s="2510"/>
      <c r="BB17" s="2509"/>
      <c r="BC17" s="2510"/>
      <c r="BD17" s="2472">
        <v>7320</v>
      </c>
      <c r="BE17" s="2472"/>
      <c r="BF17" s="2510"/>
      <c r="BG17" s="2510"/>
      <c r="BH17" s="2510"/>
      <c r="BI17" s="2510"/>
      <c r="BJ17" s="2510"/>
      <c r="BK17" s="2510"/>
      <c r="BL17" s="2510"/>
      <c r="BM17" s="2510"/>
      <c r="BN17" s="2510"/>
      <c r="BO17" s="2510"/>
      <c r="BP17" s="2510"/>
      <c r="BQ17" s="2510"/>
      <c r="BR17" s="2510"/>
      <c r="BS17" s="2510"/>
      <c r="BT17" s="2510"/>
      <c r="BU17" s="2510"/>
      <c r="BV17" s="2472"/>
      <c r="BW17" s="2510"/>
      <c r="BX17" s="2510"/>
      <c r="BY17" s="2510"/>
      <c r="BZ17" s="2510"/>
      <c r="CA17" s="2510"/>
      <c r="CB17" s="2472"/>
      <c r="CC17" s="2510"/>
      <c r="CD17" s="2510"/>
      <c r="CE17" s="2510"/>
      <c r="CF17" s="2510"/>
      <c r="CG17" s="2510"/>
      <c r="CH17" s="2510"/>
      <c r="CI17" s="2472"/>
      <c r="CJ17" s="2510"/>
      <c r="CK17" s="2510"/>
      <c r="CL17" s="2510"/>
      <c r="CM17" s="2510"/>
      <c r="CN17" s="2510"/>
      <c r="CO17" s="2472">
        <v>7320</v>
      </c>
      <c r="CP17" s="2472"/>
      <c r="CQ17" s="2510"/>
      <c r="CR17" s="2510"/>
      <c r="CS17" s="2510"/>
      <c r="CT17" s="2510"/>
      <c r="CU17" s="2510"/>
      <c r="CV17" s="2510"/>
      <c r="CW17" s="2510"/>
      <c r="CX17" s="2510"/>
      <c r="CY17" s="2510"/>
      <c r="CZ17" s="2510"/>
      <c r="DA17" s="2510"/>
      <c r="DB17" s="2510"/>
      <c r="DC17" s="3653"/>
      <c r="DD17" s="2472"/>
      <c r="DE17" s="2510"/>
      <c r="DF17" s="2510"/>
      <c r="DG17" s="2510"/>
      <c r="DH17" s="2510"/>
      <c r="DI17" s="2510"/>
      <c r="DJ17" s="2510"/>
      <c r="DK17" s="2510"/>
      <c r="DL17" s="2510"/>
      <c r="DM17" s="2510"/>
      <c r="DN17" s="2472"/>
      <c r="DO17" s="2472">
        <v>7320</v>
      </c>
      <c r="DP17" s="2510"/>
      <c r="DQ17" s="2510"/>
      <c r="DR17" s="2510"/>
      <c r="DS17" s="2510"/>
      <c r="DT17" s="2510"/>
      <c r="DU17" s="2510"/>
      <c r="DV17" s="2510"/>
      <c r="DW17" s="2510"/>
      <c r="DX17" s="2472"/>
      <c r="DY17" s="2510"/>
      <c r="DZ17" s="2510"/>
      <c r="EA17" s="2510"/>
      <c r="EB17" s="2510"/>
      <c r="EC17" s="2510"/>
      <c r="ED17" s="2472"/>
      <c r="EE17" s="2472"/>
      <c r="EF17" s="2510"/>
      <c r="EG17" s="2510"/>
      <c r="EH17" s="2510"/>
      <c r="EI17" s="2510"/>
      <c r="EJ17" s="2510"/>
      <c r="EK17" s="2510"/>
      <c r="EL17" s="2510"/>
      <c r="EM17" s="2510"/>
      <c r="EN17" s="2472"/>
      <c r="EO17" s="2510"/>
      <c r="EP17" s="2510"/>
      <c r="EQ17" s="2510"/>
      <c r="ER17" s="2510"/>
      <c r="ES17" s="2510"/>
      <c r="ET17" s="2510"/>
      <c r="EU17" s="2510"/>
      <c r="EV17" s="2510"/>
      <c r="EW17" s="2510"/>
      <c r="EX17" s="2510"/>
      <c r="EY17" s="2510"/>
      <c r="EZ17" s="2510"/>
      <c r="FA17" s="2510"/>
      <c r="FB17" s="2510"/>
      <c r="FC17" s="2510"/>
      <c r="FD17" s="2510"/>
      <c r="FE17" s="2472"/>
      <c r="FF17" s="2510"/>
      <c r="FG17" s="2472"/>
      <c r="FH17" s="2472"/>
      <c r="FI17" s="2510"/>
      <c r="FJ17" s="2510"/>
      <c r="FK17" s="2510"/>
      <c r="FL17" s="2510"/>
      <c r="FM17" s="2510"/>
      <c r="FN17" s="2510"/>
      <c r="FO17" s="2510"/>
      <c r="FP17" s="3653">
        <v>17320</v>
      </c>
      <c r="FQ17" s="2510"/>
      <c r="FR17" s="2510"/>
      <c r="FS17" s="2510"/>
      <c r="FT17" s="2510"/>
      <c r="FU17" s="2510"/>
      <c r="FV17" s="2510"/>
      <c r="FW17" s="2510"/>
      <c r="FX17" s="2510"/>
      <c r="FY17" s="2510"/>
      <c r="FZ17" s="2510"/>
      <c r="GA17" s="2510"/>
      <c r="GB17" s="2510"/>
      <c r="GC17" s="2510"/>
      <c r="GD17" s="2510"/>
      <c r="GE17" s="2510"/>
      <c r="GF17" s="2510"/>
      <c r="GG17" s="2510"/>
      <c r="GH17" s="2510"/>
      <c r="GI17" s="2472"/>
      <c r="GJ17" s="2510"/>
      <c r="GK17" s="2510"/>
      <c r="GL17" s="2510"/>
      <c r="GM17" s="2510"/>
      <c r="GN17" s="2472"/>
      <c r="GO17" s="2472"/>
      <c r="GP17" s="2510"/>
      <c r="GQ17" s="2472"/>
      <c r="GR17" s="2510"/>
      <c r="GS17" s="2510"/>
      <c r="GT17" s="2510"/>
      <c r="GU17" s="2510"/>
      <c r="GV17" s="2510"/>
      <c r="GW17" s="2472"/>
      <c r="GX17" s="2510"/>
      <c r="GY17" s="2510"/>
      <c r="GZ17" s="2510"/>
      <c r="HA17" s="2510"/>
      <c r="HB17" s="2472">
        <v>7320</v>
      </c>
      <c r="HC17" s="2510"/>
      <c r="HD17" s="2510"/>
      <c r="HE17" s="2510"/>
      <c r="HF17" s="2510"/>
      <c r="HG17" s="2510"/>
      <c r="HH17" s="2510"/>
      <c r="HI17" s="2510"/>
      <c r="HJ17" s="2510"/>
      <c r="HK17" s="2510"/>
      <c r="HL17" s="2510"/>
      <c r="HM17" s="2510"/>
      <c r="HN17" s="2510"/>
      <c r="HO17" s="2510"/>
      <c r="HP17" s="2510"/>
      <c r="HQ17" s="2510"/>
      <c r="HR17" s="2510"/>
      <c r="HS17" s="2510"/>
      <c r="HT17" s="2472"/>
      <c r="HU17" s="2472"/>
      <c r="HV17" s="2472"/>
      <c r="HW17" s="2510"/>
      <c r="HX17" s="2510"/>
      <c r="HY17" s="2510"/>
      <c r="HZ17" s="2510"/>
      <c r="IA17" s="2510"/>
      <c r="IB17" s="2510"/>
      <c r="IC17" s="2510"/>
      <c r="ID17" s="2510"/>
      <c r="IE17" s="2510"/>
      <c r="IF17" s="2510"/>
      <c r="IG17" s="2510"/>
      <c r="IH17" s="2510"/>
      <c r="II17" s="2510"/>
      <c r="IJ17" s="2510"/>
      <c r="IK17" s="2510"/>
      <c r="IL17" s="2510"/>
      <c r="IM17" s="2510"/>
      <c r="IN17" s="2510"/>
      <c r="IO17" s="2511"/>
      <c r="IP17" s="2510"/>
      <c r="IQ17" s="2510"/>
      <c r="IR17" s="2510"/>
      <c r="IS17" s="2510"/>
      <c r="IT17" s="2510"/>
      <c r="IU17" s="2510"/>
      <c r="IV17" s="2510"/>
      <c r="IW17" s="2510"/>
      <c r="IX17" s="2510"/>
      <c r="IY17" s="2510"/>
      <c r="IZ17" s="2510"/>
      <c r="JA17" s="2510"/>
      <c r="JB17" s="2510"/>
      <c r="JC17" s="2510"/>
      <c r="JD17" s="2510"/>
      <c r="JE17" s="2510"/>
      <c r="JF17" s="3728">
        <v>7320</v>
      </c>
      <c r="JG17" s="2479"/>
      <c r="JH17" s="1233"/>
      <c r="JI17" s="2248" t="s">
        <v>8868</v>
      </c>
      <c r="JJ17" s="2248" t="s">
        <v>6127</v>
      </c>
    </row>
    <row r="18" spans="1:270" x14ac:dyDescent="0.2">
      <c r="A18" s="1128">
        <v>17</v>
      </c>
      <c r="B18" s="1347" t="str">
        <f si="1" t="shared"/>
        <v/>
      </c>
      <c r="C18" s="1349" t="s">
        <v>4023</v>
      </c>
      <c r="D18" s="1350" t="s">
        <v>5453</v>
      </c>
      <c r="E18" s="2472"/>
      <c r="F18" s="2472"/>
      <c r="G18" s="2472"/>
      <c r="H18" s="2472"/>
      <c r="I18" s="2472"/>
      <c r="J18" s="2472"/>
      <c r="K18" s="2472"/>
      <c r="L18" s="2472"/>
      <c r="M18" s="2472"/>
      <c r="N18" s="2509"/>
      <c r="O18" s="2509"/>
      <c r="P18" s="2509"/>
      <c r="Q18" s="2509"/>
      <c r="R18" s="2510"/>
      <c r="S18" s="2510"/>
      <c r="T18" s="2510"/>
      <c r="U18" s="2510"/>
      <c r="V18" s="2510"/>
      <c r="W18" s="2510"/>
      <c r="X18" s="2510"/>
      <c r="Y18" s="2510"/>
      <c r="Z18" s="2472"/>
      <c r="AA18" s="2510"/>
      <c r="AB18" s="2510"/>
      <c r="AC18" s="2472"/>
      <c r="AD18" s="2841"/>
      <c r="AE18" s="2841"/>
      <c r="AF18" s="2841"/>
      <c r="AG18" s="2841"/>
      <c r="AH18" s="2841"/>
      <c r="AI18" s="2510"/>
      <c r="AJ18" s="2510"/>
      <c r="AK18" s="2510"/>
      <c r="AL18" s="2510"/>
      <c r="AM18" s="2510"/>
      <c r="AN18" s="2510"/>
      <c r="AO18" s="2472"/>
      <c r="AP18" s="2510"/>
      <c r="AQ18" s="2510"/>
      <c r="AR18" s="2510"/>
      <c r="AS18" s="2510"/>
      <c r="AT18" s="2472">
        <v>1109</v>
      </c>
      <c r="AU18" s="2510"/>
      <c r="AV18" s="2472"/>
      <c r="AW18" s="2510"/>
      <c r="AX18" s="2510"/>
      <c r="AY18" s="2510"/>
      <c r="AZ18" s="2510"/>
      <c r="BA18" s="2510"/>
      <c r="BB18" s="2509"/>
      <c r="BC18" s="2510"/>
      <c r="BD18" s="2472">
        <v>1109</v>
      </c>
      <c r="BE18" s="2472"/>
      <c r="BF18" s="2510"/>
      <c r="BG18" s="2510"/>
      <c r="BH18" s="2510"/>
      <c r="BI18" s="2510"/>
      <c r="BJ18" s="2510"/>
      <c r="BK18" s="2510"/>
      <c r="BL18" s="2510"/>
      <c r="BM18" s="2510"/>
      <c r="BN18" s="2510"/>
      <c r="BO18" s="2510"/>
      <c r="BP18" s="2510"/>
      <c r="BQ18" s="2510"/>
      <c r="BR18" s="2510"/>
      <c r="BS18" s="2510"/>
      <c r="BT18" s="2510"/>
      <c r="BU18" s="2510"/>
      <c r="BV18" s="2472"/>
      <c r="BW18" s="2510"/>
      <c r="BX18" s="2510"/>
      <c r="BY18" s="2510"/>
      <c r="BZ18" s="2510"/>
      <c r="CA18" s="2510"/>
      <c r="CB18" s="2472"/>
      <c r="CC18" s="2510"/>
      <c r="CD18" s="2510"/>
      <c r="CE18" s="2510"/>
      <c r="CF18" s="2510"/>
      <c r="CG18" s="2510"/>
      <c r="CH18" s="2510"/>
      <c r="CI18" s="2472"/>
      <c r="CJ18" s="2510"/>
      <c r="CK18" s="2510"/>
      <c r="CL18" s="2510"/>
      <c r="CM18" s="2510"/>
      <c r="CN18" s="2510"/>
      <c r="CO18" s="2472">
        <v>1109</v>
      </c>
      <c r="CP18" s="2472"/>
      <c r="CQ18" s="2510"/>
      <c r="CR18" s="2510"/>
      <c r="CS18" s="2510"/>
      <c r="CT18" s="2510"/>
      <c r="CU18" s="2510"/>
      <c r="CV18" s="2510"/>
      <c r="CW18" s="2510"/>
      <c r="CX18" s="2510"/>
      <c r="CY18" s="2510"/>
      <c r="CZ18" s="2510"/>
      <c r="DA18" s="2510"/>
      <c r="DB18" s="2510"/>
      <c r="DC18" s="3653">
        <v>14609</v>
      </c>
      <c r="DD18" s="2472"/>
      <c r="DE18" s="2510"/>
      <c r="DF18" s="2510"/>
      <c r="DG18" s="2510"/>
      <c r="DH18" s="2510"/>
      <c r="DI18" s="2510"/>
      <c r="DJ18" s="2510"/>
      <c r="DK18" s="2510"/>
      <c r="DL18" s="2510"/>
      <c r="DM18" s="2510"/>
      <c r="DN18" s="2472"/>
      <c r="DO18" s="2472">
        <v>1109</v>
      </c>
      <c r="DP18" s="2510"/>
      <c r="DQ18" s="2510"/>
      <c r="DR18" s="2510"/>
      <c r="DS18" s="2510"/>
      <c r="DT18" s="2510"/>
      <c r="DU18" s="2510"/>
      <c r="DV18" s="2510"/>
      <c r="DW18" s="2510"/>
      <c r="DX18" s="2472"/>
      <c r="DY18" s="2510"/>
      <c r="DZ18" s="2510"/>
      <c r="EA18" s="2510"/>
      <c r="EB18" s="2510"/>
      <c r="EC18" s="2510"/>
      <c r="ED18" s="2472"/>
      <c r="EE18" s="2472"/>
      <c r="EF18" s="2510"/>
      <c r="EG18" s="2510"/>
      <c r="EH18" s="2510"/>
      <c r="EI18" s="2510"/>
      <c r="EJ18" s="2510"/>
      <c r="EK18" s="2510"/>
      <c r="EL18" s="2510"/>
      <c r="EM18" s="2510"/>
      <c r="EN18" s="2472"/>
      <c r="EO18" s="2510"/>
      <c r="EP18" s="2510"/>
      <c r="EQ18" s="2510"/>
      <c r="ER18" s="2510"/>
      <c r="ES18" s="2510"/>
      <c r="ET18" s="2510"/>
      <c r="EU18" s="2510"/>
      <c r="EV18" s="2510"/>
      <c r="EW18" s="2510"/>
      <c r="EX18" s="2510"/>
      <c r="EY18" s="2510"/>
      <c r="EZ18" s="2510"/>
      <c r="FA18" s="2510"/>
      <c r="FB18" s="2510"/>
      <c r="FC18" s="2510"/>
      <c r="FD18" s="2510"/>
      <c r="FE18" s="2472"/>
      <c r="FF18" s="2510"/>
      <c r="FG18" s="2472"/>
      <c r="FH18" s="2472"/>
      <c r="FI18" s="2510"/>
      <c r="FJ18" s="2510"/>
      <c r="FK18" s="2510"/>
      <c r="FL18" s="2510"/>
      <c r="FM18" s="2510"/>
      <c r="FN18" s="2510"/>
      <c r="FO18" s="2510"/>
      <c r="FP18" s="3653">
        <v>11109</v>
      </c>
      <c r="FQ18" s="2510"/>
      <c r="FR18" s="2510"/>
      <c r="FS18" s="2510"/>
      <c r="FT18" s="2510"/>
      <c r="FU18" s="2510"/>
      <c r="FV18" s="2510"/>
      <c r="FW18" s="2510"/>
      <c r="FX18" s="2510"/>
      <c r="FY18" s="2510"/>
      <c r="FZ18" s="2510"/>
      <c r="GA18" s="2510"/>
      <c r="GB18" s="2510"/>
      <c r="GC18" s="2510"/>
      <c r="GD18" s="2510"/>
      <c r="GE18" s="2510"/>
      <c r="GF18" s="2510"/>
      <c r="GG18" s="2510"/>
      <c r="GH18" s="2510"/>
      <c r="GI18" s="2472"/>
      <c r="GJ18" s="2510"/>
      <c r="GK18" s="2510"/>
      <c r="GL18" s="2510"/>
      <c r="GM18" s="2510"/>
      <c r="GN18" s="2472"/>
      <c r="GO18" s="2472"/>
      <c r="GP18" s="2510"/>
      <c r="GQ18" s="2472"/>
      <c r="GR18" s="2510"/>
      <c r="GS18" s="2510"/>
      <c r="GT18" s="2510"/>
      <c r="GU18" s="2510"/>
      <c r="GV18" s="2510"/>
      <c r="GW18" s="2472"/>
      <c r="GX18" s="2510"/>
      <c r="GY18" s="2510"/>
      <c r="GZ18" s="2510"/>
      <c r="HA18" s="2510"/>
      <c r="HB18" s="2472">
        <v>1109</v>
      </c>
      <c r="HC18" s="2510"/>
      <c r="HD18" s="2510"/>
      <c r="HE18" s="2510"/>
      <c r="HF18" s="2510"/>
      <c r="HG18" s="2510"/>
      <c r="HH18" s="2510"/>
      <c r="HI18" s="2510"/>
      <c r="HJ18" s="2510"/>
      <c r="HK18" s="2510"/>
      <c r="HL18" s="2510"/>
      <c r="HM18" s="2510"/>
      <c r="HN18" s="2510"/>
      <c r="HO18" s="2510"/>
      <c r="HP18" s="2510"/>
      <c r="HQ18" s="2510"/>
      <c r="HR18" s="2510"/>
      <c r="HS18" s="2510"/>
      <c r="HT18" s="2472"/>
      <c r="HU18" s="2472"/>
      <c r="HV18" s="2472"/>
      <c r="HW18" s="2510"/>
      <c r="HX18" s="2510"/>
      <c r="HY18" s="2510"/>
      <c r="HZ18" s="2510"/>
      <c r="IA18" s="2510"/>
      <c r="IB18" s="2510"/>
      <c r="IC18" s="2510"/>
      <c r="ID18" s="2510"/>
      <c r="IE18" s="2510"/>
      <c r="IF18" s="2510"/>
      <c r="IG18" s="2510"/>
      <c r="IH18" s="2510"/>
      <c r="II18" s="2510"/>
      <c r="IJ18" s="2510"/>
      <c r="IK18" s="2510"/>
      <c r="IL18" s="2510"/>
      <c r="IM18" s="2510"/>
      <c r="IN18" s="2510"/>
      <c r="IO18" s="2511"/>
      <c r="IP18" s="2510"/>
      <c r="IQ18" s="2510"/>
      <c r="IR18" s="2510"/>
      <c r="IS18" s="2510"/>
      <c r="IT18" s="2510"/>
      <c r="IU18" s="2510"/>
      <c r="IV18" s="2510"/>
      <c r="IW18" s="2510"/>
      <c r="IX18" s="2510"/>
      <c r="IY18" s="2510"/>
      <c r="IZ18" s="2510"/>
      <c r="JA18" s="2510"/>
      <c r="JB18" s="2510"/>
      <c r="JC18" s="2510"/>
      <c r="JD18" s="2510"/>
      <c r="JE18" s="2510"/>
      <c r="JF18" s="3728">
        <v>22999</v>
      </c>
      <c r="JG18" s="2479"/>
      <c r="JH18" s="1233"/>
      <c r="JI18" s="2248" t="s">
        <v>8868</v>
      </c>
      <c r="JJ18" s="2248" t="s">
        <v>6127</v>
      </c>
    </row>
    <row r="19" spans="1:270" x14ac:dyDescent="0.2">
      <c r="A19" s="1128">
        <v>18</v>
      </c>
      <c r="B19" s="1347" t="str">
        <f si="1" t="shared"/>
        <v/>
      </c>
      <c r="C19" s="1349" t="s">
        <v>3645</v>
      </c>
      <c r="D19" s="1350" t="s">
        <v>5454</v>
      </c>
      <c r="E19" s="2472"/>
      <c r="F19" s="2472"/>
      <c r="G19" s="2472"/>
      <c r="H19" s="2472"/>
      <c r="I19" s="2472"/>
      <c r="J19" s="2472"/>
      <c r="K19" s="2472"/>
      <c r="L19" s="2472"/>
      <c r="M19" s="2472"/>
      <c r="N19" s="2509"/>
      <c r="O19" s="2509"/>
      <c r="P19" s="2509"/>
      <c r="Q19" s="2509"/>
      <c r="R19" s="2510"/>
      <c r="S19" s="2510"/>
      <c r="T19" s="2510"/>
      <c r="U19" s="2510"/>
      <c r="V19" s="2510"/>
      <c r="W19" s="2510"/>
      <c r="X19" s="2510"/>
      <c r="Y19" s="2510"/>
      <c r="Z19" s="2472"/>
      <c r="AA19" s="2510"/>
      <c r="AB19" s="2510"/>
      <c r="AC19" s="2472"/>
      <c r="AD19" s="2841"/>
      <c r="AE19" s="2841"/>
      <c r="AF19" s="2841"/>
      <c r="AG19" s="2841"/>
      <c r="AH19" s="2841"/>
      <c r="AI19" s="2510"/>
      <c r="AJ19" s="2510"/>
      <c r="AK19" s="2510"/>
      <c r="AL19" s="2510"/>
      <c r="AM19" s="2510"/>
      <c r="AN19" s="2510"/>
      <c r="AO19" s="2472"/>
      <c r="AP19" s="2510"/>
      <c r="AQ19" s="2510"/>
      <c r="AR19" s="2510"/>
      <c r="AS19" s="2510"/>
      <c r="AT19" s="2472">
        <v>4200</v>
      </c>
      <c r="AU19" s="2510"/>
      <c r="AV19" s="2472"/>
      <c r="AW19" s="2510"/>
      <c r="AX19" s="2510"/>
      <c r="AY19" s="2510"/>
      <c r="AZ19" s="2510"/>
      <c r="BA19" s="2510"/>
      <c r="BB19" s="2509"/>
      <c r="BC19" s="2510"/>
      <c r="BD19" s="2472">
        <v>4200</v>
      </c>
      <c r="BE19" s="2472"/>
      <c r="BF19" s="2510"/>
      <c r="BG19" s="2510"/>
      <c r="BH19" s="2510"/>
      <c r="BI19" s="2510"/>
      <c r="BJ19" s="2510"/>
      <c r="BK19" s="2510"/>
      <c r="BL19" s="2510"/>
      <c r="BM19" s="2510"/>
      <c r="BN19" s="2510"/>
      <c r="BO19" s="2510"/>
      <c r="BP19" s="2510"/>
      <c r="BQ19" s="2510"/>
      <c r="BR19" s="2510"/>
      <c r="BS19" s="2510"/>
      <c r="BT19" s="2510"/>
      <c r="BU19" s="2510"/>
      <c r="BV19" s="2472"/>
      <c r="BW19" s="2510"/>
      <c r="BX19" s="2510"/>
      <c r="BY19" s="2510"/>
      <c r="BZ19" s="2510"/>
      <c r="CA19" s="2510"/>
      <c r="CB19" s="2472"/>
      <c r="CC19" s="2510"/>
      <c r="CD19" s="2510"/>
      <c r="CE19" s="2510"/>
      <c r="CF19" s="2510"/>
      <c r="CG19" s="2510"/>
      <c r="CH19" s="2510"/>
      <c r="CI19" s="2472"/>
      <c r="CJ19" s="2510"/>
      <c r="CK19" s="2510"/>
      <c r="CL19" s="2510"/>
      <c r="CM19" s="2510"/>
      <c r="CN19" s="2510"/>
      <c r="CO19" s="2472">
        <v>4200</v>
      </c>
      <c r="CP19" s="2472"/>
      <c r="CQ19" s="2510"/>
      <c r="CR19" s="2510"/>
      <c r="CS19" s="2510"/>
      <c r="CT19" s="2510"/>
      <c r="CU19" s="2510"/>
      <c r="CV19" s="2510"/>
      <c r="CW19" s="2510"/>
      <c r="CX19" s="2510"/>
      <c r="CY19" s="2510"/>
      <c r="CZ19" s="2510"/>
      <c r="DA19" s="2510"/>
      <c r="DB19" s="2510"/>
      <c r="DC19" s="3653">
        <v>4326</v>
      </c>
      <c r="DD19" s="2472"/>
      <c r="DE19" s="2510"/>
      <c r="DF19" s="2510"/>
      <c r="DG19" s="2510"/>
      <c r="DH19" s="2510"/>
      <c r="DI19" s="2510"/>
      <c r="DJ19" s="2510"/>
      <c r="DK19" s="2510"/>
      <c r="DL19" s="2510"/>
      <c r="DM19" s="2510"/>
      <c r="DN19" s="2472"/>
      <c r="DO19" s="2472">
        <v>4200</v>
      </c>
      <c r="DP19" s="2510"/>
      <c r="DQ19" s="2510"/>
      <c r="DR19" s="2510"/>
      <c r="DS19" s="2510"/>
      <c r="DT19" s="2510"/>
      <c r="DU19" s="2510"/>
      <c r="DV19" s="2510"/>
      <c r="DW19" s="2510"/>
      <c r="DX19" s="2472"/>
      <c r="DY19" s="2510"/>
      <c r="DZ19" s="2510"/>
      <c r="EA19" s="2510"/>
      <c r="EB19" s="2510"/>
      <c r="EC19" s="2510"/>
      <c r="ED19" s="2472"/>
      <c r="EE19" s="2472"/>
      <c r="EF19" s="2510"/>
      <c r="EG19" s="2510"/>
      <c r="EH19" s="2510"/>
      <c r="EI19" s="2510"/>
      <c r="EJ19" s="2510"/>
      <c r="EK19" s="2510"/>
      <c r="EL19" s="2510"/>
      <c r="EM19" s="2510"/>
      <c r="EN19" s="2472"/>
      <c r="EO19" s="2510"/>
      <c r="EP19" s="2510"/>
      <c r="EQ19" s="2510"/>
      <c r="ER19" s="2510"/>
      <c r="ES19" s="2510"/>
      <c r="ET19" s="2510"/>
      <c r="EU19" s="2510"/>
      <c r="EV19" s="2510"/>
      <c r="EW19" s="2510"/>
      <c r="EX19" s="2510"/>
      <c r="EY19" s="2510"/>
      <c r="EZ19" s="2510"/>
      <c r="FA19" s="2510"/>
      <c r="FB19" s="2510"/>
      <c r="FC19" s="2510"/>
      <c r="FD19" s="2510"/>
      <c r="FE19" s="2472"/>
      <c r="FF19" s="2510"/>
      <c r="FG19" s="2472"/>
      <c r="FH19" s="2472"/>
      <c r="FI19" s="2510"/>
      <c r="FJ19" s="2510"/>
      <c r="FK19" s="2510"/>
      <c r="FL19" s="2510"/>
      <c r="FM19" s="2510"/>
      <c r="FN19" s="2510"/>
      <c r="FO19" s="2510"/>
      <c r="FP19" s="3653">
        <v>4200</v>
      </c>
      <c r="FQ19" s="2510"/>
      <c r="FR19" s="2510"/>
      <c r="FS19" s="2510"/>
      <c r="FT19" s="2510"/>
      <c r="FU19" s="2510"/>
      <c r="FV19" s="2510"/>
      <c r="FW19" s="2510"/>
      <c r="FX19" s="2510"/>
      <c r="FY19" s="2510"/>
      <c r="FZ19" s="2510"/>
      <c r="GA19" s="2510"/>
      <c r="GB19" s="2510"/>
      <c r="GC19" s="2510"/>
      <c r="GD19" s="2510"/>
      <c r="GE19" s="2510"/>
      <c r="GF19" s="2510"/>
      <c r="GG19" s="2510"/>
      <c r="GH19" s="2510"/>
      <c r="GI19" s="2472"/>
      <c r="GJ19" s="2510"/>
      <c r="GK19" s="2510"/>
      <c r="GL19" s="2510"/>
      <c r="GM19" s="2510"/>
      <c r="GN19" s="2472"/>
      <c r="GO19" s="2472"/>
      <c r="GP19" s="2510"/>
      <c r="GQ19" s="2472"/>
      <c r="GR19" s="2510"/>
      <c r="GS19" s="2510"/>
      <c r="GT19" s="2510"/>
      <c r="GU19" s="2510"/>
      <c r="GV19" s="2510"/>
      <c r="GW19" s="2472"/>
      <c r="GX19" s="2510"/>
      <c r="GY19" s="2510"/>
      <c r="GZ19" s="2510"/>
      <c r="HA19" s="2510"/>
      <c r="HB19" s="2472">
        <v>4200</v>
      </c>
      <c r="HC19" s="2510"/>
      <c r="HD19" s="2510"/>
      <c r="HE19" s="2510"/>
      <c r="HF19" s="2510"/>
      <c r="HG19" s="2510"/>
      <c r="HH19" s="2510"/>
      <c r="HI19" s="2510"/>
      <c r="HJ19" s="2510"/>
      <c r="HK19" s="2510"/>
      <c r="HL19" s="2510"/>
      <c r="HM19" s="2510"/>
      <c r="HN19" s="2510"/>
      <c r="HO19" s="2510"/>
      <c r="HP19" s="2510"/>
      <c r="HQ19" s="2510"/>
      <c r="HR19" s="2510"/>
      <c r="HS19" s="2510"/>
      <c r="HT19" s="2472"/>
      <c r="HU19" s="2472"/>
      <c r="HV19" s="2472"/>
      <c r="HW19" s="2510"/>
      <c r="HX19" s="2510"/>
      <c r="HY19" s="2510"/>
      <c r="HZ19" s="2510"/>
      <c r="IA19" s="2510"/>
      <c r="IB19" s="2510"/>
      <c r="IC19" s="2510"/>
      <c r="ID19" s="2510"/>
      <c r="IE19" s="2510"/>
      <c r="IF19" s="2510"/>
      <c r="IG19" s="2510"/>
      <c r="IH19" s="2510"/>
      <c r="II19" s="2510"/>
      <c r="IJ19" s="2510"/>
      <c r="IK19" s="2510"/>
      <c r="IL19" s="2510"/>
      <c r="IM19" s="2510"/>
      <c r="IN19" s="2510"/>
      <c r="IO19" s="2511"/>
      <c r="IP19" s="2510"/>
      <c r="IQ19" s="2510"/>
      <c r="IR19" s="2510"/>
      <c r="IS19" s="2510"/>
      <c r="IT19" s="2510"/>
      <c r="IU19" s="2510"/>
      <c r="IV19" s="2510"/>
      <c r="IW19" s="2510"/>
      <c r="IX19" s="2510"/>
      <c r="IY19" s="2510"/>
      <c r="IZ19" s="2510"/>
      <c r="JA19" s="2510"/>
      <c r="JB19" s="2510"/>
      <c r="JC19" s="2510"/>
      <c r="JD19" s="2510"/>
      <c r="JE19" s="2510"/>
      <c r="JF19" s="3728">
        <v>4200</v>
      </c>
      <c r="JG19" s="2479"/>
      <c r="JH19" s="1233"/>
      <c r="JI19" s="2248" t="s">
        <v>8868</v>
      </c>
      <c r="JJ19" s="2248" t="s">
        <v>6127</v>
      </c>
    </row>
    <row r="20" spans="1:270" x14ac:dyDescent="0.2">
      <c r="A20" s="1128">
        <v>19</v>
      </c>
      <c r="B20" s="1347" t="str">
        <f si="1" t="shared"/>
        <v/>
      </c>
      <c r="C20" s="1349" t="s">
        <v>3646</v>
      </c>
      <c r="D20" s="1350" t="s">
        <v>5455</v>
      </c>
      <c r="E20" s="2472"/>
      <c r="F20" s="2472"/>
      <c r="G20" s="2472"/>
      <c r="H20" s="2472"/>
      <c r="I20" s="2472"/>
      <c r="J20" s="2472"/>
      <c r="K20" s="2472"/>
      <c r="L20" s="2472"/>
      <c r="M20" s="2472"/>
      <c r="N20" s="2509"/>
      <c r="O20" s="2509"/>
      <c r="P20" s="2509"/>
      <c r="Q20" s="2509"/>
      <c r="R20" s="2510"/>
      <c r="S20" s="2510"/>
      <c r="T20" s="2510"/>
      <c r="U20" s="2510"/>
      <c r="V20" s="2510"/>
      <c r="W20" s="2510"/>
      <c r="X20" s="2510"/>
      <c r="Y20" s="2510"/>
      <c r="Z20" s="2472"/>
      <c r="AA20" s="2510"/>
      <c r="AB20" s="2510"/>
      <c r="AC20" s="2472"/>
      <c r="AD20" s="2841"/>
      <c r="AE20" s="2841"/>
      <c r="AF20" s="2841"/>
      <c r="AG20" s="2841"/>
      <c r="AH20" s="2841"/>
      <c r="AI20" s="2510"/>
      <c r="AJ20" s="2510"/>
      <c r="AK20" s="2510"/>
      <c r="AL20" s="2510"/>
      <c r="AM20" s="2510"/>
      <c r="AN20" s="2510"/>
      <c r="AO20" s="2472"/>
      <c r="AP20" s="2510"/>
      <c r="AQ20" s="2510"/>
      <c r="AR20" s="2510"/>
      <c r="AS20" s="2510"/>
      <c r="AT20" s="2472">
        <v>13642</v>
      </c>
      <c r="AU20" s="2510"/>
      <c r="AV20" s="2472"/>
      <c r="AW20" s="2510"/>
      <c r="AX20" s="2510"/>
      <c r="AY20" s="2510"/>
      <c r="AZ20" s="2510"/>
      <c r="BA20" s="2510"/>
      <c r="BB20" s="2509"/>
      <c r="BC20" s="2510"/>
      <c r="BD20" s="2472">
        <v>13642</v>
      </c>
      <c r="BE20" s="2472"/>
      <c r="BF20" s="2510"/>
      <c r="BG20" s="2510"/>
      <c r="BH20" s="2510"/>
      <c r="BI20" s="2510"/>
      <c r="BJ20" s="2510"/>
      <c r="BK20" s="2510"/>
      <c r="BL20" s="2510"/>
      <c r="BM20" s="2510"/>
      <c r="BN20" s="2510"/>
      <c r="BO20" s="2510"/>
      <c r="BP20" s="2510"/>
      <c r="BQ20" s="2510"/>
      <c r="BR20" s="2510"/>
      <c r="BS20" s="2510"/>
      <c r="BT20" s="2510"/>
      <c r="BU20" s="2510"/>
      <c r="BV20" s="2472"/>
      <c r="BW20" s="2510"/>
      <c r="BX20" s="2510"/>
      <c r="BY20" s="2510"/>
      <c r="BZ20" s="2510"/>
      <c r="CA20" s="2510"/>
      <c r="CB20" s="2472"/>
      <c r="CC20" s="2510"/>
      <c r="CD20" s="2510"/>
      <c r="CE20" s="2510"/>
      <c r="CF20" s="2510"/>
      <c r="CG20" s="2510"/>
      <c r="CH20" s="2510"/>
      <c r="CI20" s="2472"/>
      <c r="CJ20" s="2510"/>
      <c r="CK20" s="2510"/>
      <c r="CL20" s="2510"/>
      <c r="CM20" s="2510"/>
      <c r="CN20" s="2510"/>
      <c r="CO20" s="2472">
        <v>13642</v>
      </c>
      <c r="CP20" s="2472"/>
      <c r="CQ20" s="2510"/>
      <c r="CR20" s="2510"/>
      <c r="CS20" s="2510"/>
      <c r="CT20" s="2510"/>
      <c r="CU20" s="2510"/>
      <c r="CV20" s="2510"/>
      <c r="CW20" s="2510"/>
      <c r="CX20" s="2510"/>
      <c r="CY20" s="2510"/>
      <c r="CZ20" s="2510"/>
      <c r="DA20" s="2510"/>
      <c r="DB20" s="2510"/>
      <c r="DC20" s="3653">
        <v>13642</v>
      </c>
      <c r="DD20" s="2472"/>
      <c r="DE20" s="2510"/>
      <c r="DF20" s="2510"/>
      <c r="DG20" s="2510"/>
      <c r="DH20" s="2510"/>
      <c r="DI20" s="2510"/>
      <c r="DJ20" s="2510"/>
      <c r="DK20" s="2510"/>
      <c r="DL20" s="2510"/>
      <c r="DM20" s="2510"/>
      <c r="DN20" s="2472"/>
      <c r="DO20" s="2472">
        <v>13642</v>
      </c>
      <c r="DP20" s="2510"/>
      <c r="DQ20" s="2510"/>
      <c r="DR20" s="2510"/>
      <c r="DS20" s="2510"/>
      <c r="DT20" s="2510"/>
      <c r="DU20" s="2510"/>
      <c r="DV20" s="2510"/>
      <c r="DW20" s="2510"/>
      <c r="DX20" s="2472"/>
      <c r="DY20" s="2510"/>
      <c r="DZ20" s="2510"/>
      <c r="EA20" s="2510"/>
      <c r="EB20" s="2510"/>
      <c r="EC20" s="2510"/>
      <c r="ED20" s="2472"/>
      <c r="EE20" s="2472"/>
      <c r="EF20" s="2510"/>
      <c r="EG20" s="2510"/>
      <c r="EH20" s="2510"/>
      <c r="EI20" s="2510"/>
      <c r="EJ20" s="2510"/>
      <c r="EK20" s="2510"/>
      <c r="EL20" s="2510"/>
      <c r="EM20" s="2510"/>
      <c r="EN20" s="2472"/>
      <c r="EO20" s="2510"/>
      <c r="EP20" s="2510"/>
      <c r="EQ20" s="2510"/>
      <c r="ER20" s="2510"/>
      <c r="ES20" s="2510"/>
      <c r="ET20" s="2510"/>
      <c r="EU20" s="2510"/>
      <c r="EV20" s="2510"/>
      <c r="EW20" s="2510"/>
      <c r="EX20" s="2510"/>
      <c r="EY20" s="2510"/>
      <c r="EZ20" s="2510"/>
      <c r="FA20" s="2510"/>
      <c r="FB20" s="2510"/>
      <c r="FC20" s="2510"/>
      <c r="FD20" s="2510"/>
      <c r="FE20" s="2472"/>
      <c r="FF20" s="2510"/>
      <c r="FG20" s="2472"/>
      <c r="FH20" s="2472"/>
      <c r="FI20" s="2510"/>
      <c r="FJ20" s="2510"/>
      <c r="FK20" s="2510"/>
      <c r="FL20" s="2510"/>
      <c r="FM20" s="2510"/>
      <c r="FN20" s="2510"/>
      <c r="FO20" s="2510"/>
      <c r="FP20" s="3653">
        <v>13642</v>
      </c>
      <c r="FQ20" s="2510"/>
      <c r="FR20" s="2510"/>
      <c r="FS20" s="2510"/>
      <c r="FT20" s="2510"/>
      <c r="FU20" s="2510"/>
      <c r="FV20" s="2510"/>
      <c r="FW20" s="2510"/>
      <c r="FX20" s="2510"/>
      <c r="FY20" s="2510"/>
      <c r="FZ20" s="2510"/>
      <c r="GA20" s="2510"/>
      <c r="GB20" s="2510"/>
      <c r="GC20" s="2510"/>
      <c r="GD20" s="2510"/>
      <c r="GE20" s="2510"/>
      <c r="GF20" s="2510"/>
      <c r="GG20" s="2510"/>
      <c r="GH20" s="2510"/>
      <c r="GI20" s="2472"/>
      <c r="GJ20" s="2510"/>
      <c r="GK20" s="2510"/>
      <c r="GL20" s="2510"/>
      <c r="GM20" s="2510"/>
      <c r="GN20" s="2472"/>
      <c r="GO20" s="2472"/>
      <c r="GP20" s="2510"/>
      <c r="GQ20" s="2472"/>
      <c r="GR20" s="2510"/>
      <c r="GS20" s="2510"/>
      <c r="GT20" s="2510"/>
      <c r="GU20" s="2510"/>
      <c r="GV20" s="2510"/>
      <c r="GW20" s="2472"/>
      <c r="GX20" s="2510"/>
      <c r="GY20" s="2510"/>
      <c r="GZ20" s="2510"/>
      <c r="HA20" s="2510"/>
      <c r="HB20" s="2472">
        <v>13642</v>
      </c>
      <c r="HC20" s="2510"/>
      <c r="HD20" s="2510"/>
      <c r="HE20" s="2510"/>
      <c r="HF20" s="2510"/>
      <c r="HG20" s="2510"/>
      <c r="HH20" s="2510"/>
      <c r="HI20" s="2510"/>
      <c r="HJ20" s="2510"/>
      <c r="HK20" s="2510"/>
      <c r="HL20" s="2510"/>
      <c r="HM20" s="2510"/>
      <c r="HN20" s="2510"/>
      <c r="HO20" s="2510"/>
      <c r="HP20" s="2510"/>
      <c r="HQ20" s="2510"/>
      <c r="HR20" s="2510"/>
      <c r="HS20" s="2510"/>
      <c r="HT20" s="2472"/>
      <c r="HU20" s="2472"/>
      <c r="HV20" s="2472"/>
      <c r="HW20" s="2510"/>
      <c r="HX20" s="2510"/>
      <c r="HY20" s="2510"/>
      <c r="HZ20" s="2510"/>
      <c r="IA20" s="2510"/>
      <c r="IB20" s="2510"/>
      <c r="IC20" s="2510"/>
      <c r="ID20" s="2510"/>
      <c r="IE20" s="2510"/>
      <c r="IF20" s="2510"/>
      <c r="IG20" s="2510"/>
      <c r="IH20" s="2510"/>
      <c r="II20" s="2510"/>
      <c r="IJ20" s="2510"/>
      <c r="IK20" s="2510"/>
      <c r="IL20" s="2510"/>
      <c r="IM20" s="2510"/>
      <c r="IN20" s="2510"/>
      <c r="IO20" s="2511"/>
      <c r="IP20" s="2510"/>
      <c r="IQ20" s="2510"/>
      <c r="IR20" s="2510"/>
      <c r="IS20" s="2510"/>
      <c r="IT20" s="2510"/>
      <c r="IU20" s="2510"/>
      <c r="IV20" s="2510"/>
      <c r="IW20" s="2510"/>
      <c r="IX20" s="2510"/>
      <c r="IY20" s="2510"/>
      <c r="IZ20" s="2510"/>
      <c r="JA20" s="2510"/>
      <c r="JB20" s="2510"/>
      <c r="JC20" s="2510"/>
      <c r="JD20" s="2510"/>
      <c r="JE20" s="2510"/>
      <c r="JF20" s="3728">
        <v>23642</v>
      </c>
      <c r="JG20" s="2479"/>
      <c r="JH20" s="1233"/>
      <c r="JI20" s="2248" t="s">
        <v>8868</v>
      </c>
      <c r="JJ20" s="2248" t="s">
        <v>6127</v>
      </c>
    </row>
    <row r="21" spans="1:270" x14ac:dyDescent="0.2">
      <c r="A21" s="1128">
        <v>20</v>
      </c>
      <c r="B21" s="1347" t="str">
        <f si="1" t="shared"/>
        <v/>
      </c>
      <c r="C21" s="1349" t="s">
        <v>1413</v>
      </c>
      <c r="D21" s="1350" t="s">
        <v>5456</v>
      </c>
      <c r="E21" s="2472"/>
      <c r="F21" s="2472"/>
      <c r="G21" s="2472"/>
      <c r="H21" s="2472"/>
      <c r="I21" s="2472"/>
      <c r="J21" s="2472"/>
      <c r="K21" s="2472"/>
      <c r="L21" s="2472"/>
      <c r="M21" s="2472"/>
      <c r="N21" s="2509"/>
      <c r="O21" s="2509"/>
      <c r="P21" s="2509"/>
      <c r="Q21" s="2509"/>
      <c r="R21" s="2510"/>
      <c r="S21" s="2510"/>
      <c r="T21" s="2510"/>
      <c r="U21" s="2510"/>
      <c r="V21" s="2510"/>
      <c r="W21" s="2510"/>
      <c r="X21" s="2510"/>
      <c r="Y21" s="2510"/>
      <c r="Z21" s="2472"/>
      <c r="AA21" s="2510"/>
      <c r="AB21" s="2510"/>
      <c r="AC21" s="2472"/>
      <c r="AD21" s="2841"/>
      <c r="AE21" s="2841"/>
      <c r="AF21" s="2841"/>
      <c r="AG21" s="2841"/>
      <c r="AH21" s="2841"/>
      <c r="AI21" s="2510"/>
      <c r="AJ21" s="2510"/>
      <c r="AK21" s="2510"/>
      <c r="AL21" s="2510"/>
      <c r="AM21" s="2510"/>
      <c r="AN21" s="2510"/>
      <c r="AO21" s="2472"/>
      <c r="AP21" s="2510"/>
      <c r="AQ21" s="2510"/>
      <c r="AR21" s="2510"/>
      <c r="AS21" s="2510"/>
      <c r="AT21" s="2472">
        <v>1602</v>
      </c>
      <c r="AU21" s="2510"/>
      <c r="AV21" s="2472"/>
      <c r="AW21" s="2510"/>
      <c r="AX21" s="2510"/>
      <c r="AY21" s="2510"/>
      <c r="AZ21" s="2510"/>
      <c r="BA21" s="2510"/>
      <c r="BB21" s="2509"/>
      <c r="BC21" s="2510"/>
      <c r="BD21" s="2472">
        <v>1602</v>
      </c>
      <c r="BE21" s="2472"/>
      <c r="BF21" s="2510"/>
      <c r="BG21" s="2510"/>
      <c r="BH21" s="2510"/>
      <c r="BI21" s="2510"/>
      <c r="BJ21" s="2510"/>
      <c r="BK21" s="2510"/>
      <c r="BL21" s="2510"/>
      <c r="BM21" s="2510"/>
      <c r="BN21" s="2510"/>
      <c r="BO21" s="2510"/>
      <c r="BP21" s="2510"/>
      <c r="BQ21" s="2510"/>
      <c r="BR21" s="2510"/>
      <c r="BS21" s="2510"/>
      <c r="BT21" s="2510"/>
      <c r="BU21" s="2510"/>
      <c r="BV21" s="2472"/>
      <c r="BW21" s="2510"/>
      <c r="BX21" s="2510"/>
      <c r="BY21" s="2510"/>
      <c r="BZ21" s="2510"/>
      <c r="CA21" s="2510"/>
      <c r="CB21" s="2472"/>
      <c r="CC21" s="2510"/>
      <c r="CD21" s="2510"/>
      <c r="CE21" s="2510"/>
      <c r="CF21" s="2510"/>
      <c r="CG21" s="2510"/>
      <c r="CH21" s="2510"/>
      <c r="CI21" s="2472"/>
      <c r="CJ21" s="2510"/>
      <c r="CK21" s="2510"/>
      <c r="CL21" s="2510"/>
      <c r="CM21" s="2510"/>
      <c r="CN21" s="2510"/>
      <c r="CO21" s="2472">
        <v>1602</v>
      </c>
      <c r="CP21" s="2472"/>
      <c r="CQ21" s="2510"/>
      <c r="CR21" s="2510"/>
      <c r="CS21" s="2510"/>
      <c r="CT21" s="2510"/>
      <c r="CU21" s="2510"/>
      <c r="CV21" s="2510"/>
      <c r="CW21" s="2510"/>
      <c r="CX21" s="2510"/>
      <c r="CY21" s="2510"/>
      <c r="CZ21" s="2510"/>
      <c r="DA21" s="2510"/>
      <c r="DB21" s="2510"/>
      <c r="DC21" s="3653">
        <v>1602</v>
      </c>
      <c r="DD21" s="2472"/>
      <c r="DE21" s="2510"/>
      <c r="DF21" s="2510"/>
      <c r="DG21" s="2510"/>
      <c r="DH21" s="2510"/>
      <c r="DI21" s="2510"/>
      <c r="DJ21" s="2510"/>
      <c r="DK21" s="2510"/>
      <c r="DL21" s="2510"/>
      <c r="DM21" s="2510"/>
      <c r="DN21" s="2472"/>
      <c r="DO21" s="2472">
        <v>1602</v>
      </c>
      <c r="DP21" s="2510"/>
      <c r="DQ21" s="2510"/>
      <c r="DR21" s="2510"/>
      <c r="DS21" s="2510"/>
      <c r="DT21" s="2510"/>
      <c r="DU21" s="2510"/>
      <c r="DV21" s="2510"/>
      <c r="DW21" s="2510"/>
      <c r="DX21" s="2472"/>
      <c r="DY21" s="2510"/>
      <c r="DZ21" s="2510"/>
      <c r="EA21" s="2510"/>
      <c r="EB21" s="2510"/>
      <c r="EC21" s="2510"/>
      <c r="ED21" s="2472"/>
      <c r="EE21" s="2472"/>
      <c r="EF21" s="2510"/>
      <c r="EG21" s="2510"/>
      <c r="EH21" s="2510"/>
      <c r="EI21" s="2510"/>
      <c r="EJ21" s="2510"/>
      <c r="EK21" s="2510"/>
      <c r="EL21" s="2510"/>
      <c r="EM21" s="2510"/>
      <c r="EN21" s="2472"/>
      <c r="EO21" s="2510"/>
      <c r="EP21" s="2510"/>
      <c r="EQ21" s="2510"/>
      <c r="ER21" s="2510"/>
      <c r="ES21" s="2510"/>
      <c r="ET21" s="2510"/>
      <c r="EU21" s="2510"/>
      <c r="EV21" s="2510"/>
      <c r="EW21" s="2510"/>
      <c r="EX21" s="2510"/>
      <c r="EY21" s="2510"/>
      <c r="EZ21" s="2510"/>
      <c r="FA21" s="2510"/>
      <c r="FB21" s="2510"/>
      <c r="FC21" s="2510"/>
      <c r="FD21" s="2510"/>
      <c r="FE21" s="2472"/>
      <c r="FF21" s="2510"/>
      <c r="FG21" s="2472"/>
      <c r="FH21" s="2472"/>
      <c r="FI21" s="2510"/>
      <c r="FJ21" s="2510"/>
      <c r="FK21" s="2510"/>
      <c r="FL21" s="2510"/>
      <c r="FM21" s="2510"/>
      <c r="FN21" s="2510"/>
      <c r="FO21" s="2510"/>
      <c r="FP21" s="3653">
        <v>1602</v>
      </c>
      <c r="FQ21" s="2510"/>
      <c r="FR21" s="2510"/>
      <c r="FS21" s="2510"/>
      <c r="FT21" s="2510"/>
      <c r="FU21" s="2510"/>
      <c r="FV21" s="2510"/>
      <c r="FW21" s="2510"/>
      <c r="FX21" s="2510"/>
      <c r="FY21" s="2510"/>
      <c r="FZ21" s="2510"/>
      <c r="GA21" s="2510"/>
      <c r="GB21" s="2510"/>
      <c r="GC21" s="2510"/>
      <c r="GD21" s="2510"/>
      <c r="GE21" s="2510"/>
      <c r="GF21" s="2510"/>
      <c r="GG21" s="2510"/>
      <c r="GH21" s="2510"/>
      <c r="GI21" s="2472"/>
      <c r="GJ21" s="2510"/>
      <c r="GK21" s="2510"/>
      <c r="GL21" s="2510"/>
      <c r="GM21" s="2510"/>
      <c r="GN21" s="2472"/>
      <c r="GO21" s="2472"/>
      <c r="GP21" s="2510"/>
      <c r="GQ21" s="2472"/>
      <c r="GR21" s="2510"/>
      <c r="GS21" s="2510"/>
      <c r="GT21" s="2510"/>
      <c r="GU21" s="2510"/>
      <c r="GV21" s="2510"/>
      <c r="GW21" s="2472"/>
      <c r="GX21" s="2510"/>
      <c r="GY21" s="2510"/>
      <c r="GZ21" s="2510"/>
      <c r="HA21" s="2510"/>
      <c r="HB21" s="2472">
        <v>1602</v>
      </c>
      <c r="HC21" s="2510"/>
      <c r="HD21" s="2510"/>
      <c r="HE21" s="2510"/>
      <c r="HF21" s="2510"/>
      <c r="HG21" s="2510"/>
      <c r="HH21" s="2510"/>
      <c r="HI21" s="2510"/>
      <c r="HJ21" s="2510"/>
      <c r="HK21" s="2510"/>
      <c r="HL21" s="2510"/>
      <c r="HM21" s="2510"/>
      <c r="HN21" s="2510"/>
      <c r="HO21" s="2510"/>
      <c r="HP21" s="2510"/>
      <c r="HQ21" s="2510"/>
      <c r="HR21" s="2510"/>
      <c r="HS21" s="2510"/>
      <c r="HT21" s="2472"/>
      <c r="HU21" s="2472"/>
      <c r="HV21" s="2472"/>
      <c r="HW21" s="2510"/>
      <c r="HX21" s="2510"/>
      <c r="HY21" s="2510"/>
      <c r="HZ21" s="2510"/>
      <c r="IA21" s="2510"/>
      <c r="IB21" s="2510"/>
      <c r="IC21" s="2510"/>
      <c r="ID21" s="2510"/>
      <c r="IE21" s="2510"/>
      <c r="IF21" s="2510"/>
      <c r="IG21" s="2510"/>
      <c r="IH21" s="2510"/>
      <c r="II21" s="2510"/>
      <c r="IJ21" s="2510"/>
      <c r="IK21" s="2510"/>
      <c r="IL21" s="2510"/>
      <c r="IM21" s="2510"/>
      <c r="IN21" s="2510"/>
      <c r="IO21" s="2511"/>
      <c r="IP21" s="2510"/>
      <c r="IQ21" s="2510"/>
      <c r="IR21" s="2510"/>
      <c r="IS21" s="2510"/>
      <c r="IT21" s="2510"/>
      <c r="IU21" s="2510"/>
      <c r="IV21" s="2510"/>
      <c r="IW21" s="2510"/>
      <c r="IX21" s="2510"/>
      <c r="IY21" s="2510"/>
      <c r="IZ21" s="2510"/>
      <c r="JA21" s="2510"/>
      <c r="JB21" s="2510"/>
      <c r="JC21" s="2510"/>
      <c r="JD21" s="2510"/>
      <c r="JE21" s="2510"/>
      <c r="JF21" s="3728">
        <v>1602</v>
      </c>
      <c r="JG21" s="2479"/>
      <c r="JH21" s="1233"/>
      <c r="JI21" s="2248" t="s">
        <v>8868</v>
      </c>
      <c r="JJ21" s="2248" t="s">
        <v>6108</v>
      </c>
    </row>
    <row r="22" spans="1:270" x14ac:dyDescent="0.2">
      <c r="A22" s="1128">
        <v>21</v>
      </c>
      <c r="B22" s="1347" t="str">
        <f si="1" t="shared"/>
        <v/>
      </c>
      <c r="C22" s="1349" t="s">
        <v>1735</v>
      </c>
      <c r="D22" s="1350" t="s">
        <v>1865</v>
      </c>
      <c r="E22" s="2472"/>
      <c r="F22" s="2472"/>
      <c r="G22" s="2472"/>
      <c r="H22" s="2472"/>
      <c r="I22" s="2472"/>
      <c r="J22" s="2472"/>
      <c r="K22" s="2472"/>
      <c r="L22" s="2472"/>
      <c r="M22" s="2472"/>
      <c r="N22" s="2509"/>
      <c r="O22" s="2509"/>
      <c r="P22" s="2509"/>
      <c r="Q22" s="2509"/>
      <c r="R22" s="2510"/>
      <c r="S22" s="2510"/>
      <c r="T22" s="2510"/>
      <c r="U22" s="2510"/>
      <c r="V22" s="2510"/>
      <c r="W22" s="2510"/>
      <c r="X22" s="2510"/>
      <c r="Y22" s="2510"/>
      <c r="Z22" s="2472"/>
      <c r="AA22" s="2510"/>
      <c r="AB22" s="2510"/>
      <c r="AC22" s="2472"/>
      <c r="AD22" s="2841"/>
      <c r="AE22" s="2841"/>
      <c r="AF22" s="2841"/>
      <c r="AG22" s="2841"/>
      <c r="AH22" s="2841"/>
      <c r="AI22" s="2510"/>
      <c r="AJ22" s="2510"/>
      <c r="AK22" s="2510"/>
      <c r="AL22" s="2510"/>
      <c r="AM22" s="2510"/>
      <c r="AN22" s="2510"/>
      <c r="AO22" s="2472"/>
      <c r="AP22" s="2510"/>
      <c r="AQ22" s="2510"/>
      <c r="AR22" s="2510"/>
      <c r="AS22" s="2510"/>
      <c r="AT22" s="2472"/>
      <c r="AU22" s="2510"/>
      <c r="AV22" s="2472"/>
      <c r="AW22" s="2510"/>
      <c r="AX22" s="2510"/>
      <c r="AY22" s="2510"/>
      <c r="AZ22" s="2510"/>
      <c r="BA22" s="2510"/>
      <c r="BB22" s="2509"/>
      <c r="BC22" s="2510"/>
      <c r="BD22" s="2472"/>
      <c r="BE22" s="2472"/>
      <c r="BF22" s="2510"/>
      <c r="BG22" s="2510"/>
      <c r="BH22" s="2510"/>
      <c r="BI22" s="2510"/>
      <c r="BJ22" s="2510"/>
      <c r="BK22" s="2510"/>
      <c r="BL22" s="2510"/>
      <c r="BM22" s="2510"/>
      <c r="BN22" s="2510"/>
      <c r="BO22" s="2510"/>
      <c r="BP22" s="2510"/>
      <c r="BQ22" s="2510"/>
      <c r="BR22" s="2510"/>
      <c r="BS22" s="2510"/>
      <c r="BT22" s="2510"/>
      <c r="BU22" s="2510"/>
      <c r="BV22" s="2472"/>
      <c r="BW22" s="2510"/>
      <c r="BX22" s="2510"/>
      <c r="BY22" s="2510"/>
      <c r="BZ22" s="2510"/>
      <c r="CA22" s="2510"/>
      <c r="CB22" s="2472"/>
      <c r="CC22" s="2510"/>
      <c r="CD22" s="2510"/>
      <c r="CE22" s="2510"/>
      <c r="CF22" s="2510"/>
      <c r="CG22" s="2510"/>
      <c r="CH22" s="2510"/>
      <c r="CI22" s="2472"/>
      <c r="CJ22" s="2510"/>
      <c r="CK22" s="2510"/>
      <c r="CL22" s="2510"/>
      <c r="CM22" s="2510"/>
      <c r="CN22" s="2510"/>
      <c r="CO22" s="2472"/>
      <c r="CP22" s="2472"/>
      <c r="CQ22" s="2510"/>
      <c r="CR22" s="2510"/>
      <c r="CS22" s="2510"/>
      <c r="CT22" s="2510"/>
      <c r="CU22" s="2510"/>
      <c r="CV22" s="2510"/>
      <c r="CW22" s="2510"/>
      <c r="CX22" s="2510"/>
      <c r="CY22" s="2510"/>
      <c r="CZ22" s="2510"/>
      <c r="DA22" s="2510"/>
      <c r="DB22" s="2510"/>
      <c r="DC22" s="3653">
        <v>777</v>
      </c>
      <c r="DD22" s="2472"/>
      <c r="DE22" s="2510"/>
      <c r="DF22" s="2510"/>
      <c r="DG22" s="2510"/>
      <c r="DH22" s="2510"/>
      <c r="DI22" s="2510"/>
      <c r="DJ22" s="2510"/>
      <c r="DK22" s="2510"/>
      <c r="DL22" s="2510"/>
      <c r="DM22" s="2510"/>
      <c r="DN22" s="2472"/>
      <c r="DO22" s="2472"/>
      <c r="DP22" s="2510"/>
      <c r="DQ22" s="2510"/>
      <c r="DR22" s="2510"/>
      <c r="DS22" s="2510"/>
      <c r="DT22" s="2510"/>
      <c r="DU22" s="2510"/>
      <c r="DV22" s="2510"/>
      <c r="DW22" s="2510"/>
      <c r="DX22" s="2472"/>
      <c r="DY22" s="2510"/>
      <c r="DZ22" s="2510"/>
      <c r="EA22" s="2510"/>
      <c r="EB22" s="2510"/>
      <c r="EC22" s="2510"/>
      <c r="ED22" s="2472"/>
      <c r="EE22" s="2472"/>
      <c r="EF22" s="2510"/>
      <c r="EG22" s="2510"/>
      <c r="EH22" s="2510"/>
      <c r="EI22" s="2510"/>
      <c r="EJ22" s="2510"/>
      <c r="EK22" s="2510"/>
      <c r="EL22" s="2510"/>
      <c r="EM22" s="2510"/>
      <c r="EN22" s="2472"/>
      <c r="EO22" s="2510"/>
      <c r="EP22" s="2510"/>
      <c r="EQ22" s="2510"/>
      <c r="ER22" s="2510"/>
      <c r="ES22" s="2510"/>
      <c r="ET22" s="2510"/>
      <c r="EU22" s="2510"/>
      <c r="EV22" s="2510"/>
      <c r="EW22" s="2510"/>
      <c r="EX22" s="2510"/>
      <c r="EY22" s="2510"/>
      <c r="EZ22" s="2510"/>
      <c r="FA22" s="2510"/>
      <c r="FB22" s="2510"/>
      <c r="FC22" s="2510"/>
      <c r="FD22" s="2510"/>
      <c r="FE22" s="2472"/>
      <c r="FF22" s="2510"/>
      <c r="FG22" s="2472"/>
      <c r="FH22" s="2472"/>
      <c r="FI22" s="2510"/>
      <c r="FJ22" s="2510"/>
      <c r="FK22" s="2510"/>
      <c r="FL22" s="2510"/>
      <c r="FM22" s="2510"/>
      <c r="FN22" s="2510"/>
      <c r="FO22" s="2510"/>
      <c r="FP22" s="3653">
        <v>777</v>
      </c>
      <c r="FQ22" s="2510"/>
      <c r="FR22" s="2510"/>
      <c r="FS22" s="2510"/>
      <c r="FT22" s="2510"/>
      <c r="FU22" s="2510"/>
      <c r="FV22" s="2510"/>
      <c r="FW22" s="2510"/>
      <c r="FX22" s="2510"/>
      <c r="FY22" s="2510"/>
      <c r="FZ22" s="2510"/>
      <c r="GA22" s="2510"/>
      <c r="GB22" s="2510"/>
      <c r="GC22" s="2510"/>
      <c r="GD22" s="2510"/>
      <c r="GE22" s="2510"/>
      <c r="GF22" s="2510"/>
      <c r="GG22" s="2510"/>
      <c r="GH22" s="2510"/>
      <c r="GI22" s="2472"/>
      <c r="GJ22" s="2510"/>
      <c r="GK22" s="2510"/>
      <c r="GL22" s="2510"/>
      <c r="GM22" s="2510"/>
      <c r="GN22" s="2472"/>
      <c r="GO22" s="2472"/>
      <c r="GP22" s="2510"/>
      <c r="GQ22" s="2472"/>
      <c r="GR22" s="2510"/>
      <c r="GS22" s="2510"/>
      <c r="GT22" s="2510"/>
      <c r="GU22" s="2510"/>
      <c r="GV22" s="2510"/>
      <c r="GW22" s="2472"/>
      <c r="GX22" s="2510"/>
      <c r="GY22" s="2510"/>
      <c r="GZ22" s="2510"/>
      <c r="HA22" s="2510"/>
      <c r="HB22" s="2472"/>
      <c r="HC22" s="2510"/>
      <c r="HD22" s="2510"/>
      <c r="HE22" s="2510"/>
      <c r="HF22" s="2510"/>
      <c r="HG22" s="2510"/>
      <c r="HH22" s="2510"/>
      <c r="HI22" s="2510"/>
      <c r="HJ22" s="2510"/>
      <c r="HK22" s="2510"/>
      <c r="HL22" s="2510"/>
      <c r="HM22" s="2510"/>
      <c r="HN22" s="2510"/>
      <c r="HO22" s="2510"/>
      <c r="HP22" s="2510"/>
      <c r="HQ22" s="2510"/>
      <c r="HR22" s="2510"/>
      <c r="HS22" s="2510"/>
      <c r="HT22" s="2472"/>
      <c r="HU22" s="2472"/>
      <c r="HV22" s="2472"/>
      <c r="HW22" s="2510"/>
      <c r="HX22" s="2510"/>
      <c r="HY22" s="2510"/>
      <c r="HZ22" s="2510"/>
      <c r="IA22" s="2510"/>
      <c r="IB22" s="2510"/>
      <c r="IC22" s="2510"/>
      <c r="ID22" s="2510"/>
      <c r="IE22" s="2510"/>
      <c r="IF22" s="2510"/>
      <c r="IG22" s="2510"/>
      <c r="IH22" s="2510"/>
      <c r="II22" s="2510"/>
      <c r="IJ22" s="2510"/>
      <c r="IK22" s="2510"/>
      <c r="IL22" s="2510"/>
      <c r="IM22" s="2510"/>
      <c r="IN22" s="2510"/>
      <c r="IO22" s="2511"/>
      <c r="IP22" s="2510"/>
      <c r="IQ22" s="2510"/>
      <c r="IR22" s="2510"/>
      <c r="IS22" s="2510"/>
      <c r="IT22" s="2510"/>
      <c r="IU22" s="2510"/>
      <c r="IV22" s="2510"/>
      <c r="IW22" s="2510"/>
      <c r="IX22" s="2510"/>
      <c r="IY22" s="2510"/>
      <c r="IZ22" s="2510"/>
      <c r="JA22" s="2510"/>
      <c r="JB22" s="2510"/>
      <c r="JC22" s="2510"/>
      <c r="JD22" s="2510"/>
      <c r="JE22" s="2510"/>
      <c r="JF22" s="3728">
        <v>750</v>
      </c>
      <c r="JG22" s="2479"/>
      <c r="JH22" s="1233"/>
      <c r="JI22" s="2248" t="s">
        <v>8868</v>
      </c>
      <c r="JJ22" s="2248" t="s">
        <v>6127</v>
      </c>
    </row>
    <row ht="67.5" r="23" spans="1:270" x14ac:dyDescent="0.2">
      <c r="A23" s="1128">
        <v>22</v>
      </c>
      <c r="B23" s="1347" t="str">
        <f si="1" t="shared"/>
        <v/>
      </c>
      <c r="C23" s="1349" t="s">
        <v>1736</v>
      </c>
      <c r="D23" s="1126" t="s">
        <v>5457</v>
      </c>
      <c r="E23" s="2512"/>
      <c r="F23" s="2513"/>
      <c r="G23" s="2514"/>
      <c r="H23" s="2513"/>
      <c r="I23" s="2513"/>
      <c r="J23" s="2513"/>
      <c r="K23" s="2513"/>
      <c r="L23" s="2513"/>
      <c r="M23" s="2513">
        <v>13603</v>
      </c>
      <c r="N23" s="2515"/>
      <c r="O23" s="2515"/>
      <c r="P23" s="2515"/>
      <c r="Q23" s="2515"/>
      <c r="R23" s="2516"/>
      <c r="S23" s="2516"/>
      <c r="T23" s="2516"/>
      <c r="U23" s="2516"/>
      <c r="V23" s="2516"/>
      <c r="W23" s="2516"/>
      <c r="X23" s="2516"/>
      <c r="Y23" s="2516"/>
      <c r="Z23" s="2513">
        <v>8620</v>
      </c>
      <c r="AA23" s="2516"/>
      <c r="AB23" s="2516"/>
      <c r="AC23" s="2513">
        <v>14262</v>
      </c>
      <c r="AD23" s="3523"/>
      <c r="AE23" s="3523"/>
      <c r="AF23" s="3523"/>
      <c r="AG23" s="3523"/>
      <c r="AH23" s="3523"/>
      <c r="AI23" s="2516"/>
      <c r="AJ23" s="2516"/>
      <c r="AK23" s="2516"/>
      <c r="AL23" s="2516"/>
      <c r="AM23" s="2516"/>
      <c r="AN23" s="2516"/>
      <c r="AO23" s="2513">
        <v>13603</v>
      </c>
      <c r="AP23" s="2516"/>
      <c r="AQ23" s="2516"/>
      <c r="AR23" s="2516"/>
      <c r="AS23" s="2516"/>
      <c r="AT23" s="2514">
        <f>AT14+AT15+AT16+AT17+AT18+AT19+AT20+AT21+AT22</f>
        <v>38173</v>
      </c>
      <c r="AU23" s="2516"/>
      <c r="AV23" s="2512">
        <v>6365</v>
      </c>
      <c r="AW23" s="2516"/>
      <c r="AX23" s="2516"/>
      <c r="AY23" s="2516"/>
      <c r="AZ23" s="2516"/>
      <c r="BA23" s="2516"/>
      <c r="BB23" s="2515"/>
      <c r="BC23" s="2516"/>
      <c r="BD23" s="2514">
        <f>BD14+BD15+BD16+BD17+BD18+BD19+BD20+BD21+BD22</f>
        <v>38173</v>
      </c>
      <c r="BE23" s="2513">
        <v>8620</v>
      </c>
      <c r="BF23" s="2516"/>
      <c r="BG23" s="2516"/>
      <c r="BH23" s="2516"/>
      <c r="BI23" s="2516"/>
      <c r="BJ23" s="2516"/>
      <c r="BK23" s="2516"/>
      <c r="BL23" s="2516"/>
      <c r="BM23" s="2516"/>
      <c r="BN23" s="2516"/>
      <c r="BO23" s="2516"/>
      <c r="BP23" s="2516"/>
      <c r="BQ23" s="2516"/>
      <c r="BR23" s="2516"/>
      <c r="BS23" s="2516"/>
      <c r="BT23" s="2516"/>
      <c r="BU23" s="2516"/>
      <c r="BV23" s="2513">
        <v>13603</v>
      </c>
      <c r="BW23" s="2516"/>
      <c r="BX23" s="2516"/>
      <c r="BY23" s="2516"/>
      <c r="BZ23" s="2516"/>
      <c r="CA23" s="2516"/>
      <c r="CB23" s="2513">
        <v>13603</v>
      </c>
      <c r="CC23" s="2516"/>
      <c r="CD23" s="2516"/>
      <c r="CE23" s="2516"/>
      <c r="CF23" s="2516"/>
      <c r="CG23" s="2516"/>
      <c r="CH23" s="2516"/>
      <c r="CI23" s="2513">
        <v>14262</v>
      </c>
      <c r="CJ23" s="2516"/>
      <c r="CK23" s="2516"/>
      <c r="CL23" s="2516"/>
      <c r="CM23" s="2516"/>
      <c r="CN23" s="2516"/>
      <c r="CO23" s="2514">
        <f>CO14+CO15+CO16+CO17+CO18+CO19+CO20+CO21+CO22</f>
        <v>38173</v>
      </c>
      <c r="CP23" s="2513">
        <v>13603</v>
      </c>
      <c r="CQ23" s="2516"/>
      <c r="CR23" s="2516"/>
      <c r="CS23" s="2516"/>
      <c r="CT23" s="2516"/>
      <c r="CU23" s="2516"/>
      <c r="CV23" s="2516"/>
      <c r="CW23" s="2516"/>
      <c r="CX23" s="2516"/>
      <c r="CY23" s="2516"/>
      <c r="CZ23" s="2516"/>
      <c r="DA23" s="2516"/>
      <c r="DB23" s="2516"/>
      <c r="DC23" s="3654">
        <f>DC14+DC15+DC16+DC17+DC18+DC19+DC20+DC21+DC22</f>
        <v>57856</v>
      </c>
      <c r="DD23" s="2513">
        <v>8620</v>
      </c>
      <c r="DE23" s="2516"/>
      <c r="DF23" s="2516"/>
      <c r="DG23" s="2516"/>
      <c r="DH23" s="2516"/>
      <c r="DI23" s="2516"/>
      <c r="DJ23" s="2516"/>
      <c r="DK23" s="2516"/>
      <c r="DL23" s="2516"/>
      <c r="DM23" s="2516"/>
      <c r="DN23" s="2513">
        <v>8620</v>
      </c>
      <c r="DO23" s="2514">
        <f>DO14+DO15+DO16+DO17+DO18+DO19+DO20+DO21+DO22</f>
        <v>38173</v>
      </c>
      <c r="DP23" s="2516"/>
      <c r="DQ23" s="2516"/>
      <c r="DR23" s="2516"/>
      <c r="DS23" s="2516"/>
      <c r="DT23" s="2516"/>
      <c r="DU23" s="2516"/>
      <c r="DV23" s="2516"/>
      <c r="DW23" s="2516"/>
      <c r="DX23" s="2513">
        <v>13603</v>
      </c>
      <c r="DY23" s="2516"/>
      <c r="DZ23" s="2516"/>
      <c r="EA23" s="2516"/>
      <c r="EB23" s="2516"/>
      <c r="EC23" s="2516"/>
      <c r="ED23" s="2513">
        <v>6000</v>
      </c>
      <c r="EE23" s="2513">
        <v>12000</v>
      </c>
      <c r="EF23" s="2516"/>
      <c r="EG23" s="2516"/>
      <c r="EH23" s="2516"/>
      <c r="EI23" s="2516"/>
      <c r="EJ23" s="2516"/>
      <c r="EK23" s="2516"/>
      <c r="EL23" s="2516"/>
      <c r="EM23" s="2516"/>
      <c r="EN23" s="2513">
        <v>6000</v>
      </c>
      <c r="EO23" s="2516"/>
      <c r="EP23" s="2516"/>
      <c r="EQ23" s="2516"/>
      <c r="ER23" s="2516"/>
      <c r="ES23" s="2516"/>
      <c r="ET23" s="2516"/>
      <c r="EU23" s="2516"/>
      <c r="EV23" s="2516"/>
      <c r="EW23" s="2516"/>
      <c r="EX23" s="2516"/>
      <c r="EY23" s="2516"/>
      <c r="EZ23" s="2516"/>
      <c r="FA23" s="2516"/>
      <c r="FB23" s="2516"/>
      <c r="FC23" s="2516"/>
      <c r="FD23" s="2516"/>
      <c r="FE23" s="2513">
        <v>13603</v>
      </c>
      <c r="FF23" s="2516"/>
      <c r="FG23" s="2513">
        <v>13603</v>
      </c>
      <c r="FH23" s="2513">
        <v>13603</v>
      </c>
      <c r="FI23" s="2516"/>
      <c r="FJ23" s="2516"/>
      <c r="FK23" s="2516"/>
      <c r="FL23" s="2516"/>
      <c r="FM23" s="2516"/>
      <c r="FN23" s="2516"/>
      <c r="FO23" s="2516"/>
      <c r="FP23" s="3654">
        <f>FP14+FP15+FP16+FP17+FP18+FP19+FP20+FP21+FP22</f>
        <v>71550</v>
      </c>
      <c r="FQ23" s="2516"/>
      <c r="FR23" s="2516"/>
      <c r="FS23" s="2516"/>
      <c r="FT23" s="2516"/>
      <c r="FU23" s="2516"/>
      <c r="FV23" s="2516"/>
      <c r="FW23" s="2516"/>
      <c r="FX23" s="2516"/>
      <c r="FY23" s="2516"/>
      <c r="FZ23" s="2516"/>
      <c r="GA23" s="2516"/>
      <c r="GB23" s="2516"/>
      <c r="GC23" s="2516"/>
      <c r="GD23" s="2516"/>
      <c r="GE23" s="2516"/>
      <c r="GF23" s="2516"/>
      <c r="GG23" s="2516"/>
      <c r="GH23" s="2516"/>
      <c r="GI23" s="2513">
        <v>13603</v>
      </c>
      <c r="GJ23" s="2516"/>
      <c r="GK23" s="2516"/>
      <c r="GL23" s="2516"/>
      <c r="GM23" s="2516"/>
      <c r="GN23" s="2513">
        <v>8620</v>
      </c>
      <c r="GO23" s="2512">
        <v>6365</v>
      </c>
      <c r="GP23" s="2516"/>
      <c r="GQ23" s="2512">
        <v>6365</v>
      </c>
      <c r="GR23" s="2516"/>
      <c r="GS23" s="2516"/>
      <c r="GT23" s="2516"/>
      <c r="GU23" s="2516"/>
      <c r="GV23" s="2516"/>
      <c r="GW23" s="2513">
        <v>8620</v>
      </c>
      <c r="GX23" s="2516"/>
      <c r="GY23" s="2516"/>
      <c r="GZ23" s="2516"/>
      <c r="HA23" s="2516"/>
      <c r="HB23" s="2514">
        <f>HB14+HB15+HB16+HB17+HB18+HB19+HB20+HB21+HB22</f>
        <v>38173</v>
      </c>
      <c r="HC23" s="2516"/>
      <c r="HD23" s="2516"/>
      <c r="HE23" s="2516"/>
      <c r="HF23" s="2516"/>
      <c r="HG23" s="2516"/>
      <c r="HH23" s="2516"/>
      <c r="HI23" s="2516"/>
      <c r="HJ23" s="2516"/>
      <c r="HK23" s="2516"/>
      <c r="HL23" s="2516"/>
      <c r="HM23" s="2516"/>
      <c r="HN23" s="2516"/>
      <c r="HO23" s="2516"/>
      <c r="HP23" s="2516"/>
      <c r="HQ23" s="2516"/>
      <c r="HR23" s="2516"/>
      <c r="HS23" s="2516"/>
      <c r="HT23" s="2513">
        <v>13603</v>
      </c>
      <c r="HU23" s="2513">
        <v>8620</v>
      </c>
      <c r="HV23" s="2513">
        <v>13603</v>
      </c>
      <c r="HW23" s="2516"/>
      <c r="HX23" s="2516"/>
      <c r="HY23" s="2516"/>
      <c r="HZ23" s="2516"/>
      <c r="IA23" s="2516"/>
      <c r="IB23" s="2516"/>
      <c r="IC23" s="2516"/>
      <c r="ID23" s="2516"/>
      <c r="IE23" s="2516"/>
      <c r="IF23" s="2516"/>
      <c r="IG23" s="2516"/>
      <c r="IH23" s="2516"/>
      <c r="II23" s="2516"/>
      <c r="IJ23" s="2516"/>
      <c r="IK23" s="2516"/>
      <c r="IL23" s="2516"/>
      <c r="IM23" s="2516"/>
      <c r="IN23" s="2516"/>
      <c r="IO23" s="2513">
        <v>1526</v>
      </c>
      <c r="IP23" s="2516"/>
      <c r="IQ23" s="2516"/>
      <c r="IR23" s="2516"/>
      <c r="IS23" s="2516"/>
      <c r="IT23" s="2516"/>
      <c r="IU23" s="2516"/>
      <c r="IV23" s="2516"/>
      <c r="IW23" s="2516"/>
      <c r="IX23" s="2516"/>
      <c r="IY23" s="2516"/>
      <c r="IZ23" s="2516"/>
      <c r="JA23" s="2516"/>
      <c r="JB23" s="2516"/>
      <c r="JC23" s="2516"/>
      <c r="JD23" s="2516"/>
      <c r="JE23" s="2516"/>
      <c r="JF23" s="3868">
        <f>JF14+JF15+JF16+JF17+JF18+JF19+JF20+JF21+JF22</f>
        <v>99958</v>
      </c>
      <c r="JG23" s="2517"/>
      <c r="JH23" s="1233"/>
      <c r="JI23" s="2248" t="s">
        <v>8869</v>
      </c>
      <c r="JJ23" s="2248" t="s">
        <v>6128</v>
      </c>
    </row>
    <row ht="45" r="24" spans="1:270" x14ac:dyDescent="0.2">
      <c r="A24" s="1128">
        <v>23</v>
      </c>
      <c r="B24" s="1347" t="str">
        <f si="1" t="shared"/>
        <v/>
      </c>
      <c r="C24" s="1349" t="s">
        <v>3998</v>
      </c>
      <c r="D24" s="1350" t="s">
        <v>5458</v>
      </c>
      <c r="E24" s="2514"/>
      <c r="F24" s="2514"/>
      <c r="G24" s="2514"/>
      <c r="H24" s="2514"/>
      <c r="I24" s="2514"/>
      <c r="J24" s="2514"/>
      <c r="K24" s="2514"/>
      <c r="L24" s="2514"/>
      <c r="M24" s="2514">
        <f>MAX(0,M11+M13-M23)</f>
        <v>957</v>
      </c>
      <c r="N24" s="2515"/>
      <c r="O24" s="2515"/>
      <c r="P24" s="2515"/>
      <c r="Q24" s="2515"/>
      <c r="R24" s="2516"/>
      <c r="S24" s="2516"/>
      <c r="T24" s="2516"/>
      <c r="U24" s="2516"/>
      <c r="V24" s="2516"/>
      <c r="W24" s="2516"/>
      <c r="X24" s="2516"/>
      <c r="Y24" s="2516"/>
      <c r="Z24" s="2514">
        <f>MAX(0,Z11+Z13-Z23)</f>
        <v>23875</v>
      </c>
      <c r="AA24" s="2516"/>
      <c r="AB24" s="2516"/>
      <c r="AC24" s="2514">
        <f>MAX(0,AC11+AC13-AC23)</f>
        <v>3733</v>
      </c>
      <c r="AD24" s="2539"/>
      <c r="AE24" s="2539"/>
      <c r="AF24" s="2539"/>
      <c r="AG24" s="2539"/>
      <c r="AH24" s="2539"/>
      <c r="AI24" s="2516"/>
      <c r="AJ24" s="2516"/>
      <c r="AK24" s="2516"/>
      <c r="AL24" s="2516"/>
      <c r="AM24" s="2516"/>
      <c r="AN24" s="2516"/>
      <c r="AO24" s="2514">
        <f>MAX(0,AO11+AO13-AO23)</f>
        <v>957</v>
      </c>
      <c r="AP24" s="2516"/>
      <c r="AQ24" s="2516"/>
      <c r="AR24" s="2516"/>
      <c r="AS24" s="2516"/>
      <c r="AT24" s="2514">
        <f>MAX(0,AT11+AT13-AT23)</f>
        <v>0</v>
      </c>
      <c r="AU24" s="2516"/>
      <c r="AV24" s="2514">
        <f>MAX(0,AV11+AV13-AV23)</f>
        <v>53100</v>
      </c>
      <c r="AW24" s="2516"/>
      <c r="AX24" s="2516"/>
      <c r="AY24" s="2516"/>
      <c r="AZ24" s="2516"/>
      <c r="BA24" s="2516"/>
      <c r="BB24" s="2515"/>
      <c r="BC24" s="2516"/>
      <c r="BD24" s="2514">
        <f>MAX(0,BD11+BD13-BD23)</f>
        <v>0</v>
      </c>
      <c r="BE24" s="2514">
        <f>MAX(0,BE11+BE13-BE23)</f>
        <v>7500</v>
      </c>
      <c r="BF24" s="2516"/>
      <c r="BG24" s="2516"/>
      <c r="BH24" s="2516"/>
      <c r="BI24" s="2516"/>
      <c r="BJ24" s="2516"/>
      <c r="BK24" s="2516"/>
      <c r="BL24" s="2516"/>
      <c r="BM24" s="2516"/>
      <c r="BN24" s="2516"/>
      <c r="BO24" s="2516"/>
      <c r="BP24" s="2516"/>
      <c r="BQ24" s="2516"/>
      <c r="BR24" s="2516"/>
      <c r="BS24" s="2516"/>
      <c r="BT24" s="2516"/>
      <c r="BU24" s="2516"/>
      <c r="BV24" s="2514">
        <f>MAX(0,BV11+BV13-BV23)</f>
        <v>957</v>
      </c>
      <c r="BW24" s="2516"/>
      <c r="BX24" s="2516"/>
      <c r="BY24" s="2516"/>
      <c r="BZ24" s="2516"/>
      <c r="CA24" s="2516"/>
      <c r="CB24" s="2514">
        <f>MAX(0,CB11+CB13-CB23)</f>
        <v>957</v>
      </c>
      <c r="CC24" s="2516"/>
      <c r="CD24" s="2516"/>
      <c r="CE24" s="2516"/>
      <c r="CF24" s="2516"/>
      <c r="CG24" s="2516"/>
      <c r="CH24" s="2516"/>
      <c r="CI24" s="2514">
        <f>MAX(0,CI11+CI13-CI23)</f>
        <v>3733</v>
      </c>
      <c r="CJ24" s="2516"/>
      <c r="CK24" s="2516"/>
      <c r="CL24" s="2516"/>
      <c r="CM24" s="2516"/>
      <c r="CN24" s="2516"/>
      <c r="CO24" s="2514">
        <f>MAX(0,CO11+CO13-CO23)</f>
        <v>0</v>
      </c>
      <c r="CP24" s="2514">
        <f>MAX(0,CP11+CP13-CP23)</f>
        <v>957</v>
      </c>
      <c r="CQ24" s="2516"/>
      <c r="CR24" s="2516"/>
      <c r="CS24" s="2516"/>
      <c r="CT24" s="2516"/>
      <c r="CU24" s="2516"/>
      <c r="CV24" s="2516"/>
      <c r="CW24" s="2516"/>
      <c r="CX24" s="2516"/>
      <c r="CY24" s="2516"/>
      <c r="CZ24" s="2516"/>
      <c r="DA24" s="2516"/>
      <c r="DB24" s="2516"/>
      <c r="DC24" s="3654">
        <f>MAX(0,DC11+DC13-DC23)</f>
        <v>0</v>
      </c>
      <c r="DD24" s="2514">
        <f>MAX(0,DD11+DD13-DD23)</f>
        <v>23875</v>
      </c>
      <c r="DE24" s="2516"/>
      <c r="DF24" s="2516"/>
      <c r="DG24" s="2516"/>
      <c r="DH24" s="2516"/>
      <c r="DI24" s="2516"/>
      <c r="DJ24" s="2516"/>
      <c r="DK24" s="2516"/>
      <c r="DL24" s="2516"/>
      <c r="DM24" s="2516"/>
      <c r="DN24" s="2514">
        <f>MAX(0,DN11+DN13-DN23)</f>
        <v>23875</v>
      </c>
      <c r="DO24" s="2514">
        <f>MAX(0,DO11+DO13-DO23)</f>
        <v>0</v>
      </c>
      <c r="DP24" s="2516"/>
      <c r="DQ24" s="2516"/>
      <c r="DR24" s="2516"/>
      <c r="DS24" s="2516"/>
      <c r="DT24" s="2516"/>
      <c r="DU24" s="2516"/>
      <c r="DV24" s="2516"/>
      <c r="DW24" s="2516"/>
      <c r="DX24" s="2514">
        <f>MAX(0,DX11+DX13-DX23)</f>
        <v>957</v>
      </c>
      <c r="DY24" s="2516"/>
      <c r="DZ24" s="2516"/>
      <c r="EA24" s="2516"/>
      <c r="EB24" s="2516"/>
      <c r="EC24" s="2516"/>
      <c r="ED24" s="2514">
        <f>MAX(0,ED11+ED13-ED23)</f>
        <v>4000</v>
      </c>
      <c r="EE24" s="2514">
        <f>MAX(0,EE11+EE13-EE23)</f>
        <v>0</v>
      </c>
      <c r="EF24" s="2516"/>
      <c r="EG24" s="2516"/>
      <c r="EH24" s="2516"/>
      <c r="EI24" s="2516"/>
      <c r="EJ24" s="2516"/>
      <c r="EK24" s="2516"/>
      <c r="EL24" s="2516"/>
      <c r="EM24" s="2516"/>
      <c r="EN24" s="2514">
        <f>MAX(0,EN11+EN13-EN23)</f>
        <v>4000</v>
      </c>
      <c r="EO24" s="2516"/>
      <c r="EP24" s="2516"/>
      <c r="EQ24" s="2516"/>
      <c r="ER24" s="2516"/>
      <c r="ES24" s="2516"/>
      <c r="ET24" s="2516"/>
      <c r="EU24" s="2516"/>
      <c r="EV24" s="2516"/>
      <c r="EW24" s="2516"/>
      <c r="EX24" s="2516"/>
      <c r="EY24" s="2516"/>
      <c r="EZ24" s="2516"/>
      <c r="FA24" s="2516"/>
      <c r="FB24" s="2516"/>
      <c r="FC24" s="2516"/>
      <c r="FD24" s="2516"/>
      <c r="FE24" s="2514">
        <f>MAX(0,FE11+FE13-FE23)</f>
        <v>957</v>
      </c>
      <c r="FF24" s="2516"/>
      <c r="FG24" s="2514">
        <f>MAX(0,FG11+FG13-FG23)</f>
        <v>957</v>
      </c>
      <c r="FH24" s="2514">
        <f>MAX(0,FH11+FH13-FH23)</f>
        <v>957</v>
      </c>
      <c r="FI24" s="2516"/>
      <c r="FJ24" s="2516"/>
      <c r="FK24" s="2516"/>
      <c r="FL24" s="2516"/>
      <c r="FM24" s="2516"/>
      <c r="FN24" s="2516"/>
      <c r="FO24" s="2516"/>
      <c r="FP24" s="3654">
        <f>MAX(0,FP11+FP13-FP23)</f>
        <v>0</v>
      </c>
      <c r="FQ24" s="2516"/>
      <c r="FR24" s="2516"/>
      <c r="FS24" s="2516"/>
      <c r="FT24" s="2516"/>
      <c r="FU24" s="2516"/>
      <c r="FV24" s="2516"/>
      <c r="FW24" s="2516"/>
      <c r="FX24" s="2516"/>
      <c r="FY24" s="2516"/>
      <c r="FZ24" s="2516"/>
      <c r="GA24" s="2516"/>
      <c r="GB24" s="2516"/>
      <c r="GC24" s="2516"/>
      <c r="GD24" s="2516"/>
      <c r="GE24" s="2516"/>
      <c r="GF24" s="2516"/>
      <c r="GG24" s="2516"/>
      <c r="GH24" s="2516"/>
      <c r="GI24" s="2514">
        <f>MAX(0,GI11+GI13-GI23)</f>
        <v>957</v>
      </c>
      <c r="GJ24" s="2516"/>
      <c r="GK24" s="2516"/>
      <c r="GL24" s="2516"/>
      <c r="GM24" s="2516"/>
      <c r="GN24" s="2514">
        <f>MAX(0,GN11+GN13-GN23)</f>
        <v>23875</v>
      </c>
      <c r="GO24" s="2514">
        <f>MAX(0,GO11+GO13-GO23)</f>
        <v>53100</v>
      </c>
      <c r="GP24" s="2516"/>
      <c r="GQ24" s="2514">
        <f>MAX(0,GQ11+GQ13-GQ23)</f>
        <v>53100</v>
      </c>
      <c r="GR24" s="2516"/>
      <c r="GS24" s="2516"/>
      <c r="GT24" s="2516"/>
      <c r="GU24" s="2516"/>
      <c r="GV24" s="2516"/>
      <c r="GW24" s="2514">
        <f>MAX(0,GW11+GW13-GW23)</f>
        <v>23875</v>
      </c>
      <c r="GX24" s="2516"/>
      <c r="GY24" s="2516"/>
      <c r="GZ24" s="2516"/>
      <c r="HA24" s="2516"/>
      <c r="HB24" s="2514">
        <f>MAX(0,HB11+HB13-HB23)</f>
        <v>0</v>
      </c>
      <c r="HC24" s="2516"/>
      <c r="HD24" s="2516"/>
      <c r="HE24" s="2516"/>
      <c r="HF24" s="2516"/>
      <c r="HG24" s="2516"/>
      <c r="HH24" s="2516"/>
      <c r="HI24" s="2516"/>
      <c r="HJ24" s="2516"/>
      <c r="HK24" s="2516"/>
      <c r="HL24" s="2516"/>
      <c r="HM24" s="2516"/>
      <c r="HN24" s="2516"/>
      <c r="HO24" s="2516"/>
      <c r="HP24" s="2516"/>
      <c r="HQ24" s="2516"/>
      <c r="HR24" s="2516"/>
      <c r="HS24" s="2516"/>
      <c r="HT24" s="2514">
        <f>MAX(0,HT11+HT13-HT23)</f>
        <v>957</v>
      </c>
      <c r="HU24" s="2514">
        <f>MAX(0,HU11+HU13-HU23)</f>
        <v>23875</v>
      </c>
      <c r="HV24" s="2514">
        <f>MAX(0,HV11+HV13-HV23)</f>
        <v>957</v>
      </c>
      <c r="HW24" s="2516"/>
      <c r="HX24" s="2516"/>
      <c r="HY24" s="2516"/>
      <c r="HZ24" s="2516"/>
      <c r="IA24" s="2516"/>
      <c r="IB24" s="2516"/>
      <c r="IC24" s="2516"/>
      <c r="ID24" s="2516"/>
      <c r="IE24" s="2516"/>
      <c r="IF24" s="2516"/>
      <c r="IG24" s="2516"/>
      <c r="IH24" s="2516"/>
      <c r="II24" s="2516"/>
      <c r="IJ24" s="2516"/>
      <c r="IK24" s="2516"/>
      <c r="IL24" s="2516"/>
      <c r="IM24" s="2516"/>
      <c r="IN24" s="2516"/>
      <c r="IO24" s="2514">
        <f>MAX(0,IO12+IO13-IO23)</f>
        <v>0</v>
      </c>
      <c r="IP24" s="2516"/>
      <c r="IQ24" s="2516"/>
      <c r="IR24" s="2516"/>
      <c r="IS24" s="2516"/>
      <c r="IT24" s="2516"/>
      <c r="IU24" s="2516"/>
      <c r="IV24" s="2516"/>
      <c r="IW24" s="2516"/>
      <c r="IX24" s="2516"/>
      <c r="IY24" s="2516"/>
      <c r="IZ24" s="2516"/>
      <c r="JA24" s="2516"/>
      <c r="JB24" s="2516"/>
      <c r="JC24" s="2516"/>
      <c r="JD24" s="2516"/>
      <c r="JE24" s="2516"/>
      <c r="JF24" s="3868">
        <f>MAX(0,JF11+JF13-JF23)</f>
        <v>1300020</v>
      </c>
      <c r="JG24" s="2517"/>
      <c r="JH24" s="1233"/>
      <c r="JI24" s="2248" t="s">
        <v>8870</v>
      </c>
      <c r="JJ24" s="2248" t="s">
        <v>6124</v>
      </c>
    </row>
    <row ht="56.25" r="25" spans="1:270" x14ac:dyDescent="0.2">
      <c r="A25" s="1128">
        <v>24</v>
      </c>
      <c r="B25" s="1347" t="str">
        <f si="1" t="shared"/>
        <v/>
      </c>
      <c r="C25" s="1349" t="s">
        <v>3999</v>
      </c>
      <c r="D25" s="1350" t="s">
        <v>5459</v>
      </c>
      <c r="E25" s="2514"/>
      <c r="F25" s="2514"/>
      <c r="G25" s="2514"/>
      <c r="H25" s="2514"/>
      <c r="I25" s="2514"/>
      <c r="J25" s="2514"/>
      <c r="K25" s="2514"/>
      <c r="L25" s="2514"/>
      <c r="M25" s="2514">
        <f>MAX(0,M23-(M11+M13))</f>
        <v>0</v>
      </c>
      <c r="N25" s="2515"/>
      <c r="O25" s="2515"/>
      <c r="P25" s="2515"/>
      <c r="Q25" s="2515"/>
      <c r="R25" s="2516"/>
      <c r="S25" s="2516"/>
      <c r="T25" s="2516"/>
      <c r="U25" s="2516"/>
      <c r="V25" s="2516"/>
      <c r="W25" s="2516"/>
      <c r="X25" s="2516"/>
      <c r="Y25" s="2516"/>
      <c r="Z25" s="2514">
        <f>MAX(0,Z23-(Z11+Z13))</f>
        <v>0</v>
      </c>
      <c r="AA25" s="2516"/>
      <c r="AB25" s="2516"/>
      <c r="AC25" s="2514">
        <f>MAX(0,AC23-(AC11+AC13))</f>
        <v>0</v>
      </c>
      <c r="AD25" s="2539"/>
      <c r="AE25" s="2539"/>
      <c r="AF25" s="2539"/>
      <c r="AG25" s="2539"/>
      <c r="AH25" s="2539"/>
      <c r="AI25" s="2516"/>
      <c r="AJ25" s="2516"/>
      <c r="AK25" s="2516"/>
      <c r="AL25" s="2516"/>
      <c r="AM25" s="2516"/>
      <c r="AN25" s="2516"/>
      <c r="AO25" s="2514">
        <f>MAX(0,AO23-(AO11+AO13))</f>
        <v>0</v>
      </c>
      <c r="AP25" s="2516"/>
      <c r="AQ25" s="2516"/>
      <c r="AR25" s="2516"/>
      <c r="AS25" s="2516"/>
      <c r="AT25" s="2514">
        <f>MAX(0,AT23-(AT11+AT13))</f>
        <v>10530</v>
      </c>
      <c r="AU25" s="2516"/>
      <c r="AV25" s="2514">
        <f>MAX(0,AV23-(AV11+AV13))</f>
        <v>0</v>
      </c>
      <c r="AW25" s="2516"/>
      <c r="AX25" s="2516"/>
      <c r="AY25" s="2516"/>
      <c r="AZ25" s="2516"/>
      <c r="BA25" s="2516"/>
      <c r="BB25" s="2515"/>
      <c r="BC25" s="2516"/>
      <c r="BD25" s="2514">
        <f>MAX(0,BD23-(BD11+BD13))</f>
        <v>10530</v>
      </c>
      <c r="BE25" s="2514">
        <f>MAX(0,BE23-(BE11+BE13))</f>
        <v>0</v>
      </c>
      <c r="BF25" s="2516"/>
      <c r="BG25" s="2516"/>
      <c r="BH25" s="2516"/>
      <c r="BI25" s="2516"/>
      <c r="BJ25" s="2516"/>
      <c r="BK25" s="2516"/>
      <c r="BL25" s="2516"/>
      <c r="BM25" s="2516"/>
      <c r="BN25" s="2516"/>
      <c r="BO25" s="2516"/>
      <c r="BP25" s="2516"/>
      <c r="BQ25" s="2516"/>
      <c r="BR25" s="2516"/>
      <c r="BS25" s="2516"/>
      <c r="BT25" s="2516"/>
      <c r="BU25" s="2516"/>
      <c r="BV25" s="2514">
        <f>MAX(0,BV23-(BV11+BV13))</f>
        <v>0</v>
      </c>
      <c r="BW25" s="2516"/>
      <c r="BX25" s="2516"/>
      <c r="BY25" s="2516"/>
      <c r="BZ25" s="2516"/>
      <c r="CA25" s="2516"/>
      <c r="CB25" s="2514">
        <f>MAX(0,CB23-(CB11+CB13))</f>
        <v>0</v>
      </c>
      <c r="CC25" s="2516"/>
      <c r="CD25" s="2516"/>
      <c r="CE25" s="2516"/>
      <c r="CF25" s="2516"/>
      <c r="CG25" s="2516"/>
      <c r="CH25" s="2516"/>
      <c r="CI25" s="2514">
        <f>MAX(0,CI23-(CI11+CI13))</f>
        <v>0</v>
      </c>
      <c r="CJ25" s="2516"/>
      <c r="CK25" s="2516"/>
      <c r="CL25" s="2516"/>
      <c r="CM25" s="2516"/>
      <c r="CN25" s="2516"/>
      <c r="CO25" s="2514">
        <f>MAX(0,CO23-(CO11+CO13))</f>
        <v>10530</v>
      </c>
      <c r="CP25" s="2514">
        <f>MAX(0,CP23-(CP11+CP13))</f>
        <v>0</v>
      </c>
      <c r="CQ25" s="2516"/>
      <c r="CR25" s="2516"/>
      <c r="CS25" s="2516"/>
      <c r="CT25" s="2516"/>
      <c r="CU25" s="2516"/>
      <c r="CV25" s="2516"/>
      <c r="CW25" s="2516"/>
      <c r="CX25" s="2516"/>
      <c r="CY25" s="2516"/>
      <c r="CZ25" s="2516"/>
      <c r="DA25" s="2516"/>
      <c r="DB25" s="2516"/>
      <c r="DC25" s="3654">
        <f>MAX(0,DC23-(DC11+DC13))</f>
        <v>28845</v>
      </c>
      <c r="DD25" s="2514">
        <f>MAX(0,DD23-(DD11+DD13))</f>
        <v>0</v>
      </c>
      <c r="DE25" s="2516"/>
      <c r="DF25" s="2516"/>
      <c r="DG25" s="2516"/>
      <c r="DH25" s="2516"/>
      <c r="DI25" s="2516"/>
      <c r="DJ25" s="2516"/>
      <c r="DK25" s="2516"/>
      <c r="DL25" s="2516"/>
      <c r="DM25" s="2516"/>
      <c r="DN25" s="2514">
        <f>MAX(0,DN23-(DN11+DN13))</f>
        <v>0</v>
      </c>
      <c r="DO25" s="2514">
        <f>MAX(0,DO23-(DO11+DO13))</f>
        <v>10530</v>
      </c>
      <c r="DP25" s="2516"/>
      <c r="DQ25" s="2516"/>
      <c r="DR25" s="2516"/>
      <c r="DS25" s="2516"/>
      <c r="DT25" s="2516"/>
      <c r="DU25" s="2516"/>
      <c r="DV25" s="2516"/>
      <c r="DW25" s="2516"/>
      <c r="DX25" s="2514">
        <f>MAX(0,DX23-(DX11+DX13))</f>
        <v>0</v>
      </c>
      <c r="DY25" s="2516"/>
      <c r="DZ25" s="2516"/>
      <c r="EA25" s="2516"/>
      <c r="EB25" s="2516"/>
      <c r="EC25" s="2516"/>
      <c r="ED25" s="2514">
        <f>MAX(0,ED23-(ED11+ED13))</f>
        <v>0</v>
      </c>
      <c r="EE25" s="2514">
        <f>MAX(0,EE23-(EE11+EE13))</f>
        <v>7000</v>
      </c>
      <c r="EF25" s="2516"/>
      <c r="EG25" s="2516"/>
      <c r="EH25" s="2516"/>
      <c r="EI25" s="2516"/>
      <c r="EJ25" s="2516"/>
      <c r="EK25" s="2516"/>
      <c r="EL25" s="2516"/>
      <c r="EM25" s="2516"/>
      <c r="EN25" s="2514">
        <f>MAX(0,EN23-(EN11+EN13))</f>
        <v>0</v>
      </c>
      <c r="EO25" s="2516"/>
      <c r="EP25" s="2516"/>
      <c r="EQ25" s="2516"/>
      <c r="ER25" s="2516"/>
      <c r="ES25" s="2516"/>
      <c r="ET25" s="2516"/>
      <c r="EU25" s="2516"/>
      <c r="EV25" s="2516"/>
      <c r="EW25" s="2516"/>
      <c r="EX25" s="2516"/>
      <c r="EY25" s="2516"/>
      <c r="EZ25" s="2516"/>
      <c r="FA25" s="2516"/>
      <c r="FB25" s="2516"/>
      <c r="FC25" s="2516"/>
      <c r="FD25" s="2516"/>
      <c r="FE25" s="2514">
        <f>MAX(0,FE23-(FE11+FE13))</f>
        <v>0</v>
      </c>
      <c r="FF25" s="2516"/>
      <c r="FG25" s="2514">
        <f>MAX(0,FG23-(FG11+FG13))</f>
        <v>0</v>
      </c>
      <c r="FH25" s="2514">
        <f>MAX(0,FH23-(FH11+FH13))</f>
        <v>0</v>
      </c>
      <c r="FI25" s="2516"/>
      <c r="FJ25" s="2516"/>
      <c r="FK25" s="2516"/>
      <c r="FL25" s="2516"/>
      <c r="FM25" s="2516"/>
      <c r="FN25" s="2516"/>
      <c r="FO25" s="2516"/>
      <c r="FP25" s="3654">
        <f>MAX(0,FP23-(FP11+FP13))</f>
        <v>43907</v>
      </c>
      <c r="FQ25" s="2516"/>
      <c r="FR25" s="2516"/>
      <c r="FS25" s="2516"/>
      <c r="FT25" s="2516"/>
      <c r="FU25" s="2516"/>
      <c r="FV25" s="2516"/>
      <c r="FW25" s="2516"/>
      <c r="FX25" s="2516"/>
      <c r="FY25" s="2516"/>
      <c r="FZ25" s="2516"/>
      <c r="GA25" s="2516"/>
      <c r="GB25" s="2516"/>
      <c r="GC25" s="2516"/>
      <c r="GD25" s="2516"/>
      <c r="GE25" s="2516"/>
      <c r="GF25" s="2516"/>
      <c r="GG25" s="2516"/>
      <c r="GH25" s="2516"/>
      <c r="GI25" s="2514">
        <f>MAX(0,GI23-(GI11+GI13))</f>
        <v>0</v>
      </c>
      <c r="GJ25" s="2516"/>
      <c r="GK25" s="2516"/>
      <c r="GL25" s="2516"/>
      <c r="GM25" s="2516"/>
      <c r="GN25" s="2514">
        <f>MAX(0,GN23-(GN11+GN13))</f>
        <v>0</v>
      </c>
      <c r="GO25" s="2514">
        <f>MAX(0,GO23-(GO11+GO13))</f>
        <v>0</v>
      </c>
      <c r="GP25" s="2516"/>
      <c r="GQ25" s="2514">
        <f>MAX(0,GQ23-(GQ11+GQ13))</f>
        <v>0</v>
      </c>
      <c r="GR25" s="2516"/>
      <c r="GS25" s="2516"/>
      <c r="GT25" s="2516"/>
      <c r="GU25" s="2516"/>
      <c r="GV25" s="2516"/>
      <c r="GW25" s="2514">
        <f>MAX(0,GW23-(GW11+GW13))</f>
        <v>0</v>
      </c>
      <c r="GX25" s="2516"/>
      <c r="GY25" s="2516"/>
      <c r="GZ25" s="2516"/>
      <c r="HA25" s="2516"/>
      <c r="HB25" s="2514">
        <f>MAX(0,HB23-(HB11+HB13))</f>
        <v>10530</v>
      </c>
      <c r="HC25" s="2516"/>
      <c r="HD25" s="2516"/>
      <c r="HE25" s="2516"/>
      <c r="HF25" s="2516"/>
      <c r="HG25" s="2516"/>
      <c r="HH25" s="2516"/>
      <c r="HI25" s="2516"/>
      <c r="HJ25" s="2516"/>
      <c r="HK25" s="2516"/>
      <c r="HL25" s="2516"/>
      <c r="HM25" s="2516"/>
      <c r="HN25" s="2516"/>
      <c r="HO25" s="2516"/>
      <c r="HP25" s="2516"/>
      <c r="HQ25" s="2516"/>
      <c r="HR25" s="2516"/>
      <c r="HS25" s="2516"/>
      <c r="HT25" s="2514">
        <f>MAX(0,HT23-(HT11+HT13))</f>
        <v>0</v>
      </c>
      <c r="HU25" s="2514">
        <f>MAX(0,HU23-(HU11+HU13))</f>
        <v>0</v>
      </c>
      <c r="HV25" s="2514">
        <f>MAX(0,HV23-(HV11+HV13))</f>
        <v>0</v>
      </c>
      <c r="HW25" s="2516"/>
      <c r="HX25" s="2516"/>
      <c r="HY25" s="2516"/>
      <c r="HZ25" s="2516"/>
      <c r="IA25" s="2516"/>
      <c r="IB25" s="2516"/>
      <c r="IC25" s="2516"/>
      <c r="ID25" s="2516"/>
      <c r="IE25" s="2516"/>
      <c r="IF25" s="2516"/>
      <c r="IG25" s="2516"/>
      <c r="IH25" s="2516"/>
      <c r="II25" s="2516"/>
      <c r="IJ25" s="2516"/>
      <c r="IK25" s="2516"/>
      <c r="IL25" s="2516"/>
      <c r="IM25" s="2516"/>
      <c r="IN25" s="2516"/>
      <c r="IO25" s="2514">
        <f>MAX(0,IO23-(IO12+IO13))</f>
        <v>1526</v>
      </c>
      <c r="IP25" s="2516"/>
      <c r="IQ25" s="2516"/>
      <c r="IR25" s="2516"/>
      <c r="IS25" s="2516"/>
      <c r="IT25" s="2516"/>
      <c r="IU25" s="2516"/>
      <c r="IV25" s="2516"/>
      <c r="IW25" s="2516"/>
      <c r="IX25" s="2516"/>
      <c r="IY25" s="2516"/>
      <c r="IZ25" s="2516"/>
      <c r="JA25" s="2516"/>
      <c r="JB25" s="2516"/>
      <c r="JC25" s="2516"/>
      <c r="JD25" s="2516"/>
      <c r="JE25" s="2516"/>
      <c r="JF25" s="3868">
        <f>MAX(0,JF23-(JF11+JF13))</f>
        <v>0</v>
      </c>
      <c r="JG25" s="2517"/>
      <c r="JH25" s="1233"/>
      <c r="JI25" s="2248" t="s">
        <v>8871</v>
      </c>
      <c r="JJ25" s="2248" t="s">
        <v>6124</v>
      </c>
    </row>
    <row ht="33.75" r="26" spans="1:270" x14ac:dyDescent="0.2">
      <c r="A26" s="1128">
        <v>25</v>
      </c>
      <c r="B26" s="1347" t="str">
        <f si="1" t="shared"/>
        <v/>
      </c>
      <c r="C26" s="1349" t="s">
        <v>4000</v>
      </c>
      <c r="D26" s="1350" t="s">
        <v>5460</v>
      </c>
      <c r="E26" s="2472"/>
      <c r="F26" s="2472"/>
      <c r="G26" s="2472"/>
      <c r="H26" s="2472"/>
      <c r="I26" s="2472"/>
      <c r="J26" s="2472"/>
      <c r="K26" s="2472"/>
      <c r="L26" s="2472"/>
      <c r="M26" s="2472"/>
      <c r="N26" s="2509"/>
      <c r="O26" s="2509"/>
      <c r="P26" s="2509"/>
      <c r="Q26" s="2509"/>
      <c r="R26" s="2510"/>
      <c r="S26" s="2510"/>
      <c r="T26" s="2510"/>
      <c r="U26" s="2510"/>
      <c r="V26" s="2510"/>
      <c r="W26" s="2510"/>
      <c r="X26" s="2510"/>
      <c r="Y26" s="2510"/>
      <c r="Z26" s="2472">
        <v>1200</v>
      </c>
      <c r="AA26" s="2510"/>
      <c r="AB26" s="2510"/>
      <c r="AC26" s="2472">
        <v>1500</v>
      </c>
      <c r="AD26" s="2841"/>
      <c r="AE26" s="2841"/>
      <c r="AF26" s="2841"/>
      <c r="AG26" s="2841"/>
      <c r="AH26" s="2841"/>
      <c r="AI26" s="2510"/>
      <c r="AJ26" s="2510"/>
      <c r="AK26" s="2510"/>
      <c r="AL26" s="2510"/>
      <c r="AM26" s="2510"/>
      <c r="AN26" s="2510"/>
      <c r="AO26" s="2472"/>
      <c r="AP26" s="2510"/>
      <c r="AQ26" s="2510"/>
      <c r="AR26" s="2510"/>
      <c r="AS26" s="2510"/>
      <c r="AT26" s="2472"/>
      <c r="AU26" s="2510"/>
      <c r="AV26" s="2472"/>
      <c r="AW26" s="2510"/>
      <c r="AX26" s="2510"/>
      <c r="AY26" s="2510"/>
      <c r="AZ26" s="2510"/>
      <c r="BA26" s="2510"/>
      <c r="BB26" s="2509"/>
      <c r="BC26" s="2510"/>
      <c r="BD26" s="2472"/>
      <c r="BE26" s="2472">
        <v>1200</v>
      </c>
      <c r="BF26" s="2510"/>
      <c r="BG26" s="2510"/>
      <c r="BH26" s="2510"/>
      <c r="BI26" s="2510"/>
      <c r="BJ26" s="2510"/>
      <c r="BK26" s="2510"/>
      <c r="BL26" s="2510"/>
      <c r="BM26" s="2510"/>
      <c r="BN26" s="2510"/>
      <c r="BO26" s="2510"/>
      <c r="BP26" s="2510"/>
      <c r="BQ26" s="2510"/>
      <c r="BR26" s="2510"/>
      <c r="BS26" s="2510"/>
      <c r="BT26" s="2510"/>
      <c r="BU26" s="2510"/>
      <c r="BV26" s="2472"/>
      <c r="BW26" s="2510"/>
      <c r="BX26" s="2510"/>
      <c r="BY26" s="2510"/>
      <c r="BZ26" s="2510"/>
      <c r="CA26" s="2510"/>
      <c r="CB26" s="2472"/>
      <c r="CC26" s="2510"/>
      <c r="CD26" s="2510"/>
      <c r="CE26" s="2510"/>
      <c r="CF26" s="2510"/>
      <c r="CG26" s="2510"/>
      <c r="CH26" s="2510"/>
      <c r="CI26" s="2472">
        <v>1500</v>
      </c>
      <c r="CJ26" s="2510"/>
      <c r="CK26" s="2510"/>
      <c r="CL26" s="2510"/>
      <c r="CM26" s="2510"/>
      <c r="CN26" s="2510"/>
      <c r="CO26" s="2472"/>
      <c r="CP26" s="2472"/>
      <c r="CQ26" s="2510"/>
      <c r="CR26" s="2510"/>
      <c r="CS26" s="2510"/>
      <c r="CT26" s="2510"/>
      <c r="CU26" s="2510"/>
      <c r="CV26" s="2510"/>
      <c r="CW26" s="2510"/>
      <c r="CX26" s="2510"/>
      <c r="CY26" s="2510"/>
      <c r="CZ26" s="2510"/>
      <c r="DA26" s="2510"/>
      <c r="DB26" s="2510"/>
      <c r="DC26" s="3653"/>
      <c r="DD26" s="2472">
        <v>1200</v>
      </c>
      <c r="DE26" s="2510"/>
      <c r="DF26" s="2510"/>
      <c r="DG26" s="2510"/>
      <c r="DH26" s="2510"/>
      <c r="DI26" s="2510"/>
      <c r="DJ26" s="2510"/>
      <c r="DK26" s="2510"/>
      <c r="DL26" s="2510"/>
      <c r="DM26" s="2510"/>
      <c r="DN26" s="2472">
        <v>1200</v>
      </c>
      <c r="DO26" s="2472"/>
      <c r="DP26" s="2510"/>
      <c r="DQ26" s="2510"/>
      <c r="DR26" s="2510"/>
      <c r="DS26" s="2510"/>
      <c r="DT26" s="2510"/>
      <c r="DU26" s="2510"/>
      <c r="DV26" s="2510"/>
      <c r="DW26" s="2510"/>
      <c r="DX26" s="2472"/>
      <c r="DY26" s="2510"/>
      <c r="DZ26" s="2510"/>
      <c r="EA26" s="2510"/>
      <c r="EB26" s="2510"/>
      <c r="EC26" s="2510"/>
      <c r="ED26" s="2472"/>
      <c r="EE26" s="2472"/>
      <c r="EF26" s="2510"/>
      <c r="EG26" s="2510"/>
      <c r="EH26" s="2510"/>
      <c r="EI26" s="2510"/>
      <c r="EJ26" s="2510"/>
      <c r="EK26" s="2510"/>
      <c r="EL26" s="2510"/>
      <c r="EM26" s="2510"/>
      <c r="EN26" s="2472"/>
      <c r="EO26" s="2510"/>
      <c r="EP26" s="2510"/>
      <c r="EQ26" s="2510"/>
      <c r="ER26" s="2510"/>
      <c r="ES26" s="2510"/>
      <c r="ET26" s="2510"/>
      <c r="EU26" s="2510"/>
      <c r="EV26" s="2510"/>
      <c r="EW26" s="2510"/>
      <c r="EX26" s="2510"/>
      <c r="EY26" s="2510"/>
      <c r="EZ26" s="2510"/>
      <c r="FA26" s="2510"/>
      <c r="FB26" s="2510"/>
      <c r="FC26" s="2510"/>
      <c r="FD26" s="2510"/>
      <c r="FE26" s="2472"/>
      <c r="FF26" s="2510"/>
      <c r="FG26" s="2472"/>
      <c r="FH26" s="2472"/>
      <c r="FI26" s="2510"/>
      <c r="FJ26" s="2510"/>
      <c r="FK26" s="2510"/>
      <c r="FL26" s="2510"/>
      <c r="FM26" s="2510"/>
      <c r="FN26" s="2510"/>
      <c r="FO26" s="2510"/>
      <c r="FP26" s="3653"/>
      <c r="FQ26" s="2510"/>
      <c r="FR26" s="2510"/>
      <c r="FS26" s="2510"/>
      <c r="FT26" s="2510"/>
      <c r="FU26" s="2510"/>
      <c r="FV26" s="2510"/>
      <c r="FW26" s="2510"/>
      <c r="FX26" s="2510"/>
      <c r="FY26" s="2510"/>
      <c r="FZ26" s="2510"/>
      <c r="GA26" s="2510"/>
      <c r="GB26" s="2510"/>
      <c r="GC26" s="2510"/>
      <c r="GD26" s="2510"/>
      <c r="GE26" s="2510"/>
      <c r="GF26" s="2510"/>
      <c r="GG26" s="2510"/>
      <c r="GH26" s="2510"/>
      <c r="GI26" s="2472"/>
      <c r="GJ26" s="2510"/>
      <c r="GK26" s="2510"/>
      <c r="GL26" s="2510"/>
      <c r="GM26" s="2510"/>
      <c r="GN26" s="2472">
        <v>1200</v>
      </c>
      <c r="GO26" s="2472"/>
      <c r="GP26" s="2510"/>
      <c r="GQ26" s="2472"/>
      <c r="GR26" s="2510"/>
      <c r="GS26" s="2510"/>
      <c r="GT26" s="2510"/>
      <c r="GU26" s="2510"/>
      <c r="GV26" s="2510"/>
      <c r="GW26" s="2472">
        <v>1200</v>
      </c>
      <c r="GX26" s="2510"/>
      <c r="GY26" s="2510"/>
      <c r="GZ26" s="2510"/>
      <c r="HA26" s="2510"/>
      <c r="HB26" s="2472"/>
      <c r="HC26" s="2510"/>
      <c r="HD26" s="2510"/>
      <c r="HE26" s="2510"/>
      <c r="HF26" s="2510"/>
      <c r="HG26" s="2510"/>
      <c r="HH26" s="2510"/>
      <c r="HI26" s="2510"/>
      <c r="HJ26" s="2510"/>
      <c r="HK26" s="2510"/>
      <c r="HL26" s="2510"/>
      <c r="HM26" s="2510"/>
      <c r="HN26" s="2510"/>
      <c r="HO26" s="2510"/>
      <c r="HP26" s="2510"/>
      <c r="HQ26" s="2510"/>
      <c r="HR26" s="2510"/>
      <c r="HS26" s="2510"/>
      <c r="HT26" s="2472"/>
      <c r="HU26" s="2472">
        <v>1200</v>
      </c>
      <c r="HV26" s="2472"/>
      <c r="HW26" s="2510"/>
      <c r="HX26" s="2510"/>
      <c r="HY26" s="2510"/>
      <c r="HZ26" s="2510"/>
      <c r="IA26" s="2510"/>
      <c r="IB26" s="2510"/>
      <c r="IC26" s="2510"/>
      <c r="ID26" s="2510"/>
      <c r="IE26" s="2510"/>
      <c r="IF26" s="2510"/>
      <c r="IG26" s="2510"/>
      <c r="IH26" s="2510"/>
      <c r="II26" s="2510"/>
      <c r="IJ26" s="2510"/>
      <c r="IK26" s="2510"/>
      <c r="IL26" s="2510"/>
      <c r="IM26" s="2510"/>
      <c r="IN26" s="2510"/>
      <c r="IO26" s="2472">
        <v>912</v>
      </c>
      <c r="IP26" s="2510"/>
      <c r="IQ26" s="2510"/>
      <c r="IR26" s="2510"/>
      <c r="IS26" s="2510"/>
      <c r="IT26" s="2510"/>
      <c r="IU26" s="2510"/>
      <c r="IV26" s="2510"/>
      <c r="IW26" s="2510"/>
      <c r="IX26" s="2510"/>
      <c r="IY26" s="2510"/>
      <c r="IZ26" s="2510"/>
      <c r="JA26" s="2510"/>
      <c r="JB26" s="2510"/>
      <c r="JC26" s="2510"/>
      <c r="JD26" s="2510"/>
      <c r="JE26" s="2510"/>
      <c r="JF26" s="3728">
        <v>1300000</v>
      </c>
      <c r="JG26" s="2479"/>
      <c r="JH26" s="1233"/>
      <c r="JI26" s="4281" t="s">
        <v>8872</v>
      </c>
      <c r="JJ26" s="2248" t="s">
        <v>6108</v>
      </c>
    </row>
    <row r="27" spans="1:270" x14ac:dyDescent="0.2">
      <c r="A27" s="1128">
        <v>26</v>
      </c>
      <c r="B27" s="1347" t="str">
        <f si="1" t="shared"/>
        <v/>
      </c>
      <c r="C27" s="1349" t="s">
        <v>4001</v>
      </c>
      <c r="D27" s="1350" t="s">
        <v>5461</v>
      </c>
      <c r="E27" s="2472"/>
      <c r="F27" s="2472"/>
      <c r="G27" s="2472"/>
      <c r="H27" s="2472"/>
      <c r="I27" s="2472"/>
      <c r="J27" s="2472"/>
      <c r="K27" s="2472"/>
      <c r="L27" s="2472"/>
      <c r="M27" s="2472"/>
      <c r="N27" s="2509"/>
      <c r="O27" s="2509"/>
      <c r="P27" s="2509"/>
      <c r="Q27" s="2509"/>
      <c r="R27" s="2510"/>
      <c r="S27" s="2510"/>
      <c r="T27" s="2510"/>
      <c r="U27" s="2510"/>
      <c r="V27" s="2510"/>
      <c r="W27" s="2510"/>
      <c r="X27" s="2510"/>
      <c r="Y27" s="2510"/>
      <c r="Z27" s="2472">
        <v>800</v>
      </c>
      <c r="AA27" s="2510"/>
      <c r="AB27" s="2510"/>
      <c r="AC27" s="2472">
        <v>1000</v>
      </c>
      <c r="AD27" s="2841"/>
      <c r="AE27" s="2841"/>
      <c r="AF27" s="2841"/>
      <c r="AG27" s="2841"/>
      <c r="AH27" s="2841"/>
      <c r="AI27" s="2510"/>
      <c r="AJ27" s="2510"/>
      <c r="AK27" s="2510"/>
      <c r="AL27" s="2510"/>
      <c r="AM27" s="2510"/>
      <c r="AN27" s="2510"/>
      <c r="AO27" s="2472"/>
      <c r="AP27" s="2510"/>
      <c r="AQ27" s="2510"/>
      <c r="AR27" s="2510"/>
      <c r="AS27" s="2510"/>
      <c r="AT27" s="2472"/>
      <c r="AU27" s="2510"/>
      <c r="AV27" s="2472"/>
      <c r="AW27" s="2510"/>
      <c r="AX27" s="2510"/>
      <c r="AY27" s="2510"/>
      <c r="AZ27" s="2510"/>
      <c r="BA27" s="2510"/>
      <c r="BB27" s="2509"/>
      <c r="BC27" s="2510"/>
      <c r="BD27" s="2472"/>
      <c r="BE27" s="2472">
        <v>800</v>
      </c>
      <c r="BF27" s="2510"/>
      <c r="BG27" s="2510"/>
      <c r="BH27" s="2510"/>
      <c r="BI27" s="2510"/>
      <c r="BJ27" s="2510"/>
      <c r="BK27" s="2510"/>
      <c r="BL27" s="2510"/>
      <c r="BM27" s="2510"/>
      <c r="BN27" s="2510"/>
      <c r="BO27" s="2510"/>
      <c r="BP27" s="2510"/>
      <c r="BQ27" s="2510"/>
      <c r="BR27" s="2510"/>
      <c r="BS27" s="2510"/>
      <c r="BT27" s="2510"/>
      <c r="BU27" s="2510"/>
      <c r="BV27" s="2472"/>
      <c r="BW27" s="2510"/>
      <c r="BX27" s="2510"/>
      <c r="BY27" s="2510"/>
      <c r="BZ27" s="2510"/>
      <c r="CA27" s="2510"/>
      <c r="CB27" s="2472"/>
      <c r="CC27" s="2510"/>
      <c r="CD27" s="2510"/>
      <c r="CE27" s="2510"/>
      <c r="CF27" s="2510"/>
      <c r="CG27" s="2510"/>
      <c r="CH27" s="2510"/>
      <c r="CI27" s="2472">
        <v>1000</v>
      </c>
      <c r="CJ27" s="2510"/>
      <c r="CK27" s="2510"/>
      <c r="CL27" s="2510"/>
      <c r="CM27" s="2510"/>
      <c r="CN27" s="2510"/>
      <c r="CO27" s="2472"/>
      <c r="CP27" s="2472"/>
      <c r="CQ27" s="2510"/>
      <c r="CR27" s="2510"/>
      <c r="CS27" s="2510"/>
      <c r="CT27" s="2510"/>
      <c r="CU27" s="2510"/>
      <c r="CV27" s="2510"/>
      <c r="CW27" s="2510"/>
      <c r="CX27" s="2510"/>
      <c r="CY27" s="2510"/>
      <c r="CZ27" s="2510"/>
      <c r="DA27" s="2510"/>
      <c r="DB27" s="2510"/>
      <c r="DC27" s="3653"/>
      <c r="DD27" s="2472">
        <v>800</v>
      </c>
      <c r="DE27" s="2510"/>
      <c r="DF27" s="2510"/>
      <c r="DG27" s="2510"/>
      <c r="DH27" s="2510"/>
      <c r="DI27" s="2510"/>
      <c r="DJ27" s="2510"/>
      <c r="DK27" s="2510"/>
      <c r="DL27" s="2510"/>
      <c r="DM27" s="2510"/>
      <c r="DN27" s="2472">
        <v>800</v>
      </c>
      <c r="DO27" s="2472"/>
      <c r="DP27" s="2510"/>
      <c r="DQ27" s="2510"/>
      <c r="DR27" s="2510"/>
      <c r="DS27" s="2510"/>
      <c r="DT27" s="2510"/>
      <c r="DU27" s="2510"/>
      <c r="DV27" s="2510"/>
      <c r="DW27" s="2510"/>
      <c r="DX27" s="2472"/>
      <c r="DY27" s="2510"/>
      <c r="DZ27" s="2510"/>
      <c r="EA27" s="2510"/>
      <c r="EB27" s="2510"/>
      <c r="EC27" s="2510"/>
      <c r="ED27" s="2472"/>
      <c r="EE27" s="2472"/>
      <c r="EF27" s="2510"/>
      <c r="EG27" s="2510"/>
      <c r="EH27" s="2510"/>
      <c r="EI27" s="2510"/>
      <c r="EJ27" s="2510"/>
      <c r="EK27" s="2510"/>
      <c r="EL27" s="2510"/>
      <c r="EM27" s="2510"/>
      <c r="EN27" s="2472"/>
      <c r="EO27" s="2510"/>
      <c r="EP27" s="2510"/>
      <c r="EQ27" s="2510"/>
      <c r="ER27" s="2510"/>
      <c r="ES27" s="2510"/>
      <c r="ET27" s="2510"/>
      <c r="EU27" s="2510"/>
      <c r="EV27" s="2510"/>
      <c r="EW27" s="2510"/>
      <c r="EX27" s="2510"/>
      <c r="EY27" s="2510"/>
      <c r="EZ27" s="2510"/>
      <c r="FA27" s="2510"/>
      <c r="FB27" s="2510"/>
      <c r="FC27" s="2510"/>
      <c r="FD27" s="2510"/>
      <c r="FE27" s="2472"/>
      <c r="FF27" s="2510"/>
      <c r="FG27" s="2472"/>
      <c r="FH27" s="2472"/>
      <c r="FI27" s="2510"/>
      <c r="FJ27" s="2510"/>
      <c r="FK27" s="2510"/>
      <c r="FL27" s="2510"/>
      <c r="FM27" s="2510"/>
      <c r="FN27" s="2510"/>
      <c r="FO27" s="2510"/>
      <c r="FP27" s="3653"/>
      <c r="FQ27" s="2510"/>
      <c r="FR27" s="2510"/>
      <c r="FS27" s="2510"/>
      <c r="FT27" s="2510"/>
      <c r="FU27" s="2510"/>
      <c r="FV27" s="2510"/>
      <c r="FW27" s="2510"/>
      <c r="FX27" s="2510"/>
      <c r="FY27" s="2510"/>
      <c r="FZ27" s="2510"/>
      <c r="GA27" s="2510"/>
      <c r="GB27" s="2510"/>
      <c r="GC27" s="2510"/>
      <c r="GD27" s="2510"/>
      <c r="GE27" s="2510"/>
      <c r="GF27" s="2510"/>
      <c r="GG27" s="2510"/>
      <c r="GH27" s="2510"/>
      <c r="GI27" s="2472"/>
      <c r="GJ27" s="2510"/>
      <c r="GK27" s="2510"/>
      <c r="GL27" s="2510"/>
      <c r="GM27" s="2510"/>
      <c r="GN27" s="2472">
        <v>800</v>
      </c>
      <c r="GO27" s="2472"/>
      <c r="GP27" s="2510"/>
      <c r="GQ27" s="2472"/>
      <c r="GR27" s="2510"/>
      <c r="GS27" s="2510"/>
      <c r="GT27" s="2510"/>
      <c r="GU27" s="2510"/>
      <c r="GV27" s="2510"/>
      <c r="GW27" s="2472">
        <v>800</v>
      </c>
      <c r="GX27" s="2510"/>
      <c r="GY27" s="2510"/>
      <c r="GZ27" s="2510"/>
      <c r="HA27" s="2510"/>
      <c r="HB27" s="2472"/>
      <c r="HC27" s="2510"/>
      <c r="HD27" s="2510"/>
      <c r="HE27" s="2510"/>
      <c r="HF27" s="2510"/>
      <c r="HG27" s="2510"/>
      <c r="HH27" s="2510"/>
      <c r="HI27" s="2510"/>
      <c r="HJ27" s="2510"/>
      <c r="HK27" s="2510"/>
      <c r="HL27" s="2510"/>
      <c r="HM27" s="2510"/>
      <c r="HN27" s="2510"/>
      <c r="HO27" s="2510"/>
      <c r="HP27" s="2510"/>
      <c r="HQ27" s="2510"/>
      <c r="HR27" s="2510"/>
      <c r="HS27" s="2510"/>
      <c r="HT27" s="2472"/>
      <c r="HU27" s="2472">
        <v>800</v>
      </c>
      <c r="HV27" s="2472"/>
      <c r="HW27" s="2510"/>
      <c r="HX27" s="2510"/>
      <c r="HY27" s="2510"/>
      <c r="HZ27" s="2510"/>
      <c r="IA27" s="2510"/>
      <c r="IB27" s="2510"/>
      <c r="IC27" s="2510"/>
      <c r="ID27" s="2510"/>
      <c r="IE27" s="2510"/>
      <c r="IF27" s="2510"/>
      <c r="IG27" s="2510"/>
      <c r="IH27" s="2510"/>
      <c r="II27" s="2510"/>
      <c r="IJ27" s="2510"/>
      <c r="IK27" s="2510"/>
      <c r="IL27" s="2510"/>
      <c r="IM27" s="2510"/>
      <c r="IN27" s="2510"/>
      <c r="IO27" s="2472"/>
      <c r="IP27" s="2510"/>
      <c r="IQ27" s="2510"/>
      <c r="IR27" s="2510"/>
      <c r="IS27" s="2510"/>
      <c r="IT27" s="2510"/>
      <c r="IU27" s="2510"/>
      <c r="IV27" s="2510"/>
      <c r="IW27" s="2510"/>
      <c r="IX27" s="2510"/>
      <c r="IY27" s="2510"/>
      <c r="IZ27" s="2510"/>
      <c r="JA27" s="2510"/>
      <c r="JB27" s="2510"/>
      <c r="JC27" s="2510"/>
      <c r="JD27" s="2510"/>
      <c r="JE27" s="2510"/>
      <c r="JF27" s="3728"/>
      <c r="JG27" s="2479"/>
      <c r="JH27" s="1233"/>
      <c r="JI27" s="2248" t="s">
        <v>8868</v>
      </c>
      <c r="JJ27" s="2248" t="s">
        <v>6108</v>
      </c>
    </row>
    <row r="28" spans="1:270" x14ac:dyDescent="0.2">
      <c r="A28" s="1128">
        <v>27</v>
      </c>
      <c r="B28" s="1347" t="str">
        <f si="1" t="shared"/>
        <v/>
      </c>
      <c r="C28" s="1349" t="s">
        <v>4002</v>
      </c>
      <c r="D28" s="1350" t="s">
        <v>5462</v>
      </c>
      <c r="E28" s="2472"/>
      <c r="F28" s="2472"/>
      <c r="G28" s="2472"/>
      <c r="H28" s="2472"/>
      <c r="I28" s="2472"/>
      <c r="J28" s="2472"/>
      <c r="K28" s="2472"/>
      <c r="L28" s="2472"/>
      <c r="M28" s="2472">
        <v>1700</v>
      </c>
      <c r="N28" s="2509"/>
      <c r="O28" s="2509"/>
      <c r="P28" s="2509"/>
      <c r="Q28" s="2509"/>
      <c r="R28" s="2510"/>
      <c r="S28" s="2510"/>
      <c r="T28" s="2510"/>
      <c r="U28" s="2510"/>
      <c r="V28" s="2510"/>
      <c r="W28" s="2510"/>
      <c r="X28" s="2510"/>
      <c r="Y28" s="2510"/>
      <c r="Z28" s="2472"/>
      <c r="AA28" s="2510"/>
      <c r="AB28" s="2510"/>
      <c r="AC28" s="2472">
        <v>1650</v>
      </c>
      <c r="AD28" s="2841"/>
      <c r="AE28" s="2841"/>
      <c r="AF28" s="2841"/>
      <c r="AG28" s="2841"/>
      <c r="AH28" s="2841"/>
      <c r="AI28" s="2510"/>
      <c r="AJ28" s="2510"/>
      <c r="AK28" s="2510"/>
      <c r="AL28" s="2510"/>
      <c r="AM28" s="2510"/>
      <c r="AN28" s="2510"/>
      <c r="AO28" s="2472">
        <v>1700</v>
      </c>
      <c r="AP28" s="2510"/>
      <c r="AQ28" s="2510"/>
      <c r="AR28" s="2510"/>
      <c r="AS28" s="2510"/>
      <c r="AT28" s="2472">
        <v>1260</v>
      </c>
      <c r="AU28" s="2510"/>
      <c r="AV28" s="2472"/>
      <c r="AW28" s="2510"/>
      <c r="AX28" s="2510"/>
      <c r="AY28" s="2510"/>
      <c r="AZ28" s="2510"/>
      <c r="BA28" s="2510"/>
      <c r="BB28" s="2509"/>
      <c r="BC28" s="2510"/>
      <c r="BD28" s="2472">
        <v>1260</v>
      </c>
      <c r="BE28" s="2472"/>
      <c r="BF28" s="2510"/>
      <c r="BG28" s="2510"/>
      <c r="BH28" s="2510"/>
      <c r="BI28" s="2510"/>
      <c r="BJ28" s="2510"/>
      <c r="BK28" s="2510"/>
      <c r="BL28" s="2510"/>
      <c r="BM28" s="2510"/>
      <c r="BN28" s="2510"/>
      <c r="BO28" s="2510"/>
      <c r="BP28" s="2510"/>
      <c r="BQ28" s="2510"/>
      <c r="BR28" s="2510"/>
      <c r="BS28" s="2510"/>
      <c r="BT28" s="2510"/>
      <c r="BU28" s="2510"/>
      <c r="BV28" s="2472">
        <v>1700</v>
      </c>
      <c r="BW28" s="2510"/>
      <c r="BX28" s="2510"/>
      <c r="BY28" s="2510"/>
      <c r="BZ28" s="2510"/>
      <c r="CA28" s="2510"/>
      <c r="CB28" s="2472">
        <v>1700</v>
      </c>
      <c r="CC28" s="2510"/>
      <c r="CD28" s="2510"/>
      <c r="CE28" s="2510"/>
      <c r="CF28" s="2510"/>
      <c r="CG28" s="2510"/>
      <c r="CH28" s="2510"/>
      <c r="CI28" s="2472">
        <v>1650</v>
      </c>
      <c r="CJ28" s="2510"/>
      <c r="CK28" s="2510"/>
      <c r="CL28" s="2510"/>
      <c r="CM28" s="2510"/>
      <c r="CN28" s="2510"/>
      <c r="CO28" s="2472">
        <v>1260</v>
      </c>
      <c r="CP28" s="2472">
        <v>1700</v>
      </c>
      <c r="CQ28" s="2510"/>
      <c r="CR28" s="2510"/>
      <c r="CS28" s="2510"/>
      <c r="CT28" s="2510"/>
      <c r="CU28" s="2510"/>
      <c r="CV28" s="2510"/>
      <c r="CW28" s="2510"/>
      <c r="CX28" s="2510"/>
      <c r="CY28" s="2510"/>
      <c r="CZ28" s="2510"/>
      <c r="DA28" s="2510"/>
      <c r="DB28" s="2510"/>
      <c r="DC28" s="3653">
        <v>11260</v>
      </c>
      <c r="DD28" s="2472"/>
      <c r="DE28" s="2510"/>
      <c r="DF28" s="2510"/>
      <c r="DG28" s="2510"/>
      <c r="DH28" s="2510"/>
      <c r="DI28" s="2510"/>
      <c r="DJ28" s="2510"/>
      <c r="DK28" s="2510"/>
      <c r="DL28" s="2510"/>
      <c r="DM28" s="2510"/>
      <c r="DN28" s="2472"/>
      <c r="DO28" s="2472">
        <v>1260</v>
      </c>
      <c r="DP28" s="2510"/>
      <c r="DQ28" s="2510"/>
      <c r="DR28" s="2510"/>
      <c r="DS28" s="2510"/>
      <c r="DT28" s="2510"/>
      <c r="DU28" s="2510"/>
      <c r="DV28" s="2510"/>
      <c r="DW28" s="2510"/>
      <c r="DX28" s="2472">
        <v>1700</v>
      </c>
      <c r="DY28" s="2510"/>
      <c r="DZ28" s="2510"/>
      <c r="EA28" s="2510"/>
      <c r="EB28" s="2510"/>
      <c r="EC28" s="2510"/>
      <c r="ED28" s="2472"/>
      <c r="EE28" s="2472"/>
      <c r="EF28" s="2510"/>
      <c r="EG28" s="2510"/>
      <c r="EH28" s="2510"/>
      <c r="EI28" s="2510"/>
      <c r="EJ28" s="2510"/>
      <c r="EK28" s="2510"/>
      <c r="EL28" s="2510"/>
      <c r="EM28" s="2510"/>
      <c r="EN28" s="2472"/>
      <c r="EO28" s="2510"/>
      <c r="EP28" s="2510"/>
      <c r="EQ28" s="2510"/>
      <c r="ER28" s="2510"/>
      <c r="ES28" s="2510"/>
      <c r="ET28" s="2510"/>
      <c r="EU28" s="2510"/>
      <c r="EV28" s="2510"/>
      <c r="EW28" s="2510"/>
      <c r="EX28" s="2510"/>
      <c r="EY28" s="2510"/>
      <c r="EZ28" s="2510"/>
      <c r="FA28" s="2510"/>
      <c r="FB28" s="2510"/>
      <c r="FC28" s="2510"/>
      <c r="FD28" s="2510"/>
      <c r="FE28" s="2472">
        <v>1700</v>
      </c>
      <c r="FF28" s="2510"/>
      <c r="FG28" s="2472">
        <v>1700</v>
      </c>
      <c r="FH28" s="2472">
        <v>1700</v>
      </c>
      <c r="FI28" s="2510"/>
      <c r="FJ28" s="2510"/>
      <c r="FK28" s="2510"/>
      <c r="FL28" s="2510"/>
      <c r="FM28" s="2510"/>
      <c r="FN28" s="2510"/>
      <c r="FO28" s="2510"/>
      <c r="FP28" s="3653">
        <v>11260</v>
      </c>
      <c r="FQ28" s="2510"/>
      <c r="FR28" s="2510"/>
      <c r="FS28" s="2510"/>
      <c r="FT28" s="2510"/>
      <c r="FU28" s="2510"/>
      <c r="FV28" s="2510"/>
      <c r="FW28" s="2510"/>
      <c r="FX28" s="2510"/>
      <c r="FY28" s="2510"/>
      <c r="FZ28" s="2510"/>
      <c r="GA28" s="2510"/>
      <c r="GB28" s="2510"/>
      <c r="GC28" s="2510"/>
      <c r="GD28" s="2510"/>
      <c r="GE28" s="2510"/>
      <c r="GF28" s="2510"/>
      <c r="GG28" s="2510"/>
      <c r="GH28" s="2510"/>
      <c r="GI28" s="2472">
        <v>1700</v>
      </c>
      <c r="GJ28" s="2510"/>
      <c r="GK28" s="2510"/>
      <c r="GL28" s="2510"/>
      <c r="GM28" s="2510"/>
      <c r="GN28" s="2472"/>
      <c r="GO28" s="2472"/>
      <c r="GP28" s="2510"/>
      <c r="GQ28" s="2472"/>
      <c r="GR28" s="2510"/>
      <c r="GS28" s="2510"/>
      <c r="GT28" s="2510"/>
      <c r="GU28" s="2510"/>
      <c r="GV28" s="2510"/>
      <c r="GW28" s="2472"/>
      <c r="GX28" s="2510"/>
      <c r="GY28" s="2510"/>
      <c r="GZ28" s="2510"/>
      <c r="HA28" s="2510"/>
      <c r="HB28" s="2472">
        <v>1260</v>
      </c>
      <c r="HC28" s="2510"/>
      <c r="HD28" s="2510"/>
      <c r="HE28" s="2510"/>
      <c r="HF28" s="2510"/>
      <c r="HG28" s="2510"/>
      <c r="HH28" s="2510"/>
      <c r="HI28" s="2510"/>
      <c r="HJ28" s="2510"/>
      <c r="HK28" s="2510"/>
      <c r="HL28" s="2510"/>
      <c r="HM28" s="2510"/>
      <c r="HN28" s="2510"/>
      <c r="HO28" s="2510"/>
      <c r="HP28" s="2510"/>
      <c r="HQ28" s="2510"/>
      <c r="HR28" s="2510"/>
      <c r="HS28" s="2510"/>
      <c r="HT28" s="2472">
        <v>1700</v>
      </c>
      <c r="HU28" s="2472"/>
      <c r="HV28" s="2472">
        <v>1700</v>
      </c>
      <c r="HW28" s="2510"/>
      <c r="HX28" s="2510"/>
      <c r="HY28" s="2510"/>
      <c r="HZ28" s="2510"/>
      <c r="IA28" s="2510"/>
      <c r="IB28" s="2510"/>
      <c r="IC28" s="2510"/>
      <c r="ID28" s="2510"/>
      <c r="IE28" s="2510"/>
      <c r="IF28" s="2510"/>
      <c r="IG28" s="2510"/>
      <c r="IH28" s="2510"/>
      <c r="II28" s="2510"/>
      <c r="IJ28" s="2510"/>
      <c r="IK28" s="2510"/>
      <c r="IL28" s="2510"/>
      <c r="IM28" s="2510"/>
      <c r="IN28" s="2510"/>
      <c r="IO28" s="2472"/>
      <c r="IP28" s="2510"/>
      <c r="IQ28" s="2510"/>
      <c r="IR28" s="2510"/>
      <c r="IS28" s="2510"/>
      <c r="IT28" s="2510"/>
      <c r="IU28" s="2510"/>
      <c r="IV28" s="2510"/>
      <c r="IW28" s="2510"/>
      <c r="IX28" s="2510"/>
      <c r="IY28" s="2510"/>
      <c r="IZ28" s="2510"/>
      <c r="JA28" s="2510"/>
      <c r="JB28" s="2510"/>
      <c r="JC28" s="2510"/>
      <c r="JD28" s="2510"/>
      <c r="JE28" s="2510"/>
      <c r="JF28" s="3728">
        <v>1260</v>
      </c>
      <c r="JG28" s="2479"/>
      <c r="JH28" s="1233"/>
      <c r="JI28" s="2248" t="s">
        <v>8868</v>
      </c>
      <c r="JJ28" s="2248" t="s">
        <v>6108</v>
      </c>
    </row>
    <row r="29" spans="1:270" x14ac:dyDescent="0.2">
      <c r="A29" s="1128">
        <v>28</v>
      </c>
      <c r="B29" s="1347" t="str">
        <f ref="B29:B42" si="2" t="shared">IF(SE_A_IND&gt;1,IF(HLOOKUP(SE_A_IND-1,SSE_RANGE,A29)="","",HLOOKUP(SE_A_IND-1,SSE_RANGE,A29)),"")</f>
        <v/>
      </c>
      <c r="C29" s="4050" t="s">
        <v>8496</v>
      </c>
      <c r="D29" s="4045" t="s">
        <v>8495</v>
      </c>
      <c r="E29" s="2472"/>
      <c r="F29" s="2472"/>
      <c r="G29" s="2472"/>
      <c r="H29" s="2472"/>
      <c r="I29" s="2472"/>
      <c r="J29" s="2472"/>
      <c r="K29" s="2472"/>
      <c r="L29" s="2472"/>
      <c r="M29" s="2472"/>
      <c r="N29" s="2509"/>
      <c r="O29" s="2509"/>
      <c r="P29" s="2509"/>
      <c r="Q29" s="2509"/>
      <c r="R29" s="2510"/>
      <c r="S29" s="2510"/>
      <c r="T29" s="2510"/>
      <c r="U29" s="2510"/>
      <c r="V29" s="2510"/>
      <c r="W29" s="2510"/>
      <c r="X29" s="2510"/>
      <c r="Y29" s="2510"/>
      <c r="Z29" s="2472"/>
      <c r="AA29" s="2510"/>
      <c r="AB29" s="2510"/>
      <c r="AC29" s="2472"/>
      <c r="AD29" s="2841"/>
      <c r="AE29" s="2841"/>
      <c r="AF29" s="2841"/>
      <c r="AG29" s="2841"/>
      <c r="AH29" s="2841"/>
      <c r="AI29" s="2510"/>
      <c r="AJ29" s="2510"/>
      <c r="AK29" s="2510"/>
      <c r="AL29" s="2510"/>
      <c r="AM29" s="2510"/>
      <c r="AN29" s="2510"/>
      <c r="AO29" s="2472"/>
      <c r="AP29" s="2510"/>
      <c r="AQ29" s="2510"/>
      <c r="AR29" s="2510"/>
      <c r="AS29" s="2510"/>
      <c r="AT29" s="2472"/>
      <c r="AU29" s="2510"/>
      <c r="AV29" s="2472"/>
      <c r="AW29" s="2510"/>
      <c r="AX29" s="2510"/>
      <c r="AY29" s="2510"/>
      <c r="AZ29" s="2510"/>
      <c r="BA29" s="2510"/>
      <c r="BB29" s="2509"/>
      <c r="BC29" s="2510"/>
      <c r="BD29" s="2472"/>
      <c r="BE29" s="2472"/>
      <c r="BF29" s="2510"/>
      <c r="BG29" s="2510"/>
      <c r="BH29" s="2510"/>
      <c r="BI29" s="2510"/>
      <c r="BJ29" s="2510"/>
      <c r="BK29" s="2510"/>
      <c r="BL29" s="2510"/>
      <c r="BM29" s="2510"/>
      <c r="BN29" s="2510"/>
      <c r="BO29" s="2510"/>
      <c r="BP29" s="2510"/>
      <c r="BQ29" s="2510"/>
      <c r="BR29" s="2510"/>
      <c r="BS29" s="2510"/>
      <c r="BT29" s="2510"/>
      <c r="BU29" s="2510"/>
      <c r="BV29" s="2472"/>
      <c r="BW29" s="2510"/>
      <c r="BX29" s="2510"/>
      <c r="BY29" s="2510"/>
      <c r="BZ29" s="2510"/>
      <c r="CA29" s="2510"/>
      <c r="CB29" s="2472"/>
      <c r="CC29" s="2510"/>
      <c r="CD29" s="2510"/>
      <c r="CE29" s="2510"/>
      <c r="CF29" s="2510"/>
      <c r="CG29" s="2510"/>
      <c r="CH29" s="2510"/>
      <c r="CI29" s="2472"/>
      <c r="CJ29" s="2510"/>
      <c r="CK29" s="2510"/>
      <c r="CL29" s="2510"/>
      <c r="CM29" s="2510"/>
      <c r="CN29" s="2510"/>
      <c r="CO29" s="2472"/>
      <c r="CP29" s="2472"/>
      <c r="CQ29" s="2510"/>
      <c r="CR29" s="2510"/>
      <c r="CS29" s="2510"/>
      <c r="CT29" s="2510"/>
      <c r="CU29" s="2510"/>
      <c r="CV29" s="2510"/>
      <c r="CW29" s="2510"/>
      <c r="CX29" s="2510"/>
      <c r="CY29" s="2510"/>
      <c r="CZ29" s="2510"/>
      <c r="DA29" s="2510"/>
      <c r="DB29" s="2510"/>
      <c r="DC29" s="3653"/>
      <c r="DD29" s="2472"/>
      <c r="DE29" s="2510"/>
      <c r="DF29" s="2510"/>
      <c r="DG29" s="2510"/>
      <c r="DH29" s="2510"/>
      <c r="DI29" s="2510"/>
      <c r="DJ29" s="2510"/>
      <c r="DK29" s="2510"/>
      <c r="DL29" s="2510"/>
      <c r="DM29" s="2510"/>
      <c r="DN29" s="2472"/>
      <c r="DO29" s="2472"/>
      <c r="DP29" s="2510"/>
      <c r="DQ29" s="2510"/>
      <c r="DR29" s="2510"/>
      <c r="DS29" s="2510"/>
      <c r="DT29" s="2510"/>
      <c r="DU29" s="2510"/>
      <c r="DV29" s="2510"/>
      <c r="DW29" s="2510"/>
      <c r="DX29" s="2472"/>
      <c r="DY29" s="2510"/>
      <c r="DZ29" s="2510"/>
      <c r="EA29" s="2510"/>
      <c r="EB29" s="2510"/>
      <c r="EC29" s="2510"/>
      <c r="ED29" s="2472"/>
      <c r="EE29" s="2472"/>
      <c r="EF29" s="2510"/>
      <c r="EG29" s="2510"/>
      <c r="EH29" s="2510"/>
      <c r="EI29" s="2510"/>
      <c r="EJ29" s="2510"/>
      <c r="EK29" s="2510"/>
      <c r="EL29" s="2510"/>
      <c r="EM29" s="2510"/>
      <c r="EN29" s="2472"/>
      <c r="EO29" s="2510"/>
      <c r="EP29" s="2510"/>
      <c r="EQ29" s="2510"/>
      <c r="ER29" s="2510"/>
      <c r="ES29" s="2510"/>
      <c r="ET29" s="2510"/>
      <c r="EU29" s="2510"/>
      <c r="EV29" s="2510"/>
      <c r="EW29" s="2510"/>
      <c r="EX29" s="2510"/>
      <c r="EY29" s="2510"/>
      <c r="EZ29" s="2510"/>
      <c r="FA29" s="2510"/>
      <c r="FB29" s="2510"/>
      <c r="FC29" s="2510"/>
      <c r="FD29" s="2510"/>
      <c r="FE29" s="2472"/>
      <c r="FF29" s="2510"/>
      <c r="FG29" s="2472"/>
      <c r="FH29" s="2472"/>
      <c r="FI29" s="2510"/>
      <c r="FJ29" s="2510"/>
      <c r="FK29" s="2510"/>
      <c r="FL29" s="2510"/>
      <c r="FM29" s="2510"/>
      <c r="FN29" s="2510"/>
      <c r="FO29" s="2510"/>
      <c r="FP29" s="3653"/>
      <c r="FQ29" s="2510"/>
      <c r="FR29" s="2510"/>
      <c r="FS29" s="2510"/>
      <c r="FT29" s="2510"/>
      <c r="FU29" s="2510"/>
      <c r="FV29" s="2510"/>
      <c r="FW29" s="2510"/>
      <c r="FX29" s="2510"/>
      <c r="FY29" s="2510"/>
      <c r="FZ29" s="2510"/>
      <c r="GA29" s="2510"/>
      <c r="GB29" s="2510"/>
      <c r="GC29" s="2510"/>
      <c r="GD29" s="2510"/>
      <c r="GE29" s="2510"/>
      <c r="GF29" s="2510"/>
      <c r="GG29" s="2510"/>
      <c r="GH29" s="2510"/>
      <c r="GI29" s="2472"/>
      <c r="GJ29" s="2510"/>
      <c r="GK29" s="2510"/>
      <c r="GL29" s="2510"/>
      <c r="GM29" s="2510"/>
      <c r="GN29" s="2472"/>
      <c r="GO29" s="2472"/>
      <c r="GP29" s="2510"/>
      <c r="GQ29" s="2472"/>
      <c r="GR29" s="2510"/>
      <c r="GS29" s="2510"/>
      <c r="GT29" s="2510"/>
      <c r="GU29" s="2510"/>
      <c r="GV29" s="2510"/>
      <c r="GW29" s="2472"/>
      <c r="GX29" s="2510"/>
      <c r="GY29" s="2510"/>
      <c r="GZ29" s="2510"/>
      <c r="HA29" s="2510"/>
      <c r="HB29" s="2472"/>
      <c r="HC29" s="2510"/>
      <c r="HD29" s="2510"/>
      <c r="HE29" s="2510"/>
      <c r="HF29" s="2510"/>
      <c r="HG29" s="2510"/>
      <c r="HH29" s="2510"/>
      <c r="HI29" s="2510"/>
      <c r="HJ29" s="2510"/>
      <c r="HK29" s="2510"/>
      <c r="HL29" s="2510"/>
      <c r="HM29" s="2510"/>
      <c r="HN29" s="2510"/>
      <c r="HO29" s="2510"/>
      <c r="HP29" s="2510"/>
      <c r="HQ29" s="2510"/>
      <c r="HR29" s="2510"/>
      <c r="HS29" s="2510"/>
      <c r="HT29" s="2472"/>
      <c r="HU29" s="2472"/>
      <c r="HV29" s="2472"/>
      <c r="HW29" s="2510"/>
      <c r="HX29" s="2510"/>
      <c r="HY29" s="2510"/>
      <c r="HZ29" s="2510"/>
      <c r="IA29" s="2510"/>
      <c r="IB29" s="2510"/>
      <c r="IC29" s="2510"/>
      <c r="ID29" s="2510"/>
      <c r="IE29" s="2510"/>
      <c r="IF29" s="2510"/>
      <c r="IG29" s="2510"/>
      <c r="IH29" s="2510"/>
      <c r="II29" s="2510"/>
      <c r="IJ29" s="2510"/>
      <c r="IK29" s="2510"/>
      <c r="IL29" s="2510"/>
      <c r="IM29" s="2510"/>
      <c r="IN29" s="2510"/>
      <c r="IO29" s="2472"/>
      <c r="IP29" s="2510"/>
      <c r="IQ29" s="2510"/>
      <c r="IR29" s="2510"/>
      <c r="IS29" s="2510"/>
      <c r="IT29" s="2510"/>
      <c r="IU29" s="2510"/>
      <c r="IV29" s="2510"/>
      <c r="IW29" s="2510"/>
      <c r="IX29" s="2510"/>
      <c r="IY29" s="2510"/>
      <c r="IZ29" s="2510"/>
      <c r="JA29" s="2510"/>
      <c r="JB29" s="2510"/>
      <c r="JC29" s="2510"/>
      <c r="JD29" s="2510"/>
      <c r="JE29" s="2510"/>
      <c r="JF29" s="3728"/>
      <c r="JG29" s="3794"/>
      <c r="JH29" s="1233"/>
      <c r="JI29" s="4282" t="s">
        <v>8868</v>
      </c>
      <c r="JJ29" s="4282" t="s">
        <v>6108</v>
      </c>
    </row>
    <row r="30" spans="1:270" x14ac:dyDescent="0.2">
      <c r="A30" s="1128">
        <v>29</v>
      </c>
      <c r="B30" s="1347" t="str">
        <f si="2" t="shared"/>
        <v/>
      </c>
      <c r="C30" s="1349" t="s">
        <v>4003</v>
      </c>
      <c r="D30" s="1350" t="s">
        <v>5463</v>
      </c>
      <c r="E30" s="2472"/>
      <c r="F30" s="2472"/>
      <c r="G30" s="2472"/>
      <c r="H30" s="2472"/>
      <c r="I30" s="2472"/>
      <c r="J30" s="2472"/>
      <c r="K30" s="2472"/>
      <c r="L30" s="2472"/>
      <c r="M30" s="2472">
        <v>3926</v>
      </c>
      <c r="N30" s="2509"/>
      <c r="O30" s="2509"/>
      <c r="P30" s="2509"/>
      <c r="Q30" s="2509"/>
      <c r="R30" s="2510"/>
      <c r="S30" s="2510"/>
      <c r="T30" s="2510"/>
      <c r="U30" s="2510"/>
      <c r="V30" s="2510"/>
      <c r="W30" s="2510"/>
      <c r="X30" s="2510"/>
      <c r="Y30" s="2510"/>
      <c r="Z30" s="2472"/>
      <c r="AA30" s="2510"/>
      <c r="AB30" s="2510"/>
      <c r="AC30" s="2472"/>
      <c r="AD30" s="2841"/>
      <c r="AE30" s="2841"/>
      <c r="AF30" s="2841"/>
      <c r="AG30" s="2841"/>
      <c r="AH30" s="2841"/>
      <c r="AI30" s="2510"/>
      <c r="AJ30" s="2510"/>
      <c r="AK30" s="2510"/>
      <c r="AL30" s="2510"/>
      <c r="AM30" s="2510"/>
      <c r="AN30" s="2510"/>
      <c r="AO30" s="2472">
        <v>3926</v>
      </c>
      <c r="AP30" s="2510"/>
      <c r="AQ30" s="2510"/>
      <c r="AR30" s="2510"/>
      <c r="AS30" s="2510"/>
      <c r="AT30" s="2472">
        <v>1340</v>
      </c>
      <c r="AU30" s="2510"/>
      <c r="AV30" s="2472">
        <v>995</v>
      </c>
      <c r="AW30" s="2510"/>
      <c r="AX30" s="2510"/>
      <c r="AY30" s="2510"/>
      <c r="AZ30" s="2510"/>
      <c r="BA30" s="2510"/>
      <c r="BB30" s="2509"/>
      <c r="BC30" s="2510"/>
      <c r="BD30" s="2472">
        <v>1340</v>
      </c>
      <c r="BE30" s="2472"/>
      <c r="BF30" s="2510"/>
      <c r="BG30" s="2510"/>
      <c r="BH30" s="2510"/>
      <c r="BI30" s="2510"/>
      <c r="BJ30" s="2510"/>
      <c r="BK30" s="2510"/>
      <c r="BL30" s="2510"/>
      <c r="BM30" s="2510"/>
      <c r="BN30" s="2510"/>
      <c r="BO30" s="2510"/>
      <c r="BP30" s="2510"/>
      <c r="BQ30" s="2510"/>
      <c r="BR30" s="2510"/>
      <c r="BS30" s="2510"/>
      <c r="BT30" s="2510"/>
      <c r="BU30" s="2510"/>
      <c r="BV30" s="2472">
        <v>3926</v>
      </c>
      <c r="BW30" s="2510"/>
      <c r="BX30" s="2510"/>
      <c r="BY30" s="2510"/>
      <c r="BZ30" s="2510"/>
      <c r="CA30" s="2510"/>
      <c r="CB30" s="2472">
        <v>3926</v>
      </c>
      <c r="CC30" s="2510"/>
      <c r="CD30" s="2510"/>
      <c r="CE30" s="2510"/>
      <c r="CF30" s="2510"/>
      <c r="CG30" s="2510"/>
      <c r="CH30" s="2510"/>
      <c r="CI30" s="2472"/>
      <c r="CJ30" s="2510"/>
      <c r="CK30" s="2510"/>
      <c r="CL30" s="2510"/>
      <c r="CM30" s="2510"/>
      <c r="CN30" s="2510"/>
      <c r="CO30" s="2472">
        <v>1340</v>
      </c>
      <c r="CP30" s="2472">
        <v>3926</v>
      </c>
      <c r="CQ30" s="2510"/>
      <c r="CR30" s="2510"/>
      <c r="CS30" s="2510"/>
      <c r="CT30" s="2510"/>
      <c r="CU30" s="2510"/>
      <c r="CV30" s="2510"/>
      <c r="CW30" s="2510"/>
      <c r="CX30" s="2510"/>
      <c r="CY30" s="2510"/>
      <c r="CZ30" s="2510"/>
      <c r="DA30" s="2510"/>
      <c r="DB30" s="2510"/>
      <c r="DC30" s="3653">
        <v>1340</v>
      </c>
      <c r="DD30" s="2472"/>
      <c r="DE30" s="2510"/>
      <c r="DF30" s="2510"/>
      <c r="DG30" s="2510"/>
      <c r="DH30" s="2510"/>
      <c r="DI30" s="2510"/>
      <c r="DJ30" s="2510"/>
      <c r="DK30" s="2510"/>
      <c r="DL30" s="2510"/>
      <c r="DM30" s="2510"/>
      <c r="DN30" s="2472"/>
      <c r="DO30" s="2472">
        <v>1340</v>
      </c>
      <c r="DP30" s="2510"/>
      <c r="DQ30" s="2510"/>
      <c r="DR30" s="2510"/>
      <c r="DS30" s="2510"/>
      <c r="DT30" s="2510"/>
      <c r="DU30" s="2510"/>
      <c r="DV30" s="2510"/>
      <c r="DW30" s="2510"/>
      <c r="DX30" s="2472">
        <v>3926</v>
      </c>
      <c r="DY30" s="2510"/>
      <c r="DZ30" s="2510"/>
      <c r="EA30" s="2510"/>
      <c r="EB30" s="2510"/>
      <c r="EC30" s="2510"/>
      <c r="ED30" s="2472"/>
      <c r="EE30" s="2472"/>
      <c r="EF30" s="2510"/>
      <c r="EG30" s="2510"/>
      <c r="EH30" s="2510"/>
      <c r="EI30" s="2510"/>
      <c r="EJ30" s="2510"/>
      <c r="EK30" s="2510"/>
      <c r="EL30" s="2510"/>
      <c r="EM30" s="2510"/>
      <c r="EN30" s="2472"/>
      <c r="EO30" s="2510"/>
      <c r="EP30" s="2510"/>
      <c r="EQ30" s="2510"/>
      <c r="ER30" s="2510"/>
      <c r="ES30" s="2510"/>
      <c r="ET30" s="2510"/>
      <c r="EU30" s="2510"/>
      <c r="EV30" s="2510"/>
      <c r="EW30" s="2510"/>
      <c r="EX30" s="2510"/>
      <c r="EY30" s="2510"/>
      <c r="EZ30" s="2510"/>
      <c r="FA30" s="2510"/>
      <c r="FB30" s="2510"/>
      <c r="FC30" s="2510"/>
      <c r="FD30" s="2510"/>
      <c r="FE30" s="2472">
        <v>3926</v>
      </c>
      <c r="FF30" s="2510"/>
      <c r="FG30" s="2472">
        <v>3926</v>
      </c>
      <c r="FH30" s="2472">
        <v>3926</v>
      </c>
      <c r="FI30" s="2510"/>
      <c r="FJ30" s="2510"/>
      <c r="FK30" s="2510"/>
      <c r="FL30" s="2510"/>
      <c r="FM30" s="2510"/>
      <c r="FN30" s="2510"/>
      <c r="FO30" s="2510"/>
      <c r="FP30" s="3653">
        <v>1340</v>
      </c>
      <c r="FQ30" s="2510"/>
      <c r="FR30" s="2510"/>
      <c r="FS30" s="2510"/>
      <c r="FT30" s="2510"/>
      <c r="FU30" s="2510"/>
      <c r="FV30" s="2510"/>
      <c r="FW30" s="2510"/>
      <c r="FX30" s="2510"/>
      <c r="FY30" s="2510"/>
      <c r="FZ30" s="2510"/>
      <c r="GA30" s="2510"/>
      <c r="GB30" s="2510"/>
      <c r="GC30" s="2510"/>
      <c r="GD30" s="2510"/>
      <c r="GE30" s="2510"/>
      <c r="GF30" s="2510"/>
      <c r="GG30" s="2510"/>
      <c r="GH30" s="2510"/>
      <c r="GI30" s="2472">
        <v>3926</v>
      </c>
      <c r="GJ30" s="2510"/>
      <c r="GK30" s="2510"/>
      <c r="GL30" s="2510"/>
      <c r="GM30" s="2510"/>
      <c r="GN30" s="2472"/>
      <c r="GO30" s="2472">
        <v>995</v>
      </c>
      <c r="GP30" s="2510"/>
      <c r="GQ30" s="2472">
        <v>995</v>
      </c>
      <c r="GR30" s="2510"/>
      <c r="GS30" s="2510"/>
      <c r="GT30" s="2510"/>
      <c r="GU30" s="2510"/>
      <c r="GV30" s="2510"/>
      <c r="GW30" s="2472"/>
      <c r="GX30" s="2510"/>
      <c r="GY30" s="2510"/>
      <c r="GZ30" s="2510"/>
      <c r="HA30" s="2510"/>
      <c r="HB30" s="2472">
        <v>1340</v>
      </c>
      <c r="HC30" s="2510"/>
      <c r="HD30" s="2510"/>
      <c r="HE30" s="2510"/>
      <c r="HF30" s="2510"/>
      <c r="HG30" s="2510"/>
      <c r="HH30" s="2510"/>
      <c r="HI30" s="2510"/>
      <c r="HJ30" s="2510"/>
      <c r="HK30" s="2510"/>
      <c r="HL30" s="2510"/>
      <c r="HM30" s="2510"/>
      <c r="HN30" s="2510"/>
      <c r="HO30" s="2510"/>
      <c r="HP30" s="2510"/>
      <c r="HQ30" s="2510"/>
      <c r="HR30" s="2510"/>
      <c r="HS30" s="2510"/>
      <c r="HT30" s="2472">
        <v>3926</v>
      </c>
      <c r="HU30" s="2472"/>
      <c r="HV30" s="2472">
        <v>3926</v>
      </c>
      <c r="HW30" s="2510"/>
      <c r="HX30" s="2510"/>
      <c r="HY30" s="2510"/>
      <c r="HZ30" s="2510"/>
      <c r="IA30" s="2510"/>
      <c r="IB30" s="2510"/>
      <c r="IC30" s="2510"/>
      <c r="ID30" s="2510"/>
      <c r="IE30" s="2510"/>
      <c r="IF30" s="2510"/>
      <c r="IG30" s="2510"/>
      <c r="IH30" s="2510"/>
      <c r="II30" s="2510"/>
      <c r="IJ30" s="2510"/>
      <c r="IK30" s="2510"/>
      <c r="IL30" s="2510"/>
      <c r="IM30" s="2510"/>
      <c r="IN30" s="2510"/>
      <c r="IO30" s="2472"/>
      <c r="IP30" s="2510"/>
      <c r="IQ30" s="2510"/>
      <c r="IR30" s="2510"/>
      <c r="IS30" s="2510"/>
      <c r="IT30" s="2510"/>
      <c r="IU30" s="2510"/>
      <c r="IV30" s="2510"/>
      <c r="IW30" s="2510"/>
      <c r="IX30" s="2510"/>
      <c r="IY30" s="2510"/>
      <c r="IZ30" s="2510"/>
      <c r="JA30" s="2510"/>
      <c r="JB30" s="2510"/>
      <c r="JC30" s="2510"/>
      <c r="JD30" s="2510"/>
      <c r="JE30" s="2510"/>
      <c r="JF30" s="3728">
        <v>1340</v>
      </c>
      <c r="JG30" s="2479"/>
      <c r="JH30" s="1233"/>
      <c r="JI30" s="2248"/>
      <c r="JJ30" s="2248" t="s">
        <v>6108</v>
      </c>
    </row>
    <row ht="22.5" r="31" spans="1:270" x14ac:dyDescent="0.2">
      <c r="A31" s="1128">
        <v>30</v>
      </c>
      <c r="B31" s="1347" t="str">
        <f si="2" t="shared"/>
        <v/>
      </c>
      <c r="C31" s="1349" t="s">
        <v>4004</v>
      </c>
      <c r="D31" s="1350" t="s">
        <v>5464</v>
      </c>
      <c r="E31" s="2472"/>
      <c r="F31" s="2472"/>
      <c r="G31" s="2472"/>
      <c r="H31" s="2472"/>
      <c r="I31" s="2472"/>
      <c r="J31" s="2472"/>
      <c r="K31" s="2472"/>
      <c r="L31" s="2472"/>
      <c r="M31" s="2472">
        <v>720</v>
      </c>
      <c r="N31" s="2509"/>
      <c r="O31" s="2509"/>
      <c r="P31" s="2509"/>
      <c r="Q31" s="2509"/>
      <c r="R31" s="2510"/>
      <c r="S31" s="2510"/>
      <c r="T31" s="2510"/>
      <c r="U31" s="2510"/>
      <c r="V31" s="2510"/>
      <c r="W31" s="2510"/>
      <c r="X31" s="2510"/>
      <c r="Y31" s="2510"/>
      <c r="Z31" s="2472"/>
      <c r="AA31" s="2510"/>
      <c r="AB31" s="2510"/>
      <c r="AC31" s="2472"/>
      <c r="AD31" s="2841"/>
      <c r="AE31" s="2841"/>
      <c r="AF31" s="2841"/>
      <c r="AG31" s="2841"/>
      <c r="AH31" s="2841"/>
      <c r="AI31" s="2510"/>
      <c r="AJ31" s="2510"/>
      <c r="AK31" s="2510"/>
      <c r="AL31" s="2510"/>
      <c r="AM31" s="2510"/>
      <c r="AN31" s="2510"/>
      <c r="AO31" s="2472">
        <v>720</v>
      </c>
      <c r="AP31" s="2510"/>
      <c r="AQ31" s="2510"/>
      <c r="AR31" s="2510"/>
      <c r="AS31" s="2510"/>
      <c r="AT31" s="2472"/>
      <c r="AU31" s="2510"/>
      <c r="AV31" s="2472"/>
      <c r="AW31" s="2510"/>
      <c r="AX31" s="2510"/>
      <c r="AY31" s="2510"/>
      <c r="AZ31" s="2510"/>
      <c r="BA31" s="2510"/>
      <c r="BB31" s="2509"/>
      <c r="BC31" s="2510"/>
      <c r="BD31" s="2472"/>
      <c r="BE31" s="2472"/>
      <c r="BF31" s="2510"/>
      <c r="BG31" s="2510"/>
      <c r="BH31" s="2510"/>
      <c r="BI31" s="2510"/>
      <c r="BJ31" s="2510"/>
      <c r="BK31" s="2510"/>
      <c r="BL31" s="2510"/>
      <c r="BM31" s="2510"/>
      <c r="BN31" s="2510"/>
      <c r="BO31" s="2510"/>
      <c r="BP31" s="2510"/>
      <c r="BQ31" s="2510"/>
      <c r="BR31" s="2510"/>
      <c r="BS31" s="2510"/>
      <c r="BT31" s="2510"/>
      <c r="BU31" s="2510"/>
      <c r="BV31" s="2472">
        <v>720</v>
      </c>
      <c r="BW31" s="2510"/>
      <c r="BX31" s="2510"/>
      <c r="BY31" s="2510"/>
      <c r="BZ31" s="2510"/>
      <c r="CA31" s="2510"/>
      <c r="CB31" s="2472">
        <v>720</v>
      </c>
      <c r="CC31" s="2510"/>
      <c r="CD31" s="2510"/>
      <c r="CE31" s="2510"/>
      <c r="CF31" s="2510"/>
      <c r="CG31" s="2510"/>
      <c r="CH31" s="2510"/>
      <c r="CI31" s="2472"/>
      <c r="CJ31" s="2510"/>
      <c r="CK31" s="2510"/>
      <c r="CL31" s="2510"/>
      <c r="CM31" s="2510"/>
      <c r="CN31" s="2510"/>
      <c r="CO31" s="2472"/>
      <c r="CP31" s="2472">
        <v>720</v>
      </c>
      <c r="CQ31" s="2510"/>
      <c r="CR31" s="2510"/>
      <c r="CS31" s="2510"/>
      <c r="CT31" s="2510"/>
      <c r="CU31" s="2510"/>
      <c r="CV31" s="2510"/>
      <c r="CW31" s="2510"/>
      <c r="CX31" s="2510"/>
      <c r="CY31" s="2510"/>
      <c r="CZ31" s="2510"/>
      <c r="DA31" s="2510"/>
      <c r="DB31" s="2510"/>
      <c r="DC31" s="3653"/>
      <c r="DD31" s="2472"/>
      <c r="DE31" s="2510"/>
      <c r="DF31" s="2510"/>
      <c r="DG31" s="2510"/>
      <c r="DH31" s="2510"/>
      <c r="DI31" s="2510"/>
      <c r="DJ31" s="2510"/>
      <c r="DK31" s="2510"/>
      <c r="DL31" s="2510"/>
      <c r="DM31" s="2510"/>
      <c r="DN31" s="2472"/>
      <c r="DO31" s="2472"/>
      <c r="DP31" s="2510"/>
      <c r="DQ31" s="2510"/>
      <c r="DR31" s="2510"/>
      <c r="DS31" s="2510"/>
      <c r="DT31" s="2510"/>
      <c r="DU31" s="2510"/>
      <c r="DV31" s="2510"/>
      <c r="DW31" s="2510"/>
      <c r="DX31" s="2472">
        <v>720</v>
      </c>
      <c r="DY31" s="2510"/>
      <c r="DZ31" s="2510"/>
      <c r="EA31" s="2510"/>
      <c r="EB31" s="2510"/>
      <c r="EC31" s="2510"/>
      <c r="ED31" s="2472"/>
      <c r="EE31" s="2472"/>
      <c r="EF31" s="2510"/>
      <c r="EG31" s="2510"/>
      <c r="EH31" s="2510"/>
      <c r="EI31" s="2510"/>
      <c r="EJ31" s="2510"/>
      <c r="EK31" s="2510"/>
      <c r="EL31" s="2510"/>
      <c r="EM31" s="2510"/>
      <c r="EN31" s="2472"/>
      <c r="EO31" s="2510"/>
      <c r="EP31" s="2510"/>
      <c r="EQ31" s="2510"/>
      <c r="ER31" s="2510"/>
      <c r="ES31" s="2510"/>
      <c r="ET31" s="2510"/>
      <c r="EU31" s="2510"/>
      <c r="EV31" s="2510"/>
      <c r="EW31" s="2510"/>
      <c r="EX31" s="2510"/>
      <c r="EY31" s="2510"/>
      <c r="EZ31" s="2510"/>
      <c r="FA31" s="2510"/>
      <c r="FB31" s="2510"/>
      <c r="FC31" s="2510"/>
      <c r="FD31" s="2510"/>
      <c r="FE31" s="2472">
        <v>720</v>
      </c>
      <c r="FF31" s="2510"/>
      <c r="FG31" s="2472">
        <v>720</v>
      </c>
      <c r="FH31" s="2472">
        <v>720</v>
      </c>
      <c r="FI31" s="2510"/>
      <c r="FJ31" s="2510"/>
      <c r="FK31" s="2510"/>
      <c r="FL31" s="2510"/>
      <c r="FM31" s="2510"/>
      <c r="FN31" s="2510"/>
      <c r="FO31" s="2510"/>
      <c r="FP31" s="3653"/>
      <c r="FQ31" s="2510"/>
      <c r="FR31" s="2510"/>
      <c r="FS31" s="2510"/>
      <c r="FT31" s="2510"/>
      <c r="FU31" s="2510"/>
      <c r="FV31" s="2510"/>
      <c r="FW31" s="2510"/>
      <c r="FX31" s="2510"/>
      <c r="FY31" s="2510"/>
      <c r="FZ31" s="2510"/>
      <c r="GA31" s="2510"/>
      <c r="GB31" s="2510"/>
      <c r="GC31" s="2510"/>
      <c r="GD31" s="2510"/>
      <c r="GE31" s="2510"/>
      <c r="GF31" s="2510"/>
      <c r="GG31" s="2510"/>
      <c r="GH31" s="2510"/>
      <c r="GI31" s="2472">
        <v>720</v>
      </c>
      <c r="GJ31" s="2510"/>
      <c r="GK31" s="2510"/>
      <c r="GL31" s="2510"/>
      <c r="GM31" s="2510"/>
      <c r="GN31" s="2472"/>
      <c r="GO31" s="2472"/>
      <c r="GP31" s="2510"/>
      <c r="GQ31" s="2472"/>
      <c r="GR31" s="2510"/>
      <c r="GS31" s="2510"/>
      <c r="GT31" s="2510"/>
      <c r="GU31" s="2510"/>
      <c r="GV31" s="2510"/>
      <c r="GW31" s="2472"/>
      <c r="GX31" s="2510"/>
      <c r="GY31" s="2510"/>
      <c r="GZ31" s="2510"/>
      <c r="HA31" s="2510"/>
      <c r="HB31" s="2472"/>
      <c r="HC31" s="2510"/>
      <c r="HD31" s="2510"/>
      <c r="HE31" s="2510"/>
      <c r="HF31" s="2510"/>
      <c r="HG31" s="2510"/>
      <c r="HH31" s="2510"/>
      <c r="HI31" s="2510"/>
      <c r="HJ31" s="2510"/>
      <c r="HK31" s="2510"/>
      <c r="HL31" s="2510"/>
      <c r="HM31" s="2510"/>
      <c r="HN31" s="2510"/>
      <c r="HO31" s="2510"/>
      <c r="HP31" s="2510"/>
      <c r="HQ31" s="2510"/>
      <c r="HR31" s="2510"/>
      <c r="HS31" s="2510"/>
      <c r="HT31" s="2472">
        <v>720</v>
      </c>
      <c r="HU31" s="2472"/>
      <c r="HV31" s="2472">
        <v>720</v>
      </c>
      <c r="HW31" s="2510"/>
      <c r="HX31" s="2510"/>
      <c r="HY31" s="2510"/>
      <c r="HZ31" s="2510"/>
      <c r="IA31" s="2510"/>
      <c r="IB31" s="2510"/>
      <c r="IC31" s="2510"/>
      <c r="ID31" s="2510"/>
      <c r="IE31" s="2510"/>
      <c r="IF31" s="2510"/>
      <c r="IG31" s="2510"/>
      <c r="IH31" s="2510"/>
      <c r="II31" s="2510"/>
      <c r="IJ31" s="2510"/>
      <c r="IK31" s="2510"/>
      <c r="IL31" s="2510"/>
      <c r="IM31" s="2510"/>
      <c r="IN31" s="2510"/>
      <c r="IO31" s="2472"/>
      <c r="IP31" s="2510"/>
      <c r="IQ31" s="2510"/>
      <c r="IR31" s="2510"/>
      <c r="IS31" s="2510"/>
      <c r="IT31" s="2510"/>
      <c r="IU31" s="2510"/>
      <c r="IV31" s="2510"/>
      <c r="IW31" s="2510"/>
      <c r="IX31" s="2510"/>
      <c r="IY31" s="2510"/>
      <c r="IZ31" s="2510"/>
      <c r="JA31" s="2510"/>
      <c r="JB31" s="2510"/>
      <c r="JC31" s="2510"/>
      <c r="JD31" s="2510"/>
      <c r="JE31" s="2510"/>
      <c r="JF31" s="3728"/>
      <c r="JG31" s="2479"/>
      <c r="JH31" s="1233"/>
      <c r="JI31" s="4292" t="s">
        <v>8873</v>
      </c>
      <c r="JJ31" s="4292" t="s">
        <v>6108</v>
      </c>
    </row>
    <row ht="45" r="32" spans="1:270" x14ac:dyDescent="0.2">
      <c r="A32" s="1128">
        <v>31</v>
      </c>
      <c r="B32" s="1347" t="str">
        <f si="2" t="shared"/>
        <v/>
      </c>
      <c r="C32" s="1349" t="s">
        <v>4005</v>
      </c>
      <c r="D32" s="1350" t="s">
        <v>5465</v>
      </c>
      <c r="E32" s="2514"/>
      <c r="F32" s="2514"/>
      <c r="G32" s="2514"/>
      <c r="H32" s="2514"/>
      <c r="I32" s="2514"/>
      <c r="J32" s="2514"/>
      <c r="K32" s="2514"/>
      <c r="L32" s="2514"/>
      <c r="M32" s="2514">
        <f>MAX(0, (M24+M30+M31)-(M25+M26+M27+M28))</f>
        <v>3903</v>
      </c>
      <c r="N32" s="2515"/>
      <c r="O32" s="2515"/>
      <c r="P32" s="2515"/>
      <c r="Q32" s="2515"/>
      <c r="R32" s="2516"/>
      <c r="S32" s="2516"/>
      <c r="T32" s="2516"/>
      <c r="U32" s="2516"/>
      <c r="V32" s="2516"/>
      <c r="W32" s="2516"/>
      <c r="X32" s="2516"/>
      <c r="Y32" s="2516"/>
      <c r="Z32" s="2514">
        <v>21875</v>
      </c>
      <c r="AA32" s="2516"/>
      <c r="AB32" s="2516"/>
      <c r="AC32" s="2514">
        <f>MAX(0, (AC24+AC30+AC31)-(AC25+AC26+AC27+AC28))</f>
        <v>0</v>
      </c>
      <c r="AD32" s="2539"/>
      <c r="AE32" s="2539"/>
      <c r="AF32" s="2539"/>
      <c r="AG32" s="2539"/>
      <c r="AH32" s="2539"/>
      <c r="AI32" s="2516"/>
      <c r="AJ32" s="2516"/>
      <c r="AK32" s="2516"/>
      <c r="AL32" s="2516"/>
      <c r="AM32" s="2516"/>
      <c r="AN32" s="2516"/>
      <c r="AO32" s="2514">
        <f>MAX(0, (AO24+AO30+AO31)-(AO25+AO26+AO27+AO28))</f>
        <v>3903</v>
      </c>
      <c r="AP32" s="2516"/>
      <c r="AQ32" s="2516"/>
      <c r="AR32" s="2516"/>
      <c r="AS32" s="2516"/>
      <c r="AT32" s="2514">
        <f>MAX(0, (AT24+AT30+AT31)-(AT25+AT26+AT27+AT28))</f>
        <v>0</v>
      </c>
      <c r="AU32" s="2516"/>
      <c r="AV32" s="2514">
        <f>MAX(0, (AV24+AV30+AV31)-(AV25+AV26+AV27+AV28))</f>
        <v>54095</v>
      </c>
      <c r="AW32" s="2516"/>
      <c r="AX32" s="2516"/>
      <c r="AY32" s="2516"/>
      <c r="AZ32" s="2516"/>
      <c r="BA32" s="2516"/>
      <c r="BB32" s="2515"/>
      <c r="BC32" s="2516"/>
      <c r="BD32" s="2514">
        <f>MAX(0, (BD24+BD30+BD31)-(BD25+BD26+BD27+BD28))</f>
        <v>0</v>
      </c>
      <c r="BE32" s="3868">
        <f>MAX(0, (BE24+BE30+BE31)-(BE25+BE26+BE27+BE28))</f>
        <v>5500</v>
      </c>
      <c r="BF32" s="2516"/>
      <c r="BG32" s="2516"/>
      <c r="BH32" s="2516"/>
      <c r="BI32" s="2516"/>
      <c r="BJ32" s="2516"/>
      <c r="BK32" s="2516"/>
      <c r="BL32" s="2516"/>
      <c r="BM32" s="2516"/>
      <c r="BN32" s="2516"/>
      <c r="BO32" s="2516"/>
      <c r="BP32" s="2516"/>
      <c r="BQ32" s="2516"/>
      <c r="BR32" s="2516"/>
      <c r="BS32" s="2516"/>
      <c r="BT32" s="2516"/>
      <c r="BU32" s="2516"/>
      <c r="BV32" s="2514">
        <f>MAX(0, (BV24+BV30+BV31)-(BV25+BV26+BV27+BV28))</f>
        <v>3903</v>
      </c>
      <c r="BW32" s="2516"/>
      <c r="BX32" s="2516"/>
      <c r="BY32" s="2516"/>
      <c r="BZ32" s="2516"/>
      <c r="CA32" s="2516"/>
      <c r="CB32" s="2514">
        <f>MAX(0, (CB24+CB30+CB31)-(CB25+CB26+CB27+CB28))</f>
        <v>3903</v>
      </c>
      <c r="CC32" s="2516"/>
      <c r="CD32" s="2516"/>
      <c r="CE32" s="2516"/>
      <c r="CF32" s="2516"/>
      <c r="CG32" s="2516"/>
      <c r="CH32" s="2516"/>
      <c r="CI32" s="2514">
        <f>MAX(0, (CI24+CI30+CI31)-(CI25+CI26+CI27+CI28))</f>
        <v>0</v>
      </c>
      <c r="CJ32" s="2516"/>
      <c r="CK32" s="2516"/>
      <c r="CL32" s="2516"/>
      <c r="CM32" s="2516"/>
      <c r="CN32" s="2516"/>
      <c r="CO32" s="2514">
        <f>MAX(0, (CO24+CO30+CO31)-(CO25+CO26+CO27+CO28))</f>
        <v>0</v>
      </c>
      <c r="CP32" s="2514">
        <f>MAX(0, (CP24+CP30+CP31)-(CP25+CP26+CP27+CP28))</f>
        <v>3903</v>
      </c>
      <c r="CQ32" s="2516"/>
      <c r="CR32" s="2516"/>
      <c r="CS32" s="2516"/>
      <c r="CT32" s="2516"/>
      <c r="CU32" s="2516"/>
      <c r="CV32" s="2516"/>
      <c r="CW32" s="2516"/>
      <c r="CX32" s="2516"/>
      <c r="CY32" s="2516"/>
      <c r="CZ32" s="2516"/>
      <c r="DA32" s="2516"/>
      <c r="DB32" s="2516"/>
      <c r="DC32" s="3654">
        <f>MAX(0, (DC24+DC30+DC31)-(DC25+DC26+DC27+DC28))</f>
        <v>0</v>
      </c>
      <c r="DD32" s="2514">
        <v>21875</v>
      </c>
      <c r="DE32" s="2516"/>
      <c r="DF32" s="2516"/>
      <c r="DG32" s="2516"/>
      <c r="DH32" s="2516"/>
      <c r="DI32" s="2516"/>
      <c r="DJ32" s="2516"/>
      <c r="DK32" s="2516"/>
      <c r="DL32" s="2516"/>
      <c r="DM32" s="2516"/>
      <c r="DN32" s="2514">
        <v>21875</v>
      </c>
      <c r="DO32" s="2514">
        <f>MAX(0, (DO24+DO30+DO31)-(DO25+DO26+DO27+DO28))</f>
        <v>0</v>
      </c>
      <c r="DP32" s="2516"/>
      <c r="DQ32" s="2516"/>
      <c r="DR32" s="2516"/>
      <c r="DS32" s="2516"/>
      <c r="DT32" s="2516"/>
      <c r="DU32" s="2516"/>
      <c r="DV32" s="2516"/>
      <c r="DW32" s="2516"/>
      <c r="DX32" s="2514">
        <f>MAX(0, (DX24+DX30+DX31)-(DX25+DX26+DX27+DX28))</f>
        <v>3903</v>
      </c>
      <c r="DY32" s="2516"/>
      <c r="DZ32" s="2516"/>
      <c r="EA32" s="2516"/>
      <c r="EB32" s="2516"/>
      <c r="EC32" s="2516"/>
      <c r="ED32" s="2514">
        <f>MAX(0, (ED24+ED30+ED31)-(ED25+ED26+ED27+ED28))</f>
        <v>4000</v>
      </c>
      <c r="EE32" s="2514">
        <f>MAX(0, (EE24+EE30+EE31)-(EE25+EE26+EE27+EE28))</f>
        <v>0</v>
      </c>
      <c r="EF32" s="2516"/>
      <c r="EG32" s="2516"/>
      <c r="EH32" s="2516"/>
      <c r="EI32" s="2516"/>
      <c r="EJ32" s="2516"/>
      <c r="EK32" s="2516"/>
      <c r="EL32" s="2516"/>
      <c r="EM32" s="2516"/>
      <c r="EN32" s="2514">
        <f>MAX(0, (EN24+EN30+EN31)-(EN25+EN26+EN27+EN28))</f>
        <v>4000</v>
      </c>
      <c r="EO32" s="2516"/>
      <c r="EP32" s="2516"/>
      <c r="EQ32" s="2516"/>
      <c r="ER32" s="2516"/>
      <c r="ES32" s="2516"/>
      <c r="ET32" s="2516"/>
      <c r="EU32" s="2516"/>
      <c r="EV32" s="2516"/>
      <c r="EW32" s="2516"/>
      <c r="EX32" s="2516"/>
      <c r="EY32" s="2516"/>
      <c r="EZ32" s="2516"/>
      <c r="FA32" s="2516"/>
      <c r="FB32" s="2516"/>
      <c r="FC32" s="2516"/>
      <c r="FD32" s="2516"/>
      <c r="FE32" s="2514">
        <f>MAX(0, (FE24+FE30+FE31)-(FE25+FE26+FE27+FE28))</f>
        <v>3903</v>
      </c>
      <c r="FF32" s="2516"/>
      <c r="FG32" s="2514">
        <f>MAX(0, (FG24+FG30+FG31)-(FG25+FG26+FG27+FG28))</f>
        <v>3903</v>
      </c>
      <c r="FH32" s="2514">
        <f>MAX(0, (FH24+FH30+FH31)-(FH25+FH26+FH27+FH28))</f>
        <v>3903</v>
      </c>
      <c r="FI32" s="2516"/>
      <c r="FJ32" s="2516"/>
      <c r="FK32" s="2516"/>
      <c r="FL32" s="2516"/>
      <c r="FM32" s="2516"/>
      <c r="FN32" s="2516"/>
      <c r="FO32" s="2516"/>
      <c r="FP32" s="3654">
        <f>MAX(0, (FP24+FP30+FP31)-(FP25+FP26+FP27+FP28))</f>
        <v>0</v>
      </c>
      <c r="FQ32" s="2516"/>
      <c r="FR32" s="2516"/>
      <c r="FS32" s="2516"/>
      <c r="FT32" s="2516"/>
      <c r="FU32" s="2516"/>
      <c r="FV32" s="2516"/>
      <c r="FW32" s="2516"/>
      <c r="FX32" s="2516"/>
      <c r="FY32" s="2516"/>
      <c r="FZ32" s="2516"/>
      <c r="GA32" s="2516"/>
      <c r="GB32" s="2516"/>
      <c r="GC32" s="2516"/>
      <c r="GD32" s="2516"/>
      <c r="GE32" s="2516"/>
      <c r="GF32" s="2516"/>
      <c r="GG32" s="2516"/>
      <c r="GH32" s="2516"/>
      <c r="GI32" s="2514">
        <f>MAX(0, (GI24+GI30+GI31)-(GI25+GI26+GI27+GI28))</f>
        <v>3903</v>
      </c>
      <c r="GJ32" s="2516"/>
      <c r="GK32" s="2516"/>
      <c r="GL32" s="2516"/>
      <c r="GM32" s="2516"/>
      <c r="GN32" s="2514">
        <v>21875</v>
      </c>
      <c r="GO32" s="2514">
        <f>MAX(0, (GO24+GO30+GO31)-(GO25+GO26+GO27+GO28))</f>
        <v>54095</v>
      </c>
      <c r="GP32" s="2516"/>
      <c r="GQ32" s="2514">
        <f>MAX(0, (GQ24+GQ30+GQ31)-(GQ25+GQ26+GQ27+GQ28))</f>
        <v>54095</v>
      </c>
      <c r="GR32" s="2516"/>
      <c r="GS32" s="2516"/>
      <c r="GT32" s="2516"/>
      <c r="GU32" s="2516"/>
      <c r="GV32" s="2516"/>
      <c r="GW32" s="2514">
        <v>21875</v>
      </c>
      <c r="GX32" s="2516"/>
      <c r="GY32" s="2516"/>
      <c r="GZ32" s="2516"/>
      <c r="HA32" s="2516"/>
      <c r="HB32" s="2514">
        <f>MAX(0, (HB24+HB30+HB31)-(HB25+HB26+HB27+HB28))</f>
        <v>0</v>
      </c>
      <c r="HC32" s="2516"/>
      <c r="HD32" s="2516"/>
      <c r="HE32" s="2516"/>
      <c r="HF32" s="2516"/>
      <c r="HG32" s="2516"/>
      <c r="HH32" s="2516"/>
      <c r="HI32" s="2516"/>
      <c r="HJ32" s="2516"/>
      <c r="HK32" s="2516"/>
      <c r="HL32" s="2516"/>
      <c r="HM32" s="2516"/>
      <c r="HN32" s="2516"/>
      <c r="HO32" s="2516"/>
      <c r="HP32" s="2516"/>
      <c r="HQ32" s="2516"/>
      <c r="HR32" s="2516"/>
      <c r="HS32" s="2516"/>
      <c r="HT32" s="2514">
        <f>MAX(0, (HT24+HT30+HT31)-(HT25+HT26+HT27+HT28))</f>
        <v>3903</v>
      </c>
      <c r="HU32" s="2514">
        <v>21875</v>
      </c>
      <c r="HV32" s="2514">
        <f>MAX(0, (HV24+HV30+HV31)-(HV25+HV26+HV27+HV28))</f>
        <v>3903</v>
      </c>
      <c r="HW32" s="2516"/>
      <c r="HX32" s="2516"/>
      <c r="HY32" s="2516"/>
      <c r="HZ32" s="2516"/>
      <c r="IA32" s="2516"/>
      <c r="IB32" s="2516"/>
      <c r="IC32" s="2516"/>
      <c r="ID32" s="2516"/>
      <c r="IE32" s="2516"/>
      <c r="IF32" s="2516"/>
      <c r="IG32" s="2516"/>
      <c r="IH32" s="2516"/>
      <c r="II32" s="2516"/>
      <c r="IJ32" s="2516"/>
      <c r="IK32" s="2516"/>
      <c r="IL32" s="2516"/>
      <c r="IM32" s="2516"/>
      <c r="IN32" s="2516"/>
      <c r="IO32" s="2514">
        <f>MAX(0, (IO24+IO30+IO31)-(IO25+IO26+IO27+IO28))</f>
        <v>0</v>
      </c>
      <c r="IP32" s="2516"/>
      <c r="IQ32" s="2516"/>
      <c r="IR32" s="2516"/>
      <c r="IS32" s="2516"/>
      <c r="IT32" s="2516"/>
      <c r="IU32" s="2516"/>
      <c r="IV32" s="2516"/>
      <c r="IW32" s="2516"/>
      <c r="IX32" s="2516"/>
      <c r="IY32" s="2516"/>
      <c r="IZ32" s="2516"/>
      <c r="JA32" s="2516"/>
      <c r="JB32" s="2516"/>
      <c r="JC32" s="2516"/>
      <c r="JD32" s="2516"/>
      <c r="JE32" s="2516"/>
      <c r="JF32" s="3868">
        <f>MAX(0, (JF24+JF30+JF31)-(JF25+JF26+JF27+JF28))</f>
        <v>100</v>
      </c>
      <c r="JG32" s="2517"/>
      <c r="JH32" s="1233"/>
      <c r="JI32" s="4293" t="s">
        <v>8874</v>
      </c>
      <c r="JJ32" s="4292" t="s">
        <v>6124</v>
      </c>
    </row>
    <row r="33" spans="1:270" x14ac:dyDescent="0.2">
      <c r="A33" s="1128">
        <v>32</v>
      </c>
      <c r="B33" s="1347" t="str">
        <f si="2" t="shared"/>
        <v/>
      </c>
      <c r="C33" s="1349" t="s">
        <v>4006</v>
      </c>
      <c r="D33" s="1350" t="s">
        <v>5466</v>
      </c>
      <c r="E33" s="2518"/>
      <c r="F33" s="2518"/>
      <c r="G33" s="2518"/>
      <c r="H33" s="2518"/>
      <c r="I33" s="2518"/>
      <c r="J33" s="2518"/>
      <c r="K33" s="2518"/>
      <c r="L33" s="2519"/>
      <c r="M33" s="2518"/>
      <c r="N33" s="2520"/>
      <c r="O33" s="2520"/>
      <c r="P33" s="2520"/>
      <c r="Q33" s="2520"/>
      <c r="R33" s="2521"/>
      <c r="S33" s="2521"/>
      <c r="T33" s="2521"/>
      <c r="U33" s="2521"/>
      <c r="V33" s="2521"/>
      <c r="W33" s="2521"/>
      <c r="X33" s="2521"/>
      <c r="Y33" s="2521"/>
      <c r="Z33" s="2518"/>
      <c r="AA33" s="2521"/>
      <c r="AB33" s="2521"/>
      <c r="AC33" s="2518"/>
      <c r="AD33" s="2888"/>
      <c r="AE33" s="2888"/>
      <c r="AF33" s="2888"/>
      <c r="AG33" s="2888"/>
      <c r="AH33" s="2888"/>
      <c r="AI33" s="2521"/>
      <c r="AJ33" s="2521"/>
      <c r="AK33" s="2521"/>
      <c r="AL33" s="2521"/>
      <c r="AM33" s="2521"/>
      <c r="AN33" s="2521"/>
      <c r="AO33" s="2518"/>
      <c r="AP33" s="2521"/>
      <c r="AQ33" s="2521"/>
      <c r="AR33" s="2521"/>
      <c r="AS33" s="2521"/>
      <c r="AT33" s="2518"/>
      <c r="AU33" s="2521"/>
      <c r="AV33" s="2518">
        <v>7295</v>
      </c>
      <c r="AW33" s="2521"/>
      <c r="AX33" s="2521"/>
      <c r="AY33" s="2521"/>
      <c r="AZ33" s="2521"/>
      <c r="BA33" s="2521"/>
      <c r="BB33" s="2520"/>
      <c r="BC33" s="2521"/>
      <c r="BD33" s="2518"/>
      <c r="BE33" s="2518"/>
      <c r="BF33" s="2521"/>
      <c r="BG33" s="2521"/>
      <c r="BH33" s="2521"/>
      <c r="BI33" s="2521"/>
      <c r="BJ33" s="2521"/>
      <c r="BK33" s="2521"/>
      <c r="BL33" s="2521"/>
      <c r="BM33" s="2521"/>
      <c r="BN33" s="2521"/>
      <c r="BO33" s="2521"/>
      <c r="BP33" s="2521"/>
      <c r="BQ33" s="2521"/>
      <c r="BR33" s="2521"/>
      <c r="BS33" s="2521"/>
      <c r="BT33" s="2521"/>
      <c r="BU33" s="2521"/>
      <c r="BV33" s="2518"/>
      <c r="BW33" s="2521"/>
      <c r="BX33" s="2521"/>
      <c r="BY33" s="2521"/>
      <c r="BZ33" s="2521"/>
      <c r="CA33" s="2521"/>
      <c r="CB33" s="2518"/>
      <c r="CC33" s="2521"/>
      <c r="CD33" s="2521"/>
      <c r="CE33" s="2521"/>
      <c r="CF33" s="2521"/>
      <c r="CG33" s="2521"/>
      <c r="CH33" s="2521"/>
      <c r="CI33" s="2518"/>
      <c r="CJ33" s="2521"/>
      <c r="CK33" s="2521"/>
      <c r="CL33" s="2521"/>
      <c r="CM33" s="2521"/>
      <c r="CN33" s="2521"/>
      <c r="CO33" s="2518"/>
      <c r="CP33" s="2518"/>
      <c r="CQ33" s="2521"/>
      <c r="CR33" s="2521"/>
      <c r="CS33" s="2521"/>
      <c r="CT33" s="2521"/>
      <c r="CU33" s="2521"/>
      <c r="CV33" s="2521"/>
      <c r="CW33" s="2521"/>
      <c r="CX33" s="2521"/>
      <c r="CY33" s="2521"/>
      <c r="CZ33" s="2521"/>
      <c r="DA33" s="2521"/>
      <c r="DB33" s="2521"/>
      <c r="DC33" s="3655"/>
      <c r="DD33" s="2518"/>
      <c r="DE33" s="2521"/>
      <c r="DF33" s="2521"/>
      <c r="DG33" s="2521"/>
      <c r="DH33" s="2521"/>
      <c r="DI33" s="2521"/>
      <c r="DJ33" s="2521"/>
      <c r="DK33" s="2521"/>
      <c r="DL33" s="2521"/>
      <c r="DM33" s="2521"/>
      <c r="DN33" s="2518"/>
      <c r="DO33" s="2518"/>
      <c r="DP33" s="2521"/>
      <c r="DQ33" s="2521"/>
      <c r="DR33" s="2521"/>
      <c r="DS33" s="2521"/>
      <c r="DT33" s="2521"/>
      <c r="DU33" s="2521"/>
      <c r="DV33" s="2521"/>
      <c r="DW33" s="2521"/>
      <c r="DX33" s="2518"/>
      <c r="DY33" s="2521"/>
      <c r="DZ33" s="2521"/>
      <c r="EA33" s="2521"/>
      <c r="EB33" s="2521"/>
      <c r="EC33" s="2521"/>
      <c r="ED33" s="2518"/>
      <c r="EE33" s="2518"/>
      <c r="EF33" s="2521"/>
      <c r="EG33" s="2521"/>
      <c r="EH33" s="2521"/>
      <c r="EI33" s="2521"/>
      <c r="EJ33" s="2521"/>
      <c r="EK33" s="2521"/>
      <c r="EL33" s="2521"/>
      <c r="EM33" s="2521"/>
      <c r="EN33" s="2518"/>
      <c r="EO33" s="2521"/>
      <c r="EP33" s="2521"/>
      <c r="EQ33" s="2521"/>
      <c r="ER33" s="2521"/>
      <c r="ES33" s="2521"/>
      <c r="ET33" s="2521"/>
      <c r="EU33" s="2521"/>
      <c r="EV33" s="2521"/>
      <c r="EW33" s="2521"/>
      <c r="EX33" s="2521"/>
      <c r="EY33" s="2521"/>
      <c r="EZ33" s="2521"/>
      <c r="FA33" s="2521"/>
      <c r="FB33" s="2521"/>
      <c r="FC33" s="2521"/>
      <c r="FD33" s="2521"/>
      <c r="FE33" s="2518"/>
      <c r="FF33" s="2521"/>
      <c r="FG33" s="2518"/>
      <c r="FH33" s="2518"/>
      <c r="FI33" s="2521"/>
      <c r="FJ33" s="2521"/>
      <c r="FK33" s="2521"/>
      <c r="FL33" s="2521"/>
      <c r="FM33" s="2521"/>
      <c r="FN33" s="2521"/>
      <c r="FO33" s="2521"/>
      <c r="FP33" s="3655"/>
      <c r="FQ33" s="2521"/>
      <c r="FR33" s="2521"/>
      <c r="FS33" s="2521"/>
      <c r="FT33" s="2521"/>
      <c r="FU33" s="2521"/>
      <c r="FV33" s="2521"/>
      <c r="FW33" s="2521"/>
      <c r="FX33" s="2521"/>
      <c r="FY33" s="2521"/>
      <c r="FZ33" s="2521"/>
      <c r="GA33" s="2521"/>
      <c r="GB33" s="2521"/>
      <c r="GC33" s="2521"/>
      <c r="GD33" s="2521"/>
      <c r="GE33" s="2521"/>
      <c r="GF33" s="2521"/>
      <c r="GG33" s="2521"/>
      <c r="GH33" s="2521"/>
      <c r="GI33" s="2518"/>
      <c r="GJ33" s="2521"/>
      <c r="GK33" s="2521"/>
      <c r="GL33" s="2521"/>
      <c r="GM33" s="2521"/>
      <c r="GN33" s="2518"/>
      <c r="GO33" s="2518">
        <v>7295</v>
      </c>
      <c r="GP33" s="2521"/>
      <c r="GQ33" s="2518">
        <v>7295</v>
      </c>
      <c r="GR33" s="2521"/>
      <c r="GS33" s="2521"/>
      <c r="GT33" s="2521"/>
      <c r="GU33" s="2521"/>
      <c r="GV33" s="2521"/>
      <c r="GW33" s="2518"/>
      <c r="GX33" s="2521"/>
      <c r="GY33" s="2521"/>
      <c r="GZ33" s="2521"/>
      <c r="HA33" s="2521"/>
      <c r="HB33" s="2518"/>
      <c r="HC33" s="2521"/>
      <c r="HD33" s="2521"/>
      <c r="HE33" s="2521"/>
      <c r="HF33" s="2521"/>
      <c r="HG33" s="2521"/>
      <c r="HH33" s="2521"/>
      <c r="HI33" s="2521"/>
      <c r="HJ33" s="2521"/>
      <c r="HK33" s="2521"/>
      <c r="HL33" s="2521"/>
      <c r="HM33" s="2521"/>
      <c r="HN33" s="2521"/>
      <c r="HO33" s="2521"/>
      <c r="HP33" s="2521"/>
      <c r="HQ33" s="2521"/>
      <c r="HR33" s="2521"/>
      <c r="HS33" s="2521"/>
      <c r="HT33" s="2518"/>
      <c r="HU33" s="2518"/>
      <c r="HV33" s="2518"/>
      <c r="HW33" s="2521"/>
      <c r="HX33" s="2521"/>
      <c r="HY33" s="2521"/>
      <c r="HZ33" s="2521"/>
      <c r="IA33" s="2521"/>
      <c r="IB33" s="2521"/>
      <c r="IC33" s="2521"/>
      <c r="ID33" s="2521"/>
      <c r="IE33" s="2521"/>
      <c r="IF33" s="2521"/>
      <c r="IG33" s="2521"/>
      <c r="IH33" s="2521"/>
      <c r="II33" s="2521"/>
      <c r="IJ33" s="2521"/>
      <c r="IK33" s="2521"/>
      <c r="IL33" s="2521"/>
      <c r="IM33" s="2521"/>
      <c r="IN33" s="2521"/>
      <c r="IO33" s="2519"/>
      <c r="IP33" s="2521"/>
      <c r="IQ33" s="2521"/>
      <c r="IR33" s="2521"/>
      <c r="IS33" s="2521"/>
      <c r="IT33" s="2521"/>
      <c r="IU33" s="2521"/>
      <c r="IV33" s="2521"/>
      <c r="IW33" s="2521"/>
      <c r="IX33" s="2521"/>
      <c r="IY33" s="2521"/>
      <c r="IZ33" s="2521"/>
      <c r="JA33" s="2521"/>
      <c r="JB33" s="2521"/>
      <c r="JC33" s="2521"/>
      <c r="JD33" s="2521"/>
      <c r="JE33" s="2521"/>
      <c r="JF33" s="3731"/>
      <c r="JG33" s="2522"/>
      <c r="JH33" s="1233"/>
      <c r="JI33" s="2248" t="s">
        <v>5435</v>
      </c>
      <c r="JJ33" s="2248" t="s">
        <v>6108</v>
      </c>
    </row>
    <row r="34" spans="1:270" x14ac:dyDescent="0.2">
      <c r="A34" s="1128">
        <v>33</v>
      </c>
      <c r="B34" s="1347" t="str">
        <f si="2" t="shared"/>
        <v/>
      </c>
      <c r="C34" s="1349" t="s">
        <v>4007</v>
      </c>
      <c r="D34" s="1350" t="s">
        <v>5467</v>
      </c>
      <c r="E34" s="2472"/>
      <c r="F34" s="2472"/>
      <c r="G34" s="2472"/>
      <c r="H34" s="2472"/>
      <c r="I34" s="2472"/>
      <c r="J34" s="2472"/>
      <c r="K34" s="2472"/>
      <c r="L34" s="2472"/>
      <c r="M34" s="2472">
        <v>250</v>
      </c>
      <c r="N34" s="2509"/>
      <c r="O34" s="2509"/>
      <c r="P34" s="2509"/>
      <c r="Q34" s="2509"/>
      <c r="R34" s="2510"/>
      <c r="S34" s="2510"/>
      <c r="T34" s="2510"/>
      <c r="U34" s="2510"/>
      <c r="V34" s="2510"/>
      <c r="W34" s="2510"/>
      <c r="X34" s="2510"/>
      <c r="Y34" s="2510"/>
      <c r="Z34" s="2472"/>
      <c r="AA34" s="2510"/>
      <c r="AB34" s="2510"/>
      <c r="AC34" s="2472"/>
      <c r="AD34" s="2841"/>
      <c r="AE34" s="2841"/>
      <c r="AF34" s="2841"/>
      <c r="AG34" s="2841"/>
      <c r="AH34" s="2841"/>
      <c r="AI34" s="2510"/>
      <c r="AJ34" s="2510"/>
      <c r="AK34" s="2510"/>
      <c r="AL34" s="2510"/>
      <c r="AM34" s="2510"/>
      <c r="AN34" s="2510"/>
      <c r="AO34" s="2472">
        <v>250</v>
      </c>
      <c r="AP34" s="2510"/>
      <c r="AQ34" s="2510"/>
      <c r="AR34" s="2510"/>
      <c r="AS34" s="2510"/>
      <c r="AT34" s="2472"/>
      <c r="AU34" s="2510"/>
      <c r="AV34" s="2472"/>
      <c r="AW34" s="2510"/>
      <c r="AX34" s="2510"/>
      <c r="AY34" s="2510"/>
      <c r="AZ34" s="2510"/>
      <c r="BA34" s="2510"/>
      <c r="BB34" s="2509"/>
      <c r="BC34" s="2510"/>
      <c r="BD34" s="2472"/>
      <c r="BE34" s="2472"/>
      <c r="BF34" s="2510"/>
      <c r="BG34" s="2510"/>
      <c r="BH34" s="2510"/>
      <c r="BI34" s="2510"/>
      <c r="BJ34" s="2510"/>
      <c r="BK34" s="2510"/>
      <c r="BL34" s="2510"/>
      <c r="BM34" s="2510"/>
      <c r="BN34" s="2510"/>
      <c r="BO34" s="2510"/>
      <c r="BP34" s="2510"/>
      <c r="BQ34" s="2510"/>
      <c r="BR34" s="2510"/>
      <c r="BS34" s="2510"/>
      <c r="BT34" s="2510"/>
      <c r="BU34" s="2510"/>
      <c r="BV34" s="2472">
        <v>250</v>
      </c>
      <c r="BW34" s="2510"/>
      <c r="BX34" s="2510"/>
      <c r="BY34" s="2510"/>
      <c r="BZ34" s="2510"/>
      <c r="CA34" s="2510"/>
      <c r="CB34" s="2472">
        <v>250</v>
      </c>
      <c r="CC34" s="2510"/>
      <c r="CD34" s="2510"/>
      <c r="CE34" s="2510"/>
      <c r="CF34" s="2510"/>
      <c r="CG34" s="2510"/>
      <c r="CH34" s="2510"/>
      <c r="CI34" s="2472"/>
      <c r="CJ34" s="2510"/>
      <c r="CK34" s="2510"/>
      <c r="CL34" s="2510"/>
      <c r="CM34" s="2510"/>
      <c r="CN34" s="2510"/>
      <c r="CO34" s="2472"/>
      <c r="CP34" s="2472">
        <v>250</v>
      </c>
      <c r="CQ34" s="2510"/>
      <c r="CR34" s="2510"/>
      <c r="CS34" s="2510"/>
      <c r="CT34" s="2510"/>
      <c r="CU34" s="2510"/>
      <c r="CV34" s="2510"/>
      <c r="CW34" s="2510"/>
      <c r="CX34" s="2510"/>
      <c r="CY34" s="2510"/>
      <c r="CZ34" s="2510"/>
      <c r="DA34" s="2510"/>
      <c r="DB34" s="2510"/>
      <c r="DC34" s="3653"/>
      <c r="DD34" s="2472"/>
      <c r="DE34" s="2510"/>
      <c r="DF34" s="2510"/>
      <c r="DG34" s="2510"/>
      <c r="DH34" s="2510"/>
      <c r="DI34" s="2510"/>
      <c r="DJ34" s="2510"/>
      <c r="DK34" s="2510"/>
      <c r="DL34" s="2510"/>
      <c r="DM34" s="2510"/>
      <c r="DN34" s="2472"/>
      <c r="DO34" s="2472"/>
      <c r="DP34" s="2510"/>
      <c r="DQ34" s="2510"/>
      <c r="DR34" s="2510"/>
      <c r="DS34" s="2510"/>
      <c r="DT34" s="2510"/>
      <c r="DU34" s="2510"/>
      <c r="DV34" s="2510"/>
      <c r="DW34" s="2510"/>
      <c r="DX34" s="2472">
        <v>250</v>
      </c>
      <c r="DY34" s="2510"/>
      <c r="DZ34" s="2510"/>
      <c r="EA34" s="2510"/>
      <c r="EB34" s="2510"/>
      <c r="EC34" s="2510"/>
      <c r="ED34" s="2472"/>
      <c r="EE34" s="2472"/>
      <c r="EF34" s="2510"/>
      <c r="EG34" s="2510"/>
      <c r="EH34" s="2510"/>
      <c r="EI34" s="2510"/>
      <c r="EJ34" s="2510"/>
      <c r="EK34" s="2510"/>
      <c r="EL34" s="2510"/>
      <c r="EM34" s="2510"/>
      <c r="EN34" s="2472"/>
      <c r="EO34" s="2510"/>
      <c r="EP34" s="2510"/>
      <c r="EQ34" s="2510"/>
      <c r="ER34" s="2510"/>
      <c r="ES34" s="2510"/>
      <c r="ET34" s="2510"/>
      <c r="EU34" s="2510"/>
      <c r="EV34" s="2510"/>
      <c r="EW34" s="2510"/>
      <c r="EX34" s="2510"/>
      <c r="EY34" s="2510"/>
      <c r="EZ34" s="2510"/>
      <c r="FA34" s="2510"/>
      <c r="FB34" s="2510"/>
      <c r="FC34" s="2510"/>
      <c r="FD34" s="2510"/>
      <c r="FE34" s="2472">
        <v>250</v>
      </c>
      <c r="FF34" s="2510"/>
      <c r="FG34" s="2472">
        <v>250</v>
      </c>
      <c r="FH34" s="2472">
        <v>250</v>
      </c>
      <c r="FI34" s="2510"/>
      <c r="FJ34" s="2510"/>
      <c r="FK34" s="2510"/>
      <c r="FL34" s="2510"/>
      <c r="FM34" s="2510"/>
      <c r="FN34" s="2510"/>
      <c r="FO34" s="2510"/>
      <c r="FP34" s="3653"/>
      <c r="FQ34" s="2510"/>
      <c r="FR34" s="2510"/>
      <c r="FS34" s="2510"/>
      <c r="FT34" s="2510"/>
      <c r="FU34" s="2510"/>
      <c r="FV34" s="2510"/>
      <c r="FW34" s="2510"/>
      <c r="FX34" s="2510"/>
      <c r="FY34" s="2510"/>
      <c r="FZ34" s="2510"/>
      <c r="GA34" s="2510"/>
      <c r="GB34" s="2510"/>
      <c r="GC34" s="2510"/>
      <c r="GD34" s="2510"/>
      <c r="GE34" s="2510"/>
      <c r="GF34" s="2510"/>
      <c r="GG34" s="2510"/>
      <c r="GH34" s="2510"/>
      <c r="GI34" s="2472">
        <v>250</v>
      </c>
      <c r="GJ34" s="2510"/>
      <c r="GK34" s="2510"/>
      <c r="GL34" s="2510"/>
      <c r="GM34" s="2510"/>
      <c r="GN34" s="2472"/>
      <c r="GO34" s="2472"/>
      <c r="GP34" s="2510"/>
      <c r="GQ34" s="2472"/>
      <c r="GR34" s="2510"/>
      <c r="GS34" s="2510"/>
      <c r="GT34" s="2510"/>
      <c r="GU34" s="2510"/>
      <c r="GV34" s="2510"/>
      <c r="GW34" s="2472"/>
      <c r="GX34" s="2510"/>
      <c r="GY34" s="2510"/>
      <c r="GZ34" s="2510"/>
      <c r="HA34" s="2510"/>
      <c r="HB34" s="2472"/>
      <c r="HC34" s="2510"/>
      <c r="HD34" s="2510"/>
      <c r="HE34" s="2510"/>
      <c r="HF34" s="2510"/>
      <c r="HG34" s="2510"/>
      <c r="HH34" s="2510"/>
      <c r="HI34" s="2510"/>
      <c r="HJ34" s="2510"/>
      <c r="HK34" s="2510"/>
      <c r="HL34" s="2510"/>
      <c r="HM34" s="2510"/>
      <c r="HN34" s="2510"/>
      <c r="HO34" s="2510"/>
      <c r="HP34" s="2510"/>
      <c r="HQ34" s="2510"/>
      <c r="HR34" s="2510"/>
      <c r="HS34" s="2510"/>
      <c r="HT34" s="2472">
        <v>250</v>
      </c>
      <c r="HU34" s="2472"/>
      <c r="HV34" s="2472">
        <v>250</v>
      </c>
      <c r="HW34" s="2510"/>
      <c r="HX34" s="2510"/>
      <c r="HY34" s="2510"/>
      <c r="HZ34" s="2510"/>
      <c r="IA34" s="2510"/>
      <c r="IB34" s="2510"/>
      <c r="IC34" s="2510"/>
      <c r="ID34" s="2510"/>
      <c r="IE34" s="2510"/>
      <c r="IF34" s="2510"/>
      <c r="IG34" s="2510"/>
      <c r="IH34" s="2510"/>
      <c r="II34" s="2510"/>
      <c r="IJ34" s="2510"/>
      <c r="IK34" s="2510"/>
      <c r="IL34" s="2510"/>
      <c r="IM34" s="2510"/>
      <c r="IN34" s="2510"/>
      <c r="IO34" s="2472"/>
      <c r="IP34" s="2510"/>
      <c r="IQ34" s="2510"/>
      <c r="IR34" s="2510"/>
      <c r="IS34" s="2510"/>
      <c r="IT34" s="2510"/>
      <c r="IU34" s="2510"/>
      <c r="IV34" s="2510"/>
      <c r="IW34" s="2510"/>
      <c r="IX34" s="2510"/>
      <c r="IY34" s="2510"/>
      <c r="IZ34" s="2510"/>
      <c r="JA34" s="2510"/>
      <c r="JB34" s="2510"/>
      <c r="JC34" s="2510"/>
      <c r="JD34" s="2510"/>
      <c r="JE34" s="2510"/>
      <c r="JF34" s="3728"/>
      <c r="JG34" s="2479"/>
      <c r="JH34" s="1233"/>
      <c r="JI34" s="2248" t="s">
        <v>15</v>
      </c>
      <c r="JJ34" s="2248" t="s">
        <v>6108</v>
      </c>
    </row>
    <row ht="33.75" r="35" spans="1:270" x14ac:dyDescent="0.2">
      <c r="A35" s="1128">
        <v>34</v>
      </c>
      <c r="B35" s="1347" t="str">
        <f si="2" t="shared"/>
        <v/>
      </c>
      <c r="C35" s="1676" t="s">
        <v>1327</v>
      </c>
      <c r="D35" s="1677" t="s">
        <v>5468</v>
      </c>
      <c r="E35" s="2523"/>
      <c r="F35" s="2523"/>
      <c r="G35" s="2523"/>
      <c r="H35" s="2523"/>
      <c r="I35" s="2523"/>
      <c r="J35" s="2523"/>
      <c r="K35" s="2523"/>
      <c r="L35" s="2523"/>
      <c r="M35" s="2523">
        <f>MAX(0,M32+M34-M33)</f>
        <v>4153</v>
      </c>
      <c r="N35" s="2524"/>
      <c r="O35" s="2524"/>
      <c r="P35" s="2524"/>
      <c r="Q35" s="2524"/>
      <c r="R35" s="2525"/>
      <c r="S35" s="2525"/>
      <c r="T35" s="2525"/>
      <c r="U35" s="2525"/>
      <c r="V35" s="2525"/>
      <c r="W35" s="2525"/>
      <c r="X35" s="2525"/>
      <c r="Y35" s="2525"/>
      <c r="Z35" s="2523">
        <v>21875</v>
      </c>
      <c r="AA35" s="2525"/>
      <c r="AB35" s="2525"/>
      <c r="AC35" s="2523">
        <f>MAX(0,AC32+AC34-AC33)</f>
        <v>0</v>
      </c>
      <c r="AD35" s="3524"/>
      <c r="AE35" s="3524"/>
      <c r="AF35" s="3524"/>
      <c r="AG35" s="3524"/>
      <c r="AH35" s="3524"/>
      <c r="AI35" s="2525"/>
      <c r="AJ35" s="2525"/>
      <c r="AK35" s="2525"/>
      <c r="AL35" s="2525"/>
      <c r="AM35" s="2525"/>
      <c r="AN35" s="2525"/>
      <c r="AO35" s="2523">
        <f>MAX(0,AO32+AO34-AO33)</f>
        <v>4153</v>
      </c>
      <c r="AP35" s="2525"/>
      <c r="AQ35" s="2525"/>
      <c r="AR35" s="2525"/>
      <c r="AS35" s="2525"/>
      <c r="AT35" s="2523">
        <f>MAX(0,AT32+AT34-AT33)</f>
        <v>0</v>
      </c>
      <c r="AU35" s="2525"/>
      <c r="AV35" s="2523">
        <f>MAX(0,AV32+AV34-AV33)</f>
        <v>46800</v>
      </c>
      <c r="AW35" s="2525"/>
      <c r="AX35" s="2525"/>
      <c r="AY35" s="2525"/>
      <c r="AZ35" s="2525"/>
      <c r="BA35" s="2525"/>
      <c r="BB35" s="2524"/>
      <c r="BC35" s="2525"/>
      <c r="BD35" s="2523">
        <f>MAX(0,BD32+BD34-BD33)</f>
        <v>0</v>
      </c>
      <c r="BE35" s="3869">
        <f>MAX(0,BE32+BE34-BE33)</f>
        <v>5500</v>
      </c>
      <c r="BF35" s="2525"/>
      <c r="BG35" s="2525"/>
      <c r="BH35" s="2525"/>
      <c r="BI35" s="2525"/>
      <c r="BJ35" s="2525"/>
      <c r="BK35" s="2525"/>
      <c r="BL35" s="2525"/>
      <c r="BM35" s="2525"/>
      <c r="BN35" s="2525"/>
      <c r="BO35" s="2525"/>
      <c r="BP35" s="2525"/>
      <c r="BQ35" s="2525"/>
      <c r="BR35" s="2525"/>
      <c r="BS35" s="2525"/>
      <c r="BT35" s="2525"/>
      <c r="BU35" s="2525"/>
      <c r="BV35" s="2523">
        <f>MAX(0,BV32+BV34-BV33)</f>
        <v>4153</v>
      </c>
      <c r="BW35" s="2525"/>
      <c r="BX35" s="2525"/>
      <c r="BY35" s="2525"/>
      <c r="BZ35" s="2525"/>
      <c r="CA35" s="2525"/>
      <c r="CB35" s="2523">
        <f>MAX(0,CB32+CB34-CB33)</f>
        <v>4153</v>
      </c>
      <c r="CC35" s="2525"/>
      <c r="CD35" s="2525"/>
      <c r="CE35" s="2525"/>
      <c r="CF35" s="2525"/>
      <c r="CG35" s="2525"/>
      <c r="CH35" s="2525"/>
      <c r="CI35" s="2523">
        <f>MAX(0,CI32+CI34-CI33)</f>
        <v>0</v>
      </c>
      <c r="CJ35" s="2525"/>
      <c r="CK35" s="2525"/>
      <c r="CL35" s="2525"/>
      <c r="CM35" s="2525"/>
      <c r="CN35" s="2525"/>
      <c r="CO35" s="2523">
        <f>MAX(0,CO32+CO34-CO33)</f>
        <v>0</v>
      </c>
      <c r="CP35" s="2523">
        <f>MAX(0,CP32+CP34-CP33)</f>
        <v>4153</v>
      </c>
      <c r="CQ35" s="2525"/>
      <c r="CR35" s="2525"/>
      <c r="CS35" s="2525"/>
      <c r="CT35" s="2525"/>
      <c r="CU35" s="2525"/>
      <c r="CV35" s="2525"/>
      <c r="CW35" s="2525"/>
      <c r="CX35" s="2525"/>
      <c r="CY35" s="2525"/>
      <c r="CZ35" s="2525"/>
      <c r="DA35" s="2525"/>
      <c r="DB35" s="2525"/>
      <c r="DC35" s="3656">
        <f>MAX(0,DC32+DC34-DC33)</f>
        <v>0</v>
      </c>
      <c r="DD35" s="2523">
        <v>21875</v>
      </c>
      <c r="DE35" s="2525"/>
      <c r="DF35" s="2525"/>
      <c r="DG35" s="2525"/>
      <c r="DH35" s="2525"/>
      <c r="DI35" s="2525"/>
      <c r="DJ35" s="2525"/>
      <c r="DK35" s="2525"/>
      <c r="DL35" s="2525"/>
      <c r="DM35" s="2525"/>
      <c r="DN35" s="2523">
        <v>21875</v>
      </c>
      <c r="DO35" s="2523">
        <f>MAX(0,DO32+DO34-DO33)</f>
        <v>0</v>
      </c>
      <c r="DP35" s="2525"/>
      <c r="DQ35" s="2525"/>
      <c r="DR35" s="2525"/>
      <c r="DS35" s="2525"/>
      <c r="DT35" s="2525"/>
      <c r="DU35" s="2525"/>
      <c r="DV35" s="2525"/>
      <c r="DW35" s="2525"/>
      <c r="DX35" s="2523">
        <f>MAX(0,DX32+DX34-DX33)</f>
        <v>4153</v>
      </c>
      <c r="DY35" s="2525"/>
      <c r="DZ35" s="2525"/>
      <c r="EA35" s="2525"/>
      <c r="EB35" s="2525"/>
      <c r="EC35" s="2525"/>
      <c r="ED35" s="2523">
        <f>MAX(0,ED32+ED34-ED33)</f>
        <v>4000</v>
      </c>
      <c r="EE35" s="2523">
        <f>MAX(0,EE32+EE34-EE33)</f>
        <v>0</v>
      </c>
      <c r="EF35" s="2525"/>
      <c r="EG35" s="2525"/>
      <c r="EH35" s="2525"/>
      <c r="EI35" s="2525"/>
      <c r="EJ35" s="2525"/>
      <c r="EK35" s="2525"/>
      <c r="EL35" s="2525"/>
      <c r="EM35" s="2525"/>
      <c r="EN35" s="2523">
        <f>MAX(0,EN32+EN34-EN33)</f>
        <v>4000</v>
      </c>
      <c r="EO35" s="2525"/>
      <c r="EP35" s="2525"/>
      <c r="EQ35" s="2525"/>
      <c r="ER35" s="2525"/>
      <c r="ES35" s="2525"/>
      <c r="ET35" s="2525"/>
      <c r="EU35" s="2525"/>
      <c r="EV35" s="2525"/>
      <c r="EW35" s="2525"/>
      <c r="EX35" s="2525"/>
      <c r="EY35" s="2525"/>
      <c r="EZ35" s="2525"/>
      <c r="FA35" s="2525"/>
      <c r="FB35" s="2525"/>
      <c r="FC35" s="2525"/>
      <c r="FD35" s="2525"/>
      <c r="FE35" s="2523">
        <f>MAX(0,FE32+FE34-FE33)</f>
        <v>4153</v>
      </c>
      <c r="FF35" s="2525"/>
      <c r="FG35" s="2523">
        <f>MAX(0,FG32+FG34-FG33)</f>
        <v>4153</v>
      </c>
      <c r="FH35" s="2523">
        <f>MAX(0,FH32+FH34-FH33)</f>
        <v>4153</v>
      </c>
      <c r="FI35" s="2525"/>
      <c r="FJ35" s="2525"/>
      <c r="FK35" s="2525"/>
      <c r="FL35" s="2525"/>
      <c r="FM35" s="2525"/>
      <c r="FN35" s="2525"/>
      <c r="FO35" s="2525"/>
      <c r="FP35" s="3656">
        <f>MAX(0,FP32+FP34-FP33)</f>
        <v>0</v>
      </c>
      <c r="FQ35" s="2525"/>
      <c r="FR35" s="2525"/>
      <c r="FS35" s="2525"/>
      <c r="FT35" s="2525"/>
      <c r="FU35" s="2525"/>
      <c r="FV35" s="2525"/>
      <c r="FW35" s="2525"/>
      <c r="FX35" s="2525"/>
      <c r="FY35" s="2525"/>
      <c r="FZ35" s="2525"/>
      <c r="GA35" s="2525"/>
      <c r="GB35" s="2525"/>
      <c r="GC35" s="2525"/>
      <c r="GD35" s="2525"/>
      <c r="GE35" s="2525"/>
      <c r="GF35" s="2525"/>
      <c r="GG35" s="2525"/>
      <c r="GH35" s="2525"/>
      <c r="GI35" s="2523">
        <f>MAX(0,GI32+GI34-GI33)</f>
        <v>4153</v>
      </c>
      <c r="GJ35" s="2525"/>
      <c r="GK35" s="2525"/>
      <c r="GL35" s="2525"/>
      <c r="GM35" s="2525"/>
      <c r="GN35" s="2523">
        <v>21875</v>
      </c>
      <c r="GO35" s="2523">
        <f>MAX(0,GO32+GO34-GO33)</f>
        <v>46800</v>
      </c>
      <c r="GP35" s="2525"/>
      <c r="GQ35" s="2523">
        <f>MAX(0,GQ32+GQ34-GQ33)</f>
        <v>46800</v>
      </c>
      <c r="GR35" s="2525"/>
      <c r="GS35" s="2525"/>
      <c r="GT35" s="2525"/>
      <c r="GU35" s="2525"/>
      <c r="GV35" s="2525"/>
      <c r="GW35" s="2523">
        <v>21875</v>
      </c>
      <c r="GX35" s="2525"/>
      <c r="GY35" s="2525"/>
      <c r="GZ35" s="2525"/>
      <c r="HA35" s="2525"/>
      <c r="HB35" s="2523">
        <f>MAX(0,HB32+HB34-HB33)</f>
        <v>0</v>
      </c>
      <c r="HC35" s="2525"/>
      <c r="HD35" s="2525"/>
      <c r="HE35" s="2525"/>
      <c r="HF35" s="2525"/>
      <c r="HG35" s="2525"/>
      <c r="HH35" s="2525"/>
      <c r="HI35" s="2525"/>
      <c r="HJ35" s="2525"/>
      <c r="HK35" s="2525"/>
      <c r="HL35" s="2525"/>
      <c r="HM35" s="2525"/>
      <c r="HN35" s="2525"/>
      <c r="HO35" s="2525"/>
      <c r="HP35" s="2525"/>
      <c r="HQ35" s="2525"/>
      <c r="HR35" s="2525"/>
      <c r="HS35" s="2525"/>
      <c r="HT35" s="2523">
        <f>MAX(0,HT32+HT34-HT33)</f>
        <v>4153</v>
      </c>
      <c r="HU35" s="2523">
        <v>21875</v>
      </c>
      <c r="HV35" s="2523">
        <f>MAX(0,HV32+HV34-HV33)</f>
        <v>4153</v>
      </c>
      <c r="HW35" s="2525"/>
      <c r="HX35" s="2525"/>
      <c r="HY35" s="2525"/>
      <c r="HZ35" s="2525"/>
      <c r="IA35" s="2525"/>
      <c r="IB35" s="2525"/>
      <c r="IC35" s="2525"/>
      <c r="ID35" s="2525"/>
      <c r="IE35" s="2525"/>
      <c r="IF35" s="2525"/>
      <c r="IG35" s="2525"/>
      <c r="IH35" s="2525"/>
      <c r="II35" s="2525"/>
      <c r="IJ35" s="2525"/>
      <c r="IK35" s="2525"/>
      <c r="IL35" s="2525"/>
      <c r="IM35" s="2525"/>
      <c r="IN35" s="2525"/>
      <c r="IO35" s="2523">
        <f>MAX(0,IO32+IO34-IO33)</f>
        <v>0</v>
      </c>
      <c r="IP35" s="2525"/>
      <c r="IQ35" s="2525"/>
      <c r="IR35" s="2525"/>
      <c r="IS35" s="2525"/>
      <c r="IT35" s="2525"/>
      <c r="IU35" s="2525"/>
      <c r="IV35" s="2525"/>
      <c r="IW35" s="2525"/>
      <c r="IX35" s="2525"/>
      <c r="IY35" s="2525"/>
      <c r="IZ35" s="2525"/>
      <c r="JA35" s="2525"/>
      <c r="JB35" s="2525"/>
      <c r="JC35" s="2525"/>
      <c r="JD35" s="2525"/>
      <c r="JE35" s="2525"/>
      <c r="JF35" s="3869">
        <f>MAX(0,JF32+JF34-JF33)</f>
        <v>100</v>
      </c>
      <c r="JG35" s="2526"/>
      <c r="JH35" s="1233"/>
      <c r="JI35" s="2248" t="s">
        <v>5436</v>
      </c>
      <c r="JJ35" s="2248" t="s">
        <v>6124</v>
      </c>
    </row>
    <row ht="67.5" r="36" spans="1:270" x14ac:dyDescent="0.2">
      <c r="A36" s="1128">
        <v>35</v>
      </c>
      <c r="B36" s="1347" t="str">
        <f si="2" t="shared"/>
        <v/>
      </c>
      <c r="C36" s="1349" t="s">
        <v>1328</v>
      </c>
      <c r="D36" s="1350" t="s">
        <v>5469</v>
      </c>
      <c r="E36" s="2514"/>
      <c r="F36" s="2514"/>
      <c r="G36" s="2514"/>
      <c r="H36" s="2514"/>
      <c r="I36" s="2514"/>
      <c r="J36" s="2514"/>
      <c r="K36" s="2514"/>
      <c r="L36" s="2514"/>
      <c r="M36" s="2514">
        <f>MAX(0,(M25+M26+M27+M28)-(M24+M30+M31))</f>
        <v>0</v>
      </c>
      <c r="N36" s="2515"/>
      <c r="O36" s="2515"/>
      <c r="P36" s="2515"/>
      <c r="Q36" s="2515"/>
      <c r="R36" s="2516"/>
      <c r="S36" s="2516"/>
      <c r="T36" s="2516"/>
      <c r="U36" s="2516"/>
      <c r="V36" s="2516"/>
      <c r="W36" s="2516"/>
      <c r="X36" s="2516"/>
      <c r="Y36" s="2516"/>
      <c r="Z36" s="2514">
        <f>MAX(0,(Z25+Z26+Z27+Z28)-(Z24+Z30+Z31))</f>
        <v>0</v>
      </c>
      <c r="AA36" s="2516"/>
      <c r="AB36" s="2516"/>
      <c r="AC36" s="2514">
        <f>MAX(0,(AC25+AC26+AC27+AC28)-(AC24+AC30+AC31))</f>
        <v>417</v>
      </c>
      <c r="AD36" s="2539"/>
      <c r="AE36" s="2539"/>
      <c r="AF36" s="2539"/>
      <c r="AG36" s="2539"/>
      <c r="AH36" s="2539"/>
      <c r="AI36" s="2516"/>
      <c r="AJ36" s="2516"/>
      <c r="AK36" s="2516"/>
      <c r="AL36" s="2516"/>
      <c r="AM36" s="2516"/>
      <c r="AN36" s="2516"/>
      <c r="AO36" s="2514">
        <f>MAX(0,(AO25+AO26+AO27+AO28)-(AO24+AO30+AO31))</f>
        <v>0</v>
      </c>
      <c r="AP36" s="2516"/>
      <c r="AQ36" s="2516"/>
      <c r="AR36" s="2516"/>
      <c r="AS36" s="2516"/>
      <c r="AT36" s="2514">
        <f>MAX(0,(AT25+AT26+AT27+AT28)-(AT24+AT30+AT31))</f>
        <v>10450</v>
      </c>
      <c r="AU36" s="2516"/>
      <c r="AV36" s="2514">
        <f>MAX(0,(AV25+AV26+AV27+AV28)-(AV24+AV30+AV31))</f>
        <v>0</v>
      </c>
      <c r="AW36" s="2516"/>
      <c r="AX36" s="2516"/>
      <c r="AY36" s="2516"/>
      <c r="AZ36" s="2516"/>
      <c r="BA36" s="2516"/>
      <c r="BB36" s="2515"/>
      <c r="BC36" s="2516"/>
      <c r="BD36" s="2514">
        <f>MAX(0,(BD25+BD26+BD27+BD28)-(BD24+BD30+BD31))</f>
        <v>10450</v>
      </c>
      <c r="BE36" s="2514">
        <f>MAX(0,(BE25+BE26+BE27+BE28)-(BE24+BE30+BE31))</f>
        <v>0</v>
      </c>
      <c r="BF36" s="2516"/>
      <c r="BG36" s="2516"/>
      <c r="BH36" s="2516"/>
      <c r="BI36" s="2516"/>
      <c r="BJ36" s="2516"/>
      <c r="BK36" s="2516"/>
      <c r="BL36" s="2516"/>
      <c r="BM36" s="2516"/>
      <c r="BN36" s="2516"/>
      <c r="BO36" s="2516"/>
      <c r="BP36" s="2516"/>
      <c r="BQ36" s="2516"/>
      <c r="BR36" s="2516"/>
      <c r="BS36" s="2516"/>
      <c r="BT36" s="2516"/>
      <c r="BU36" s="2516"/>
      <c r="BV36" s="2514">
        <f>MAX(0,(BV25+BV26+BV27+BV28)-(BV24+BV30+BV31))</f>
        <v>0</v>
      </c>
      <c r="BW36" s="2516"/>
      <c r="BX36" s="2516"/>
      <c r="BY36" s="2516"/>
      <c r="BZ36" s="2516"/>
      <c r="CA36" s="2516"/>
      <c r="CB36" s="2514">
        <f>MAX(0,(CB25+CB26+CB27+CB28)-(CB24+CB30+CB31))</f>
        <v>0</v>
      </c>
      <c r="CC36" s="2516"/>
      <c r="CD36" s="2516"/>
      <c r="CE36" s="2516"/>
      <c r="CF36" s="2516"/>
      <c r="CG36" s="2516"/>
      <c r="CH36" s="2516"/>
      <c r="CI36" s="2514">
        <f>MAX(0,(CI25+CI26+CI27+CI28)-(CI24+CI30+CI31))</f>
        <v>417</v>
      </c>
      <c r="CJ36" s="2516"/>
      <c r="CK36" s="2516"/>
      <c r="CL36" s="2516"/>
      <c r="CM36" s="2516"/>
      <c r="CN36" s="2516"/>
      <c r="CO36" s="2514">
        <f>MAX(0,(CO25+CO26+CO27+CO28)-(CO24+CO30+CO31))</f>
        <v>10450</v>
      </c>
      <c r="CP36" s="2514">
        <f>MAX(0,(CP25+CP26+CP27+CP28)-(CP24+CP30+CP31))</f>
        <v>0</v>
      </c>
      <c r="CQ36" s="2516"/>
      <c r="CR36" s="2516"/>
      <c r="CS36" s="2516"/>
      <c r="CT36" s="2516"/>
      <c r="CU36" s="2516"/>
      <c r="CV36" s="2516"/>
      <c r="CW36" s="2516"/>
      <c r="CX36" s="2516"/>
      <c r="CY36" s="2516"/>
      <c r="CZ36" s="2516"/>
      <c r="DA36" s="2516"/>
      <c r="DB36" s="2516"/>
      <c r="DC36" s="3654">
        <f>MAX(0,(DC25+DC26+DC27+DC28)-(DC24+DC30+DC31))</f>
        <v>38765</v>
      </c>
      <c r="DD36" s="2514">
        <f>MAX(0,(DD25+DD26+DD27+DD28)-(DD24+DD30+DD31))</f>
        <v>0</v>
      </c>
      <c r="DE36" s="2516"/>
      <c r="DF36" s="2516"/>
      <c r="DG36" s="2516"/>
      <c r="DH36" s="2516"/>
      <c r="DI36" s="2516"/>
      <c r="DJ36" s="2516"/>
      <c r="DK36" s="2516"/>
      <c r="DL36" s="2516"/>
      <c r="DM36" s="2516"/>
      <c r="DN36" s="2514">
        <f>MAX(0,(DN25+DN26+DN27+DN28)-(DN24+DN30+DN31))</f>
        <v>0</v>
      </c>
      <c r="DO36" s="2514">
        <f>MAX(0,(DO25+DO26+DO27+DO28)-(DO24+DO30+DO31))</f>
        <v>10450</v>
      </c>
      <c r="DP36" s="2516"/>
      <c r="DQ36" s="2516"/>
      <c r="DR36" s="2516"/>
      <c r="DS36" s="2516"/>
      <c r="DT36" s="2516"/>
      <c r="DU36" s="2516"/>
      <c r="DV36" s="2516"/>
      <c r="DW36" s="2516"/>
      <c r="DX36" s="2514">
        <f>MAX(0,(DX25+DX26+DX27+DX28)-(DX24+DX30+DX31))</f>
        <v>0</v>
      </c>
      <c r="DY36" s="2516"/>
      <c r="DZ36" s="2516"/>
      <c r="EA36" s="2516"/>
      <c r="EB36" s="2516"/>
      <c r="EC36" s="2516"/>
      <c r="ED36" s="2514">
        <f>MAX(0,(ED25+ED26+ED27+ED28)-(ED24+ED30+ED31))</f>
        <v>0</v>
      </c>
      <c r="EE36" s="2514">
        <f>MAX(0,(EE25+EE26+EE27+EE28)-(EE24+EE30+EE31))</f>
        <v>7000</v>
      </c>
      <c r="EF36" s="2516"/>
      <c r="EG36" s="2516"/>
      <c r="EH36" s="2516"/>
      <c r="EI36" s="2516"/>
      <c r="EJ36" s="2516"/>
      <c r="EK36" s="2516"/>
      <c r="EL36" s="2516"/>
      <c r="EM36" s="2516"/>
      <c r="EN36" s="2514">
        <f>MAX(0,(EN25+EN26+EN27+EN28)-(EN24+EN30+EN31))</f>
        <v>0</v>
      </c>
      <c r="EO36" s="2516"/>
      <c r="EP36" s="2516"/>
      <c r="EQ36" s="2516"/>
      <c r="ER36" s="2516"/>
      <c r="ES36" s="2516"/>
      <c r="ET36" s="2516"/>
      <c r="EU36" s="2516"/>
      <c r="EV36" s="2516"/>
      <c r="EW36" s="2516"/>
      <c r="EX36" s="2516"/>
      <c r="EY36" s="2516"/>
      <c r="EZ36" s="2516"/>
      <c r="FA36" s="2516"/>
      <c r="FB36" s="2516"/>
      <c r="FC36" s="2516"/>
      <c r="FD36" s="2516"/>
      <c r="FE36" s="2514">
        <f>MAX(0,(FE25+FE26+FE27+FE28)-(FE24+FE30+FE31))</f>
        <v>0</v>
      </c>
      <c r="FF36" s="2516"/>
      <c r="FG36" s="2514">
        <f>MAX(0,(FG25+FG26+FG27+FG28)-(FG24+FG30+FG31))</f>
        <v>0</v>
      </c>
      <c r="FH36" s="2514">
        <f>MAX(0,(FH25+FH26+FH27+FH28)-(FH24+FH30+FH31))</f>
        <v>0</v>
      </c>
      <c r="FI36" s="2516"/>
      <c r="FJ36" s="2516"/>
      <c r="FK36" s="2516"/>
      <c r="FL36" s="2516"/>
      <c r="FM36" s="2516"/>
      <c r="FN36" s="2516"/>
      <c r="FO36" s="2516"/>
      <c r="FP36" s="3654">
        <f>MAX(0,(FP25+FP26+FP27+FP28)-(FP24+FP30+FP31))</f>
        <v>53827</v>
      </c>
      <c r="FQ36" s="2516"/>
      <c r="FR36" s="2516"/>
      <c r="FS36" s="2516"/>
      <c r="FT36" s="2516"/>
      <c r="FU36" s="2516"/>
      <c r="FV36" s="2516"/>
      <c r="FW36" s="2516"/>
      <c r="FX36" s="2516"/>
      <c r="FY36" s="2516"/>
      <c r="FZ36" s="2516"/>
      <c r="GA36" s="2516"/>
      <c r="GB36" s="2516"/>
      <c r="GC36" s="2516"/>
      <c r="GD36" s="2516"/>
      <c r="GE36" s="2516"/>
      <c r="GF36" s="2516"/>
      <c r="GG36" s="2516"/>
      <c r="GH36" s="2516"/>
      <c r="GI36" s="2514">
        <f>MAX(0,(GI25+GI26+GI27+GI28)-(GI24+GI30+GI31))</f>
        <v>0</v>
      </c>
      <c r="GJ36" s="2516"/>
      <c r="GK36" s="2516"/>
      <c r="GL36" s="2516"/>
      <c r="GM36" s="2516"/>
      <c r="GN36" s="2514">
        <f>MAX(0,(GN25+GN26+GN27+GN28)-(GN24+GN30+GN31))</f>
        <v>0</v>
      </c>
      <c r="GO36" s="2514">
        <f>MAX(0,(GO25+GO26+GO27+GO28)-(GO24+GO30+GO31))</f>
        <v>0</v>
      </c>
      <c r="GP36" s="2516"/>
      <c r="GQ36" s="2514">
        <f>MAX(0,(GQ25+GQ26+GQ27+GQ28)-(GQ24+GQ30+GQ31))</f>
        <v>0</v>
      </c>
      <c r="GR36" s="2516"/>
      <c r="GS36" s="2516"/>
      <c r="GT36" s="2516"/>
      <c r="GU36" s="2516"/>
      <c r="GV36" s="2516"/>
      <c r="GW36" s="2514">
        <f>MAX(0,(GW25+GW26+GW27+GW28)-(GW24+GW30+GW31))</f>
        <v>0</v>
      </c>
      <c r="GX36" s="2516"/>
      <c r="GY36" s="2516"/>
      <c r="GZ36" s="2516"/>
      <c r="HA36" s="2516"/>
      <c r="HB36" s="2514">
        <f>MAX(0,(HB25+HB26+HB27+HB28)-(HB24+HB30+HB31))</f>
        <v>10450</v>
      </c>
      <c r="HC36" s="2516"/>
      <c r="HD36" s="2516"/>
      <c r="HE36" s="2516"/>
      <c r="HF36" s="2516"/>
      <c r="HG36" s="2516"/>
      <c r="HH36" s="2516"/>
      <c r="HI36" s="2516"/>
      <c r="HJ36" s="2516"/>
      <c r="HK36" s="2516"/>
      <c r="HL36" s="2516"/>
      <c r="HM36" s="2516"/>
      <c r="HN36" s="2516"/>
      <c r="HO36" s="2516"/>
      <c r="HP36" s="2516"/>
      <c r="HQ36" s="2516"/>
      <c r="HR36" s="2516"/>
      <c r="HS36" s="2516"/>
      <c r="HT36" s="2514">
        <f>MAX(0,(HT25+HT26+HT27+HT28)-(HT24+HT30+HT31))</f>
        <v>0</v>
      </c>
      <c r="HU36" s="2514">
        <f>MAX(0,(HU25+HU26+HU27+HU28)-(HU24+HU30+HU31))</f>
        <v>0</v>
      </c>
      <c r="HV36" s="2514">
        <f>MAX(0,(HV25+HV26+HV27+HV28)-(HV24+HV30+HV31))</f>
        <v>0</v>
      </c>
      <c r="HW36" s="2516"/>
      <c r="HX36" s="2516"/>
      <c r="HY36" s="2516"/>
      <c r="HZ36" s="2516"/>
      <c r="IA36" s="2516"/>
      <c r="IB36" s="2516"/>
      <c r="IC36" s="2516"/>
      <c r="ID36" s="2516"/>
      <c r="IE36" s="2516"/>
      <c r="IF36" s="2516"/>
      <c r="IG36" s="2516"/>
      <c r="IH36" s="2516"/>
      <c r="II36" s="2516"/>
      <c r="IJ36" s="2516"/>
      <c r="IK36" s="2516"/>
      <c r="IL36" s="2516"/>
      <c r="IM36" s="2516"/>
      <c r="IN36" s="2516"/>
      <c r="IO36" s="2514">
        <f>MAX(0,(IO25+IO26+IO27+IO28)-(IO24+IO30+IO31))</f>
        <v>2438</v>
      </c>
      <c r="IP36" s="2516"/>
      <c r="IQ36" s="2516"/>
      <c r="IR36" s="2516"/>
      <c r="IS36" s="2516"/>
      <c r="IT36" s="2516"/>
      <c r="IU36" s="2516"/>
      <c r="IV36" s="2516"/>
      <c r="IW36" s="2516"/>
      <c r="IX36" s="2516"/>
      <c r="IY36" s="2516"/>
      <c r="IZ36" s="2516"/>
      <c r="JA36" s="2516"/>
      <c r="JB36" s="2516"/>
      <c r="JC36" s="2516"/>
      <c r="JD36" s="2516"/>
      <c r="JE36" s="2516"/>
      <c r="JF36" s="3868">
        <f>MAX(0,(JF25+JF26+JF27+JF28)-(JF24+JF30+JF31))</f>
        <v>0</v>
      </c>
      <c r="JG36" s="2517"/>
      <c r="JH36" s="1233"/>
      <c r="JI36" s="4282" t="s">
        <v>8875</v>
      </c>
      <c r="JJ36" s="2248" t="s">
        <v>6124</v>
      </c>
    </row>
    <row ht="33.75" r="37" spans="1:270" x14ac:dyDescent="0.2">
      <c r="A37" s="1128">
        <v>36</v>
      </c>
      <c r="B37" s="1347" t="str">
        <f si="2" t="shared"/>
        <v/>
      </c>
      <c r="C37" s="1676" t="s">
        <v>1329</v>
      </c>
      <c r="D37" s="1677" t="s">
        <v>5470</v>
      </c>
      <c r="E37" s="2527"/>
      <c r="F37" s="2527"/>
      <c r="G37" s="2527"/>
      <c r="H37" s="2527"/>
      <c r="I37" s="2518"/>
      <c r="J37" s="2527"/>
      <c r="K37" s="2518"/>
      <c r="L37" s="2527"/>
      <c r="M37" s="2527" t="str">
        <f>IF(M10="Y","",IF(M36=0,"",M36))</f>
        <v/>
      </c>
      <c r="N37" s="2520"/>
      <c r="O37" s="2520"/>
      <c r="P37" s="2520"/>
      <c r="Q37" s="2520"/>
      <c r="R37" s="2521"/>
      <c r="S37" s="2521"/>
      <c r="T37" s="2521"/>
      <c r="U37" s="2521"/>
      <c r="V37" s="2521"/>
      <c r="W37" s="2521"/>
      <c r="X37" s="2521"/>
      <c r="Y37" s="2521"/>
      <c r="Z37" s="2527" t="str">
        <f>IF(Z10="Y","",IF(Z36=0,"",Z36))</f>
        <v/>
      </c>
      <c r="AA37" s="2521"/>
      <c r="AB37" s="2521"/>
      <c r="AC37" s="2518"/>
      <c r="AD37" s="2888"/>
      <c r="AE37" s="2888"/>
      <c r="AF37" s="2888"/>
      <c r="AG37" s="2888"/>
      <c r="AH37" s="2888"/>
      <c r="AI37" s="2521"/>
      <c r="AJ37" s="2521"/>
      <c r="AK37" s="2521"/>
      <c r="AL37" s="2521"/>
      <c r="AM37" s="2521"/>
      <c r="AN37" s="2521"/>
      <c r="AO37" s="2527" t="str">
        <f>IF(AO10="Y","",IF(AO36=0,"",AO36))</f>
        <v/>
      </c>
      <c r="AP37" s="2521"/>
      <c r="AQ37" s="2521"/>
      <c r="AR37" s="2521"/>
      <c r="AS37" s="2521"/>
      <c r="AT37" s="2527">
        <f>IF(AT10="Y","",IF(AT36=0,"",AT36))</f>
        <v>10450</v>
      </c>
      <c r="AU37" s="2521"/>
      <c r="AV37" s="2527" t="str">
        <f>IF(AV10="Y","",IF(AV36=0,"",AV36))</f>
        <v/>
      </c>
      <c r="AW37" s="2521"/>
      <c r="AX37" s="2521"/>
      <c r="AY37" s="2521"/>
      <c r="AZ37" s="2521"/>
      <c r="BA37" s="2521"/>
      <c r="BB37" s="2520"/>
      <c r="BC37" s="2521"/>
      <c r="BD37" s="2527">
        <f>IF(BD10="Y","",IF(BD36=0,"",BD36))</f>
        <v>10450</v>
      </c>
      <c r="BE37" s="2527" t="str">
        <f>IF(BE10="Y","",IF(BE36=0,"",BE36))</f>
        <v/>
      </c>
      <c r="BF37" s="2521"/>
      <c r="BG37" s="2521"/>
      <c r="BH37" s="2521"/>
      <c r="BI37" s="2521"/>
      <c r="BJ37" s="2521"/>
      <c r="BK37" s="2521"/>
      <c r="BL37" s="2521"/>
      <c r="BM37" s="2521"/>
      <c r="BN37" s="2521"/>
      <c r="BO37" s="2521"/>
      <c r="BP37" s="2521"/>
      <c r="BQ37" s="2521"/>
      <c r="BR37" s="2521"/>
      <c r="BS37" s="2521"/>
      <c r="BT37" s="2521"/>
      <c r="BU37" s="2521"/>
      <c r="BV37" s="2527" t="str">
        <f>IF(BV10="Y","",IF(BV36=0,"",BV36))</f>
        <v/>
      </c>
      <c r="BW37" s="2521"/>
      <c r="BX37" s="2521"/>
      <c r="BY37" s="2521"/>
      <c r="BZ37" s="2521"/>
      <c r="CA37" s="2521"/>
      <c r="CB37" s="2521"/>
      <c r="CC37" s="2521"/>
      <c r="CD37" s="2521"/>
      <c r="CE37" s="2521"/>
      <c r="CF37" s="2521"/>
      <c r="CG37" s="2521"/>
      <c r="CH37" s="2521"/>
      <c r="CI37" s="2518"/>
      <c r="CJ37" s="2521"/>
      <c r="CK37" s="2521"/>
      <c r="CL37" s="2521"/>
      <c r="CM37" s="2521"/>
      <c r="CN37" s="2521"/>
      <c r="CO37" s="2527">
        <f>IF(CO10="Y","",IF(CO36=0,"",CO36))</f>
        <v>10450</v>
      </c>
      <c r="CP37" s="2527" t="str">
        <f>IF(CP10="Y","",IF(CP36=0,"",CP36))</f>
        <v/>
      </c>
      <c r="CQ37" s="2521"/>
      <c r="CR37" s="2521"/>
      <c r="CS37" s="2521"/>
      <c r="CT37" s="2521"/>
      <c r="CU37" s="2521"/>
      <c r="CV37" s="2521"/>
      <c r="CW37" s="2521"/>
      <c r="CX37" s="2521"/>
      <c r="CY37" s="2521"/>
      <c r="CZ37" s="2521"/>
      <c r="DA37" s="2521"/>
      <c r="DB37" s="2521"/>
      <c r="DC37" s="3655">
        <f>IF(DC10="Y","",IF(DC36=0,"",DC36))</f>
        <v>38765</v>
      </c>
      <c r="DD37" s="2527" t="str">
        <f>IF(DD10="Y","",IF(DD36=0,"",DD36))</f>
        <v/>
      </c>
      <c r="DE37" s="2521"/>
      <c r="DF37" s="2521"/>
      <c r="DG37" s="2521"/>
      <c r="DH37" s="2521"/>
      <c r="DI37" s="2521"/>
      <c r="DJ37" s="2521"/>
      <c r="DK37" s="2521"/>
      <c r="DL37" s="2521"/>
      <c r="DM37" s="2521"/>
      <c r="DN37" s="2527" t="str">
        <f>IF(DN10="Y","",IF(DN36=0,"",DN36))</f>
        <v/>
      </c>
      <c r="DO37" s="2527">
        <f>IF(DO10="Y","",IF(DO36=0,"",DO36))</f>
        <v>10450</v>
      </c>
      <c r="DP37" s="2521"/>
      <c r="DQ37" s="2521"/>
      <c r="DR37" s="2521"/>
      <c r="DS37" s="2521"/>
      <c r="DT37" s="2521"/>
      <c r="DU37" s="2521"/>
      <c r="DV37" s="2521"/>
      <c r="DW37" s="2521"/>
      <c r="DX37" s="2527" t="str">
        <f>IF(DX10="Y","",IF(DX36=0,"",DX36))</f>
        <v/>
      </c>
      <c r="DY37" s="2521"/>
      <c r="DZ37" s="2521"/>
      <c r="EA37" s="2521"/>
      <c r="EB37" s="2521"/>
      <c r="EC37" s="2521"/>
      <c r="ED37" s="2527" t="str">
        <f>IF(ED10="Y","",IF(ED36=0,"",ED36))</f>
        <v/>
      </c>
      <c r="EE37" s="2518">
        <v>2500</v>
      </c>
      <c r="EF37" s="2521"/>
      <c r="EG37" s="2521"/>
      <c r="EH37" s="2521"/>
      <c r="EI37" s="2521"/>
      <c r="EJ37" s="2521"/>
      <c r="EK37" s="2521"/>
      <c r="EL37" s="2521"/>
      <c r="EM37" s="2521"/>
      <c r="EN37" s="2527" t="str">
        <f>IF(EN10="Y","",IF(EN36=0,"",EN36))</f>
        <v/>
      </c>
      <c r="EO37" s="2521"/>
      <c r="EP37" s="2521"/>
      <c r="EQ37" s="2521"/>
      <c r="ER37" s="2521"/>
      <c r="ES37" s="2521"/>
      <c r="ET37" s="2521"/>
      <c r="EU37" s="2521"/>
      <c r="EV37" s="2521"/>
      <c r="EW37" s="2521"/>
      <c r="EX37" s="2521"/>
      <c r="EY37" s="2521"/>
      <c r="EZ37" s="2521"/>
      <c r="FA37" s="2521"/>
      <c r="FB37" s="2521"/>
      <c r="FC37" s="2521"/>
      <c r="FD37" s="2521"/>
      <c r="FE37" s="2527" t="str">
        <f>IF(FE10="Y","",IF(FE36=0,"",FE36))</f>
        <v/>
      </c>
      <c r="FF37" s="2521"/>
      <c r="FG37" s="2527" t="str">
        <f>IF(FG10="Y","",IF(FG36=0,"",FG36))</f>
        <v/>
      </c>
      <c r="FH37" s="2527" t="str">
        <f>IF(FH10="Y","",IF(FH36=0,"",FH36))</f>
        <v/>
      </c>
      <c r="FI37" s="2521"/>
      <c r="FJ37" s="2521"/>
      <c r="FK37" s="2521"/>
      <c r="FL37" s="2521"/>
      <c r="FM37" s="2521"/>
      <c r="FN37" s="2521"/>
      <c r="FO37" s="2521"/>
      <c r="FP37" s="3655">
        <f>IF(FP10="Y","",IF(FP36=0,"",FP36))</f>
        <v>53827</v>
      </c>
      <c r="FQ37" s="2521"/>
      <c r="FR37" s="2521"/>
      <c r="FS37" s="2521"/>
      <c r="FT37" s="2521"/>
      <c r="FU37" s="2521"/>
      <c r="FV37" s="2521"/>
      <c r="FW37" s="2521"/>
      <c r="FX37" s="2521"/>
      <c r="FY37" s="2521"/>
      <c r="FZ37" s="2521"/>
      <c r="GA37" s="2521"/>
      <c r="GB37" s="2521"/>
      <c r="GC37" s="2521"/>
      <c r="GD37" s="2521"/>
      <c r="GE37" s="2521"/>
      <c r="GF37" s="2521"/>
      <c r="GG37" s="2521"/>
      <c r="GH37" s="2521"/>
      <c r="GI37" s="2527" t="str">
        <f>IF(GI10="Y","",IF(GI36=0,"",GI36))</f>
        <v/>
      </c>
      <c r="GJ37" s="2521"/>
      <c r="GK37" s="2521"/>
      <c r="GL37" s="2521"/>
      <c r="GM37" s="2521"/>
      <c r="GN37" s="2527" t="str">
        <f>IF(GN10="Y","",IF(GN36=0,"",GN36))</f>
        <v/>
      </c>
      <c r="GO37" s="2527" t="str">
        <f>IF(GO10="Y","",IF(GO36=0,"",GO36))</f>
        <v/>
      </c>
      <c r="GP37" s="2521"/>
      <c r="GQ37" s="2527" t="str">
        <f>IF(GQ10="Y","",IF(GQ36=0,"",GQ36))</f>
        <v/>
      </c>
      <c r="GR37" s="2521"/>
      <c r="GS37" s="2521"/>
      <c r="GT37" s="2521"/>
      <c r="GU37" s="2521"/>
      <c r="GV37" s="2521"/>
      <c r="GW37" s="2527" t="str">
        <f>IF(GW10="Y","",IF(GW36=0,"",GW36))</f>
        <v/>
      </c>
      <c r="GX37" s="2521"/>
      <c r="GY37" s="2521"/>
      <c r="GZ37" s="2521"/>
      <c r="HA37" s="2521"/>
      <c r="HB37" s="2527">
        <f>IF(HB10="Y","",IF(HB36=0,"",HB36))</f>
        <v>10450</v>
      </c>
      <c r="HC37" s="2521"/>
      <c r="HD37" s="2521"/>
      <c r="HE37" s="2521"/>
      <c r="HF37" s="2521"/>
      <c r="HG37" s="2521"/>
      <c r="HH37" s="2521"/>
      <c r="HI37" s="2521"/>
      <c r="HJ37" s="2521"/>
      <c r="HK37" s="2521"/>
      <c r="HL37" s="2521"/>
      <c r="HM37" s="2521"/>
      <c r="HN37" s="2521"/>
      <c r="HO37" s="2521"/>
      <c r="HP37" s="2521"/>
      <c r="HQ37" s="2521"/>
      <c r="HR37" s="2521"/>
      <c r="HS37" s="2521"/>
      <c r="HT37" s="2527" t="str">
        <f>IF(HT10="Y","",IF(HT36=0,"",HT36))</f>
        <v/>
      </c>
      <c r="HU37" s="2527" t="str">
        <f>IF(HU10="Y","",IF(HU36=0,"",HU36))</f>
        <v/>
      </c>
      <c r="HV37" s="2527" t="str">
        <f>IF(HV10="Y","",IF(HV36=0,"",HV36))</f>
        <v/>
      </c>
      <c r="HW37" s="2521"/>
      <c r="HX37" s="2521"/>
      <c r="HY37" s="2521"/>
      <c r="HZ37" s="2521"/>
      <c r="IA37" s="2521"/>
      <c r="IB37" s="2521"/>
      <c r="IC37" s="2521"/>
      <c r="ID37" s="2521"/>
      <c r="IE37" s="2521"/>
      <c r="IF37" s="2521"/>
      <c r="IG37" s="2521"/>
      <c r="IH37" s="2521"/>
      <c r="II37" s="2521"/>
      <c r="IJ37" s="2521"/>
      <c r="IK37" s="2521"/>
      <c r="IL37" s="2521"/>
      <c r="IM37" s="2521"/>
      <c r="IN37" s="2521"/>
      <c r="IO37" s="2527">
        <v>0</v>
      </c>
      <c r="IP37" s="2521"/>
      <c r="IQ37" s="2521"/>
      <c r="IR37" s="2521"/>
      <c r="IS37" s="2521"/>
      <c r="IT37" s="2521"/>
      <c r="IU37" s="2521"/>
      <c r="IV37" s="2521"/>
      <c r="IW37" s="2521"/>
      <c r="IX37" s="2521"/>
      <c r="IY37" s="2521"/>
      <c r="IZ37" s="2521"/>
      <c r="JA37" s="2521"/>
      <c r="JB37" s="2521"/>
      <c r="JC37" s="2521"/>
      <c r="JD37" s="2521"/>
      <c r="JE37" s="2521"/>
      <c r="JF37" s="3731" t="str">
        <f>IF(JF10="Y","",IF(JF36=0,"",JF36))</f>
        <v/>
      </c>
      <c r="JG37" s="2522"/>
      <c r="JH37" s="1233"/>
      <c r="JI37" s="2248" t="s">
        <v>5437</v>
      </c>
      <c r="JJ37" s="2248" t="s">
        <v>6124</v>
      </c>
    </row>
    <row ht="22.5" r="38" spans="1:270" x14ac:dyDescent="0.2">
      <c r="A38" s="1128">
        <v>37</v>
      </c>
      <c r="B38" s="1347" t="str">
        <f si="2" t="shared"/>
        <v/>
      </c>
      <c r="C38" s="1349" t="s">
        <v>1330</v>
      </c>
      <c r="D38" s="1350" t="s">
        <v>5471</v>
      </c>
      <c r="E38" s="2472"/>
      <c r="F38" s="2472"/>
      <c r="G38" s="2472"/>
      <c r="H38" s="2472"/>
      <c r="I38" s="2472"/>
      <c r="J38" s="2472"/>
      <c r="K38" s="2472"/>
      <c r="L38" s="2472"/>
      <c r="M38" s="2472"/>
      <c r="N38" s="2509"/>
      <c r="O38" s="2509"/>
      <c r="P38" s="2509"/>
      <c r="Q38" s="2509"/>
      <c r="R38" s="2510"/>
      <c r="S38" s="2510"/>
      <c r="T38" s="2510"/>
      <c r="U38" s="2510"/>
      <c r="V38" s="2510"/>
      <c r="W38" s="2510"/>
      <c r="X38" s="2510"/>
      <c r="Y38" s="2510"/>
      <c r="Z38" s="2472"/>
      <c r="AA38" s="2510"/>
      <c r="AB38" s="2510"/>
      <c r="AC38" s="2472"/>
      <c r="AD38" s="2841"/>
      <c r="AE38" s="2841"/>
      <c r="AF38" s="2841"/>
      <c r="AG38" s="2841"/>
      <c r="AH38" s="2841"/>
      <c r="AI38" s="2510"/>
      <c r="AJ38" s="2510"/>
      <c r="AK38" s="2510"/>
      <c r="AL38" s="2510"/>
      <c r="AM38" s="2510"/>
      <c r="AN38" s="2510"/>
      <c r="AO38" s="2472"/>
      <c r="AP38" s="2510"/>
      <c r="AQ38" s="2510"/>
      <c r="AR38" s="2510"/>
      <c r="AS38" s="2510"/>
      <c r="AT38" s="2472"/>
      <c r="AU38" s="2510"/>
      <c r="AV38" s="2472"/>
      <c r="AW38" s="2510"/>
      <c r="AX38" s="2510"/>
      <c r="AY38" s="2510"/>
      <c r="AZ38" s="2510"/>
      <c r="BA38" s="2510"/>
      <c r="BB38" s="2509"/>
      <c r="BC38" s="2510"/>
      <c r="BD38" s="2472"/>
      <c r="BE38" s="2472"/>
      <c r="BF38" s="2510"/>
      <c r="BG38" s="2510"/>
      <c r="BH38" s="2510"/>
      <c r="BI38" s="2510"/>
      <c r="BJ38" s="2510"/>
      <c r="BK38" s="2510"/>
      <c r="BL38" s="2510"/>
      <c r="BM38" s="2510"/>
      <c r="BN38" s="2510"/>
      <c r="BO38" s="2510"/>
      <c r="BP38" s="2510"/>
      <c r="BQ38" s="2510"/>
      <c r="BR38" s="2510"/>
      <c r="BS38" s="2510"/>
      <c r="BT38" s="2510"/>
      <c r="BU38" s="2510"/>
      <c r="BV38" s="2472"/>
      <c r="BW38" s="2510"/>
      <c r="BX38" s="2510"/>
      <c r="BY38" s="2510"/>
      <c r="BZ38" s="2510"/>
      <c r="CA38" s="2510"/>
      <c r="CB38" s="2510"/>
      <c r="CC38" s="2510"/>
      <c r="CD38" s="2510"/>
      <c r="CE38" s="2510"/>
      <c r="CF38" s="2510"/>
      <c r="CG38" s="2510"/>
      <c r="CH38" s="2510"/>
      <c r="CI38" s="2472"/>
      <c r="CJ38" s="2510"/>
      <c r="CK38" s="2510"/>
      <c r="CL38" s="2510"/>
      <c r="CM38" s="2510"/>
      <c r="CN38" s="2510"/>
      <c r="CO38" s="2472"/>
      <c r="CP38" s="2472"/>
      <c r="CQ38" s="2510"/>
      <c r="CR38" s="2510"/>
      <c r="CS38" s="2510"/>
      <c r="CT38" s="2510"/>
      <c r="CU38" s="2510"/>
      <c r="CV38" s="2510"/>
      <c r="CW38" s="2510"/>
      <c r="CX38" s="2510"/>
      <c r="CY38" s="2510"/>
      <c r="CZ38" s="2510"/>
      <c r="DA38" s="2510"/>
      <c r="DB38" s="2510"/>
      <c r="DC38" s="3653"/>
      <c r="DD38" s="2472"/>
      <c r="DE38" s="2510"/>
      <c r="DF38" s="2510"/>
      <c r="DG38" s="2510"/>
      <c r="DH38" s="2510"/>
      <c r="DI38" s="2510"/>
      <c r="DJ38" s="2510"/>
      <c r="DK38" s="2510"/>
      <c r="DL38" s="2510"/>
      <c r="DM38" s="2510"/>
      <c r="DN38" s="2472"/>
      <c r="DO38" s="2472"/>
      <c r="DP38" s="2510"/>
      <c r="DQ38" s="2510"/>
      <c r="DR38" s="2510"/>
      <c r="DS38" s="2510"/>
      <c r="DT38" s="2510"/>
      <c r="DU38" s="2510"/>
      <c r="DV38" s="2510"/>
      <c r="DW38" s="2510"/>
      <c r="DX38" s="2472"/>
      <c r="DY38" s="2510"/>
      <c r="DZ38" s="2510"/>
      <c r="EA38" s="2510"/>
      <c r="EB38" s="2510"/>
      <c r="EC38" s="2510"/>
      <c r="ED38" s="2472"/>
      <c r="EE38" s="2472"/>
      <c r="EF38" s="2510"/>
      <c r="EG38" s="2510"/>
      <c r="EH38" s="2510"/>
      <c r="EI38" s="2510"/>
      <c r="EJ38" s="2510"/>
      <c r="EK38" s="2510"/>
      <c r="EL38" s="2510"/>
      <c r="EM38" s="2510"/>
      <c r="EN38" s="2472"/>
      <c r="EO38" s="2510"/>
      <c r="EP38" s="2510"/>
      <c r="EQ38" s="2510"/>
      <c r="ER38" s="2510"/>
      <c r="ES38" s="2510"/>
      <c r="ET38" s="2510"/>
      <c r="EU38" s="2510"/>
      <c r="EV38" s="2510"/>
      <c r="EW38" s="2510"/>
      <c r="EX38" s="2510"/>
      <c r="EY38" s="2510"/>
      <c r="EZ38" s="2510"/>
      <c r="FA38" s="2510"/>
      <c r="FB38" s="2510"/>
      <c r="FC38" s="2510"/>
      <c r="FD38" s="2510"/>
      <c r="FE38" s="2472"/>
      <c r="FF38" s="2510"/>
      <c r="FG38" s="2472"/>
      <c r="FH38" s="2472"/>
      <c r="FI38" s="2510"/>
      <c r="FJ38" s="2510"/>
      <c r="FK38" s="2510"/>
      <c r="FL38" s="2510"/>
      <c r="FM38" s="2510"/>
      <c r="FN38" s="2510"/>
      <c r="FO38" s="2510"/>
      <c r="FP38" s="3653"/>
      <c r="FQ38" s="2510"/>
      <c r="FR38" s="2510"/>
      <c r="FS38" s="2510"/>
      <c r="FT38" s="2510"/>
      <c r="FU38" s="2510"/>
      <c r="FV38" s="2510"/>
      <c r="FW38" s="2510"/>
      <c r="FX38" s="2510"/>
      <c r="FY38" s="2510"/>
      <c r="FZ38" s="2510"/>
      <c r="GA38" s="2510"/>
      <c r="GB38" s="2510"/>
      <c r="GC38" s="2510"/>
      <c r="GD38" s="2510"/>
      <c r="GE38" s="2510"/>
      <c r="GF38" s="2510"/>
      <c r="GG38" s="2510"/>
      <c r="GH38" s="2510"/>
      <c r="GI38" s="2472"/>
      <c r="GJ38" s="2510"/>
      <c r="GK38" s="2510"/>
      <c r="GL38" s="2510"/>
      <c r="GM38" s="2510"/>
      <c r="GN38" s="2472"/>
      <c r="GO38" s="2472"/>
      <c r="GP38" s="2510"/>
      <c r="GQ38" s="2472"/>
      <c r="GR38" s="2510"/>
      <c r="GS38" s="2510"/>
      <c r="GT38" s="2510"/>
      <c r="GU38" s="2510"/>
      <c r="GV38" s="2510"/>
      <c r="GW38" s="2472"/>
      <c r="GX38" s="2510"/>
      <c r="GY38" s="2510"/>
      <c r="GZ38" s="2510"/>
      <c r="HA38" s="2510"/>
      <c r="HB38" s="2472"/>
      <c r="HC38" s="2510"/>
      <c r="HD38" s="2510"/>
      <c r="HE38" s="2510"/>
      <c r="HF38" s="2510"/>
      <c r="HG38" s="2510"/>
      <c r="HH38" s="2510"/>
      <c r="HI38" s="2510"/>
      <c r="HJ38" s="2510"/>
      <c r="HK38" s="2510"/>
      <c r="HL38" s="2510"/>
      <c r="HM38" s="2510"/>
      <c r="HN38" s="2510"/>
      <c r="HO38" s="2510"/>
      <c r="HP38" s="2510"/>
      <c r="HQ38" s="2510"/>
      <c r="HR38" s="2510"/>
      <c r="HS38" s="2510"/>
      <c r="HT38" s="2472"/>
      <c r="HU38" s="2472"/>
      <c r="HV38" s="2472"/>
      <c r="HW38" s="2510"/>
      <c r="HX38" s="2510"/>
      <c r="HY38" s="2510"/>
      <c r="HZ38" s="2510"/>
      <c r="IA38" s="2510"/>
      <c r="IB38" s="2510"/>
      <c r="IC38" s="2510"/>
      <c r="ID38" s="2510"/>
      <c r="IE38" s="2510"/>
      <c r="IF38" s="2510"/>
      <c r="IG38" s="2510"/>
      <c r="IH38" s="2510"/>
      <c r="II38" s="2510"/>
      <c r="IJ38" s="2510"/>
      <c r="IK38" s="2510"/>
      <c r="IL38" s="2510"/>
      <c r="IM38" s="2510"/>
      <c r="IN38" s="2510"/>
      <c r="IO38" s="2472"/>
      <c r="IP38" s="2510"/>
      <c r="IQ38" s="2510"/>
      <c r="IR38" s="2510"/>
      <c r="IS38" s="2510"/>
      <c r="IT38" s="2510"/>
      <c r="IU38" s="2510"/>
      <c r="IV38" s="2510"/>
      <c r="IW38" s="2510"/>
      <c r="IX38" s="2510"/>
      <c r="IY38" s="2510"/>
      <c r="IZ38" s="2510"/>
      <c r="JA38" s="2510"/>
      <c r="JB38" s="2510"/>
      <c r="JC38" s="2510"/>
      <c r="JD38" s="2510"/>
      <c r="JE38" s="2510"/>
      <c r="JF38" s="3728"/>
      <c r="JG38" s="2479"/>
      <c r="JH38" s="1233"/>
      <c r="JI38" s="2248" t="s">
        <v>5438</v>
      </c>
      <c r="JJ38" s="2248" t="s">
        <v>6108</v>
      </c>
    </row>
    <row r="39" spans="1:270" x14ac:dyDescent="0.2">
      <c r="A39" s="1128">
        <v>38</v>
      </c>
      <c r="B39" s="1347" t="str">
        <f si="2" t="shared"/>
        <v/>
      </c>
      <c r="C39" s="1349" t="s">
        <v>1331</v>
      </c>
      <c r="D39" s="1350" t="s">
        <v>5472</v>
      </c>
      <c r="E39" s="2472"/>
      <c r="F39" s="2472"/>
      <c r="G39" s="2472"/>
      <c r="H39" s="2472"/>
      <c r="I39" s="2472"/>
      <c r="J39" s="2472"/>
      <c r="K39" s="2472"/>
      <c r="L39" s="2472"/>
      <c r="M39" s="2472"/>
      <c r="N39" s="2509"/>
      <c r="O39" s="2509"/>
      <c r="P39" s="2509"/>
      <c r="Q39" s="2509"/>
      <c r="R39" s="2510"/>
      <c r="S39" s="2510"/>
      <c r="T39" s="2510"/>
      <c r="U39" s="2510"/>
      <c r="V39" s="2510"/>
      <c r="W39" s="2510"/>
      <c r="X39" s="2510"/>
      <c r="Y39" s="2510"/>
      <c r="Z39" s="2472"/>
      <c r="AA39" s="2510"/>
      <c r="AB39" s="2510"/>
      <c r="AC39" s="2472"/>
      <c r="AD39" s="2841"/>
      <c r="AE39" s="2841"/>
      <c r="AF39" s="2841"/>
      <c r="AG39" s="2841"/>
      <c r="AH39" s="2841"/>
      <c r="AI39" s="2510"/>
      <c r="AJ39" s="2510"/>
      <c r="AK39" s="2510"/>
      <c r="AL39" s="2510"/>
      <c r="AM39" s="2510"/>
      <c r="AN39" s="2510"/>
      <c r="AO39" s="2472"/>
      <c r="AP39" s="2510"/>
      <c r="AQ39" s="2510"/>
      <c r="AR39" s="2510"/>
      <c r="AS39" s="2510"/>
      <c r="AT39" s="2472"/>
      <c r="AU39" s="2510"/>
      <c r="AV39" s="2472"/>
      <c r="AW39" s="2510"/>
      <c r="AX39" s="2510"/>
      <c r="AY39" s="2510"/>
      <c r="AZ39" s="2510"/>
      <c r="BA39" s="2510"/>
      <c r="BB39" s="2509"/>
      <c r="BC39" s="2510"/>
      <c r="BD39" s="2472"/>
      <c r="BE39" s="2472"/>
      <c r="BF39" s="2510"/>
      <c r="BG39" s="2510"/>
      <c r="BH39" s="2510"/>
      <c r="BI39" s="2510"/>
      <c r="BJ39" s="2510"/>
      <c r="BK39" s="2510"/>
      <c r="BL39" s="2510"/>
      <c r="BM39" s="2510"/>
      <c r="BN39" s="2510"/>
      <c r="BO39" s="2510"/>
      <c r="BP39" s="2510"/>
      <c r="BQ39" s="2510"/>
      <c r="BR39" s="2510"/>
      <c r="BS39" s="2510"/>
      <c r="BT39" s="2510"/>
      <c r="BU39" s="2510"/>
      <c r="BV39" s="2472"/>
      <c r="BW39" s="2510"/>
      <c r="BX39" s="2510"/>
      <c r="BY39" s="2510"/>
      <c r="BZ39" s="2510"/>
      <c r="CA39" s="2510"/>
      <c r="CB39" s="2510"/>
      <c r="CC39" s="2510"/>
      <c r="CD39" s="2510"/>
      <c r="CE39" s="2510"/>
      <c r="CF39" s="2510"/>
      <c r="CG39" s="2510"/>
      <c r="CH39" s="2510"/>
      <c r="CI39" s="2472"/>
      <c r="CJ39" s="2510"/>
      <c r="CK39" s="2510"/>
      <c r="CL39" s="2510"/>
      <c r="CM39" s="2510"/>
      <c r="CN39" s="2510"/>
      <c r="CO39" s="2472"/>
      <c r="CP39" s="2472"/>
      <c r="CQ39" s="2510"/>
      <c r="CR39" s="2510"/>
      <c r="CS39" s="2510"/>
      <c r="CT39" s="2510"/>
      <c r="CU39" s="2510"/>
      <c r="CV39" s="2510"/>
      <c r="CW39" s="2510"/>
      <c r="CX39" s="2510"/>
      <c r="CY39" s="2510"/>
      <c r="CZ39" s="2510"/>
      <c r="DA39" s="2510"/>
      <c r="DB39" s="2510"/>
      <c r="DC39" s="3653"/>
      <c r="DD39" s="2472"/>
      <c r="DE39" s="2510"/>
      <c r="DF39" s="2510"/>
      <c r="DG39" s="2510"/>
      <c r="DH39" s="2510"/>
      <c r="DI39" s="2510"/>
      <c r="DJ39" s="2510"/>
      <c r="DK39" s="2510"/>
      <c r="DL39" s="2510"/>
      <c r="DM39" s="2510"/>
      <c r="DN39" s="2472"/>
      <c r="DO39" s="2472"/>
      <c r="DP39" s="2510"/>
      <c r="DQ39" s="2510"/>
      <c r="DR39" s="2510"/>
      <c r="DS39" s="2510"/>
      <c r="DT39" s="2510"/>
      <c r="DU39" s="2510"/>
      <c r="DV39" s="2510"/>
      <c r="DW39" s="2510"/>
      <c r="DX39" s="2472"/>
      <c r="DY39" s="2510"/>
      <c r="DZ39" s="2510"/>
      <c r="EA39" s="2510"/>
      <c r="EB39" s="2510"/>
      <c r="EC39" s="2510"/>
      <c r="ED39" s="2472"/>
      <c r="EE39" s="2472"/>
      <c r="EF39" s="2510"/>
      <c r="EG39" s="2510"/>
      <c r="EH39" s="2510"/>
      <c r="EI39" s="2510"/>
      <c r="EJ39" s="2510"/>
      <c r="EK39" s="2510"/>
      <c r="EL39" s="2510"/>
      <c r="EM39" s="2510"/>
      <c r="EN39" s="2472"/>
      <c r="EO39" s="2510"/>
      <c r="EP39" s="2510"/>
      <c r="EQ39" s="2510"/>
      <c r="ER39" s="2510"/>
      <c r="ES39" s="2510"/>
      <c r="ET39" s="2510"/>
      <c r="EU39" s="2510"/>
      <c r="EV39" s="2510"/>
      <c r="EW39" s="2510"/>
      <c r="EX39" s="2510"/>
      <c r="EY39" s="2510"/>
      <c r="EZ39" s="2510"/>
      <c r="FA39" s="2510"/>
      <c r="FB39" s="2510"/>
      <c r="FC39" s="2510"/>
      <c r="FD39" s="2510"/>
      <c r="FE39" s="2472"/>
      <c r="FF39" s="2510"/>
      <c r="FG39" s="2472"/>
      <c r="FH39" s="2472"/>
      <c r="FI39" s="2510"/>
      <c r="FJ39" s="2510"/>
      <c r="FK39" s="2510"/>
      <c r="FL39" s="2510"/>
      <c r="FM39" s="2510"/>
      <c r="FN39" s="2510"/>
      <c r="FO39" s="2510"/>
      <c r="FP39" s="3653"/>
      <c r="FQ39" s="2510"/>
      <c r="FR39" s="2510"/>
      <c r="FS39" s="2510"/>
      <c r="FT39" s="2510"/>
      <c r="FU39" s="2510"/>
      <c r="FV39" s="2510"/>
      <c r="FW39" s="2510"/>
      <c r="FX39" s="2510"/>
      <c r="FY39" s="2510"/>
      <c r="FZ39" s="2510"/>
      <c r="GA39" s="2510"/>
      <c r="GB39" s="2510"/>
      <c r="GC39" s="2510"/>
      <c r="GD39" s="2510"/>
      <c r="GE39" s="2510"/>
      <c r="GF39" s="2510"/>
      <c r="GG39" s="2510"/>
      <c r="GH39" s="2510"/>
      <c r="GI39" s="2472"/>
      <c r="GJ39" s="2510"/>
      <c r="GK39" s="2510"/>
      <c r="GL39" s="2510"/>
      <c r="GM39" s="2510"/>
      <c r="GN39" s="2472"/>
      <c r="GO39" s="2472"/>
      <c r="GP39" s="2510"/>
      <c r="GQ39" s="2472"/>
      <c r="GR39" s="2510"/>
      <c r="GS39" s="2510"/>
      <c r="GT39" s="2510"/>
      <c r="GU39" s="2510"/>
      <c r="GV39" s="2510"/>
      <c r="GW39" s="2472"/>
      <c r="GX39" s="2510"/>
      <c r="GY39" s="2510"/>
      <c r="GZ39" s="2510"/>
      <c r="HA39" s="2510"/>
      <c r="HB39" s="2472"/>
      <c r="HC39" s="2510"/>
      <c r="HD39" s="2510"/>
      <c r="HE39" s="2510"/>
      <c r="HF39" s="2510"/>
      <c r="HG39" s="2510"/>
      <c r="HH39" s="2510"/>
      <c r="HI39" s="2510"/>
      <c r="HJ39" s="2510"/>
      <c r="HK39" s="2510"/>
      <c r="HL39" s="2510"/>
      <c r="HM39" s="2510"/>
      <c r="HN39" s="2510"/>
      <c r="HO39" s="2510"/>
      <c r="HP39" s="2510"/>
      <c r="HQ39" s="2510"/>
      <c r="HR39" s="2510"/>
      <c r="HS39" s="2510"/>
      <c r="HT39" s="2472"/>
      <c r="HU39" s="2472"/>
      <c r="HV39" s="2472"/>
      <c r="HW39" s="2510"/>
      <c r="HX39" s="2510"/>
      <c r="HY39" s="2510"/>
      <c r="HZ39" s="2510"/>
      <c r="IA39" s="2510"/>
      <c r="IB39" s="2510"/>
      <c r="IC39" s="2510"/>
      <c r="ID39" s="2510"/>
      <c r="IE39" s="2510"/>
      <c r="IF39" s="2510"/>
      <c r="IG39" s="2510"/>
      <c r="IH39" s="2510"/>
      <c r="II39" s="2510"/>
      <c r="IJ39" s="2510"/>
      <c r="IK39" s="2510"/>
      <c r="IL39" s="2510"/>
      <c r="IM39" s="2510"/>
      <c r="IN39" s="2510"/>
      <c r="IO39" s="2472">
        <v>2072</v>
      </c>
      <c r="IP39" s="2510"/>
      <c r="IQ39" s="2510"/>
      <c r="IR39" s="2510"/>
      <c r="IS39" s="2510"/>
      <c r="IT39" s="2510"/>
      <c r="IU39" s="2510"/>
      <c r="IV39" s="2510"/>
      <c r="IW39" s="2510"/>
      <c r="IX39" s="2510"/>
      <c r="IY39" s="2510"/>
      <c r="IZ39" s="2510"/>
      <c r="JA39" s="2510"/>
      <c r="JB39" s="2510"/>
      <c r="JC39" s="2510"/>
      <c r="JD39" s="2510"/>
      <c r="JE39" s="2510"/>
      <c r="JF39" s="3728"/>
      <c r="JG39" s="2479"/>
      <c r="JH39" s="1233"/>
      <c r="JI39" s="2248"/>
      <c r="JJ39" s="2248" t="s">
        <v>6124</v>
      </c>
    </row>
    <row r="40" spans="1:270" x14ac:dyDescent="0.2">
      <c r="A40" s="1128">
        <v>39</v>
      </c>
      <c r="B40" s="1347" t="str">
        <f si="2" t="shared"/>
        <v/>
      </c>
      <c r="C40" s="1349" t="s">
        <v>780</v>
      </c>
      <c r="D40" s="1350" t="str">
        <f>"If your total profits for "&amp;tax_year&amp;" are less than "&amp;DOLLAR(NIC2_SPT,0)&amp;" and you choose to pay Class 2 NICs voluntarily, put 'X' in the box"</f>
        <v>If your total profits for 2019-20 are less than $6,365 and you choose to pay Class 2 NICs voluntarily, put 'X' in the box</v>
      </c>
      <c r="E40" s="2528"/>
      <c r="F40" s="2528"/>
      <c r="G40" s="2528"/>
      <c r="H40" s="2528"/>
      <c r="I40" s="2528"/>
      <c r="J40" s="2528"/>
      <c r="K40" s="2528"/>
      <c r="L40" s="2528"/>
      <c r="M40" s="2528" t="str">
        <f>IF(SE_A_IND&gt;1,IF(SE_B_IND&gt;1,"",IF(LUN_IND&gt;1,"",IF(PS_A_IND&gt;1,"",IF(PS_B_IND&gt;1,"",IF(AND(M35&lt;NIC2_SPT,NIC2_Vol,NIC_ex_set=FALSE),"Y","N"))))),"")</f>
        <v/>
      </c>
      <c r="N40" s="2529" t="str">
        <f>IF(SE_A_IND&gt;1,IF(SE_B_IND&gt;1,"",IF(LUN_IND&gt;1,"",IF(PS_A_IND&gt;1,"",IF(PS_B_IND&gt;1,"",IF(AND(N35&lt;NIC2_SPT,NIC2_Vol,NIC_ex_set=FALSE),"Y","N"))))),"")</f>
        <v/>
      </c>
      <c r="O40" s="2529" t="str">
        <f>IF(SE_A_IND&gt;1,IF(SE_B_IND&gt;1,"",IF(LUN_IND&gt;1,"",IF(PS_A_IND&gt;1,"",IF(PS_B_IND&gt;1,"",IF(AND(O35&lt;NIC2_SPT,NIC2_Vol,NIC_ex_set=FALSE),"Y","N"))))),"")</f>
        <v/>
      </c>
      <c r="P40" s="2529" t="str">
        <f>IF(SE_A_IND&gt;1,IF(SE_B_IND&gt;1,"",IF(LUN_IND&gt;1,"",IF(PS_A_IND&gt;1,"",IF(PS_B_IND&gt;1,"",IF(AND(P35&lt;NIC2_SPT,NIC2_Vol,NIC_ex_set=FALSE),"Y","N"))))),"")</f>
        <v/>
      </c>
      <c r="Q40" s="2529" t="str">
        <f>IF(SE_A_IND&gt;1,IF(SE_B_IND&gt;1,"",IF(LUN_IND&gt;1,"",IF(PS_A_IND&gt;1,"",IF(PS_B_IND&gt;1,"",IF(AND(Q35&lt;NIC2_SPT,NIC2_Vol,NIC_ex_set=FALSE),"Y","N"))))),"")</f>
        <v/>
      </c>
      <c r="R40" s="2530"/>
      <c r="S40" s="2530"/>
      <c r="T40" s="2530"/>
      <c r="U40" s="2530"/>
      <c r="V40" s="2530"/>
      <c r="W40" s="2530"/>
      <c r="X40" s="2530"/>
      <c r="Y40" s="2530"/>
      <c r="Z40" s="2528" t="str">
        <f>IF(SE_A_IND&gt;1,IF(SE_B_IND&gt;1,"",IF(LUN_IND&gt;1,"",IF(PS_A_IND&gt;1,"",IF(PS_B_IND&gt;1,"",IF(AND(Z35&lt;NIC2_SPT,NIC2_Vol,NIC_ex_set=FALSE),"Y","N"))))),"")</f>
        <v/>
      </c>
      <c r="AA40" s="2530"/>
      <c r="AB40" s="2530"/>
      <c r="AC40" s="2528" t="str">
        <f>IF(SE_A_IND&gt;1,IF(SE_B_IND&gt;1,"",IF(LUN_IND&gt;1,"",IF(PS_A_IND&gt;1,"",IF(PS_B_IND&gt;1,"",IF(AND(AC35&lt;NIC2_SPT,NIC2_Vol,NIC_ex_set=FALSE),"Y","N"))))),"")</f>
        <v/>
      </c>
      <c r="AD40" s="3525"/>
      <c r="AE40" s="3525"/>
      <c r="AF40" s="3525"/>
      <c r="AG40" s="3525"/>
      <c r="AH40" s="3525"/>
      <c r="AI40" s="2530"/>
      <c r="AJ40" s="2530"/>
      <c r="AK40" s="2530"/>
      <c r="AL40" s="2530"/>
      <c r="AM40" s="2530"/>
      <c r="AN40" s="2530"/>
      <c r="AO40" s="2528" t="str">
        <f>IF(SE_A_IND&gt;1,IF(SE_B_IND&gt;1,"",IF(LUN_IND&gt;1,"",IF(PS_A_IND&gt;1,"",IF(PS_B_IND&gt;1,"",IF(AND(AO35&lt;NIC2_SPT,NIC2_Vol,NIC_ex_set=FALSE),"Y","N"))))),"")</f>
        <v/>
      </c>
      <c r="AP40" s="2530"/>
      <c r="AQ40" s="2530"/>
      <c r="AR40" s="2530"/>
      <c r="AS40" s="2530"/>
      <c r="AT40" s="2528" t="str">
        <f>IF(SE_A_IND&gt;1,IF(SE_B_IND&gt;1,"",IF(LUN_IND&gt;1,"",IF(PS_A_IND&gt;1,"",IF(PS_B_IND&gt;1,"",IF(AND(AT35&lt;NIC2_SPT,NIC2_Vol,NIC_ex_set=FALSE),"Y","N"))))),"")</f>
        <v/>
      </c>
      <c r="AU40" s="2530"/>
      <c r="AV40" s="2528" t="str">
        <f>IF(SE_A_IND&gt;1,IF(SE_B_IND&gt;1,"",IF(LUN_IND&gt;1,"",IF(PS_A_IND&gt;1,"",IF(PS_B_IND&gt;1,"",IF(AND(AV35&lt;NIC2_SPT,NIC2_Vol,NIC_ex_set=FALSE),"Y","N"))))),"")</f>
        <v/>
      </c>
      <c r="AW40" s="2530"/>
      <c r="AX40" s="2530"/>
      <c r="AY40" s="2530"/>
      <c r="AZ40" s="2530"/>
      <c r="BA40" s="2530"/>
      <c r="BB40" s="2529" t="str">
        <f>IF(SE_A_IND&gt;1,IF(SE_B_IND&gt;1,"",IF(LUN_IND&gt;1,"",IF(PS_A_IND&gt;1,"",IF(PS_B_IND&gt;1,"",IF(AND(BB35&lt;NIC2_SPT,NIC2_Vol,NIC_ex_set=FALSE),"Y","N"))))),"")</f>
        <v/>
      </c>
      <c r="BC40" s="2530"/>
      <c r="BD40" s="2528" t="str">
        <f>IF(SE_A_IND&gt;1,IF(SE_B_IND&gt;1,"",IF(LUN_IND&gt;1,"",IF(PS_A_IND&gt;1,"",IF(PS_B_IND&gt;1,"",IF(AND(BD35&lt;NIC2_SPT,NIC2_Vol,NIC_ex_set=FALSE),"Y","N"))))),"")</f>
        <v/>
      </c>
      <c r="BE40" s="2528" t="str">
        <f>IF(SE_A_IND&gt;1,IF(SE_B_IND&gt;1,"",IF(LUN_IND&gt;1,"",IF(PS_A_IND&gt;1,"",IF(PS_B_IND&gt;1,"",IF(AND(BE35&lt;NIC2_SPT,NIC2_Vol,NIC_ex_set=FALSE),"Y","N"))))),"")</f>
        <v/>
      </c>
      <c r="BF40" s="2530"/>
      <c r="BG40" s="2530"/>
      <c r="BH40" s="2530"/>
      <c r="BI40" s="2530"/>
      <c r="BJ40" s="2530"/>
      <c r="BK40" s="2530"/>
      <c r="BL40" s="2530"/>
      <c r="BM40" s="2530"/>
      <c r="BN40" s="2530"/>
      <c r="BO40" s="2530"/>
      <c r="BP40" s="2530"/>
      <c r="BQ40" s="2530"/>
      <c r="BR40" s="2530"/>
      <c r="BS40" s="2530"/>
      <c r="BT40" s="2530"/>
      <c r="BU40" s="2530"/>
      <c r="BV40" s="2528" t="str">
        <f>IF(SE_A_IND&gt;1,IF(SE_B_IND&gt;1,"",IF(LUN_IND&gt;1,"",IF(PS_A_IND&gt;1,"",IF(PS_B_IND&gt;1,"",IF(AND(BV35&lt;NIC2_SPT,NIC2_Vol,NIC_ex_set=FALSE),"Y","N"))))),"")</f>
        <v/>
      </c>
      <c r="BW40" s="2530"/>
      <c r="BX40" s="2530"/>
      <c r="BY40" s="2530"/>
      <c r="BZ40" s="2530"/>
      <c r="CA40" s="2530"/>
      <c r="CB40" s="2530"/>
      <c r="CC40" s="2530"/>
      <c r="CD40" s="2530"/>
      <c r="CE40" s="2530"/>
      <c r="CF40" s="2530"/>
      <c r="CG40" s="2530"/>
      <c r="CH40" s="2530"/>
      <c r="CI40" s="2528" t="str">
        <f>IF(SE_A_IND&gt;1,IF(SE_B_IND&gt;1,"",IF(LUN_IND&gt;1,"",IF(PS_A_IND&gt;1,"",IF(PS_B_IND&gt;1,"",IF(AND(CI35&lt;NIC2_SPT,NIC2_Vol,NIC_ex_set=FALSE),"Y","N"))))),"")</f>
        <v/>
      </c>
      <c r="CJ40" s="2530"/>
      <c r="CK40" s="2530"/>
      <c r="CL40" s="2530"/>
      <c r="CM40" s="2530"/>
      <c r="CN40" s="2530"/>
      <c r="CO40" s="2528" t="str">
        <f>IF(SE_A_IND&gt;1,IF(SE_B_IND&gt;1,"",IF(LUN_IND&gt;1,"",IF(PS_A_IND&gt;1,"",IF(PS_B_IND&gt;1,"",IF(AND(CO35&lt;NIC2_SPT,NIC2_Vol,NIC_ex_set=FALSE),"Y","N"))))),"")</f>
        <v/>
      </c>
      <c r="CP40" s="2528" t="str">
        <f>IF(SE_A_IND&gt;1,IF(SE_B_IND&gt;1,"",IF(LUN_IND&gt;1,"",IF(PS_A_IND&gt;1,"",IF(PS_B_IND&gt;1,"",IF(AND(CP35&lt;NIC2_SPT,NIC2_Vol,NIC_ex_set=FALSE),"Y","N"))))),"")</f>
        <v/>
      </c>
      <c r="CQ40" s="2530"/>
      <c r="CR40" s="2530"/>
      <c r="CS40" s="2530"/>
      <c r="CT40" s="2530"/>
      <c r="CU40" s="2530"/>
      <c r="CV40" s="2530"/>
      <c r="CW40" s="2530"/>
      <c r="CX40" s="2530"/>
      <c r="CY40" s="2530"/>
      <c r="CZ40" s="2530"/>
      <c r="DA40" s="2530"/>
      <c r="DB40" s="2530"/>
      <c r="DC40" s="3657" t="str">
        <f>IF(SE_A_IND&gt;1,IF(SE_B_IND&gt;1,"",IF(LUN_IND&gt;1,"",IF(PS_A_IND&gt;1,"",IF(PS_B_IND&gt;1,"",IF(AND(DC35&lt;NIC2_SPT,NIC2_Vol,NIC_ex_set=FALSE),"Y","N"))))),"")</f>
        <v/>
      </c>
      <c r="DD40" s="2528" t="str">
        <f>IF(SE_A_IND&gt;1,IF(SE_B_IND&gt;1,"",IF(LUN_IND&gt;1,"",IF(PS_A_IND&gt;1,"",IF(PS_B_IND&gt;1,"",IF(AND(DD35&lt;NIC2_SPT,NIC2_Vol,NIC_ex_set=FALSE),"Y","N"))))),"")</f>
        <v/>
      </c>
      <c r="DE40" s="2530"/>
      <c r="DF40" s="2530"/>
      <c r="DG40" s="2530"/>
      <c r="DH40" s="2530"/>
      <c r="DI40" s="2530"/>
      <c r="DJ40" s="2530"/>
      <c r="DK40" s="2530"/>
      <c r="DL40" s="2530"/>
      <c r="DM40" s="2530"/>
      <c r="DN40" s="2528" t="str">
        <f>IF(SE_A_IND&gt;1,IF(SE_B_IND&gt;1,"",IF(LUN_IND&gt;1,"",IF(PS_A_IND&gt;1,"",IF(PS_B_IND&gt;1,"",IF(AND(DN35&lt;NIC2_SPT,NIC2_Vol,NIC_ex_set=FALSE),"Y","N"))))),"")</f>
        <v/>
      </c>
      <c r="DO40" s="2528" t="str">
        <f>IF(SE_A_IND&gt;1,IF(SE_B_IND&gt;1,"",IF(LUN_IND&gt;1,"",IF(PS_A_IND&gt;1,"",IF(PS_B_IND&gt;1,"",IF(AND(DO35&lt;NIC2_SPT,NIC2_Vol,NIC_ex_set=FALSE),"Y","N"))))),"")</f>
        <v/>
      </c>
      <c r="DP40" s="2530"/>
      <c r="DQ40" s="2530"/>
      <c r="DR40" s="2530"/>
      <c r="DS40" s="2530"/>
      <c r="DT40" s="2530"/>
      <c r="DU40" s="2530"/>
      <c r="DV40" s="2530"/>
      <c r="DW40" s="2530"/>
      <c r="DX40" s="2528" t="str">
        <f>IF(SE_A_IND&gt;1,IF(SE_B_IND&gt;1,"",IF(LUN_IND&gt;1,"",IF(PS_A_IND&gt;1,"",IF(PS_B_IND&gt;1,"",IF(AND(DX35&lt;NIC2_SPT,NIC2_Vol,NIC_ex_set=FALSE),"Y","N"))))),"")</f>
        <v/>
      </c>
      <c r="DY40" s="2530"/>
      <c r="DZ40" s="2530"/>
      <c r="EA40" s="2530"/>
      <c r="EB40" s="2530"/>
      <c r="EC40" s="2530"/>
      <c r="ED40" s="2528" t="str">
        <f>IF(SE_A_IND&gt;1,IF(SE_B_IND&gt;1,"",IF(LUN_IND&gt;1,"",IF(PS_A_IND&gt;1,"",IF(PS_B_IND&gt;1,"",IF(AND(ED35&lt;NIC2_SPT,NIC2_Vol,NIC_ex_set=FALSE),"Y","N"))))),"")</f>
        <v/>
      </c>
      <c r="EE40" s="2528" t="str">
        <f>IF(SE_A_IND&gt;1,IF(SE_B_IND&gt;1,"",IF(LUN_IND&gt;1,"",IF(PS_A_IND&gt;1,"",IF(PS_B_IND&gt;1,"",IF(AND(EE35&lt;NIC2_SPT,NIC2_Vol,NIC_ex_set=FALSE),"Y","N"))))),"")</f>
        <v/>
      </c>
      <c r="EF40" s="2530"/>
      <c r="EG40" s="2530"/>
      <c r="EH40" s="2530"/>
      <c r="EI40" s="2530"/>
      <c r="EJ40" s="2530"/>
      <c r="EK40" s="2530"/>
      <c r="EL40" s="2530"/>
      <c r="EM40" s="2530"/>
      <c r="EN40" s="2528" t="str">
        <f>IF(SE_A_IND&gt;1,IF(SE_B_IND&gt;1,"",IF(LUN_IND&gt;1,"",IF(PS_A_IND&gt;1,"",IF(PS_B_IND&gt;1,"",IF(AND(EN35&lt;NIC2_SPT,NIC2_Vol,NIC_ex_set=FALSE),"Y","N"))))),"")</f>
        <v/>
      </c>
      <c r="EO40" s="2530"/>
      <c r="EP40" s="2530"/>
      <c r="EQ40" s="2530"/>
      <c r="ER40" s="2530"/>
      <c r="ES40" s="2530"/>
      <c r="ET40" s="2530"/>
      <c r="EU40" s="2530"/>
      <c r="EV40" s="2530"/>
      <c r="EW40" s="2530"/>
      <c r="EX40" s="2530"/>
      <c r="EY40" s="2530"/>
      <c r="EZ40" s="2530"/>
      <c r="FA40" s="2530"/>
      <c r="FB40" s="2530"/>
      <c r="FC40" s="2530"/>
      <c r="FD40" s="2530"/>
      <c r="FE40" s="2528" t="str">
        <f>IF(SE_A_IND&gt;1,IF(SE_B_IND&gt;1,"",IF(LUN_IND&gt;1,"",IF(PS_A_IND&gt;1,"",IF(PS_B_IND&gt;1,"",IF(AND(FE35&lt;NIC2_SPT,NIC2_Vol,NIC_ex_set=FALSE),"Y","N"))))),"")</f>
        <v/>
      </c>
      <c r="FF40" s="2530"/>
      <c r="FG40" s="2528" t="str">
        <f>IF(SE_A_IND&gt;1,IF(SE_B_IND&gt;1,"",IF(LUN_IND&gt;1,"",IF(PS_A_IND&gt;1,"",IF(PS_B_IND&gt;1,"",IF(AND(FG35&lt;NIC2_SPT,NIC2_Vol,NIC_ex_set=FALSE),"Y","N"))))),"")</f>
        <v/>
      </c>
      <c r="FH40" s="2528" t="str">
        <f>IF(SE_A_IND&gt;1,IF(SE_B_IND&gt;1,"",IF(LUN_IND&gt;1,"",IF(PS_A_IND&gt;1,"",IF(PS_B_IND&gt;1,"",IF(AND(FH35&lt;NIC2_SPT,NIC2_Vol,NIC_ex_set=FALSE),"Y","N"))))),"")</f>
        <v/>
      </c>
      <c r="FI40" s="2530"/>
      <c r="FJ40" s="2530"/>
      <c r="FK40" s="2530"/>
      <c r="FL40" s="2530"/>
      <c r="FM40" s="2530"/>
      <c r="FN40" s="2530"/>
      <c r="FO40" s="2530"/>
      <c r="FP40" s="3657" t="str">
        <f>IF(SE_A_IND&gt;1,IF(SE_B_IND&gt;1,"",IF(LUN_IND&gt;1,"",IF(PS_A_IND&gt;1,"",IF(PS_B_IND&gt;1,"",IF(AND(FP35&lt;NIC2_SPT,NIC2_Vol,NIC_ex_set=FALSE),"Y","N"))))),"")</f>
        <v/>
      </c>
      <c r="FQ40" s="2530"/>
      <c r="FR40" s="2530"/>
      <c r="FS40" s="2530"/>
      <c r="FT40" s="2530"/>
      <c r="FU40" s="2530"/>
      <c r="FV40" s="2530"/>
      <c r="FW40" s="2530"/>
      <c r="FX40" s="2530"/>
      <c r="FY40" s="2530"/>
      <c r="FZ40" s="2530"/>
      <c r="GA40" s="2530"/>
      <c r="GB40" s="2530"/>
      <c r="GC40" s="2530"/>
      <c r="GD40" s="2530"/>
      <c r="GE40" s="2530"/>
      <c r="GF40" s="2530"/>
      <c r="GG40" s="2530"/>
      <c r="GH40" s="2530"/>
      <c r="GI40" s="2528" t="str">
        <f>IF(SE_A_IND&gt;1,IF(SE_B_IND&gt;1,"",IF(LUN_IND&gt;1,"",IF(PS_A_IND&gt;1,"",IF(PS_B_IND&gt;1,"",IF(AND(GI35&lt;NIC2_SPT,NIC2_Vol,NIC_ex_set=FALSE),"Y","N"))))),"")</f>
        <v/>
      </c>
      <c r="GJ40" s="2530"/>
      <c r="GK40" s="2530"/>
      <c r="GL40" s="2530"/>
      <c r="GM40" s="2530"/>
      <c r="GN40" s="2528" t="str">
        <f>IF(SE_A_IND&gt;1,IF(SE_B_IND&gt;1,"",IF(LUN_IND&gt;1,"",IF(PS_A_IND&gt;1,"",IF(PS_B_IND&gt;1,"",IF(AND(GN35&lt;NIC2_SPT,NIC2_Vol,NIC_ex_set=FALSE),"Y","N"))))),"")</f>
        <v/>
      </c>
      <c r="GO40" s="2528" t="str">
        <f>IF(SE_A_IND&gt;1,IF(SE_B_IND&gt;1,"",IF(LUN_IND&gt;1,"",IF(PS_A_IND&gt;1,"",IF(PS_B_IND&gt;1,"",IF(AND(GO35&lt;NIC2_SPT,NIC2_Vol,NIC_ex_set=FALSE),"Y","N"))))),"")</f>
        <v/>
      </c>
      <c r="GP40" s="2530"/>
      <c r="GQ40" s="2528" t="str">
        <f>IF(SE_A_IND&gt;1,IF(SE_B_IND&gt;1,"",IF(LUN_IND&gt;1,"",IF(PS_A_IND&gt;1,"",IF(PS_B_IND&gt;1,"",IF(AND(GQ35&lt;NIC2_SPT,NIC2_Vol,NIC_ex_set=FALSE),"Y","N"))))),"")</f>
        <v/>
      </c>
      <c r="GR40" s="2530"/>
      <c r="GS40" s="2530"/>
      <c r="GT40" s="2530"/>
      <c r="GU40" s="2530"/>
      <c r="GV40" s="2530"/>
      <c r="GW40" s="2528" t="str">
        <f>IF(SE_A_IND&gt;1,IF(SE_B_IND&gt;1,"",IF(LUN_IND&gt;1,"",IF(PS_A_IND&gt;1,"",IF(PS_B_IND&gt;1,"",IF(AND(GW35&lt;NIC2_SPT,NIC2_Vol,NIC_ex_set=FALSE),"Y","N"))))),"")</f>
        <v/>
      </c>
      <c r="GX40" s="2530"/>
      <c r="GY40" s="2530"/>
      <c r="GZ40" s="2530"/>
      <c r="HA40" s="2530"/>
      <c r="HB40" s="2528" t="str">
        <f>IF(SE_A_IND&gt;1,IF(SE_B_IND&gt;1,"",IF(LUN_IND&gt;1,"",IF(PS_A_IND&gt;1,"",IF(PS_B_IND&gt;1,"",IF(AND(HB35&lt;NIC2_SPT,NIC2_Vol,NIC_ex_set=FALSE),"Y","N"))))),"")</f>
        <v/>
      </c>
      <c r="HC40" s="2530"/>
      <c r="HD40" s="2530"/>
      <c r="HE40" s="2530"/>
      <c r="HF40" s="2530"/>
      <c r="HG40" s="2530"/>
      <c r="HH40" s="2530"/>
      <c r="HI40" s="2530"/>
      <c r="HJ40" s="2530"/>
      <c r="HK40" s="2530"/>
      <c r="HL40" s="2530"/>
      <c r="HM40" s="2530"/>
      <c r="HN40" s="2530"/>
      <c r="HO40" s="2530"/>
      <c r="HP40" s="2530"/>
      <c r="HQ40" s="2530"/>
      <c r="HR40" s="2530"/>
      <c r="HS40" s="2530"/>
      <c r="HT40" s="2528" t="str">
        <f>IF(SE_A_IND&gt;1,IF(SE_B_IND&gt;1,"",IF(LUN_IND&gt;1,"",IF(PS_A_IND&gt;1,"",IF(PS_B_IND&gt;1,"",IF(AND(HT35&lt;NIC2_SPT,NIC2_Vol,NIC_ex_set=FALSE),"Y","N"))))),"")</f>
        <v/>
      </c>
      <c r="HU40" s="2528" t="str">
        <f>IF(SE_A_IND&gt;1,IF(SE_B_IND&gt;1,"",IF(LUN_IND&gt;1,"",IF(PS_A_IND&gt;1,"",IF(PS_B_IND&gt;1,"",IF(AND(HU35&lt;NIC2_SPT,NIC2_Vol,NIC_ex_set=FALSE),"Y","N"))))),"")</f>
        <v/>
      </c>
      <c r="HV40" s="2528" t="str">
        <f>IF(SE_A_IND&gt;1,IF(SE_B_IND&gt;1,"",IF(LUN_IND&gt;1,"",IF(PS_A_IND&gt;1,"",IF(PS_B_IND&gt;1,"",IF(AND(HV35&lt;NIC2_SPT,NIC2_Vol,NIC_ex_set=FALSE),"Y","N"))))),"")</f>
        <v/>
      </c>
      <c r="HW40" s="2530"/>
      <c r="HX40" s="2530"/>
      <c r="HY40" s="2530"/>
      <c r="HZ40" s="2530"/>
      <c r="IA40" s="2530"/>
      <c r="IB40" s="2530"/>
      <c r="IC40" s="2530"/>
      <c r="ID40" s="2530"/>
      <c r="IE40" s="2530"/>
      <c r="IF40" s="2530"/>
      <c r="IG40" s="2530"/>
      <c r="IH40" s="2530"/>
      <c r="II40" s="2530"/>
      <c r="IJ40" s="2530"/>
      <c r="IK40" s="2530"/>
      <c r="IL40" s="2530"/>
      <c r="IM40" s="2530"/>
      <c r="IN40" s="2530"/>
      <c r="IO40" s="2528" t="s">
        <v>572</v>
      </c>
      <c r="IP40" s="2530"/>
      <c r="IQ40" s="2530"/>
      <c r="IR40" s="2530"/>
      <c r="IS40" s="2530"/>
      <c r="IT40" s="2530"/>
      <c r="IU40" s="2530"/>
      <c r="IV40" s="2530"/>
      <c r="IW40" s="2530"/>
      <c r="IX40" s="2530"/>
      <c r="IY40" s="2530"/>
      <c r="IZ40" s="2530"/>
      <c r="JA40" s="2530"/>
      <c r="JB40" s="2530"/>
      <c r="JC40" s="2530"/>
      <c r="JD40" s="2530"/>
      <c r="JE40" s="2530"/>
      <c r="JF40" s="4266" t="str">
        <f>IF(SE_A_IND&gt;1,IF(SE_B_IND&gt;1,"",IF(LUN_IND&gt;1,"",IF(PS_A_IND&gt;1,"",IF(PS_B_IND&gt;1,"",IF(AND(JF35&lt;NIC2_SPT,NIC2_Vol,NIC_ex_set=FALSE),"Y","N"))))),"")</f>
        <v/>
      </c>
      <c r="JG40" s="2531" t="str">
        <f>IF(SE_A_IND&gt;1,IF(SE_B_IND&gt;1,"",IF(LUN_IND&gt;1,"",IF(PS_A_IND&gt;1,"",IF(PS_B_IND&gt;1,"",IF(AND(JG35&lt;NIC2_SPT,NIC2_Vol,NIC_ex_set=FALSE),"Y","N"))))),"")</f>
        <v/>
      </c>
      <c r="JH40" s="1233"/>
      <c r="JI40" s="4286"/>
      <c r="JJ40" s="2248" t="s">
        <v>6111</v>
      </c>
    </row>
    <row r="41" spans="1:270" x14ac:dyDescent="0.2">
      <c r="A41" s="1128">
        <v>40</v>
      </c>
      <c r="B41" s="1347" t="str">
        <f si="2" t="shared"/>
        <v/>
      </c>
      <c r="C41" s="1349" t="s">
        <v>781</v>
      </c>
      <c r="D41" s="1350" t="s">
        <v>4833</v>
      </c>
      <c r="E41" s="2528"/>
      <c r="F41" s="2528"/>
      <c r="G41" s="2528"/>
      <c r="H41" s="2528"/>
      <c r="I41" s="2528"/>
      <c r="J41" s="2528"/>
      <c r="K41" s="2528"/>
      <c r="L41" s="2528"/>
      <c r="M41" s="2528" t="str">
        <f>IF(SE_A_IND&gt;1,IF(NIC_ex_set,"Y","N"),"")</f>
        <v/>
      </c>
      <c r="N41" s="2529" t="str">
        <f>IF(SE_A_IND&gt;1,IF(NIC_ex_set,"Y","N"),"")</f>
        <v/>
      </c>
      <c r="O41" s="2529" t="str">
        <f>IF(SE_A_IND&gt;1,IF(NIC_ex_set,"Y","N"),"")</f>
        <v/>
      </c>
      <c r="P41" s="2529" t="str">
        <f>IF(SE_A_IND&gt;1,IF(NIC_ex_set,"Y","N"),"")</f>
        <v/>
      </c>
      <c r="Q41" s="2529" t="str">
        <f>IF(SE_A_IND&gt;1,IF(NIC_ex_set,"Y","N"),"")</f>
        <v/>
      </c>
      <c r="R41" s="2530"/>
      <c r="S41" s="2530"/>
      <c r="T41" s="2530"/>
      <c r="U41" s="2530"/>
      <c r="V41" s="2530"/>
      <c r="W41" s="2530"/>
      <c r="X41" s="2530"/>
      <c r="Y41" s="2530"/>
      <c r="Z41" s="2528" t="str">
        <f>IF(SE_A_IND&gt;1,IF(NIC_ex_set,"Y","N"),"")</f>
        <v/>
      </c>
      <c r="AA41" s="2530"/>
      <c r="AB41" s="2530"/>
      <c r="AC41" s="2528" t="str">
        <f>IF(SE_A_IND&gt;1,IF(NIC_ex_set,"Y","N"),"")</f>
        <v/>
      </c>
      <c r="AD41" s="3525"/>
      <c r="AE41" s="3525"/>
      <c r="AF41" s="3525"/>
      <c r="AG41" s="3525"/>
      <c r="AH41" s="3525"/>
      <c r="AI41" s="2530"/>
      <c r="AJ41" s="2530"/>
      <c r="AK41" s="2530"/>
      <c r="AL41" s="2530"/>
      <c r="AM41" s="2530"/>
      <c r="AN41" s="2530"/>
      <c r="AO41" s="2528" t="str">
        <f>IF(SE_A_IND&gt;1,IF(NIC_ex_set,"Y","N"),"")</f>
        <v/>
      </c>
      <c r="AP41" s="2530"/>
      <c r="AQ41" s="2530"/>
      <c r="AR41" s="2530"/>
      <c r="AS41" s="2530"/>
      <c r="AT41" s="2528" t="str">
        <f>IF(SE_A_IND&gt;1,IF(NIC_ex_set,"Y","N"),"")</f>
        <v/>
      </c>
      <c r="AU41" s="2530"/>
      <c r="AV41" s="2528" t="str">
        <f>IF(SE_A_IND&gt;1,IF(NIC_ex_set,"Y","N"),"")</f>
        <v/>
      </c>
      <c r="AW41" s="2530"/>
      <c r="AX41" s="2530"/>
      <c r="AY41" s="2530"/>
      <c r="AZ41" s="2530"/>
      <c r="BA41" s="2530"/>
      <c r="BB41" s="2529" t="str">
        <f>IF(SE_A_IND&gt;1,IF(NIC_ex_set,"Y","N"),"")</f>
        <v/>
      </c>
      <c r="BC41" s="2530"/>
      <c r="BD41" s="2528" t="str">
        <f>IF(SE_A_IND&gt;1,IF(NIC_ex_set,"Y","N"),"")</f>
        <v/>
      </c>
      <c r="BE41" s="2528" t="str">
        <f>IF(SE_A_IND&gt;1,IF(NIC_ex_set,"Y","N"),"")</f>
        <v/>
      </c>
      <c r="BF41" s="2530"/>
      <c r="BG41" s="2530"/>
      <c r="BH41" s="2530"/>
      <c r="BI41" s="2530"/>
      <c r="BJ41" s="2530"/>
      <c r="BK41" s="2530"/>
      <c r="BL41" s="2530"/>
      <c r="BM41" s="2530"/>
      <c r="BN41" s="2530"/>
      <c r="BO41" s="2530"/>
      <c r="BP41" s="2530"/>
      <c r="BQ41" s="2530"/>
      <c r="BR41" s="2530"/>
      <c r="BS41" s="2530"/>
      <c r="BT41" s="2530"/>
      <c r="BU41" s="2530"/>
      <c r="BV41" s="2528" t="str">
        <f>IF(SE_A_IND&gt;1,IF(NIC_ex_set,"Y","N"),"")</f>
        <v/>
      </c>
      <c r="BW41" s="2530"/>
      <c r="BX41" s="2530"/>
      <c r="BY41" s="2530"/>
      <c r="BZ41" s="2530"/>
      <c r="CA41" s="2530"/>
      <c r="CB41" s="2530"/>
      <c r="CC41" s="2530"/>
      <c r="CD41" s="2530"/>
      <c r="CE41" s="2530"/>
      <c r="CF41" s="2530"/>
      <c r="CG41" s="2530"/>
      <c r="CH41" s="2530"/>
      <c r="CI41" s="2528" t="str">
        <f>IF(SE_A_IND&gt;1,IF(NIC_ex_set,"Y","N"),"")</f>
        <v/>
      </c>
      <c r="CJ41" s="2530"/>
      <c r="CK41" s="2530"/>
      <c r="CL41" s="2530"/>
      <c r="CM41" s="2530"/>
      <c r="CN41" s="2530"/>
      <c r="CO41" s="2528" t="str">
        <f>IF(SE_A_IND&gt;1,IF(NIC_ex_set,"Y","N"),"")</f>
        <v/>
      </c>
      <c r="CP41" s="2528" t="str">
        <f>IF(SE_A_IND&gt;1,IF(NIC_ex_set,"Y","N"),"")</f>
        <v/>
      </c>
      <c r="CQ41" s="2530"/>
      <c r="CR41" s="2530"/>
      <c r="CS41" s="2530"/>
      <c r="CT41" s="2530"/>
      <c r="CU41" s="2530"/>
      <c r="CV41" s="2530"/>
      <c r="CW41" s="2530"/>
      <c r="CX41" s="2530"/>
      <c r="CY41" s="2530"/>
      <c r="CZ41" s="2530"/>
      <c r="DA41" s="2530"/>
      <c r="DB41" s="2530"/>
      <c r="DC41" s="3657" t="str">
        <f>IF(SE_A_IND&gt;1,IF(NIC_ex_set,"Y","N"),"")</f>
        <v/>
      </c>
      <c r="DD41" s="2528" t="str">
        <f>IF(SE_A_IND&gt;1,IF(NIC_ex_set,"Y","N"),"")</f>
        <v/>
      </c>
      <c r="DE41" s="2530"/>
      <c r="DF41" s="2530"/>
      <c r="DG41" s="2530"/>
      <c r="DH41" s="2530"/>
      <c r="DI41" s="2530"/>
      <c r="DJ41" s="2530"/>
      <c r="DK41" s="2530"/>
      <c r="DL41" s="2530"/>
      <c r="DM41" s="2530"/>
      <c r="DN41" s="2528" t="str">
        <f>IF(SE_A_IND&gt;1,IF(NIC_ex_set,"Y","N"),"")</f>
        <v/>
      </c>
      <c r="DO41" s="2528" t="str">
        <f>IF(SE_A_IND&gt;1,IF(NIC_ex_set,"Y","N"),"")</f>
        <v/>
      </c>
      <c r="DP41" s="2530"/>
      <c r="DQ41" s="2530"/>
      <c r="DR41" s="2530"/>
      <c r="DS41" s="2530"/>
      <c r="DT41" s="2530"/>
      <c r="DU41" s="2530"/>
      <c r="DV41" s="2530"/>
      <c r="DW41" s="2530"/>
      <c r="DX41" s="2528" t="str">
        <f>IF(SE_A_IND&gt;1,IF(NIC_ex_set,"Y","N"),"")</f>
        <v/>
      </c>
      <c r="DY41" s="2530"/>
      <c r="DZ41" s="2530"/>
      <c r="EA41" s="2530"/>
      <c r="EB41" s="2530"/>
      <c r="EC41" s="2530"/>
      <c r="ED41" s="2528" t="str">
        <f>IF(SE_A_IND&gt;1,IF(NIC_ex_set,"Y","N"),"")</f>
        <v/>
      </c>
      <c r="EE41" s="2528" t="str">
        <f>IF(SE_A_IND&gt;1,IF(NIC_ex_set,"Y","N"),"")</f>
        <v/>
      </c>
      <c r="EF41" s="2530"/>
      <c r="EG41" s="2530"/>
      <c r="EH41" s="2530"/>
      <c r="EI41" s="2530"/>
      <c r="EJ41" s="2530"/>
      <c r="EK41" s="2530"/>
      <c r="EL41" s="2530"/>
      <c r="EM41" s="2530"/>
      <c r="EN41" s="2528" t="str">
        <f>IF(SE_A_IND&gt;1,IF(NIC_ex_set,"Y","N"),"")</f>
        <v/>
      </c>
      <c r="EO41" s="2530"/>
      <c r="EP41" s="2530"/>
      <c r="EQ41" s="2530"/>
      <c r="ER41" s="2530"/>
      <c r="ES41" s="2530"/>
      <c r="ET41" s="2530"/>
      <c r="EU41" s="2530"/>
      <c r="EV41" s="2530"/>
      <c r="EW41" s="2530"/>
      <c r="EX41" s="2530"/>
      <c r="EY41" s="2530"/>
      <c r="EZ41" s="2530"/>
      <c r="FA41" s="2530"/>
      <c r="FB41" s="2530"/>
      <c r="FC41" s="2530"/>
      <c r="FD41" s="2530"/>
      <c r="FE41" s="2528" t="str">
        <f>IF(SE_A_IND&gt;1,IF(NIC_ex_set,"Y","N"),"")</f>
        <v/>
      </c>
      <c r="FF41" s="2530"/>
      <c r="FG41" s="2528" t="str">
        <f>IF(SE_A_IND&gt;1,IF(NIC_ex_set,"Y","N"),"")</f>
        <v/>
      </c>
      <c r="FH41" s="2528" t="str">
        <f>IF(SE_A_IND&gt;1,IF(NIC_ex_set,"Y","N"),"")</f>
        <v/>
      </c>
      <c r="FI41" s="2530"/>
      <c r="FJ41" s="2530"/>
      <c r="FK41" s="2530"/>
      <c r="FL41" s="2530"/>
      <c r="FM41" s="2530"/>
      <c r="FN41" s="2530"/>
      <c r="FO41" s="2530"/>
      <c r="FP41" s="3657" t="str">
        <f>IF(SE_A_IND&gt;1,IF(NIC_ex_set,"Y","N"),"")</f>
        <v/>
      </c>
      <c r="FQ41" s="2530"/>
      <c r="FR41" s="2530"/>
      <c r="FS41" s="2530"/>
      <c r="FT41" s="2530"/>
      <c r="FU41" s="2530"/>
      <c r="FV41" s="2530"/>
      <c r="FW41" s="2530"/>
      <c r="FX41" s="2530"/>
      <c r="FY41" s="2530"/>
      <c r="FZ41" s="2530"/>
      <c r="GA41" s="2530"/>
      <c r="GB41" s="2530"/>
      <c r="GC41" s="2530"/>
      <c r="GD41" s="2530"/>
      <c r="GE41" s="2530"/>
      <c r="GF41" s="2530"/>
      <c r="GG41" s="2530"/>
      <c r="GH41" s="2530"/>
      <c r="GI41" s="2528" t="str">
        <f>IF(SE_A_IND&gt;1,IF(NIC_ex_set,"Y","N"),"")</f>
        <v/>
      </c>
      <c r="GJ41" s="2530"/>
      <c r="GK41" s="2530"/>
      <c r="GL41" s="2530"/>
      <c r="GM41" s="2530"/>
      <c r="GN41" s="2528" t="str">
        <f>IF(SE_A_IND&gt;1,IF(NIC_ex_set,"Y","N"),"")</f>
        <v/>
      </c>
      <c r="GO41" s="2528" t="str">
        <f>IF(SE_A_IND&gt;1,IF(NIC_ex_set,"Y","N"),"")</f>
        <v/>
      </c>
      <c r="GP41" s="2530"/>
      <c r="GQ41" s="2528" t="str">
        <f>IF(SE_A_IND&gt;1,IF(NIC_ex_set,"Y","N"),"")</f>
        <v/>
      </c>
      <c r="GR41" s="2530"/>
      <c r="GS41" s="2530"/>
      <c r="GT41" s="2530"/>
      <c r="GU41" s="2530"/>
      <c r="GV41" s="2530"/>
      <c r="GW41" s="2528" t="str">
        <f>IF(SE_A_IND&gt;1,IF(NIC_ex_set,"Y","N"),"")</f>
        <v/>
      </c>
      <c r="GX41" s="2530"/>
      <c r="GY41" s="2530"/>
      <c r="GZ41" s="2530"/>
      <c r="HA41" s="2530"/>
      <c r="HB41" s="2528" t="str">
        <f>IF(SE_A_IND&gt;1,IF(NIC_ex_set,"Y","N"),"")</f>
        <v/>
      </c>
      <c r="HC41" s="2530"/>
      <c r="HD41" s="2530"/>
      <c r="HE41" s="2530"/>
      <c r="HF41" s="2530"/>
      <c r="HG41" s="2530"/>
      <c r="HH41" s="2530"/>
      <c r="HI41" s="2530"/>
      <c r="HJ41" s="2530"/>
      <c r="HK41" s="2530"/>
      <c r="HL41" s="2530"/>
      <c r="HM41" s="2530"/>
      <c r="HN41" s="2530"/>
      <c r="HO41" s="2530"/>
      <c r="HP41" s="2530"/>
      <c r="HQ41" s="2530"/>
      <c r="HR41" s="2530"/>
      <c r="HS41" s="2530"/>
      <c r="HT41" s="2528" t="str">
        <f>IF(SE_A_IND&gt;1,IF(NIC_ex_set,"Y","N"),"")</f>
        <v/>
      </c>
      <c r="HU41" s="2528" t="str">
        <f>IF(SE_A_IND&gt;1,IF(NIC_ex_set,"Y","N"),"")</f>
        <v/>
      </c>
      <c r="HV41" s="2528" t="str">
        <f>IF(SE_A_IND&gt;1,IF(NIC_ex_set,"Y","N"),"")</f>
        <v/>
      </c>
      <c r="HW41" s="2530"/>
      <c r="HX41" s="2530"/>
      <c r="HY41" s="2530"/>
      <c r="HZ41" s="2530"/>
      <c r="IA41" s="2530"/>
      <c r="IB41" s="2530"/>
      <c r="IC41" s="2530"/>
      <c r="ID41" s="2530"/>
      <c r="IE41" s="2530"/>
      <c r="IF41" s="2530"/>
      <c r="IG41" s="2530"/>
      <c r="IH41" s="2530"/>
      <c r="II41" s="2530"/>
      <c r="IJ41" s="2530"/>
      <c r="IK41" s="2530"/>
      <c r="IL41" s="2530"/>
      <c r="IM41" s="2530"/>
      <c r="IN41" s="2530"/>
      <c r="IO41" s="2528" t="str">
        <f>IF(SE_A_IND&gt;1,IF(NIC_ex_set,"Y","N"),"")</f>
        <v/>
      </c>
      <c r="IP41" s="2530"/>
      <c r="IQ41" s="2530"/>
      <c r="IR41" s="2530"/>
      <c r="IS41" s="2530"/>
      <c r="IT41" s="2530"/>
      <c r="IU41" s="2530"/>
      <c r="IV41" s="2530"/>
      <c r="IW41" s="2530"/>
      <c r="IX41" s="2530"/>
      <c r="IY41" s="2530"/>
      <c r="IZ41" s="2530"/>
      <c r="JA41" s="2530"/>
      <c r="JB41" s="2530"/>
      <c r="JC41" s="2530"/>
      <c r="JD41" s="2530"/>
      <c r="JE41" s="2530"/>
      <c r="JF41" s="4266" t="str">
        <f>IF(SE_A_IND&gt;1,IF(NIC_ex_set,"Y","N"),"")</f>
        <v/>
      </c>
      <c r="JG41" s="2531" t="str">
        <f>IF(SE_A_IND&gt;1,IF(NIC_ex_set,"Y","N"),"")</f>
        <v/>
      </c>
      <c r="JH41" s="1233"/>
      <c r="JI41" s="2248"/>
      <c r="JJ41" s="2248" t="s">
        <v>6111</v>
      </c>
    </row>
    <row ht="12.75" r="42" spans="1:270" thickBot="1" x14ac:dyDescent="0.25">
      <c r="A42" s="1128">
        <v>41</v>
      </c>
      <c r="B42" s="1347" t="str">
        <f si="2" t="shared"/>
        <v/>
      </c>
      <c r="C42" s="1353" t="s">
        <v>764</v>
      </c>
      <c r="D42" s="1354" t="s">
        <v>5473</v>
      </c>
      <c r="E42" s="2107"/>
      <c r="F42" s="2107"/>
      <c r="G42" s="2107"/>
      <c r="H42" s="2107"/>
      <c r="I42" s="2107"/>
      <c r="J42" s="2107"/>
      <c r="K42" s="2107"/>
      <c r="L42" s="2107"/>
      <c r="M42" s="2107"/>
      <c r="N42" s="2532"/>
      <c r="O42" s="2532"/>
      <c r="P42" s="2532"/>
      <c r="Q42" s="2532"/>
      <c r="R42" s="2533"/>
      <c r="S42" s="2533"/>
      <c r="T42" s="2533"/>
      <c r="U42" s="2533"/>
      <c r="V42" s="2533"/>
      <c r="W42" s="2533"/>
      <c r="X42" s="2533"/>
      <c r="Y42" s="2533"/>
      <c r="Z42" s="2107"/>
      <c r="AA42" s="2533"/>
      <c r="AB42" s="2533"/>
      <c r="AC42" s="2107"/>
      <c r="AD42" s="3526"/>
      <c r="AE42" s="3526"/>
      <c r="AF42" s="3526"/>
      <c r="AG42" s="3526"/>
      <c r="AH42" s="3526"/>
      <c r="AI42" s="2533"/>
      <c r="AJ42" s="2533"/>
      <c r="AK42" s="2533"/>
      <c r="AL42" s="2533"/>
      <c r="AM42" s="2533"/>
      <c r="AN42" s="2533"/>
      <c r="AO42" s="2107"/>
      <c r="AP42" s="2533"/>
      <c r="AQ42" s="2533"/>
      <c r="AR42" s="2533"/>
      <c r="AS42" s="2533"/>
      <c r="AT42" s="2107"/>
      <c r="AU42" s="2533"/>
      <c r="AV42" s="2107">
        <v>10421</v>
      </c>
      <c r="AW42" s="2533"/>
      <c r="AX42" s="2533"/>
      <c r="AY42" s="2533"/>
      <c r="AZ42" s="2533"/>
      <c r="BA42" s="2533"/>
      <c r="BB42" s="2532"/>
      <c r="BC42" s="2533"/>
      <c r="BD42" s="2107"/>
      <c r="BE42" s="2107"/>
      <c r="BF42" s="2533"/>
      <c r="BG42" s="2533"/>
      <c r="BH42" s="2533"/>
      <c r="BI42" s="2533"/>
      <c r="BJ42" s="2533"/>
      <c r="BK42" s="2533"/>
      <c r="BL42" s="2533"/>
      <c r="BM42" s="2533"/>
      <c r="BN42" s="2533"/>
      <c r="BO42" s="2533"/>
      <c r="BP42" s="2533"/>
      <c r="BQ42" s="2533"/>
      <c r="BR42" s="2533"/>
      <c r="BS42" s="2533"/>
      <c r="BT42" s="2533"/>
      <c r="BU42" s="2533"/>
      <c r="BV42" s="2107"/>
      <c r="BW42" s="2533"/>
      <c r="BX42" s="2533"/>
      <c r="BY42" s="2533"/>
      <c r="BZ42" s="2533"/>
      <c r="CA42" s="2533"/>
      <c r="CB42" s="2533"/>
      <c r="CC42" s="2533"/>
      <c r="CD42" s="2533"/>
      <c r="CE42" s="2533"/>
      <c r="CF42" s="2533"/>
      <c r="CG42" s="2533"/>
      <c r="CH42" s="2533"/>
      <c r="CI42" s="2107"/>
      <c r="CJ42" s="2533"/>
      <c r="CK42" s="2533"/>
      <c r="CL42" s="2533"/>
      <c r="CM42" s="2533"/>
      <c r="CN42" s="2533"/>
      <c r="CO42" s="2107"/>
      <c r="CP42" s="2107"/>
      <c r="CQ42" s="2533"/>
      <c r="CR42" s="2533"/>
      <c r="CS42" s="2533"/>
      <c r="CT42" s="2533"/>
      <c r="CU42" s="2533"/>
      <c r="CV42" s="2533"/>
      <c r="CW42" s="2533"/>
      <c r="CX42" s="2533"/>
      <c r="CY42" s="2533"/>
      <c r="CZ42" s="2533"/>
      <c r="DA42" s="2533"/>
      <c r="DB42" s="2533"/>
      <c r="DC42" s="3658"/>
      <c r="DD42" s="2107"/>
      <c r="DE42" s="2533"/>
      <c r="DF42" s="2533"/>
      <c r="DG42" s="2533"/>
      <c r="DH42" s="2533"/>
      <c r="DI42" s="2533"/>
      <c r="DJ42" s="2533"/>
      <c r="DK42" s="2533"/>
      <c r="DL42" s="2533"/>
      <c r="DM42" s="2533"/>
      <c r="DN42" s="2107"/>
      <c r="DO42" s="2107"/>
      <c r="DP42" s="2533"/>
      <c r="DQ42" s="2533"/>
      <c r="DR42" s="2533"/>
      <c r="DS42" s="2533"/>
      <c r="DT42" s="2533"/>
      <c r="DU42" s="2533"/>
      <c r="DV42" s="2533"/>
      <c r="DW42" s="2533"/>
      <c r="DX42" s="2107"/>
      <c r="DY42" s="2533"/>
      <c r="DZ42" s="2533"/>
      <c r="EA42" s="2533"/>
      <c r="EB42" s="2533"/>
      <c r="EC42" s="2533"/>
      <c r="ED42" s="2107"/>
      <c r="EE42" s="2107"/>
      <c r="EF42" s="2533"/>
      <c r="EG42" s="2533"/>
      <c r="EH42" s="2533"/>
      <c r="EI42" s="2533"/>
      <c r="EJ42" s="2533"/>
      <c r="EK42" s="2533"/>
      <c r="EL42" s="2533"/>
      <c r="EM42" s="2533"/>
      <c r="EN42" s="2107"/>
      <c r="EO42" s="2533"/>
      <c r="EP42" s="2533"/>
      <c r="EQ42" s="2533"/>
      <c r="ER42" s="2533"/>
      <c r="ES42" s="2533"/>
      <c r="ET42" s="2533"/>
      <c r="EU42" s="2533"/>
      <c r="EV42" s="2533"/>
      <c r="EW42" s="2533"/>
      <c r="EX42" s="2533"/>
      <c r="EY42" s="2533"/>
      <c r="EZ42" s="2533"/>
      <c r="FA42" s="2533"/>
      <c r="FB42" s="2533"/>
      <c r="FC42" s="2533"/>
      <c r="FD42" s="2533"/>
      <c r="FE42" s="2107"/>
      <c r="FF42" s="2533"/>
      <c r="FG42" s="2107"/>
      <c r="FH42" s="2107"/>
      <c r="FI42" s="2533"/>
      <c r="FJ42" s="2533"/>
      <c r="FK42" s="2533"/>
      <c r="FL42" s="2533"/>
      <c r="FM42" s="2533"/>
      <c r="FN42" s="2533"/>
      <c r="FO42" s="2533"/>
      <c r="FP42" s="3658"/>
      <c r="FQ42" s="2533"/>
      <c r="FR42" s="2533"/>
      <c r="FS42" s="2533"/>
      <c r="FT42" s="2533"/>
      <c r="FU42" s="2533"/>
      <c r="FV42" s="2533"/>
      <c r="FW42" s="2533"/>
      <c r="FX42" s="2533"/>
      <c r="FY42" s="2533"/>
      <c r="FZ42" s="2533"/>
      <c r="GA42" s="2533"/>
      <c r="GB42" s="2533"/>
      <c r="GC42" s="2533"/>
      <c r="GD42" s="2533"/>
      <c r="GE42" s="2533"/>
      <c r="GF42" s="2533"/>
      <c r="GG42" s="2533"/>
      <c r="GH42" s="2533"/>
      <c r="GI42" s="2107"/>
      <c r="GJ42" s="2533"/>
      <c r="GK42" s="2533"/>
      <c r="GL42" s="2533"/>
      <c r="GM42" s="2533"/>
      <c r="GN42" s="2107"/>
      <c r="GO42" s="2107">
        <v>10421</v>
      </c>
      <c r="GP42" s="2533"/>
      <c r="GQ42" s="2107">
        <v>10421</v>
      </c>
      <c r="GR42" s="2533"/>
      <c r="GS42" s="2533"/>
      <c r="GT42" s="2533"/>
      <c r="GU42" s="2533"/>
      <c r="GV42" s="2533"/>
      <c r="GW42" s="2107"/>
      <c r="GX42" s="2533"/>
      <c r="GY42" s="2533"/>
      <c r="GZ42" s="2533"/>
      <c r="HA42" s="2533"/>
      <c r="HB42" s="2107"/>
      <c r="HC42" s="2533"/>
      <c r="HD42" s="2533"/>
      <c r="HE42" s="2533"/>
      <c r="HF42" s="2533"/>
      <c r="HG42" s="2533"/>
      <c r="HH42" s="2533"/>
      <c r="HI42" s="2533"/>
      <c r="HJ42" s="2533"/>
      <c r="HK42" s="2533"/>
      <c r="HL42" s="2533"/>
      <c r="HM42" s="2533"/>
      <c r="HN42" s="2533"/>
      <c r="HO42" s="2533"/>
      <c r="HP42" s="2533"/>
      <c r="HQ42" s="2533"/>
      <c r="HR42" s="2533"/>
      <c r="HS42" s="2533"/>
      <c r="HT42" s="2107"/>
      <c r="HU42" s="2107"/>
      <c r="HV42" s="2107"/>
      <c r="HW42" s="2533"/>
      <c r="HX42" s="2533"/>
      <c r="HY42" s="2533"/>
      <c r="HZ42" s="2533"/>
      <c r="IA42" s="2533"/>
      <c r="IB42" s="2533"/>
      <c r="IC42" s="2533"/>
      <c r="ID42" s="2533"/>
      <c r="IE42" s="2533"/>
      <c r="IF42" s="2533"/>
      <c r="IG42" s="2533"/>
      <c r="IH42" s="2533"/>
      <c r="II42" s="2533"/>
      <c r="IJ42" s="2533"/>
      <c r="IK42" s="2533"/>
      <c r="IL42" s="2533"/>
      <c r="IM42" s="2533"/>
      <c r="IN42" s="2533"/>
      <c r="IO42" s="2107"/>
      <c r="IP42" s="2533"/>
      <c r="IQ42" s="2533"/>
      <c r="IR42" s="2533"/>
      <c r="IS42" s="2533"/>
      <c r="IT42" s="2533"/>
      <c r="IU42" s="2533"/>
      <c r="IV42" s="2533"/>
      <c r="IW42" s="2533"/>
      <c r="IX42" s="2533"/>
      <c r="IY42" s="2533"/>
      <c r="IZ42" s="2533"/>
      <c r="JA42" s="2533"/>
      <c r="JB42" s="2533"/>
      <c r="JC42" s="2533"/>
      <c r="JD42" s="2533"/>
      <c r="JE42" s="2533"/>
      <c r="JF42" s="3727"/>
      <c r="JG42" s="2534"/>
      <c r="JH42" s="1233"/>
      <c r="JI42" s="2248"/>
      <c r="JJ42" s="2248" t="s">
        <v>6108</v>
      </c>
    </row>
    <row ht="12.75" r="43" spans="1:270" thickBot="1" x14ac:dyDescent="0.25">
      <c r="E43" s="34"/>
      <c r="F43" s="34"/>
      <c r="G43" s="34"/>
      <c r="H43" s="34"/>
      <c r="I43" s="34"/>
      <c r="J43" s="34"/>
      <c r="K43" s="34"/>
      <c r="L43" s="34"/>
      <c r="M43" s="34"/>
      <c r="N43" s="34"/>
      <c r="O43" s="34"/>
      <c r="P43" s="34"/>
      <c r="Q43" s="34"/>
      <c r="R43" s="34"/>
      <c r="S43" s="34"/>
      <c r="T43" s="34"/>
      <c r="U43" s="34"/>
      <c r="V43" s="34"/>
      <c r="W43" s="34"/>
      <c r="X43" s="34"/>
      <c r="Y43" s="34"/>
      <c r="Z43" s="34"/>
      <c r="AA43" s="34"/>
      <c r="AB43" s="34"/>
      <c r="AC43" s="34"/>
      <c r="AI43" s="34"/>
      <c r="AJ43" s="34"/>
      <c r="AK43" s="34"/>
      <c r="AL43" s="34"/>
      <c r="AM43" s="34"/>
      <c r="AN43" s="34"/>
      <c r="AO43" s="34"/>
      <c r="AP43" s="34"/>
      <c r="AQ43" s="34"/>
      <c r="AR43" s="34"/>
      <c r="AS43" s="34"/>
      <c r="AT43" s="34"/>
      <c r="AU43" s="34"/>
      <c r="AV43" s="34"/>
      <c r="AW43" s="34"/>
      <c r="AX43" s="34"/>
      <c r="AY43" s="34"/>
      <c r="AZ43" s="34"/>
      <c r="BA43" s="34"/>
      <c r="BB43" s="34"/>
      <c r="BC43" s="34"/>
      <c r="BD43" s="34"/>
      <c r="BE43" s="34"/>
      <c r="BF43" s="34"/>
      <c r="BG43" s="34"/>
      <c r="BH43" s="34"/>
      <c r="BI43" s="34"/>
      <c r="BJ43" s="34"/>
      <c r="BK43" s="34"/>
      <c r="BL43" s="34"/>
      <c r="BM43" s="34"/>
      <c r="BN43" s="34"/>
      <c r="BO43" s="34"/>
      <c r="BP43" s="34"/>
      <c r="BQ43" s="34"/>
      <c r="BR43" s="34"/>
      <c r="BS43" s="34"/>
      <c r="BT43" s="34"/>
      <c r="BU43" s="34"/>
      <c r="BV43" s="34"/>
      <c r="BW43" s="34"/>
      <c r="BX43" s="34"/>
      <c r="BY43" s="34"/>
      <c r="BZ43" s="34"/>
      <c r="CA43" s="34"/>
      <c r="CB43" s="34"/>
      <c r="CC43" s="34"/>
      <c r="CD43" s="34"/>
      <c r="CE43" s="34"/>
      <c r="CF43" s="34"/>
      <c r="CG43" s="34"/>
      <c r="CH43" s="34"/>
      <c r="CI43" s="34"/>
      <c r="CJ43" s="34"/>
      <c r="CK43" s="34"/>
      <c r="CL43" s="34"/>
      <c r="CM43" s="34"/>
      <c r="CN43" s="34"/>
      <c r="CO43" s="34"/>
      <c r="CP43" s="34"/>
      <c r="CQ43" s="34"/>
      <c r="CR43" s="34"/>
      <c r="CS43" s="34"/>
      <c r="CT43" s="34"/>
      <c r="CU43" s="34"/>
      <c r="CV43" s="34"/>
      <c r="CW43" s="34"/>
      <c r="CX43" s="34"/>
      <c r="CY43" s="34"/>
      <c r="CZ43" s="34"/>
      <c r="DA43" s="34"/>
      <c r="DB43" s="34"/>
      <c r="DC43" s="34"/>
      <c r="DD43" s="34"/>
      <c r="DE43" s="34"/>
      <c r="DF43" s="34"/>
      <c r="DG43" s="34"/>
      <c r="DH43" s="34"/>
      <c r="DI43" s="34"/>
      <c r="DJ43" s="34"/>
      <c r="DK43" s="34"/>
      <c r="DL43" s="34"/>
      <c r="DM43" s="34"/>
      <c r="DN43" s="34"/>
      <c r="DO43" s="34"/>
      <c r="DP43" s="34"/>
      <c r="DQ43" s="34"/>
      <c r="DR43" s="34"/>
      <c r="DS43" s="34"/>
      <c r="DT43" s="34"/>
      <c r="DU43" s="34"/>
      <c r="DV43" s="34"/>
      <c r="DW43" s="34"/>
      <c r="DX43" s="34"/>
      <c r="DY43" s="34"/>
      <c r="DZ43" s="34"/>
      <c r="EA43" s="34"/>
      <c r="EB43" s="34"/>
      <c r="EC43" s="34"/>
      <c r="ED43" s="34"/>
      <c r="EE43" s="34"/>
      <c r="EF43" s="34"/>
      <c r="EG43" s="34"/>
      <c r="EH43" s="34"/>
      <c r="EI43" s="34"/>
      <c r="EJ43" s="34"/>
      <c r="EK43" s="34"/>
      <c r="EL43" s="34"/>
      <c r="EM43" s="34"/>
      <c r="EN43" s="34"/>
      <c r="EO43" s="34"/>
      <c r="EP43" s="34"/>
      <c r="EQ43" s="34"/>
      <c r="ER43" s="34"/>
      <c r="ES43" s="34"/>
      <c r="ET43" s="34"/>
      <c r="EU43" s="34"/>
      <c r="EV43" s="34"/>
      <c r="EW43" s="34"/>
      <c r="EX43" s="34"/>
      <c r="EY43" s="34"/>
      <c r="EZ43" s="34"/>
      <c r="FA43" s="34"/>
      <c r="FB43" s="34"/>
      <c r="FC43" s="34"/>
      <c r="FD43" s="34"/>
      <c r="FE43" s="34"/>
      <c r="FF43" s="34"/>
      <c r="FG43" s="34"/>
      <c r="FH43" s="34"/>
      <c r="FI43" s="34"/>
      <c r="FJ43" s="34"/>
      <c r="FK43" s="34"/>
      <c r="FL43" s="34"/>
      <c r="FM43" s="34"/>
      <c r="FN43" s="34"/>
      <c r="FO43" s="34"/>
      <c r="FP43" s="34"/>
      <c r="FQ43" s="34"/>
      <c r="FR43" s="34"/>
      <c r="FS43" s="34"/>
      <c r="FT43" s="34"/>
      <c r="FU43" s="34"/>
      <c r="FV43" s="34"/>
      <c r="FW43" s="34"/>
      <c r="FX43" s="34"/>
      <c r="FY43" s="34"/>
      <c r="FZ43" s="34"/>
      <c r="GA43" s="34"/>
      <c r="GB43" s="34"/>
      <c r="GC43" s="34"/>
      <c r="GD43" s="34"/>
      <c r="GE43" s="34"/>
      <c r="GF43" s="34"/>
      <c r="GG43" s="34"/>
      <c r="GH43" s="34"/>
      <c r="GI43" s="34"/>
      <c r="GJ43" s="34"/>
      <c r="GK43" s="34"/>
      <c r="GL43" s="34"/>
      <c r="GM43" s="34"/>
      <c r="GN43" s="34"/>
      <c r="GO43" s="34"/>
      <c r="GP43" s="34"/>
      <c r="GQ43" s="34"/>
      <c r="GR43" s="34"/>
      <c r="GS43" s="34"/>
      <c r="GT43" s="34"/>
      <c r="GU43" s="34"/>
      <c r="GV43" s="34"/>
      <c r="GW43" s="34"/>
      <c r="GX43" s="34"/>
      <c r="GY43" s="34"/>
      <c r="GZ43" s="34"/>
      <c r="HA43" s="34"/>
      <c r="HB43" s="34"/>
      <c r="HC43" s="34"/>
      <c r="HD43" s="34"/>
      <c r="HE43" s="34"/>
      <c r="HF43" s="34"/>
      <c r="HG43" s="34"/>
      <c r="HH43" s="34"/>
      <c r="HI43" s="34"/>
      <c r="HJ43" s="34"/>
      <c r="HK43" s="34"/>
      <c r="HL43" s="34"/>
      <c r="HM43" s="34"/>
      <c r="HN43" s="34"/>
      <c r="HO43" s="34"/>
      <c r="HP43" s="34"/>
      <c r="HQ43" s="34"/>
      <c r="HR43" s="34"/>
      <c r="HS43" s="34"/>
      <c r="HT43" s="34"/>
      <c r="HU43" s="34"/>
      <c r="HV43" s="34"/>
      <c r="HW43" s="34"/>
      <c r="HX43" s="34"/>
      <c r="HY43" s="34"/>
      <c r="HZ43" s="34"/>
      <c r="IA43" s="34"/>
      <c r="IB43" s="34"/>
      <c r="IC43" s="34"/>
      <c r="ID43" s="34"/>
      <c r="IE43" s="34"/>
      <c r="IF43" s="34"/>
      <c r="IG43" s="34"/>
      <c r="IH43" s="34"/>
      <c r="II43" s="34"/>
      <c r="IJ43" s="34"/>
      <c r="IK43" s="34"/>
      <c r="IL43" s="34"/>
      <c r="IM43" s="34"/>
      <c r="IN43" s="34"/>
      <c r="IO43" s="34"/>
      <c r="IP43" s="34"/>
      <c r="IQ43" s="34"/>
      <c r="IR43" s="34"/>
      <c r="IS43" s="34"/>
      <c r="IT43" s="34"/>
      <c r="IU43" s="34"/>
      <c r="IV43" s="34"/>
      <c r="IW43" s="34"/>
      <c r="IX43" s="34"/>
      <c r="IY43" s="34"/>
      <c r="IZ43" s="34"/>
      <c r="JA43" s="34"/>
      <c r="JB43" s="34"/>
      <c r="JC43" s="34"/>
      <c r="JD43" s="34"/>
      <c r="JE43" s="34"/>
      <c r="JF43" s="34"/>
      <c r="JG43" s="34"/>
    </row>
    <row r="44" spans="1:270" x14ac:dyDescent="0.2">
      <c r="A44" s="1128" t="s">
        <v>4479</v>
      </c>
      <c r="B44" s="2755" t="str">
        <f>"selected "&amp;SE_B_IND-1</f>
        <v>selected 3</v>
      </c>
      <c r="C44" s="1382" t="s">
        <v>3663</v>
      </c>
      <c r="D44" s="1355"/>
      <c r="E44" s="2026">
        <v>1</v>
      </c>
      <c r="F44" s="2026">
        <v>2</v>
      </c>
      <c r="G44" s="2026">
        <v>3</v>
      </c>
      <c r="H44" s="2026">
        <v>4</v>
      </c>
      <c r="I44" s="2026">
        <v>5</v>
      </c>
      <c r="J44" s="2026">
        <v>6</v>
      </c>
      <c r="K44" s="2026">
        <v>7</v>
      </c>
      <c r="L44" s="2026">
        <v>8</v>
      </c>
      <c r="M44" s="2026">
        <v>9</v>
      </c>
      <c r="N44" s="2026">
        <v>10</v>
      </c>
      <c r="O44" s="2026">
        <v>11</v>
      </c>
      <c r="P44" s="2026">
        <v>12</v>
      </c>
      <c r="Q44" s="2026">
        <v>13</v>
      </c>
      <c r="R44" s="2026">
        <v>14</v>
      </c>
      <c r="S44" s="2026">
        <v>15</v>
      </c>
      <c r="T44" s="2026">
        <v>16</v>
      </c>
      <c r="U44" s="2026">
        <v>17</v>
      </c>
      <c r="V44" s="2026">
        <v>18</v>
      </c>
      <c r="W44" s="2026">
        <v>19</v>
      </c>
      <c r="X44" s="2026">
        <v>20</v>
      </c>
      <c r="Y44" s="2026">
        <v>21</v>
      </c>
      <c r="Z44" s="2026">
        <v>22</v>
      </c>
      <c r="AA44" s="2026">
        <v>23</v>
      </c>
      <c r="AB44" s="2026">
        <v>24</v>
      </c>
      <c r="AC44" s="2026">
        <v>25</v>
      </c>
      <c r="AD44" s="3517">
        <v>26</v>
      </c>
      <c r="AE44" s="3517">
        <v>27</v>
      </c>
      <c r="AF44" s="3517">
        <v>28</v>
      </c>
      <c r="AG44" s="3517">
        <v>29</v>
      </c>
      <c r="AH44" s="3517">
        <v>30</v>
      </c>
      <c r="AI44" s="2026">
        <v>31</v>
      </c>
      <c r="AJ44" s="2026">
        <v>32</v>
      </c>
      <c r="AK44" s="2026">
        <v>33</v>
      </c>
      <c r="AL44" s="2026">
        <v>34</v>
      </c>
      <c r="AM44" s="2026">
        <v>35</v>
      </c>
      <c r="AN44" s="2026">
        <v>36</v>
      </c>
      <c r="AO44" s="2026">
        <v>37</v>
      </c>
      <c r="AP44" s="2026">
        <v>38</v>
      </c>
      <c r="AQ44" s="2026">
        <v>39</v>
      </c>
      <c r="AR44" s="2026">
        <v>40</v>
      </c>
      <c r="AS44" s="2026">
        <v>41</v>
      </c>
      <c r="AT44" s="2026">
        <v>42</v>
      </c>
      <c r="AU44" s="2026">
        <v>43</v>
      </c>
      <c r="AV44" s="2026">
        <v>44</v>
      </c>
      <c r="AW44" s="2026">
        <v>45</v>
      </c>
      <c r="AX44" s="2026">
        <v>46</v>
      </c>
      <c r="AY44" s="2026">
        <v>47</v>
      </c>
      <c r="AZ44" s="2026">
        <v>48</v>
      </c>
      <c r="BA44" s="2026">
        <v>49</v>
      </c>
      <c r="BB44" s="2026">
        <v>50</v>
      </c>
      <c r="BC44" s="2026">
        <v>51</v>
      </c>
      <c r="BD44" s="2026">
        <v>52</v>
      </c>
      <c r="BE44" s="2026">
        <v>53</v>
      </c>
      <c r="BF44" s="2026">
        <v>54</v>
      </c>
      <c r="BG44" s="2026">
        <v>55</v>
      </c>
      <c r="BH44" s="2026">
        <v>56</v>
      </c>
      <c r="BI44" s="2026">
        <v>57</v>
      </c>
      <c r="BJ44" s="2026">
        <v>58</v>
      </c>
      <c r="BK44" s="2026">
        <v>59</v>
      </c>
      <c r="BL44" s="2026">
        <v>60</v>
      </c>
      <c r="BM44" s="2026">
        <v>61</v>
      </c>
      <c r="BN44" s="2026">
        <v>62</v>
      </c>
      <c r="BO44" s="2026">
        <v>63</v>
      </c>
      <c r="BP44" s="2026">
        <v>64</v>
      </c>
      <c r="BQ44" s="2026">
        <v>65</v>
      </c>
      <c r="BR44" s="2026">
        <v>66</v>
      </c>
      <c r="BS44" s="2026">
        <v>67</v>
      </c>
      <c r="BT44" s="2026">
        <v>68</v>
      </c>
      <c r="BU44" s="2026">
        <v>69</v>
      </c>
      <c r="BV44" s="2026">
        <v>70</v>
      </c>
      <c r="BW44" s="2026">
        <v>71</v>
      </c>
      <c r="BX44" s="2026">
        <v>72</v>
      </c>
      <c r="BY44" s="2026">
        <v>73</v>
      </c>
      <c r="BZ44" s="2026">
        <v>74</v>
      </c>
      <c r="CA44" s="2026">
        <v>75</v>
      </c>
      <c r="CB44" s="2026">
        <v>76</v>
      </c>
      <c r="CC44" s="2026">
        <v>77</v>
      </c>
      <c r="CD44" s="2026">
        <v>78</v>
      </c>
      <c r="CE44" s="2026">
        <v>79</v>
      </c>
      <c r="CF44" s="2026">
        <v>80</v>
      </c>
      <c r="CG44" s="2026">
        <v>81</v>
      </c>
      <c r="CH44" s="2026">
        <v>82</v>
      </c>
      <c r="CI44" s="2026">
        <v>83</v>
      </c>
      <c r="CJ44" s="2026">
        <v>84</v>
      </c>
      <c r="CK44" s="2026">
        <v>85</v>
      </c>
      <c r="CL44" s="2026">
        <v>86</v>
      </c>
      <c r="CM44" s="2026">
        <v>87</v>
      </c>
      <c r="CN44" s="2026">
        <v>88</v>
      </c>
      <c r="CO44" s="2026">
        <v>89</v>
      </c>
      <c r="CP44" s="2026">
        <v>90</v>
      </c>
      <c r="CQ44" s="2026">
        <v>91</v>
      </c>
      <c r="CR44" s="2026">
        <v>92</v>
      </c>
      <c r="CS44" s="2026">
        <v>93</v>
      </c>
      <c r="CT44" s="2026">
        <v>94</v>
      </c>
      <c r="CU44" s="2026">
        <v>95</v>
      </c>
      <c r="CV44" s="2026">
        <v>96</v>
      </c>
      <c r="CW44" s="2026">
        <v>97</v>
      </c>
      <c r="CX44" s="2026">
        <v>98</v>
      </c>
      <c r="CY44" s="2026">
        <v>99</v>
      </c>
      <c r="CZ44" s="2026">
        <v>100</v>
      </c>
      <c r="DA44" s="2026">
        <v>101</v>
      </c>
      <c r="DB44" s="2026">
        <v>102</v>
      </c>
      <c r="DC44" s="2026">
        <v>103</v>
      </c>
      <c r="DD44" s="2026">
        <v>104</v>
      </c>
      <c r="DE44" s="2026">
        <v>105</v>
      </c>
      <c r="DF44" s="2026">
        <v>106</v>
      </c>
      <c r="DG44" s="2026">
        <v>107</v>
      </c>
      <c r="DH44" s="2026">
        <v>108</v>
      </c>
      <c r="DI44" s="2026">
        <v>109</v>
      </c>
      <c r="DJ44" s="2026">
        <v>110</v>
      </c>
      <c r="DK44" s="2026">
        <v>111</v>
      </c>
      <c r="DL44" s="2026">
        <v>112</v>
      </c>
      <c r="DM44" s="2026">
        <v>113</v>
      </c>
      <c r="DN44" s="2026">
        <v>114</v>
      </c>
      <c r="DO44" s="2026">
        <v>115</v>
      </c>
      <c r="DP44" s="2026">
        <v>116</v>
      </c>
      <c r="DQ44" s="2026">
        <v>117</v>
      </c>
      <c r="DR44" s="2026">
        <v>118</v>
      </c>
      <c r="DS44" s="2026">
        <v>119</v>
      </c>
      <c r="DT44" s="2026">
        <v>120</v>
      </c>
      <c r="DU44" s="2026">
        <v>121</v>
      </c>
      <c r="DV44" s="2026">
        <v>122</v>
      </c>
      <c r="DW44" s="2026">
        <v>123</v>
      </c>
      <c r="DX44" s="2026">
        <v>124</v>
      </c>
      <c r="DY44" s="2026">
        <v>125</v>
      </c>
      <c r="DZ44" s="2026">
        <v>126</v>
      </c>
      <c r="EA44" s="2026">
        <v>127</v>
      </c>
      <c r="EB44" s="2026">
        <v>128</v>
      </c>
      <c r="EC44" s="2026">
        <v>129</v>
      </c>
      <c r="ED44" s="2026">
        <v>130</v>
      </c>
      <c r="EE44" s="2026">
        <v>131</v>
      </c>
      <c r="EF44" s="2026">
        <v>132</v>
      </c>
      <c r="EG44" s="2026">
        <v>133</v>
      </c>
      <c r="EH44" s="2026">
        <v>134</v>
      </c>
      <c r="EI44" s="2026">
        <v>135</v>
      </c>
      <c r="EJ44" s="2026">
        <v>136</v>
      </c>
      <c r="EK44" s="2026">
        <v>137</v>
      </c>
      <c r="EL44" s="2026">
        <v>138</v>
      </c>
      <c r="EM44" s="2026">
        <v>139</v>
      </c>
      <c r="EN44" s="2026">
        <v>140</v>
      </c>
      <c r="EO44" s="2026">
        <v>141</v>
      </c>
      <c r="EP44" s="2026">
        <v>142</v>
      </c>
      <c r="EQ44" s="2026">
        <v>143</v>
      </c>
      <c r="ER44" s="2026">
        <v>144</v>
      </c>
      <c r="ES44" s="2026">
        <v>145</v>
      </c>
      <c r="ET44" s="2026">
        <v>146</v>
      </c>
      <c r="EU44" s="2026">
        <v>147</v>
      </c>
      <c r="EV44" s="2026">
        <v>148</v>
      </c>
      <c r="EW44" s="2026">
        <v>149</v>
      </c>
      <c r="EX44" s="2026">
        <v>150</v>
      </c>
      <c r="EY44" s="2026">
        <v>151</v>
      </c>
      <c r="EZ44" s="2026">
        <v>152</v>
      </c>
      <c r="FA44" s="2026">
        <v>153</v>
      </c>
      <c r="FB44" s="2026">
        <v>154</v>
      </c>
      <c r="FC44" s="2026">
        <v>155</v>
      </c>
      <c r="FD44" s="2026">
        <v>156</v>
      </c>
      <c r="FE44" s="2026">
        <v>157</v>
      </c>
      <c r="FF44" s="2026">
        <v>158</v>
      </c>
      <c r="FG44" s="2026">
        <v>159</v>
      </c>
      <c r="FH44" s="2026">
        <v>160</v>
      </c>
      <c r="FI44" s="2026">
        <v>161</v>
      </c>
      <c r="FJ44" s="2026">
        <v>162</v>
      </c>
      <c r="FK44" s="2026">
        <v>163</v>
      </c>
      <c r="FL44" s="2026">
        <v>164</v>
      </c>
      <c r="FM44" s="2026">
        <v>165</v>
      </c>
      <c r="FN44" s="2026">
        <v>166</v>
      </c>
      <c r="FO44" s="2026">
        <v>167</v>
      </c>
      <c r="FP44" s="2026">
        <v>168</v>
      </c>
      <c r="FQ44" s="2026">
        <v>169</v>
      </c>
      <c r="FR44" s="2026">
        <v>170</v>
      </c>
      <c r="FS44" s="2026">
        <v>171</v>
      </c>
      <c r="FT44" s="2026">
        <v>172</v>
      </c>
      <c r="FU44" s="2026">
        <v>173</v>
      </c>
      <c r="FV44" s="2026">
        <v>174</v>
      </c>
      <c r="FW44" s="2026">
        <v>175</v>
      </c>
      <c r="FX44" s="2026">
        <v>176</v>
      </c>
      <c r="FY44" s="2026">
        <v>177</v>
      </c>
      <c r="FZ44" s="2026">
        <v>178</v>
      </c>
      <c r="GA44" s="2026">
        <v>179</v>
      </c>
      <c r="GB44" s="2026">
        <v>180</v>
      </c>
      <c r="GC44" s="2026">
        <v>181</v>
      </c>
      <c r="GD44" s="2026">
        <v>182</v>
      </c>
      <c r="GE44" s="2026">
        <v>183</v>
      </c>
      <c r="GF44" s="2026">
        <v>184</v>
      </c>
      <c r="GG44" s="2026">
        <v>185</v>
      </c>
      <c r="GH44" s="2026">
        <v>186</v>
      </c>
      <c r="GI44" s="2026">
        <v>187</v>
      </c>
      <c r="GJ44" s="2026">
        <v>188</v>
      </c>
      <c r="GK44" s="2026">
        <v>189</v>
      </c>
      <c r="GL44" s="2026">
        <v>190</v>
      </c>
      <c r="GM44" s="2026">
        <v>191</v>
      </c>
      <c r="GN44" s="2026">
        <v>192</v>
      </c>
      <c r="GO44" s="2026">
        <v>193</v>
      </c>
      <c r="GP44" s="2026">
        <v>194</v>
      </c>
      <c r="GQ44" s="2026">
        <v>195</v>
      </c>
      <c r="GR44" s="2026">
        <v>196</v>
      </c>
      <c r="GS44" s="2026">
        <v>197</v>
      </c>
      <c r="GT44" s="2026">
        <v>198</v>
      </c>
      <c r="GU44" s="2026">
        <v>199</v>
      </c>
      <c r="GV44" s="2026">
        <v>200</v>
      </c>
      <c r="GW44" s="2026">
        <v>201</v>
      </c>
      <c r="GX44" s="2026">
        <v>202</v>
      </c>
      <c r="GY44" s="2026">
        <v>203</v>
      </c>
      <c r="GZ44" s="2026">
        <v>204</v>
      </c>
      <c r="HA44" s="2026">
        <v>205</v>
      </c>
      <c r="HB44" s="2026">
        <v>206</v>
      </c>
      <c r="HC44" s="2026">
        <v>207</v>
      </c>
      <c r="HD44" s="2026">
        <v>208</v>
      </c>
      <c r="HE44" s="2026">
        <v>209</v>
      </c>
      <c r="HF44" s="2026">
        <v>210</v>
      </c>
      <c r="HG44" s="2026">
        <v>211</v>
      </c>
      <c r="HH44" s="2026">
        <v>212</v>
      </c>
      <c r="HI44" s="2026">
        <v>213</v>
      </c>
      <c r="HJ44" s="2026">
        <v>214</v>
      </c>
      <c r="HK44" s="2026">
        <v>215</v>
      </c>
      <c r="HL44" s="2026">
        <v>216</v>
      </c>
      <c r="HM44" s="2026">
        <v>217</v>
      </c>
      <c r="HN44" s="2026">
        <v>218</v>
      </c>
      <c r="HO44" s="2026">
        <v>219</v>
      </c>
      <c r="HP44" s="2026">
        <v>220</v>
      </c>
      <c r="HQ44" s="2026">
        <v>221</v>
      </c>
      <c r="HR44" s="2026">
        <v>222</v>
      </c>
      <c r="HS44" s="2026">
        <v>223</v>
      </c>
      <c r="HT44" s="2026">
        <v>224</v>
      </c>
      <c r="HU44" s="2026">
        <v>225</v>
      </c>
      <c r="HV44" s="2026">
        <v>226</v>
      </c>
      <c r="HW44" s="2026">
        <v>227</v>
      </c>
      <c r="HX44" s="2026">
        <v>228</v>
      </c>
      <c r="HY44" s="2026">
        <v>229</v>
      </c>
      <c r="HZ44" s="2026">
        <v>230</v>
      </c>
      <c r="IA44" s="2026">
        <v>231</v>
      </c>
      <c r="IB44" s="2026">
        <v>232</v>
      </c>
      <c r="IC44" s="2026">
        <v>233</v>
      </c>
      <c r="ID44" s="2026">
        <v>234</v>
      </c>
      <c r="IE44" s="2026">
        <v>235</v>
      </c>
      <c r="IF44" s="2026">
        <v>236</v>
      </c>
      <c r="IG44" s="2026">
        <v>237</v>
      </c>
      <c r="IH44" s="2026">
        <v>238</v>
      </c>
      <c r="II44" s="2026">
        <v>239</v>
      </c>
      <c r="IJ44" s="2026">
        <v>240</v>
      </c>
      <c r="IK44" s="2026">
        <v>241</v>
      </c>
      <c r="IL44" s="2026">
        <v>242</v>
      </c>
      <c r="IM44" s="2026">
        <v>243</v>
      </c>
      <c r="IN44" s="2026">
        <v>244</v>
      </c>
      <c r="IO44" s="2026">
        <v>245</v>
      </c>
      <c r="IP44" s="2026">
        <v>246</v>
      </c>
      <c r="IQ44" s="2026">
        <v>247</v>
      </c>
      <c r="IR44" s="2026">
        <v>248</v>
      </c>
      <c r="IS44" s="2026">
        <v>249</v>
      </c>
      <c r="IT44" s="2026">
        <v>250</v>
      </c>
      <c r="IU44" s="2026">
        <v>251</v>
      </c>
      <c r="IV44" s="2026">
        <v>252</v>
      </c>
      <c r="IW44" s="2026">
        <v>253</v>
      </c>
      <c r="IX44" s="2026">
        <v>254</v>
      </c>
      <c r="IY44" s="2026">
        <v>255</v>
      </c>
      <c r="IZ44" s="2026">
        <v>256</v>
      </c>
      <c r="JA44" s="2026">
        <v>257</v>
      </c>
      <c r="JB44" s="2026">
        <v>258</v>
      </c>
      <c r="JC44" s="2026">
        <v>259</v>
      </c>
      <c r="JD44" s="1134">
        <v>260</v>
      </c>
      <c r="JE44" s="1134">
        <v>261</v>
      </c>
      <c r="JF44" s="1134">
        <v>262</v>
      </c>
      <c r="JG44" s="2485">
        <v>263</v>
      </c>
      <c r="JH44" s="1233"/>
      <c r="JI44" s="4279" t="s">
        <v>5040</v>
      </c>
      <c r="JJ44" s="1092"/>
    </row>
    <row r="45" spans="1:270" x14ac:dyDescent="0.2">
      <c r="A45" s="1128">
        <v>2</v>
      </c>
      <c r="B45" s="1347" t="str">
        <f ref="B45:B60" si="3" t="shared">IF(SE_B_IND&gt;1,IF(HLOOKUP(SE_B_IND-1,FSE_RANGE,A45)="","",HLOOKUP(SE_B_IND-1,FSE_RANGE,A45)),"")</f>
        <v>Trade5</v>
      </c>
      <c r="C45" s="1278" t="s">
        <v>1103</v>
      </c>
      <c r="D45" s="1350" t="s">
        <v>5490</v>
      </c>
      <c r="E45" s="2447"/>
      <c r="F45" s="2379"/>
      <c r="G45" s="2379" t="s">
        <v>1146</v>
      </c>
      <c r="H45" s="2379"/>
      <c r="I45" s="2379" t="s">
        <v>1146</v>
      </c>
      <c r="J45" s="2395"/>
      <c r="K45" s="2379"/>
      <c r="L45" s="2379" t="s">
        <v>1146</v>
      </c>
      <c r="M45" s="2379"/>
      <c r="N45" s="2379"/>
      <c r="O45" s="2487"/>
      <c r="P45" s="2487"/>
      <c r="Q45" s="2379" t="s">
        <v>1146</v>
      </c>
      <c r="R45" s="2487"/>
      <c r="S45" s="2379" t="s">
        <v>1146</v>
      </c>
      <c r="T45" s="2488"/>
      <c r="U45" s="2488"/>
      <c r="V45" s="2488"/>
      <c r="W45" s="2488"/>
      <c r="X45" s="2488"/>
      <c r="Y45" s="2488"/>
      <c r="Z45" s="2488"/>
      <c r="AA45" s="2488"/>
      <c r="AB45" s="2488"/>
      <c r="AC45" s="2379" t="s">
        <v>1146</v>
      </c>
      <c r="AD45" s="2815"/>
      <c r="AE45" s="2815" t="s">
        <v>1146</v>
      </c>
      <c r="AF45" s="2815"/>
      <c r="AG45" s="2815"/>
      <c r="AH45" s="2815" t="s">
        <v>1146</v>
      </c>
      <c r="AI45" s="2488"/>
      <c r="AJ45" s="2447" t="s">
        <v>1142</v>
      </c>
      <c r="AK45" s="2488"/>
      <c r="AL45" s="2379" t="s">
        <v>1143</v>
      </c>
      <c r="AM45" s="2488"/>
      <c r="AN45" s="2488"/>
      <c r="AO45" s="2488"/>
      <c r="AP45" s="2488"/>
      <c r="AQ45" s="2488"/>
      <c r="AR45" s="2488"/>
      <c r="AS45" s="2488"/>
      <c r="AT45" s="2488"/>
      <c r="AU45" s="2488"/>
      <c r="AV45" s="2379" t="s">
        <v>1145</v>
      </c>
      <c r="AW45" s="2488"/>
      <c r="AX45" s="2488"/>
      <c r="AY45" s="2488"/>
      <c r="AZ45" s="2488"/>
      <c r="BA45" s="2488"/>
      <c r="BB45" s="2488"/>
      <c r="BC45" s="2488"/>
      <c r="BD45" s="2488"/>
      <c r="BE45" s="2488"/>
      <c r="BF45" s="2488"/>
      <c r="BG45" s="2488"/>
      <c r="BH45" s="3952"/>
      <c r="BI45" s="3952"/>
      <c r="BJ45" s="2379" t="s">
        <v>1143</v>
      </c>
      <c r="BK45" s="2488"/>
      <c r="BL45" s="2488"/>
      <c r="BM45" s="2488"/>
      <c r="BN45" s="2488"/>
      <c r="BO45" s="2488"/>
      <c r="BP45" s="2379" t="s">
        <v>1146</v>
      </c>
      <c r="BQ45" s="2488"/>
      <c r="BR45" s="2488"/>
      <c r="BS45" s="2488"/>
      <c r="BT45" s="2488"/>
      <c r="BU45" s="2488"/>
      <c r="BV45" s="2488"/>
      <c r="BW45" s="2488"/>
      <c r="BX45" s="2488"/>
      <c r="BY45" s="2488"/>
      <c r="BZ45" s="2488"/>
      <c r="CA45" s="2488"/>
      <c r="CB45" s="2447" t="s">
        <v>1142</v>
      </c>
      <c r="CC45" s="2488"/>
      <c r="CD45" s="2488"/>
      <c r="CE45" s="2488"/>
      <c r="CF45" s="2447" t="s">
        <v>1142</v>
      </c>
      <c r="CG45" s="2488"/>
      <c r="CH45" s="2379" t="s">
        <v>1146</v>
      </c>
      <c r="CI45" s="2488"/>
      <c r="CJ45" s="2488"/>
      <c r="CK45" s="2488"/>
      <c r="CL45" s="2379" t="s">
        <v>1143</v>
      </c>
      <c r="CM45" s="2488"/>
      <c r="CN45" s="2488"/>
      <c r="CO45" s="2488"/>
      <c r="CP45" s="2488"/>
      <c r="CQ45" s="2488"/>
      <c r="CR45" s="2379" t="s">
        <v>1143</v>
      </c>
      <c r="CS45" s="2379" t="s">
        <v>1143</v>
      </c>
      <c r="CT45" s="2488"/>
      <c r="CU45" s="2379" t="s">
        <v>3769</v>
      </c>
      <c r="CV45" s="2379" t="s">
        <v>3769</v>
      </c>
      <c r="CW45" s="2488"/>
      <c r="CX45" s="2488"/>
      <c r="CY45" s="2488"/>
      <c r="CZ45" s="2488"/>
      <c r="DA45" s="2488"/>
      <c r="DB45" s="2488"/>
      <c r="DC45" s="2379" t="s">
        <v>3769</v>
      </c>
      <c r="DD45" s="2488"/>
      <c r="DE45" s="2488"/>
      <c r="DF45" s="2488"/>
      <c r="DG45" s="2488"/>
      <c r="DH45" s="2488"/>
      <c r="DI45" s="2488"/>
      <c r="DJ45" s="2379" t="s">
        <v>3769</v>
      </c>
      <c r="DK45" s="2488"/>
      <c r="DL45" s="2488"/>
      <c r="DM45" s="2488"/>
      <c r="DN45" s="2488"/>
      <c r="DO45" s="2379" t="s">
        <v>1145</v>
      </c>
      <c r="DP45" s="2488"/>
      <c r="DQ45" s="2488"/>
      <c r="DR45" s="2488"/>
      <c r="DS45" s="2488"/>
      <c r="DT45" s="2488"/>
      <c r="DU45" s="2488"/>
      <c r="DV45" s="2488"/>
      <c r="DW45" s="2488"/>
      <c r="DX45" s="2488"/>
      <c r="DY45" s="2488"/>
      <c r="DZ45" s="2488"/>
      <c r="EA45" s="2488"/>
      <c r="EB45" s="2488"/>
      <c r="EC45" s="2488"/>
      <c r="ED45" s="2488"/>
      <c r="EE45" s="2488"/>
      <c r="EF45" s="2379" t="s">
        <v>3364</v>
      </c>
      <c r="EG45" s="2379" t="s">
        <v>3368</v>
      </c>
      <c r="EH45" s="2488"/>
      <c r="EI45" s="2379" t="s">
        <v>1144</v>
      </c>
      <c r="EJ45" s="2488"/>
      <c r="EK45" s="2488"/>
      <c r="EL45" s="2488"/>
      <c r="EM45" s="2379" t="s">
        <v>1143</v>
      </c>
      <c r="EN45" s="2488"/>
      <c r="EO45" s="2488"/>
      <c r="EP45" s="2488"/>
      <c r="EQ45" s="2488"/>
      <c r="ER45" s="2488"/>
      <c r="ES45" s="2488"/>
      <c r="ET45" s="2488"/>
      <c r="EU45" s="2488"/>
      <c r="EV45" s="2488"/>
      <c r="EW45" s="2488"/>
      <c r="EX45" s="2488"/>
      <c r="EY45" s="2379" t="s">
        <v>1143</v>
      </c>
      <c r="EZ45" s="2488"/>
      <c r="FA45" s="2488"/>
      <c r="FB45" s="2488"/>
      <c r="FC45" s="2488"/>
      <c r="FD45" s="2488"/>
      <c r="FE45" s="2488"/>
      <c r="FF45" s="2447" t="s">
        <v>1142</v>
      </c>
      <c r="FG45" s="2488"/>
      <c r="FH45" s="2379" t="s">
        <v>3769</v>
      </c>
      <c r="FI45" s="2488"/>
      <c r="FJ45" s="2488"/>
      <c r="FK45" s="2488"/>
      <c r="FL45" s="2488"/>
      <c r="FM45" s="2488"/>
      <c r="FN45" s="2488"/>
      <c r="FO45" s="2488"/>
      <c r="FP45" s="2488"/>
      <c r="FQ45" s="2488"/>
      <c r="FR45" s="2488"/>
      <c r="FS45" s="2488"/>
      <c r="FT45" s="2488"/>
      <c r="FU45" s="2488"/>
      <c r="FV45" s="2488"/>
      <c r="FW45" s="2488"/>
      <c r="FX45" s="2488"/>
      <c r="FY45" s="2488"/>
      <c r="FZ45" s="2488"/>
      <c r="GA45" s="2488"/>
      <c r="GB45" s="2488"/>
      <c r="GC45" s="2488"/>
      <c r="GD45" s="2488"/>
      <c r="GE45" s="2488"/>
      <c r="GF45" s="2488"/>
      <c r="GG45" s="2488"/>
      <c r="GH45" s="2488"/>
      <c r="GI45" s="2488"/>
      <c r="GJ45" s="2379" t="s">
        <v>1144</v>
      </c>
      <c r="GK45" s="2488"/>
      <c r="GL45" s="2488"/>
      <c r="GM45" s="2488"/>
      <c r="GN45" s="2488"/>
      <c r="GO45" s="2488"/>
      <c r="GP45" s="2488"/>
      <c r="GQ45" s="2488"/>
      <c r="GR45" s="2488"/>
      <c r="GS45" s="2488"/>
      <c r="GT45" s="2488"/>
      <c r="GU45" s="2488"/>
      <c r="GV45" s="2488"/>
      <c r="GW45" s="2488"/>
      <c r="GX45" s="2379" t="s">
        <v>3477</v>
      </c>
      <c r="GY45" s="2488"/>
      <c r="GZ45" s="2488"/>
      <c r="HA45" s="2488"/>
      <c r="HB45" s="2379" t="s">
        <v>1145</v>
      </c>
      <c r="HC45" s="2379" t="s">
        <v>3769</v>
      </c>
      <c r="HD45" s="2488"/>
      <c r="HE45" s="2488"/>
      <c r="HF45" s="2488"/>
      <c r="HG45" s="2488"/>
      <c r="HH45" s="2488"/>
      <c r="HI45" s="2488"/>
      <c r="HJ45" s="2488"/>
      <c r="HK45" s="2488"/>
      <c r="HL45" s="2488"/>
      <c r="HM45" s="2488"/>
      <c r="HN45" s="2488"/>
      <c r="HO45" s="2379" t="s">
        <v>1146</v>
      </c>
      <c r="HP45" s="2488"/>
      <c r="HQ45" s="2488"/>
      <c r="HR45" s="2488"/>
      <c r="HS45" s="2488"/>
      <c r="HT45" s="2488"/>
      <c r="HU45" s="2488"/>
      <c r="HV45" s="2488"/>
      <c r="HW45" s="2488"/>
      <c r="HX45" s="2488"/>
      <c r="HY45" s="2488"/>
      <c r="HZ45" s="2488"/>
      <c r="IA45" s="2488"/>
      <c r="IB45" s="2488"/>
      <c r="IC45" s="2488"/>
      <c r="ID45" s="2488"/>
      <c r="IE45" s="2488"/>
      <c r="IF45" s="2488"/>
      <c r="IG45" s="2488"/>
      <c r="IH45" s="2488"/>
      <c r="II45" s="2488"/>
      <c r="IJ45" s="2488"/>
      <c r="IK45" s="2488"/>
      <c r="IL45" s="2488"/>
      <c r="IM45" s="2488"/>
      <c r="IN45" s="2488"/>
      <c r="IO45" s="2488"/>
      <c r="IP45" s="2488"/>
      <c r="IQ45" s="2488"/>
      <c r="IR45" s="2488"/>
      <c r="IS45" s="2488"/>
      <c r="IT45" s="2488"/>
      <c r="IU45" s="2488"/>
      <c r="IV45" s="2488"/>
      <c r="IW45" s="2488"/>
      <c r="IX45" s="2488"/>
      <c r="IY45" s="2488"/>
      <c r="IZ45" s="2488"/>
      <c r="JA45" s="2488"/>
      <c r="JB45" s="2488"/>
      <c r="JC45" s="2488"/>
      <c r="JD45" s="2488"/>
      <c r="JE45" s="2488"/>
      <c r="JF45" s="2488"/>
      <c r="JG45" s="2477"/>
      <c r="JH45" s="1233"/>
      <c r="JI45" s="2248"/>
      <c r="JJ45" s="2248" t="s">
        <v>6112</v>
      </c>
    </row>
    <row r="46" spans="1:270" x14ac:dyDescent="0.2">
      <c r="A46" s="1128">
        <v>3</v>
      </c>
      <c r="B46" s="1347" t="str">
        <f>IF(SE_B_IND&gt;1,IF(HLOOKUP(SE_B_IND-1,FSE_RANGE,A46)="","",HLOOKUP(SE_B_IND-1,FSE_RANGE,A46)),"")</f>
        <v>trader</v>
      </c>
      <c r="C46" s="1278" t="s">
        <v>1104</v>
      </c>
      <c r="D46" s="1350" t="s">
        <v>5439</v>
      </c>
      <c r="E46" s="2447"/>
      <c r="F46" s="2379"/>
      <c r="G46" s="2379" t="s">
        <v>1147</v>
      </c>
      <c r="H46" s="2379"/>
      <c r="I46" s="2379" t="s">
        <v>1147</v>
      </c>
      <c r="J46" s="2395"/>
      <c r="K46" s="2379"/>
      <c r="L46" s="2379" t="s">
        <v>1147</v>
      </c>
      <c r="M46" s="2379"/>
      <c r="N46" s="2379"/>
      <c r="O46" s="2487"/>
      <c r="P46" s="2487"/>
      <c r="Q46" s="2379" t="s">
        <v>1147</v>
      </c>
      <c r="R46" s="2487"/>
      <c r="S46" s="2379" t="s">
        <v>1147</v>
      </c>
      <c r="T46" s="2488"/>
      <c r="U46" s="2488"/>
      <c r="V46" s="2488"/>
      <c r="W46" s="2488"/>
      <c r="X46" s="2488"/>
      <c r="Y46" s="2488"/>
      <c r="Z46" s="2488"/>
      <c r="AA46" s="2488"/>
      <c r="AB46" s="2488"/>
      <c r="AC46" s="2379" t="s">
        <v>1147</v>
      </c>
      <c r="AD46" s="2815"/>
      <c r="AE46" s="3536" t="s">
        <v>8216</v>
      </c>
      <c r="AF46" s="3518"/>
      <c r="AG46" s="3518"/>
      <c r="AH46" s="3536" t="s">
        <v>8217</v>
      </c>
      <c r="AI46" s="2488"/>
      <c r="AJ46" s="2447" t="s">
        <v>1332</v>
      </c>
      <c r="AK46" s="2488"/>
      <c r="AL46" s="2379" t="s">
        <v>1333</v>
      </c>
      <c r="AM46" s="2488"/>
      <c r="AN46" s="2488"/>
      <c r="AO46" s="2488"/>
      <c r="AP46" s="2488"/>
      <c r="AQ46" s="2488"/>
      <c r="AR46" s="2488"/>
      <c r="AS46" s="2488"/>
      <c r="AT46" s="2488"/>
      <c r="AU46" s="2488"/>
      <c r="AV46" s="2379" t="s">
        <v>1335</v>
      </c>
      <c r="AW46" s="2488"/>
      <c r="AX46" s="2488"/>
      <c r="AY46" s="2488"/>
      <c r="AZ46" s="2488"/>
      <c r="BA46" s="2488"/>
      <c r="BB46" s="2488"/>
      <c r="BC46" s="2488"/>
      <c r="BD46" s="2488"/>
      <c r="BE46" s="2488"/>
      <c r="BF46" s="2488"/>
      <c r="BG46" s="2488"/>
      <c r="BH46" s="3952"/>
      <c r="BI46" s="3952"/>
      <c r="BJ46" s="2379" t="s">
        <v>1333</v>
      </c>
      <c r="BK46" s="2488"/>
      <c r="BL46" s="2488"/>
      <c r="BM46" s="2488"/>
      <c r="BN46" s="2488"/>
      <c r="BO46" s="2488"/>
      <c r="BP46" s="2379" t="s">
        <v>1147</v>
      </c>
      <c r="BQ46" s="2488"/>
      <c r="BR46" s="2488"/>
      <c r="BS46" s="2488"/>
      <c r="BT46" s="2488"/>
      <c r="BU46" s="2488"/>
      <c r="BV46" s="2488"/>
      <c r="BW46" s="2488"/>
      <c r="BX46" s="2488"/>
      <c r="BY46" s="2488"/>
      <c r="BZ46" s="2488"/>
      <c r="CA46" s="2488"/>
      <c r="CB46" s="2447" t="s">
        <v>1332</v>
      </c>
      <c r="CC46" s="2488"/>
      <c r="CD46" s="2488"/>
      <c r="CE46" s="2488"/>
      <c r="CF46" s="2447" t="s">
        <v>1332</v>
      </c>
      <c r="CG46" s="2488"/>
      <c r="CH46" s="2379" t="s">
        <v>1147</v>
      </c>
      <c r="CI46" s="2488"/>
      <c r="CJ46" s="2488"/>
      <c r="CK46" s="2488"/>
      <c r="CL46" s="2379" t="s">
        <v>1333</v>
      </c>
      <c r="CM46" s="2488"/>
      <c r="CN46" s="2488"/>
      <c r="CO46" s="2488"/>
      <c r="CP46" s="2488"/>
      <c r="CQ46" s="2488"/>
      <c r="CR46" s="2379" t="s">
        <v>1333</v>
      </c>
      <c r="CS46" s="2379" t="s">
        <v>1333</v>
      </c>
      <c r="CT46" s="2488"/>
      <c r="CU46" s="2379" t="s">
        <v>2369</v>
      </c>
      <c r="CV46" s="2379" t="s">
        <v>2369</v>
      </c>
      <c r="CW46" s="2488"/>
      <c r="CX46" s="2488"/>
      <c r="CY46" s="2488"/>
      <c r="CZ46" s="2488"/>
      <c r="DA46" s="2488"/>
      <c r="DB46" s="2488"/>
      <c r="DC46" s="2379" t="s">
        <v>2369</v>
      </c>
      <c r="DD46" s="2488"/>
      <c r="DE46" s="2488"/>
      <c r="DF46" s="2488"/>
      <c r="DG46" s="2488"/>
      <c r="DH46" s="2488"/>
      <c r="DI46" s="2488"/>
      <c r="DJ46" s="2379" t="s">
        <v>2369</v>
      </c>
      <c r="DK46" s="2488"/>
      <c r="DL46" s="2488"/>
      <c r="DM46" s="2488"/>
      <c r="DN46" s="2488"/>
      <c r="DO46" s="2379" t="s">
        <v>1335</v>
      </c>
      <c r="DP46" s="2488"/>
      <c r="DQ46" s="2488"/>
      <c r="DR46" s="2488"/>
      <c r="DS46" s="2488"/>
      <c r="DT46" s="2488"/>
      <c r="DU46" s="2488"/>
      <c r="DV46" s="2488"/>
      <c r="DW46" s="2488"/>
      <c r="DX46" s="2488"/>
      <c r="DY46" s="2488"/>
      <c r="DZ46" s="2488"/>
      <c r="EA46" s="2488"/>
      <c r="EB46" s="2488"/>
      <c r="EC46" s="2488"/>
      <c r="ED46" s="2488"/>
      <c r="EE46" s="2488"/>
      <c r="EF46" s="2379" t="s">
        <v>3365</v>
      </c>
      <c r="EG46" s="2379" t="s">
        <v>3369</v>
      </c>
      <c r="EH46" s="2488"/>
      <c r="EI46" s="2379" t="s">
        <v>1334</v>
      </c>
      <c r="EJ46" s="2488"/>
      <c r="EK46" s="2488"/>
      <c r="EL46" s="2488"/>
      <c r="EM46" s="2379" t="s">
        <v>1333</v>
      </c>
      <c r="EN46" s="2488"/>
      <c r="EO46" s="2488"/>
      <c r="EP46" s="2488"/>
      <c r="EQ46" s="2488"/>
      <c r="ER46" s="2488"/>
      <c r="ES46" s="2488"/>
      <c r="ET46" s="2488"/>
      <c r="EU46" s="2488"/>
      <c r="EV46" s="2488"/>
      <c r="EW46" s="2488"/>
      <c r="EX46" s="2488"/>
      <c r="EY46" s="2379" t="s">
        <v>1333</v>
      </c>
      <c r="EZ46" s="2488"/>
      <c r="FA46" s="2488"/>
      <c r="FB46" s="2488"/>
      <c r="FC46" s="2488"/>
      <c r="FD46" s="2488"/>
      <c r="FE46" s="2488"/>
      <c r="FF46" s="2447" t="s">
        <v>1332</v>
      </c>
      <c r="FG46" s="2488"/>
      <c r="FH46" s="2379" t="s">
        <v>2369</v>
      </c>
      <c r="FI46" s="2488"/>
      <c r="FJ46" s="2488"/>
      <c r="FK46" s="2488"/>
      <c r="FL46" s="2488"/>
      <c r="FM46" s="2488"/>
      <c r="FN46" s="2488"/>
      <c r="FO46" s="2488"/>
      <c r="FP46" s="2488"/>
      <c r="FQ46" s="2488"/>
      <c r="FR46" s="2488"/>
      <c r="FS46" s="2488"/>
      <c r="FT46" s="2488"/>
      <c r="FU46" s="2488"/>
      <c r="FV46" s="2488"/>
      <c r="FW46" s="2488"/>
      <c r="FX46" s="2488"/>
      <c r="FY46" s="2488"/>
      <c r="FZ46" s="2488"/>
      <c r="GA46" s="2488"/>
      <c r="GB46" s="2488"/>
      <c r="GC46" s="2488"/>
      <c r="GD46" s="2488"/>
      <c r="GE46" s="2488"/>
      <c r="GF46" s="2488"/>
      <c r="GG46" s="2488"/>
      <c r="GH46" s="2488"/>
      <c r="GI46" s="2488"/>
      <c r="GJ46" s="2379" t="s">
        <v>1334</v>
      </c>
      <c r="GK46" s="2488"/>
      <c r="GL46" s="2488"/>
      <c r="GM46" s="2488"/>
      <c r="GN46" s="2488"/>
      <c r="GO46" s="2488"/>
      <c r="GP46" s="2488"/>
      <c r="GQ46" s="2488"/>
      <c r="GR46" s="2488"/>
      <c r="GS46" s="2488"/>
      <c r="GT46" s="2488"/>
      <c r="GU46" s="2488"/>
      <c r="GV46" s="2488"/>
      <c r="GW46" s="2488"/>
      <c r="GX46" s="2379" t="s">
        <v>1147</v>
      </c>
      <c r="GY46" s="2488"/>
      <c r="GZ46" s="2488"/>
      <c r="HA46" s="2488"/>
      <c r="HB46" s="2379" t="s">
        <v>1335</v>
      </c>
      <c r="HC46" s="2379" t="s">
        <v>2369</v>
      </c>
      <c r="HD46" s="2488"/>
      <c r="HE46" s="2488"/>
      <c r="HF46" s="2488"/>
      <c r="HG46" s="2488"/>
      <c r="HH46" s="2488"/>
      <c r="HI46" s="2488"/>
      <c r="HJ46" s="2488"/>
      <c r="HK46" s="2488"/>
      <c r="HL46" s="2488"/>
      <c r="HM46" s="2488"/>
      <c r="HN46" s="2488"/>
      <c r="HO46" s="2379" t="s">
        <v>1147</v>
      </c>
      <c r="HP46" s="2488"/>
      <c r="HQ46" s="2488"/>
      <c r="HR46" s="2488"/>
      <c r="HS46" s="2488"/>
      <c r="HT46" s="2488"/>
      <c r="HU46" s="2488"/>
      <c r="HV46" s="2488"/>
      <c r="HW46" s="2488"/>
      <c r="HX46" s="2488"/>
      <c r="HY46" s="2488"/>
      <c r="HZ46" s="2488"/>
      <c r="IA46" s="2488"/>
      <c r="IB46" s="2488"/>
      <c r="IC46" s="2488"/>
      <c r="ID46" s="2488"/>
      <c r="IE46" s="2488"/>
      <c r="IF46" s="2488"/>
      <c r="IG46" s="2488"/>
      <c r="IH46" s="2488"/>
      <c r="II46" s="2488"/>
      <c r="IJ46" s="2488"/>
      <c r="IK46" s="2488"/>
      <c r="IL46" s="2488"/>
      <c r="IM46" s="2488"/>
      <c r="IN46" s="2488"/>
      <c r="IO46" s="2488"/>
      <c r="IP46" s="2488"/>
      <c r="IQ46" s="2488"/>
      <c r="IR46" s="2488"/>
      <c r="IS46" s="2488"/>
      <c r="IT46" s="2488"/>
      <c r="IU46" s="2488"/>
      <c r="IV46" s="2488"/>
      <c r="IW46" s="2488"/>
      <c r="IX46" s="2488"/>
      <c r="IY46" s="2488"/>
      <c r="IZ46" s="2488"/>
      <c r="JA46" s="2488"/>
      <c r="JB46" s="2488"/>
      <c r="JC46" s="2488"/>
      <c r="JD46" s="2488"/>
      <c r="JE46" s="2488"/>
      <c r="JF46" s="2488"/>
      <c r="JG46" s="2477"/>
      <c r="JH46" s="1233"/>
      <c r="JI46" s="2248"/>
      <c r="JJ46" s="2248" t="s">
        <v>6112</v>
      </c>
    </row>
    <row r="47" spans="1:270" x14ac:dyDescent="0.2">
      <c r="A47" s="1128">
        <v>4</v>
      </c>
      <c r="B47" s="1347" t="str">
        <f si="3" t="shared"/>
        <v/>
      </c>
      <c r="C47" s="1278" t="s">
        <v>1105</v>
      </c>
      <c r="D47" s="1350" t="s">
        <v>5491</v>
      </c>
      <c r="E47" s="2447"/>
      <c r="F47" s="2379"/>
      <c r="G47" s="2379"/>
      <c r="H47" s="2379"/>
      <c r="I47" s="2379"/>
      <c r="J47" s="2395"/>
      <c r="K47" s="2379"/>
      <c r="L47" s="2379"/>
      <c r="M47" s="2379"/>
      <c r="N47" s="2379"/>
      <c r="O47" s="2487"/>
      <c r="P47" s="2487"/>
      <c r="Q47" s="2379"/>
      <c r="R47" s="2487"/>
      <c r="S47" s="2379"/>
      <c r="T47" s="2488"/>
      <c r="U47" s="2488"/>
      <c r="V47" s="2488"/>
      <c r="W47" s="2488"/>
      <c r="X47" s="2488"/>
      <c r="Y47" s="2488"/>
      <c r="Z47" s="2488"/>
      <c r="AA47" s="2488"/>
      <c r="AB47" s="2488"/>
      <c r="AC47" s="2379"/>
      <c r="AD47" s="2815"/>
      <c r="AE47" s="2880"/>
      <c r="AF47" s="2880"/>
      <c r="AG47" s="2880"/>
      <c r="AH47" s="2880"/>
      <c r="AI47" s="2488"/>
      <c r="AJ47" s="2447"/>
      <c r="AK47" s="2488"/>
      <c r="AL47" s="2379" t="s">
        <v>1336</v>
      </c>
      <c r="AM47" s="2488"/>
      <c r="AN47" s="2488"/>
      <c r="AO47" s="2488"/>
      <c r="AP47" s="2488"/>
      <c r="AQ47" s="2488"/>
      <c r="AR47" s="2488"/>
      <c r="AS47" s="2488"/>
      <c r="AT47" s="2488"/>
      <c r="AU47" s="2488"/>
      <c r="AV47" s="2379"/>
      <c r="AW47" s="2488"/>
      <c r="AX47" s="2488"/>
      <c r="AY47" s="2488"/>
      <c r="AZ47" s="2488"/>
      <c r="BA47" s="2488"/>
      <c r="BB47" s="2488"/>
      <c r="BC47" s="2488"/>
      <c r="BD47" s="2488"/>
      <c r="BE47" s="2488"/>
      <c r="BF47" s="2488"/>
      <c r="BG47" s="2488"/>
      <c r="BH47" s="3952"/>
      <c r="BI47" s="3952"/>
      <c r="BJ47" s="2379" t="s">
        <v>1336</v>
      </c>
      <c r="BK47" s="2488"/>
      <c r="BL47" s="2488"/>
      <c r="BM47" s="2488"/>
      <c r="BN47" s="2488"/>
      <c r="BO47" s="2488"/>
      <c r="BP47" s="2379"/>
      <c r="BQ47" s="2488"/>
      <c r="BR47" s="2488"/>
      <c r="BS47" s="2488"/>
      <c r="BT47" s="2488"/>
      <c r="BU47" s="2488"/>
      <c r="BV47" s="2488"/>
      <c r="BW47" s="2488"/>
      <c r="BX47" s="2488"/>
      <c r="BY47" s="2488"/>
      <c r="BZ47" s="2488"/>
      <c r="CA47" s="2488"/>
      <c r="CB47" s="2447"/>
      <c r="CC47" s="2488"/>
      <c r="CD47" s="2488"/>
      <c r="CE47" s="2488"/>
      <c r="CF47" s="2447"/>
      <c r="CG47" s="2488"/>
      <c r="CH47" s="2379"/>
      <c r="CI47" s="2488"/>
      <c r="CJ47" s="2488"/>
      <c r="CK47" s="2488"/>
      <c r="CL47" s="2379" t="s">
        <v>1336</v>
      </c>
      <c r="CM47" s="2488"/>
      <c r="CN47" s="2488"/>
      <c r="CO47" s="2488"/>
      <c r="CP47" s="2488"/>
      <c r="CQ47" s="2488"/>
      <c r="CR47" s="2379" t="s">
        <v>1336</v>
      </c>
      <c r="CS47" s="2379" t="s">
        <v>1336</v>
      </c>
      <c r="CT47" s="2488"/>
      <c r="CU47" s="2379"/>
      <c r="CV47" s="2379"/>
      <c r="CW47" s="2488"/>
      <c r="CX47" s="2488"/>
      <c r="CY47" s="2488"/>
      <c r="CZ47" s="2488"/>
      <c r="DA47" s="2488"/>
      <c r="DB47" s="2488"/>
      <c r="DC47" s="2379"/>
      <c r="DD47" s="2488"/>
      <c r="DE47" s="2488"/>
      <c r="DF47" s="2488"/>
      <c r="DG47" s="2488"/>
      <c r="DH47" s="2488"/>
      <c r="DI47" s="2488"/>
      <c r="DJ47" s="2379"/>
      <c r="DK47" s="2488"/>
      <c r="DL47" s="2488"/>
      <c r="DM47" s="2488"/>
      <c r="DN47" s="2488"/>
      <c r="DO47" s="2379"/>
      <c r="DP47" s="2488"/>
      <c r="DQ47" s="2488"/>
      <c r="DR47" s="2488"/>
      <c r="DS47" s="2488"/>
      <c r="DT47" s="2488"/>
      <c r="DU47" s="2488"/>
      <c r="DV47" s="2488"/>
      <c r="DW47" s="2488"/>
      <c r="DX47" s="2488"/>
      <c r="DY47" s="2488"/>
      <c r="DZ47" s="2488"/>
      <c r="EA47" s="2488"/>
      <c r="EB47" s="2488"/>
      <c r="EC47" s="2488"/>
      <c r="ED47" s="2488"/>
      <c r="EE47" s="2488"/>
      <c r="EF47" s="2379" t="s">
        <v>3366</v>
      </c>
      <c r="EG47" s="2379"/>
      <c r="EH47" s="2488"/>
      <c r="EI47" s="2379" t="s">
        <v>1337</v>
      </c>
      <c r="EJ47" s="2488"/>
      <c r="EK47" s="2488"/>
      <c r="EL47" s="2488"/>
      <c r="EM47" s="2379" t="s">
        <v>1336</v>
      </c>
      <c r="EN47" s="2488"/>
      <c r="EO47" s="2488"/>
      <c r="EP47" s="2488"/>
      <c r="EQ47" s="2488"/>
      <c r="ER47" s="2488"/>
      <c r="ES47" s="2488"/>
      <c r="ET47" s="2488"/>
      <c r="EU47" s="2488"/>
      <c r="EV47" s="2488"/>
      <c r="EW47" s="2488"/>
      <c r="EX47" s="2488"/>
      <c r="EY47" s="2379" t="s">
        <v>1336</v>
      </c>
      <c r="EZ47" s="2488"/>
      <c r="FA47" s="2488"/>
      <c r="FB47" s="2488"/>
      <c r="FC47" s="2488"/>
      <c r="FD47" s="2488"/>
      <c r="FE47" s="2488"/>
      <c r="FF47" s="2447"/>
      <c r="FG47" s="2488"/>
      <c r="FH47" s="2379"/>
      <c r="FI47" s="2488"/>
      <c r="FJ47" s="2488"/>
      <c r="FK47" s="2488"/>
      <c r="FL47" s="2488"/>
      <c r="FM47" s="2488"/>
      <c r="FN47" s="2488"/>
      <c r="FO47" s="2488"/>
      <c r="FP47" s="2488"/>
      <c r="FQ47" s="2488"/>
      <c r="FR47" s="2488"/>
      <c r="FS47" s="2488"/>
      <c r="FT47" s="2488"/>
      <c r="FU47" s="2488"/>
      <c r="FV47" s="2488"/>
      <c r="FW47" s="2488"/>
      <c r="FX47" s="2488"/>
      <c r="FY47" s="2488"/>
      <c r="FZ47" s="2488"/>
      <c r="GA47" s="2488"/>
      <c r="GB47" s="2488"/>
      <c r="GC47" s="2488"/>
      <c r="GD47" s="2488"/>
      <c r="GE47" s="2488"/>
      <c r="GF47" s="2488"/>
      <c r="GG47" s="2488"/>
      <c r="GH47" s="2488"/>
      <c r="GI47" s="2488"/>
      <c r="GJ47" s="2379" t="s">
        <v>1337</v>
      </c>
      <c r="GK47" s="2488"/>
      <c r="GL47" s="2488"/>
      <c r="GM47" s="2488"/>
      <c r="GN47" s="2488"/>
      <c r="GO47" s="2488"/>
      <c r="GP47" s="2488"/>
      <c r="GQ47" s="2488"/>
      <c r="GR47" s="2488"/>
      <c r="GS47" s="2488"/>
      <c r="GT47" s="2488"/>
      <c r="GU47" s="2488"/>
      <c r="GV47" s="2488"/>
      <c r="GW47" s="2488"/>
      <c r="GX47" s="2379"/>
      <c r="GY47" s="2488"/>
      <c r="GZ47" s="2488"/>
      <c r="HA47" s="2488"/>
      <c r="HB47" s="2379"/>
      <c r="HC47" s="2379"/>
      <c r="HD47" s="2488"/>
      <c r="HE47" s="2488"/>
      <c r="HF47" s="2488"/>
      <c r="HG47" s="2488"/>
      <c r="HH47" s="2488"/>
      <c r="HI47" s="2488"/>
      <c r="HJ47" s="2488"/>
      <c r="HK47" s="2488"/>
      <c r="HL47" s="2488"/>
      <c r="HM47" s="2488"/>
      <c r="HN47" s="2488"/>
      <c r="HO47" s="2379"/>
      <c r="HP47" s="2488"/>
      <c r="HQ47" s="2488"/>
      <c r="HR47" s="2488"/>
      <c r="HS47" s="2488"/>
      <c r="HT47" s="2488"/>
      <c r="HU47" s="2488"/>
      <c r="HV47" s="2488"/>
      <c r="HW47" s="2488"/>
      <c r="HX47" s="2488"/>
      <c r="HY47" s="2488"/>
      <c r="HZ47" s="2488"/>
      <c r="IA47" s="2488"/>
      <c r="IB47" s="2488"/>
      <c r="IC47" s="2488"/>
      <c r="ID47" s="2488"/>
      <c r="IE47" s="2488"/>
      <c r="IF47" s="2488"/>
      <c r="IG47" s="2488"/>
      <c r="IH47" s="2488"/>
      <c r="II47" s="2488"/>
      <c r="IJ47" s="2488"/>
      <c r="IK47" s="2488"/>
      <c r="IL47" s="2488"/>
      <c r="IM47" s="2488"/>
      <c r="IN47" s="2488"/>
      <c r="IO47" s="2488"/>
      <c r="IP47" s="2488"/>
      <c r="IQ47" s="2488"/>
      <c r="IR47" s="2488"/>
      <c r="IS47" s="2488"/>
      <c r="IT47" s="2488"/>
      <c r="IU47" s="2488"/>
      <c r="IV47" s="2488"/>
      <c r="IW47" s="2488"/>
      <c r="IX47" s="2488"/>
      <c r="IY47" s="2488"/>
      <c r="IZ47" s="2488"/>
      <c r="JA47" s="2488"/>
      <c r="JB47" s="2488"/>
      <c r="JC47" s="2488"/>
      <c r="JD47" s="2488"/>
      <c r="JE47" s="2488"/>
      <c r="JF47" s="2488"/>
      <c r="JG47" s="2477"/>
      <c r="JH47" s="1233"/>
      <c r="JI47" s="2248" t="s">
        <v>5474</v>
      </c>
      <c r="JJ47" s="2248" t="s">
        <v>6105</v>
      </c>
    </row>
    <row r="48" spans="1:270" x14ac:dyDescent="0.2">
      <c r="A48" s="1128">
        <v>5</v>
      </c>
      <c r="B48" s="1347" t="str">
        <f si="3" t="shared"/>
        <v/>
      </c>
      <c r="C48" s="1278" t="s">
        <v>1106</v>
      </c>
      <c r="D48" s="1350" t="s">
        <v>5491</v>
      </c>
      <c r="E48" s="2379"/>
      <c r="F48" s="2379"/>
      <c r="G48" s="2379"/>
      <c r="H48" s="2379"/>
      <c r="I48" s="2379"/>
      <c r="J48" s="2395"/>
      <c r="K48" s="2379"/>
      <c r="L48" s="2379"/>
      <c r="M48" s="2379"/>
      <c r="N48" s="2379"/>
      <c r="O48" s="2487"/>
      <c r="P48" s="2487"/>
      <c r="Q48" s="2379"/>
      <c r="R48" s="2487"/>
      <c r="S48" s="2379"/>
      <c r="T48" s="2488"/>
      <c r="U48" s="2488"/>
      <c r="V48" s="2488"/>
      <c r="W48" s="2488"/>
      <c r="X48" s="2488"/>
      <c r="Y48" s="2488"/>
      <c r="Z48" s="2488"/>
      <c r="AA48" s="2488"/>
      <c r="AB48" s="2488"/>
      <c r="AC48" s="2379"/>
      <c r="AD48" s="2815"/>
      <c r="AE48" s="2880"/>
      <c r="AF48" s="2880"/>
      <c r="AG48" s="2880"/>
      <c r="AH48" s="2880"/>
      <c r="AI48" s="2488"/>
      <c r="AJ48" s="2379"/>
      <c r="AK48" s="2488"/>
      <c r="AL48" s="2379" t="s">
        <v>1338</v>
      </c>
      <c r="AM48" s="2488"/>
      <c r="AN48" s="2488"/>
      <c r="AO48" s="2488"/>
      <c r="AP48" s="2488"/>
      <c r="AQ48" s="2488"/>
      <c r="AR48" s="2488"/>
      <c r="AS48" s="2488"/>
      <c r="AT48" s="2488"/>
      <c r="AU48" s="2488"/>
      <c r="AV48" s="2379"/>
      <c r="AW48" s="2488"/>
      <c r="AX48" s="2488"/>
      <c r="AY48" s="2488"/>
      <c r="AZ48" s="2488"/>
      <c r="BA48" s="2488"/>
      <c r="BB48" s="2488"/>
      <c r="BC48" s="2488"/>
      <c r="BD48" s="2488"/>
      <c r="BE48" s="2488"/>
      <c r="BF48" s="2488"/>
      <c r="BG48" s="2488"/>
      <c r="BH48" s="3952"/>
      <c r="BI48" s="3952"/>
      <c r="BJ48" s="2379" t="s">
        <v>1338</v>
      </c>
      <c r="BK48" s="2488"/>
      <c r="BL48" s="2488"/>
      <c r="BM48" s="2488"/>
      <c r="BN48" s="2488"/>
      <c r="BO48" s="2488"/>
      <c r="BP48" s="2379"/>
      <c r="BQ48" s="2488"/>
      <c r="BR48" s="2488"/>
      <c r="BS48" s="2488"/>
      <c r="BT48" s="2488"/>
      <c r="BU48" s="2488"/>
      <c r="BV48" s="2488"/>
      <c r="BW48" s="2488"/>
      <c r="BX48" s="2488"/>
      <c r="BY48" s="2488"/>
      <c r="BZ48" s="2488"/>
      <c r="CA48" s="2488"/>
      <c r="CB48" s="2379"/>
      <c r="CC48" s="2488"/>
      <c r="CD48" s="2488"/>
      <c r="CE48" s="2488"/>
      <c r="CF48" s="2379"/>
      <c r="CG48" s="2488"/>
      <c r="CH48" s="2379"/>
      <c r="CI48" s="2488"/>
      <c r="CJ48" s="2488"/>
      <c r="CK48" s="2488"/>
      <c r="CL48" s="2379" t="s">
        <v>1338</v>
      </c>
      <c r="CM48" s="2488"/>
      <c r="CN48" s="2488"/>
      <c r="CO48" s="2488"/>
      <c r="CP48" s="2488"/>
      <c r="CQ48" s="2488"/>
      <c r="CR48" s="2379" t="s">
        <v>1338</v>
      </c>
      <c r="CS48" s="2379" t="s">
        <v>1338</v>
      </c>
      <c r="CT48" s="2488"/>
      <c r="CU48" s="2379"/>
      <c r="CV48" s="2379"/>
      <c r="CW48" s="2488"/>
      <c r="CX48" s="2488"/>
      <c r="CY48" s="2488"/>
      <c r="CZ48" s="2488"/>
      <c r="DA48" s="2488"/>
      <c r="DB48" s="2488"/>
      <c r="DC48" s="2379"/>
      <c r="DD48" s="2488"/>
      <c r="DE48" s="2488"/>
      <c r="DF48" s="2488"/>
      <c r="DG48" s="2488"/>
      <c r="DH48" s="2488"/>
      <c r="DI48" s="2488"/>
      <c r="DJ48" s="2379"/>
      <c r="DK48" s="2488"/>
      <c r="DL48" s="2488"/>
      <c r="DM48" s="2488"/>
      <c r="DN48" s="2488"/>
      <c r="DO48" s="2379"/>
      <c r="DP48" s="2488"/>
      <c r="DQ48" s="2488"/>
      <c r="DR48" s="2488"/>
      <c r="DS48" s="2488"/>
      <c r="DT48" s="2488"/>
      <c r="DU48" s="2488"/>
      <c r="DV48" s="2488"/>
      <c r="DW48" s="2488"/>
      <c r="DX48" s="2488"/>
      <c r="DY48" s="2488"/>
      <c r="DZ48" s="2488"/>
      <c r="EA48" s="2488"/>
      <c r="EB48" s="2488"/>
      <c r="EC48" s="2488"/>
      <c r="ED48" s="2488"/>
      <c r="EE48" s="2488"/>
      <c r="EF48" s="2379" t="s">
        <v>3367</v>
      </c>
      <c r="EG48" s="2379"/>
      <c r="EH48" s="2488"/>
      <c r="EI48" s="2379" t="s">
        <v>1339</v>
      </c>
      <c r="EJ48" s="2488"/>
      <c r="EK48" s="2488"/>
      <c r="EL48" s="2488"/>
      <c r="EM48" s="2379" t="s">
        <v>1338</v>
      </c>
      <c r="EN48" s="2488"/>
      <c r="EO48" s="2488"/>
      <c r="EP48" s="2488"/>
      <c r="EQ48" s="2488"/>
      <c r="ER48" s="2488"/>
      <c r="ES48" s="2488"/>
      <c r="ET48" s="2488"/>
      <c r="EU48" s="2488"/>
      <c r="EV48" s="2488"/>
      <c r="EW48" s="2488"/>
      <c r="EX48" s="2488"/>
      <c r="EY48" s="2379" t="s">
        <v>1338</v>
      </c>
      <c r="EZ48" s="2488"/>
      <c r="FA48" s="2488"/>
      <c r="FB48" s="2488"/>
      <c r="FC48" s="2488"/>
      <c r="FD48" s="2488"/>
      <c r="FE48" s="2488"/>
      <c r="FF48" s="2379"/>
      <c r="FG48" s="2488"/>
      <c r="FH48" s="2379"/>
      <c r="FI48" s="2488"/>
      <c r="FJ48" s="2488"/>
      <c r="FK48" s="2488"/>
      <c r="FL48" s="2488"/>
      <c r="FM48" s="2488"/>
      <c r="FN48" s="2488"/>
      <c r="FO48" s="2488"/>
      <c r="FP48" s="2488"/>
      <c r="FQ48" s="2488"/>
      <c r="FR48" s="2488"/>
      <c r="FS48" s="2488"/>
      <c r="FT48" s="2488"/>
      <c r="FU48" s="2488"/>
      <c r="FV48" s="2488"/>
      <c r="FW48" s="2488"/>
      <c r="FX48" s="2488"/>
      <c r="FY48" s="2488"/>
      <c r="FZ48" s="2488"/>
      <c r="GA48" s="2488"/>
      <c r="GB48" s="2488"/>
      <c r="GC48" s="2488"/>
      <c r="GD48" s="2488"/>
      <c r="GE48" s="2488"/>
      <c r="GF48" s="2488"/>
      <c r="GG48" s="2488"/>
      <c r="GH48" s="2488"/>
      <c r="GI48" s="2488"/>
      <c r="GJ48" s="2379" t="s">
        <v>1339</v>
      </c>
      <c r="GK48" s="2488"/>
      <c r="GL48" s="2488"/>
      <c r="GM48" s="2488"/>
      <c r="GN48" s="2488"/>
      <c r="GO48" s="2488"/>
      <c r="GP48" s="2488"/>
      <c r="GQ48" s="2488"/>
      <c r="GR48" s="2488"/>
      <c r="GS48" s="2488"/>
      <c r="GT48" s="2488"/>
      <c r="GU48" s="2488"/>
      <c r="GV48" s="2488"/>
      <c r="GW48" s="2488"/>
      <c r="GX48" s="2379"/>
      <c r="GY48" s="2488"/>
      <c r="GZ48" s="2488"/>
      <c r="HA48" s="2488"/>
      <c r="HB48" s="2379"/>
      <c r="HC48" s="2379"/>
      <c r="HD48" s="2488"/>
      <c r="HE48" s="2488"/>
      <c r="HF48" s="2488"/>
      <c r="HG48" s="2488"/>
      <c r="HH48" s="2488"/>
      <c r="HI48" s="2488"/>
      <c r="HJ48" s="2488"/>
      <c r="HK48" s="2488"/>
      <c r="HL48" s="2488"/>
      <c r="HM48" s="2488"/>
      <c r="HN48" s="2488"/>
      <c r="HO48" s="2379"/>
      <c r="HP48" s="2488"/>
      <c r="HQ48" s="2488"/>
      <c r="HR48" s="2488"/>
      <c r="HS48" s="2488"/>
      <c r="HT48" s="2488"/>
      <c r="HU48" s="2488"/>
      <c r="HV48" s="2488"/>
      <c r="HW48" s="2488"/>
      <c r="HX48" s="2488"/>
      <c r="HY48" s="2488"/>
      <c r="HZ48" s="2488"/>
      <c r="IA48" s="2488"/>
      <c r="IB48" s="2488"/>
      <c r="IC48" s="2488"/>
      <c r="ID48" s="2488"/>
      <c r="IE48" s="2488"/>
      <c r="IF48" s="2488"/>
      <c r="IG48" s="2488"/>
      <c r="IH48" s="2488"/>
      <c r="II48" s="2488"/>
      <c r="IJ48" s="2488"/>
      <c r="IK48" s="2488"/>
      <c r="IL48" s="2488"/>
      <c r="IM48" s="2488"/>
      <c r="IN48" s="2488"/>
      <c r="IO48" s="2488"/>
      <c r="IP48" s="2488"/>
      <c r="IQ48" s="2488"/>
      <c r="IR48" s="2488"/>
      <c r="IS48" s="2488"/>
      <c r="IT48" s="2488"/>
      <c r="IU48" s="2488"/>
      <c r="IV48" s="2488"/>
      <c r="IW48" s="2488"/>
      <c r="IX48" s="2488"/>
      <c r="IY48" s="2488"/>
      <c r="IZ48" s="2488"/>
      <c r="JA48" s="2488"/>
      <c r="JB48" s="2488"/>
      <c r="JC48" s="2488"/>
      <c r="JD48" s="2488"/>
      <c r="JE48" s="2488"/>
      <c r="JF48" s="2488"/>
      <c r="JG48" s="2477"/>
      <c r="JH48" s="1233"/>
      <c r="JI48" s="2248" t="s">
        <v>5475</v>
      </c>
      <c r="JJ48" s="2248" t="s">
        <v>6105</v>
      </c>
    </row>
    <row r="49" spans="1:270" x14ac:dyDescent="0.2">
      <c r="A49" s="1128">
        <v>6</v>
      </c>
      <c r="B49" s="1347" t="str">
        <f si="3" t="shared"/>
        <v/>
      </c>
      <c r="C49" s="1278" t="s">
        <v>1107</v>
      </c>
      <c r="D49" s="1350" t="s">
        <v>5441</v>
      </c>
      <c r="E49" s="2379"/>
      <c r="F49" s="2378"/>
      <c r="G49" s="2378"/>
      <c r="H49" s="2378"/>
      <c r="I49" s="2378"/>
      <c r="J49" s="2399"/>
      <c r="K49" s="2378"/>
      <c r="L49" s="2378"/>
      <c r="M49" s="2378"/>
      <c r="N49" s="2378"/>
      <c r="O49" s="2489"/>
      <c r="P49" s="2489"/>
      <c r="Q49" s="2378"/>
      <c r="R49" s="2489"/>
      <c r="S49" s="2378"/>
      <c r="T49" s="2490"/>
      <c r="U49" s="2490"/>
      <c r="V49" s="2490"/>
      <c r="W49" s="2490"/>
      <c r="X49" s="2490"/>
      <c r="Y49" s="2490"/>
      <c r="Z49" s="2490"/>
      <c r="AA49" s="2490"/>
      <c r="AB49" s="2490"/>
      <c r="AC49" s="2378"/>
      <c r="AD49" s="2880"/>
      <c r="AE49" s="2880"/>
      <c r="AF49" s="2880"/>
      <c r="AG49" s="2880"/>
      <c r="AH49" s="2880"/>
      <c r="AI49" s="2490"/>
      <c r="AJ49" s="2379"/>
      <c r="AK49" s="2490"/>
      <c r="AL49" s="2378"/>
      <c r="AM49" s="2490"/>
      <c r="AN49" s="2490"/>
      <c r="AO49" s="2490"/>
      <c r="AP49" s="2490"/>
      <c r="AQ49" s="2490"/>
      <c r="AR49" s="2490"/>
      <c r="AS49" s="2490"/>
      <c r="AT49" s="2490"/>
      <c r="AU49" s="2490"/>
      <c r="AV49" s="2378"/>
      <c r="AW49" s="2490"/>
      <c r="AX49" s="2490"/>
      <c r="AY49" s="2490"/>
      <c r="AZ49" s="2490"/>
      <c r="BA49" s="2490"/>
      <c r="BB49" s="2490"/>
      <c r="BC49" s="2490"/>
      <c r="BD49" s="2490"/>
      <c r="BE49" s="2490"/>
      <c r="BF49" s="2490"/>
      <c r="BG49" s="2490"/>
      <c r="BH49" s="3953"/>
      <c r="BI49" s="3953"/>
      <c r="BJ49" s="2378"/>
      <c r="BK49" s="2490"/>
      <c r="BL49" s="2490"/>
      <c r="BM49" s="2490"/>
      <c r="BN49" s="2490"/>
      <c r="BO49" s="2490"/>
      <c r="BP49" s="2378"/>
      <c r="BQ49" s="2490"/>
      <c r="BR49" s="2490"/>
      <c r="BS49" s="2490"/>
      <c r="BT49" s="2490"/>
      <c r="BU49" s="2490"/>
      <c r="BV49" s="2490"/>
      <c r="BW49" s="2490"/>
      <c r="BX49" s="2490"/>
      <c r="BY49" s="2490"/>
      <c r="BZ49" s="2490"/>
      <c r="CA49" s="2490"/>
      <c r="CB49" s="2379"/>
      <c r="CC49" s="2490"/>
      <c r="CD49" s="2490"/>
      <c r="CE49" s="2490"/>
      <c r="CF49" s="2379"/>
      <c r="CG49" s="2490"/>
      <c r="CH49" s="2378"/>
      <c r="CI49" s="2490"/>
      <c r="CJ49" s="2490"/>
      <c r="CK49" s="2490"/>
      <c r="CL49" s="2378"/>
      <c r="CM49" s="2490"/>
      <c r="CN49" s="2490"/>
      <c r="CO49" s="2490"/>
      <c r="CP49" s="2490"/>
      <c r="CQ49" s="2490"/>
      <c r="CR49" s="2378"/>
      <c r="CS49" s="2378"/>
      <c r="CT49" s="2490"/>
      <c r="CU49" s="2378"/>
      <c r="CV49" s="2378"/>
      <c r="CW49" s="2490"/>
      <c r="CX49" s="2490"/>
      <c r="CY49" s="2490"/>
      <c r="CZ49" s="2490"/>
      <c r="DA49" s="2490"/>
      <c r="DB49" s="2490"/>
      <c r="DC49" s="2378"/>
      <c r="DD49" s="2490"/>
      <c r="DE49" s="2490"/>
      <c r="DF49" s="2490"/>
      <c r="DG49" s="2490"/>
      <c r="DH49" s="2490"/>
      <c r="DI49" s="2490"/>
      <c r="DJ49" s="2378"/>
      <c r="DK49" s="2490"/>
      <c r="DL49" s="2490"/>
      <c r="DM49" s="2490"/>
      <c r="DN49" s="2490"/>
      <c r="DO49" s="2378"/>
      <c r="DP49" s="2490"/>
      <c r="DQ49" s="2490"/>
      <c r="DR49" s="2490"/>
      <c r="DS49" s="2490"/>
      <c r="DT49" s="2490"/>
      <c r="DU49" s="2490"/>
      <c r="DV49" s="2490"/>
      <c r="DW49" s="2490"/>
      <c r="DX49" s="2490"/>
      <c r="DY49" s="2490"/>
      <c r="DZ49" s="2490"/>
      <c r="EA49" s="2490"/>
      <c r="EB49" s="2490"/>
      <c r="EC49" s="2490"/>
      <c r="ED49" s="2490"/>
      <c r="EE49" s="2490"/>
      <c r="EF49" s="2378"/>
      <c r="EG49" s="2378"/>
      <c r="EH49" s="2490"/>
      <c r="EI49" s="2378"/>
      <c r="EJ49" s="2490"/>
      <c r="EK49" s="2490"/>
      <c r="EL49" s="2490"/>
      <c r="EM49" s="2378"/>
      <c r="EN49" s="2490"/>
      <c r="EO49" s="2490"/>
      <c r="EP49" s="2490"/>
      <c r="EQ49" s="2490"/>
      <c r="ER49" s="2490"/>
      <c r="ES49" s="2490"/>
      <c r="ET49" s="2490"/>
      <c r="EU49" s="2490"/>
      <c r="EV49" s="2490"/>
      <c r="EW49" s="2490"/>
      <c r="EX49" s="2490"/>
      <c r="EY49" s="2378"/>
      <c r="EZ49" s="2490"/>
      <c r="FA49" s="2490"/>
      <c r="FB49" s="2490"/>
      <c r="FC49" s="2490"/>
      <c r="FD49" s="2490"/>
      <c r="FE49" s="2490"/>
      <c r="FF49" s="2379"/>
      <c r="FG49" s="2490"/>
      <c r="FH49" s="2378"/>
      <c r="FI49" s="2490"/>
      <c r="FJ49" s="2490"/>
      <c r="FK49" s="2490"/>
      <c r="FL49" s="2490"/>
      <c r="FM49" s="2490"/>
      <c r="FN49" s="2490"/>
      <c r="FO49" s="2490"/>
      <c r="FP49" s="2490"/>
      <c r="FQ49" s="2490"/>
      <c r="FR49" s="2490"/>
      <c r="FS49" s="2490"/>
      <c r="FT49" s="2490"/>
      <c r="FU49" s="2490"/>
      <c r="FV49" s="2490"/>
      <c r="FW49" s="2490"/>
      <c r="FX49" s="2490"/>
      <c r="FY49" s="2490"/>
      <c r="FZ49" s="2490"/>
      <c r="GA49" s="2490"/>
      <c r="GB49" s="2490"/>
      <c r="GC49" s="2490"/>
      <c r="GD49" s="2490"/>
      <c r="GE49" s="2490"/>
      <c r="GF49" s="2490"/>
      <c r="GG49" s="2490"/>
      <c r="GH49" s="2490"/>
      <c r="GI49" s="2490"/>
      <c r="GJ49" s="2378"/>
      <c r="GK49" s="2490"/>
      <c r="GL49" s="2490"/>
      <c r="GM49" s="2490"/>
      <c r="GN49" s="2490"/>
      <c r="GO49" s="2490"/>
      <c r="GP49" s="2490"/>
      <c r="GQ49" s="2490"/>
      <c r="GR49" s="2490"/>
      <c r="GS49" s="2490"/>
      <c r="GT49" s="2490"/>
      <c r="GU49" s="2490"/>
      <c r="GV49" s="2490"/>
      <c r="GW49" s="2490"/>
      <c r="GX49" s="2378"/>
      <c r="GY49" s="2490"/>
      <c r="GZ49" s="2490"/>
      <c r="HA49" s="2490"/>
      <c r="HB49" s="2378"/>
      <c r="HC49" s="2378"/>
      <c r="HD49" s="2490"/>
      <c r="HE49" s="2490"/>
      <c r="HF49" s="2490"/>
      <c r="HG49" s="2490"/>
      <c r="HH49" s="2490"/>
      <c r="HI49" s="2490"/>
      <c r="HJ49" s="2490"/>
      <c r="HK49" s="2490"/>
      <c r="HL49" s="2490"/>
      <c r="HM49" s="2490"/>
      <c r="HN49" s="2490"/>
      <c r="HO49" s="2378"/>
      <c r="HP49" s="2490"/>
      <c r="HQ49" s="2490"/>
      <c r="HR49" s="2490"/>
      <c r="HS49" s="2490"/>
      <c r="HT49" s="2490"/>
      <c r="HU49" s="2490"/>
      <c r="HV49" s="2490"/>
      <c r="HW49" s="2490"/>
      <c r="HX49" s="2490"/>
      <c r="HY49" s="2490"/>
      <c r="HZ49" s="2490"/>
      <c r="IA49" s="2490"/>
      <c r="IB49" s="2490"/>
      <c r="IC49" s="2490"/>
      <c r="ID49" s="2490"/>
      <c r="IE49" s="2490"/>
      <c r="IF49" s="2490"/>
      <c r="IG49" s="2490"/>
      <c r="IH49" s="2490"/>
      <c r="II49" s="2490"/>
      <c r="IJ49" s="2490"/>
      <c r="IK49" s="2490"/>
      <c r="IL49" s="2490"/>
      <c r="IM49" s="2490"/>
      <c r="IN49" s="2490"/>
      <c r="IO49" s="2490"/>
      <c r="IP49" s="2490"/>
      <c r="IQ49" s="2490"/>
      <c r="IR49" s="2490"/>
      <c r="IS49" s="2490"/>
      <c r="IT49" s="2490"/>
      <c r="IU49" s="2490"/>
      <c r="IV49" s="2490"/>
      <c r="IW49" s="2490"/>
      <c r="IX49" s="2490"/>
      <c r="IY49" s="2490"/>
      <c r="IZ49" s="2490"/>
      <c r="JA49" s="2490"/>
      <c r="JB49" s="2490"/>
      <c r="JC49" s="2490"/>
      <c r="JD49" s="2490"/>
      <c r="JE49" s="2490"/>
      <c r="JF49" s="2490"/>
      <c r="JG49" s="2491"/>
      <c r="JH49" s="1233"/>
      <c r="JI49" s="2248"/>
      <c r="JJ49" s="2248" t="s">
        <v>6111</v>
      </c>
    </row>
    <row r="50" spans="1:270" x14ac:dyDescent="0.2">
      <c r="A50" s="1128">
        <v>7</v>
      </c>
      <c r="B50" s="1347" t="str">
        <f si="3" t="shared"/>
        <v/>
      </c>
      <c r="C50" s="1278" t="s">
        <v>1108</v>
      </c>
      <c r="D50" s="1350" t="s">
        <v>5492</v>
      </c>
      <c r="E50" s="2492"/>
      <c r="F50" s="2493"/>
      <c r="G50" s="2493"/>
      <c r="H50" s="2535"/>
      <c r="I50" s="2493"/>
      <c r="J50" s="2493"/>
      <c r="K50" s="2493"/>
      <c r="L50" s="2493"/>
      <c r="M50" s="2493"/>
      <c r="N50" s="2493"/>
      <c r="O50" s="2495"/>
      <c r="P50" s="2495"/>
      <c r="Q50" s="2493"/>
      <c r="R50" s="2495"/>
      <c r="S50" s="2493"/>
      <c r="T50" s="2496"/>
      <c r="U50" s="2496"/>
      <c r="V50" s="2496"/>
      <c r="W50" s="2496"/>
      <c r="X50" s="2496"/>
      <c r="Y50" s="2496"/>
      <c r="Z50" s="2496"/>
      <c r="AA50" s="2496"/>
      <c r="AB50" s="2496"/>
      <c r="AC50" s="2493"/>
      <c r="AD50" s="3519"/>
      <c r="AE50" s="3537" t="str">
        <f>"01/05/"&amp;Tax_year_start</f>
        <v>01/05/2019</v>
      </c>
      <c r="AF50" s="3519"/>
      <c r="AG50" s="3519"/>
      <c r="AH50" s="3519"/>
      <c r="AI50" s="2496"/>
      <c r="AJ50" s="2492"/>
      <c r="AK50" s="2496"/>
      <c r="AL50" s="2493"/>
      <c r="AM50" s="2496"/>
      <c r="AN50" s="2496"/>
      <c r="AO50" s="2496"/>
      <c r="AP50" s="2496"/>
      <c r="AQ50" s="2496"/>
      <c r="AR50" s="2496"/>
      <c r="AS50" s="2496"/>
      <c r="AT50" s="2496"/>
      <c r="AU50" s="2496"/>
      <c r="AV50" s="2535" t="str">
        <f>"06/04/"&amp;Tax_year_start</f>
        <v>06/04/2019</v>
      </c>
      <c r="AW50" s="2496"/>
      <c r="AX50" s="2496"/>
      <c r="AY50" s="2496"/>
      <c r="AZ50" s="2496"/>
      <c r="BA50" s="2496"/>
      <c r="BB50" s="2496"/>
      <c r="BC50" s="2496"/>
      <c r="BD50" s="2496"/>
      <c r="BE50" s="2496"/>
      <c r="BF50" s="2496"/>
      <c r="BG50" s="2496"/>
      <c r="BH50" s="3954"/>
      <c r="BI50" s="3954"/>
      <c r="BJ50" s="2493"/>
      <c r="BK50" s="2496"/>
      <c r="BL50" s="2496"/>
      <c r="BM50" s="2496"/>
      <c r="BN50" s="2496"/>
      <c r="BO50" s="2496"/>
      <c r="BP50" s="2493"/>
      <c r="BQ50" s="2496"/>
      <c r="BR50" s="2496"/>
      <c r="BS50" s="2496"/>
      <c r="BT50" s="2496"/>
      <c r="BU50" s="2496"/>
      <c r="BV50" s="2496"/>
      <c r="BW50" s="2496"/>
      <c r="BX50" s="2496"/>
      <c r="BY50" s="2496"/>
      <c r="BZ50" s="2496"/>
      <c r="CA50" s="2496"/>
      <c r="CB50" s="2492"/>
      <c r="CC50" s="2496"/>
      <c r="CD50" s="2496"/>
      <c r="CE50" s="2496"/>
      <c r="CF50" s="2492"/>
      <c r="CG50" s="2496"/>
      <c r="CH50" s="2493"/>
      <c r="CI50" s="2496"/>
      <c r="CJ50" s="2496"/>
      <c r="CK50" s="2496"/>
      <c r="CL50" s="2493"/>
      <c r="CM50" s="2496"/>
      <c r="CN50" s="2496"/>
      <c r="CO50" s="2496"/>
      <c r="CP50" s="2496"/>
      <c r="CQ50" s="2496"/>
      <c r="CR50" s="2493"/>
      <c r="CS50" s="2493"/>
      <c r="CT50" s="2496"/>
      <c r="CU50" s="2493"/>
      <c r="CV50" s="2493"/>
      <c r="CW50" s="2496"/>
      <c r="CX50" s="2496"/>
      <c r="CY50" s="2496"/>
      <c r="CZ50" s="2496"/>
      <c r="DA50" s="2496"/>
      <c r="DB50" s="2496"/>
      <c r="DC50" s="2493"/>
      <c r="DD50" s="2496"/>
      <c r="DE50" s="2496"/>
      <c r="DF50" s="2496"/>
      <c r="DG50" s="2496"/>
      <c r="DH50" s="2496"/>
      <c r="DI50" s="2496"/>
      <c r="DJ50" s="2493"/>
      <c r="DK50" s="2496"/>
      <c r="DL50" s="2496"/>
      <c r="DM50" s="2496"/>
      <c r="DN50" s="2496"/>
      <c r="DO50" s="2535" t="str">
        <f>"06/04/"&amp;Tax_year_start</f>
        <v>06/04/2019</v>
      </c>
      <c r="DP50" s="2496"/>
      <c r="DQ50" s="2496"/>
      <c r="DR50" s="2496"/>
      <c r="DS50" s="2496"/>
      <c r="DT50" s="2496"/>
      <c r="DU50" s="2496"/>
      <c r="DV50" s="2496"/>
      <c r="DW50" s="2496"/>
      <c r="DX50" s="2496"/>
      <c r="DY50" s="2496"/>
      <c r="DZ50" s="2496"/>
      <c r="EA50" s="2496"/>
      <c r="EB50" s="2496"/>
      <c r="EC50" s="2496"/>
      <c r="ED50" s="2496"/>
      <c r="EE50" s="2496"/>
      <c r="EF50" s="2493"/>
      <c r="EG50" s="2493"/>
      <c r="EH50" s="2496"/>
      <c r="EI50" s="2493"/>
      <c r="EJ50" s="2496"/>
      <c r="EK50" s="2496"/>
      <c r="EL50" s="2496"/>
      <c r="EM50" s="2493"/>
      <c r="EN50" s="2496"/>
      <c r="EO50" s="2496"/>
      <c r="EP50" s="2496"/>
      <c r="EQ50" s="2496"/>
      <c r="ER50" s="2496"/>
      <c r="ES50" s="2496"/>
      <c r="ET50" s="2496"/>
      <c r="EU50" s="2496"/>
      <c r="EV50" s="2496"/>
      <c r="EW50" s="2496"/>
      <c r="EX50" s="2496"/>
      <c r="EY50" s="2493"/>
      <c r="EZ50" s="2496"/>
      <c r="FA50" s="2496"/>
      <c r="FB50" s="2496"/>
      <c r="FC50" s="2496"/>
      <c r="FD50" s="2496"/>
      <c r="FE50" s="2496"/>
      <c r="FF50" s="2492"/>
      <c r="FG50" s="2496"/>
      <c r="FH50" s="2493"/>
      <c r="FI50" s="2496"/>
      <c r="FJ50" s="2496"/>
      <c r="FK50" s="2496"/>
      <c r="FL50" s="2496"/>
      <c r="FM50" s="2496"/>
      <c r="FN50" s="2496"/>
      <c r="FO50" s="2496"/>
      <c r="FP50" s="2496"/>
      <c r="FQ50" s="2496"/>
      <c r="FR50" s="2496"/>
      <c r="FS50" s="2496"/>
      <c r="FT50" s="2496"/>
      <c r="FU50" s="2496"/>
      <c r="FV50" s="2496"/>
      <c r="FW50" s="2496"/>
      <c r="FX50" s="2496"/>
      <c r="FY50" s="2496"/>
      <c r="FZ50" s="2496"/>
      <c r="GA50" s="2496"/>
      <c r="GB50" s="2496"/>
      <c r="GC50" s="2496"/>
      <c r="GD50" s="2496"/>
      <c r="GE50" s="2496"/>
      <c r="GF50" s="2496"/>
      <c r="GG50" s="2496"/>
      <c r="GH50" s="2496"/>
      <c r="GI50" s="2496"/>
      <c r="GJ50" s="2493"/>
      <c r="GK50" s="2496"/>
      <c r="GL50" s="2496"/>
      <c r="GM50" s="2496"/>
      <c r="GN50" s="2496"/>
      <c r="GO50" s="2496"/>
      <c r="GP50" s="2496"/>
      <c r="GQ50" s="2496"/>
      <c r="GR50" s="2496"/>
      <c r="GS50" s="2496"/>
      <c r="GT50" s="2496"/>
      <c r="GU50" s="2496"/>
      <c r="GV50" s="2496"/>
      <c r="GW50" s="2496"/>
      <c r="GX50" s="2493"/>
      <c r="GY50" s="2496"/>
      <c r="GZ50" s="2496"/>
      <c r="HA50" s="2496"/>
      <c r="HB50" s="2535" t="str">
        <f>"06/04/"&amp;Tax_year_start</f>
        <v>06/04/2019</v>
      </c>
      <c r="HC50" s="2493"/>
      <c r="HD50" s="2496"/>
      <c r="HE50" s="2496"/>
      <c r="HF50" s="2496"/>
      <c r="HG50" s="2496"/>
      <c r="HH50" s="2496"/>
      <c r="HI50" s="2496"/>
      <c r="HJ50" s="2496"/>
      <c r="HK50" s="2496"/>
      <c r="HL50" s="2496"/>
      <c r="HM50" s="2496"/>
      <c r="HN50" s="2496"/>
      <c r="HO50" s="2493"/>
      <c r="HP50" s="2496"/>
      <c r="HQ50" s="2496"/>
      <c r="HR50" s="2496"/>
      <c r="HS50" s="2496"/>
      <c r="HT50" s="2496"/>
      <c r="HU50" s="2496"/>
      <c r="HV50" s="2496"/>
      <c r="HW50" s="2496"/>
      <c r="HX50" s="2496"/>
      <c r="HY50" s="2496"/>
      <c r="HZ50" s="2496"/>
      <c r="IA50" s="2496"/>
      <c r="IB50" s="2496"/>
      <c r="IC50" s="2496"/>
      <c r="ID50" s="2496"/>
      <c r="IE50" s="2496"/>
      <c r="IF50" s="2496"/>
      <c r="IG50" s="2496"/>
      <c r="IH50" s="2496"/>
      <c r="II50" s="2496"/>
      <c r="IJ50" s="2496"/>
      <c r="IK50" s="2496"/>
      <c r="IL50" s="2496"/>
      <c r="IM50" s="2496"/>
      <c r="IN50" s="2496"/>
      <c r="IO50" s="2496"/>
      <c r="IP50" s="2496"/>
      <c r="IQ50" s="2496"/>
      <c r="IR50" s="2496"/>
      <c r="IS50" s="2496"/>
      <c r="IT50" s="2496"/>
      <c r="IU50" s="2496"/>
      <c r="IV50" s="2496"/>
      <c r="IW50" s="2496"/>
      <c r="IX50" s="2496"/>
      <c r="IY50" s="2496"/>
      <c r="IZ50" s="2496"/>
      <c r="JA50" s="2496"/>
      <c r="JB50" s="2496"/>
      <c r="JC50" s="2496"/>
      <c r="JD50" s="2496"/>
      <c r="JE50" s="2496"/>
      <c r="JF50" s="2496"/>
      <c r="JG50" s="2497"/>
      <c r="JH50" s="1233"/>
      <c r="JI50" s="2248" t="s">
        <v>5476</v>
      </c>
      <c r="JJ50" s="2248" t="s">
        <v>6126</v>
      </c>
    </row>
    <row ht="33.75" r="51" spans="1:270" x14ac:dyDescent="0.2">
      <c r="A51" s="1128">
        <v>8</v>
      </c>
      <c r="B51" s="1347" t="str">
        <f si="3" t="shared"/>
        <v/>
      </c>
      <c r="C51" s="1278" t="s">
        <v>1109</v>
      </c>
      <c r="D51" s="1350" t="s">
        <v>5493</v>
      </c>
      <c r="E51" s="2492"/>
      <c r="F51" s="2493"/>
      <c r="G51" s="2493"/>
      <c r="H51" s="2493"/>
      <c r="I51" s="2493"/>
      <c r="J51" s="2493"/>
      <c r="K51" s="2493"/>
      <c r="L51" s="2493"/>
      <c r="M51" s="2493"/>
      <c r="N51" s="2493"/>
      <c r="O51" s="2495"/>
      <c r="P51" s="2495"/>
      <c r="Q51" s="2493"/>
      <c r="R51" s="2495"/>
      <c r="S51" s="2493"/>
      <c r="T51" s="2496"/>
      <c r="U51" s="2496"/>
      <c r="V51" s="2496"/>
      <c r="W51" s="2496"/>
      <c r="X51" s="2496"/>
      <c r="Y51" s="2496"/>
      <c r="Z51" s="2496"/>
      <c r="AA51" s="2496"/>
      <c r="AB51" s="2496"/>
      <c r="AC51" s="2493"/>
      <c r="AD51" s="3519"/>
      <c r="AE51" s="3520"/>
      <c r="AF51" s="3520"/>
      <c r="AG51" s="3520"/>
      <c r="AH51" s="3537" t="str">
        <f>"02/09/"&amp;Tax_year_start</f>
        <v>02/09/2019</v>
      </c>
      <c r="AI51" s="2496"/>
      <c r="AJ51" s="2492"/>
      <c r="AK51" s="2496"/>
      <c r="AL51" s="2493"/>
      <c r="AM51" s="2496"/>
      <c r="AN51" s="2496"/>
      <c r="AO51" s="2496"/>
      <c r="AP51" s="2496"/>
      <c r="AQ51" s="2496"/>
      <c r="AR51" s="2496"/>
      <c r="AS51" s="2496"/>
      <c r="AT51" s="2496"/>
      <c r="AU51" s="2496"/>
      <c r="AV51" s="2493"/>
      <c r="AW51" s="2496"/>
      <c r="AX51" s="2496"/>
      <c r="AY51" s="2496"/>
      <c r="AZ51" s="2496"/>
      <c r="BA51" s="2496"/>
      <c r="BB51" s="2496"/>
      <c r="BC51" s="2496"/>
      <c r="BD51" s="2496"/>
      <c r="BE51" s="2496"/>
      <c r="BF51" s="2496"/>
      <c r="BG51" s="2496"/>
      <c r="BH51" s="3954"/>
      <c r="BI51" s="3954"/>
      <c r="BJ51" s="2493"/>
      <c r="BK51" s="2496"/>
      <c r="BL51" s="2496"/>
      <c r="BM51" s="2496"/>
      <c r="BN51" s="2496"/>
      <c r="BO51" s="2496"/>
      <c r="BP51" s="2493"/>
      <c r="BQ51" s="2496"/>
      <c r="BR51" s="2496"/>
      <c r="BS51" s="2496"/>
      <c r="BT51" s="2496"/>
      <c r="BU51" s="2496"/>
      <c r="BV51" s="2496"/>
      <c r="BW51" s="2496"/>
      <c r="BX51" s="2496"/>
      <c r="BY51" s="2496"/>
      <c r="BZ51" s="2496"/>
      <c r="CA51" s="2496"/>
      <c r="CB51" s="2492"/>
      <c r="CC51" s="2496"/>
      <c r="CD51" s="2496"/>
      <c r="CE51" s="2496"/>
      <c r="CF51" s="2492"/>
      <c r="CG51" s="2496"/>
      <c r="CH51" s="2493"/>
      <c r="CI51" s="2496"/>
      <c r="CJ51" s="2496"/>
      <c r="CK51" s="2496"/>
      <c r="CL51" s="2493"/>
      <c r="CM51" s="2496"/>
      <c r="CN51" s="2496"/>
      <c r="CO51" s="2496"/>
      <c r="CP51" s="2496"/>
      <c r="CQ51" s="2496"/>
      <c r="CR51" s="2493"/>
      <c r="CS51" s="2493"/>
      <c r="CT51" s="2496"/>
      <c r="CU51" s="2493"/>
      <c r="CV51" s="2493"/>
      <c r="CW51" s="2496"/>
      <c r="CX51" s="2496"/>
      <c r="CY51" s="2496"/>
      <c r="CZ51" s="2496"/>
      <c r="DA51" s="2496"/>
      <c r="DB51" s="2496"/>
      <c r="DC51" s="2493"/>
      <c r="DD51" s="2496"/>
      <c r="DE51" s="2496"/>
      <c r="DF51" s="2496"/>
      <c r="DG51" s="2496"/>
      <c r="DH51" s="2496"/>
      <c r="DI51" s="2496"/>
      <c r="DJ51" s="2493"/>
      <c r="DK51" s="2496"/>
      <c r="DL51" s="2496"/>
      <c r="DM51" s="2496"/>
      <c r="DN51" s="2496"/>
      <c r="DO51" s="2493"/>
      <c r="DP51" s="2496"/>
      <c r="DQ51" s="2496"/>
      <c r="DR51" s="2496"/>
      <c r="DS51" s="2496"/>
      <c r="DT51" s="2496"/>
      <c r="DU51" s="2496"/>
      <c r="DV51" s="2496"/>
      <c r="DW51" s="2496"/>
      <c r="DX51" s="2496"/>
      <c r="DY51" s="2496"/>
      <c r="DZ51" s="2496"/>
      <c r="EA51" s="2496"/>
      <c r="EB51" s="2496"/>
      <c r="EC51" s="2496"/>
      <c r="ED51" s="2496"/>
      <c r="EE51" s="2496"/>
      <c r="EF51" s="2493"/>
      <c r="EG51" s="2493"/>
      <c r="EH51" s="2496"/>
      <c r="EI51" s="2535" t="str">
        <f>"31/08/"&amp;Tax_year_start</f>
        <v>31/08/2019</v>
      </c>
      <c r="EJ51" s="2496"/>
      <c r="EK51" s="2496"/>
      <c r="EL51" s="2496"/>
      <c r="EM51" s="2493"/>
      <c r="EN51" s="2496"/>
      <c r="EO51" s="2496"/>
      <c r="EP51" s="2496"/>
      <c r="EQ51" s="2496"/>
      <c r="ER51" s="2496"/>
      <c r="ES51" s="2496"/>
      <c r="ET51" s="2496"/>
      <c r="EU51" s="2496"/>
      <c r="EV51" s="2496"/>
      <c r="EW51" s="2496"/>
      <c r="EX51" s="2496"/>
      <c r="EY51" s="2493"/>
      <c r="EZ51" s="2496"/>
      <c r="FA51" s="2496"/>
      <c r="FB51" s="2496"/>
      <c r="FC51" s="2496"/>
      <c r="FD51" s="2496"/>
      <c r="FE51" s="2496"/>
      <c r="FF51" s="2492"/>
      <c r="FG51" s="2496"/>
      <c r="FH51" s="2493"/>
      <c r="FI51" s="2496"/>
      <c r="FJ51" s="2496"/>
      <c r="FK51" s="2496"/>
      <c r="FL51" s="2496"/>
      <c r="FM51" s="2496"/>
      <c r="FN51" s="2496"/>
      <c r="FO51" s="2496"/>
      <c r="FP51" s="2496"/>
      <c r="FQ51" s="2496"/>
      <c r="FR51" s="2496"/>
      <c r="FS51" s="2496"/>
      <c r="FT51" s="2496"/>
      <c r="FU51" s="2496"/>
      <c r="FV51" s="2496"/>
      <c r="FW51" s="2496"/>
      <c r="FX51" s="2496"/>
      <c r="FY51" s="2496"/>
      <c r="FZ51" s="2496"/>
      <c r="GA51" s="2496"/>
      <c r="GB51" s="2496"/>
      <c r="GC51" s="2496"/>
      <c r="GD51" s="2496"/>
      <c r="GE51" s="2496"/>
      <c r="GF51" s="2496"/>
      <c r="GG51" s="2496"/>
      <c r="GH51" s="2496"/>
      <c r="GI51" s="2496"/>
      <c r="GJ51" s="2535" t="str">
        <f>"31/08/"&amp;Tax_year_start</f>
        <v>31/08/2019</v>
      </c>
      <c r="GK51" s="2496"/>
      <c r="GL51" s="2496"/>
      <c r="GM51" s="2496"/>
      <c r="GN51" s="2496"/>
      <c r="GO51" s="2496"/>
      <c r="GP51" s="2496"/>
      <c r="GQ51" s="2496"/>
      <c r="GR51" s="2496"/>
      <c r="GS51" s="2496"/>
      <c r="GT51" s="2496"/>
      <c r="GU51" s="2496"/>
      <c r="GV51" s="2496"/>
      <c r="GW51" s="2496"/>
      <c r="GX51" s="2493"/>
      <c r="GY51" s="2496"/>
      <c r="GZ51" s="2496"/>
      <c r="HA51" s="2496"/>
      <c r="HB51" s="2493"/>
      <c r="HC51" s="2493"/>
      <c r="HD51" s="2496"/>
      <c r="HE51" s="2496"/>
      <c r="HF51" s="2496"/>
      <c r="HG51" s="2496"/>
      <c r="HH51" s="2496"/>
      <c r="HI51" s="2496"/>
      <c r="HJ51" s="2496"/>
      <c r="HK51" s="2496"/>
      <c r="HL51" s="2496"/>
      <c r="HM51" s="2496"/>
      <c r="HN51" s="2496"/>
      <c r="HO51" s="2493"/>
      <c r="HP51" s="2496"/>
      <c r="HQ51" s="2496"/>
      <c r="HR51" s="2496"/>
      <c r="HS51" s="2496"/>
      <c r="HT51" s="2496"/>
      <c r="HU51" s="2496"/>
      <c r="HV51" s="2496"/>
      <c r="HW51" s="2496"/>
      <c r="HX51" s="2496"/>
      <c r="HY51" s="2496"/>
      <c r="HZ51" s="2496"/>
      <c r="IA51" s="2496"/>
      <c r="IB51" s="2496"/>
      <c r="IC51" s="2496"/>
      <c r="ID51" s="2496"/>
      <c r="IE51" s="2496"/>
      <c r="IF51" s="2496"/>
      <c r="IG51" s="2496"/>
      <c r="IH51" s="2496"/>
      <c r="II51" s="2496"/>
      <c r="IJ51" s="2496"/>
      <c r="IK51" s="2496"/>
      <c r="IL51" s="2496"/>
      <c r="IM51" s="2496"/>
      <c r="IN51" s="2496"/>
      <c r="IO51" s="2496"/>
      <c r="IP51" s="2496"/>
      <c r="IQ51" s="2496"/>
      <c r="IR51" s="2496"/>
      <c r="IS51" s="2496"/>
      <c r="IT51" s="2496"/>
      <c r="IU51" s="2496"/>
      <c r="IV51" s="2496"/>
      <c r="IW51" s="2496"/>
      <c r="IX51" s="2496"/>
      <c r="IY51" s="2496"/>
      <c r="IZ51" s="2496"/>
      <c r="JA51" s="2496"/>
      <c r="JB51" s="2496"/>
      <c r="JC51" s="2496"/>
      <c r="JD51" s="2496"/>
      <c r="JE51" s="2496"/>
      <c r="JF51" s="2496"/>
      <c r="JG51" s="2497"/>
      <c r="JH51" s="1233"/>
      <c r="JI51" s="2248" t="s">
        <v>5477</v>
      </c>
      <c r="JJ51" s="2248" t="s">
        <v>6126</v>
      </c>
    </row>
    <row r="52" spans="1:270" x14ac:dyDescent="0.2">
      <c r="A52" s="1128">
        <v>9</v>
      </c>
      <c r="B52" s="1347" t="str">
        <f si="3" t="shared"/>
        <v>06/04/2019</v>
      </c>
      <c r="C52" s="1278" t="s">
        <v>1110</v>
      </c>
      <c r="D52" s="1350" t="s">
        <v>5494</v>
      </c>
      <c r="E52" s="2535"/>
      <c r="F52" s="2535"/>
      <c r="G52" s="2535" t="str">
        <f>"06/04/"&amp;Tax_year_start</f>
        <v>06/04/2019</v>
      </c>
      <c r="H52" s="2535"/>
      <c r="I52" s="2535" t="str">
        <f>"06/04/"&amp;Tax_year_start</f>
        <v>06/04/2019</v>
      </c>
      <c r="J52" s="2493"/>
      <c r="K52" s="2535"/>
      <c r="L52" s="2535" t="str">
        <f>"06/04/"&amp;Tax_year_start</f>
        <v>06/04/2019</v>
      </c>
      <c r="M52" s="2535"/>
      <c r="N52" s="2535"/>
      <c r="O52" s="2495"/>
      <c r="P52" s="2495"/>
      <c r="Q52" s="2535" t="str">
        <f>"06/04/"&amp;Tax_year_start</f>
        <v>06/04/2019</v>
      </c>
      <c r="R52" s="2495"/>
      <c r="S52" s="2535" t="str">
        <f>"06/04/"&amp;Tax_year_start</f>
        <v>06/04/2019</v>
      </c>
      <c r="T52" s="2496"/>
      <c r="U52" s="2496"/>
      <c r="V52" s="2496"/>
      <c r="W52" s="2496"/>
      <c r="X52" s="2496"/>
      <c r="Y52" s="2496"/>
      <c r="Z52" s="2496"/>
      <c r="AA52" s="2496"/>
      <c r="AB52" s="2496"/>
      <c r="AC52" s="2535" t="str">
        <f>"06/04/"&amp;Tax_year_start</f>
        <v>06/04/2019</v>
      </c>
      <c r="AD52" s="3527"/>
      <c r="AE52" s="3537" t="str">
        <f>"01/05/"&amp;Tax_year_start</f>
        <v>01/05/2019</v>
      </c>
      <c r="AF52" s="3521"/>
      <c r="AG52" s="3521"/>
      <c r="AH52" s="3537" t="str">
        <f>"05/04/"&amp;Tax_year_start</f>
        <v>05/04/2019</v>
      </c>
      <c r="AI52" s="2496"/>
      <c r="AJ52" s="2535" t="str">
        <f>"06/04/"&amp;Tax_year_start</f>
        <v>06/04/2019</v>
      </c>
      <c r="AK52" s="2496"/>
      <c r="AL52" s="2535" t="str">
        <f>"01/11/"&amp;Tax_year_start-1</f>
        <v>01/11/2018</v>
      </c>
      <c r="AM52" s="2496"/>
      <c r="AN52" s="2496"/>
      <c r="AO52" s="2496"/>
      <c r="AP52" s="2496"/>
      <c r="AQ52" s="2496"/>
      <c r="AR52" s="2496"/>
      <c r="AS52" s="2496"/>
      <c r="AT52" s="2496"/>
      <c r="AU52" s="2496"/>
      <c r="AV52" s="2535" t="str">
        <f>"06/04/"&amp;Tax_year_start</f>
        <v>06/04/2019</v>
      </c>
      <c r="AW52" s="2496"/>
      <c r="AX52" s="2496"/>
      <c r="AY52" s="2496"/>
      <c r="AZ52" s="2496"/>
      <c r="BA52" s="2496"/>
      <c r="BB52" s="2496"/>
      <c r="BC52" s="2496"/>
      <c r="BD52" s="2496"/>
      <c r="BE52" s="2496"/>
      <c r="BF52" s="2496"/>
      <c r="BG52" s="2496"/>
      <c r="BH52" s="3954"/>
      <c r="BI52" s="3954"/>
      <c r="BJ52" s="2535" t="str">
        <f>"01/11/"&amp;Tax_year_start-1</f>
        <v>01/11/2018</v>
      </c>
      <c r="BK52" s="2496"/>
      <c r="BL52" s="2496"/>
      <c r="BM52" s="2496"/>
      <c r="BN52" s="2496"/>
      <c r="BO52" s="2496"/>
      <c r="BP52" s="2535" t="str">
        <f>"06/04/"&amp;Tax_year_start</f>
        <v>06/04/2019</v>
      </c>
      <c r="BQ52" s="2496"/>
      <c r="BR52" s="2496"/>
      <c r="BS52" s="2496"/>
      <c r="BT52" s="2496"/>
      <c r="BU52" s="2496"/>
      <c r="BV52" s="2496"/>
      <c r="BW52" s="2496"/>
      <c r="BX52" s="2496"/>
      <c r="BY52" s="2496"/>
      <c r="BZ52" s="2496"/>
      <c r="CA52" s="2496"/>
      <c r="CB52" s="2535" t="str">
        <f>"06/04/"&amp;Tax_year_start</f>
        <v>06/04/2019</v>
      </c>
      <c r="CC52" s="2496"/>
      <c r="CD52" s="2496"/>
      <c r="CE52" s="2496"/>
      <c r="CF52" s="2535" t="str">
        <f>"06/04/"&amp;Tax_year_start</f>
        <v>06/04/2019</v>
      </c>
      <c r="CG52" s="2496"/>
      <c r="CH52" s="2535" t="str">
        <f>"06/04/"&amp;Tax_year_start</f>
        <v>06/04/2019</v>
      </c>
      <c r="CI52" s="2496"/>
      <c r="CJ52" s="2496"/>
      <c r="CK52" s="2496"/>
      <c r="CL52" s="2535" t="str">
        <f>"01/11/"&amp;Tax_year_start-1</f>
        <v>01/11/2018</v>
      </c>
      <c r="CM52" s="2496"/>
      <c r="CN52" s="2496"/>
      <c r="CO52" s="2496"/>
      <c r="CP52" s="2496"/>
      <c r="CQ52" s="2496"/>
      <c r="CR52" s="2535" t="str">
        <f>"01/11/"&amp;Tax_year_start-1</f>
        <v>01/11/2018</v>
      </c>
      <c r="CS52" s="2535" t="str">
        <f>"01/11/"&amp;Tax_year_start-1</f>
        <v>01/11/2018</v>
      </c>
      <c r="CT52" s="2496"/>
      <c r="CU52" s="2535" t="str">
        <f>"06/04/"&amp;Tax_year_start</f>
        <v>06/04/2019</v>
      </c>
      <c r="CV52" s="2535" t="str">
        <f>"06/04/"&amp;Tax_year_start</f>
        <v>06/04/2019</v>
      </c>
      <c r="CW52" s="2496"/>
      <c r="CX52" s="2496"/>
      <c r="CY52" s="2496"/>
      <c r="CZ52" s="2496"/>
      <c r="DA52" s="2496"/>
      <c r="DB52" s="2496"/>
      <c r="DC52" s="2535" t="str">
        <f>"06/04/"&amp;Tax_year_start</f>
        <v>06/04/2019</v>
      </c>
      <c r="DD52" s="2496"/>
      <c r="DE52" s="2496"/>
      <c r="DF52" s="2496"/>
      <c r="DG52" s="2496"/>
      <c r="DH52" s="2496"/>
      <c r="DI52" s="2496"/>
      <c r="DJ52" s="2535" t="str">
        <f>"06/04/"&amp;Tax_year_start</f>
        <v>06/04/2019</v>
      </c>
      <c r="DK52" s="2496"/>
      <c r="DL52" s="2496"/>
      <c r="DM52" s="2496"/>
      <c r="DN52" s="2496"/>
      <c r="DO52" s="2535" t="str">
        <f>"06/04/"&amp;Tax_year_start</f>
        <v>06/04/2019</v>
      </c>
      <c r="DP52" s="2496"/>
      <c r="DQ52" s="2496"/>
      <c r="DR52" s="2496"/>
      <c r="DS52" s="2496"/>
      <c r="DT52" s="2496"/>
      <c r="DU52" s="2496"/>
      <c r="DV52" s="2496"/>
      <c r="DW52" s="2496"/>
      <c r="DX52" s="2496"/>
      <c r="DY52" s="2496"/>
      <c r="DZ52" s="2496"/>
      <c r="EA52" s="2496"/>
      <c r="EB52" s="2496"/>
      <c r="EC52" s="2496"/>
      <c r="ED52" s="2496"/>
      <c r="EE52" s="2496"/>
      <c r="EF52" s="2535" t="str">
        <f>"06/04/"&amp;Tax_year_start</f>
        <v>06/04/2019</v>
      </c>
      <c r="EG52" s="2535" t="str">
        <f>"06/04/"&amp;Tax_year_start</f>
        <v>06/04/2019</v>
      </c>
      <c r="EH52" s="2496"/>
      <c r="EI52" s="2535" t="str">
        <f>"01/01/"&amp;Tax_year_start</f>
        <v>01/01/2019</v>
      </c>
      <c r="EJ52" s="2496"/>
      <c r="EK52" s="2496"/>
      <c r="EL52" s="2496"/>
      <c r="EM52" s="2535" t="str">
        <f>"01/11/"&amp;Tax_year_start-1</f>
        <v>01/11/2018</v>
      </c>
      <c r="EN52" s="2496"/>
      <c r="EO52" s="2496"/>
      <c r="EP52" s="2496"/>
      <c r="EQ52" s="2496"/>
      <c r="ER52" s="2496"/>
      <c r="ES52" s="2496"/>
      <c r="ET52" s="2496"/>
      <c r="EU52" s="2496"/>
      <c r="EV52" s="2496"/>
      <c r="EW52" s="2496"/>
      <c r="EX52" s="2496"/>
      <c r="EY52" s="2535" t="str">
        <f>"01/11/"&amp;Tax_year_start-1</f>
        <v>01/11/2018</v>
      </c>
      <c r="EZ52" s="2496"/>
      <c r="FA52" s="2496"/>
      <c r="FB52" s="2496"/>
      <c r="FC52" s="2496"/>
      <c r="FD52" s="2496"/>
      <c r="FE52" s="2496"/>
      <c r="FF52" s="2535" t="str">
        <f>"06/04/"&amp;Tax_year_start</f>
        <v>06/04/2019</v>
      </c>
      <c r="FG52" s="2496"/>
      <c r="FH52" s="2535" t="str">
        <f>"06/04/"&amp;Tax_year_start</f>
        <v>06/04/2019</v>
      </c>
      <c r="FI52" s="2496"/>
      <c r="FJ52" s="2496"/>
      <c r="FK52" s="2496"/>
      <c r="FL52" s="2496"/>
      <c r="FM52" s="2496"/>
      <c r="FN52" s="2496"/>
      <c r="FO52" s="2496"/>
      <c r="FP52" s="2496"/>
      <c r="FQ52" s="2496"/>
      <c r="FR52" s="2496"/>
      <c r="FS52" s="2496"/>
      <c r="FT52" s="2496"/>
      <c r="FU52" s="2496"/>
      <c r="FV52" s="2496"/>
      <c r="FW52" s="2496"/>
      <c r="FX52" s="2496"/>
      <c r="FY52" s="2496"/>
      <c r="FZ52" s="2496"/>
      <c r="GA52" s="2496"/>
      <c r="GB52" s="2496"/>
      <c r="GC52" s="2496"/>
      <c r="GD52" s="2496"/>
      <c r="GE52" s="2496"/>
      <c r="GF52" s="2496"/>
      <c r="GG52" s="2496"/>
      <c r="GH52" s="2496"/>
      <c r="GI52" s="2496"/>
      <c r="GJ52" s="2535" t="str">
        <f>"01/01/"&amp;Tax_year_start</f>
        <v>01/01/2019</v>
      </c>
      <c r="GK52" s="2496"/>
      <c r="GL52" s="2496"/>
      <c r="GM52" s="2496"/>
      <c r="GN52" s="2496"/>
      <c r="GO52" s="2496"/>
      <c r="GP52" s="2496"/>
      <c r="GQ52" s="2496"/>
      <c r="GR52" s="2496"/>
      <c r="GS52" s="2496"/>
      <c r="GT52" s="2496"/>
      <c r="GU52" s="2496"/>
      <c r="GV52" s="2496"/>
      <c r="GW52" s="2496"/>
      <c r="GX52" s="2535" t="str">
        <f>"06/04/"&amp;Tax_year_start</f>
        <v>06/04/2019</v>
      </c>
      <c r="GY52" s="2496"/>
      <c r="GZ52" s="2496"/>
      <c r="HA52" s="2496"/>
      <c r="HB52" s="2535" t="str">
        <f>"06/04/"&amp;Tax_year_start</f>
        <v>06/04/2019</v>
      </c>
      <c r="HC52" s="2535" t="str">
        <f>"06/04/"&amp;Tax_year_start</f>
        <v>06/04/2019</v>
      </c>
      <c r="HD52" s="2496"/>
      <c r="HE52" s="2496"/>
      <c r="HF52" s="2496"/>
      <c r="HG52" s="2496"/>
      <c r="HH52" s="2496"/>
      <c r="HI52" s="2496"/>
      <c r="HJ52" s="2496"/>
      <c r="HK52" s="2496"/>
      <c r="HL52" s="2496"/>
      <c r="HM52" s="2496"/>
      <c r="HN52" s="2496"/>
      <c r="HO52" s="2535" t="str">
        <f>"06/04/"&amp;Tax_year_start</f>
        <v>06/04/2019</v>
      </c>
      <c r="HP52" s="2496"/>
      <c r="HQ52" s="2496"/>
      <c r="HR52" s="2496"/>
      <c r="HS52" s="2496"/>
      <c r="HT52" s="2496"/>
      <c r="HU52" s="2496"/>
      <c r="HV52" s="2496"/>
      <c r="HW52" s="2496"/>
      <c r="HX52" s="2496"/>
      <c r="HY52" s="2496"/>
      <c r="HZ52" s="2496"/>
      <c r="IA52" s="2496"/>
      <c r="IB52" s="2496"/>
      <c r="IC52" s="2496"/>
      <c r="ID52" s="2496"/>
      <c r="IE52" s="2496"/>
      <c r="IF52" s="2496"/>
      <c r="IG52" s="2496"/>
      <c r="IH52" s="2496"/>
      <c r="II52" s="2496"/>
      <c r="IJ52" s="2496"/>
      <c r="IK52" s="2496"/>
      <c r="IL52" s="2496"/>
      <c r="IM52" s="2496"/>
      <c r="IN52" s="2496"/>
      <c r="IO52" s="2496"/>
      <c r="IP52" s="2496"/>
      <c r="IQ52" s="2496"/>
      <c r="IR52" s="2496"/>
      <c r="IS52" s="2496"/>
      <c r="IT52" s="2496"/>
      <c r="IU52" s="2496"/>
      <c r="IV52" s="2496"/>
      <c r="IW52" s="2496"/>
      <c r="IX52" s="2496"/>
      <c r="IY52" s="2496"/>
      <c r="IZ52" s="2496"/>
      <c r="JA52" s="2496"/>
      <c r="JB52" s="2496"/>
      <c r="JC52" s="2496"/>
      <c r="JD52" s="2496"/>
      <c r="JE52" s="2496"/>
      <c r="JF52" s="2496"/>
      <c r="JG52" s="2497"/>
      <c r="JH52" s="1233"/>
      <c r="JI52" s="2248"/>
      <c r="JJ52" s="2248" t="s">
        <v>6126</v>
      </c>
    </row>
    <row ht="45" r="53" spans="1:270" x14ac:dyDescent="0.2">
      <c r="A53" s="1128">
        <v>10</v>
      </c>
      <c r="B53" s="1347" t="str">
        <f si="3" t="shared"/>
        <v>30/12/2019</v>
      </c>
      <c r="C53" s="1278" t="s">
        <v>1111</v>
      </c>
      <c r="D53" s="1350" t="s">
        <v>5445</v>
      </c>
      <c r="E53" s="2535"/>
      <c r="F53" s="2535"/>
      <c r="G53" s="2535" t="str">
        <f>"30/12/"&amp;Tax_year_start</f>
        <v>30/12/2019</v>
      </c>
      <c r="H53" s="2535"/>
      <c r="I53" s="2535" t="str">
        <f>"30/12/"&amp;Tax_year_start</f>
        <v>30/12/2019</v>
      </c>
      <c r="J53" s="2493"/>
      <c r="K53" s="2535"/>
      <c r="L53" s="2535" t="str">
        <f>"30/12/"&amp;Tax_year_start</f>
        <v>30/12/2019</v>
      </c>
      <c r="M53" s="2535"/>
      <c r="N53" s="2535"/>
      <c r="O53" s="2495"/>
      <c r="P53" s="2495"/>
      <c r="Q53" s="2535" t="str">
        <f>"30/12/"&amp;Tax_year_start</f>
        <v>30/12/2019</v>
      </c>
      <c r="R53" s="2495"/>
      <c r="S53" s="2535" t="str">
        <f>"30/12/"&amp;Tax_year_start</f>
        <v>30/12/2019</v>
      </c>
      <c r="T53" s="2496"/>
      <c r="U53" s="2496"/>
      <c r="V53" s="2496"/>
      <c r="W53" s="2496"/>
      <c r="X53" s="2496"/>
      <c r="Y53" s="2496"/>
      <c r="Z53" s="2496"/>
      <c r="AA53" s="2496"/>
      <c r="AB53" s="2496"/>
      <c r="AC53" s="2535" t="str">
        <f>"30/12/"&amp;Tax_year_start</f>
        <v>30/12/2019</v>
      </c>
      <c r="AD53" s="3527"/>
      <c r="AE53" s="3537" t="str">
        <f>"31/03/"&amp;Tax_year_end</f>
        <v>31/03/2020</v>
      </c>
      <c r="AF53" s="3522"/>
      <c r="AG53" s="3522"/>
      <c r="AH53" s="3537" t="str">
        <f>"02/09/"&amp;Tax_year_start</f>
        <v>02/09/2019</v>
      </c>
      <c r="AI53" s="2496"/>
      <c r="AJ53" s="2535" t="str">
        <f>"05/04/"&amp;Tax_year_end</f>
        <v>05/04/2020</v>
      </c>
      <c r="AK53" s="2496"/>
      <c r="AL53" s="2535" t="str">
        <f>"31/10/"&amp;Tax_year_start</f>
        <v>31/10/2019</v>
      </c>
      <c r="AM53" s="2496"/>
      <c r="AN53" s="2496"/>
      <c r="AO53" s="2496"/>
      <c r="AP53" s="2496"/>
      <c r="AQ53" s="2496"/>
      <c r="AR53" s="2496"/>
      <c r="AS53" s="2496"/>
      <c r="AT53" s="2496"/>
      <c r="AU53" s="2496"/>
      <c r="AV53" s="2535" t="str">
        <f>"05/04/"&amp;Tax_year_end</f>
        <v>05/04/2020</v>
      </c>
      <c r="AW53" s="2496"/>
      <c r="AX53" s="2496"/>
      <c r="AY53" s="2496"/>
      <c r="AZ53" s="2496"/>
      <c r="BA53" s="2496"/>
      <c r="BB53" s="2496"/>
      <c r="BC53" s="2496"/>
      <c r="BD53" s="2496"/>
      <c r="BE53" s="2496"/>
      <c r="BF53" s="2496"/>
      <c r="BG53" s="2496"/>
      <c r="BH53" s="3954"/>
      <c r="BI53" s="3954"/>
      <c r="BJ53" s="2535" t="str">
        <f>"31/10/"&amp;Tax_year_start</f>
        <v>31/10/2019</v>
      </c>
      <c r="BK53" s="2496"/>
      <c r="BL53" s="2496"/>
      <c r="BM53" s="2496"/>
      <c r="BN53" s="2496"/>
      <c r="BO53" s="2496"/>
      <c r="BP53" s="2535" t="str">
        <f>"30/12/"&amp;Tax_year_start</f>
        <v>30/12/2019</v>
      </c>
      <c r="BQ53" s="2496"/>
      <c r="BR53" s="2496"/>
      <c r="BS53" s="2496"/>
      <c r="BT53" s="2496"/>
      <c r="BU53" s="2496"/>
      <c r="BV53" s="2496"/>
      <c r="BW53" s="2496"/>
      <c r="BX53" s="2496"/>
      <c r="BY53" s="2496"/>
      <c r="BZ53" s="2496"/>
      <c r="CA53" s="2496"/>
      <c r="CB53" s="2535" t="str">
        <f>"05/04/"&amp;Tax_year_end</f>
        <v>05/04/2020</v>
      </c>
      <c r="CC53" s="2496"/>
      <c r="CD53" s="2496"/>
      <c r="CE53" s="2496"/>
      <c r="CF53" s="2535" t="str">
        <f>"05/04/"&amp;Tax_year_end</f>
        <v>05/04/2020</v>
      </c>
      <c r="CG53" s="2496"/>
      <c r="CH53" s="2535" t="str">
        <f>"30/12/"&amp;Tax_year_start</f>
        <v>30/12/2019</v>
      </c>
      <c r="CI53" s="2496"/>
      <c r="CJ53" s="2496"/>
      <c r="CK53" s="2496"/>
      <c r="CL53" s="2535" t="str">
        <f>"31/10/"&amp;Tax_year_start</f>
        <v>31/10/2019</v>
      </c>
      <c r="CM53" s="2496"/>
      <c r="CN53" s="2496"/>
      <c r="CO53" s="2496"/>
      <c r="CP53" s="2496"/>
      <c r="CQ53" s="2496"/>
      <c r="CR53" s="2535" t="str">
        <f>"31/10/"&amp;Tax_year_start</f>
        <v>31/10/2019</v>
      </c>
      <c r="CS53" s="2535" t="str">
        <f>"31/10/"&amp;Tax_year_start</f>
        <v>31/10/2019</v>
      </c>
      <c r="CT53" s="2496"/>
      <c r="CU53" s="2535" t="str">
        <f>"05/04/"&amp;Tax_year_end</f>
        <v>05/04/2020</v>
      </c>
      <c r="CV53" s="2535" t="str">
        <f>"05/04/"&amp;Tax_year_end</f>
        <v>05/04/2020</v>
      </c>
      <c r="CW53" s="2496"/>
      <c r="CX53" s="2496"/>
      <c r="CY53" s="2496"/>
      <c r="CZ53" s="2496"/>
      <c r="DA53" s="2496"/>
      <c r="DB53" s="2496"/>
      <c r="DC53" s="2535" t="str">
        <f>"05/04/"&amp;Tax_year_end</f>
        <v>05/04/2020</v>
      </c>
      <c r="DD53" s="2496"/>
      <c r="DE53" s="2496"/>
      <c r="DF53" s="2496"/>
      <c r="DG53" s="2496"/>
      <c r="DH53" s="2496"/>
      <c r="DI53" s="2496"/>
      <c r="DJ53" s="2535" t="str">
        <f>"05/04/"&amp;Tax_year_end</f>
        <v>05/04/2020</v>
      </c>
      <c r="DK53" s="2496"/>
      <c r="DL53" s="2496"/>
      <c r="DM53" s="2496"/>
      <c r="DN53" s="2496"/>
      <c r="DO53" s="2535" t="str">
        <f>"05/04/"&amp;Tax_year_end</f>
        <v>05/04/2020</v>
      </c>
      <c r="DP53" s="2496"/>
      <c r="DQ53" s="2496"/>
      <c r="DR53" s="2496"/>
      <c r="DS53" s="2496"/>
      <c r="DT53" s="2496"/>
      <c r="DU53" s="2496"/>
      <c r="DV53" s="2496"/>
      <c r="DW53" s="2496"/>
      <c r="DX53" s="2496"/>
      <c r="DY53" s="2496"/>
      <c r="DZ53" s="2496"/>
      <c r="EA53" s="2496"/>
      <c r="EB53" s="2496"/>
      <c r="EC53" s="2496"/>
      <c r="ED53" s="2496"/>
      <c r="EE53" s="2496"/>
      <c r="EF53" s="2535" t="str">
        <f>"05/04/"&amp;Tax_year_end</f>
        <v>05/04/2020</v>
      </c>
      <c r="EG53" s="2535" t="str">
        <f>"05/04/"&amp;Tax_year_end</f>
        <v>05/04/2020</v>
      </c>
      <c r="EH53" s="2496"/>
      <c r="EI53" s="2535" t="str">
        <f>"31/08/"&amp;Tax_year_start</f>
        <v>31/08/2019</v>
      </c>
      <c r="EJ53" s="2496"/>
      <c r="EK53" s="2496"/>
      <c r="EL53" s="2496"/>
      <c r="EM53" s="2535" t="str">
        <f>"31/10/"&amp;Tax_year_start</f>
        <v>31/10/2019</v>
      </c>
      <c r="EN53" s="2496"/>
      <c r="EO53" s="2496"/>
      <c r="EP53" s="2496"/>
      <c r="EQ53" s="2496"/>
      <c r="ER53" s="2496"/>
      <c r="ES53" s="2496"/>
      <c r="ET53" s="2496"/>
      <c r="EU53" s="2496"/>
      <c r="EV53" s="2496"/>
      <c r="EW53" s="2496"/>
      <c r="EX53" s="2496"/>
      <c r="EY53" s="2535" t="str">
        <f>"31/10/"&amp;Tax_year_start</f>
        <v>31/10/2019</v>
      </c>
      <c r="EZ53" s="2496"/>
      <c r="FA53" s="2496"/>
      <c r="FB53" s="2496"/>
      <c r="FC53" s="2496"/>
      <c r="FD53" s="2496"/>
      <c r="FE53" s="2496"/>
      <c r="FF53" s="2535" t="str">
        <f>"05/04/"&amp;Tax_year_end</f>
        <v>05/04/2020</v>
      </c>
      <c r="FG53" s="2496"/>
      <c r="FH53" s="2535" t="str">
        <f>"05/04/"&amp;Tax_year_end</f>
        <v>05/04/2020</v>
      </c>
      <c r="FI53" s="2496"/>
      <c r="FJ53" s="2496"/>
      <c r="FK53" s="2496"/>
      <c r="FL53" s="2496"/>
      <c r="FM53" s="2496"/>
      <c r="FN53" s="2496"/>
      <c r="FO53" s="2496"/>
      <c r="FP53" s="2496"/>
      <c r="FQ53" s="2496"/>
      <c r="FR53" s="2496"/>
      <c r="FS53" s="2496"/>
      <c r="FT53" s="2496"/>
      <c r="FU53" s="2496"/>
      <c r="FV53" s="2496"/>
      <c r="FW53" s="2496"/>
      <c r="FX53" s="2496"/>
      <c r="FY53" s="2496"/>
      <c r="FZ53" s="2496"/>
      <c r="GA53" s="2496"/>
      <c r="GB53" s="2496"/>
      <c r="GC53" s="2496"/>
      <c r="GD53" s="2496"/>
      <c r="GE53" s="2496"/>
      <c r="GF53" s="2496"/>
      <c r="GG53" s="2496"/>
      <c r="GH53" s="2496"/>
      <c r="GI53" s="2496"/>
      <c r="GJ53" s="2535" t="str">
        <f>"31/08/"&amp;Tax_year_start</f>
        <v>31/08/2019</v>
      </c>
      <c r="GK53" s="2496"/>
      <c r="GL53" s="2496"/>
      <c r="GM53" s="2496"/>
      <c r="GN53" s="2496"/>
      <c r="GO53" s="2496"/>
      <c r="GP53" s="2496"/>
      <c r="GQ53" s="2496"/>
      <c r="GR53" s="2496"/>
      <c r="GS53" s="2496"/>
      <c r="GT53" s="2496"/>
      <c r="GU53" s="2496"/>
      <c r="GV53" s="2496"/>
      <c r="GW53" s="2496"/>
      <c r="GX53" s="2535" t="str">
        <f>"05/04/"&amp;Tax_year_end</f>
        <v>05/04/2020</v>
      </c>
      <c r="GY53" s="2496"/>
      <c r="GZ53" s="2496"/>
      <c r="HA53" s="2496"/>
      <c r="HB53" s="2535" t="str">
        <f>"05/04/"&amp;Tax_year_end</f>
        <v>05/04/2020</v>
      </c>
      <c r="HC53" s="2535" t="str">
        <f>"05/04/"&amp;Tax_year_end</f>
        <v>05/04/2020</v>
      </c>
      <c r="HD53" s="2496"/>
      <c r="HE53" s="2496"/>
      <c r="HF53" s="2496"/>
      <c r="HG53" s="2496"/>
      <c r="HH53" s="2496"/>
      <c r="HI53" s="2496"/>
      <c r="HJ53" s="2496"/>
      <c r="HK53" s="2496"/>
      <c r="HL53" s="2496"/>
      <c r="HM53" s="2496"/>
      <c r="HN53" s="2496"/>
      <c r="HO53" s="2535" t="str">
        <f>"30/12/"&amp;Tax_year_start</f>
        <v>30/12/2019</v>
      </c>
      <c r="HP53" s="2496"/>
      <c r="HQ53" s="2496"/>
      <c r="HR53" s="2496"/>
      <c r="HS53" s="2496"/>
      <c r="HT53" s="2496"/>
      <c r="HU53" s="2496"/>
      <c r="HV53" s="2496"/>
      <c r="HW53" s="2496"/>
      <c r="HX53" s="2496"/>
      <c r="HY53" s="2496"/>
      <c r="HZ53" s="2496"/>
      <c r="IA53" s="2496"/>
      <c r="IB53" s="2496"/>
      <c r="IC53" s="2496"/>
      <c r="ID53" s="2496"/>
      <c r="IE53" s="2496"/>
      <c r="IF53" s="2496"/>
      <c r="IG53" s="2496"/>
      <c r="IH53" s="2496"/>
      <c r="II53" s="2496"/>
      <c r="IJ53" s="2496"/>
      <c r="IK53" s="2496"/>
      <c r="IL53" s="2496"/>
      <c r="IM53" s="2496"/>
      <c r="IN53" s="2496"/>
      <c r="IO53" s="2496"/>
      <c r="IP53" s="2496"/>
      <c r="IQ53" s="2496"/>
      <c r="IR53" s="2496"/>
      <c r="IS53" s="2496"/>
      <c r="IT53" s="2496"/>
      <c r="IU53" s="2496"/>
      <c r="IV53" s="2496"/>
      <c r="IW53" s="2496"/>
      <c r="IX53" s="2496"/>
      <c r="IY53" s="2496"/>
      <c r="IZ53" s="2496"/>
      <c r="JA53" s="2496"/>
      <c r="JB53" s="2496"/>
      <c r="JC53" s="2496"/>
      <c r="JD53" s="2496"/>
      <c r="JE53" s="2496"/>
      <c r="JF53" s="2496"/>
      <c r="JG53" s="2497"/>
      <c r="JH53" s="1233"/>
      <c r="JI53" s="4280" t="s">
        <v>5478</v>
      </c>
      <c r="JJ53" s="2248" t="s">
        <v>6126</v>
      </c>
    </row>
    <row r="54" spans="1:270" x14ac:dyDescent="0.2">
      <c r="A54" s="1128">
        <v>11</v>
      </c>
      <c r="B54" s="1347" t="str">
        <f si="3" t="shared"/>
        <v>N</v>
      </c>
      <c r="C54" s="1278" t="s">
        <v>1112</v>
      </c>
      <c r="D54" s="1350" t="s">
        <v>4938</v>
      </c>
      <c r="E54" s="2447"/>
      <c r="F54" s="2447"/>
      <c r="G54" s="2498" t="s">
        <v>1189</v>
      </c>
      <c r="H54" s="2447"/>
      <c r="I54" s="2498" t="s">
        <v>1189</v>
      </c>
      <c r="J54" s="3090"/>
      <c r="K54" s="2498"/>
      <c r="L54" s="2498" t="s">
        <v>1189</v>
      </c>
      <c r="M54" s="2498"/>
      <c r="N54" s="2498"/>
      <c r="O54" s="2536"/>
      <c r="P54" s="2536"/>
      <c r="Q54" s="2498" t="s">
        <v>1189</v>
      </c>
      <c r="R54" s="2536"/>
      <c r="S54" s="2498" t="s">
        <v>1189</v>
      </c>
      <c r="T54" s="2537"/>
      <c r="U54" s="2537"/>
      <c r="V54" s="2537"/>
      <c r="W54" s="2537"/>
      <c r="X54" s="2537"/>
      <c r="Y54" s="2537"/>
      <c r="Z54" s="2537"/>
      <c r="AA54" s="2537"/>
      <c r="AB54" s="2537"/>
      <c r="AC54" s="2498" t="s">
        <v>1189</v>
      </c>
      <c r="AD54" s="3528"/>
      <c r="AE54" s="3538" t="s">
        <v>1189</v>
      </c>
      <c r="AF54" s="3522"/>
      <c r="AG54" s="3522"/>
      <c r="AH54" s="3538" t="s">
        <v>1189</v>
      </c>
      <c r="AI54" s="2537"/>
      <c r="AJ54" s="2447" t="s">
        <v>1189</v>
      </c>
      <c r="AK54" s="2537"/>
      <c r="AL54" s="2447" t="s">
        <v>1189</v>
      </c>
      <c r="AM54" s="2537"/>
      <c r="AN54" s="2537"/>
      <c r="AO54" s="2537"/>
      <c r="AP54" s="2537"/>
      <c r="AQ54" s="2537"/>
      <c r="AR54" s="2537"/>
      <c r="AS54" s="2537"/>
      <c r="AT54" s="2537"/>
      <c r="AU54" s="2537"/>
      <c r="AV54" s="2447" t="s">
        <v>1189</v>
      </c>
      <c r="AW54" s="2537"/>
      <c r="AX54" s="2537"/>
      <c r="AY54" s="2537"/>
      <c r="AZ54" s="2537"/>
      <c r="BA54" s="2537"/>
      <c r="BB54" s="2537"/>
      <c r="BC54" s="2537"/>
      <c r="BD54" s="2537"/>
      <c r="BE54" s="2537"/>
      <c r="BF54" s="2537"/>
      <c r="BG54" s="2537"/>
      <c r="BH54" s="3955"/>
      <c r="BI54" s="3955"/>
      <c r="BJ54" s="2447" t="s">
        <v>1189</v>
      </c>
      <c r="BK54" s="2537"/>
      <c r="BL54" s="2537"/>
      <c r="BM54" s="2537"/>
      <c r="BN54" s="2537"/>
      <c r="BO54" s="2537"/>
      <c r="BP54" s="2498" t="s">
        <v>1189</v>
      </c>
      <c r="BQ54" s="2537"/>
      <c r="BR54" s="2537"/>
      <c r="BS54" s="2537"/>
      <c r="BT54" s="2537"/>
      <c r="BU54" s="2537"/>
      <c r="BV54" s="2537"/>
      <c r="BW54" s="2537"/>
      <c r="BX54" s="2537"/>
      <c r="BY54" s="2537"/>
      <c r="BZ54" s="2537"/>
      <c r="CA54" s="2537"/>
      <c r="CB54" s="2447" t="s">
        <v>1189</v>
      </c>
      <c r="CC54" s="2537"/>
      <c r="CD54" s="2537"/>
      <c r="CE54" s="2537"/>
      <c r="CF54" s="2447" t="s">
        <v>1189</v>
      </c>
      <c r="CG54" s="2537"/>
      <c r="CH54" s="2498" t="s">
        <v>1189</v>
      </c>
      <c r="CI54" s="2537"/>
      <c r="CJ54" s="2537"/>
      <c r="CK54" s="2537"/>
      <c r="CL54" s="2447" t="s">
        <v>1189</v>
      </c>
      <c r="CM54" s="2537"/>
      <c r="CN54" s="2537"/>
      <c r="CO54" s="2537"/>
      <c r="CP54" s="2537"/>
      <c r="CQ54" s="2537"/>
      <c r="CR54" s="2447" t="s">
        <v>1189</v>
      </c>
      <c r="CS54" s="2447" t="s">
        <v>1189</v>
      </c>
      <c r="CT54" s="2537"/>
      <c r="CU54" s="2498" t="s">
        <v>1189</v>
      </c>
      <c r="CV54" s="2498" t="s">
        <v>1189</v>
      </c>
      <c r="CW54" s="2537"/>
      <c r="CX54" s="2537"/>
      <c r="CY54" s="2537"/>
      <c r="CZ54" s="2537"/>
      <c r="DA54" s="2537"/>
      <c r="DB54" s="2537"/>
      <c r="DC54" s="2498" t="s">
        <v>1189</v>
      </c>
      <c r="DD54" s="2537"/>
      <c r="DE54" s="2537"/>
      <c r="DF54" s="2537"/>
      <c r="DG54" s="2537"/>
      <c r="DH54" s="2537"/>
      <c r="DI54" s="2537"/>
      <c r="DJ54" s="2498" t="s">
        <v>1189</v>
      </c>
      <c r="DK54" s="2537"/>
      <c r="DL54" s="2537"/>
      <c r="DM54" s="2537"/>
      <c r="DN54" s="2537"/>
      <c r="DO54" s="2447" t="s">
        <v>1189</v>
      </c>
      <c r="DP54" s="2537"/>
      <c r="DQ54" s="2537"/>
      <c r="DR54" s="2537"/>
      <c r="DS54" s="2537"/>
      <c r="DT54" s="2537"/>
      <c r="DU54" s="2537"/>
      <c r="DV54" s="2537"/>
      <c r="DW54" s="2537"/>
      <c r="DX54" s="2537"/>
      <c r="DY54" s="2537"/>
      <c r="DZ54" s="2537"/>
      <c r="EA54" s="2537"/>
      <c r="EB54" s="2537"/>
      <c r="EC54" s="2537"/>
      <c r="ED54" s="2537"/>
      <c r="EE54" s="2537"/>
      <c r="EF54" s="2498" t="s">
        <v>1189</v>
      </c>
      <c r="EG54" s="2498" t="s">
        <v>572</v>
      </c>
      <c r="EH54" s="2537"/>
      <c r="EI54" s="2447" t="s">
        <v>1189</v>
      </c>
      <c r="EJ54" s="2537"/>
      <c r="EK54" s="2537"/>
      <c r="EL54" s="2537"/>
      <c r="EM54" s="2447" t="s">
        <v>1189</v>
      </c>
      <c r="EN54" s="2537"/>
      <c r="EO54" s="2537"/>
      <c r="EP54" s="2537"/>
      <c r="EQ54" s="2537"/>
      <c r="ER54" s="2537"/>
      <c r="ES54" s="2537"/>
      <c r="ET54" s="2537"/>
      <c r="EU54" s="2537"/>
      <c r="EV54" s="2537"/>
      <c r="EW54" s="2537"/>
      <c r="EX54" s="2537"/>
      <c r="EY54" s="2447" t="s">
        <v>1189</v>
      </c>
      <c r="EZ54" s="2537"/>
      <c r="FA54" s="2537"/>
      <c r="FB54" s="2537"/>
      <c r="FC54" s="2537"/>
      <c r="FD54" s="2537"/>
      <c r="FE54" s="2537"/>
      <c r="FF54" s="2447" t="s">
        <v>1189</v>
      </c>
      <c r="FG54" s="2537"/>
      <c r="FH54" s="2498" t="s">
        <v>1189</v>
      </c>
      <c r="FI54" s="2537"/>
      <c r="FJ54" s="2537"/>
      <c r="FK54" s="2537"/>
      <c r="FL54" s="2537"/>
      <c r="FM54" s="2537"/>
      <c r="FN54" s="2537"/>
      <c r="FO54" s="2537"/>
      <c r="FP54" s="2537"/>
      <c r="FQ54" s="2537"/>
      <c r="FR54" s="2537"/>
      <c r="FS54" s="2537"/>
      <c r="FT54" s="2537"/>
      <c r="FU54" s="2537"/>
      <c r="FV54" s="2537"/>
      <c r="FW54" s="2537"/>
      <c r="FX54" s="2537"/>
      <c r="FY54" s="2537"/>
      <c r="FZ54" s="2537"/>
      <c r="GA54" s="2537"/>
      <c r="GB54" s="2537"/>
      <c r="GC54" s="2537"/>
      <c r="GD54" s="2537"/>
      <c r="GE54" s="2537"/>
      <c r="GF54" s="2537"/>
      <c r="GG54" s="2537"/>
      <c r="GH54" s="2537"/>
      <c r="GI54" s="2537"/>
      <c r="GJ54" s="2447" t="s">
        <v>1189</v>
      </c>
      <c r="GK54" s="2537"/>
      <c r="GL54" s="2537"/>
      <c r="GM54" s="2537"/>
      <c r="GN54" s="2537"/>
      <c r="GO54" s="2537"/>
      <c r="GP54" s="2537"/>
      <c r="GQ54" s="2537"/>
      <c r="GR54" s="2537"/>
      <c r="GS54" s="2537"/>
      <c r="GT54" s="2537"/>
      <c r="GU54" s="2537"/>
      <c r="GV54" s="2537"/>
      <c r="GW54" s="2537"/>
      <c r="GX54" s="2498" t="s">
        <v>1189</v>
      </c>
      <c r="GY54" s="2537"/>
      <c r="GZ54" s="2537"/>
      <c r="HA54" s="2537"/>
      <c r="HB54" s="2447" t="s">
        <v>1189</v>
      </c>
      <c r="HC54" s="2498" t="s">
        <v>1189</v>
      </c>
      <c r="HD54" s="2537"/>
      <c r="HE54" s="2537"/>
      <c r="HF54" s="2537"/>
      <c r="HG54" s="2537"/>
      <c r="HH54" s="2537"/>
      <c r="HI54" s="2537"/>
      <c r="HJ54" s="2537"/>
      <c r="HK54" s="2537"/>
      <c r="HL54" s="2537"/>
      <c r="HM54" s="2537"/>
      <c r="HN54" s="2537"/>
      <c r="HO54" s="2498" t="s">
        <v>1189</v>
      </c>
      <c r="HP54" s="2537"/>
      <c r="HQ54" s="2537"/>
      <c r="HR54" s="2537"/>
      <c r="HS54" s="2537"/>
      <c r="HT54" s="2537"/>
      <c r="HU54" s="2537"/>
      <c r="HV54" s="2537"/>
      <c r="HW54" s="2537"/>
      <c r="HX54" s="2537"/>
      <c r="HY54" s="2537"/>
      <c r="HZ54" s="2537"/>
      <c r="IA54" s="2537"/>
      <c r="IB54" s="2537"/>
      <c r="IC54" s="2537"/>
      <c r="ID54" s="2537"/>
      <c r="IE54" s="2537"/>
      <c r="IF54" s="2537"/>
      <c r="IG54" s="2537"/>
      <c r="IH54" s="2537"/>
      <c r="II54" s="2537"/>
      <c r="IJ54" s="2537"/>
      <c r="IK54" s="2537"/>
      <c r="IL54" s="2537"/>
      <c r="IM54" s="2537"/>
      <c r="IN54" s="2537"/>
      <c r="IO54" s="2537"/>
      <c r="IP54" s="2537"/>
      <c r="IQ54" s="2537"/>
      <c r="IR54" s="2537"/>
      <c r="IS54" s="2537"/>
      <c r="IT54" s="2537"/>
      <c r="IU54" s="2537"/>
      <c r="IV54" s="2537"/>
      <c r="IW54" s="2537"/>
      <c r="IX54" s="2537"/>
      <c r="IY54" s="2537"/>
      <c r="IZ54" s="2537"/>
      <c r="JA54" s="2537"/>
      <c r="JB54" s="2537"/>
      <c r="JC54" s="2537"/>
      <c r="JD54" s="2537"/>
      <c r="JE54" s="2537"/>
      <c r="JF54" s="2537"/>
      <c r="JG54" s="2538"/>
      <c r="JH54" s="1233"/>
      <c r="JI54" s="2248"/>
      <c r="JJ54" s="2248" t="s">
        <v>6111</v>
      </c>
    </row>
    <row r="55" spans="1:270" x14ac:dyDescent="0.2">
      <c r="A55" s="1128">
        <v>12</v>
      </c>
      <c r="B55" s="1347" t="str">
        <f si="3" t="shared"/>
        <v>N</v>
      </c>
      <c r="C55" s="1278" t="s">
        <v>1113</v>
      </c>
      <c r="D55" s="1350" t="s">
        <v>5495</v>
      </c>
      <c r="E55" s="2447"/>
      <c r="F55" s="2447"/>
      <c r="G55" s="2498" t="s">
        <v>1189</v>
      </c>
      <c r="H55" s="2447"/>
      <c r="I55" s="2498" t="s">
        <v>1189</v>
      </c>
      <c r="J55" s="3090"/>
      <c r="K55" s="2498"/>
      <c r="L55" s="2498" t="s">
        <v>1189</v>
      </c>
      <c r="M55" s="2498"/>
      <c r="N55" s="2498"/>
      <c r="O55" s="2536"/>
      <c r="P55" s="2536"/>
      <c r="Q55" s="2498" t="s">
        <v>1189</v>
      </c>
      <c r="R55" s="2536"/>
      <c r="S55" s="2498" t="s">
        <v>1189</v>
      </c>
      <c r="T55" s="2537"/>
      <c r="U55" s="2537"/>
      <c r="V55" s="2537"/>
      <c r="W55" s="2537"/>
      <c r="X55" s="2537"/>
      <c r="Y55" s="2537"/>
      <c r="Z55" s="2537"/>
      <c r="AA55" s="2537"/>
      <c r="AB55" s="2537"/>
      <c r="AC55" s="2498" t="s">
        <v>1189</v>
      </c>
      <c r="AD55" s="3528"/>
      <c r="AE55" s="3528"/>
      <c r="AF55" s="3528"/>
      <c r="AG55" s="3528"/>
      <c r="AH55" s="3528"/>
      <c r="AI55" s="2537"/>
      <c r="AJ55" s="2447" t="s">
        <v>1189</v>
      </c>
      <c r="AK55" s="2537"/>
      <c r="AL55" s="2447" t="s">
        <v>1189</v>
      </c>
      <c r="AM55" s="2537"/>
      <c r="AN55" s="2537"/>
      <c r="AO55" s="2537"/>
      <c r="AP55" s="2537"/>
      <c r="AQ55" s="2537"/>
      <c r="AR55" s="2537"/>
      <c r="AS55" s="2537"/>
      <c r="AT55" s="2537"/>
      <c r="AU55" s="2537"/>
      <c r="AV55" s="2447" t="s">
        <v>1189</v>
      </c>
      <c r="AW55" s="2537"/>
      <c r="AX55" s="2537"/>
      <c r="AY55" s="2537"/>
      <c r="AZ55" s="2537"/>
      <c r="BA55" s="2537"/>
      <c r="BB55" s="2537"/>
      <c r="BC55" s="2537"/>
      <c r="BD55" s="2537"/>
      <c r="BE55" s="2537"/>
      <c r="BF55" s="2537"/>
      <c r="BG55" s="2537"/>
      <c r="BH55" s="3955"/>
      <c r="BI55" s="3955"/>
      <c r="BJ55" s="2447" t="s">
        <v>1189</v>
      </c>
      <c r="BK55" s="2537"/>
      <c r="BL55" s="2537"/>
      <c r="BM55" s="2537"/>
      <c r="BN55" s="2537"/>
      <c r="BO55" s="2537"/>
      <c r="BP55" s="2498" t="s">
        <v>1189</v>
      </c>
      <c r="BQ55" s="2537"/>
      <c r="BR55" s="2537"/>
      <c r="BS55" s="2537"/>
      <c r="BT55" s="2537"/>
      <c r="BU55" s="2537"/>
      <c r="BV55" s="2537"/>
      <c r="BW55" s="2537"/>
      <c r="BX55" s="2537"/>
      <c r="BY55" s="2537"/>
      <c r="BZ55" s="2537"/>
      <c r="CA55" s="2537"/>
      <c r="CB55" s="2447" t="s">
        <v>1189</v>
      </c>
      <c r="CC55" s="2537"/>
      <c r="CD55" s="2537"/>
      <c r="CE55" s="2537"/>
      <c r="CF55" s="2447" t="s">
        <v>1189</v>
      </c>
      <c r="CG55" s="2537"/>
      <c r="CH55" s="2498" t="s">
        <v>1189</v>
      </c>
      <c r="CI55" s="2537"/>
      <c r="CJ55" s="2537"/>
      <c r="CK55" s="2537"/>
      <c r="CL55" s="2447" t="s">
        <v>1189</v>
      </c>
      <c r="CM55" s="2537"/>
      <c r="CN55" s="2537"/>
      <c r="CO55" s="2537"/>
      <c r="CP55" s="2537"/>
      <c r="CQ55" s="2537"/>
      <c r="CR55" s="2447" t="s">
        <v>1189</v>
      </c>
      <c r="CS55" s="2447" t="s">
        <v>1189</v>
      </c>
      <c r="CT55" s="2537"/>
      <c r="CU55" s="2498" t="s">
        <v>1189</v>
      </c>
      <c r="CV55" s="2498" t="s">
        <v>1189</v>
      </c>
      <c r="CW55" s="2537"/>
      <c r="CX55" s="2537"/>
      <c r="CY55" s="2537"/>
      <c r="CZ55" s="2537"/>
      <c r="DA55" s="2537"/>
      <c r="DB55" s="2537"/>
      <c r="DC55" s="2498" t="s">
        <v>1189</v>
      </c>
      <c r="DD55" s="2537"/>
      <c r="DE55" s="2537"/>
      <c r="DF55" s="2537"/>
      <c r="DG55" s="2537"/>
      <c r="DH55" s="2537"/>
      <c r="DI55" s="2537"/>
      <c r="DJ55" s="2498" t="s">
        <v>1189</v>
      </c>
      <c r="DK55" s="2537"/>
      <c r="DL55" s="2537"/>
      <c r="DM55" s="2537"/>
      <c r="DN55" s="2537"/>
      <c r="DO55" s="2447" t="s">
        <v>1189</v>
      </c>
      <c r="DP55" s="2537"/>
      <c r="DQ55" s="2537"/>
      <c r="DR55" s="2537"/>
      <c r="DS55" s="2537"/>
      <c r="DT55" s="2537"/>
      <c r="DU55" s="2537"/>
      <c r="DV55" s="2537"/>
      <c r="DW55" s="2537"/>
      <c r="DX55" s="2537"/>
      <c r="DY55" s="2537"/>
      <c r="DZ55" s="2537"/>
      <c r="EA55" s="2537"/>
      <c r="EB55" s="2537"/>
      <c r="EC55" s="2537"/>
      <c r="ED55" s="2537"/>
      <c r="EE55" s="2537"/>
      <c r="EF55" s="2498" t="s">
        <v>1189</v>
      </c>
      <c r="EG55" s="2498" t="s">
        <v>1189</v>
      </c>
      <c r="EH55" s="2537"/>
      <c r="EI55" s="2447" t="s">
        <v>1189</v>
      </c>
      <c r="EJ55" s="2537"/>
      <c r="EK55" s="2537"/>
      <c r="EL55" s="2537"/>
      <c r="EM55" s="2447" t="s">
        <v>1189</v>
      </c>
      <c r="EN55" s="2537"/>
      <c r="EO55" s="2537"/>
      <c r="EP55" s="2537"/>
      <c r="EQ55" s="2537"/>
      <c r="ER55" s="2537"/>
      <c r="ES55" s="2537"/>
      <c r="ET55" s="2537"/>
      <c r="EU55" s="2537"/>
      <c r="EV55" s="2537"/>
      <c r="EW55" s="2537"/>
      <c r="EX55" s="2537"/>
      <c r="EY55" s="2447" t="s">
        <v>1189</v>
      </c>
      <c r="EZ55" s="2537"/>
      <c r="FA55" s="2537"/>
      <c r="FB55" s="2537"/>
      <c r="FC55" s="2537"/>
      <c r="FD55" s="2537"/>
      <c r="FE55" s="2537"/>
      <c r="FF55" s="2447" t="s">
        <v>1189</v>
      </c>
      <c r="FG55" s="2537"/>
      <c r="FH55" s="2498" t="s">
        <v>1189</v>
      </c>
      <c r="FI55" s="2537"/>
      <c r="FJ55" s="2537"/>
      <c r="FK55" s="2537"/>
      <c r="FL55" s="2537"/>
      <c r="FM55" s="2537"/>
      <c r="FN55" s="2537"/>
      <c r="FO55" s="2537"/>
      <c r="FP55" s="2537"/>
      <c r="FQ55" s="2537"/>
      <c r="FR55" s="2537"/>
      <c r="FS55" s="2537"/>
      <c r="FT55" s="2537"/>
      <c r="FU55" s="2537"/>
      <c r="FV55" s="2537"/>
      <c r="FW55" s="2537"/>
      <c r="FX55" s="2537"/>
      <c r="FY55" s="2537"/>
      <c r="FZ55" s="2537"/>
      <c r="GA55" s="2537"/>
      <c r="GB55" s="2537"/>
      <c r="GC55" s="2537"/>
      <c r="GD55" s="2537"/>
      <c r="GE55" s="2537"/>
      <c r="GF55" s="2537"/>
      <c r="GG55" s="2537"/>
      <c r="GH55" s="2537"/>
      <c r="GI55" s="2537"/>
      <c r="GJ55" s="2447" t="s">
        <v>1189</v>
      </c>
      <c r="GK55" s="2537"/>
      <c r="GL55" s="2537"/>
      <c r="GM55" s="2537"/>
      <c r="GN55" s="2537"/>
      <c r="GO55" s="2537"/>
      <c r="GP55" s="2537"/>
      <c r="GQ55" s="2537"/>
      <c r="GR55" s="2537"/>
      <c r="GS55" s="2537"/>
      <c r="GT55" s="2537"/>
      <c r="GU55" s="2537"/>
      <c r="GV55" s="2537"/>
      <c r="GW55" s="2537"/>
      <c r="GX55" s="2498" t="s">
        <v>1189</v>
      </c>
      <c r="GY55" s="2537"/>
      <c r="GZ55" s="2537"/>
      <c r="HA55" s="2537"/>
      <c r="HB55" s="2447" t="s">
        <v>1189</v>
      </c>
      <c r="HC55" s="2498" t="s">
        <v>1189</v>
      </c>
      <c r="HD55" s="2537"/>
      <c r="HE55" s="2537"/>
      <c r="HF55" s="2537"/>
      <c r="HG55" s="2537"/>
      <c r="HH55" s="2537"/>
      <c r="HI55" s="2537"/>
      <c r="HJ55" s="2537"/>
      <c r="HK55" s="2537"/>
      <c r="HL55" s="2537"/>
      <c r="HM55" s="2537"/>
      <c r="HN55" s="2537"/>
      <c r="HO55" s="2498" t="s">
        <v>1189</v>
      </c>
      <c r="HP55" s="2537"/>
      <c r="HQ55" s="2537"/>
      <c r="HR55" s="2537"/>
      <c r="HS55" s="2537"/>
      <c r="HT55" s="2537"/>
      <c r="HU55" s="2537"/>
      <c r="HV55" s="2537"/>
      <c r="HW55" s="2537"/>
      <c r="HX55" s="2537"/>
      <c r="HY55" s="2537"/>
      <c r="HZ55" s="2537"/>
      <c r="IA55" s="2537"/>
      <c r="IB55" s="2537"/>
      <c r="IC55" s="2537"/>
      <c r="ID55" s="2537"/>
      <c r="IE55" s="2537"/>
      <c r="IF55" s="2537"/>
      <c r="IG55" s="2537"/>
      <c r="IH55" s="2537"/>
      <c r="II55" s="2537"/>
      <c r="IJ55" s="2537"/>
      <c r="IK55" s="2537"/>
      <c r="IL55" s="2537"/>
      <c r="IM55" s="2537"/>
      <c r="IN55" s="2537"/>
      <c r="IO55" s="2537"/>
      <c r="IP55" s="2537"/>
      <c r="IQ55" s="2537"/>
      <c r="IR55" s="2537"/>
      <c r="IS55" s="2537"/>
      <c r="IT55" s="2537"/>
      <c r="IU55" s="2537"/>
      <c r="IV55" s="2537"/>
      <c r="IW55" s="2537"/>
      <c r="IX55" s="2537"/>
      <c r="IY55" s="2537"/>
      <c r="IZ55" s="2537"/>
      <c r="JA55" s="2537"/>
      <c r="JB55" s="2537"/>
      <c r="JC55" s="2537"/>
      <c r="JD55" s="2537"/>
      <c r="JE55" s="2537"/>
      <c r="JF55" s="2537"/>
      <c r="JG55" s="2538"/>
      <c r="JH55" s="1233"/>
      <c r="JI55" s="2248"/>
      <c r="JJ55" s="2248" t="s">
        <v>6111</v>
      </c>
    </row>
    <row r="56" spans="1:270" x14ac:dyDescent="0.2">
      <c r="A56" s="1128">
        <v>13</v>
      </c>
      <c r="B56" s="1347" t="str">
        <f si="3" t="shared"/>
        <v>N</v>
      </c>
      <c r="C56" s="1278" t="s">
        <v>1114</v>
      </c>
      <c r="D56" s="1350" t="s">
        <v>5496</v>
      </c>
      <c r="E56" s="2447"/>
      <c r="F56" s="2447"/>
      <c r="G56" s="2498" t="s">
        <v>1189</v>
      </c>
      <c r="H56" s="2447"/>
      <c r="I56" s="2498" t="s">
        <v>1189</v>
      </c>
      <c r="J56" s="3090"/>
      <c r="K56" s="2498"/>
      <c r="L56" s="2498" t="s">
        <v>1189</v>
      </c>
      <c r="M56" s="2498"/>
      <c r="N56" s="2498"/>
      <c r="O56" s="2536"/>
      <c r="P56" s="2536"/>
      <c r="Q56" s="2498" t="s">
        <v>1189</v>
      </c>
      <c r="R56" s="2536"/>
      <c r="S56" s="2498" t="s">
        <v>1189</v>
      </c>
      <c r="T56" s="2537"/>
      <c r="U56" s="2537"/>
      <c r="V56" s="2537"/>
      <c r="W56" s="2537"/>
      <c r="X56" s="2537"/>
      <c r="Y56" s="2537"/>
      <c r="Z56" s="2537"/>
      <c r="AA56" s="2537"/>
      <c r="AB56" s="2537"/>
      <c r="AC56" s="2498" t="s">
        <v>1189</v>
      </c>
      <c r="AD56" s="3528"/>
      <c r="AE56" s="3528"/>
      <c r="AF56" s="3528"/>
      <c r="AG56" s="3528"/>
      <c r="AH56" s="3528"/>
      <c r="AI56" s="2537"/>
      <c r="AJ56" s="2447" t="s">
        <v>1189</v>
      </c>
      <c r="AK56" s="2537"/>
      <c r="AL56" s="2447" t="s">
        <v>1189</v>
      </c>
      <c r="AM56" s="2537"/>
      <c r="AN56" s="2537"/>
      <c r="AO56" s="2537"/>
      <c r="AP56" s="2537"/>
      <c r="AQ56" s="2537"/>
      <c r="AR56" s="2537"/>
      <c r="AS56" s="2537"/>
      <c r="AT56" s="2537"/>
      <c r="AU56" s="2537"/>
      <c r="AV56" s="2447" t="s">
        <v>1189</v>
      </c>
      <c r="AW56" s="2537"/>
      <c r="AX56" s="2537"/>
      <c r="AY56" s="2537"/>
      <c r="AZ56" s="2537"/>
      <c r="BA56" s="2537"/>
      <c r="BB56" s="2537"/>
      <c r="BC56" s="2537"/>
      <c r="BD56" s="2537"/>
      <c r="BE56" s="2537"/>
      <c r="BF56" s="2537"/>
      <c r="BG56" s="2537"/>
      <c r="BH56" s="3955"/>
      <c r="BI56" s="3955"/>
      <c r="BJ56" s="2447" t="s">
        <v>1189</v>
      </c>
      <c r="BK56" s="2537"/>
      <c r="BL56" s="2537"/>
      <c r="BM56" s="2537"/>
      <c r="BN56" s="2537"/>
      <c r="BO56" s="2537"/>
      <c r="BP56" s="2498" t="s">
        <v>1189</v>
      </c>
      <c r="BQ56" s="2537"/>
      <c r="BR56" s="2537"/>
      <c r="BS56" s="2537"/>
      <c r="BT56" s="2537"/>
      <c r="BU56" s="2537"/>
      <c r="BV56" s="2537"/>
      <c r="BW56" s="2537"/>
      <c r="BX56" s="2537"/>
      <c r="BY56" s="2537"/>
      <c r="BZ56" s="2537"/>
      <c r="CA56" s="2537"/>
      <c r="CB56" s="2447" t="s">
        <v>1189</v>
      </c>
      <c r="CC56" s="2537"/>
      <c r="CD56" s="2537"/>
      <c r="CE56" s="2537"/>
      <c r="CF56" s="2447" t="s">
        <v>1189</v>
      </c>
      <c r="CG56" s="2537"/>
      <c r="CH56" s="2498" t="s">
        <v>1189</v>
      </c>
      <c r="CI56" s="2537"/>
      <c r="CJ56" s="2537"/>
      <c r="CK56" s="2537"/>
      <c r="CL56" s="2447" t="s">
        <v>1189</v>
      </c>
      <c r="CM56" s="2537"/>
      <c r="CN56" s="2537"/>
      <c r="CO56" s="2537"/>
      <c r="CP56" s="2537"/>
      <c r="CQ56" s="2537"/>
      <c r="CR56" s="2447" t="s">
        <v>1189</v>
      </c>
      <c r="CS56" s="2447" t="s">
        <v>1189</v>
      </c>
      <c r="CT56" s="2537"/>
      <c r="CU56" s="2498" t="s">
        <v>1189</v>
      </c>
      <c r="CV56" s="2498" t="s">
        <v>1189</v>
      </c>
      <c r="CW56" s="2537"/>
      <c r="CX56" s="2537"/>
      <c r="CY56" s="2537"/>
      <c r="CZ56" s="2537"/>
      <c r="DA56" s="2537"/>
      <c r="DB56" s="2537"/>
      <c r="DC56" s="2498" t="s">
        <v>1189</v>
      </c>
      <c r="DD56" s="2537"/>
      <c r="DE56" s="2537"/>
      <c r="DF56" s="2537"/>
      <c r="DG56" s="2537"/>
      <c r="DH56" s="2537"/>
      <c r="DI56" s="2537"/>
      <c r="DJ56" s="2498" t="s">
        <v>1189</v>
      </c>
      <c r="DK56" s="2537"/>
      <c r="DL56" s="2537"/>
      <c r="DM56" s="2537"/>
      <c r="DN56" s="2537"/>
      <c r="DO56" s="2447" t="s">
        <v>1189</v>
      </c>
      <c r="DP56" s="2537"/>
      <c r="DQ56" s="2537"/>
      <c r="DR56" s="2537"/>
      <c r="DS56" s="2537"/>
      <c r="DT56" s="2537"/>
      <c r="DU56" s="2537"/>
      <c r="DV56" s="2537"/>
      <c r="DW56" s="2537"/>
      <c r="DX56" s="2537"/>
      <c r="DY56" s="2537"/>
      <c r="DZ56" s="2537"/>
      <c r="EA56" s="2537"/>
      <c r="EB56" s="2537"/>
      <c r="EC56" s="2537"/>
      <c r="ED56" s="2537"/>
      <c r="EE56" s="2537"/>
      <c r="EF56" s="2498" t="s">
        <v>1189</v>
      </c>
      <c r="EG56" s="2498" t="s">
        <v>1189</v>
      </c>
      <c r="EH56" s="2537"/>
      <c r="EI56" s="2447" t="s">
        <v>1189</v>
      </c>
      <c r="EJ56" s="2537"/>
      <c r="EK56" s="2537"/>
      <c r="EL56" s="2537"/>
      <c r="EM56" s="2447" t="s">
        <v>1189</v>
      </c>
      <c r="EN56" s="2537"/>
      <c r="EO56" s="2537"/>
      <c r="EP56" s="2537"/>
      <c r="EQ56" s="2537"/>
      <c r="ER56" s="2537"/>
      <c r="ES56" s="2537"/>
      <c r="ET56" s="2537"/>
      <c r="EU56" s="2537"/>
      <c r="EV56" s="2537"/>
      <c r="EW56" s="2537"/>
      <c r="EX56" s="2537"/>
      <c r="EY56" s="2447" t="s">
        <v>1189</v>
      </c>
      <c r="EZ56" s="2537"/>
      <c r="FA56" s="2537"/>
      <c r="FB56" s="2537"/>
      <c r="FC56" s="2537"/>
      <c r="FD56" s="2537"/>
      <c r="FE56" s="2537"/>
      <c r="FF56" s="2447" t="s">
        <v>1189</v>
      </c>
      <c r="FG56" s="2537"/>
      <c r="FH56" s="2498" t="s">
        <v>1189</v>
      </c>
      <c r="FI56" s="2537"/>
      <c r="FJ56" s="2537"/>
      <c r="FK56" s="2537"/>
      <c r="FL56" s="2537"/>
      <c r="FM56" s="2537"/>
      <c r="FN56" s="2537"/>
      <c r="FO56" s="2537"/>
      <c r="FP56" s="2537"/>
      <c r="FQ56" s="2537"/>
      <c r="FR56" s="2537"/>
      <c r="FS56" s="2537"/>
      <c r="FT56" s="2537"/>
      <c r="FU56" s="2537"/>
      <c r="FV56" s="2537"/>
      <c r="FW56" s="2537"/>
      <c r="FX56" s="2537"/>
      <c r="FY56" s="2537"/>
      <c r="FZ56" s="2537"/>
      <c r="GA56" s="2537"/>
      <c r="GB56" s="2537"/>
      <c r="GC56" s="2537"/>
      <c r="GD56" s="2537"/>
      <c r="GE56" s="2537"/>
      <c r="GF56" s="2537"/>
      <c r="GG56" s="2537"/>
      <c r="GH56" s="2537"/>
      <c r="GI56" s="2537"/>
      <c r="GJ56" s="2447" t="s">
        <v>1189</v>
      </c>
      <c r="GK56" s="2537"/>
      <c r="GL56" s="2537"/>
      <c r="GM56" s="2537"/>
      <c r="GN56" s="2537"/>
      <c r="GO56" s="2537"/>
      <c r="GP56" s="2537"/>
      <c r="GQ56" s="2537"/>
      <c r="GR56" s="2537"/>
      <c r="GS56" s="2537"/>
      <c r="GT56" s="2537"/>
      <c r="GU56" s="2537"/>
      <c r="GV56" s="2537"/>
      <c r="GW56" s="2537"/>
      <c r="GX56" s="2498" t="s">
        <v>1189</v>
      </c>
      <c r="GY56" s="2537"/>
      <c r="GZ56" s="2537"/>
      <c r="HA56" s="2537"/>
      <c r="HB56" s="2447" t="s">
        <v>1189</v>
      </c>
      <c r="HC56" s="2498" t="s">
        <v>1189</v>
      </c>
      <c r="HD56" s="2537"/>
      <c r="HE56" s="2537"/>
      <c r="HF56" s="2537"/>
      <c r="HG56" s="2537"/>
      <c r="HH56" s="2537"/>
      <c r="HI56" s="2537"/>
      <c r="HJ56" s="2537"/>
      <c r="HK56" s="2537"/>
      <c r="HL56" s="2537"/>
      <c r="HM56" s="2537"/>
      <c r="HN56" s="2537"/>
      <c r="HO56" s="2498" t="s">
        <v>1189</v>
      </c>
      <c r="HP56" s="2537"/>
      <c r="HQ56" s="2537"/>
      <c r="HR56" s="2537"/>
      <c r="HS56" s="2537"/>
      <c r="HT56" s="2537"/>
      <c r="HU56" s="2537"/>
      <c r="HV56" s="2537"/>
      <c r="HW56" s="2537"/>
      <c r="HX56" s="2537"/>
      <c r="HY56" s="2537"/>
      <c r="HZ56" s="2537"/>
      <c r="IA56" s="2537"/>
      <c r="IB56" s="2537"/>
      <c r="IC56" s="2537"/>
      <c r="ID56" s="2537"/>
      <c r="IE56" s="2537"/>
      <c r="IF56" s="2537"/>
      <c r="IG56" s="2537"/>
      <c r="IH56" s="2537"/>
      <c r="II56" s="2537"/>
      <c r="IJ56" s="2537"/>
      <c r="IK56" s="2537"/>
      <c r="IL56" s="2537"/>
      <c r="IM56" s="2537"/>
      <c r="IN56" s="2537"/>
      <c r="IO56" s="2537"/>
      <c r="IP56" s="2537"/>
      <c r="IQ56" s="2537"/>
      <c r="IR56" s="2537"/>
      <c r="IS56" s="2537"/>
      <c r="IT56" s="2537"/>
      <c r="IU56" s="2537"/>
      <c r="IV56" s="2537"/>
      <c r="IW56" s="2537"/>
      <c r="IX56" s="2537"/>
      <c r="IY56" s="2537"/>
      <c r="IZ56" s="2537"/>
      <c r="JA56" s="2537"/>
      <c r="JB56" s="2537"/>
      <c r="JC56" s="2537"/>
      <c r="JD56" s="2537"/>
      <c r="JE56" s="2537"/>
      <c r="JF56" s="2537"/>
      <c r="JG56" s="2538"/>
      <c r="JH56" s="1233"/>
      <c r="JI56" s="2248"/>
      <c r="JJ56" s="2248" t="s">
        <v>6111</v>
      </c>
    </row>
    <row r="57" spans="1:270" x14ac:dyDescent="0.2">
      <c r="A57" s="1128">
        <v>14</v>
      </c>
      <c r="B57" s="1347" t="str">
        <f si="3" t="shared"/>
        <v>N</v>
      </c>
      <c r="C57" s="1278" t="s">
        <v>1115</v>
      </c>
      <c r="D57" s="1350" t="s">
        <v>4941</v>
      </c>
      <c r="E57" s="2447"/>
      <c r="F57" s="2447"/>
      <c r="G57" s="2498" t="s">
        <v>1189</v>
      </c>
      <c r="H57" s="2447"/>
      <c r="I57" s="2498" t="s">
        <v>1189</v>
      </c>
      <c r="J57" s="3090"/>
      <c r="K57" s="2498"/>
      <c r="L57" s="2498" t="s">
        <v>1189</v>
      </c>
      <c r="M57" s="2498"/>
      <c r="N57" s="2498"/>
      <c r="O57" s="2536"/>
      <c r="P57" s="2536"/>
      <c r="Q57" s="2498" t="s">
        <v>1189</v>
      </c>
      <c r="R57" s="2536"/>
      <c r="S57" s="2498" t="s">
        <v>1189</v>
      </c>
      <c r="T57" s="2537"/>
      <c r="U57" s="2537"/>
      <c r="V57" s="2537"/>
      <c r="W57" s="2537"/>
      <c r="X57" s="2537"/>
      <c r="Y57" s="2537"/>
      <c r="Z57" s="2537"/>
      <c r="AA57" s="2537"/>
      <c r="AB57" s="2537"/>
      <c r="AC57" s="2498" t="s">
        <v>1189</v>
      </c>
      <c r="AD57" s="3528"/>
      <c r="AE57" s="3528"/>
      <c r="AF57" s="3528"/>
      <c r="AG57" s="3528"/>
      <c r="AH57" s="3528"/>
      <c r="AI57" s="2537"/>
      <c r="AJ57" s="2447" t="s">
        <v>1189</v>
      </c>
      <c r="AK57" s="2537"/>
      <c r="AL57" s="2447" t="s">
        <v>1189</v>
      </c>
      <c r="AM57" s="2537"/>
      <c r="AN57" s="2537"/>
      <c r="AO57" s="2537"/>
      <c r="AP57" s="2537"/>
      <c r="AQ57" s="2537"/>
      <c r="AR57" s="2537"/>
      <c r="AS57" s="2537"/>
      <c r="AT57" s="2537"/>
      <c r="AU57" s="2537"/>
      <c r="AV57" s="2447" t="s">
        <v>1189</v>
      </c>
      <c r="AW57" s="2537"/>
      <c r="AX57" s="2537"/>
      <c r="AY57" s="2537"/>
      <c r="AZ57" s="2537"/>
      <c r="BA57" s="2537"/>
      <c r="BB57" s="2537"/>
      <c r="BC57" s="2537"/>
      <c r="BD57" s="2537"/>
      <c r="BE57" s="2537"/>
      <c r="BF57" s="2537"/>
      <c r="BG57" s="2537"/>
      <c r="BH57" s="3955"/>
      <c r="BI57" s="3955"/>
      <c r="BJ57" s="2447" t="s">
        <v>1189</v>
      </c>
      <c r="BK57" s="2537"/>
      <c r="BL57" s="2537"/>
      <c r="BM57" s="2537"/>
      <c r="BN57" s="2537"/>
      <c r="BO57" s="2537"/>
      <c r="BP57" s="2498" t="s">
        <v>1189</v>
      </c>
      <c r="BQ57" s="2537"/>
      <c r="BR57" s="2537"/>
      <c r="BS57" s="2537"/>
      <c r="BT57" s="2537"/>
      <c r="BU57" s="2537"/>
      <c r="BV57" s="2537"/>
      <c r="BW57" s="2537"/>
      <c r="BX57" s="2537"/>
      <c r="BY57" s="2537"/>
      <c r="BZ57" s="2537"/>
      <c r="CA57" s="2537"/>
      <c r="CB57" s="2447" t="s">
        <v>1189</v>
      </c>
      <c r="CC57" s="2537"/>
      <c r="CD57" s="2537"/>
      <c r="CE57" s="2537"/>
      <c r="CF57" s="2447" t="s">
        <v>1189</v>
      </c>
      <c r="CG57" s="2537"/>
      <c r="CH57" s="2498" t="s">
        <v>1189</v>
      </c>
      <c r="CI57" s="2537"/>
      <c r="CJ57" s="2537"/>
      <c r="CK57" s="2537"/>
      <c r="CL57" s="2447" t="s">
        <v>1189</v>
      </c>
      <c r="CM57" s="2537"/>
      <c r="CN57" s="2537"/>
      <c r="CO57" s="2537"/>
      <c r="CP57" s="2537"/>
      <c r="CQ57" s="2537"/>
      <c r="CR57" s="2447" t="s">
        <v>1189</v>
      </c>
      <c r="CS57" s="2447" t="s">
        <v>1189</v>
      </c>
      <c r="CT57" s="2537"/>
      <c r="CU57" s="2498" t="s">
        <v>572</v>
      </c>
      <c r="CV57" s="2498" t="s">
        <v>572</v>
      </c>
      <c r="CW57" s="2537"/>
      <c r="CX57" s="2537"/>
      <c r="CY57" s="2537"/>
      <c r="CZ57" s="2537"/>
      <c r="DA57" s="2537"/>
      <c r="DB57" s="2537"/>
      <c r="DC57" s="2498" t="s">
        <v>572</v>
      </c>
      <c r="DD57" s="2537"/>
      <c r="DE57" s="2537"/>
      <c r="DF57" s="2537"/>
      <c r="DG57" s="2537"/>
      <c r="DH57" s="2537"/>
      <c r="DI57" s="2537"/>
      <c r="DJ57" s="2498" t="s">
        <v>572</v>
      </c>
      <c r="DK57" s="2537"/>
      <c r="DL57" s="2537"/>
      <c r="DM57" s="2537"/>
      <c r="DN57" s="2537"/>
      <c r="DO57" s="2447" t="s">
        <v>1189</v>
      </c>
      <c r="DP57" s="2537"/>
      <c r="DQ57" s="2537"/>
      <c r="DR57" s="2537"/>
      <c r="DS57" s="2537"/>
      <c r="DT57" s="2537"/>
      <c r="DU57" s="2537"/>
      <c r="DV57" s="2537"/>
      <c r="DW57" s="2537"/>
      <c r="DX57" s="2537"/>
      <c r="DY57" s="2537"/>
      <c r="DZ57" s="2537"/>
      <c r="EA57" s="2537"/>
      <c r="EB57" s="2537"/>
      <c r="EC57" s="2537"/>
      <c r="ED57" s="2537"/>
      <c r="EE57" s="2537"/>
      <c r="EF57" s="2498" t="s">
        <v>1189</v>
      </c>
      <c r="EG57" s="2498" t="s">
        <v>1189</v>
      </c>
      <c r="EH57" s="2537"/>
      <c r="EI57" s="2447" t="s">
        <v>1189</v>
      </c>
      <c r="EJ57" s="2537"/>
      <c r="EK57" s="2537"/>
      <c r="EL57" s="2537"/>
      <c r="EM57" s="2447" t="s">
        <v>1189</v>
      </c>
      <c r="EN57" s="2537"/>
      <c r="EO57" s="2537"/>
      <c r="EP57" s="2537"/>
      <c r="EQ57" s="2537"/>
      <c r="ER57" s="2537"/>
      <c r="ES57" s="2537"/>
      <c r="ET57" s="2537"/>
      <c r="EU57" s="2537"/>
      <c r="EV57" s="2537"/>
      <c r="EW57" s="2537"/>
      <c r="EX57" s="2537"/>
      <c r="EY57" s="2447" t="s">
        <v>1189</v>
      </c>
      <c r="EZ57" s="2537"/>
      <c r="FA57" s="2537"/>
      <c r="FB57" s="2537"/>
      <c r="FC57" s="2537"/>
      <c r="FD57" s="2537"/>
      <c r="FE57" s="2537"/>
      <c r="FF57" s="2447" t="s">
        <v>1189</v>
      </c>
      <c r="FG57" s="2537"/>
      <c r="FH57" s="2498" t="s">
        <v>572</v>
      </c>
      <c r="FI57" s="2537"/>
      <c r="FJ57" s="2537"/>
      <c r="FK57" s="2537"/>
      <c r="FL57" s="2537"/>
      <c r="FM57" s="2537"/>
      <c r="FN57" s="2537"/>
      <c r="FO57" s="2537"/>
      <c r="FP57" s="2537"/>
      <c r="FQ57" s="2537"/>
      <c r="FR57" s="2537"/>
      <c r="FS57" s="2537"/>
      <c r="FT57" s="2537"/>
      <c r="FU57" s="2537"/>
      <c r="FV57" s="2537"/>
      <c r="FW57" s="2537"/>
      <c r="FX57" s="2537"/>
      <c r="FY57" s="2537"/>
      <c r="FZ57" s="2537"/>
      <c r="GA57" s="2537"/>
      <c r="GB57" s="2537"/>
      <c r="GC57" s="2537"/>
      <c r="GD57" s="2537"/>
      <c r="GE57" s="2537"/>
      <c r="GF57" s="2537"/>
      <c r="GG57" s="2537"/>
      <c r="GH57" s="2537"/>
      <c r="GI57" s="2537"/>
      <c r="GJ57" s="2447" t="s">
        <v>1189</v>
      </c>
      <c r="GK57" s="2537"/>
      <c r="GL57" s="2537"/>
      <c r="GM57" s="2537"/>
      <c r="GN57" s="2537"/>
      <c r="GO57" s="2537"/>
      <c r="GP57" s="2537"/>
      <c r="GQ57" s="2537"/>
      <c r="GR57" s="2537"/>
      <c r="GS57" s="2537"/>
      <c r="GT57" s="2537"/>
      <c r="GU57" s="2537"/>
      <c r="GV57" s="2537"/>
      <c r="GW57" s="2537"/>
      <c r="GX57" s="2498" t="s">
        <v>1189</v>
      </c>
      <c r="GY57" s="2537"/>
      <c r="GZ57" s="2537"/>
      <c r="HA57" s="2537"/>
      <c r="HB57" s="2447" t="s">
        <v>1189</v>
      </c>
      <c r="HC57" s="2498" t="s">
        <v>572</v>
      </c>
      <c r="HD57" s="2537"/>
      <c r="HE57" s="2537"/>
      <c r="HF57" s="2537"/>
      <c r="HG57" s="2537"/>
      <c r="HH57" s="2537"/>
      <c r="HI57" s="2537"/>
      <c r="HJ57" s="2537"/>
      <c r="HK57" s="2537"/>
      <c r="HL57" s="2537"/>
      <c r="HM57" s="2537"/>
      <c r="HN57" s="2537"/>
      <c r="HO57" s="2498" t="s">
        <v>1189</v>
      </c>
      <c r="HP57" s="2537"/>
      <c r="HQ57" s="2537"/>
      <c r="HR57" s="2537"/>
      <c r="HS57" s="2537"/>
      <c r="HT57" s="2537"/>
      <c r="HU57" s="2537"/>
      <c r="HV57" s="2537"/>
      <c r="HW57" s="2537"/>
      <c r="HX57" s="2537"/>
      <c r="HY57" s="2537"/>
      <c r="HZ57" s="2537"/>
      <c r="IA57" s="2537"/>
      <c r="IB57" s="2537"/>
      <c r="IC57" s="2537"/>
      <c r="ID57" s="2537"/>
      <c r="IE57" s="2537"/>
      <c r="IF57" s="2537"/>
      <c r="IG57" s="2537"/>
      <c r="IH57" s="2537"/>
      <c r="II57" s="2537"/>
      <c r="IJ57" s="2537"/>
      <c r="IK57" s="2537"/>
      <c r="IL57" s="2537"/>
      <c r="IM57" s="2537"/>
      <c r="IN57" s="2537"/>
      <c r="IO57" s="2537"/>
      <c r="IP57" s="2537"/>
      <c r="IQ57" s="2537"/>
      <c r="IR57" s="2537"/>
      <c r="IS57" s="2537"/>
      <c r="IT57" s="2537"/>
      <c r="IU57" s="2537"/>
      <c r="IV57" s="2537"/>
      <c r="IW57" s="2537"/>
      <c r="IX57" s="2537"/>
      <c r="IY57" s="2537"/>
      <c r="IZ57" s="2537"/>
      <c r="JA57" s="2537"/>
      <c r="JB57" s="2537"/>
      <c r="JC57" s="2537"/>
      <c r="JD57" s="2537"/>
      <c r="JE57" s="2537"/>
      <c r="JF57" s="2537"/>
      <c r="JG57" s="2538"/>
      <c r="JH57" s="1233"/>
      <c r="JI57" s="4280" t="s">
        <v>5365</v>
      </c>
      <c r="JJ57" s="2248" t="s">
        <v>8853</v>
      </c>
    </row>
    <row r="58" spans="1:270" x14ac:dyDescent="0.2">
      <c r="A58" s="1128">
        <v>15</v>
      </c>
      <c r="B58" s="1347" t="str">
        <f si="3" t="shared"/>
        <v>N</v>
      </c>
      <c r="C58" s="1278" t="s">
        <v>1118</v>
      </c>
      <c r="D58" s="1350" t="s">
        <v>5498</v>
      </c>
      <c r="E58" s="2447"/>
      <c r="F58" s="2447"/>
      <c r="G58" s="2498" t="s">
        <v>1189</v>
      </c>
      <c r="H58" s="2447"/>
      <c r="I58" s="2498" t="s">
        <v>1189</v>
      </c>
      <c r="J58" s="3090"/>
      <c r="K58" s="2498"/>
      <c r="L58" s="2498" t="s">
        <v>1189</v>
      </c>
      <c r="M58" s="2498"/>
      <c r="N58" s="2498"/>
      <c r="O58" s="2536"/>
      <c r="P58" s="2536"/>
      <c r="Q58" s="2498" t="s">
        <v>1189</v>
      </c>
      <c r="R58" s="2536"/>
      <c r="S58" s="2498" t="s">
        <v>1189</v>
      </c>
      <c r="T58" s="2537"/>
      <c r="U58" s="2537"/>
      <c r="V58" s="2537"/>
      <c r="W58" s="2537"/>
      <c r="X58" s="2537"/>
      <c r="Y58" s="2537"/>
      <c r="Z58" s="2537"/>
      <c r="AA58" s="2537"/>
      <c r="AB58" s="2537"/>
      <c r="AC58" s="2498" t="s">
        <v>1189</v>
      </c>
      <c r="AD58" s="3528"/>
      <c r="AE58" s="3528"/>
      <c r="AF58" s="3528"/>
      <c r="AG58" s="3528"/>
      <c r="AH58" s="3528"/>
      <c r="AI58" s="2537"/>
      <c r="AJ58" s="2447" t="s">
        <v>1189</v>
      </c>
      <c r="AK58" s="2537"/>
      <c r="AL58" s="2447" t="s">
        <v>1189</v>
      </c>
      <c r="AM58" s="2537"/>
      <c r="AN58" s="2537"/>
      <c r="AO58" s="2537"/>
      <c r="AP58" s="2537"/>
      <c r="AQ58" s="2537"/>
      <c r="AR58" s="2537"/>
      <c r="AS58" s="2537"/>
      <c r="AT58" s="2537"/>
      <c r="AU58" s="2537"/>
      <c r="AV58" s="2447" t="s">
        <v>1189</v>
      </c>
      <c r="AW58" s="2537"/>
      <c r="AX58" s="2537"/>
      <c r="AY58" s="2537"/>
      <c r="AZ58" s="2537"/>
      <c r="BA58" s="2537"/>
      <c r="BB58" s="2537"/>
      <c r="BC58" s="2537"/>
      <c r="BD58" s="2537"/>
      <c r="BE58" s="2537"/>
      <c r="BF58" s="2537"/>
      <c r="BG58" s="2537"/>
      <c r="BH58" s="3955"/>
      <c r="BI58" s="3955"/>
      <c r="BJ58" s="2447" t="s">
        <v>1189</v>
      </c>
      <c r="BK58" s="2537"/>
      <c r="BL58" s="2537"/>
      <c r="BM58" s="2537"/>
      <c r="BN58" s="2537"/>
      <c r="BO58" s="2537"/>
      <c r="BP58" s="2498" t="s">
        <v>1189</v>
      </c>
      <c r="BQ58" s="2537"/>
      <c r="BR58" s="2537"/>
      <c r="BS58" s="2537"/>
      <c r="BT58" s="2537"/>
      <c r="BU58" s="2537"/>
      <c r="BV58" s="2537"/>
      <c r="BW58" s="2537"/>
      <c r="BX58" s="2537"/>
      <c r="BY58" s="2537"/>
      <c r="BZ58" s="2537"/>
      <c r="CA58" s="2537"/>
      <c r="CB58" s="2447" t="s">
        <v>1189</v>
      </c>
      <c r="CC58" s="2537"/>
      <c r="CD58" s="2537"/>
      <c r="CE58" s="2537"/>
      <c r="CF58" s="2447" t="s">
        <v>1189</v>
      </c>
      <c r="CG58" s="2537"/>
      <c r="CH58" s="2498" t="s">
        <v>1189</v>
      </c>
      <c r="CI58" s="2537"/>
      <c r="CJ58" s="2537"/>
      <c r="CK58" s="2537"/>
      <c r="CL58" s="2447" t="s">
        <v>1189</v>
      </c>
      <c r="CM58" s="2537"/>
      <c r="CN58" s="2537"/>
      <c r="CO58" s="2537"/>
      <c r="CP58" s="2537"/>
      <c r="CQ58" s="2537"/>
      <c r="CR58" s="2447" t="s">
        <v>1189</v>
      </c>
      <c r="CS58" s="2447" t="s">
        <v>1189</v>
      </c>
      <c r="CT58" s="2537"/>
      <c r="CU58" s="2498" t="s">
        <v>1189</v>
      </c>
      <c r="CV58" s="2498" t="s">
        <v>1189</v>
      </c>
      <c r="CW58" s="2537"/>
      <c r="CX58" s="2537"/>
      <c r="CY58" s="2537"/>
      <c r="CZ58" s="2537"/>
      <c r="DA58" s="2537"/>
      <c r="DB58" s="2537"/>
      <c r="DC58" s="2498" t="s">
        <v>1189</v>
      </c>
      <c r="DD58" s="2537"/>
      <c r="DE58" s="2537"/>
      <c r="DF58" s="2537"/>
      <c r="DG58" s="2537"/>
      <c r="DH58" s="2537"/>
      <c r="DI58" s="2537"/>
      <c r="DJ58" s="2498" t="s">
        <v>1189</v>
      </c>
      <c r="DK58" s="2537"/>
      <c r="DL58" s="2537"/>
      <c r="DM58" s="2537"/>
      <c r="DN58" s="2537"/>
      <c r="DO58" s="2447" t="s">
        <v>1189</v>
      </c>
      <c r="DP58" s="2537"/>
      <c r="DQ58" s="2537"/>
      <c r="DR58" s="2537"/>
      <c r="DS58" s="2537"/>
      <c r="DT58" s="2537"/>
      <c r="DU58" s="2537"/>
      <c r="DV58" s="2537"/>
      <c r="DW58" s="2537"/>
      <c r="DX58" s="2537"/>
      <c r="DY58" s="2537"/>
      <c r="DZ58" s="2537"/>
      <c r="EA58" s="2537"/>
      <c r="EB58" s="2537"/>
      <c r="EC58" s="2537"/>
      <c r="ED58" s="2537"/>
      <c r="EE58" s="2537"/>
      <c r="EF58" s="2498" t="s">
        <v>1189</v>
      </c>
      <c r="EG58" s="2498" t="s">
        <v>1189</v>
      </c>
      <c r="EH58" s="2537"/>
      <c r="EI58" s="2447" t="s">
        <v>1189</v>
      </c>
      <c r="EJ58" s="2537"/>
      <c r="EK58" s="2537"/>
      <c r="EL58" s="2537"/>
      <c r="EM58" s="2447" t="s">
        <v>1189</v>
      </c>
      <c r="EN58" s="2537"/>
      <c r="EO58" s="2537"/>
      <c r="EP58" s="2537"/>
      <c r="EQ58" s="2537"/>
      <c r="ER58" s="2537"/>
      <c r="ES58" s="2537"/>
      <c r="ET58" s="2537"/>
      <c r="EU58" s="2537"/>
      <c r="EV58" s="2537"/>
      <c r="EW58" s="2537"/>
      <c r="EX58" s="2537"/>
      <c r="EY58" s="2447" t="s">
        <v>1189</v>
      </c>
      <c r="EZ58" s="2537"/>
      <c r="FA58" s="2537"/>
      <c r="FB58" s="2537"/>
      <c r="FC58" s="2537"/>
      <c r="FD58" s="2537"/>
      <c r="FE58" s="2537"/>
      <c r="FF58" s="2447" t="s">
        <v>1189</v>
      </c>
      <c r="FG58" s="2537"/>
      <c r="FH58" s="2498" t="s">
        <v>1189</v>
      </c>
      <c r="FI58" s="2537"/>
      <c r="FJ58" s="2537"/>
      <c r="FK58" s="2537"/>
      <c r="FL58" s="2537"/>
      <c r="FM58" s="2537"/>
      <c r="FN58" s="2537"/>
      <c r="FO58" s="2537"/>
      <c r="FP58" s="2537"/>
      <c r="FQ58" s="2537"/>
      <c r="FR58" s="2537"/>
      <c r="FS58" s="2537"/>
      <c r="FT58" s="2537"/>
      <c r="FU58" s="2537"/>
      <c r="FV58" s="2537"/>
      <c r="FW58" s="2537"/>
      <c r="FX58" s="2537"/>
      <c r="FY58" s="2537"/>
      <c r="FZ58" s="2537"/>
      <c r="GA58" s="2537"/>
      <c r="GB58" s="2537"/>
      <c r="GC58" s="2537"/>
      <c r="GD58" s="2537"/>
      <c r="GE58" s="2537"/>
      <c r="GF58" s="2537"/>
      <c r="GG58" s="2537"/>
      <c r="GH58" s="2537"/>
      <c r="GI58" s="2537"/>
      <c r="GJ58" s="2447" t="s">
        <v>1189</v>
      </c>
      <c r="GK58" s="2537"/>
      <c r="GL58" s="2537"/>
      <c r="GM58" s="2537"/>
      <c r="GN58" s="2537"/>
      <c r="GO58" s="2537"/>
      <c r="GP58" s="2537"/>
      <c r="GQ58" s="2537"/>
      <c r="GR58" s="2537"/>
      <c r="GS58" s="2537"/>
      <c r="GT58" s="2537"/>
      <c r="GU58" s="2537"/>
      <c r="GV58" s="2537"/>
      <c r="GW58" s="2537"/>
      <c r="GX58" s="2498" t="s">
        <v>1189</v>
      </c>
      <c r="GY58" s="2537"/>
      <c r="GZ58" s="2537"/>
      <c r="HA58" s="2537"/>
      <c r="HB58" s="2447" t="s">
        <v>1189</v>
      </c>
      <c r="HC58" s="2498" t="s">
        <v>1189</v>
      </c>
      <c r="HD58" s="2537"/>
      <c r="HE58" s="2537"/>
      <c r="HF58" s="2537"/>
      <c r="HG58" s="2537"/>
      <c r="HH58" s="2537"/>
      <c r="HI58" s="2537"/>
      <c r="HJ58" s="2537"/>
      <c r="HK58" s="2537"/>
      <c r="HL58" s="2537"/>
      <c r="HM58" s="2537"/>
      <c r="HN58" s="2537"/>
      <c r="HO58" s="2498" t="s">
        <v>1189</v>
      </c>
      <c r="HP58" s="2537"/>
      <c r="HQ58" s="2537"/>
      <c r="HR58" s="2537"/>
      <c r="HS58" s="2537"/>
      <c r="HT58" s="2537"/>
      <c r="HU58" s="2537"/>
      <c r="HV58" s="2537"/>
      <c r="HW58" s="2537"/>
      <c r="HX58" s="2537"/>
      <c r="HY58" s="2537"/>
      <c r="HZ58" s="2537"/>
      <c r="IA58" s="2537"/>
      <c r="IB58" s="2537"/>
      <c r="IC58" s="2537"/>
      <c r="ID58" s="2537"/>
      <c r="IE58" s="2537"/>
      <c r="IF58" s="2537"/>
      <c r="IG58" s="2537"/>
      <c r="IH58" s="2537"/>
      <c r="II58" s="2537"/>
      <c r="IJ58" s="2537"/>
      <c r="IK58" s="2537"/>
      <c r="IL58" s="2537"/>
      <c r="IM58" s="2537"/>
      <c r="IN58" s="2537"/>
      <c r="IO58" s="2537"/>
      <c r="IP58" s="2537"/>
      <c r="IQ58" s="2537"/>
      <c r="IR58" s="2537"/>
      <c r="IS58" s="2537"/>
      <c r="IT58" s="2537"/>
      <c r="IU58" s="2537"/>
      <c r="IV58" s="2537"/>
      <c r="IW58" s="2537"/>
      <c r="IX58" s="2537"/>
      <c r="IY58" s="2537"/>
      <c r="IZ58" s="2537"/>
      <c r="JA58" s="2537"/>
      <c r="JB58" s="2537"/>
      <c r="JC58" s="2537"/>
      <c r="JD58" s="2537"/>
      <c r="JE58" s="2537"/>
      <c r="JF58" s="2537"/>
      <c r="JG58" s="2538"/>
      <c r="JH58" s="1233"/>
      <c r="JI58" s="2248"/>
      <c r="JJ58" s="2248" t="s">
        <v>6111</v>
      </c>
    </row>
    <row r="59" spans="1:270" x14ac:dyDescent="0.2">
      <c r="A59" s="1128">
        <v>16</v>
      </c>
      <c r="B59" s="1347">
        <f si="3" t="shared"/>
        <v>74900</v>
      </c>
      <c r="C59" s="1278" t="s">
        <v>1119</v>
      </c>
      <c r="D59" s="1350" t="s">
        <v>5447</v>
      </c>
      <c r="E59" s="2472"/>
      <c r="F59" s="2472"/>
      <c r="G59" s="2472">
        <v>74900</v>
      </c>
      <c r="H59" s="2472"/>
      <c r="I59" s="2472">
        <v>74900</v>
      </c>
      <c r="J59" s="2511"/>
      <c r="K59" s="2472"/>
      <c r="L59" s="2472">
        <v>74900</v>
      </c>
      <c r="M59" s="2472"/>
      <c r="N59" s="2472"/>
      <c r="O59" s="2509"/>
      <c r="P59" s="2509"/>
      <c r="Q59" s="2472">
        <v>74900</v>
      </c>
      <c r="R59" s="2509"/>
      <c r="S59" s="2472">
        <v>74900</v>
      </c>
      <c r="T59" s="2510"/>
      <c r="U59" s="2510"/>
      <c r="V59" s="2510"/>
      <c r="W59" s="2510"/>
      <c r="X59" s="2510"/>
      <c r="Y59" s="2510"/>
      <c r="Z59" s="2510"/>
      <c r="AA59" s="2510"/>
      <c r="AB59" s="2510"/>
      <c r="AC59" s="2472">
        <v>74900</v>
      </c>
      <c r="AD59" s="2841"/>
      <c r="AE59" s="3539">
        <v>32495</v>
      </c>
      <c r="AF59" s="2841"/>
      <c r="AG59" s="2841"/>
      <c r="AH59" s="3539">
        <v>19900</v>
      </c>
      <c r="AI59" s="2510"/>
      <c r="AJ59" s="2472">
        <v>82959</v>
      </c>
      <c r="AK59" s="2510"/>
      <c r="AL59" s="2472">
        <v>328938</v>
      </c>
      <c r="AM59" s="2510"/>
      <c r="AN59" s="2510"/>
      <c r="AO59" s="2510"/>
      <c r="AP59" s="2510"/>
      <c r="AQ59" s="2510"/>
      <c r="AR59" s="2510"/>
      <c r="AS59" s="2510"/>
      <c r="AT59" s="2510"/>
      <c r="AU59" s="2510"/>
      <c r="AV59" s="2472">
        <v>73250</v>
      </c>
      <c r="AW59" s="2510"/>
      <c r="AX59" s="2510"/>
      <c r="AY59" s="2510"/>
      <c r="AZ59" s="2510"/>
      <c r="BA59" s="2510"/>
      <c r="BB59" s="2510"/>
      <c r="BC59" s="2510"/>
      <c r="BD59" s="2510"/>
      <c r="BE59" s="2510"/>
      <c r="BF59" s="2510"/>
      <c r="BG59" s="2510"/>
      <c r="BH59" s="3956"/>
      <c r="BI59" s="3956"/>
      <c r="BJ59" s="2472">
        <v>328938</v>
      </c>
      <c r="BK59" s="2510"/>
      <c r="BL59" s="2510"/>
      <c r="BM59" s="2510"/>
      <c r="BN59" s="2510"/>
      <c r="BO59" s="2510"/>
      <c r="BP59" s="2472">
        <v>74900</v>
      </c>
      <c r="BQ59" s="2510"/>
      <c r="BR59" s="2510"/>
      <c r="BS59" s="2510"/>
      <c r="BT59" s="2510"/>
      <c r="BU59" s="2510"/>
      <c r="BV59" s="2510"/>
      <c r="BW59" s="2510"/>
      <c r="BX59" s="2510"/>
      <c r="BY59" s="2510"/>
      <c r="BZ59" s="2510"/>
      <c r="CA59" s="2510"/>
      <c r="CB59" s="3728">
        <v>1424131</v>
      </c>
      <c r="CC59" s="2510"/>
      <c r="CD59" s="2510"/>
      <c r="CE59" s="2510"/>
      <c r="CF59" s="2472">
        <v>82959</v>
      </c>
      <c r="CG59" s="2510"/>
      <c r="CH59" s="2472">
        <v>74900</v>
      </c>
      <c r="CI59" s="2510"/>
      <c r="CJ59" s="2510"/>
      <c r="CK59" s="2510"/>
      <c r="CL59" s="2472">
        <v>328938</v>
      </c>
      <c r="CM59" s="2510"/>
      <c r="CN59" s="2510"/>
      <c r="CO59" s="2510"/>
      <c r="CP59" s="2510"/>
      <c r="CQ59" s="2510"/>
      <c r="CR59" s="2472">
        <v>328938</v>
      </c>
      <c r="CS59" s="2472">
        <v>328938</v>
      </c>
      <c r="CT59" s="2510"/>
      <c r="CU59" s="2472">
        <v>175264</v>
      </c>
      <c r="CV59" s="2472">
        <v>175264</v>
      </c>
      <c r="CW59" s="2510"/>
      <c r="CX59" s="2510"/>
      <c r="CY59" s="2510"/>
      <c r="CZ59" s="2510"/>
      <c r="DA59" s="2510"/>
      <c r="DB59" s="2510"/>
      <c r="DC59" s="2472">
        <v>175264</v>
      </c>
      <c r="DD59" s="2510"/>
      <c r="DE59" s="2510"/>
      <c r="DF59" s="2510"/>
      <c r="DG59" s="2510"/>
      <c r="DH59" s="2510"/>
      <c r="DI59" s="2510"/>
      <c r="DJ59" s="2472">
        <v>175264</v>
      </c>
      <c r="DK59" s="2510"/>
      <c r="DL59" s="2510"/>
      <c r="DM59" s="2510"/>
      <c r="DN59" s="2510"/>
      <c r="DO59" s="2472">
        <v>73250</v>
      </c>
      <c r="DP59" s="2510"/>
      <c r="DQ59" s="2510"/>
      <c r="DR59" s="2510"/>
      <c r="DS59" s="2510"/>
      <c r="DT59" s="2510"/>
      <c r="DU59" s="2510"/>
      <c r="DV59" s="2510"/>
      <c r="DW59" s="2510"/>
      <c r="DX59" s="2510"/>
      <c r="DY59" s="2510"/>
      <c r="DZ59" s="2510"/>
      <c r="EA59" s="2510"/>
      <c r="EB59" s="2510"/>
      <c r="EC59" s="2510"/>
      <c r="ED59" s="2510"/>
      <c r="EE59" s="2510"/>
      <c r="EF59" s="2472">
        <v>69203</v>
      </c>
      <c r="EG59" s="2472">
        <v>70000</v>
      </c>
      <c r="EH59" s="2510"/>
      <c r="EI59" s="2472">
        <v>67088</v>
      </c>
      <c r="EJ59" s="2510"/>
      <c r="EK59" s="2510"/>
      <c r="EL59" s="2510"/>
      <c r="EM59" s="2472">
        <v>328938</v>
      </c>
      <c r="EN59" s="2510"/>
      <c r="EO59" s="2510"/>
      <c r="EP59" s="2510"/>
      <c r="EQ59" s="2510"/>
      <c r="ER59" s="2510"/>
      <c r="ES59" s="2510"/>
      <c r="ET59" s="2510"/>
      <c r="EU59" s="2510"/>
      <c r="EV59" s="2510"/>
      <c r="EW59" s="2510"/>
      <c r="EX59" s="2510"/>
      <c r="EY59" s="2472">
        <v>328938</v>
      </c>
      <c r="EZ59" s="2510"/>
      <c r="FA59" s="2510"/>
      <c r="FB59" s="2510"/>
      <c r="FC59" s="2510"/>
      <c r="FD59" s="2510"/>
      <c r="FE59" s="2510"/>
      <c r="FF59" s="2472">
        <v>82959</v>
      </c>
      <c r="FG59" s="2510"/>
      <c r="FH59" s="2472">
        <v>175264</v>
      </c>
      <c r="FI59" s="2510"/>
      <c r="FJ59" s="2510"/>
      <c r="FK59" s="2510"/>
      <c r="FL59" s="2510"/>
      <c r="FM59" s="2510"/>
      <c r="FN59" s="2510"/>
      <c r="FO59" s="2510"/>
      <c r="FP59" s="2510"/>
      <c r="FQ59" s="2510"/>
      <c r="FR59" s="2510"/>
      <c r="FS59" s="2510"/>
      <c r="FT59" s="2510"/>
      <c r="FU59" s="2510"/>
      <c r="FV59" s="2510"/>
      <c r="FW59" s="2510"/>
      <c r="FX59" s="2510"/>
      <c r="FY59" s="2510"/>
      <c r="FZ59" s="2510"/>
      <c r="GA59" s="2510"/>
      <c r="GB59" s="2510"/>
      <c r="GC59" s="2510"/>
      <c r="GD59" s="2510"/>
      <c r="GE59" s="2510"/>
      <c r="GF59" s="2510"/>
      <c r="GG59" s="2510"/>
      <c r="GH59" s="2510"/>
      <c r="GI59" s="2510"/>
      <c r="GJ59" s="2472">
        <v>67088</v>
      </c>
      <c r="GK59" s="2510"/>
      <c r="GL59" s="2510"/>
      <c r="GM59" s="2510"/>
      <c r="GN59" s="2510"/>
      <c r="GO59" s="2510"/>
      <c r="GP59" s="2510"/>
      <c r="GQ59" s="2510"/>
      <c r="GR59" s="2510"/>
      <c r="GS59" s="2510"/>
      <c r="GT59" s="2510"/>
      <c r="GU59" s="2510"/>
      <c r="GV59" s="2510"/>
      <c r="GW59" s="2510"/>
      <c r="GX59" s="2472">
        <v>155000</v>
      </c>
      <c r="GY59" s="2510"/>
      <c r="GZ59" s="2510"/>
      <c r="HA59" s="2510"/>
      <c r="HB59" s="2472">
        <v>73250</v>
      </c>
      <c r="HC59" s="2472">
        <v>175264</v>
      </c>
      <c r="HD59" s="2510"/>
      <c r="HE59" s="2510"/>
      <c r="HF59" s="2510"/>
      <c r="HG59" s="2510"/>
      <c r="HH59" s="2510"/>
      <c r="HI59" s="2510"/>
      <c r="HJ59" s="2510"/>
      <c r="HK59" s="2510"/>
      <c r="HL59" s="2510"/>
      <c r="HM59" s="2510"/>
      <c r="HN59" s="2510"/>
      <c r="HO59" s="2472">
        <v>74900</v>
      </c>
      <c r="HP59" s="2510"/>
      <c r="HQ59" s="2510"/>
      <c r="HR59" s="2510"/>
      <c r="HS59" s="2510"/>
      <c r="HT59" s="2510"/>
      <c r="HU59" s="2510"/>
      <c r="HV59" s="2510"/>
      <c r="HW59" s="2510"/>
      <c r="HX59" s="2510"/>
      <c r="HY59" s="2510"/>
      <c r="HZ59" s="2510"/>
      <c r="IA59" s="2510"/>
      <c r="IB59" s="2510"/>
      <c r="IC59" s="2510"/>
      <c r="ID59" s="2510"/>
      <c r="IE59" s="2510"/>
      <c r="IF59" s="2510"/>
      <c r="IG59" s="2510"/>
      <c r="IH59" s="2510"/>
      <c r="II59" s="2510"/>
      <c r="IJ59" s="2510"/>
      <c r="IK59" s="2510"/>
      <c r="IL59" s="2510"/>
      <c r="IM59" s="2510"/>
      <c r="IN59" s="2510"/>
      <c r="IO59" s="2510"/>
      <c r="IP59" s="2510"/>
      <c r="IQ59" s="2510"/>
      <c r="IR59" s="2510"/>
      <c r="IS59" s="2510"/>
      <c r="IT59" s="2510"/>
      <c r="IU59" s="2510"/>
      <c r="IV59" s="2510"/>
      <c r="IW59" s="2510"/>
      <c r="IX59" s="2510"/>
      <c r="IY59" s="2510"/>
      <c r="IZ59" s="2510"/>
      <c r="JA59" s="2510"/>
      <c r="JB59" s="2510"/>
      <c r="JC59" s="2510"/>
      <c r="JD59" s="2510"/>
      <c r="JE59" s="2510"/>
      <c r="JF59" s="2510"/>
      <c r="JG59" s="2479"/>
      <c r="JH59" s="1233"/>
      <c r="JI59" s="2248"/>
      <c r="JJ59" s="2248" t="s">
        <v>6124</v>
      </c>
    </row>
    <row ht="22.5" r="60" spans="1:270" x14ac:dyDescent="0.2">
      <c r="A60" s="1128">
        <v>17</v>
      </c>
      <c r="B60" s="1347" t="str">
        <f si="3" t="shared"/>
        <v/>
      </c>
      <c r="C60" s="1278" t="s">
        <v>1120</v>
      </c>
      <c r="D60" s="1350" t="s">
        <v>5448</v>
      </c>
      <c r="E60" s="2472"/>
      <c r="F60" s="2472"/>
      <c r="G60" s="2472"/>
      <c r="H60" s="2472"/>
      <c r="I60" s="2472"/>
      <c r="J60" s="2511"/>
      <c r="K60" s="2472"/>
      <c r="L60" s="2472"/>
      <c r="M60" s="2472"/>
      <c r="N60" s="2472"/>
      <c r="O60" s="2509"/>
      <c r="P60" s="2509"/>
      <c r="Q60" s="2472"/>
      <c r="R60" s="2509"/>
      <c r="S60" s="2472"/>
      <c r="T60" s="2510"/>
      <c r="U60" s="2510"/>
      <c r="V60" s="2510"/>
      <c r="W60" s="2510"/>
      <c r="X60" s="2510"/>
      <c r="Y60" s="2510"/>
      <c r="Z60" s="2510"/>
      <c r="AA60" s="2510"/>
      <c r="AB60" s="2510"/>
      <c r="AC60" s="2472"/>
      <c r="AD60" s="2841"/>
      <c r="AE60" s="2841"/>
      <c r="AF60" s="2841"/>
      <c r="AG60" s="2841"/>
      <c r="AH60" s="2841"/>
      <c r="AI60" s="2510"/>
      <c r="AJ60" s="2472"/>
      <c r="AK60" s="2510"/>
      <c r="AL60" s="2472"/>
      <c r="AM60" s="2510"/>
      <c r="AN60" s="2510"/>
      <c r="AO60" s="2510"/>
      <c r="AP60" s="2510"/>
      <c r="AQ60" s="2510"/>
      <c r="AR60" s="2510"/>
      <c r="AS60" s="2510"/>
      <c r="AT60" s="2510"/>
      <c r="AU60" s="2510"/>
      <c r="AV60" s="2472"/>
      <c r="AW60" s="2510"/>
      <c r="AX60" s="2510"/>
      <c r="AY60" s="2510"/>
      <c r="AZ60" s="2510"/>
      <c r="BA60" s="2510"/>
      <c r="BB60" s="2510"/>
      <c r="BC60" s="2510"/>
      <c r="BD60" s="2510"/>
      <c r="BE60" s="2510"/>
      <c r="BF60" s="2510"/>
      <c r="BG60" s="2510"/>
      <c r="BH60" s="3956"/>
      <c r="BI60" s="3956"/>
      <c r="BJ60" s="2472"/>
      <c r="BK60" s="2510"/>
      <c r="BL60" s="2510"/>
      <c r="BM60" s="2510"/>
      <c r="BN60" s="2510"/>
      <c r="BO60" s="2510"/>
      <c r="BP60" s="2472"/>
      <c r="BQ60" s="2510"/>
      <c r="BR60" s="2510"/>
      <c r="BS60" s="2510"/>
      <c r="BT60" s="2510"/>
      <c r="BU60" s="2510"/>
      <c r="BV60" s="2510"/>
      <c r="BW60" s="2510"/>
      <c r="BX60" s="2510"/>
      <c r="BY60" s="2510"/>
      <c r="BZ60" s="2510"/>
      <c r="CA60" s="2510"/>
      <c r="CB60" s="2472"/>
      <c r="CC60" s="2510"/>
      <c r="CD60" s="2510"/>
      <c r="CE60" s="2510"/>
      <c r="CF60" s="2472"/>
      <c r="CG60" s="2510"/>
      <c r="CH60" s="2472"/>
      <c r="CI60" s="2510"/>
      <c r="CJ60" s="2510"/>
      <c r="CK60" s="2510"/>
      <c r="CL60" s="2472"/>
      <c r="CM60" s="2510"/>
      <c r="CN60" s="2510"/>
      <c r="CO60" s="2510"/>
      <c r="CP60" s="2510"/>
      <c r="CQ60" s="2510"/>
      <c r="CR60" s="2472"/>
      <c r="CS60" s="2472"/>
      <c r="CT60" s="2510"/>
      <c r="CU60" s="2472">
        <v>5460</v>
      </c>
      <c r="CV60" s="2472">
        <v>5460</v>
      </c>
      <c r="CW60" s="2510"/>
      <c r="CX60" s="2510"/>
      <c r="CY60" s="2510"/>
      <c r="CZ60" s="2510"/>
      <c r="DA60" s="2510"/>
      <c r="DB60" s="2510"/>
      <c r="DC60" s="2472">
        <v>5460</v>
      </c>
      <c r="DD60" s="2510"/>
      <c r="DE60" s="2510"/>
      <c r="DF60" s="2510"/>
      <c r="DG60" s="2510"/>
      <c r="DH60" s="2510"/>
      <c r="DI60" s="2510"/>
      <c r="DJ60" s="2472">
        <v>5460</v>
      </c>
      <c r="DK60" s="2510"/>
      <c r="DL60" s="2510"/>
      <c r="DM60" s="2510"/>
      <c r="DN60" s="2510"/>
      <c r="DO60" s="2472"/>
      <c r="DP60" s="2510"/>
      <c r="DQ60" s="2510"/>
      <c r="DR60" s="2510"/>
      <c r="DS60" s="2510"/>
      <c r="DT60" s="2510"/>
      <c r="DU60" s="2510"/>
      <c r="DV60" s="2510"/>
      <c r="DW60" s="2510"/>
      <c r="DX60" s="2510"/>
      <c r="DY60" s="2510"/>
      <c r="DZ60" s="2510"/>
      <c r="EA60" s="2510"/>
      <c r="EB60" s="2510"/>
      <c r="EC60" s="2510"/>
      <c r="ED60" s="2510"/>
      <c r="EE60" s="2510"/>
      <c r="EF60" s="2472"/>
      <c r="EG60" s="2472"/>
      <c r="EH60" s="2510"/>
      <c r="EI60" s="2472"/>
      <c r="EJ60" s="2510"/>
      <c r="EK60" s="2510"/>
      <c r="EL60" s="2510"/>
      <c r="EM60" s="2472"/>
      <c r="EN60" s="2510"/>
      <c r="EO60" s="2510"/>
      <c r="EP60" s="2510"/>
      <c r="EQ60" s="2510"/>
      <c r="ER60" s="2510"/>
      <c r="ES60" s="2510"/>
      <c r="ET60" s="2510"/>
      <c r="EU60" s="2510"/>
      <c r="EV60" s="2510"/>
      <c r="EW60" s="2510"/>
      <c r="EX60" s="2510"/>
      <c r="EY60" s="2472"/>
      <c r="EZ60" s="2510"/>
      <c r="FA60" s="2510"/>
      <c r="FB60" s="2510"/>
      <c r="FC60" s="2510"/>
      <c r="FD60" s="2510"/>
      <c r="FE60" s="2510"/>
      <c r="FF60" s="2472"/>
      <c r="FG60" s="2510"/>
      <c r="FH60" s="2472">
        <v>5460</v>
      </c>
      <c r="FI60" s="2510"/>
      <c r="FJ60" s="2510"/>
      <c r="FK60" s="2510"/>
      <c r="FL60" s="2510"/>
      <c r="FM60" s="2510"/>
      <c r="FN60" s="2510"/>
      <c r="FO60" s="2510"/>
      <c r="FP60" s="2510"/>
      <c r="FQ60" s="2510"/>
      <c r="FR60" s="2510"/>
      <c r="FS60" s="2510"/>
      <c r="FT60" s="2510"/>
      <c r="FU60" s="2510"/>
      <c r="FV60" s="2510"/>
      <c r="FW60" s="2510"/>
      <c r="FX60" s="2510"/>
      <c r="FY60" s="2510"/>
      <c r="FZ60" s="2510"/>
      <c r="GA60" s="2510"/>
      <c r="GB60" s="2510"/>
      <c r="GC60" s="2510"/>
      <c r="GD60" s="2510"/>
      <c r="GE60" s="2510"/>
      <c r="GF60" s="2510"/>
      <c r="GG60" s="2510"/>
      <c r="GH60" s="2510"/>
      <c r="GI60" s="2510"/>
      <c r="GJ60" s="2472"/>
      <c r="GK60" s="2510"/>
      <c r="GL60" s="2510"/>
      <c r="GM60" s="2510"/>
      <c r="GN60" s="2510"/>
      <c r="GO60" s="2510"/>
      <c r="GP60" s="2510"/>
      <c r="GQ60" s="2510"/>
      <c r="GR60" s="2510"/>
      <c r="GS60" s="2510"/>
      <c r="GT60" s="2510"/>
      <c r="GU60" s="2510"/>
      <c r="GV60" s="2510"/>
      <c r="GW60" s="2510"/>
      <c r="GX60" s="2472"/>
      <c r="GY60" s="2510"/>
      <c r="GZ60" s="2510"/>
      <c r="HA60" s="2510"/>
      <c r="HB60" s="2472"/>
      <c r="HC60" s="2472">
        <v>5460</v>
      </c>
      <c r="HD60" s="2510"/>
      <c r="HE60" s="2510"/>
      <c r="HF60" s="2510"/>
      <c r="HG60" s="2510"/>
      <c r="HH60" s="2510"/>
      <c r="HI60" s="2510"/>
      <c r="HJ60" s="2510"/>
      <c r="HK60" s="2510"/>
      <c r="HL60" s="2510"/>
      <c r="HM60" s="2510"/>
      <c r="HN60" s="2510"/>
      <c r="HO60" s="2472"/>
      <c r="HP60" s="2510"/>
      <c r="HQ60" s="2510"/>
      <c r="HR60" s="2510"/>
      <c r="HS60" s="2510"/>
      <c r="HT60" s="2510"/>
      <c r="HU60" s="2510"/>
      <c r="HV60" s="2510"/>
      <c r="HW60" s="2510"/>
      <c r="HX60" s="2510"/>
      <c r="HY60" s="2510"/>
      <c r="HZ60" s="2510"/>
      <c r="IA60" s="2510"/>
      <c r="IB60" s="2510"/>
      <c r="IC60" s="2510"/>
      <c r="ID60" s="2510"/>
      <c r="IE60" s="2510"/>
      <c r="IF60" s="2510"/>
      <c r="IG60" s="2510"/>
      <c r="IH60" s="2510"/>
      <c r="II60" s="2510"/>
      <c r="IJ60" s="2510"/>
      <c r="IK60" s="2510"/>
      <c r="IL60" s="2510"/>
      <c r="IM60" s="2510"/>
      <c r="IN60" s="2510"/>
      <c r="IO60" s="2510"/>
      <c r="IP60" s="2510"/>
      <c r="IQ60" s="2510"/>
      <c r="IR60" s="2510"/>
      <c r="IS60" s="2510"/>
      <c r="IT60" s="2510"/>
      <c r="IU60" s="2510"/>
      <c r="IV60" s="2510"/>
      <c r="IW60" s="2510"/>
      <c r="IX60" s="2510"/>
      <c r="IY60" s="2510"/>
      <c r="IZ60" s="2510"/>
      <c r="JA60" s="2510"/>
      <c r="JB60" s="2510"/>
      <c r="JC60" s="2510"/>
      <c r="JD60" s="2510"/>
      <c r="JE60" s="2510"/>
      <c r="JF60" s="2510"/>
      <c r="JG60" s="2479"/>
      <c r="JH60" s="1233"/>
      <c r="JI60" s="4280" t="s">
        <v>5479</v>
      </c>
      <c r="JJ60" s="2248" t="s">
        <v>6108</v>
      </c>
    </row>
    <row ht="22.5" r="61" spans="1:270" x14ac:dyDescent="0.2">
      <c r="A61" s="1128">
        <v>18</v>
      </c>
      <c r="B61" s="1347" t="str">
        <f ref="B61:B125" si="4" t="shared">IF(SE_B_IND&gt;1,IF(HLOOKUP(SE_B_IND-1,FSE_RANGE,A61)="","",HLOOKUP(SE_B_IND-1,FSE_RANGE,A61)),"")</f>
        <v/>
      </c>
      <c r="C61" s="1278" t="s">
        <v>6596</v>
      </c>
      <c r="D61" s="1350" t="s">
        <v>6595</v>
      </c>
      <c r="E61" s="2472"/>
      <c r="F61" s="2472"/>
      <c r="G61" s="2472"/>
      <c r="H61" s="2472"/>
      <c r="I61" s="2472"/>
      <c r="J61" s="2511"/>
      <c r="K61" s="2472"/>
      <c r="L61" s="2472"/>
      <c r="M61" s="2472"/>
      <c r="N61" s="2472"/>
      <c r="O61" s="2509"/>
      <c r="P61" s="2509"/>
      <c r="Q61" s="2472"/>
      <c r="R61" s="2509"/>
      <c r="S61" s="2472"/>
      <c r="T61" s="2510"/>
      <c r="U61" s="2510"/>
      <c r="V61" s="2510"/>
      <c r="W61" s="2510"/>
      <c r="X61" s="2510"/>
      <c r="Y61" s="2510"/>
      <c r="Z61" s="2510"/>
      <c r="AA61" s="2510"/>
      <c r="AB61" s="2510"/>
      <c r="AC61" s="2472"/>
      <c r="AD61" s="2841"/>
      <c r="AE61" s="2841"/>
      <c r="AF61" s="2841"/>
      <c r="AG61" s="2841"/>
      <c r="AH61" s="2841"/>
      <c r="AI61" s="2510"/>
      <c r="AJ61" s="2472"/>
      <c r="AK61" s="2510"/>
      <c r="AL61" s="2472"/>
      <c r="AM61" s="2510"/>
      <c r="AN61" s="2510"/>
      <c r="AO61" s="2510"/>
      <c r="AP61" s="2510"/>
      <c r="AQ61" s="2510"/>
      <c r="AR61" s="2510"/>
      <c r="AS61" s="2510"/>
      <c r="AT61" s="2510"/>
      <c r="AU61" s="2510"/>
      <c r="AV61" s="2472"/>
      <c r="AW61" s="2510"/>
      <c r="AX61" s="2510"/>
      <c r="AY61" s="2510"/>
      <c r="AZ61" s="2510"/>
      <c r="BA61" s="2510"/>
      <c r="BB61" s="2510"/>
      <c r="BC61" s="2510"/>
      <c r="BD61" s="2510"/>
      <c r="BE61" s="2510"/>
      <c r="BF61" s="2510"/>
      <c r="BG61" s="2510"/>
      <c r="BH61" s="3956"/>
      <c r="BI61" s="3956"/>
      <c r="BJ61" s="2472"/>
      <c r="BK61" s="2510"/>
      <c r="BL61" s="2510"/>
      <c r="BM61" s="2510"/>
      <c r="BN61" s="2510"/>
      <c r="BO61" s="2510"/>
      <c r="BP61" s="2472"/>
      <c r="BQ61" s="2510"/>
      <c r="BR61" s="2510"/>
      <c r="BS61" s="2510"/>
      <c r="BT61" s="2510"/>
      <c r="BU61" s="2510"/>
      <c r="BV61" s="2510"/>
      <c r="BW61" s="2510"/>
      <c r="BX61" s="2510"/>
      <c r="BY61" s="2510"/>
      <c r="BZ61" s="2510"/>
      <c r="CA61" s="2510"/>
      <c r="CB61" s="2472"/>
      <c r="CC61" s="2510"/>
      <c r="CD61" s="2510"/>
      <c r="CE61" s="2510"/>
      <c r="CF61" s="2472"/>
      <c r="CG61" s="2510"/>
      <c r="CH61" s="2472"/>
      <c r="CI61" s="2510"/>
      <c r="CJ61" s="2510"/>
      <c r="CK61" s="2510"/>
      <c r="CL61" s="2472"/>
      <c r="CM61" s="2510"/>
      <c r="CN61" s="2510"/>
      <c r="CO61" s="2510"/>
      <c r="CP61" s="2510"/>
      <c r="CQ61" s="2510"/>
      <c r="CR61" s="2472"/>
      <c r="CS61" s="2472"/>
      <c r="CT61" s="2510"/>
      <c r="CU61" s="2472"/>
      <c r="CV61" s="2472"/>
      <c r="CW61" s="2510"/>
      <c r="CX61" s="2510"/>
      <c r="CY61" s="2510"/>
      <c r="CZ61" s="2510"/>
      <c r="DA61" s="2510"/>
      <c r="DB61" s="2510"/>
      <c r="DC61" s="2472"/>
      <c r="DD61" s="2510"/>
      <c r="DE61" s="2510"/>
      <c r="DF61" s="2510"/>
      <c r="DG61" s="2510"/>
      <c r="DH61" s="2510"/>
      <c r="DI61" s="2510"/>
      <c r="DJ61" s="2472"/>
      <c r="DK61" s="2510"/>
      <c r="DL61" s="2510"/>
      <c r="DM61" s="2510"/>
      <c r="DN61" s="2510"/>
      <c r="DO61" s="2472"/>
      <c r="DP61" s="2510"/>
      <c r="DQ61" s="2510"/>
      <c r="DR61" s="2510"/>
      <c r="DS61" s="2510"/>
      <c r="DT61" s="2510"/>
      <c r="DU61" s="2510"/>
      <c r="DV61" s="2510"/>
      <c r="DW61" s="2510"/>
      <c r="DX61" s="2510"/>
      <c r="DY61" s="2510"/>
      <c r="DZ61" s="2510"/>
      <c r="EA61" s="2510"/>
      <c r="EB61" s="2510"/>
      <c r="EC61" s="2510"/>
      <c r="ED61" s="2510"/>
      <c r="EE61" s="2510"/>
      <c r="EF61" s="2472"/>
      <c r="EG61" s="2472"/>
      <c r="EH61" s="2510"/>
      <c r="EI61" s="2472"/>
      <c r="EJ61" s="2510"/>
      <c r="EK61" s="2510"/>
      <c r="EL61" s="2510"/>
      <c r="EM61" s="2472"/>
      <c r="EN61" s="2510"/>
      <c r="EO61" s="2510"/>
      <c r="EP61" s="2510"/>
      <c r="EQ61" s="2510"/>
      <c r="ER61" s="2510"/>
      <c r="ES61" s="2510"/>
      <c r="ET61" s="2510"/>
      <c r="EU61" s="2510"/>
      <c r="EV61" s="2510"/>
      <c r="EW61" s="2510"/>
      <c r="EX61" s="2510"/>
      <c r="EY61" s="2472"/>
      <c r="EZ61" s="2510"/>
      <c r="FA61" s="2510"/>
      <c r="FB61" s="2510"/>
      <c r="FC61" s="2510"/>
      <c r="FD61" s="2510"/>
      <c r="FE61" s="2510"/>
      <c r="FF61" s="2472"/>
      <c r="FG61" s="2510"/>
      <c r="FH61" s="2472"/>
      <c r="FI61" s="2510"/>
      <c r="FJ61" s="2510"/>
      <c r="FK61" s="2510"/>
      <c r="FL61" s="2510"/>
      <c r="FM61" s="2510"/>
      <c r="FN61" s="2510"/>
      <c r="FO61" s="2510"/>
      <c r="FP61" s="2510"/>
      <c r="FQ61" s="2510"/>
      <c r="FR61" s="2510"/>
      <c r="FS61" s="2510"/>
      <c r="FT61" s="2510"/>
      <c r="FU61" s="2510"/>
      <c r="FV61" s="2510"/>
      <c r="FW61" s="2510"/>
      <c r="FX61" s="2510"/>
      <c r="FY61" s="2510"/>
      <c r="FZ61" s="2510"/>
      <c r="GA61" s="2510"/>
      <c r="GB61" s="2510"/>
      <c r="GC61" s="2510"/>
      <c r="GD61" s="2510"/>
      <c r="GE61" s="2510"/>
      <c r="GF61" s="2510"/>
      <c r="GG61" s="2510"/>
      <c r="GH61" s="2510"/>
      <c r="GI61" s="2510"/>
      <c r="GJ61" s="2472"/>
      <c r="GK61" s="2510"/>
      <c r="GL61" s="2510"/>
      <c r="GM61" s="2510"/>
      <c r="GN61" s="2510"/>
      <c r="GO61" s="2510"/>
      <c r="GP61" s="2510"/>
      <c r="GQ61" s="2510"/>
      <c r="GR61" s="2510"/>
      <c r="GS61" s="2510"/>
      <c r="GT61" s="2510"/>
      <c r="GU61" s="2510"/>
      <c r="GV61" s="2510"/>
      <c r="GW61" s="2510"/>
      <c r="GX61" s="2472"/>
      <c r="GY61" s="2510"/>
      <c r="GZ61" s="2510"/>
      <c r="HA61" s="2510"/>
      <c r="HB61" s="2472"/>
      <c r="HC61" s="2472"/>
      <c r="HD61" s="2510"/>
      <c r="HE61" s="2510"/>
      <c r="HF61" s="2510"/>
      <c r="HG61" s="2510"/>
      <c r="HH61" s="2510"/>
      <c r="HI61" s="2510"/>
      <c r="HJ61" s="2510"/>
      <c r="HK61" s="2510"/>
      <c r="HL61" s="2510"/>
      <c r="HM61" s="2510"/>
      <c r="HN61" s="2510"/>
      <c r="HO61" s="2472"/>
      <c r="HP61" s="2510"/>
      <c r="HQ61" s="2510"/>
      <c r="HR61" s="2510"/>
      <c r="HS61" s="2510"/>
      <c r="HT61" s="2510"/>
      <c r="HU61" s="2510"/>
      <c r="HV61" s="2510"/>
      <c r="HW61" s="2510"/>
      <c r="HX61" s="2510"/>
      <c r="HY61" s="2510"/>
      <c r="HZ61" s="2510"/>
      <c r="IA61" s="2510"/>
      <c r="IB61" s="2510"/>
      <c r="IC61" s="2510"/>
      <c r="ID61" s="2510"/>
      <c r="IE61" s="2510"/>
      <c r="IF61" s="2510"/>
      <c r="IG61" s="2510"/>
      <c r="IH61" s="2510"/>
      <c r="II61" s="2510"/>
      <c r="IJ61" s="2510"/>
      <c r="IK61" s="2510"/>
      <c r="IL61" s="2510"/>
      <c r="IM61" s="2510"/>
      <c r="IN61" s="2510"/>
      <c r="IO61" s="2510"/>
      <c r="IP61" s="2510"/>
      <c r="IQ61" s="2510"/>
      <c r="IR61" s="2510"/>
      <c r="IS61" s="2510"/>
      <c r="IT61" s="2510"/>
      <c r="IU61" s="2510"/>
      <c r="IV61" s="2510"/>
      <c r="IW61" s="2510"/>
      <c r="IX61" s="2510"/>
      <c r="IY61" s="2510"/>
      <c r="IZ61" s="2510"/>
      <c r="JA61" s="2510"/>
      <c r="JB61" s="2510"/>
      <c r="JC61" s="2510"/>
      <c r="JD61" s="2510"/>
      <c r="JE61" s="2510"/>
      <c r="JF61" s="2510"/>
      <c r="JG61" s="2479"/>
      <c r="JH61" s="1233"/>
      <c r="JI61" s="2248" t="s">
        <v>8854</v>
      </c>
      <c r="JJ61" s="2248" t="s">
        <v>6108</v>
      </c>
    </row>
    <row r="62" spans="1:270" x14ac:dyDescent="0.2">
      <c r="A62" s="1128">
        <v>19</v>
      </c>
      <c r="B62" s="1347">
        <f si="4" t="shared"/>
        <v>25000</v>
      </c>
      <c r="C62" s="1278" t="s">
        <v>1121</v>
      </c>
      <c r="D62" s="1350" t="s">
        <v>5449</v>
      </c>
      <c r="E62" s="2472"/>
      <c r="F62" s="2472"/>
      <c r="G62" s="2472">
        <v>25000</v>
      </c>
      <c r="H62" s="2472"/>
      <c r="I62" s="2472">
        <v>25000</v>
      </c>
      <c r="J62" s="2511"/>
      <c r="K62" s="2472"/>
      <c r="L62" s="2472">
        <v>25000</v>
      </c>
      <c r="M62" s="2472"/>
      <c r="N62" s="2472"/>
      <c r="O62" s="2509"/>
      <c r="P62" s="2509"/>
      <c r="Q62" s="2472">
        <v>25000</v>
      </c>
      <c r="R62" s="2509"/>
      <c r="S62" s="2472">
        <v>25000</v>
      </c>
      <c r="T62" s="2510"/>
      <c r="U62" s="2510"/>
      <c r="V62" s="2510"/>
      <c r="W62" s="2510"/>
      <c r="X62" s="2510"/>
      <c r="Y62" s="2510"/>
      <c r="Z62" s="2510"/>
      <c r="AA62" s="2510"/>
      <c r="AB62" s="2510"/>
      <c r="AC62" s="2472">
        <v>25000</v>
      </c>
      <c r="AD62" s="2841"/>
      <c r="AE62" s="2841"/>
      <c r="AF62" s="2841"/>
      <c r="AG62" s="2841"/>
      <c r="AH62" s="2841"/>
      <c r="AI62" s="2510"/>
      <c r="AJ62" s="2472">
        <v>19144</v>
      </c>
      <c r="AK62" s="2510"/>
      <c r="AL62" s="2472">
        <v>75512</v>
      </c>
      <c r="AM62" s="2510"/>
      <c r="AN62" s="2510"/>
      <c r="AO62" s="2510"/>
      <c r="AP62" s="2510"/>
      <c r="AQ62" s="2510"/>
      <c r="AR62" s="2510"/>
      <c r="AS62" s="2510"/>
      <c r="AT62" s="2510"/>
      <c r="AU62" s="2510"/>
      <c r="AV62" s="2472">
        <v>23569</v>
      </c>
      <c r="AW62" s="2510"/>
      <c r="AX62" s="2510"/>
      <c r="AY62" s="2510"/>
      <c r="AZ62" s="2510"/>
      <c r="BA62" s="2510"/>
      <c r="BB62" s="2510"/>
      <c r="BC62" s="2510"/>
      <c r="BD62" s="2510"/>
      <c r="BE62" s="2510"/>
      <c r="BF62" s="2510"/>
      <c r="BG62" s="2510"/>
      <c r="BH62" s="3956"/>
      <c r="BI62" s="3956"/>
      <c r="BJ62" s="2472">
        <v>75512</v>
      </c>
      <c r="BK62" s="2510"/>
      <c r="BL62" s="2510"/>
      <c r="BM62" s="2510"/>
      <c r="BN62" s="2510"/>
      <c r="BO62" s="2510"/>
      <c r="BP62" s="2472">
        <v>25000</v>
      </c>
      <c r="BQ62" s="2510"/>
      <c r="BR62" s="2510"/>
      <c r="BS62" s="2510"/>
      <c r="BT62" s="2510"/>
      <c r="BU62" s="2510"/>
      <c r="BV62" s="2510"/>
      <c r="BW62" s="2510"/>
      <c r="BX62" s="2510"/>
      <c r="BY62" s="2510"/>
      <c r="BZ62" s="2510"/>
      <c r="CA62" s="2510"/>
      <c r="CB62" s="3728">
        <v>20920</v>
      </c>
      <c r="CC62" s="2510"/>
      <c r="CD62" s="2510"/>
      <c r="CE62" s="2510"/>
      <c r="CF62" s="2472">
        <v>19144</v>
      </c>
      <c r="CG62" s="2510"/>
      <c r="CH62" s="2472">
        <v>25000</v>
      </c>
      <c r="CI62" s="2510"/>
      <c r="CJ62" s="2510"/>
      <c r="CK62" s="2510"/>
      <c r="CL62" s="2472">
        <v>75512</v>
      </c>
      <c r="CM62" s="2510"/>
      <c r="CN62" s="2510"/>
      <c r="CO62" s="2510"/>
      <c r="CP62" s="2510"/>
      <c r="CQ62" s="2510"/>
      <c r="CR62" s="2472">
        <v>75512</v>
      </c>
      <c r="CS62" s="2472">
        <v>75512</v>
      </c>
      <c r="CT62" s="2510"/>
      <c r="CU62" s="2472"/>
      <c r="CV62" s="2472"/>
      <c r="CW62" s="2510"/>
      <c r="CX62" s="2510"/>
      <c r="CY62" s="2510"/>
      <c r="CZ62" s="2510"/>
      <c r="DA62" s="2510"/>
      <c r="DB62" s="2510"/>
      <c r="DC62" s="2472"/>
      <c r="DD62" s="2510"/>
      <c r="DE62" s="2510"/>
      <c r="DF62" s="2510"/>
      <c r="DG62" s="2510"/>
      <c r="DH62" s="2510"/>
      <c r="DI62" s="2510"/>
      <c r="DJ62" s="2472"/>
      <c r="DK62" s="2510"/>
      <c r="DL62" s="2510"/>
      <c r="DM62" s="2510"/>
      <c r="DN62" s="2510"/>
      <c r="DO62" s="2472">
        <v>23569</v>
      </c>
      <c r="DP62" s="2510"/>
      <c r="DQ62" s="2510"/>
      <c r="DR62" s="2510"/>
      <c r="DS62" s="2510"/>
      <c r="DT62" s="2510"/>
      <c r="DU62" s="2510"/>
      <c r="DV62" s="2510"/>
      <c r="DW62" s="2510"/>
      <c r="DX62" s="2510"/>
      <c r="DY62" s="2510"/>
      <c r="DZ62" s="2510"/>
      <c r="EA62" s="2510"/>
      <c r="EB62" s="2510"/>
      <c r="EC62" s="2510"/>
      <c r="ED62" s="2510"/>
      <c r="EE62" s="2510"/>
      <c r="EF62" s="2472"/>
      <c r="EG62" s="2472">
        <v>2577</v>
      </c>
      <c r="EH62" s="2510"/>
      <c r="EI62" s="642"/>
      <c r="EJ62" s="2510"/>
      <c r="EK62" s="2510"/>
      <c r="EL62" s="2510"/>
      <c r="EM62" s="2472">
        <v>75512</v>
      </c>
      <c r="EN62" s="2510"/>
      <c r="EO62" s="2510"/>
      <c r="EP62" s="2510"/>
      <c r="EQ62" s="2510"/>
      <c r="ER62" s="2510"/>
      <c r="ES62" s="2510"/>
      <c r="ET62" s="2510"/>
      <c r="EU62" s="2510"/>
      <c r="EV62" s="2510"/>
      <c r="EW62" s="2510"/>
      <c r="EX62" s="2510"/>
      <c r="EY62" s="2472">
        <v>75512</v>
      </c>
      <c r="EZ62" s="2510"/>
      <c r="FA62" s="2510"/>
      <c r="FB62" s="2510"/>
      <c r="FC62" s="2510"/>
      <c r="FD62" s="2510"/>
      <c r="FE62" s="2510"/>
      <c r="FF62" s="2472">
        <v>19144</v>
      </c>
      <c r="FG62" s="2510"/>
      <c r="FH62" s="2472"/>
      <c r="FI62" s="2510"/>
      <c r="FJ62" s="2510"/>
      <c r="FK62" s="2510"/>
      <c r="FL62" s="2510"/>
      <c r="FM62" s="2510"/>
      <c r="FN62" s="2510"/>
      <c r="FO62" s="2510"/>
      <c r="FP62" s="2510"/>
      <c r="FQ62" s="2510"/>
      <c r="FR62" s="2510"/>
      <c r="FS62" s="2510"/>
      <c r="FT62" s="2510"/>
      <c r="FU62" s="2510"/>
      <c r="FV62" s="2510"/>
      <c r="FW62" s="2510"/>
      <c r="FX62" s="2510"/>
      <c r="FY62" s="2510"/>
      <c r="FZ62" s="2510"/>
      <c r="GA62" s="2510"/>
      <c r="GB62" s="2510"/>
      <c r="GC62" s="2510"/>
      <c r="GD62" s="2510"/>
      <c r="GE62" s="2510"/>
      <c r="GF62" s="2510"/>
      <c r="GG62" s="2510"/>
      <c r="GH62" s="2510"/>
      <c r="GI62" s="2510"/>
      <c r="GJ62" s="642"/>
      <c r="GK62" s="2510"/>
      <c r="GL62" s="2510"/>
      <c r="GM62" s="2510"/>
      <c r="GN62" s="2510"/>
      <c r="GO62" s="2510"/>
      <c r="GP62" s="2510"/>
      <c r="GQ62" s="2510"/>
      <c r="GR62" s="2510"/>
      <c r="GS62" s="2510"/>
      <c r="GT62" s="2510"/>
      <c r="GU62" s="2510"/>
      <c r="GV62" s="2510"/>
      <c r="GW62" s="2510"/>
      <c r="GX62" s="2472"/>
      <c r="GY62" s="2510"/>
      <c r="GZ62" s="2510"/>
      <c r="HA62" s="2510"/>
      <c r="HB62" s="2472">
        <v>23569</v>
      </c>
      <c r="HC62" s="2472"/>
      <c r="HD62" s="2510"/>
      <c r="HE62" s="2510"/>
      <c r="HF62" s="2510"/>
      <c r="HG62" s="2510"/>
      <c r="HH62" s="2510"/>
      <c r="HI62" s="2510"/>
      <c r="HJ62" s="2510"/>
      <c r="HK62" s="2510"/>
      <c r="HL62" s="2510"/>
      <c r="HM62" s="2510"/>
      <c r="HN62" s="2510"/>
      <c r="HO62" s="2472">
        <v>25000</v>
      </c>
      <c r="HP62" s="2510"/>
      <c r="HQ62" s="2510"/>
      <c r="HR62" s="2510"/>
      <c r="HS62" s="2510"/>
      <c r="HT62" s="2510"/>
      <c r="HU62" s="2510"/>
      <c r="HV62" s="2510"/>
      <c r="HW62" s="2510"/>
      <c r="HX62" s="2510"/>
      <c r="HY62" s="2510"/>
      <c r="HZ62" s="2510"/>
      <c r="IA62" s="2510"/>
      <c r="IB62" s="2510"/>
      <c r="IC62" s="2510"/>
      <c r="ID62" s="2510"/>
      <c r="IE62" s="2510"/>
      <c r="IF62" s="2510"/>
      <c r="IG62" s="2510"/>
      <c r="IH62" s="2510"/>
      <c r="II62" s="2510"/>
      <c r="IJ62" s="2510"/>
      <c r="IK62" s="2510"/>
      <c r="IL62" s="2510"/>
      <c r="IM62" s="2510"/>
      <c r="IN62" s="2510"/>
      <c r="IO62" s="2510"/>
      <c r="IP62" s="2510"/>
      <c r="IQ62" s="2510"/>
      <c r="IR62" s="2510"/>
      <c r="IS62" s="2510"/>
      <c r="IT62" s="2510"/>
      <c r="IU62" s="2510"/>
      <c r="IV62" s="2510"/>
      <c r="IW62" s="2510"/>
      <c r="IX62" s="2510"/>
      <c r="IY62" s="2510"/>
      <c r="IZ62" s="2510"/>
      <c r="JA62" s="2510"/>
      <c r="JB62" s="2510"/>
      <c r="JC62" s="2510"/>
      <c r="JD62" s="2510"/>
      <c r="JE62" s="2510"/>
      <c r="JF62" s="2510"/>
      <c r="JG62" s="2479"/>
      <c r="JH62" s="1233"/>
      <c r="JI62" s="2248" t="s">
        <v>8855</v>
      </c>
      <c r="JJ62" s="2248" t="s">
        <v>6127</v>
      </c>
    </row>
    <row r="63" spans="1:270" x14ac:dyDescent="0.2">
      <c r="A63" s="1128">
        <v>20</v>
      </c>
      <c r="B63" s="1347" t="str">
        <f si="4" t="shared"/>
        <v/>
      </c>
      <c r="C63" s="1278" t="s">
        <v>1122</v>
      </c>
      <c r="D63" s="1350" t="s">
        <v>5499</v>
      </c>
      <c r="E63" s="2472"/>
      <c r="F63" s="2472"/>
      <c r="G63" s="2472"/>
      <c r="H63" s="2472"/>
      <c r="I63" s="2472"/>
      <c r="J63" s="2511"/>
      <c r="K63" s="2472"/>
      <c r="L63" s="2472"/>
      <c r="M63" s="2472"/>
      <c r="N63" s="2472"/>
      <c r="O63" s="2509"/>
      <c r="P63" s="2509"/>
      <c r="Q63" s="2472"/>
      <c r="R63" s="2509"/>
      <c r="S63" s="2472"/>
      <c r="T63" s="2510"/>
      <c r="U63" s="2510"/>
      <c r="V63" s="2510"/>
      <c r="W63" s="2510"/>
      <c r="X63" s="2510"/>
      <c r="Y63" s="2510"/>
      <c r="Z63" s="2510"/>
      <c r="AA63" s="2510"/>
      <c r="AB63" s="2510"/>
      <c r="AC63" s="2472"/>
      <c r="AD63" s="2841"/>
      <c r="AE63" s="2841"/>
      <c r="AF63" s="2841"/>
      <c r="AG63" s="2841"/>
      <c r="AH63" s="2841"/>
      <c r="AI63" s="2510"/>
      <c r="AJ63" s="2472"/>
      <c r="AK63" s="2510"/>
      <c r="AL63" s="2472"/>
      <c r="AM63" s="2510"/>
      <c r="AN63" s="2510"/>
      <c r="AO63" s="2510"/>
      <c r="AP63" s="2510"/>
      <c r="AQ63" s="2510"/>
      <c r="AR63" s="2510"/>
      <c r="AS63" s="2510"/>
      <c r="AT63" s="2510"/>
      <c r="AU63" s="2510"/>
      <c r="AV63" s="2472"/>
      <c r="AW63" s="2510"/>
      <c r="AX63" s="2510"/>
      <c r="AY63" s="2510"/>
      <c r="AZ63" s="2510"/>
      <c r="BA63" s="2510"/>
      <c r="BB63" s="2510"/>
      <c r="BC63" s="2510"/>
      <c r="BD63" s="2510"/>
      <c r="BE63" s="2510"/>
      <c r="BF63" s="2510"/>
      <c r="BG63" s="2510"/>
      <c r="BH63" s="3956"/>
      <c r="BI63" s="3956"/>
      <c r="BJ63" s="2472"/>
      <c r="BK63" s="2510"/>
      <c r="BL63" s="2510"/>
      <c r="BM63" s="2510"/>
      <c r="BN63" s="2510"/>
      <c r="BO63" s="2510"/>
      <c r="BP63" s="2472"/>
      <c r="BQ63" s="2510"/>
      <c r="BR63" s="2510"/>
      <c r="BS63" s="2510"/>
      <c r="BT63" s="2510"/>
      <c r="BU63" s="2510"/>
      <c r="BV63" s="2510"/>
      <c r="BW63" s="2510"/>
      <c r="BX63" s="2510"/>
      <c r="BY63" s="2510"/>
      <c r="BZ63" s="2510"/>
      <c r="CA63" s="2510"/>
      <c r="CB63" s="2472"/>
      <c r="CC63" s="2510"/>
      <c r="CD63" s="2510"/>
      <c r="CE63" s="2510"/>
      <c r="CF63" s="2472"/>
      <c r="CG63" s="2510"/>
      <c r="CH63" s="2472"/>
      <c r="CI63" s="2510"/>
      <c r="CJ63" s="2510"/>
      <c r="CK63" s="2510"/>
      <c r="CL63" s="2472"/>
      <c r="CM63" s="2510"/>
      <c r="CN63" s="2510"/>
      <c r="CO63" s="2510"/>
      <c r="CP63" s="2510"/>
      <c r="CQ63" s="2510"/>
      <c r="CR63" s="2472"/>
      <c r="CS63" s="2472"/>
      <c r="CT63" s="2510"/>
      <c r="CU63" s="2472"/>
      <c r="CV63" s="2472"/>
      <c r="CW63" s="2510"/>
      <c r="CX63" s="2510"/>
      <c r="CY63" s="2510"/>
      <c r="CZ63" s="2510"/>
      <c r="DA63" s="2510"/>
      <c r="DB63" s="2510"/>
      <c r="DC63" s="2472"/>
      <c r="DD63" s="2510"/>
      <c r="DE63" s="2510"/>
      <c r="DF63" s="2510"/>
      <c r="DG63" s="2510"/>
      <c r="DH63" s="2510"/>
      <c r="DI63" s="2510"/>
      <c r="DJ63" s="2472"/>
      <c r="DK63" s="2510"/>
      <c r="DL63" s="2510"/>
      <c r="DM63" s="2510"/>
      <c r="DN63" s="2510"/>
      <c r="DO63" s="2472"/>
      <c r="DP63" s="2510"/>
      <c r="DQ63" s="2510"/>
      <c r="DR63" s="2510"/>
      <c r="DS63" s="2510"/>
      <c r="DT63" s="2510"/>
      <c r="DU63" s="2510"/>
      <c r="DV63" s="2510"/>
      <c r="DW63" s="2510"/>
      <c r="DX63" s="2510"/>
      <c r="DY63" s="2510"/>
      <c r="DZ63" s="2510"/>
      <c r="EA63" s="2510"/>
      <c r="EB63" s="2510"/>
      <c r="EC63" s="2510"/>
      <c r="ED63" s="2510"/>
      <c r="EE63" s="2510"/>
      <c r="EF63" s="2472"/>
      <c r="EG63" s="2472"/>
      <c r="EH63" s="2510"/>
      <c r="EI63" s="2472">
        <v>300</v>
      </c>
      <c r="EJ63" s="2510"/>
      <c r="EK63" s="2510"/>
      <c r="EL63" s="2510"/>
      <c r="EM63" s="2472"/>
      <c r="EN63" s="2510"/>
      <c r="EO63" s="2510"/>
      <c r="EP63" s="2510"/>
      <c r="EQ63" s="2510"/>
      <c r="ER63" s="2510"/>
      <c r="ES63" s="2510"/>
      <c r="ET63" s="2510"/>
      <c r="EU63" s="2510"/>
      <c r="EV63" s="2510"/>
      <c r="EW63" s="2510"/>
      <c r="EX63" s="2510"/>
      <c r="EY63" s="2472"/>
      <c r="EZ63" s="2510"/>
      <c r="FA63" s="2510"/>
      <c r="FB63" s="2510"/>
      <c r="FC63" s="2510"/>
      <c r="FD63" s="2510"/>
      <c r="FE63" s="2510"/>
      <c r="FF63" s="2472"/>
      <c r="FG63" s="2510"/>
      <c r="FH63" s="2472"/>
      <c r="FI63" s="2510"/>
      <c r="FJ63" s="2510"/>
      <c r="FK63" s="2510"/>
      <c r="FL63" s="2510"/>
      <c r="FM63" s="2510"/>
      <c r="FN63" s="2510"/>
      <c r="FO63" s="2510"/>
      <c r="FP63" s="2510"/>
      <c r="FQ63" s="2510"/>
      <c r="FR63" s="2510"/>
      <c r="FS63" s="2510"/>
      <c r="FT63" s="2510"/>
      <c r="FU63" s="2510"/>
      <c r="FV63" s="2510"/>
      <c r="FW63" s="2510"/>
      <c r="FX63" s="2510"/>
      <c r="FY63" s="2510"/>
      <c r="FZ63" s="2510"/>
      <c r="GA63" s="2510"/>
      <c r="GB63" s="2510"/>
      <c r="GC63" s="2510"/>
      <c r="GD63" s="2510"/>
      <c r="GE63" s="2510"/>
      <c r="GF63" s="2510"/>
      <c r="GG63" s="2510"/>
      <c r="GH63" s="2510"/>
      <c r="GI63" s="2510"/>
      <c r="GJ63" s="2472">
        <v>300</v>
      </c>
      <c r="GK63" s="2510"/>
      <c r="GL63" s="2510"/>
      <c r="GM63" s="2510"/>
      <c r="GN63" s="2510"/>
      <c r="GO63" s="2510"/>
      <c r="GP63" s="2510"/>
      <c r="GQ63" s="2510"/>
      <c r="GR63" s="2510"/>
      <c r="GS63" s="2510"/>
      <c r="GT63" s="2510"/>
      <c r="GU63" s="2510"/>
      <c r="GV63" s="2510"/>
      <c r="GW63" s="2510"/>
      <c r="GX63" s="2472"/>
      <c r="GY63" s="2510"/>
      <c r="GZ63" s="2510"/>
      <c r="HA63" s="2510"/>
      <c r="HB63" s="2472"/>
      <c r="HC63" s="2472"/>
      <c r="HD63" s="2510"/>
      <c r="HE63" s="2510"/>
      <c r="HF63" s="2510"/>
      <c r="HG63" s="2510"/>
      <c r="HH63" s="2510"/>
      <c r="HI63" s="2510"/>
      <c r="HJ63" s="2510"/>
      <c r="HK63" s="2510"/>
      <c r="HL63" s="2510"/>
      <c r="HM63" s="2510"/>
      <c r="HN63" s="2510"/>
      <c r="HO63" s="2472"/>
      <c r="HP63" s="2510"/>
      <c r="HQ63" s="2510"/>
      <c r="HR63" s="2510"/>
      <c r="HS63" s="2510"/>
      <c r="HT63" s="2510"/>
      <c r="HU63" s="2510"/>
      <c r="HV63" s="2510"/>
      <c r="HW63" s="2510"/>
      <c r="HX63" s="2510"/>
      <c r="HY63" s="2510"/>
      <c r="HZ63" s="2510"/>
      <c r="IA63" s="2510"/>
      <c r="IB63" s="2510"/>
      <c r="IC63" s="2510"/>
      <c r="ID63" s="2510"/>
      <c r="IE63" s="2510"/>
      <c r="IF63" s="2510"/>
      <c r="IG63" s="2510"/>
      <c r="IH63" s="2510"/>
      <c r="II63" s="2510"/>
      <c r="IJ63" s="2510"/>
      <c r="IK63" s="2510"/>
      <c r="IL63" s="2510"/>
      <c r="IM63" s="2510"/>
      <c r="IN63" s="2510"/>
      <c r="IO63" s="2510"/>
      <c r="IP63" s="2510"/>
      <c r="IQ63" s="2510"/>
      <c r="IR63" s="2510"/>
      <c r="IS63" s="2510"/>
      <c r="IT63" s="2510"/>
      <c r="IU63" s="2510"/>
      <c r="IV63" s="2510"/>
      <c r="IW63" s="2510"/>
      <c r="IX63" s="2510"/>
      <c r="IY63" s="2510"/>
      <c r="IZ63" s="2510"/>
      <c r="JA63" s="2510"/>
      <c r="JB63" s="2510"/>
      <c r="JC63" s="2510"/>
      <c r="JD63" s="2510"/>
      <c r="JE63" s="2510"/>
      <c r="JF63" s="2510"/>
      <c r="JG63" s="2479"/>
      <c r="JH63" s="1233"/>
      <c r="JI63" s="2248" t="s">
        <v>8855</v>
      </c>
      <c r="JJ63" s="2248" t="s">
        <v>6108</v>
      </c>
    </row>
    <row r="64" spans="1:270" x14ac:dyDescent="0.2">
      <c r="A64" s="1128">
        <v>21</v>
      </c>
      <c r="B64" s="1347">
        <f si="4" t="shared"/>
        <v>2000</v>
      </c>
      <c r="C64" s="1278" t="s">
        <v>2814</v>
      </c>
      <c r="D64" s="1350" t="s">
        <v>5451</v>
      </c>
      <c r="E64" s="2472"/>
      <c r="F64" s="2472"/>
      <c r="G64" s="2472">
        <v>2000</v>
      </c>
      <c r="H64" s="2472"/>
      <c r="I64" s="2472">
        <v>2000</v>
      </c>
      <c r="J64" s="2511"/>
      <c r="K64" s="2472"/>
      <c r="L64" s="2472">
        <v>2000</v>
      </c>
      <c r="M64" s="2472"/>
      <c r="N64" s="2472"/>
      <c r="O64" s="2509"/>
      <c r="P64" s="2509"/>
      <c r="Q64" s="2472">
        <v>2000</v>
      </c>
      <c r="R64" s="2509"/>
      <c r="S64" s="2472">
        <v>2000</v>
      </c>
      <c r="T64" s="2510"/>
      <c r="U64" s="2510"/>
      <c r="V64" s="2510"/>
      <c r="W64" s="2510"/>
      <c r="X64" s="2510"/>
      <c r="Y64" s="2510"/>
      <c r="Z64" s="2510"/>
      <c r="AA64" s="2510"/>
      <c r="AB64" s="2510"/>
      <c r="AC64" s="2472">
        <v>2000</v>
      </c>
      <c r="AD64" s="2841"/>
      <c r="AE64" s="2841"/>
      <c r="AF64" s="2841"/>
      <c r="AG64" s="2841"/>
      <c r="AH64" s="2841"/>
      <c r="AI64" s="2510"/>
      <c r="AJ64" s="2472">
        <v>3780</v>
      </c>
      <c r="AK64" s="2510"/>
      <c r="AL64" s="2472">
        <v>99532</v>
      </c>
      <c r="AM64" s="2510"/>
      <c r="AN64" s="2510"/>
      <c r="AO64" s="2510"/>
      <c r="AP64" s="2510"/>
      <c r="AQ64" s="2510"/>
      <c r="AR64" s="2510"/>
      <c r="AS64" s="2510"/>
      <c r="AT64" s="2510"/>
      <c r="AU64" s="2510"/>
      <c r="AV64" s="2472">
        <v>22000</v>
      </c>
      <c r="AW64" s="2510"/>
      <c r="AX64" s="2510"/>
      <c r="AY64" s="2510"/>
      <c r="AZ64" s="2510"/>
      <c r="BA64" s="2510"/>
      <c r="BB64" s="2510"/>
      <c r="BC64" s="2510"/>
      <c r="BD64" s="2510"/>
      <c r="BE64" s="2510"/>
      <c r="BF64" s="2510"/>
      <c r="BG64" s="2510"/>
      <c r="BH64" s="3956"/>
      <c r="BI64" s="3956"/>
      <c r="BJ64" s="2472">
        <v>99532</v>
      </c>
      <c r="BK64" s="2510"/>
      <c r="BL64" s="2510"/>
      <c r="BM64" s="2510"/>
      <c r="BN64" s="2510"/>
      <c r="BO64" s="2510"/>
      <c r="BP64" s="2472">
        <v>2000</v>
      </c>
      <c r="BQ64" s="2510"/>
      <c r="BR64" s="2510"/>
      <c r="BS64" s="2510"/>
      <c r="BT64" s="2510"/>
      <c r="BU64" s="2510"/>
      <c r="BV64" s="2510"/>
      <c r="BW64" s="2510"/>
      <c r="BX64" s="2510"/>
      <c r="BY64" s="2510"/>
      <c r="BZ64" s="2510"/>
      <c r="CA64" s="2510"/>
      <c r="CB64" s="2472">
        <v>3780</v>
      </c>
      <c r="CC64" s="2510"/>
      <c r="CD64" s="2510"/>
      <c r="CE64" s="2510"/>
      <c r="CF64" s="2472">
        <v>3780</v>
      </c>
      <c r="CG64" s="2510"/>
      <c r="CH64" s="2472">
        <v>2000</v>
      </c>
      <c r="CI64" s="2510"/>
      <c r="CJ64" s="2510"/>
      <c r="CK64" s="2510"/>
      <c r="CL64" s="2472">
        <v>99532</v>
      </c>
      <c r="CM64" s="2510"/>
      <c r="CN64" s="2510"/>
      <c r="CO64" s="2510"/>
      <c r="CP64" s="2510"/>
      <c r="CQ64" s="2510"/>
      <c r="CR64" s="2472">
        <v>99532</v>
      </c>
      <c r="CS64" s="2472">
        <v>99532</v>
      </c>
      <c r="CT64" s="2510"/>
      <c r="CU64" s="2472">
        <v>10640</v>
      </c>
      <c r="CV64" s="2472">
        <v>10640</v>
      </c>
      <c r="CW64" s="2510"/>
      <c r="CX64" s="2510"/>
      <c r="CY64" s="2510"/>
      <c r="CZ64" s="2510"/>
      <c r="DA64" s="2510"/>
      <c r="DB64" s="2510"/>
      <c r="DC64" s="2472">
        <v>10640</v>
      </c>
      <c r="DD64" s="2510"/>
      <c r="DE64" s="2510"/>
      <c r="DF64" s="2510"/>
      <c r="DG64" s="2510"/>
      <c r="DH64" s="2510"/>
      <c r="DI64" s="2510"/>
      <c r="DJ64" s="2472">
        <v>10640</v>
      </c>
      <c r="DK64" s="2510"/>
      <c r="DL64" s="2510"/>
      <c r="DM64" s="2510"/>
      <c r="DN64" s="2510"/>
      <c r="DO64" s="2472">
        <v>22000</v>
      </c>
      <c r="DP64" s="2510"/>
      <c r="DQ64" s="2510"/>
      <c r="DR64" s="2510"/>
      <c r="DS64" s="2510"/>
      <c r="DT64" s="2510"/>
      <c r="DU64" s="2510"/>
      <c r="DV64" s="2510"/>
      <c r="DW64" s="2510"/>
      <c r="DX64" s="2510"/>
      <c r="DY64" s="2510"/>
      <c r="DZ64" s="2510"/>
      <c r="EA64" s="2510"/>
      <c r="EB64" s="2510"/>
      <c r="EC64" s="2510"/>
      <c r="ED64" s="2510"/>
      <c r="EE64" s="2510"/>
      <c r="EF64" s="2472">
        <v>15430</v>
      </c>
      <c r="EG64" s="2472">
        <v>25337</v>
      </c>
      <c r="EH64" s="2510"/>
      <c r="EI64" s="2472">
        <v>1500</v>
      </c>
      <c r="EJ64" s="2510"/>
      <c r="EK64" s="2510"/>
      <c r="EL64" s="2510"/>
      <c r="EM64" s="2472">
        <v>99532</v>
      </c>
      <c r="EN64" s="2510"/>
      <c r="EO64" s="2510"/>
      <c r="EP64" s="2510"/>
      <c r="EQ64" s="2510"/>
      <c r="ER64" s="2510"/>
      <c r="ES64" s="2510"/>
      <c r="ET64" s="2510"/>
      <c r="EU64" s="2510"/>
      <c r="EV64" s="2510"/>
      <c r="EW64" s="2510"/>
      <c r="EX64" s="2510"/>
      <c r="EY64" s="2472">
        <v>99532</v>
      </c>
      <c r="EZ64" s="2510"/>
      <c r="FA64" s="2510"/>
      <c r="FB64" s="2510"/>
      <c r="FC64" s="2510"/>
      <c r="FD64" s="2510"/>
      <c r="FE64" s="2510"/>
      <c r="FF64" s="2472">
        <v>3780</v>
      </c>
      <c r="FG64" s="2510"/>
      <c r="FH64" s="2472">
        <v>10640</v>
      </c>
      <c r="FI64" s="2510"/>
      <c r="FJ64" s="2510"/>
      <c r="FK64" s="2510"/>
      <c r="FL64" s="2510"/>
      <c r="FM64" s="2510"/>
      <c r="FN64" s="2510"/>
      <c r="FO64" s="2510"/>
      <c r="FP64" s="2510"/>
      <c r="FQ64" s="2510"/>
      <c r="FR64" s="2510"/>
      <c r="FS64" s="2510"/>
      <c r="FT64" s="2510"/>
      <c r="FU64" s="2510"/>
      <c r="FV64" s="2510"/>
      <c r="FW64" s="2510"/>
      <c r="FX64" s="2510"/>
      <c r="FY64" s="2510"/>
      <c r="FZ64" s="2510"/>
      <c r="GA64" s="2510"/>
      <c r="GB64" s="2510"/>
      <c r="GC64" s="2510"/>
      <c r="GD64" s="2510"/>
      <c r="GE64" s="2510"/>
      <c r="GF64" s="2510"/>
      <c r="GG64" s="2510"/>
      <c r="GH64" s="2510"/>
      <c r="GI64" s="2510"/>
      <c r="GJ64" s="2472">
        <v>1500</v>
      </c>
      <c r="GK64" s="2510"/>
      <c r="GL64" s="2510"/>
      <c r="GM64" s="2510"/>
      <c r="GN64" s="2510"/>
      <c r="GO64" s="2510"/>
      <c r="GP64" s="2510"/>
      <c r="GQ64" s="2510"/>
      <c r="GR64" s="2510"/>
      <c r="GS64" s="2510"/>
      <c r="GT64" s="2510"/>
      <c r="GU64" s="2510"/>
      <c r="GV64" s="2510"/>
      <c r="GW64" s="2510"/>
      <c r="GX64" s="2472">
        <v>28750</v>
      </c>
      <c r="GY64" s="2510"/>
      <c r="GZ64" s="2510"/>
      <c r="HA64" s="2510"/>
      <c r="HB64" s="2472">
        <v>22000</v>
      </c>
      <c r="HC64" s="2472">
        <v>10640</v>
      </c>
      <c r="HD64" s="2510"/>
      <c r="HE64" s="2510"/>
      <c r="HF64" s="2510"/>
      <c r="HG64" s="2510"/>
      <c r="HH64" s="2510"/>
      <c r="HI64" s="2510"/>
      <c r="HJ64" s="2510"/>
      <c r="HK64" s="2510"/>
      <c r="HL64" s="2510"/>
      <c r="HM64" s="2510"/>
      <c r="HN64" s="2510"/>
      <c r="HO64" s="2472">
        <v>2000</v>
      </c>
      <c r="HP64" s="2510"/>
      <c r="HQ64" s="2510"/>
      <c r="HR64" s="2510"/>
      <c r="HS64" s="2510"/>
      <c r="HT64" s="2510"/>
      <c r="HU64" s="2510"/>
      <c r="HV64" s="2510"/>
      <c r="HW64" s="2510"/>
      <c r="HX64" s="2510"/>
      <c r="HY64" s="2510"/>
      <c r="HZ64" s="2510"/>
      <c r="IA64" s="2510"/>
      <c r="IB64" s="2510"/>
      <c r="IC64" s="2510"/>
      <c r="ID64" s="2510"/>
      <c r="IE64" s="2510"/>
      <c r="IF64" s="2510"/>
      <c r="IG64" s="2510"/>
      <c r="IH64" s="2510"/>
      <c r="II64" s="2510"/>
      <c r="IJ64" s="2510"/>
      <c r="IK64" s="2510"/>
      <c r="IL64" s="2510"/>
      <c r="IM64" s="2510"/>
      <c r="IN64" s="2510"/>
      <c r="IO64" s="2510"/>
      <c r="IP64" s="2510"/>
      <c r="IQ64" s="2510"/>
      <c r="IR64" s="2510"/>
      <c r="IS64" s="2510"/>
      <c r="IT64" s="2510"/>
      <c r="IU64" s="2510"/>
      <c r="IV64" s="2510"/>
      <c r="IW64" s="2510"/>
      <c r="IX64" s="2510"/>
      <c r="IY64" s="2510"/>
      <c r="IZ64" s="2510"/>
      <c r="JA64" s="2510"/>
      <c r="JB64" s="2510"/>
      <c r="JC64" s="2510"/>
      <c r="JD64" s="2510"/>
      <c r="JE64" s="2510"/>
      <c r="JF64" s="2510"/>
      <c r="JG64" s="2479"/>
      <c r="JH64" s="1233"/>
      <c r="JI64" s="2248" t="s">
        <v>8855</v>
      </c>
      <c r="JJ64" s="2248" t="s">
        <v>6108</v>
      </c>
    </row>
    <row r="65" spans="1:270" x14ac:dyDescent="0.2">
      <c r="A65" s="1128">
        <v>22</v>
      </c>
      <c r="B65" s="1347">
        <f si="4" t="shared"/>
        <v>12000</v>
      </c>
      <c r="C65" s="1278" t="s">
        <v>2815</v>
      </c>
      <c r="D65" s="1350" t="s">
        <v>5450</v>
      </c>
      <c r="E65" s="2472"/>
      <c r="F65" s="2472"/>
      <c r="G65" s="2472">
        <v>12000</v>
      </c>
      <c r="H65" s="2472"/>
      <c r="I65" s="2472">
        <v>12000</v>
      </c>
      <c r="J65" s="2511"/>
      <c r="K65" s="2472"/>
      <c r="L65" s="2472">
        <v>12000</v>
      </c>
      <c r="M65" s="2472"/>
      <c r="N65" s="2472"/>
      <c r="O65" s="2509"/>
      <c r="P65" s="2509"/>
      <c r="Q65" s="2472">
        <v>12000</v>
      </c>
      <c r="R65" s="2509"/>
      <c r="S65" s="2472">
        <v>12000</v>
      </c>
      <c r="T65" s="2510"/>
      <c r="U65" s="2510"/>
      <c r="V65" s="2510"/>
      <c r="W65" s="2510"/>
      <c r="X65" s="2510"/>
      <c r="Y65" s="2510"/>
      <c r="Z65" s="2510"/>
      <c r="AA65" s="2510"/>
      <c r="AB65" s="2510"/>
      <c r="AC65" s="2472">
        <v>12000</v>
      </c>
      <c r="AD65" s="2841"/>
      <c r="AE65" s="2841"/>
      <c r="AF65" s="2841"/>
      <c r="AG65" s="2841"/>
      <c r="AH65" s="2841"/>
      <c r="AI65" s="2510"/>
      <c r="AJ65" s="2472"/>
      <c r="AK65" s="2510"/>
      <c r="AL65" s="2472">
        <v>3747</v>
      </c>
      <c r="AM65" s="2510"/>
      <c r="AN65" s="2510"/>
      <c r="AO65" s="2510"/>
      <c r="AP65" s="2510"/>
      <c r="AQ65" s="2510"/>
      <c r="AR65" s="2510"/>
      <c r="AS65" s="2510"/>
      <c r="AT65" s="2510"/>
      <c r="AU65" s="2510"/>
      <c r="AV65" s="2472">
        <v>16200</v>
      </c>
      <c r="AW65" s="2510"/>
      <c r="AX65" s="2510"/>
      <c r="AY65" s="2510"/>
      <c r="AZ65" s="2510"/>
      <c r="BA65" s="2510"/>
      <c r="BB65" s="2510"/>
      <c r="BC65" s="2510"/>
      <c r="BD65" s="2510"/>
      <c r="BE65" s="2510"/>
      <c r="BF65" s="2510"/>
      <c r="BG65" s="2510"/>
      <c r="BH65" s="3956"/>
      <c r="BI65" s="3956"/>
      <c r="BJ65" s="2472">
        <v>3747</v>
      </c>
      <c r="BK65" s="2510"/>
      <c r="BL65" s="2510"/>
      <c r="BM65" s="2510"/>
      <c r="BN65" s="2510"/>
      <c r="BO65" s="2510"/>
      <c r="BP65" s="2472">
        <v>12000</v>
      </c>
      <c r="BQ65" s="2510"/>
      <c r="BR65" s="2510"/>
      <c r="BS65" s="2510"/>
      <c r="BT65" s="2510"/>
      <c r="BU65" s="2510"/>
      <c r="BV65" s="2510"/>
      <c r="BW65" s="2510"/>
      <c r="BX65" s="2510"/>
      <c r="BY65" s="2510"/>
      <c r="BZ65" s="2510"/>
      <c r="CA65" s="2510"/>
      <c r="CB65" s="2472"/>
      <c r="CC65" s="2510"/>
      <c r="CD65" s="2510"/>
      <c r="CE65" s="2510"/>
      <c r="CF65" s="2472"/>
      <c r="CG65" s="2510"/>
      <c r="CH65" s="2472">
        <v>12000</v>
      </c>
      <c r="CI65" s="2510"/>
      <c r="CJ65" s="2510"/>
      <c r="CK65" s="2510"/>
      <c r="CL65" s="2472">
        <v>3747</v>
      </c>
      <c r="CM65" s="2510"/>
      <c r="CN65" s="2510"/>
      <c r="CO65" s="2510"/>
      <c r="CP65" s="2510"/>
      <c r="CQ65" s="2510"/>
      <c r="CR65" s="2472">
        <v>3747</v>
      </c>
      <c r="CS65" s="2472">
        <v>3747</v>
      </c>
      <c r="CT65" s="2510"/>
      <c r="CU65" s="2472">
        <v>2421</v>
      </c>
      <c r="CV65" s="2472">
        <v>2421</v>
      </c>
      <c r="CW65" s="2510"/>
      <c r="CX65" s="2510"/>
      <c r="CY65" s="2510"/>
      <c r="CZ65" s="2510"/>
      <c r="DA65" s="2510"/>
      <c r="DB65" s="2510"/>
      <c r="DC65" s="2472">
        <v>2421</v>
      </c>
      <c r="DD65" s="2510"/>
      <c r="DE65" s="2510"/>
      <c r="DF65" s="2510"/>
      <c r="DG65" s="2510"/>
      <c r="DH65" s="2510"/>
      <c r="DI65" s="2510"/>
      <c r="DJ65" s="2472">
        <v>2421</v>
      </c>
      <c r="DK65" s="2510"/>
      <c r="DL65" s="2510"/>
      <c r="DM65" s="2510"/>
      <c r="DN65" s="2510"/>
      <c r="DO65" s="2472">
        <v>16200</v>
      </c>
      <c r="DP65" s="2510"/>
      <c r="DQ65" s="2510"/>
      <c r="DR65" s="2510"/>
      <c r="DS65" s="2510"/>
      <c r="DT65" s="2510"/>
      <c r="DU65" s="2510"/>
      <c r="DV65" s="2510"/>
      <c r="DW65" s="2510"/>
      <c r="DX65" s="2510"/>
      <c r="DY65" s="2510"/>
      <c r="DZ65" s="2510"/>
      <c r="EA65" s="2510"/>
      <c r="EB65" s="2510"/>
      <c r="EC65" s="2510"/>
      <c r="ED65" s="2510"/>
      <c r="EE65" s="2510"/>
      <c r="EF65" s="2472">
        <v>12688</v>
      </c>
      <c r="EG65" s="2472">
        <v>11799</v>
      </c>
      <c r="EH65" s="2510"/>
      <c r="EI65" s="2472">
        <v>3678</v>
      </c>
      <c r="EJ65" s="2510"/>
      <c r="EK65" s="2510"/>
      <c r="EL65" s="2510"/>
      <c r="EM65" s="2472">
        <v>3747</v>
      </c>
      <c r="EN65" s="2510"/>
      <c r="EO65" s="2510"/>
      <c r="EP65" s="2510"/>
      <c r="EQ65" s="2510"/>
      <c r="ER65" s="2510"/>
      <c r="ES65" s="2510"/>
      <c r="ET65" s="2510"/>
      <c r="EU65" s="2510"/>
      <c r="EV65" s="2510"/>
      <c r="EW65" s="2510"/>
      <c r="EX65" s="2510"/>
      <c r="EY65" s="2472">
        <v>3747</v>
      </c>
      <c r="EZ65" s="2510"/>
      <c r="FA65" s="2510"/>
      <c r="FB65" s="2510"/>
      <c r="FC65" s="2510"/>
      <c r="FD65" s="2510"/>
      <c r="FE65" s="2510"/>
      <c r="FF65" s="2472"/>
      <c r="FG65" s="2510"/>
      <c r="FH65" s="2472">
        <v>2421</v>
      </c>
      <c r="FI65" s="2510"/>
      <c r="FJ65" s="2510"/>
      <c r="FK65" s="2510"/>
      <c r="FL65" s="2510"/>
      <c r="FM65" s="2510"/>
      <c r="FN65" s="2510"/>
      <c r="FO65" s="2510"/>
      <c r="FP65" s="2510"/>
      <c r="FQ65" s="2510"/>
      <c r="FR65" s="2510"/>
      <c r="FS65" s="2510"/>
      <c r="FT65" s="2510"/>
      <c r="FU65" s="2510"/>
      <c r="FV65" s="2510"/>
      <c r="FW65" s="2510"/>
      <c r="FX65" s="2510"/>
      <c r="FY65" s="2510"/>
      <c r="FZ65" s="2510"/>
      <c r="GA65" s="2510"/>
      <c r="GB65" s="2510"/>
      <c r="GC65" s="2510"/>
      <c r="GD65" s="2510"/>
      <c r="GE65" s="2510"/>
      <c r="GF65" s="2510"/>
      <c r="GG65" s="2510"/>
      <c r="GH65" s="2510"/>
      <c r="GI65" s="2510"/>
      <c r="GJ65" s="2472">
        <v>3678</v>
      </c>
      <c r="GK65" s="2510"/>
      <c r="GL65" s="2510"/>
      <c r="GM65" s="2510"/>
      <c r="GN65" s="2510"/>
      <c r="GO65" s="2510"/>
      <c r="GP65" s="2510"/>
      <c r="GQ65" s="2510"/>
      <c r="GR65" s="2510"/>
      <c r="GS65" s="2510"/>
      <c r="GT65" s="2510"/>
      <c r="GU65" s="2510"/>
      <c r="GV65" s="2510"/>
      <c r="GW65" s="2510"/>
      <c r="GX65" s="2472">
        <v>17900</v>
      </c>
      <c r="GY65" s="2510"/>
      <c r="GZ65" s="2510"/>
      <c r="HA65" s="2510"/>
      <c r="HB65" s="2472">
        <v>16200</v>
      </c>
      <c r="HC65" s="2472">
        <v>2421</v>
      </c>
      <c r="HD65" s="2510"/>
      <c r="HE65" s="2510"/>
      <c r="HF65" s="2510"/>
      <c r="HG65" s="2510"/>
      <c r="HH65" s="2510"/>
      <c r="HI65" s="2510"/>
      <c r="HJ65" s="2510"/>
      <c r="HK65" s="2510"/>
      <c r="HL65" s="2510"/>
      <c r="HM65" s="2510"/>
      <c r="HN65" s="2510"/>
      <c r="HO65" s="2472">
        <v>12000</v>
      </c>
      <c r="HP65" s="2510"/>
      <c r="HQ65" s="2510"/>
      <c r="HR65" s="2510"/>
      <c r="HS65" s="2510"/>
      <c r="HT65" s="2510"/>
      <c r="HU65" s="2510"/>
      <c r="HV65" s="2510"/>
      <c r="HW65" s="2510"/>
      <c r="HX65" s="2510"/>
      <c r="HY65" s="2510"/>
      <c r="HZ65" s="2510"/>
      <c r="IA65" s="2510"/>
      <c r="IB65" s="2510"/>
      <c r="IC65" s="2510"/>
      <c r="ID65" s="2510"/>
      <c r="IE65" s="2510"/>
      <c r="IF65" s="2510"/>
      <c r="IG65" s="2510"/>
      <c r="IH65" s="2510"/>
      <c r="II65" s="2510"/>
      <c r="IJ65" s="2510"/>
      <c r="IK65" s="2510"/>
      <c r="IL65" s="2510"/>
      <c r="IM65" s="2510"/>
      <c r="IN65" s="2510"/>
      <c r="IO65" s="2510"/>
      <c r="IP65" s="2510"/>
      <c r="IQ65" s="2510"/>
      <c r="IR65" s="2510"/>
      <c r="IS65" s="2510"/>
      <c r="IT65" s="2510"/>
      <c r="IU65" s="2510"/>
      <c r="IV65" s="2510"/>
      <c r="IW65" s="2510"/>
      <c r="IX65" s="2510"/>
      <c r="IY65" s="2510"/>
      <c r="IZ65" s="2510"/>
      <c r="JA65" s="2510"/>
      <c r="JB65" s="2510"/>
      <c r="JC65" s="2510"/>
      <c r="JD65" s="2510"/>
      <c r="JE65" s="2510"/>
      <c r="JF65" s="2510"/>
      <c r="JG65" s="2479"/>
      <c r="JH65" s="1233"/>
      <c r="JI65" s="2248" t="s">
        <v>8855</v>
      </c>
      <c r="JJ65" s="2248" t="s">
        <v>6108</v>
      </c>
    </row>
    <row r="66" spans="1:270" x14ac:dyDescent="0.2">
      <c r="A66" s="1128">
        <v>23</v>
      </c>
      <c r="B66" s="1347">
        <f si="4" t="shared"/>
        <v>10800</v>
      </c>
      <c r="C66" s="1278" t="s">
        <v>2816</v>
      </c>
      <c r="D66" s="1350" t="s">
        <v>5452</v>
      </c>
      <c r="E66" s="2472"/>
      <c r="F66" s="2472"/>
      <c r="G66" s="2472">
        <v>10800</v>
      </c>
      <c r="H66" s="2472"/>
      <c r="I66" s="2472">
        <v>10800</v>
      </c>
      <c r="J66" s="2511"/>
      <c r="K66" s="2472"/>
      <c r="L66" s="2472">
        <v>10800</v>
      </c>
      <c r="M66" s="2472"/>
      <c r="N66" s="2472"/>
      <c r="O66" s="2509"/>
      <c r="P66" s="2509"/>
      <c r="Q66" s="2472">
        <v>10800</v>
      </c>
      <c r="R66" s="2509"/>
      <c r="S66" s="2472">
        <v>10800</v>
      </c>
      <c r="T66" s="2510"/>
      <c r="U66" s="2510"/>
      <c r="V66" s="2510"/>
      <c r="W66" s="2510"/>
      <c r="X66" s="2510"/>
      <c r="Y66" s="2510"/>
      <c r="Z66" s="2510"/>
      <c r="AA66" s="2510"/>
      <c r="AB66" s="2510"/>
      <c r="AC66" s="2472">
        <v>10800</v>
      </c>
      <c r="AD66" s="2841"/>
      <c r="AE66" s="2841"/>
      <c r="AF66" s="2841"/>
      <c r="AG66" s="2841"/>
      <c r="AH66" s="2841"/>
      <c r="AI66" s="2510"/>
      <c r="AJ66" s="2472"/>
      <c r="AK66" s="2510"/>
      <c r="AL66" s="2472">
        <v>16128</v>
      </c>
      <c r="AM66" s="2510"/>
      <c r="AN66" s="2510"/>
      <c r="AO66" s="2510"/>
      <c r="AP66" s="2510"/>
      <c r="AQ66" s="2510"/>
      <c r="AR66" s="2510"/>
      <c r="AS66" s="2510"/>
      <c r="AT66" s="2510"/>
      <c r="AU66" s="2510"/>
      <c r="AV66" s="2472">
        <v>15600</v>
      </c>
      <c r="AW66" s="2510"/>
      <c r="AX66" s="2510"/>
      <c r="AY66" s="2510"/>
      <c r="AZ66" s="2510"/>
      <c r="BA66" s="2510"/>
      <c r="BB66" s="2510"/>
      <c r="BC66" s="2510"/>
      <c r="BD66" s="2510"/>
      <c r="BE66" s="2510"/>
      <c r="BF66" s="2510"/>
      <c r="BG66" s="2510"/>
      <c r="BH66" s="3956"/>
      <c r="BI66" s="3956"/>
      <c r="BJ66" s="2472">
        <v>16128</v>
      </c>
      <c r="BK66" s="2510"/>
      <c r="BL66" s="2510"/>
      <c r="BM66" s="2510"/>
      <c r="BN66" s="2510"/>
      <c r="BO66" s="2510"/>
      <c r="BP66" s="2472">
        <v>10800</v>
      </c>
      <c r="BQ66" s="2510"/>
      <c r="BR66" s="2510"/>
      <c r="BS66" s="2510"/>
      <c r="BT66" s="2510"/>
      <c r="BU66" s="2510"/>
      <c r="BV66" s="2510"/>
      <c r="BW66" s="2510"/>
      <c r="BX66" s="2510"/>
      <c r="BY66" s="2510"/>
      <c r="BZ66" s="2510"/>
      <c r="CA66" s="2510"/>
      <c r="CB66" s="2472"/>
      <c r="CC66" s="2510"/>
      <c r="CD66" s="2510"/>
      <c r="CE66" s="2510"/>
      <c r="CF66" s="2472"/>
      <c r="CG66" s="2510"/>
      <c r="CH66" s="2472">
        <v>10800</v>
      </c>
      <c r="CI66" s="2510"/>
      <c r="CJ66" s="2510"/>
      <c r="CK66" s="2510"/>
      <c r="CL66" s="2472">
        <v>16128</v>
      </c>
      <c r="CM66" s="2510"/>
      <c r="CN66" s="2510"/>
      <c r="CO66" s="2510"/>
      <c r="CP66" s="2510"/>
      <c r="CQ66" s="2510"/>
      <c r="CR66" s="2472">
        <v>16128</v>
      </c>
      <c r="CS66" s="2472">
        <v>16128</v>
      </c>
      <c r="CT66" s="2510"/>
      <c r="CU66" s="2472">
        <v>25623</v>
      </c>
      <c r="CV66" s="2472">
        <v>25623</v>
      </c>
      <c r="CW66" s="2510"/>
      <c r="CX66" s="2510"/>
      <c r="CY66" s="2510"/>
      <c r="CZ66" s="2510"/>
      <c r="DA66" s="2510"/>
      <c r="DB66" s="2510"/>
      <c r="DC66" s="2472">
        <v>25623</v>
      </c>
      <c r="DD66" s="2510"/>
      <c r="DE66" s="2510"/>
      <c r="DF66" s="2510"/>
      <c r="DG66" s="2510"/>
      <c r="DH66" s="2510"/>
      <c r="DI66" s="2510"/>
      <c r="DJ66" s="2472">
        <v>25623</v>
      </c>
      <c r="DK66" s="2510"/>
      <c r="DL66" s="2510"/>
      <c r="DM66" s="2510"/>
      <c r="DN66" s="2510"/>
      <c r="DO66" s="2472">
        <v>15600</v>
      </c>
      <c r="DP66" s="2510"/>
      <c r="DQ66" s="2510"/>
      <c r="DR66" s="2510"/>
      <c r="DS66" s="2510"/>
      <c r="DT66" s="2510"/>
      <c r="DU66" s="2510"/>
      <c r="DV66" s="2510"/>
      <c r="DW66" s="2510"/>
      <c r="DX66" s="2510"/>
      <c r="DY66" s="2510"/>
      <c r="DZ66" s="2510"/>
      <c r="EA66" s="2510"/>
      <c r="EB66" s="2510"/>
      <c r="EC66" s="2510"/>
      <c r="ED66" s="2510"/>
      <c r="EE66" s="2510"/>
      <c r="EF66" s="2472">
        <v>13211</v>
      </c>
      <c r="EG66" s="2472">
        <v>13980</v>
      </c>
      <c r="EH66" s="2510"/>
      <c r="EI66" s="2472">
        <v>1252</v>
      </c>
      <c r="EJ66" s="2510"/>
      <c r="EK66" s="2510"/>
      <c r="EL66" s="2510"/>
      <c r="EM66" s="2472">
        <v>16128</v>
      </c>
      <c r="EN66" s="2510"/>
      <c r="EO66" s="2510"/>
      <c r="EP66" s="2510"/>
      <c r="EQ66" s="2510"/>
      <c r="ER66" s="2510"/>
      <c r="ES66" s="2510"/>
      <c r="ET66" s="2510"/>
      <c r="EU66" s="2510"/>
      <c r="EV66" s="2510"/>
      <c r="EW66" s="2510"/>
      <c r="EX66" s="2510"/>
      <c r="EY66" s="2472">
        <v>16128</v>
      </c>
      <c r="EZ66" s="2510"/>
      <c r="FA66" s="2510"/>
      <c r="FB66" s="2510"/>
      <c r="FC66" s="2510"/>
      <c r="FD66" s="2510"/>
      <c r="FE66" s="2510"/>
      <c r="FF66" s="2472"/>
      <c r="FG66" s="2510"/>
      <c r="FH66" s="2472">
        <v>25623</v>
      </c>
      <c r="FI66" s="2510"/>
      <c r="FJ66" s="2510"/>
      <c r="FK66" s="2510"/>
      <c r="FL66" s="2510"/>
      <c r="FM66" s="2510"/>
      <c r="FN66" s="2510"/>
      <c r="FO66" s="2510"/>
      <c r="FP66" s="2510"/>
      <c r="FQ66" s="2510"/>
      <c r="FR66" s="2510"/>
      <c r="FS66" s="2510"/>
      <c r="FT66" s="2510"/>
      <c r="FU66" s="2510"/>
      <c r="FV66" s="2510"/>
      <c r="FW66" s="2510"/>
      <c r="FX66" s="2510"/>
      <c r="FY66" s="2510"/>
      <c r="FZ66" s="2510"/>
      <c r="GA66" s="2510"/>
      <c r="GB66" s="2510"/>
      <c r="GC66" s="2510"/>
      <c r="GD66" s="2510"/>
      <c r="GE66" s="2510"/>
      <c r="GF66" s="2510"/>
      <c r="GG66" s="2510"/>
      <c r="GH66" s="2510"/>
      <c r="GI66" s="2510"/>
      <c r="GJ66" s="2472">
        <v>1252</v>
      </c>
      <c r="GK66" s="2510"/>
      <c r="GL66" s="2510"/>
      <c r="GM66" s="2510"/>
      <c r="GN66" s="2510"/>
      <c r="GO66" s="2510"/>
      <c r="GP66" s="2510"/>
      <c r="GQ66" s="2510"/>
      <c r="GR66" s="2510"/>
      <c r="GS66" s="2510"/>
      <c r="GT66" s="2510"/>
      <c r="GU66" s="2510"/>
      <c r="GV66" s="2510"/>
      <c r="GW66" s="2510"/>
      <c r="GX66" s="2472">
        <v>11876</v>
      </c>
      <c r="GY66" s="2510"/>
      <c r="GZ66" s="2510"/>
      <c r="HA66" s="2510"/>
      <c r="HB66" s="2472">
        <v>15600</v>
      </c>
      <c r="HC66" s="2472">
        <v>25623</v>
      </c>
      <c r="HD66" s="2510"/>
      <c r="HE66" s="2510"/>
      <c r="HF66" s="2510"/>
      <c r="HG66" s="2510"/>
      <c r="HH66" s="2510"/>
      <c r="HI66" s="2510"/>
      <c r="HJ66" s="2510"/>
      <c r="HK66" s="2510"/>
      <c r="HL66" s="2510"/>
      <c r="HM66" s="2510"/>
      <c r="HN66" s="2510"/>
      <c r="HO66" s="2472">
        <v>10800</v>
      </c>
      <c r="HP66" s="2510"/>
      <c r="HQ66" s="2510"/>
      <c r="HR66" s="2510"/>
      <c r="HS66" s="2510"/>
      <c r="HT66" s="2510"/>
      <c r="HU66" s="2510"/>
      <c r="HV66" s="2510"/>
      <c r="HW66" s="2510"/>
      <c r="HX66" s="2510"/>
      <c r="HY66" s="2510"/>
      <c r="HZ66" s="2510"/>
      <c r="IA66" s="2510"/>
      <c r="IB66" s="2510"/>
      <c r="IC66" s="2510"/>
      <c r="ID66" s="2510"/>
      <c r="IE66" s="2510"/>
      <c r="IF66" s="2510"/>
      <c r="IG66" s="2510"/>
      <c r="IH66" s="2510"/>
      <c r="II66" s="2510"/>
      <c r="IJ66" s="2510"/>
      <c r="IK66" s="2510"/>
      <c r="IL66" s="2510"/>
      <c r="IM66" s="2510"/>
      <c r="IN66" s="2510"/>
      <c r="IO66" s="2510"/>
      <c r="IP66" s="2510"/>
      <c r="IQ66" s="2510"/>
      <c r="IR66" s="2510"/>
      <c r="IS66" s="2510"/>
      <c r="IT66" s="2510"/>
      <c r="IU66" s="2510"/>
      <c r="IV66" s="2510"/>
      <c r="IW66" s="2510"/>
      <c r="IX66" s="2510"/>
      <c r="IY66" s="2510"/>
      <c r="IZ66" s="2510"/>
      <c r="JA66" s="2510"/>
      <c r="JB66" s="2510"/>
      <c r="JC66" s="2510"/>
      <c r="JD66" s="2510"/>
      <c r="JE66" s="2510"/>
      <c r="JF66" s="2510"/>
      <c r="JG66" s="2479"/>
      <c r="JH66" s="1233"/>
      <c r="JI66" s="2248" t="s">
        <v>8855</v>
      </c>
      <c r="JJ66" s="2248" t="s">
        <v>6127</v>
      </c>
    </row>
    <row r="67" spans="1:270" x14ac:dyDescent="0.2">
      <c r="A67" s="1128">
        <v>24</v>
      </c>
      <c r="B67" s="1347" t="str">
        <f si="4" t="shared"/>
        <v/>
      </c>
      <c r="C67" s="1278" t="s">
        <v>2817</v>
      </c>
      <c r="D67" s="1350" t="s">
        <v>5453</v>
      </c>
      <c r="E67" s="2472"/>
      <c r="F67" s="2472"/>
      <c r="G67" s="2472"/>
      <c r="H67" s="2472"/>
      <c r="I67" s="2472"/>
      <c r="J67" s="2511"/>
      <c r="K67" s="2472"/>
      <c r="L67" s="2472"/>
      <c r="M67" s="2472"/>
      <c r="N67" s="2472"/>
      <c r="O67" s="2509"/>
      <c r="P67" s="2509"/>
      <c r="Q67" s="2472"/>
      <c r="R67" s="2509"/>
      <c r="S67" s="2472"/>
      <c r="T67" s="2510"/>
      <c r="U67" s="2510"/>
      <c r="V67" s="2510"/>
      <c r="W67" s="2510"/>
      <c r="X67" s="2510"/>
      <c r="Y67" s="2510"/>
      <c r="Z67" s="2510"/>
      <c r="AA67" s="2510"/>
      <c r="AB67" s="2510"/>
      <c r="AC67" s="2472"/>
      <c r="AD67" s="2841"/>
      <c r="AE67" s="2841"/>
      <c r="AF67" s="2841"/>
      <c r="AG67" s="2841"/>
      <c r="AH67" s="2841"/>
      <c r="AI67" s="2510"/>
      <c r="AJ67" s="2472">
        <v>4203</v>
      </c>
      <c r="AK67" s="2510"/>
      <c r="AL67" s="2472"/>
      <c r="AM67" s="2510"/>
      <c r="AN67" s="2510"/>
      <c r="AO67" s="2510"/>
      <c r="AP67" s="2510"/>
      <c r="AQ67" s="2510"/>
      <c r="AR67" s="2510"/>
      <c r="AS67" s="2510"/>
      <c r="AT67" s="2510"/>
      <c r="AU67" s="2510"/>
      <c r="AV67" s="2472"/>
      <c r="AW67" s="2510"/>
      <c r="AX67" s="2510"/>
      <c r="AY67" s="2510"/>
      <c r="AZ67" s="2510"/>
      <c r="BA67" s="2510"/>
      <c r="BB67" s="2510"/>
      <c r="BC67" s="2510"/>
      <c r="BD67" s="2510"/>
      <c r="BE67" s="2510"/>
      <c r="BF67" s="2510"/>
      <c r="BG67" s="2510"/>
      <c r="BH67" s="3956"/>
      <c r="BI67" s="3956"/>
      <c r="BJ67" s="2472"/>
      <c r="BK67" s="2510"/>
      <c r="BL67" s="2510"/>
      <c r="BM67" s="2510"/>
      <c r="BN67" s="2510"/>
      <c r="BO67" s="2510"/>
      <c r="BP67" s="2472"/>
      <c r="BQ67" s="2510"/>
      <c r="BR67" s="2510"/>
      <c r="BS67" s="2510"/>
      <c r="BT67" s="2510"/>
      <c r="BU67" s="2510"/>
      <c r="BV67" s="2510"/>
      <c r="BW67" s="2510"/>
      <c r="BX67" s="2510"/>
      <c r="BY67" s="2510"/>
      <c r="BZ67" s="2510"/>
      <c r="CA67" s="2510"/>
      <c r="CB67" s="2472">
        <v>4203</v>
      </c>
      <c r="CC67" s="2510"/>
      <c r="CD67" s="2510"/>
      <c r="CE67" s="2510"/>
      <c r="CF67" s="2472">
        <v>4203</v>
      </c>
      <c r="CG67" s="2510"/>
      <c r="CH67" s="2472"/>
      <c r="CI67" s="2510"/>
      <c r="CJ67" s="2510"/>
      <c r="CK67" s="2510"/>
      <c r="CL67" s="2472"/>
      <c r="CM67" s="2510"/>
      <c r="CN67" s="2510"/>
      <c r="CO67" s="2510"/>
      <c r="CP67" s="2510"/>
      <c r="CQ67" s="2510"/>
      <c r="CR67" s="2472"/>
      <c r="CS67" s="2472"/>
      <c r="CT67" s="2510"/>
      <c r="CU67" s="2472"/>
      <c r="CV67" s="2472"/>
      <c r="CW67" s="2510"/>
      <c r="CX67" s="2510"/>
      <c r="CY67" s="2510"/>
      <c r="CZ67" s="2510"/>
      <c r="DA67" s="2510"/>
      <c r="DB67" s="2510"/>
      <c r="DC67" s="2472"/>
      <c r="DD67" s="2510"/>
      <c r="DE67" s="2510"/>
      <c r="DF67" s="2510"/>
      <c r="DG67" s="2510"/>
      <c r="DH67" s="2510"/>
      <c r="DI67" s="2510"/>
      <c r="DJ67" s="2472"/>
      <c r="DK67" s="2510"/>
      <c r="DL67" s="2510"/>
      <c r="DM67" s="2510"/>
      <c r="DN67" s="2510"/>
      <c r="DO67" s="2472"/>
      <c r="DP67" s="2510"/>
      <c r="DQ67" s="2510"/>
      <c r="DR67" s="2510"/>
      <c r="DS67" s="2510"/>
      <c r="DT67" s="2510"/>
      <c r="DU67" s="2510"/>
      <c r="DV67" s="2510"/>
      <c r="DW67" s="2510"/>
      <c r="DX67" s="2510"/>
      <c r="DY67" s="2510"/>
      <c r="DZ67" s="2510"/>
      <c r="EA67" s="2510"/>
      <c r="EB67" s="2510"/>
      <c r="EC67" s="2510"/>
      <c r="ED67" s="2510"/>
      <c r="EE67" s="2510"/>
      <c r="EF67" s="2472">
        <v>3256</v>
      </c>
      <c r="EG67" s="2472">
        <v>5920</v>
      </c>
      <c r="EH67" s="2510"/>
      <c r="EI67" s="2472"/>
      <c r="EJ67" s="2510"/>
      <c r="EK67" s="2510"/>
      <c r="EL67" s="2510"/>
      <c r="EM67" s="2472"/>
      <c r="EN67" s="2510"/>
      <c r="EO67" s="2510"/>
      <c r="EP67" s="2510"/>
      <c r="EQ67" s="2510"/>
      <c r="ER67" s="2510"/>
      <c r="ES67" s="2510"/>
      <c r="ET67" s="2510"/>
      <c r="EU67" s="2510"/>
      <c r="EV67" s="2510"/>
      <c r="EW67" s="2510"/>
      <c r="EX67" s="2510"/>
      <c r="EY67" s="2472"/>
      <c r="EZ67" s="2510"/>
      <c r="FA67" s="2510"/>
      <c r="FB67" s="2510"/>
      <c r="FC67" s="2510"/>
      <c r="FD67" s="2510"/>
      <c r="FE67" s="2510"/>
      <c r="FF67" s="2472">
        <v>4203</v>
      </c>
      <c r="FG67" s="2510"/>
      <c r="FH67" s="2472"/>
      <c r="FI67" s="2510"/>
      <c r="FJ67" s="2510"/>
      <c r="FK67" s="2510"/>
      <c r="FL67" s="2510"/>
      <c r="FM67" s="2510"/>
      <c r="FN67" s="2510"/>
      <c r="FO67" s="2510"/>
      <c r="FP67" s="2510"/>
      <c r="FQ67" s="2510"/>
      <c r="FR67" s="2510"/>
      <c r="FS67" s="2510"/>
      <c r="FT67" s="2510"/>
      <c r="FU67" s="2510"/>
      <c r="FV67" s="2510"/>
      <c r="FW67" s="2510"/>
      <c r="FX67" s="2510"/>
      <c r="FY67" s="2510"/>
      <c r="FZ67" s="2510"/>
      <c r="GA67" s="2510"/>
      <c r="GB67" s="2510"/>
      <c r="GC67" s="2510"/>
      <c r="GD67" s="2510"/>
      <c r="GE67" s="2510"/>
      <c r="GF67" s="2510"/>
      <c r="GG67" s="2510"/>
      <c r="GH67" s="2510"/>
      <c r="GI67" s="2510"/>
      <c r="GJ67" s="2472"/>
      <c r="GK67" s="2510"/>
      <c r="GL67" s="2510"/>
      <c r="GM67" s="2510"/>
      <c r="GN67" s="2510"/>
      <c r="GO67" s="2510"/>
      <c r="GP67" s="2510"/>
      <c r="GQ67" s="2510"/>
      <c r="GR67" s="2510"/>
      <c r="GS67" s="2510"/>
      <c r="GT67" s="2510"/>
      <c r="GU67" s="2510"/>
      <c r="GV67" s="2510"/>
      <c r="GW67" s="2510"/>
      <c r="GX67" s="2472">
        <v>3679</v>
      </c>
      <c r="GY67" s="2510"/>
      <c r="GZ67" s="2510"/>
      <c r="HA67" s="2510"/>
      <c r="HB67" s="2472"/>
      <c r="HC67" s="2472"/>
      <c r="HD67" s="2510"/>
      <c r="HE67" s="2510"/>
      <c r="HF67" s="2510"/>
      <c r="HG67" s="2510"/>
      <c r="HH67" s="2510"/>
      <c r="HI67" s="2510"/>
      <c r="HJ67" s="2510"/>
      <c r="HK67" s="2510"/>
      <c r="HL67" s="2510"/>
      <c r="HM67" s="2510"/>
      <c r="HN67" s="2510"/>
      <c r="HO67" s="2472"/>
      <c r="HP67" s="2510"/>
      <c r="HQ67" s="2510"/>
      <c r="HR67" s="2510"/>
      <c r="HS67" s="2510"/>
      <c r="HT67" s="2510"/>
      <c r="HU67" s="2510"/>
      <c r="HV67" s="2510"/>
      <c r="HW67" s="2510"/>
      <c r="HX67" s="2510"/>
      <c r="HY67" s="2510"/>
      <c r="HZ67" s="2510"/>
      <c r="IA67" s="2510"/>
      <c r="IB67" s="2510"/>
      <c r="IC67" s="2510"/>
      <c r="ID67" s="2510"/>
      <c r="IE67" s="2510"/>
      <c r="IF67" s="2510"/>
      <c r="IG67" s="2510"/>
      <c r="IH67" s="2510"/>
      <c r="II67" s="2510"/>
      <c r="IJ67" s="2510"/>
      <c r="IK67" s="2510"/>
      <c r="IL67" s="2510"/>
      <c r="IM67" s="2510"/>
      <c r="IN67" s="2510"/>
      <c r="IO67" s="2510"/>
      <c r="IP67" s="2510"/>
      <c r="IQ67" s="2510"/>
      <c r="IR67" s="2510"/>
      <c r="IS67" s="2510"/>
      <c r="IT67" s="2510"/>
      <c r="IU67" s="2510"/>
      <c r="IV67" s="2510"/>
      <c r="IW67" s="2510"/>
      <c r="IX67" s="2510"/>
      <c r="IY67" s="2510"/>
      <c r="IZ67" s="2510"/>
      <c r="JA67" s="2510"/>
      <c r="JB67" s="2510"/>
      <c r="JC67" s="2510"/>
      <c r="JD67" s="2510"/>
      <c r="JE67" s="2510"/>
      <c r="JF67" s="2510"/>
      <c r="JG67" s="2479"/>
      <c r="JH67" s="1233"/>
      <c r="JI67" s="2248" t="s">
        <v>8855</v>
      </c>
      <c r="JJ67" s="2248" t="s">
        <v>6127</v>
      </c>
    </row>
    <row r="68" spans="1:270" x14ac:dyDescent="0.2">
      <c r="A68" s="1128">
        <v>25</v>
      </c>
      <c r="B68" s="1347" t="str">
        <f si="4" t="shared"/>
        <v/>
      </c>
      <c r="C68" s="1278" t="s">
        <v>2818</v>
      </c>
      <c r="D68" s="1350" t="s">
        <v>5456</v>
      </c>
      <c r="E68" s="2472"/>
      <c r="F68" s="2472"/>
      <c r="G68" s="2472"/>
      <c r="H68" s="2472"/>
      <c r="I68" s="2472"/>
      <c r="J68" s="2511"/>
      <c r="K68" s="2472"/>
      <c r="L68" s="2472"/>
      <c r="M68" s="2472"/>
      <c r="N68" s="2472"/>
      <c r="O68" s="2509"/>
      <c r="P68" s="2509"/>
      <c r="Q68" s="2472"/>
      <c r="R68" s="2509"/>
      <c r="S68" s="2472"/>
      <c r="T68" s="2510"/>
      <c r="U68" s="2510"/>
      <c r="V68" s="2510"/>
      <c r="W68" s="2510"/>
      <c r="X68" s="2510"/>
      <c r="Y68" s="2510"/>
      <c r="Z68" s="2510"/>
      <c r="AA68" s="2510"/>
      <c r="AB68" s="2510"/>
      <c r="AC68" s="2472"/>
      <c r="AD68" s="2841"/>
      <c r="AE68" s="2841"/>
      <c r="AF68" s="2841"/>
      <c r="AG68" s="2841"/>
      <c r="AH68" s="2841"/>
      <c r="AI68" s="2510"/>
      <c r="AJ68" s="2472"/>
      <c r="AK68" s="2510"/>
      <c r="AL68" s="2472">
        <v>6040</v>
      </c>
      <c r="AM68" s="2510"/>
      <c r="AN68" s="2510"/>
      <c r="AO68" s="2510"/>
      <c r="AP68" s="2510"/>
      <c r="AQ68" s="2510"/>
      <c r="AR68" s="2510"/>
      <c r="AS68" s="2510"/>
      <c r="AT68" s="2510"/>
      <c r="AU68" s="2510"/>
      <c r="AV68" s="2472"/>
      <c r="AW68" s="2510"/>
      <c r="AX68" s="2510"/>
      <c r="AY68" s="2510"/>
      <c r="AZ68" s="2510"/>
      <c r="BA68" s="2510"/>
      <c r="BB68" s="2510"/>
      <c r="BC68" s="2510"/>
      <c r="BD68" s="2510"/>
      <c r="BE68" s="2510"/>
      <c r="BF68" s="2510"/>
      <c r="BG68" s="2510"/>
      <c r="BH68" s="3956"/>
      <c r="BI68" s="3956"/>
      <c r="BJ68" s="2472">
        <v>6040</v>
      </c>
      <c r="BK68" s="2510"/>
      <c r="BL68" s="2510"/>
      <c r="BM68" s="2510"/>
      <c r="BN68" s="2510"/>
      <c r="BO68" s="2510"/>
      <c r="BP68" s="2472"/>
      <c r="BQ68" s="2510"/>
      <c r="BR68" s="2510"/>
      <c r="BS68" s="2510"/>
      <c r="BT68" s="2510"/>
      <c r="BU68" s="2510"/>
      <c r="BV68" s="2510"/>
      <c r="BW68" s="2510"/>
      <c r="BX68" s="2510"/>
      <c r="BY68" s="2510"/>
      <c r="BZ68" s="2510"/>
      <c r="CA68" s="2510"/>
      <c r="CB68" s="2472"/>
      <c r="CC68" s="2510"/>
      <c r="CD68" s="2510"/>
      <c r="CE68" s="2510"/>
      <c r="CF68" s="2472"/>
      <c r="CG68" s="2510"/>
      <c r="CH68" s="2472"/>
      <c r="CI68" s="2510"/>
      <c r="CJ68" s="2510"/>
      <c r="CK68" s="2510"/>
      <c r="CL68" s="2472">
        <v>6040</v>
      </c>
      <c r="CM68" s="2510"/>
      <c r="CN68" s="2510"/>
      <c r="CO68" s="2510"/>
      <c r="CP68" s="2510"/>
      <c r="CQ68" s="2510"/>
      <c r="CR68" s="2472">
        <v>6040</v>
      </c>
      <c r="CS68" s="2472">
        <v>6040</v>
      </c>
      <c r="CT68" s="2510"/>
      <c r="CU68" s="2472">
        <v>640</v>
      </c>
      <c r="CV68" s="2472">
        <v>640</v>
      </c>
      <c r="CW68" s="2510"/>
      <c r="CX68" s="2510"/>
      <c r="CY68" s="2510"/>
      <c r="CZ68" s="2510"/>
      <c r="DA68" s="2510"/>
      <c r="DB68" s="2510"/>
      <c r="DC68" s="2472">
        <v>640</v>
      </c>
      <c r="DD68" s="2510"/>
      <c r="DE68" s="2510"/>
      <c r="DF68" s="2510"/>
      <c r="DG68" s="2510"/>
      <c r="DH68" s="2510"/>
      <c r="DI68" s="2510"/>
      <c r="DJ68" s="2472">
        <v>640</v>
      </c>
      <c r="DK68" s="2510"/>
      <c r="DL68" s="2510"/>
      <c r="DM68" s="2510"/>
      <c r="DN68" s="2510"/>
      <c r="DO68" s="2472"/>
      <c r="DP68" s="2510"/>
      <c r="DQ68" s="2510"/>
      <c r="DR68" s="2510"/>
      <c r="DS68" s="2510"/>
      <c r="DT68" s="2510"/>
      <c r="DU68" s="2510"/>
      <c r="DV68" s="2510"/>
      <c r="DW68" s="2510"/>
      <c r="DX68" s="2510"/>
      <c r="DY68" s="2510"/>
      <c r="DZ68" s="2510"/>
      <c r="EA68" s="2510"/>
      <c r="EB68" s="2510"/>
      <c r="EC68" s="2510"/>
      <c r="ED68" s="2510"/>
      <c r="EE68" s="2510"/>
      <c r="EF68" s="2472">
        <v>158</v>
      </c>
      <c r="EG68" s="2472"/>
      <c r="EH68" s="2510"/>
      <c r="EI68" s="2472">
        <v>961</v>
      </c>
      <c r="EJ68" s="2510"/>
      <c r="EK68" s="2510"/>
      <c r="EL68" s="2510"/>
      <c r="EM68" s="2472">
        <v>6040</v>
      </c>
      <c r="EN68" s="2510"/>
      <c r="EO68" s="2510"/>
      <c r="EP68" s="2510"/>
      <c r="EQ68" s="2510"/>
      <c r="ER68" s="2510"/>
      <c r="ES68" s="2510"/>
      <c r="ET68" s="2510"/>
      <c r="EU68" s="2510"/>
      <c r="EV68" s="2510"/>
      <c r="EW68" s="2510"/>
      <c r="EX68" s="2510"/>
      <c r="EY68" s="2472">
        <v>6040</v>
      </c>
      <c r="EZ68" s="2510"/>
      <c r="FA68" s="2510"/>
      <c r="FB68" s="2510"/>
      <c r="FC68" s="2510"/>
      <c r="FD68" s="2510"/>
      <c r="FE68" s="2510"/>
      <c r="FF68" s="2472"/>
      <c r="FG68" s="2510"/>
      <c r="FH68" s="2472">
        <v>640</v>
      </c>
      <c r="FI68" s="2510"/>
      <c r="FJ68" s="2510"/>
      <c r="FK68" s="2510"/>
      <c r="FL68" s="2510"/>
      <c r="FM68" s="2510"/>
      <c r="FN68" s="2510"/>
      <c r="FO68" s="2510"/>
      <c r="FP68" s="2510"/>
      <c r="FQ68" s="2510"/>
      <c r="FR68" s="2510"/>
      <c r="FS68" s="2510"/>
      <c r="FT68" s="2510"/>
      <c r="FU68" s="2510"/>
      <c r="FV68" s="2510"/>
      <c r="FW68" s="2510"/>
      <c r="FX68" s="2510"/>
      <c r="FY68" s="2510"/>
      <c r="FZ68" s="2510"/>
      <c r="GA68" s="2510"/>
      <c r="GB68" s="2510"/>
      <c r="GC68" s="2510"/>
      <c r="GD68" s="2510"/>
      <c r="GE68" s="2510"/>
      <c r="GF68" s="2510"/>
      <c r="GG68" s="2510"/>
      <c r="GH68" s="2510"/>
      <c r="GI68" s="2510"/>
      <c r="GJ68" s="2472">
        <v>961</v>
      </c>
      <c r="GK68" s="2510"/>
      <c r="GL68" s="2510"/>
      <c r="GM68" s="2510"/>
      <c r="GN68" s="2510"/>
      <c r="GO68" s="2510"/>
      <c r="GP68" s="2510"/>
      <c r="GQ68" s="2510"/>
      <c r="GR68" s="2510"/>
      <c r="GS68" s="2510"/>
      <c r="GT68" s="2510"/>
      <c r="GU68" s="2510"/>
      <c r="GV68" s="2510"/>
      <c r="GW68" s="2510"/>
      <c r="GX68" s="2472">
        <v>1250</v>
      </c>
      <c r="GY68" s="2510"/>
      <c r="GZ68" s="2510"/>
      <c r="HA68" s="2510"/>
      <c r="HB68" s="2472"/>
      <c r="HC68" s="2472">
        <v>640</v>
      </c>
      <c r="HD68" s="2510"/>
      <c r="HE68" s="2510"/>
      <c r="HF68" s="2510"/>
      <c r="HG68" s="2510"/>
      <c r="HH68" s="2510"/>
      <c r="HI68" s="2510"/>
      <c r="HJ68" s="2510"/>
      <c r="HK68" s="2510"/>
      <c r="HL68" s="2510"/>
      <c r="HM68" s="2510"/>
      <c r="HN68" s="2510"/>
      <c r="HO68" s="2472"/>
      <c r="HP68" s="2510"/>
      <c r="HQ68" s="2510"/>
      <c r="HR68" s="2510"/>
      <c r="HS68" s="2510"/>
      <c r="HT68" s="2510"/>
      <c r="HU68" s="2510"/>
      <c r="HV68" s="2510"/>
      <c r="HW68" s="2510"/>
      <c r="HX68" s="2510"/>
      <c r="HY68" s="2510"/>
      <c r="HZ68" s="2510"/>
      <c r="IA68" s="2510"/>
      <c r="IB68" s="2510"/>
      <c r="IC68" s="2510"/>
      <c r="ID68" s="2510"/>
      <c r="IE68" s="2510"/>
      <c r="IF68" s="2510"/>
      <c r="IG68" s="2510"/>
      <c r="IH68" s="2510"/>
      <c r="II68" s="2510"/>
      <c r="IJ68" s="2510"/>
      <c r="IK68" s="2510"/>
      <c r="IL68" s="2510"/>
      <c r="IM68" s="2510"/>
      <c r="IN68" s="2510"/>
      <c r="IO68" s="2510"/>
      <c r="IP68" s="2510"/>
      <c r="IQ68" s="2510"/>
      <c r="IR68" s="2510"/>
      <c r="IS68" s="2510"/>
      <c r="IT68" s="2510"/>
      <c r="IU68" s="2510"/>
      <c r="IV68" s="2510"/>
      <c r="IW68" s="2510"/>
      <c r="IX68" s="2510"/>
      <c r="IY68" s="2510"/>
      <c r="IZ68" s="2510"/>
      <c r="JA68" s="2510"/>
      <c r="JB68" s="2510"/>
      <c r="JC68" s="2510"/>
      <c r="JD68" s="2510"/>
      <c r="JE68" s="2510"/>
      <c r="JF68" s="2510"/>
      <c r="JG68" s="2479"/>
      <c r="JH68" s="1233"/>
      <c r="JI68" s="2248" t="s">
        <v>8855</v>
      </c>
      <c r="JJ68" s="2248" t="s">
        <v>6108</v>
      </c>
    </row>
    <row r="69" spans="1:270" x14ac:dyDescent="0.2">
      <c r="A69" s="1128">
        <v>26</v>
      </c>
      <c r="B69" s="1347">
        <f si="4" t="shared"/>
        <v>1400</v>
      </c>
      <c r="C69" s="1278" t="s">
        <v>2819</v>
      </c>
      <c r="D69" s="1350" t="s">
        <v>5500</v>
      </c>
      <c r="E69" s="2472"/>
      <c r="F69" s="2472"/>
      <c r="G69" s="2472">
        <v>1400</v>
      </c>
      <c r="H69" s="2472"/>
      <c r="I69" s="2472">
        <v>1400</v>
      </c>
      <c r="J69" s="2511"/>
      <c r="K69" s="2472"/>
      <c r="L69" s="2472">
        <v>1400</v>
      </c>
      <c r="M69" s="2472"/>
      <c r="N69" s="2472"/>
      <c r="O69" s="2509"/>
      <c r="P69" s="2509"/>
      <c r="Q69" s="2472">
        <v>1400</v>
      </c>
      <c r="R69" s="2509"/>
      <c r="S69" s="2472">
        <v>1400</v>
      </c>
      <c r="T69" s="2510"/>
      <c r="U69" s="2510"/>
      <c r="V69" s="2510"/>
      <c r="W69" s="2510"/>
      <c r="X69" s="2510"/>
      <c r="Y69" s="2510"/>
      <c r="Z69" s="2510"/>
      <c r="AA69" s="2510"/>
      <c r="AB69" s="2510"/>
      <c r="AC69" s="2472">
        <v>1400</v>
      </c>
      <c r="AD69" s="2841"/>
      <c r="AE69" s="2841"/>
      <c r="AF69" s="2841"/>
      <c r="AG69" s="2841"/>
      <c r="AH69" s="2841"/>
      <c r="AI69" s="2510"/>
      <c r="AJ69" s="2472"/>
      <c r="AK69" s="2510"/>
      <c r="AL69" s="2472">
        <v>764</v>
      </c>
      <c r="AM69" s="2510"/>
      <c r="AN69" s="2510"/>
      <c r="AO69" s="2510"/>
      <c r="AP69" s="2510"/>
      <c r="AQ69" s="2510"/>
      <c r="AR69" s="2510"/>
      <c r="AS69" s="2510"/>
      <c r="AT69" s="2510"/>
      <c r="AU69" s="2510"/>
      <c r="AV69" s="2472"/>
      <c r="AW69" s="2510"/>
      <c r="AX69" s="2510"/>
      <c r="AY69" s="2510"/>
      <c r="AZ69" s="2510"/>
      <c r="BA69" s="2510"/>
      <c r="BB69" s="2510"/>
      <c r="BC69" s="2510"/>
      <c r="BD69" s="2510"/>
      <c r="BE69" s="2510"/>
      <c r="BF69" s="2510"/>
      <c r="BG69" s="2510"/>
      <c r="BH69" s="3956"/>
      <c r="BI69" s="3956"/>
      <c r="BJ69" s="2472">
        <v>764</v>
      </c>
      <c r="BK69" s="2510"/>
      <c r="BL69" s="2510"/>
      <c r="BM69" s="2510"/>
      <c r="BN69" s="2510"/>
      <c r="BO69" s="2510"/>
      <c r="BP69" s="2472">
        <v>1400</v>
      </c>
      <c r="BQ69" s="2510"/>
      <c r="BR69" s="2510"/>
      <c r="BS69" s="2510"/>
      <c r="BT69" s="2510"/>
      <c r="BU69" s="2510"/>
      <c r="BV69" s="2510"/>
      <c r="BW69" s="2510"/>
      <c r="BX69" s="2510"/>
      <c r="BY69" s="2510"/>
      <c r="BZ69" s="2510"/>
      <c r="CA69" s="2510"/>
      <c r="CB69" s="2472"/>
      <c r="CC69" s="2510"/>
      <c r="CD69" s="2510"/>
      <c r="CE69" s="2510"/>
      <c r="CF69" s="2472"/>
      <c r="CG69" s="2510"/>
      <c r="CH69" s="2472">
        <v>1400</v>
      </c>
      <c r="CI69" s="2510"/>
      <c r="CJ69" s="2510"/>
      <c r="CK69" s="2510"/>
      <c r="CL69" s="2472">
        <v>764</v>
      </c>
      <c r="CM69" s="2510"/>
      <c r="CN69" s="2510"/>
      <c r="CO69" s="2510"/>
      <c r="CP69" s="2510"/>
      <c r="CQ69" s="2510"/>
      <c r="CR69" s="2472">
        <v>764</v>
      </c>
      <c r="CS69" s="2472">
        <v>764</v>
      </c>
      <c r="CT69" s="2510"/>
      <c r="CU69" s="2472"/>
      <c r="CV69" s="2472"/>
      <c r="CW69" s="2510"/>
      <c r="CX69" s="2510"/>
      <c r="CY69" s="2510"/>
      <c r="CZ69" s="2510"/>
      <c r="DA69" s="2510"/>
      <c r="DB69" s="2510"/>
      <c r="DC69" s="2472"/>
      <c r="DD69" s="2510"/>
      <c r="DE69" s="2510"/>
      <c r="DF69" s="2510"/>
      <c r="DG69" s="2510"/>
      <c r="DH69" s="2510"/>
      <c r="DI69" s="2510"/>
      <c r="DJ69" s="2472"/>
      <c r="DK69" s="2510"/>
      <c r="DL69" s="2510"/>
      <c r="DM69" s="2510"/>
      <c r="DN69" s="2510"/>
      <c r="DO69" s="2472"/>
      <c r="DP69" s="2510"/>
      <c r="DQ69" s="2510"/>
      <c r="DR69" s="2510"/>
      <c r="DS69" s="2510"/>
      <c r="DT69" s="2510"/>
      <c r="DU69" s="2510"/>
      <c r="DV69" s="2510"/>
      <c r="DW69" s="2510"/>
      <c r="DX69" s="2510"/>
      <c r="DY69" s="2510"/>
      <c r="DZ69" s="2510"/>
      <c r="EA69" s="2510"/>
      <c r="EB69" s="2510"/>
      <c r="EC69" s="2510"/>
      <c r="ED69" s="2510"/>
      <c r="EE69" s="2510"/>
      <c r="EF69" s="2472">
        <v>2219</v>
      </c>
      <c r="EG69" s="2472">
        <v>3256</v>
      </c>
      <c r="EH69" s="2510"/>
      <c r="EI69" s="2472"/>
      <c r="EJ69" s="2510"/>
      <c r="EK69" s="2510"/>
      <c r="EL69" s="2510"/>
      <c r="EM69" s="2472">
        <v>764</v>
      </c>
      <c r="EN69" s="2510"/>
      <c r="EO69" s="2510"/>
      <c r="EP69" s="2510"/>
      <c r="EQ69" s="2510"/>
      <c r="ER69" s="2510"/>
      <c r="ES69" s="2510"/>
      <c r="ET69" s="2510"/>
      <c r="EU69" s="2510"/>
      <c r="EV69" s="2510"/>
      <c r="EW69" s="2510"/>
      <c r="EX69" s="2510"/>
      <c r="EY69" s="2472">
        <v>764</v>
      </c>
      <c r="EZ69" s="2510"/>
      <c r="FA69" s="2510"/>
      <c r="FB69" s="2510"/>
      <c r="FC69" s="2510"/>
      <c r="FD69" s="2510"/>
      <c r="FE69" s="2510"/>
      <c r="FF69" s="2472"/>
      <c r="FG69" s="2510"/>
      <c r="FH69" s="2472"/>
      <c r="FI69" s="2510"/>
      <c r="FJ69" s="2510"/>
      <c r="FK69" s="2510"/>
      <c r="FL69" s="2510"/>
      <c r="FM69" s="2510"/>
      <c r="FN69" s="2510"/>
      <c r="FO69" s="2510"/>
      <c r="FP69" s="2510"/>
      <c r="FQ69" s="2510"/>
      <c r="FR69" s="2510"/>
      <c r="FS69" s="2510"/>
      <c r="FT69" s="2510"/>
      <c r="FU69" s="2510"/>
      <c r="FV69" s="2510"/>
      <c r="FW69" s="2510"/>
      <c r="FX69" s="2510"/>
      <c r="FY69" s="2510"/>
      <c r="FZ69" s="2510"/>
      <c r="GA69" s="2510"/>
      <c r="GB69" s="2510"/>
      <c r="GC69" s="2510"/>
      <c r="GD69" s="2510"/>
      <c r="GE69" s="2510"/>
      <c r="GF69" s="2510"/>
      <c r="GG69" s="2510"/>
      <c r="GH69" s="2510"/>
      <c r="GI69" s="2510"/>
      <c r="GJ69" s="2472"/>
      <c r="GK69" s="2510"/>
      <c r="GL69" s="2510"/>
      <c r="GM69" s="2510"/>
      <c r="GN69" s="2510"/>
      <c r="GO69" s="2510"/>
      <c r="GP69" s="2510"/>
      <c r="GQ69" s="2510"/>
      <c r="GR69" s="2510"/>
      <c r="GS69" s="2510"/>
      <c r="GT69" s="2510"/>
      <c r="GU69" s="2510"/>
      <c r="GV69" s="2510"/>
      <c r="GW69" s="2510"/>
      <c r="GX69" s="2472">
        <v>500</v>
      </c>
      <c r="GY69" s="2510"/>
      <c r="GZ69" s="2510"/>
      <c r="HA69" s="2510"/>
      <c r="HB69" s="2472"/>
      <c r="HC69" s="2472"/>
      <c r="HD69" s="2510"/>
      <c r="HE69" s="2510"/>
      <c r="HF69" s="2510"/>
      <c r="HG69" s="2510"/>
      <c r="HH69" s="2510"/>
      <c r="HI69" s="2510"/>
      <c r="HJ69" s="2510"/>
      <c r="HK69" s="2510"/>
      <c r="HL69" s="2510"/>
      <c r="HM69" s="2510"/>
      <c r="HN69" s="2510"/>
      <c r="HO69" s="2472">
        <v>1400</v>
      </c>
      <c r="HP69" s="2510"/>
      <c r="HQ69" s="2510"/>
      <c r="HR69" s="2510"/>
      <c r="HS69" s="2510"/>
      <c r="HT69" s="2510"/>
      <c r="HU69" s="2510"/>
      <c r="HV69" s="2510"/>
      <c r="HW69" s="2510"/>
      <c r="HX69" s="2510"/>
      <c r="HY69" s="2510"/>
      <c r="HZ69" s="2510"/>
      <c r="IA69" s="2510"/>
      <c r="IB69" s="2510"/>
      <c r="IC69" s="2510"/>
      <c r="ID69" s="2510"/>
      <c r="IE69" s="2510"/>
      <c r="IF69" s="2510"/>
      <c r="IG69" s="2510"/>
      <c r="IH69" s="2510"/>
      <c r="II69" s="2510"/>
      <c r="IJ69" s="2510"/>
      <c r="IK69" s="2510"/>
      <c r="IL69" s="2510"/>
      <c r="IM69" s="2510"/>
      <c r="IN69" s="2510"/>
      <c r="IO69" s="2510"/>
      <c r="IP69" s="2510"/>
      <c r="IQ69" s="2510"/>
      <c r="IR69" s="2510"/>
      <c r="IS69" s="2510"/>
      <c r="IT69" s="2510"/>
      <c r="IU69" s="2510"/>
      <c r="IV69" s="2510"/>
      <c r="IW69" s="2510"/>
      <c r="IX69" s="2510"/>
      <c r="IY69" s="2510"/>
      <c r="IZ69" s="2510"/>
      <c r="JA69" s="2510"/>
      <c r="JB69" s="2510"/>
      <c r="JC69" s="2510"/>
      <c r="JD69" s="2510"/>
      <c r="JE69" s="2510"/>
      <c r="JF69" s="2510"/>
      <c r="JG69" s="2479"/>
      <c r="JH69" s="1233"/>
      <c r="JI69" s="2248" t="s">
        <v>8855</v>
      </c>
      <c r="JJ69" s="2248" t="s">
        <v>6108</v>
      </c>
    </row>
    <row r="70" spans="1:270" x14ac:dyDescent="0.2">
      <c r="A70" s="1128">
        <v>27</v>
      </c>
      <c r="B70" s="1347">
        <f si="4" t="shared"/>
        <v>5800</v>
      </c>
      <c r="C70" s="1278" t="s">
        <v>2820</v>
      </c>
      <c r="D70" s="1350" t="s">
        <v>5501</v>
      </c>
      <c r="E70" s="2472"/>
      <c r="F70" s="2472"/>
      <c r="G70" s="2472">
        <v>5800</v>
      </c>
      <c r="H70" s="2472"/>
      <c r="I70" s="2472">
        <v>5800</v>
      </c>
      <c r="J70" s="2511"/>
      <c r="K70" s="2472"/>
      <c r="L70" s="2472">
        <v>5800</v>
      </c>
      <c r="M70" s="2472"/>
      <c r="N70" s="2472"/>
      <c r="O70" s="2509"/>
      <c r="P70" s="2509"/>
      <c r="Q70" s="2472">
        <v>5800</v>
      </c>
      <c r="R70" s="2509"/>
      <c r="S70" s="2472">
        <v>5800</v>
      </c>
      <c r="T70" s="2510"/>
      <c r="U70" s="2510"/>
      <c r="V70" s="2510"/>
      <c r="W70" s="2510"/>
      <c r="X70" s="2510"/>
      <c r="Y70" s="2510"/>
      <c r="Z70" s="2510"/>
      <c r="AA70" s="2510"/>
      <c r="AB70" s="2510"/>
      <c r="AC70" s="2472">
        <v>5800</v>
      </c>
      <c r="AD70" s="2841"/>
      <c r="AE70" s="2841"/>
      <c r="AF70" s="2841"/>
      <c r="AG70" s="2841"/>
      <c r="AH70" s="2841"/>
      <c r="AI70" s="2510"/>
      <c r="AJ70" s="2472"/>
      <c r="AK70" s="2510"/>
      <c r="AL70" s="2472">
        <v>9523</v>
      </c>
      <c r="AM70" s="2510"/>
      <c r="AN70" s="2510"/>
      <c r="AO70" s="2510"/>
      <c r="AP70" s="2510"/>
      <c r="AQ70" s="2510"/>
      <c r="AR70" s="2510"/>
      <c r="AS70" s="2510"/>
      <c r="AT70" s="2510"/>
      <c r="AU70" s="2510"/>
      <c r="AV70" s="2472"/>
      <c r="AW70" s="2510"/>
      <c r="AX70" s="2510"/>
      <c r="AY70" s="2510"/>
      <c r="AZ70" s="2510"/>
      <c r="BA70" s="2510"/>
      <c r="BB70" s="2510"/>
      <c r="BC70" s="2510"/>
      <c r="BD70" s="2510"/>
      <c r="BE70" s="2510"/>
      <c r="BF70" s="2510"/>
      <c r="BG70" s="2510"/>
      <c r="BH70" s="3956"/>
      <c r="BI70" s="3956"/>
      <c r="BJ70" s="2472">
        <v>9523</v>
      </c>
      <c r="BK70" s="2510"/>
      <c r="BL70" s="2510"/>
      <c r="BM70" s="2510"/>
      <c r="BN70" s="2510"/>
      <c r="BO70" s="2510"/>
      <c r="BP70" s="2472">
        <v>5800</v>
      </c>
      <c r="BQ70" s="2510"/>
      <c r="BR70" s="2510"/>
      <c r="BS70" s="2510"/>
      <c r="BT70" s="2510"/>
      <c r="BU70" s="2510"/>
      <c r="BV70" s="2510"/>
      <c r="BW70" s="2510"/>
      <c r="BX70" s="2510"/>
      <c r="BY70" s="2510"/>
      <c r="BZ70" s="2510"/>
      <c r="CA70" s="2510"/>
      <c r="CB70" s="2472"/>
      <c r="CC70" s="2510"/>
      <c r="CD70" s="2510"/>
      <c r="CE70" s="2510"/>
      <c r="CF70" s="2472"/>
      <c r="CG70" s="2510"/>
      <c r="CH70" s="2472">
        <v>5800</v>
      </c>
      <c r="CI70" s="2510"/>
      <c r="CJ70" s="2510"/>
      <c r="CK70" s="2510"/>
      <c r="CL70" s="2472">
        <v>9523</v>
      </c>
      <c r="CM70" s="2510"/>
      <c r="CN70" s="2510"/>
      <c r="CO70" s="2510"/>
      <c r="CP70" s="2510"/>
      <c r="CQ70" s="2510"/>
      <c r="CR70" s="2472">
        <v>9523</v>
      </c>
      <c r="CS70" s="2472">
        <v>9523</v>
      </c>
      <c r="CT70" s="2510"/>
      <c r="CU70" s="2472"/>
      <c r="CV70" s="2472"/>
      <c r="CW70" s="2510"/>
      <c r="CX70" s="2510"/>
      <c r="CY70" s="2510"/>
      <c r="CZ70" s="2510"/>
      <c r="DA70" s="2510"/>
      <c r="DB70" s="2510"/>
      <c r="DC70" s="2472"/>
      <c r="DD70" s="2510"/>
      <c r="DE70" s="2510"/>
      <c r="DF70" s="2510"/>
      <c r="DG70" s="2510"/>
      <c r="DH70" s="2510"/>
      <c r="DI70" s="2510"/>
      <c r="DJ70" s="2472"/>
      <c r="DK70" s="2510"/>
      <c r="DL70" s="2510"/>
      <c r="DM70" s="2510"/>
      <c r="DN70" s="2510"/>
      <c r="DO70" s="2472"/>
      <c r="DP70" s="2510"/>
      <c r="DQ70" s="2510"/>
      <c r="DR70" s="2510"/>
      <c r="DS70" s="2510"/>
      <c r="DT70" s="2510"/>
      <c r="DU70" s="2510"/>
      <c r="DV70" s="2510"/>
      <c r="DW70" s="2510"/>
      <c r="DX70" s="2510"/>
      <c r="DY70" s="2510"/>
      <c r="DZ70" s="2510"/>
      <c r="EA70" s="2510"/>
      <c r="EB70" s="2510"/>
      <c r="EC70" s="2510"/>
      <c r="ED70" s="2510"/>
      <c r="EE70" s="2510"/>
      <c r="EF70" s="2472">
        <v>1931</v>
      </c>
      <c r="EG70" s="2472">
        <v>4556</v>
      </c>
      <c r="EH70" s="2510"/>
      <c r="EI70" s="2472"/>
      <c r="EJ70" s="2510"/>
      <c r="EK70" s="2510"/>
      <c r="EL70" s="2510"/>
      <c r="EM70" s="2472">
        <v>9523</v>
      </c>
      <c r="EN70" s="2510"/>
      <c r="EO70" s="2510"/>
      <c r="EP70" s="2510"/>
      <c r="EQ70" s="2510"/>
      <c r="ER70" s="2510"/>
      <c r="ES70" s="2510"/>
      <c r="ET70" s="2510"/>
      <c r="EU70" s="2510"/>
      <c r="EV70" s="2510"/>
      <c r="EW70" s="2510"/>
      <c r="EX70" s="2510"/>
      <c r="EY70" s="2472">
        <v>9523</v>
      </c>
      <c r="EZ70" s="2510"/>
      <c r="FA70" s="2510"/>
      <c r="FB70" s="2510"/>
      <c r="FC70" s="2510"/>
      <c r="FD70" s="2510"/>
      <c r="FE70" s="2510"/>
      <c r="FF70" s="2472"/>
      <c r="FG70" s="2510"/>
      <c r="FH70" s="2472"/>
      <c r="FI70" s="2510"/>
      <c r="FJ70" s="2510"/>
      <c r="FK70" s="2510"/>
      <c r="FL70" s="2510"/>
      <c r="FM70" s="2510"/>
      <c r="FN70" s="2510"/>
      <c r="FO70" s="2510"/>
      <c r="FP70" s="2510"/>
      <c r="FQ70" s="2510"/>
      <c r="FR70" s="2510"/>
      <c r="FS70" s="2510"/>
      <c r="FT70" s="2510"/>
      <c r="FU70" s="2510"/>
      <c r="FV70" s="2510"/>
      <c r="FW70" s="2510"/>
      <c r="FX70" s="2510"/>
      <c r="FY70" s="2510"/>
      <c r="FZ70" s="2510"/>
      <c r="GA70" s="2510"/>
      <c r="GB70" s="2510"/>
      <c r="GC70" s="2510"/>
      <c r="GD70" s="2510"/>
      <c r="GE70" s="2510"/>
      <c r="GF70" s="2510"/>
      <c r="GG70" s="2510"/>
      <c r="GH70" s="2510"/>
      <c r="GI70" s="2510"/>
      <c r="GJ70" s="2472"/>
      <c r="GK70" s="2510"/>
      <c r="GL70" s="2510"/>
      <c r="GM70" s="2510"/>
      <c r="GN70" s="2510"/>
      <c r="GO70" s="2510"/>
      <c r="GP70" s="2510"/>
      <c r="GQ70" s="2510"/>
      <c r="GR70" s="2510"/>
      <c r="GS70" s="2510"/>
      <c r="GT70" s="2510"/>
      <c r="GU70" s="2510"/>
      <c r="GV70" s="2510"/>
      <c r="GW70" s="2510"/>
      <c r="GX70" s="2472">
        <v>78000</v>
      </c>
      <c r="GY70" s="2510"/>
      <c r="GZ70" s="2510"/>
      <c r="HA70" s="2510"/>
      <c r="HB70" s="2472"/>
      <c r="HC70" s="2472"/>
      <c r="HD70" s="2510"/>
      <c r="HE70" s="2510"/>
      <c r="HF70" s="2510"/>
      <c r="HG70" s="2510"/>
      <c r="HH70" s="2510"/>
      <c r="HI70" s="2510"/>
      <c r="HJ70" s="2510"/>
      <c r="HK70" s="2510"/>
      <c r="HL70" s="2510"/>
      <c r="HM70" s="2510"/>
      <c r="HN70" s="2510"/>
      <c r="HO70" s="2472">
        <v>5800</v>
      </c>
      <c r="HP70" s="2510"/>
      <c r="HQ70" s="2510"/>
      <c r="HR70" s="2510"/>
      <c r="HS70" s="2510"/>
      <c r="HT70" s="2510"/>
      <c r="HU70" s="2510"/>
      <c r="HV70" s="2510"/>
      <c r="HW70" s="2510"/>
      <c r="HX70" s="2510"/>
      <c r="HY70" s="2510"/>
      <c r="HZ70" s="2510"/>
      <c r="IA70" s="2510"/>
      <c r="IB70" s="2510"/>
      <c r="IC70" s="2510"/>
      <c r="ID70" s="2510"/>
      <c r="IE70" s="2510"/>
      <c r="IF70" s="2510"/>
      <c r="IG70" s="2510"/>
      <c r="IH70" s="2510"/>
      <c r="II70" s="2510"/>
      <c r="IJ70" s="2510"/>
      <c r="IK70" s="2510"/>
      <c r="IL70" s="2510"/>
      <c r="IM70" s="2510"/>
      <c r="IN70" s="2510"/>
      <c r="IO70" s="2510"/>
      <c r="IP70" s="2510"/>
      <c r="IQ70" s="2510"/>
      <c r="IR70" s="2510"/>
      <c r="IS70" s="2510"/>
      <c r="IT70" s="2510"/>
      <c r="IU70" s="2510"/>
      <c r="IV70" s="2510"/>
      <c r="IW70" s="2510"/>
      <c r="IX70" s="2510"/>
      <c r="IY70" s="2510"/>
      <c r="IZ70" s="2510"/>
      <c r="JA70" s="2510"/>
      <c r="JB70" s="2510"/>
      <c r="JC70" s="2510"/>
      <c r="JD70" s="2510"/>
      <c r="JE70" s="2510"/>
      <c r="JF70" s="2510"/>
      <c r="JG70" s="2479"/>
      <c r="JH70" s="1233"/>
      <c r="JI70" s="2248" t="s">
        <v>8855</v>
      </c>
      <c r="JJ70" s="2248" t="s">
        <v>6127</v>
      </c>
    </row>
    <row r="71" spans="1:270" x14ac:dyDescent="0.2">
      <c r="A71" s="1128">
        <v>28</v>
      </c>
      <c r="B71" s="1347">
        <f si="4" t="shared"/>
        <v>1500</v>
      </c>
      <c r="C71" s="1278" t="s">
        <v>2821</v>
      </c>
      <c r="D71" s="1350" t="s">
        <v>5455</v>
      </c>
      <c r="E71" s="2472"/>
      <c r="F71" s="2472"/>
      <c r="G71" s="2472">
        <v>1500</v>
      </c>
      <c r="H71" s="2472"/>
      <c r="I71" s="2472">
        <v>1500</v>
      </c>
      <c r="J71" s="2511"/>
      <c r="K71" s="2472"/>
      <c r="L71" s="2472">
        <v>1500</v>
      </c>
      <c r="M71" s="2472"/>
      <c r="N71" s="2472"/>
      <c r="O71" s="2509"/>
      <c r="P71" s="2509"/>
      <c r="Q71" s="2472">
        <v>1500</v>
      </c>
      <c r="R71" s="2509"/>
      <c r="S71" s="2472">
        <v>1500</v>
      </c>
      <c r="T71" s="2510"/>
      <c r="U71" s="2510"/>
      <c r="V71" s="2510"/>
      <c r="W71" s="2510"/>
      <c r="X71" s="2510"/>
      <c r="Y71" s="2510"/>
      <c r="Z71" s="2510"/>
      <c r="AA71" s="2510"/>
      <c r="AB71" s="2510"/>
      <c r="AC71" s="2472">
        <v>1500</v>
      </c>
      <c r="AD71" s="2841"/>
      <c r="AE71" s="2841"/>
      <c r="AF71" s="2841"/>
      <c r="AG71" s="2841"/>
      <c r="AH71" s="2841"/>
      <c r="AI71" s="2510"/>
      <c r="AJ71" s="2472">
        <v>216</v>
      </c>
      <c r="AK71" s="2510"/>
      <c r="AL71" s="2472">
        <v>2719</v>
      </c>
      <c r="AM71" s="2510"/>
      <c r="AN71" s="2510"/>
      <c r="AO71" s="2510"/>
      <c r="AP71" s="2510"/>
      <c r="AQ71" s="2510"/>
      <c r="AR71" s="2510"/>
      <c r="AS71" s="2510"/>
      <c r="AT71" s="2510"/>
      <c r="AU71" s="2510"/>
      <c r="AV71" s="2472"/>
      <c r="AW71" s="2510"/>
      <c r="AX71" s="2510"/>
      <c r="AY71" s="2510"/>
      <c r="AZ71" s="2510"/>
      <c r="BA71" s="2510"/>
      <c r="BB71" s="2510"/>
      <c r="BC71" s="2510"/>
      <c r="BD71" s="2510"/>
      <c r="BE71" s="2510"/>
      <c r="BF71" s="2510"/>
      <c r="BG71" s="2510"/>
      <c r="BH71" s="3956"/>
      <c r="BI71" s="3956"/>
      <c r="BJ71" s="2472">
        <v>2719</v>
      </c>
      <c r="BK71" s="2510"/>
      <c r="BL71" s="2510"/>
      <c r="BM71" s="2510"/>
      <c r="BN71" s="2510"/>
      <c r="BO71" s="2510"/>
      <c r="BP71" s="2472">
        <v>1500</v>
      </c>
      <c r="BQ71" s="2510"/>
      <c r="BR71" s="2510"/>
      <c r="BS71" s="2510"/>
      <c r="BT71" s="2510"/>
      <c r="BU71" s="2510"/>
      <c r="BV71" s="2510"/>
      <c r="BW71" s="2510"/>
      <c r="BX71" s="2510"/>
      <c r="BY71" s="2510"/>
      <c r="BZ71" s="2510"/>
      <c r="CA71" s="2510"/>
      <c r="CB71" s="2472">
        <v>216</v>
      </c>
      <c r="CC71" s="2510"/>
      <c r="CD71" s="2510"/>
      <c r="CE71" s="2510"/>
      <c r="CF71" s="2472">
        <v>216</v>
      </c>
      <c r="CG71" s="2510"/>
      <c r="CH71" s="2472">
        <v>1500</v>
      </c>
      <c r="CI71" s="2510"/>
      <c r="CJ71" s="2510"/>
      <c r="CK71" s="2510"/>
      <c r="CL71" s="2472">
        <v>2719</v>
      </c>
      <c r="CM71" s="2510"/>
      <c r="CN71" s="2510"/>
      <c r="CO71" s="2510"/>
      <c r="CP71" s="2510"/>
      <c r="CQ71" s="2510"/>
      <c r="CR71" s="2472">
        <v>2719</v>
      </c>
      <c r="CS71" s="2472">
        <v>2719</v>
      </c>
      <c r="CT71" s="2510"/>
      <c r="CU71" s="2472"/>
      <c r="CV71" s="2472"/>
      <c r="CW71" s="2510"/>
      <c r="CX71" s="2510"/>
      <c r="CY71" s="2510"/>
      <c r="CZ71" s="2510"/>
      <c r="DA71" s="2510"/>
      <c r="DB71" s="2510"/>
      <c r="DC71" s="2472"/>
      <c r="DD71" s="2510"/>
      <c r="DE71" s="2510"/>
      <c r="DF71" s="2510"/>
      <c r="DG71" s="2510"/>
      <c r="DH71" s="2510"/>
      <c r="DI71" s="2510"/>
      <c r="DJ71" s="2472"/>
      <c r="DK71" s="2510"/>
      <c r="DL71" s="2510"/>
      <c r="DM71" s="2510"/>
      <c r="DN71" s="2510"/>
      <c r="DO71" s="2472"/>
      <c r="DP71" s="2510"/>
      <c r="DQ71" s="2510"/>
      <c r="DR71" s="2510"/>
      <c r="DS71" s="2510"/>
      <c r="DT71" s="2510"/>
      <c r="DU71" s="2510"/>
      <c r="DV71" s="2510"/>
      <c r="DW71" s="2510"/>
      <c r="DX71" s="2510"/>
      <c r="DY71" s="2510"/>
      <c r="DZ71" s="2510"/>
      <c r="EA71" s="2510"/>
      <c r="EB71" s="2510"/>
      <c r="EC71" s="2510"/>
      <c r="ED71" s="2510"/>
      <c r="EE71" s="2510"/>
      <c r="EF71" s="2472">
        <v>287</v>
      </c>
      <c r="EG71" s="2472">
        <v>240</v>
      </c>
      <c r="EH71" s="2510"/>
      <c r="EI71" s="2472"/>
      <c r="EJ71" s="2510"/>
      <c r="EK71" s="2510"/>
      <c r="EL71" s="2510"/>
      <c r="EM71" s="2472">
        <v>2719</v>
      </c>
      <c r="EN71" s="2510"/>
      <c r="EO71" s="2510"/>
      <c r="EP71" s="2510"/>
      <c r="EQ71" s="2510"/>
      <c r="ER71" s="2510"/>
      <c r="ES71" s="2510"/>
      <c r="ET71" s="2510"/>
      <c r="EU71" s="2510"/>
      <c r="EV71" s="2510"/>
      <c r="EW71" s="2510"/>
      <c r="EX71" s="2510"/>
      <c r="EY71" s="2472">
        <v>2719</v>
      </c>
      <c r="EZ71" s="2510"/>
      <c r="FA71" s="2510"/>
      <c r="FB71" s="2510"/>
      <c r="FC71" s="2510"/>
      <c r="FD71" s="2510"/>
      <c r="FE71" s="2510"/>
      <c r="FF71" s="2472">
        <v>216</v>
      </c>
      <c r="FG71" s="2510"/>
      <c r="FH71" s="2472"/>
      <c r="FI71" s="2510"/>
      <c r="FJ71" s="2510"/>
      <c r="FK71" s="2510"/>
      <c r="FL71" s="2510"/>
      <c r="FM71" s="2510"/>
      <c r="FN71" s="2510"/>
      <c r="FO71" s="2510"/>
      <c r="FP71" s="2510"/>
      <c r="FQ71" s="2510"/>
      <c r="FR71" s="2510"/>
      <c r="FS71" s="2510"/>
      <c r="FT71" s="2510"/>
      <c r="FU71" s="2510"/>
      <c r="FV71" s="2510"/>
      <c r="FW71" s="2510"/>
      <c r="FX71" s="2510"/>
      <c r="FY71" s="2510"/>
      <c r="FZ71" s="2510"/>
      <c r="GA71" s="2510"/>
      <c r="GB71" s="2510"/>
      <c r="GC71" s="2510"/>
      <c r="GD71" s="2510"/>
      <c r="GE71" s="2510"/>
      <c r="GF71" s="2510"/>
      <c r="GG71" s="2510"/>
      <c r="GH71" s="2510"/>
      <c r="GI71" s="2510"/>
      <c r="GJ71" s="2472"/>
      <c r="GK71" s="2510"/>
      <c r="GL71" s="2510"/>
      <c r="GM71" s="2510"/>
      <c r="GN71" s="2510"/>
      <c r="GO71" s="2510"/>
      <c r="GP71" s="2510"/>
      <c r="GQ71" s="2510"/>
      <c r="GR71" s="2510"/>
      <c r="GS71" s="2510"/>
      <c r="GT71" s="2510"/>
      <c r="GU71" s="2510"/>
      <c r="GV71" s="2510"/>
      <c r="GW71" s="2510"/>
      <c r="GX71" s="2472"/>
      <c r="GY71" s="2510"/>
      <c r="GZ71" s="2510"/>
      <c r="HA71" s="2510"/>
      <c r="HB71" s="2472"/>
      <c r="HC71" s="2472"/>
      <c r="HD71" s="2510"/>
      <c r="HE71" s="2510"/>
      <c r="HF71" s="2510"/>
      <c r="HG71" s="2510"/>
      <c r="HH71" s="2510"/>
      <c r="HI71" s="2510"/>
      <c r="HJ71" s="2510"/>
      <c r="HK71" s="2510"/>
      <c r="HL71" s="2510"/>
      <c r="HM71" s="2510"/>
      <c r="HN71" s="2510"/>
      <c r="HO71" s="2472">
        <v>1500</v>
      </c>
      <c r="HP71" s="2510"/>
      <c r="HQ71" s="2510"/>
      <c r="HR71" s="2510"/>
      <c r="HS71" s="2510"/>
      <c r="HT71" s="2510"/>
      <c r="HU71" s="2510"/>
      <c r="HV71" s="2510"/>
      <c r="HW71" s="2510"/>
      <c r="HX71" s="2510"/>
      <c r="HY71" s="2510"/>
      <c r="HZ71" s="2510"/>
      <c r="IA71" s="2510"/>
      <c r="IB71" s="2510"/>
      <c r="IC71" s="2510"/>
      <c r="ID71" s="2510"/>
      <c r="IE71" s="2510"/>
      <c r="IF71" s="2510"/>
      <c r="IG71" s="2510"/>
      <c r="IH71" s="2510"/>
      <c r="II71" s="2510"/>
      <c r="IJ71" s="2510"/>
      <c r="IK71" s="2510"/>
      <c r="IL71" s="2510"/>
      <c r="IM71" s="2510"/>
      <c r="IN71" s="2510"/>
      <c r="IO71" s="2510"/>
      <c r="IP71" s="2510"/>
      <c r="IQ71" s="2510"/>
      <c r="IR71" s="2510"/>
      <c r="IS71" s="2510"/>
      <c r="IT71" s="2510"/>
      <c r="IU71" s="2510"/>
      <c r="IV71" s="2510"/>
      <c r="IW71" s="2510"/>
      <c r="IX71" s="2510"/>
      <c r="IY71" s="2510"/>
      <c r="IZ71" s="2510"/>
      <c r="JA71" s="2510"/>
      <c r="JB71" s="2510"/>
      <c r="JC71" s="2510"/>
      <c r="JD71" s="2510"/>
      <c r="JE71" s="2510"/>
      <c r="JF71" s="2510"/>
      <c r="JG71" s="2479"/>
      <c r="JH71" s="1233"/>
      <c r="JI71" s="2248" t="s">
        <v>8855</v>
      </c>
      <c r="JJ71" s="2248" t="s">
        <v>6127</v>
      </c>
    </row>
    <row r="72" spans="1:270" x14ac:dyDescent="0.2">
      <c r="A72" s="1128">
        <v>29</v>
      </c>
      <c r="B72" s="1347" t="str">
        <f si="4" t="shared"/>
        <v/>
      </c>
      <c r="C72" s="1278" t="s">
        <v>2822</v>
      </c>
      <c r="D72" s="1350" t="s">
        <v>5502</v>
      </c>
      <c r="E72" s="2472"/>
      <c r="F72" s="2472"/>
      <c r="G72" s="2472"/>
      <c r="H72" s="2472"/>
      <c r="I72" s="2472"/>
      <c r="J72" s="2511"/>
      <c r="K72" s="2472"/>
      <c r="L72" s="2472"/>
      <c r="M72" s="2472"/>
      <c r="N72" s="2472"/>
      <c r="O72" s="2509"/>
      <c r="P72" s="2509"/>
      <c r="Q72" s="2472"/>
      <c r="R72" s="2509"/>
      <c r="S72" s="2472"/>
      <c r="T72" s="2510"/>
      <c r="U72" s="2510"/>
      <c r="V72" s="2510"/>
      <c r="W72" s="2510"/>
      <c r="X72" s="2510"/>
      <c r="Y72" s="2510"/>
      <c r="Z72" s="2510"/>
      <c r="AA72" s="2510"/>
      <c r="AB72" s="2510"/>
      <c r="AC72" s="2472"/>
      <c r="AD72" s="2841"/>
      <c r="AE72" s="2841"/>
      <c r="AF72" s="2841"/>
      <c r="AG72" s="2841"/>
      <c r="AH72" s="2841"/>
      <c r="AI72" s="2510"/>
      <c r="AJ72" s="2472">
        <v>1317</v>
      </c>
      <c r="AK72" s="2510"/>
      <c r="AL72" s="2472">
        <v>798</v>
      </c>
      <c r="AM72" s="2510"/>
      <c r="AN72" s="2510"/>
      <c r="AO72" s="2510"/>
      <c r="AP72" s="2510"/>
      <c r="AQ72" s="2510"/>
      <c r="AR72" s="2510"/>
      <c r="AS72" s="2510"/>
      <c r="AT72" s="2510"/>
      <c r="AU72" s="2510"/>
      <c r="AV72" s="2472"/>
      <c r="AW72" s="2510"/>
      <c r="AX72" s="2510"/>
      <c r="AY72" s="2510"/>
      <c r="AZ72" s="2510"/>
      <c r="BA72" s="2510"/>
      <c r="BB72" s="2510"/>
      <c r="BC72" s="2510"/>
      <c r="BD72" s="2510"/>
      <c r="BE72" s="2510"/>
      <c r="BF72" s="2510"/>
      <c r="BG72" s="2510"/>
      <c r="BH72" s="3956"/>
      <c r="BI72" s="3956"/>
      <c r="BJ72" s="2472">
        <v>798</v>
      </c>
      <c r="BK72" s="2510"/>
      <c r="BL72" s="2510"/>
      <c r="BM72" s="2510"/>
      <c r="BN72" s="2510"/>
      <c r="BO72" s="2510"/>
      <c r="BP72" s="2472"/>
      <c r="BQ72" s="2510"/>
      <c r="BR72" s="2510"/>
      <c r="BS72" s="2510"/>
      <c r="BT72" s="2510"/>
      <c r="BU72" s="2510"/>
      <c r="BV72" s="2510"/>
      <c r="BW72" s="2510"/>
      <c r="BX72" s="2510"/>
      <c r="BY72" s="2510"/>
      <c r="BZ72" s="2510"/>
      <c r="CA72" s="2510"/>
      <c r="CB72" s="2472">
        <v>1317</v>
      </c>
      <c r="CC72" s="2510"/>
      <c r="CD72" s="2510"/>
      <c r="CE72" s="2510"/>
      <c r="CF72" s="2472">
        <v>1317</v>
      </c>
      <c r="CG72" s="2510"/>
      <c r="CH72" s="2472"/>
      <c r="CI72" s="2510"/>
      <c r="CJ72" s="2510"/>
      <c r="CK72" s="2510"/>
      <c r="CL72" s="2472">
        <v>798</v>
      </c>
      <c r="CM72" s="2510"/>
      <c r="CN72" s="2510"/>
      <c r="CO72" s="2510"/>
      <c r="CP72" s="2510"/>
      <c r="CQ72" s="2510"/>
      <c r="CR72" s="2472">
        <v>798</v>
      </c>
      <c r="CS72" s="2472">
        <v>798</v>
      </c>
      <c r="CT72" s="2510"/>
      <c r="CU72" s="2472"/>
      <c r="CV72" s="2472"/>
      <c r="CW72" s="2510"/>
      <c r="CX72" s="2510"/>
      <c r="CY72" s="2510"/>
      <c r="CZ72" s="2510"/>
      <c r="DA72" s="2510"/>
      <c r="DB72" s="2510"/>
      <c r="DC72" s="2472"/>
      <c r="DD72" s="2510"/>
      <c r="DE72" s="2510"/>
      <c r="DF72" s="2510"/>
      <c r="DG72" s="2510"/>
      <c r="DH72" s="2510"/>
      <c r="DI72" s="2510"/>
      <c r="DJ72" s="2472"/>
      <c r="DK72" s="2510"/>
      <c r="DL72" s="2510"/>
      <c r="DM72" s="2510"/>
      <c r="DN72" s="2510"/>
      <c r="DO72" s="2472"/>
      <c r="DP72" s="2510"/>
      <c r="DQ72" s="2510"/>
      <c r="DR72" s="2510"/>
      <c r="DS72" s="2510"/>
      <c r="DT72" s="2510"/>
      <c r="DU72" s="2510"/>
      <c r="DV72" s="2510"/>
      <c r="DW72" s="2510"/>
      <c r="DX72" s="2510"/>
      <c r="DY72" s="2510"/>
      <c r="DZ72" s="2510"/>
      <c r="EA72" s="2510"/>
      <c r="EB72" s="2510"/>
      <c r="EC72" s="2510"/>
      <c r="ED72" s="2510"/>
      <c r="EE72" s="2510"/>
      <c r="EF72" s="2472"/>
      <c r="EG72" s="2472">
        <v>3326</v>
      </c>
      <c r="EH72" s="2510"/>
      <c r="EI72" s="2472"/>
      <c r="EJ72" s="2510"/>
      <c r="EK72" s="2510"/>
      <c r="EL72" s="2510"/>
      <c r="EM72" s="2472">
        <v>798</v>
      </c>
      <c r="EN72" s="2510"/>
      <c r="EO72" s="2510"/>
      <c r="EP72" s="2510"/>
      <c r="EQ72" s="2510"/>
      <c r="ER72" s="2510"/>
      <c r="ES72" s="2510"/>
      <c r="ET72" s="2510"/>
      <c r="EU72" s="2510"/>
      <c r="EV72" s="2510"/>
      <c r="EW72" s="2510"/>
      <c r="EX72" s="2510"/>
      <c r="EY72" s="2472">
        <v>798</v>
      </c>
      <c r="EZ72" s="2510"/>
      <c r="FA72" s="2510"/>
      <c r="FB72" s="2510"/>
      <c r="FC72" s="2510"/>
      <c r="FD72" s="2510"/>
      <c r="FE72" s="2510"/>
      <c r="FF72" s="2472">
        <v>1317</v>
      </c>
      <c r="FG72" s="2510"/>
      <c r="FH72" s="2472"/>
      <c r="FI72" s="2510"/>
      <c r="FJ72" s="2510"/>
      <c r="FK72" s="2510"/>
      <c r="FL72" s="2510"/>
      <c r="FM72" s="2510"/>
      <c r="FN72" s="2510"/>
      <c r="FO72" s="2510"/>
      <c r="FP72" s="2510"/>
      <c r="FQ72" s="2510"/>
      <c r="FR72" s="2510"/>
      <c r="FS72" s="2510"/>
      <c r="FT72" s="2510"/>
      <c r="FU72" s="2510"/>
      <c r="FV72" s="2510"/>
      <c r="FW72" s="2510"/>
      <c r="FX72" s="2510"/>
      <c r="FY72" s="2510"/>
      <c r="FZ72" s="2510"/>
      <c r="GA72" s="2510"/>
      <c r="GB72" s="2510"/>
      <c r="GC72" s="2510"/>
      <c r="GD72" s="2510"/>
      <c r="GE72" s="2510"/>
      <c r="GF72" s="2510"/>
      <c r="GG72" s="2510"/>
      <c r="GH72" s="2510"/>
      <c r="GI72" s="2510"/>
      <c r="GJ72" s="2472"/>
      <c r="GK72" s="2510"/>
      <c r="GL72" s="2510"/>
      <c r="GM72" s="2510"/>
      <c r="GN72" s="2510"/>
      <c r="GO72" s="2510"/>
      <c r="GP72" s="2510"/>
      <c r="GQ72" s="2510"/>
      <c r="GR72" s="2510"/>
      <c r="GS72" s="2510"/>
      <c r="GT72" s="2510"/>
      <c r="GU72" s="2510"/>
      <c r="GV72" s="2510"/>
      <c r="GW72" s="2510"/>
      <c r="GX72" s="2472">
        <v>45000</v>
      </c>
      <c r="GY72" s="2510"/>
      <c r="GZ72" s="2510"/>
      <c r="HA72" s="2510"/>
      <c r="HB72" s="2472"/>
      <c r="HC72" s="2472"/>
      <c r="HD72" s="2510"/>
      <c r="HE72" s="2510"/>
      <c r="HF72" s="2510"/>
      <c r="HG72" s="2510"/>
      <c r="HH72" s="2510"/>
      <c r="HI72" s="2510"/>
      <c r="HJ72" s="2510"/>
      <c r="HK72" s="2510"/>
      <c r="HL72" s="2510"/>
      <c r="HM72" s="2510"/>
      <c r="HN72" s="2510"/>
      <c r="HO72" s="2472"/>
      <c r="HP72" s="2510"/>
      <c r="HQ72" s="2510"/>
      <c r="HR72" s="2510"/>
      <c r="HS72" s="2510"/>
      <c r="HT72" s="2510"/>
      <c r="HU72" s="2510"/>
      <c r="HV72" s="2510"/>
      <c r="HW72" s="2510"/>
      <c r="HX72" s="2510"/>
      <c r="HY72" s="2510"/>
      <c r="HZ72" s="2510"/>
      <c r="IA72" s="2510"/>
      <c r="IB72" s="2510"/>
      <c r="IC72" s="2510"/>
      <c r="ID72" s="2510"/>
      <c r="IE72" s="2510"/>
      <c r="IF72" s="2510"/>
      <c r="IG72" s="2510"/>
      <c r="IH72" s="2510"/>
      <c r="II72" s="2510"/>
      <c r="IJ72" s="2510"/>
      <c r="IK72" s="2510"/>
      <c r="IL72" s="2510"/>
      <c r="IM72" s="2510"/>
      <c r="IN72" s="2510"/>
      <c r="IO72" s="2510"/>
      <c r="IP72" s="2510"/>
      <c r="IQ72" s="2510"/>
      <c r="IR72" s="2510"/>
      <c r="IS72" s="2510"/>
      <c r="IT72" s="2510"/>
      <c r="IU72" s="2510"/>
      <c r="IV72" s="2510"/>
      <c r="IW72" s="2510"/>
      <c r="IX72" s="2510"/>
      <c r="IY72" s="2510"/>
      <c r="IZ72" s="2510"/>
      <c r="JA72" s="2510"/>
      <c r="JB72" s="2510"/>
      <c r="JC72" s="2510"/>
      <c r="JD72" s="2510"/>
      <c r="JE72" s="2510"/>
      <c r="JF72" s="2510"/>
      <c r="JG72" s="2479"/>
      <c r="JH72" s="1233"/>
      <c r="JI72" s="2248" t="s">
        <v>8855</v>
      </c>
      <c r="JJ72" s="2248" t="s">
        <v>6127</v>
      </c>
    </row>
    <row r="73" spans="1:270" x14ac:dyDescent="0.2">
      <c r="A73" s="1128">
        <v>30</v>
      </c>
      <c r="B73" s="1347" t="str">
        <f si="4" t="shared"/>
        <v/>
      </c>
      <c r="C73" s="1278" t="s">
        <v>2823</v>
      </c>
      <c r="D73" s="1350" t="s">
        <v>5454</v>
      </c>
      <c r="E73" s="2472"/>
      <c r="F73" s="2472"/>
      <c r="G73" s="2472"/>
      <c r="H73" s="2472"/>
      <c r="I73" s="2472"/>
      <c r="J73" s="2511"/>
      <c r="K73" s="2472"/>
      <c r="L73" s="2472"/>
      <c r="M73" s="2472"/>
      <c r="N73" s="2472"/>
      <c r="O73" s="2509"/>
      <c r="P73" s="2509"/>
      <c r="Q73" s="2472"/>
      <c r="R73" s="2509"/>
      <c r="S73" s="2472"/>
      <c r="T73" s="2510"/>
      <c r="U73" s="2510"/>
      <c r="V73" s="2510"/>
      <c r="W73" s="2510"/>
      <c r="X73" s="2510"/>
      <c r="Y73" s="2510"/>
      <c r="Z73" s="2510"/>
      <c r="AA73" s="2510"/>
      <c r="AB73" s="2510"/>
      <c r="AC73" s="2472"/>
      <c r="AD73" s="2841"/>
      <c r="AE73" s="2841"/>
      <c r="AF73" s="2841"/>
      <c r="AG73" s="2841"/>
      <c r="AH73" s="2841"/>
      <c r="AI73" s="2510"/>
      <c r="AJ73" s="2472"/>
      <c r="AK73" s="2510"/>
      <c r="AL73" s="2472">
        <v>6284</v>
      </c>
      <c r="AM73" s="2510"/>
      <c r="AN73" s="2510"/>
      <c r="AO73" s="2510"/>
      <c r="AP73" s="2510"/>
      <c r="AQ73" s="2510"/>
      <c r="AR73" s="2510"/>
      <c r="AS73" s="2510"/>
      <c r="AT73" s="2510"/>
      <c r="AU73" s="2510"/>
      <c r="AV73" s="2472">
        <v>659</v>
      </c>
      <c r="AW73" s="2510"/>
      <c r="AX73" s="2510"/>
      <c r="AY73" s="2510"/>
      <c r="AZ73" s="2510"/>
      <c r="BA73" s="2510"/>
      <c r="BB73" s="2510"/>
      <c r="BC73" s="2510"/>
      <c r="BD73" s="2510"/>
      <c r="BE73" s="2510"/>
      <c r="BF73" s="2510"/>
      <c r="BG73" s="2510"/>
      <c r="BH73" s="3956"/>
      <c r="BI73" s="3956"/>
      <c r="BJ73" s="2472">
        <v>6284</v>
      </c>
      <c r="BK73" s="2510"/>
      <c r="BL73" s="2510"/>
      <c r="BM73" s="2510"/>
      <c r="BN73" s="2510"/>
      <c r="BO73" s="2510"/>
      <c r="BP73" s="2472"/>
      <c r="BQ73" s="2510"/>
      <c r="BR73" s="2510"/>
      <c r="BS73" s="2510"/>
      <c r="BT73" s="2510"/>
      <c r="BU73" s="2510"/>
      <c r="BV73" s="2510"/>
      <c r="BW73" s="2510"/>
      <c r="BX73" s="2510"/>
      <c r="BY73" s="2510"/>
      <c r="BZ73" s="2510"/>
      <c r="CA73" s="2510"/>
      <c r="CB73" s="2472"/>
      <c r="CC73" s="2510"/>
      <c r="CD73" s="2510"/>
      <c r="CE73" s="2510"/>
      <c r="CF73" s="2472"/>
      <c r="CG73" s="2510"/>
      <c r="CH73" s="2472"/>
      <c r="CI73" s="2510"/>
      <c r="CJ73" s="2510"/>
      <c r="CK73" s="2510"/>
      <c r="CL73" s="2472">
        <v>6284</v>
      </c>
      <c r="CM73" s="2510"/>
      <c r="CN73" s="2510"/>
      <c r="CO73" s="2510"/>
      <c r="CP73" s="2510"/>
      <c r="CQ73" s="2510"/>
      <c r="CR73" s="2472">
        <v>6284</v>
      </c>
      <c r="CS73" s="2472">
        <v>6284</v>
      </c>
      <c r="CT73" s="2510"/>
      <c r="CU73" s="2472">
        <v>1562</v>
      </c>
      <c r="CV73" s="2472">
        <v>1562</v>
      </c>
      <c r="CW73" s="2510"/>
      <c r="CX73" s="2510"/>
      <c r="CY73" s="2510"/>
      <c r="CZ73" s="2510"/>
      <c r="DA73" s="2510"/>
      <c r="DB73" s="2510"/>
      <c r="DC73" s="2472">
        <v>1562</v>
      </c>
      <c r="DD73" s="2510"/>
      <c r="DE73" s="2510"/>
      <c r="DF73" s="2510"/>
      <c r="DG73" s="2510"/>
      <c r="DH73" s="2510"/>
      <c r="DI73" s="2510"/>
      <c r="DJ73" s="2472">
        <v>1562</v>
      </c>
      <c r="DK73" s="2510"/>
      <c r="DL73" s="2510"/>
      <c r="DM73" s="2510"/>
      <c r="DN73" s="2510"/>
      <c r="DO73" s="2472">
        <v>659</v>
      </c>
      <c r="DP73" s="2510"/>
      <c r="DQ73" s="2510"/>
      <c r="DR73" s="2510"/>
      <c r="DS73" s="2510"/>
      <c r="DT73" s="2510"/>
      <c r="DU73" s="2510"/>
      <c r="DV73" s="2510"/>
      <c r="DW73" s="2510"/>
      <c r="DX73" s="2510"/>
      <c r="DY73" s="2510"/>
      <c r="DZ73" s="2510"/>
      <c r="EA73" s="2510"/>
      <c r="EB73" s="2510"/>
      <c r="EC73" s="2510"/>
      <c r="ED73" s="2510"/>
      <c r="EE73" s="2510"/>
      <c r="EF73" s="2472"/>
      <c r="EG73" s="2472">
        <v>2169</v>
      </c>
      <c r="EH73" s="2510"/>
      <c r="EI73" s="2472">
        <v>2150</v>
      </c>
      <c r="EJ73" s="2510"/>
      <c r="EK73" s="2510"/>
      <c r="EL73" s="2510"/>
      <c r="EM73" s="2472">
        <v>6284</v>
      </c>
      <c r="EN73" s="2510"/>
      <c r="EO73" s="2510"/>
      <c r="EP73" s="2510"/>
      <c r="EQ73" s="2510"/>
      <c r="ER73" s="2510"/>
      <c r="ES73" s="2510"/>
      <c r="ET73" s="2510"/>
      <c r="EU73" s="2510"/>
      <c r="EV73" s="2510"/>
      <c r="EW73" s="2510"/>
      <c r="EX73" s="2510"/>
      <c r="EY73" s="2472">
        <v>6284</v>
      </c>
      <c r="EZ73" s="2510"/>
      <c r="FA73" s="2510"/>
      <c r="FB73" s="2510"/>
      <c r="FC73" s="2510"/>
      <c r="FD73" s="2510"/>
      <c r="FE73" s="2510"/>
      <c r="FF73" s="2472"/>
      <c r="FG73" s="2510"/>
      <c r="FH73" s="2472">
        <v>1562</v>
      </c>
      <c r="FI73" s="2510"/>
      <c r="FJ73" s="2510"/>
      <c r="FK73" s="2510"/>
      <c r="FL73" s="2510"/>
      <c r="FM73" s="2510"/>
      <c r="FN73" s="2510"/>
      <c r="FO73" s="2510"/>
      <c r="FP73" s="2510"/>
      <c r="FQ73" s="2510"/>
      <c r="FR73" s="2510"/>
      <c r="FS73" s="2510"/>
      <c r="FT73" s="2510"/>
      <c r="FU73" s="2510"/>
      <c r="FV73" s="2510"/>
      <c r="FW73" s="2510"/>
      <c r="FX73" s="2510"/>
      <c r="FY73" s="2510"/>
      <c r="FZ73" s="2510"/>
      <c r="GA73" s="2510"/>
      <c r="GB73" s="2510"/>
      <c r="GC73" s="2510"/>
      <c r="GD73" s="2510"/>
      <c r="GE73" s="2510"/>
      <c r="GF73" s="2510"/>
      <c r="GG73" s="2510"/>
      <c r="GH73" s="2510"/>
      <c r="GI73" s="2510"/>
      <c r="GJ73" s="2472">
        <v>2150</v>
      </c>
      <c r="GK73" s="2510"/>
      <c r="GL73" s="2510"/>
      <c r="GM73" s="2510"/>
      <c r="GN73" s="2510"/>
      <c r="GO73" s="2510"/>
      <c r="GP73" s="2510"/>
      <c r="GQ73" s="2510"/>
      <c r="GR73" s="2510"/>
      <c r="GS73" s="2510"/>
      <c r="GT73" s="2510"/>
      <c r="GU73" s="2510"/>
      <c r="GV73" s="2510"/>
      <c r="GW73" s="2510"/>
      <c r="GX73" s="2472">
        <v>17948</v>
      </c>
      <c r="GY73" s="2510"/>
      <c r="GZ73" s="2510"/>
      <c r="HA73" s="2510"/>
      <c r="HB73" s="2472">
        <v>659</v>
      </c>
      <c r="HC73" s="2472">
        <v>1562</v>
      </c>
      <c r="HD73" s="2510"/>
      <c r="HE73" s="2510"/>
      <c r="HF73" s="2510"/>
      <c r="HG73" s="2510"/>
      <c r="HH73" s="2510"/>
      <c r="HI73" s="2510"/>
      <c r="HJ73" s="2510"/>
      <c r="HK73" s="2510"/>
      <c r="HL73" s="2510"/>
      <c r="HM73" s="2510"/>
      <c r="HN73" s="2510"/>
      <c r="HO73" s="2472"/>
      <c r="HP73" s="2510"/>
      <c r="HQ73" s="2510"/>
      <c r="HR73" s="2510"/>
      <c r="HS73" s="2510"/>
      <c r="HT73" s="2510"/>
      <c r="HU73" s="2510"/>
      <c r="HV73" s="2510"/>
      <c r="HW73" s="2510"/>
      <c r="HX73" s="2510"/>
      <c r="HY73" s="2510"/>
      <c r="HZ73" s="2510"/>
      <c r="IA73" s="2510"/>
      <c r="IB73" s="2510"/>
      <c r="IC73" s="2510"/>
      <c r="ID73" s="2510"/>
      <c r="IE73" s="2510"/>
      <c r="IF73" s="2510"/>
      <c r="IG73" s="2510"/>
      <c r="IH73" s="2510"/>
      <c r="II73" s="2510"/>
      <c r="IJ73" s="2510"/>
      <c r="IK73" s="2510"/>
      <c r="IL73" s="2510"/>
      <c r="IM73" s="2510"/>
      <c r="IN73" s="2510"/>
      <c r="IO73" s="2510"/>
      <c r="IP73" s="2510"/>
      <c r="IQ73" s="2510"/>
      <c r="IR73" s="2510"/>
      <c r="IS73" s="2510"/>
      <c r="IT73" s="2510"/>
      <c r="IU73" s="2510"/>
      <c r="IV73" s="2510"/>
      <c r="IW73" s="2510"/>
      <c r="IX73" s="2510"/>
      <c r="IY73" s="2510"/>
      <c r="IZ73" s="2510"/>
      <c r="JA73" s="2510"/>
      <c r="JB73" s="2510"/>
      <c r="JC73" s="2510"/>
      <c r="JD73" s="2510"/>
      <c r="JE73" s="2510"/>
      <c r="JF73" s="2510"/>
      <c r="JG73" s="2479"/>
      <c r="JH73" s="1233"/>
      <c r="JI73" s="2248" t="s">
        <v>8855</v>
      </c>
      <c r="JJ73" s="2248" t="s">
        <v>6127</v>
      </c>
    </row>
    <row r="74" spans="1:270" x14ac:dyDescent="0.2">
      <c r="A74" s="1128">
        <v>31</v>
      </c>
      <c r="B74" s="1347" t="str">
        <f si="4" t="shared"/>
        <v/>
      </c>
      <c r="C74" s="1278" t="s">
        <v>2824</v>
      </c>
      <c r="D74" s="1350" t="s">
        <v>5503</v>
      </c>
      <c r="E74" s="2472"/>
      <c r="F74" s="2472"/>
      <c r="G74" s="2472"/>
      <c r="H74" s="2472"/>
      <c r="I74" s="2472"/>
      <c r="J74" s="2511"/>
      <c r="K74" s="2472"/>
      <c r="L74" s="2472"/>
      <c r="M74" s="2472"/>
      <c r="N74" s="2472"/>
      <c r="O74" s="2509"/>
      <c r="P74" s="2509"/>
      <c r="Q74" s="2472"/>
      <c r="R74" s="2509"/>
      <c r="S74" s="2472"/>
      <c r="T74" s="2510"/>
      <c r="U74" s="2510"/>
      <c r="V74" s="2510"/>
      <c r="W74" s="2510"/>
      <c r="X74" s="2510"/>
      <c r="Y74" s="2510"/>
      <c r="Z74" s="2510"/>
      <c r="AA74" s="2510"/>
      <c r="AB74" s="2510"/>
      <c r="AC74" s="2472"/>
      <c r="AD74" s="2841"/>
      <c r="AE74" s="2841"/>
      <c r="AF74" s="2841"/>
      <c r="AG74" s="2841"/>
      <c r="AH74" s="2841"/>
      <c r="AI74" s="2510"/>
      <c r="AJ74" s="2472"/>
      <c r="AK74" s="2510"/>
      <c r="AL74" s="2472">
        <v>8592</v>
      </c>
      <c r="AM74" s="2510"/>
      <c r="AN74" s="2510"/>
      <c r="AO74" s="2510"/>
      <c r="AP74" s="2510"/>
      <c r="AQ74" s="2510"/>
      <c r="AR74" s="2510"/>
      <c r="AS74" s="2510"/>
      <c r="AT74" s="2510"/>
      <c r="AU74" s="2510"/>
      <c r="AV74" s="2472"/>
      <c r="AW74" s="2510"/>
      <c r="AX74" s="2510"/>
      <c r="AY74" s="2510"/>
      <c r="AZ74" s="2510"/>
      <c r="BA74" s="2510"/>
      <c r="BB74" s="2510"/>
      <c r="BC74" s="2510"/>
      <c r="BD74" s="2510"/>
      <c r="BE74" s="2510"/>
      <c r="BF74" s="2510"/>
      <c r="BG74" s="2510"/>
      <c r="BH74" s="3956"/>
      <c r="BI74" s="3956"/>
      <c r="BJ74" s="2472">
        <v>8592</v>
      </c>
      <c r="BK74" s="2510"/>
      <c r="BL74" s="2510"/>
      <c r="BM74" s="2510"/>
      <c r="BN74" s="2510"/>
      <c r="BO74" s="2510"/>
      <c r="BP74" s="2472"/>
      <c r="BQ74" s="2510"/>
      <c r="BR74" s="2510"/>
      <c r="BS74" s="2510"/>
      <c r="BT74" s="2510"/>
      <c r="BU74" s="2510"/>
      <c r="BV74" s="2510"/>
      <c r="BW74" s="2510"/>
      <c r="BX74" s="2510"/>
      <c r="BY74" s="2510"/>
      <c r="BZ74" s="2510"/>
      <c r="CA74" s="2510"/>
      <c r="CB74" s="2472"/>
      <c r="CC74" s="2510"/>
      <c r="CD74" s="2510"/>
      <c r="CE74" s="2510"/>
      <c r="CF74" s="2472"/>
      <c r="CG74" s="2510"/>
      <c r="CH74" s="2472"/>
      <c r="CI74" s="2510"/>
      <c r="CJ74" s="2510"/>
      <c r="CK74" s="2510"/>
      <c r="CL74" s="2472">
        <v>8592</v>
      </c>
      <c r="CM74" s="2510"/>
      <c r="CN74" s="2510"/>
      <c r="CO74" s="2510"/>
      <c r="CP74" s="2510"/>
      <c r="CQ74" s="2510"/>
      <c r="CR74" s="2472">
        <v>8592</v>
      </c>
      <c r="CS74" s="2472">
        <v>8592</v>
      </c>
      <c r="CT74" s="2510"/>
      <c r="CU74" s="2472"/>
      <c r="CV74" s="2472"/>
      <c r="CW74" s="2510"/>
      <c r="CX74" s="2510"/>
      <c r="CY74" s="2510"/>
      <c r="CZ74" s="2510"/>
      <c r="DA74" s="2510"/>
      <c r="DB74" s="2510"/>
      <c r="DC74" s="2472"/>
      <c r="DD74" s="2510"/>
      <c r="DE74" s="2510"/>
      <c r="DF74" s="2510"/>
      <c r="DG74" s="2510"/>
      <c r="DH74" s="2510"/>
      <c r="DI74" s="2510"/>
      <c r="DJ74" s="2472"/>
      <c r="DK74" s="2510"/>
      <c r="DL74" s="2510"/>
      <c r="DM74" s="2510"/>
      <c r="DN74" s="2510"/>
      <c r="DO74" s="2472"/>
      <c r="DP74" s="2510"/>
      <c r="DQ74" s="2510"/>
      <c r="DR74" s="2510"/>
      <c r="DS74" s="2510"/>
      <c r="DT74" s="2510"/>
      <c r="DU74" s="2510"/>
      <c r="DV74" s="2510"/>
      <c r="DW74" s="2510"/>
      <c r="DX74" s="2510"/>
      <c r="DY74" s="2510"/>
      <c r="DZ74" s="2510"/>
      <c r="EA74" s="2510"/>
      <c r="EB74" s="2510"/>
      <c r="EC74" s="2510"/>
      <c r="ED74" s="2510"/>
      <c r="EE74" s="2510"/>
      <c r="EF74" s="2472"/>
      <c r="EG74" s="2472"/>
      <c r="EH74" s="2510"/>
      <c r="EI74" s="2472"/>
      <c r="EJ74" s="2510"/>
      <c r="EK74" s="2510"/>
      <c r="EL74" s="2510"/>
      <c r="EM74" s="2472">
        <v>8592</v>
      </c>
      <c r="EN74" s="2510"/>
      <c r="EO74" s="2510"/>
      <c r="EP74" s="2510"/>
      <c r="EQ74" s="2510"/>
      <c r="ER74" s="2510"/>
      <c r="ES74" s="2510"/>
      <c r="ET74" s="2510"/>
      <c r="EU74" s="2510"/>
      <c r="EV74" s="2510"/>
      <c r="EW74" s="2510"/>
      <c r="EX74" s="2510"/>
      <c r="EY74" s="2472">
        <v>8592</v>
      </c>
      <c r="EZ74" s="2510"/>
      <c r="FA74" s="2510"/>
      <c r="FB74" s="2510"/>
      <c r="FC74" s="2510"/>
      <c r="FD74" s="2510"/>
      <c r="FE74" s="2510"/>
      <c r="FF74" s="2472"/>
      <c r="FG74" s="2510"/>
      <c r="FH74" s="2472"/>
      <c r="FI74" s="2510"/>
      <c r="FJ74" s="2510"/>
      <c r="FK74" s="2510"/>
      <c r="FL74" s="2510"/>
      <c r="FM74" s="2510"/>
      <c r="FN74" s="2510"/>
      <c r="FO74" s="2510"/>
      <c r="FP74" s="2510"/>
      <c r="FQ74" s="2510"/>
      <c r="FR74" s="2510"/>
      <c r="FS74" s="2510"/>
      <c r="FT74" s="2510"/>
      <c r="FU74" s="2510"/>
      <c r="FV74" s="2510"/>
      <c r="FW74" s="2510"/>
      <c r="FX74" s="2510"/>
      <c r="FY74" s="2510"/>
      <c r="FZ74" s="2510"/>
      <c r="GA74" s="2510"/>
      <c r="GB74" s="2510"/>
      <c r="GC74" s="2510"/>
      <c r="GD74" s="2510"/>
      <c r="GE74" s="2510"/>
      <c r="GF74" s="2510"/>
      <c r="GG74" s="2510"/>
      <c r="GH74" s="2510"/>
      <c r="GI74" s="2510"/>
      <c r="GJ74" s="2472"/>
      <c r="GK74" s="2510"/>
      <c r="GL74" s="2510"/>
      <c r="GM74" s="2510"/>
      <c r="GN74" s="2510"/>
      <c r="GO74" s="2510"/>
      <c r="GP74" s="2510"/>
      <c r="GQ74" s="2510"/>
      <c r="GR74" s="2510"/>
      <c r="GS74" s="2510"/>
      <c r="GT74" s="2510"/>
      <c r="GU74" s="2510"/>
      <c r="GV74" s="2510"/>
      <c r="GW74" s="2510"/>
      <c r="GX74" s="2472">
        <v>2000</v>
      </c>
      <c r="GY74" s="2510"/>
      <c r="GZ74" s="2510"/>
      <c r="HA74" s="2510"/>
      <c r="HB74" s="2472"/>
      <c r="HC74" s="2472"/>
      <c r="HD74" s="2510"/>
      <c r="HE74" s="2510"/>
      <c r="HF74" s="2510"/>
      <c r="HG74" s="2510"/>
      <c r="HH74" s="2510"/>
      <c r="HI74" s="2510"/>
      <c r="HJ74" s="2510"/>
      <c r="HK74" s="2510"/>
      <c r="HL74" s="2510"/>
      <c r="HM74" s="2510"/>
      <c r="HN74" s="2510"/>
      <c r="HO74" s="2472"/>
      <c r="HP74" s="2510"/>
      <c r="HQ74" s="2510"/>
      <c r="HR74" s="2510"/>
      <c r="HS74" s="2510"/>
      <c r="HT74" s="2510"/>
      <c r="HU74" s="2510"/>
      <c r="HV74" s="2510"/>
      <c r="HW74" s="2510"/>
      <c r="HX74" s="2510"/>
      <c r="HY74" s="2510"/>
      <c r="HZ74" s="2510"/>
      <c r="IA74" s="2510"/>
      <c r="IB74" s="2510"/>
      <c r="IC74" s="2510"/>
      <c r="ID74" s="2510"/>
      <c r="IE74" s="2510"/>
      <c r="IF74" s="2510"/>
      <c r="IG74" s="2510"/>
      <c r="IH74" s="2510"/>
      <c r="II74" s="2510"/>
      <c r="IJ74" s="2510"/>
      <c r="IK74" s="2510"/>
      <c r="IL74" s="2510"/>
      <c r="IM74" s="2510"/>
      <c r="IN74" s="2510"/>
      <c r="IO74" s="2510"/>
      <c r="IP74" s="2510"/>
      <c r="IQ74" s="2510"/>
      <c r="IR74" s="2510"/>
      <c r="IS74" s="2510"/>
      <c r="IT74" s="2510"/>
      <c r="IU74" s="2510"/>
      <c r="IV74" s="2510"/>
      <c r="IW74" s="2510"/>
      <c r="IX74" s="2510"/>
      <c r="IY74" s="2510"/>
      <c r="IZ74" s="2510"/>
      <c r="JA74" s="2510"/>
      <c r="JB74" s="2510"/>
      <c r="JC74" s="2510"/>
      <c r="JD74" s="2510"/>
      <c r="JE74" s="2510"/>
      <c r="JF74" s="2510"/>
      <c r="JG74" s="2479"/>
      <c r="JH74" s="1233"/>
      <c r="JI74" s="2248" t="s">
        <v>8855</v>
      </c>
      <c r="JJ74" s="2248" t="s">
        <v>6127</v>
      </c>
    </row>
    <row r="75" spans="1:270" x14ac:dyDescent="0.2">
      <c r="A75" s="1128">
        <v>32</v>
      </c>
      <c r="B75" s="1347">
        <f si="4" t="shared"/>
        <v>1500</v>
      </c>
      <c r="C75" s="1278" t="s">
        <v>2825</v>
      </c>
      <c r="D75" s="1350" t="s">
        <v>1865</v>
      </c>
      <c r="E75" s="2472"/>
      <c r="F75" s="2472"/>
      <c r="G75" s="2472">
        <v>1500</v>
      </c>
      <c r="H75" s="2472"/>
      <c r="I75" s="2472">
        <v>1500</v>
      </c>
      <c r="J75" s="2511"/>
      <c r="K75" s="2472"/>
      <c r="L75" s="2472">
        <v>1500</v>
      </c>
      <c r="M75" s="2472"/>
      <c r="N75" s="2472"/>
      <c r="O75" s="2509"/>
      <c r="P75" s="2509"/>
      <c r="Q75" s="2472">
        <v>1500</v>
      </c>
      <c r="R75" s="2509"/>
      <c r="S75" s="2472">
        <v>1500</v>
      </c>
      <c r="T75" s="2510"/>
      <c r="U75" s="2510"/>
      <c r="V75" s="2510"/>
      <c r="W75" s="2510"/>
      <c r="X75" s="2510"/>
      <c r="Y75" s="2510"/>
      <c r="Z75" s="2510"/>
      <c r="AA75" s="2510"/>
      <c r="AB75" s="2510"/>
      <c r="AC75" s="2472">
        <v>1500</v>
      </c>
      <c r="AD75" s="2841"/>
      <c r="AE75" s="2841"/>
      <c r="AF75" s="2841"/>
      <c r="AG75" s="2841"/>
      <c r="AH75" s="2841"/>
      <c r="AI75" s="2510"/>
      <c r="AJ75" s="2472"/>
      <c r="AK75" s="2510"/>
      <c r="AL75" s="2472">
        <v>627</v>
      </c>
      <c r="AM75" s="2510"/>
      <c r="AN75" s="2510"/>
      <c r="AO75" s="2510"/>
      <c r="AP75" s="2510"/>
      <c r="AQ75" s="2510"/>
      <c r="AR75" s="2510"/>
      <c r="AS75" s="2510"/>
      <c r="AT75" s="2510"/>
      <c r="AU75" s="2510"/>
      <c r="AV75" s="2472">
        <v>223</v>
      </c>
      <c r="AW75" s="2510"/>
      <c r="AX75" s="2510"/>
      <c r="AY75" s="2510"/>
      <c r="AZ75" s="2510"/>
      <c r="BA75" s="2510"/>
      <c r="BB75" s="2510"/>
      <c r="BC75" s="2510"/>
      <c r="BD75" s="2510"/>
      <c r="BE75" s="2510"/>
      <c r="BF75" s="2510"/>
      <c r="BG75" s="2510"/>
      <c r="BH75" s="3956"/>
      <c r="BI75" s="3956"/>
      <c r="BJ75" s="2472">
        <v>627</v>
      </c>
      <c r="BK75" s="2510"/>
      <c r="BL75" s="2510"/>
      <c r="BM75" s="2510"/>
      <c r="BN75" s="2510"/>
      <c r="BO75" s="2510"/>
      <c r="BP75" s="2472">
        <v>1500</v>
      </c>
      <c r="BQ75" s="2510"/>
      <c r="BR75" s="2510"/>
      <c r="BS75" s="2510"/>
      <c r="BT75" s="2510"/>
      <c r="BU75" s="2510"/>
      <c r="BV75" s="2510"/>
      <c r="BW75" s="2510"/>
      <c r="BX75" s="2510"/>
      <c r="BY75" s="2510"/>
      <c r="BZ75" s="2510"/>
      <c r="CA75" s="2510"/>
      <c r="CB75" s="2472"/>
      <c r="CC75" s="2510"/>
      <c r="CD75" s="2510"/>
      <c r="CE75" s="2510"/>
      <c r="CF75" s="2472"/>
      <c r="CG75" s="2510"/>
      <c r="CH75" s="2472">
        <v>1500</v>
      </c>
      <c r="CI75" s="2510"/>
      <c r="CJ75" s="2510"/>
      <c r="CK75" s="2510"/>
      <c r="CL75" s="2472">
        <v>627</v>
      </c>
      <c r="CM75" s="2510"/>
      <c r="CN75" s="2510"/>
      <c r="CO75" s="2510"/>
      <c r="CP75" s="2510"/>
      <c r="CQ75" s="2510"/>
      <c r="CR75" s="2472">
        <v>627</v>
      </c>
      <c r="CS75" s="2472">
        <v>627</v>
      </c>
      <c r="CT75" s="2510"/>
      <c r="CU75" s="2472"/>
      <c r="CV75" s="2472"/>
      <c r="CW75" s="2510"/>
      <c r="CX75" s="2510"/>
      <c r="CY75" s="2510"/>
      <c r="CZ75" s="2510"/>
      <c r="DA75" s="2510"/>
      <c r="DB75" s="2510"/>
      <c r="DC75" s="2472"/>
      <c r="DD75" s="2510"/>
      <c r="DE75" s="2510"/>
      <c r="DF75" s="2510"/>
      <c r="DG75" s="2510"/>
      <c r="DH75" s="2510"/>
      <c r="DI75" s="2510"/>
      <c r="DJ75" s="2472"/>
      <c r="DK75" s="2510"/>
      <c r="DL75" s="2510"/>
      <c r="DM75" s="2510"/>
      <c r="DN75" s="2510"/>
      <c r="DO75" s="2472">
        <v>223</v>
      </c>
      <c r="DP75" s="2510"/>
      <c r="DQ75" s="2510"/>
      <c r="DR75" s="2510"/>
      <c r="DS75" s="2510"/>
      <c r="DT75" s="2510"/>
      <c r="DU75" s="2510"/>
      <c r="DV75" s="2510"/>
      <c r="DW75" s="2510"/>
      <c r="DX75" s="2510"/>
      <c r="DY75" s="2510"/>
      <c r="DZ75" s="2510"/>
      <c r="EA75" s="2510"/>
      <c r="EB75" s="2510"/>
      <c r="EC75" s="2510"/>
      <c r="ED75" s="2510"/>
      <c r="EE75" s="2510"/>
      <c r="EF75" s="2472"/>
      <c r="EG75" s="2472">
        <v>1840</v>
      </c>
      <c r="EH75" s="2510"/>
      <c r="EI75" s="2472">
        <v>59</v>
      </c>
      <c r="EJ75" s="2510"/>
      <c r="EK75" s="2510"/>
      <c r="EL75" s="2510"/>
      <c r="EM75" s="2472">
        <v>627</v>
      </c>
      <c r="EN75" s="2510"/>
      <c r="EO75" s="2510"/>
      <c r="EP75" s="2510"/>
      <c r="EQ75" s="2510"/>
      <c r="ER75" s="2510"/>
      <c r="ES75" s="2510"/>
      <c r="ET75" s="2510"/>
      <c r="EU75" s="2510"/>
      <c r="EV75" s="2510"/>
      <c r="EW75" s="2510"/>
      <c r="EX75" s="2510"/>
      <c r="EY75" s="2472">
        <v>627</v>
      </c>
      <c r="EZ75" s="2510"/>
      <c r="FA75" s="2510"/>
      <c r="FB75" s="2510"/>
      <c r="FC75" s="2510"/>
      <c r="FD75" s="2510"/>
      <c r="FE75" s="2510"/>
      <c r="FF75" s="2472"/>
      <c r="FG75" s="2510"/>
      <c r="FH75" s="2472"/>
      <c r="FI75" s="2510"/>
      <c r="FJ75" s="2510"/>
      <c r="FK75" s="2510"/>
      <c r="FL75" s="2510"/>
      <c r="FM75" s="2510"/>
      <c r="FN75" s="2510"/>
      <c r="FO75" s="2510"/>
      <c r="FP75" s="2510"/>
      <c r="FQ75" s="2510"/>
      <c r="FR75" s="2510"/>
      <c r="FS75" s="2510"/>
      <c r="FT75" s="2510"/>
      <c r="FU75" s="2510"/>
      <c r="FV75" s="2510"/>
      <c r="FW75" s="2510"/>
      <c r="FX75" s="2510"/>
      <c r="FY75" s="2510"/>
      <c r="FZ75" s="2510"/>
      <c r="GA75" s="2510"/>
      <c r="GB75" s="2510"/>
      <c r="GC75" s="2510"/>
      <c r="GD75" s="2510"/>
      <c r="GE75" s="2510"/>
      <c r="GF75" s="2510"/>
      <c r="GG75" s="2510"/>
      <c r="GH75" s="2510"/>
      <c r="GI75" s="2510"/>
      <c r="GJ75" s="2472">
        <v>59</v>
      </c>
      <c r="GK75" s="2510"/>
      <c r="GL75" s="2510"/>
      <c r="GM75" s="2510"/>
      <c r="GN75" s="2510"/>
      <c r="GO75" s="2510"/>
      <c r="GP75" s="2510"/>
      <c r="GQ75" s="2510"/>
      <c r="GR75" s="2510"/>
      <c r="GS75" s="2510"/>
      <c r="GT75" s="2510"/>
      <c r="GU75" s="2510"/>
      <c r="GV75" s="2510"/>
      <c r="GW75" s="2510"/>
      <c r="GX75" s="2472">
        <v>860</v>
      </c>
      <c r="GY75" s="2510"/>
      <c r="GZ75" s="2510"/>
      <c r="HA75" s="2510"/>
      <c r="HB75" s="2472">
        <v>223</v>
      </c>
      <c r="HC75" s="2472"/>
      <c r="HD75" s="2510"/>
      <c r="HE75" s="2510"/>
      <c r="HF75" s="2510"/>
      <c r="HG75" s="2510"/>
      <c r="HH75" s="2510"/>
      <c r="HI75" s="2510"/>
      <c r="HJ75" s="2510"/>
      <c r="HK75" s="2510"/>
      <c r="HL75" s="2510"/>
      <c r="HM75" s="2510"/>
      <c r="HN75" s="2510"/>
      <c r="HO75" s="2472">
        <v>1500</v>
      </c>
      <c r="HP75" s="2510"/>
      <c r="HQ75" s="2510"/>
      <c r="HR75" s="2510"/>
      <c r="HS75" s="2510"/>
      <c r="HT75" s="2510"/>
      <c r="HU75" s="2510"/>
      <c r="HV75" s="2510"/>
      <c r="HW75" s="2510"/>
      <c r="HX75" s="2510"/>
      <c r="HY75" s="2510"/>
      <c r="HZ75" s="2510"/>
      <c r="IA75" s="2510"/>
      <c r="IB75" s="2510"/>
      <c r="IC75" s="2510"/>
      <c r="ID75" s="2510"/>
      <c r="IE75" s="2510"/>
      <c r="IF75" s="2510"/>
      <c r="IG75" s="2510"/>
      <c r="IH75" s="2510"/>
      <c r="II75" s="2510"/>
      <c r="IJ75" s="2510"/>
      <c r="IK75" s="2510"/>
      <c r="IL75" s="2510"/>
      <c r="IM75" s="2510"/>
      <c r="IN75" s="2510"/>
      <c r="IO75" s="2510"/>
      <c r="IP75" s="2510"/>
      <c r="IQ75" s="2510"/>
      <c r="IR75" s="2510"/>
      <c r="IS75" s="2510"/>
      <c r="IT75" s="2510"/>
      <c r="IU75" s="2510"/>
      <c r="IV75" s="2510"/>
      <c r="IW75" s="2510"/>
      <c r="IX75" s="2510"/>
      <c r="IY75" s="2510"/>
      <c r="IZ75" s="2510"/>
      <c r="JA75" s="2510"/>
      <c r="JB75" s="2510"/>
      <c r="JC75" s="2510"/>
      <c r="JD75" s="2510"/>
      <c r="JE75" s="2510"/>
      <c r="JF75" s="2510"/>
      <c r="JG75" s="2479"/>
      <c r="JH75" s="1233"/>
      <c r="JI75" s="2248" t="s">
        <v>8855</v>
      </c>
      <c r="JJ75" s="2248" t="s">
        <v>6127</v>
      </c>
    </row>
    <row ht="56.25" r="76" spans="1:270" x14ac:dyDescent="0.2">
      <c r="A76" s="1128">
        <v>33</v>
      </c>
      <c r="B76" s="1347">
        <f si="4" t="shared"/>
        <v>60000</v>
      </c>
      <c r="C76" s="1278" t="s">
        <v>2826</v>
      </c>
      <c r="D76" s="1350" t="s">
        <v>5457</v>
      </c>
      <c r="E76" s="2514"/>
      <c r="F76" s="2514"/>
      <c r="G76" s="2514">
        <f>G62+G63+G64+G65+G66+G67+G68+G69+G70+G71+G72+G73+G74+G75</f>
        <v>60000</v>
      </c>
      <c r="H76" s="2514"/>
      <c r="I76" s="2514">
        <f>I62+I63+I64+I65+I66+I67+I68+I69+I70+I71+I72+I73+I74+I75</f>
        <v>60000</v>
      </c>
      <c r="J76" s="2513"/>
      <c r="K76" s="2514"/>
      <c r="L76" s="2514">
        <f>L62+L63+L64+L65+L66+L67+L68+L69+L70+L71+L72+L73+L74+L75</f>
        <v>60000</v>
      </c>
      <c r="M76" s="2514"/>
      <c r="N76" s="2514"/>
      <c r="O76" s="2514"/>
      <c r="P76" s="2514"/>
      <c r="Q76" s="2514">
        <f>Q62+Q63+Q64+Q65+Q66+Q67+Q68+Q69+Q70+Q71+Q72+Q73+Q74+Q75</f>
        <v>60000</v>
      </c>
      <c r="R76" s="2514"/>
      <c r="S76" s="2514">
        <f>S62+S63+S64+S65+S66+S67+S68+S69+S70+S71+S72+S73+S74+S75</f>
        <v>60000</v>
      </c>
      <c r="T76" s="2539"/>
      <c r="U76" s="2539"/>
      <c r="V76" s="2539"/>
      <c r="W76" s="2539"/>
      <c r="X76" s="2539"/>
      <c r="Y76" s="2539"/>
      <c r="Z76" s="2539"/>
      <c r="AA76" s="2539"/>
      <c r="AB76" s="2539"/>
      <c r="AC76" s="2514">
        <f>AC62+AC63+AC64+AC65+AC66+AC67+AC68+AC69+AC70+AC71+AC72+AC73+AC74+AC75</f>
        <v>60000</v>
      </c>
      <c r="AD76" s="2539"/>
      <c r="AE76" s="3540">
        <v>10620</v>
      </c>
      <c r="AF76" s="2539"/>
      <c r="AG76" s="2539"/>
      <c r="AH76" s="3540">
        <v>1570</v>
      </c>
      <c r="AI76" s="2539"/>
      <c r="AJ76" s="2514">
        <f>AJ62+AJ63+AJ64+AJ65+AJ66+AJ67+AJ68+AJ69+AJ70+AJ71+AJ72+AJ73+AJ74+AJ75</f>
        <v>28660</v>
      </c>
      <c r="AK76" s="2539"/>
      <c r="AL76" s="2514">
        <f>AL62+AL63+AL64+AL65+AL66+AL67+AL68+AL69+AL70+AL71+AL72+AL73+AL74+AL75</f>
        <v>230266</v>
      </c>
      <c r="AM76" s="2539"/>
      <c r="AN76" s="2539"/>
      <c r="AO76" s="2539"/>
      <c r="AP76" s="2539"/>
      <c r="AQ76" s="2539"/>
      <c r="AR76" s="2539"/>
      <c r="AS76" s="2539"/>
      <c r="AT76" s="2539"/>
      <c r="AU76" s="2539"/>
      <c r="AV76" s="2514">
        <f>AV62+AV63+AV64+AV65+AV66+AV67+AV68+AV69+AV70+AV71+AV72+AV73+AV74+AV75</f>
        <v>78251</v>
      </c>
      <c r="AW76" s="2539"/>
      <c r="AX76" s="2539"/>
      <c r="AY76" s="2539"/>
      <c r="AZ76" s="2539"/>
      <c r="BA76" s="2539"/>
      <c r="BB76" s="2539"/>
      <c r="BC76" s="2539"/>
      <c r="BD76" s="2539"/>
      <c r="BE76" s="2539"/>
      <c r="BF76" s="2539"/>
      <c r="BG76" s="2539"/>
      <c r="BH76" s="3957"/>
      <c r="BI76" s="3957"/>
      <c r="BJ76" s="2514">
        <f>BJ62+BJ63+BJ64+BJ65+BJ66+BJ67+BJ68+BJ69+BJ70+BJ71+BJ72+BJ73+BJ74+BJ75</f>
        <v>230266</v>
      </c>
      <c r="BK76" s="2539"/>
      <c r="BL76" s="2539"/>
      <c r="BM76" s="2539"/>
      <c r="BN76" s="2539"/>
      <c r="BO76" s="2539"/>
      <c r="BP76" s="2514">
        <f>BP62+BP63+BP64+BP65+BP66+BP67+BP68+BP69+BP70+BP71+BP72+BP73+BP74+BP75</f>
        <v>60000</v>
      </c>
      <c r="BQ76" s="2539"/>
      <c r="BR76" s="2539"/>
      <c r="BS76" s="2539"/>
      <c r="BT76" s="2539"/>
      <c r="BU76" s="2539"/>
      <c r="BV76" s="2539"/>
      <c r="BW76" s="2539"/>
      <c r="BX76" s="2539"/>
      <c r="BY76" s="2539"/>
      <c r="BZ76" s="2539"/>
      <c r="CA76" s="2539"/>
      <c r="CB76" s="2514">
        <f>CB62+CB63+CB64+CB65+CB66+CB67+CB68+CB69+CB70+CB71+CB72+CB73+CB74+CB75</f>
        <v>30436</v>
      </c>
      <c r="CC76" s="2539"/>
      <c r="CD76" s="2539"/>
      <c r="CE76" s="2539"/>
      <c r="CF76" s="2514">
        <f>CF62+CF63+CF64+CF65+CF66+CF67+CF68+CF69+CF70+CF71+CF72+CF73+CF74+CF75</f>
        <v>28660</v>
      </c>
      <c r="CG76" s="2539"/>
      <c r="CH76" s="2514">
        <f>CH62+CH63+CH64+CH65+CH66+CH67+CH68+CH69+CH70+CH71+CH72+CH73+CH74+CH75</f>
        <v>60000</v>
      </c>
      <c r="CI76" s="2539"/>
      <c r="CJ76" s="2539"/>
      <c r="CK76" s="2539"/>
      <c r="CL76" s="2514">
        <f>CL62+CL63+CL64+CL65+CL66+CL67+CL68+CL69+CL70+CL71+CL72+CL73+CL74+CL75</f>
        <v>230266</v>
      </c>
      <c r="CM76" s="2539"/>
      <c r="CN76" s="2539"/>
      <c r="CO76" s="2539"/>
      <c r="CP76" s="2539"/>
      <c r="CQ76" s="2539"/>
      <c r="CR76" s="2514">
        <f>CR62+CR63+CR64+CR65+CR66+CR67+CR68+CR69+CR70+CR71+CR72+CR73+CR74+CR75</f>
        <v>230266</v>
      </c>
      <c r="CS76" s="2514">
        <f>CS62+CS63+CS64+CS65+CS66+CS67+CS68+CS69+CS70+CS71+CS72+CS73+CS74+CS75</f>
        <v>230266</v>
      </c>
      <c r="CT76" s="2539"/>
      <c r="CU76" s="2514">
        <f>CU62+CU63+CU64+CU65+CU66+CU67+CU68+CU69+CU70+CU71+CU72+CU73+CU74+CU75</f>
        <v>40886</v>
      </c>
      <c r="CV76" s="2514">
        <f>CV62+CV63+CV64+CV65+CV66+CV67+CV68+CV69+CV70+CV71+CV72+CV73+CV74+CV75</f>
        <v>40886</v>
      </c>
      <c r="CW76" s="2539"/>
      <c r="CX76" s="2539"/>
      <c r="CY76" s="2539"/>
      <c r="CZ76" s="2539"/>
      <c r="DA76" s="2539"/>
      <c r="DB76" s="2539"/>
      <c r="DC76" s="2514">
        <f>DC62+DC63+DC64+DC65+DC66+DC67+DC68+DC69+DC70+DC71+DC72+DC73+DC74+DC75</f>
        <v>40886</v>
      </c>
      <c r="DD76" s="2539"/>
      <c r="DE76" s="2539"/>
      <c r="DF76" s="2539"/>
      <c r="DG76" s="2539"/>
      <c r="DH76" s="2539"/>
      <c r="DI76" s="2539"/>
      <c r="DJ76" s="2514">
        <f>DJ62+DJ63+DJ64+DJ65+DJ66+DJ67+DJ68+DJ69+DJ70+DJ71+DJ72+DJ73+DJ74+DJ75</f>
        <v>40886</v>
      </c>
      <c r="DK76" s="2539"/>
      <c r="DL76" s="2539"/>
      <c r="DM76" s="2539"/>
      <c r="DN76" s="2539"/>
      <c r="DO76" s="2514">
        <f>DO62+DO63+DO64+DO65+DO66+DO67+DO68+DO69+DO70+DO71+DO72+DO73+DO74+DO75</f>
        <v>78251</v>
      </c>
      <c r="DP76" s="2539"/>
      <c r="DQ76" s="2539"/>
      <c r="DR76" s="2539"/>
      <c r="DS76" s="2539"/>
      <c r="DT76" s="2539"/>
      <c r="DU76" s="2539"/>
      <c r="DV76" s="2539"/>
      <c r="DW76" s="2539"/>
      <c r="DX76" s="2539"/>
      <c r="DY76" s="2539"/>
      <c r="DZ76" s="2539"/>
      <c r="EA76" s="2539"/>
      <c r="EB76" s="2539"/>
      <c r="EC76" s="2539"/>
      <c r="ED76" s="2539"/>
      <c r="EE76" s="2539"/>
      <c r="EF76" s="2514">
        <f>EF62+EF63+EF64+EF65+EF66+EF67+EF68+EF69+EF70+EF71+EF72+EF73+EF74+EF75</f>
        <v>49180</v>
      </c>
      <c r="EG76" s="2514">
        <f>EG62+EG63+EG64+EG65+EG66+EG67+EG68+EG69+EG70+EG71+EG72+EG73+EG74+EG75</f>
        <v>75000</v>
      </c>
      <c r="EH76" s="2539"/>
      <c r="EI76" s="2514">
        <f>EI62+EI63+EI64+EI65+EI66+EI67+EI68+EI69+EI70+EI71+EI72+EI73+EI74+EI75</f>
        <v>9900</v>
      </c>
      <c r="EJ76" s="2539"/>
      <c r="EK76" s="2539"/>
      <c r="EL76" s="2539"/>
      <c r="EM76" s="2514">
        <f>EM62+EM63+EM64+EM65+EM66+EM67+EM68+EM69+EM70+EM71+EM72+EM73+EM74+EM75</f>
        <v>230266</v>
      </c>
      <c r="EN76" s="2539"/>
      <c r="EO76" s="2539"/>
      <c r="EP76" s="2539"/>
      <c r="EQ76" s="2539"/>
      <c r="ER76" s="2539"/>
      <c r="ES76" s="2539"/>
      <c r="ET76" s="2539"/>
      <c r="EU76" s="2539"/>
      <c r="EV76" s="2539"/>
      <c r="EW76" s="2539"/>
      <c r="EX76" s="2539"/>
      <c r="EY76" s="2514">
        <f>EY62+EY63+EY64+EY65+EY66+EY67+EY68+EY69+EY70+EY71+EY72+EY73+EY74+EY75</f>
        <v>230266</v>
      </c>
      <c r="EZ76" s="2539"/>
      <c r="FA76" s="2539"/>
      <c r="FB76" s="2539"/>
      <c r="FC76" s="2539"/>
      <c r="FD76" s="2539"/>
      <c r="FE76" s="2539"/>
      <c r="FF76" s="2514">
        <f>FF62+FF63+FF64+FF65+FF66+FF67+FF68+FF69+FF70+FF71+FF72+FF73+FF74+FF75</f>
        <v>28660</v>
      </c>
      <c r="FG76" s="2539"/>
      <c r="FH76" s="2514">
        <f>FH62+FH63+FH64+FH65+FH66+FH67+FH68+FH69+FH70+FH71+FH72+FH73+FH74+FH75</f>
        <v>40886</v>
      </c>
      <c r="FI76" s="2539"/>
      <c r="FJ76" s="2539"/>
      <c r="FK76" s="2539"/>
      <c r="FL76" s="2539"/>
      <c r="FM76" s="2539"/>
      <c r="FN76" s="2539"/>
      <c r="FO76" s="2539"/>
      <c r="FP76" s="2539"/>
      <c r="FQ76" s="2539"/>
      <c r="FR76" s="2539"/>
      <c r="FS76" s="2539"/>
      <c r="FT76" s="2539"/>
      <c r="FU76" s="2539"/>
      <c r="FV76" s="2539"/>
      <c r="FW76" s="2539"/>
      <c r="FX76" s="2539"/>
      <c r="FY76" s="2539"/>
      <c r="FZ76" s="2539"/>
      <c r="GA76" s="2539"/>
      <c r="GB76" s="2539"/>
      <c r="GC76" s="2539"/>
      <c r="GD76" s="2539"/>
      <c r="GE76" s="2539"/>
      <c r="GF76" s="2539"/>
      <c r="GG76" s="2539"/>
      <c r="GH76" s="2539"/>
      <c r="GI76" s="2539"/>
      <c r="GJ76" s="2514">
        <f>GJ62+GJ63+GJ64+GJ65+GJ66+GJ67+GJ68+GJ69+GJ70+GJ71+GJ72+GJ73+GJ74+GJ75</f>
        <v>9900</v>
      </c>
      <c r="GK76" s="2539"/>
      <c r="GL76" s="2539"/>
      <c r="GM76" s="2539"/>
      <c r="GN76" s="2539"/>
      <c r="GO76" s="2539"/>
      <c r="GP76" s="2539"/>
      <c r="GQ76" s="2539"/>
      <c r="GR76" s="2539"/>
      <c r="GS76" s="2539"/>
      <c r="GT76" s="2539"/>
      <c r="GU76" s="2539"/>
      <c r="GV76" s="2539"/>
      <c r="GW76" s="2539"/>
      <c r="GX76" s="2514">
        <f>GX62+GX63+GX64+GX65+GX66+GX67+GX68+GX69+GX70+GX71+GX72+GX73+GX74+GX75</f>
        <v>207763</v>
      </c>
      <c r="GY76" s="2539"/>
      <c r="GZ76" s="2539"/>
      <c r="HA76" s="2539"/>
      <c r="HB76" s="2514">
        <f>HB62+HB63+HB64+HB65+HB66+HB67+HB68+HB69+HB70+HB71+HB72+HB73+HB74+HB75</f>
        <v>78251</v>
      </c>
      <c r="HC76" s="2514">
        <f>HC62+HC63+HC64+HC65+HC66+HC67+HC68+HC69+HC70+HC71+HC72+HC73+HC74+HC75</f>
        <v>40886</v>
      </c>
      <c r="HD76" s="2539"/>
      <c r="HE76" s="2539"/>
      <c r="HF76" s="2539"/>
      <c r="HG76" s="2539"/>
      <c r="HH76" s="2539"/>
      <c r="HI76" s="2539"/>
      <c r="HJ76" s="2539"/>
      <c r="HK76" s="2539"/>
      <c r="HL76" s="2539"/>
      <c r="HM76" s="2539"/>
      <c r="HN76" s="2539"/>
      <c r="HO76" s="2514">
        <f>HO62+HO63+HO64+HO65+HO66+HO67+HO68+HO69+HO70+HO71+HO72+HO73+HO74+HO75</f>
        <v>60000</v>
      </c>
      <c r="HP76" s="2539"/>
      <c r="HQ76" s="2539"/>
      <c r="HR76" s="2539"/>
      <c r="HS76" s="2539"/>
      <c r="HT76" s="2539"/>
      <c r="HU76" s="2539"/>
      <c r="HV76" s="2539"/>
      <c r="HW76" s="2539"/>
      <c r="HX76" s="2539"/>
      <c r="HY76" s="2539"/>
      <c r="HZ76" s="2539"/>
      <c r="IA76" s="2539"/>
      <c r="IB76" s="2539"/>
      <c r="IC76" s="2539"/>
      <c r="ID76" s="2539"/>
      <c r="IE76" s="2539"/>
      <c r="IF76" s="2539"/>
      <c r="IG76" s="2539"/>
      <c r="IH76" s="2539"/>
      <c r="II76" s="2539"/>
      <c r="IJ76" s="2539"/>
      <c r="IK76" s="2539"/>
      <c r="IL76" s="2539"/>
      <c r="IM76" s="2539"/>
      <c r="IN76" s="2539"/>
      <c r="IO76" s="2539"/>
      <c r="IP76" s="2539"/>
      <c r="IQ76" s="2539"/>
      <c r="IR76" s="2539"/>
      <c r="IS76" s="2539"/>
      <c r="IT76" s="2539"/>
      <c r="IU76" s="2539"/>
      <c r="IV76" s="2539"/>
      <c r="IW76" s="2539"/>
      <c r="IX76" s="2539"/>
      <c r="IY76" s="2539"/>
      <c r="IZ76" s="2539"/>
      <c r="JA76" s="2539"/>
      <c r="JB76" s="2539"/>
      <c r="JC76" s="2539"/>
      <c r="JD76" s="2539"/>
      <c r="JE76" s="2539"/>
      <c r="JF76" s="2539"/>
      <c r="JG76" s="2540"/>
      <c r="JH76" s="1233"/>
      <c r="JI76" s="2248" t="s">
        <v>8856</v>
      </c>
      <c r="JJ76" s="2248" t="s">
        <v>6110</v>
      </c>
    </row>
    <row r="77" spans="1:270" x14ac:dyDescent="0.2">
      <c r="A77" s="1128">
        <v>34</v>
      </c>
      <c r="B77" s="1347" t="str">
        <f si="4" t="shared"/>
        <v/>
      </c>
      <c r="C77" s="1278" t="s">
        <v>2827</v>
      </c>
      <c r="D77" s="1350" t="s">
        <v>5504</v>
      </c>
      <c r="E77" s="2472"/>
      <c r="F77" s="2472"/>
      <c r="G77" s="2472"/>
      <c r="H77" s="2472"/>
      <c r="I77" s="2472"/>
      <c r="J77" s="2511"/>
      <c r="K77" s="2472"/>
      <c r="L77" s="2472"/>
      <c r="M77" s="2472"/>
      <c r="N77" s="2472"/>
      <c r="O77" s="2509"/>
      <c r="P77" s="2509"/>
      <c r="Q77" s="2472"/>
      <c r="R77" s="2509"/>
      <c r="S77" s="2472"/>
      <c r="T77" s="2510"/>
      <c r="U77" s="2510"/>
      <c r="V77" s="2510"/>
      <c r="W77" s="2510"/>
      <c r="X77" s="2510"/>
      <c r="Y77" s="2510"/>
      <c r="Z77" s="2510"/>
      <c r="AA77" s="2510"/>
      <c r="AB77" s="2510"/>
      <c r="AC77" s="2472"/>
      <c r="AD77" s="2841"/>
      <c r="AE77" s="2841"/>
      <c r="AF77" s="2841"/>
      <c r="AG77" s="2841"/>
      <c r="AH77" s="2841"/>
      <c r="AI77" s="2510"/>
      <c r="AJ77" s="2472"/>
      <c r="AK77" s="2510"/>
      <c r="AL77" s="2472"/>
      <c r="AM77" s="2510"/>
      <c r="AN77" s="2510"/>
      <c r="AO77" s="2510"/>
      <c r="AP77" s="2510"/>
      <c r="AQ77" s="2510"/>
      <c r="AR77" s="2510"/>
      <c r="AS77" s="2510"/>
      <c r="AT77" s="2510"/>
      <c r="AU77" s="2510"/>
      <c r="AV77" s="2472"/>
      <c r="AW77" s="2510"/>
      <c r="AX77" s="2510"/>
      <c r="AY77" s="2510"/>
      <c r="AZ77" s="2510"/>
      <c r="BA77" s="2510"/>
      <c r="BB77" s="2510"/>
      <c r="BC77" s="2510"/>
      <c r="BD77" s="2510"/>
      <c r="BE77" s="2510"/>
      <c r="BF77" s="2510"/>
      <c r="BG77" s="2510"/>
      <c r="BH77" s="3956"/>
      <c r="BI77" s="3956"/>
      <c r="BJ77" s="2472"/>
      <c r="BK77" s="2510"/>
      <c r="BL77" s="2510"/>
      <c r="BM77" s="2510"/>
      <c r="BN77" s="2510"/>
      <c r="BO77" s="2510"/>
      <c r="BP77" s="2472"/>
      <c r="BQ77" s="2510"/>
      <c r="BR77" s="2510"/>
      <c r="BS77" s="2510"/>
      <c r="BT77" s="2510"/>
      <c r="BU77" s="2510"/>
      <c r="BV77" s="2510"/>
      <c r="BW77" s="2510"/>
      <c r="BX77" s="2510"/>
      <c r="BY77" s="2510"/>
      <c r="BZ77" s="2510"/>
      <c r="CA77" s="2510"/>
      <c r="CB77" s="2472"/>
      <c r="CC77" s="2510"/>
      <c r="CD77" s="2510"/>
      <c r="CE77" s="2510"/>
      <c r="CF77" s="2472"/>
      <c r="CG77" s="2510"/>
      <c r="CH77" s="2472"/>
      <c r="CI77" s="2510"/>
      <c r="CJ77" s="2510"/>
      <c r="CK77" s="2510"/>
      <c r="CL77" s="2472"/>
      <c r="CM77" s="2510"/>
      <c r="CN77" s="2510"/>
      <c r="CO77" s="2510"/>
      <c r="CP77" s="2510"/>
      <c r="CQ77" s="2510"/>
      <c r="CR77" s="2472"/>
      <c r="CS77" s="2472"/>
      <c r="CT77" s="2510"/>
      <c r="CU77" s="2472"/>
      <c r="CV77" s="2472"/>
      <c r="CW77" s="2510"/>
      <c r="CX77" s="2510"/>
      <c r="CY77" s="2510"/>
      <c r="CZ77" s="2510"/>
      <c r="DA77" s="2510"/>
      <c r="DB77" s="2510"/>
      <c r="DC77" s="2472"/>
      <c r="DD77" s="2510"/>
      <c r="DE77" s="2510"/>
      <c r="DF77" s="2510"/>
      <c r="DG77" s="2510"/>
      <c r="DH77" s="2510"/>
      <c r="DI77" s="2510"/>
      <c r="DJ77" s="2472"/>
      <c r="DK77" s="2510"/>
      <c r="DL77" s="2510"/>
      <c r="DM77" s="2510"/>
      <c r="DN77" s="2510"/>
      <c r="DO77" s="2472"/>
      <c r="DP77" s="2510"/>
      <c r="DQ77" s="2510"/>
      <c r="DR77" s="2510"/>
      <c r="DS77" s="2510"/>
      <c r="DT77" s="2510"/>
      <c r="DU77" s="2510"/>
      <c r="DV77" s="2510"/>
      <c r="DW77" s="2510"/>
      <c r="DX77" s="2510"/>
      <c r="DY77" s="2510"/>
      <c r="DZ77" s="2510"/>
      <c r="EA77" s="2510"/>
      <c r="EB77" s="2510"/>
      <c r="EC77" s="2510"/>
      <c r="ED77" s="2510"/>
      <c r="EE77" s="2510"/>
      <c r="EF77" s="2472"/>
      <c r="EG77" s="2472"/>
      <c r="EH77" s="2510"/>
      <c r="EI77" s="2472"/>
      <c r="EJ77" s="2510"/>
      <c r="EK77" s="2510"/>
      <c r="EL77" s="2510"/>
      <c r="EM77" s="2472"/>
      <c r="EN77" s="2510"/>
      <c r="EO77" s="2510"/>
      <c r="EP77" s="2510"/>
      <c r="EQ77" s="2510"/>
      <c r="ER77" s="2510"/>
      <c r="ES77" s="2510"/>
      <c r="ET77" s="2510"/>
      <c r="EU77" s="2510"/>
      <c r="EV77" s="2510"/>
      <c r="EW77" s="2510"/>
      <c r="EX77" s="2510"/>
      <c r="EY77" s="2472"/>
      <c r="EZ77" s="2510"/>
      <c r="FA77" s="2510"/>
      <c r="FB77" s="2510"/>
      <c r="FC77" s="2510"/>
      <c r="FD77" s="2510"/>
      <c r="FE77" s="2510"/>
      <c r="FF77" s="2472"/>
      <c r="FG77" s="2510"/>
      <c r="FH77" s="2472"/>
      <c r="FI77" s="2510"/>
      <c r="FJ77" s="2510"/>
      <c r="FK77" s="2510"/>
      <c r="FL77" s="2510"/>
      <c r="FM77" s="2510"/>
      <c r="FN77" s="2510"/>
      <c r="FO77" s="2510"/>
      <c r="FP77" s="2510"/>
      <c r="FQ77" s="2510"/>
      <c r="FR77" s="2510"/>
      <c r="FS77" s="2510"/>
      <c r="FT77" s="2510"/>
      <c r="FU77" s="2510"/>
      <c r="FV77" s="2510"/>
      <c r="FW77" s="2510"/>
      <c r="FX77" s="2510"/>
      <c r="FY77" s="2510"/>
      <c r="FZ77" s="2510"/>
      <c r="GA77" s="2510"/>
      <c r="GB77" s="2510"/>
      <c r="GC77" s="2510"/>
      <c r="GD77" s="2510"/>
      <c r="GE77" s="2510"/>
      <c r="GF77" s="2510"/>
      <c r="GG77" s="2510"/>
      <c r="GH77" s="2510"/>
      <c r="GI77" s="2510"/>
      <c r="GJ77" s="2472"/>
      <c r="GK77" s="2510"/>
      <c r="GL77" s="2510"/>
      <c r="GM77" s="2510"/>
      <c r="GN77" s="2510"/>
      <c r="GO77" s="2510"/>
      <c r="GP77" s="2510"/>
      <c r="GQ77" s="2510"/>
      <c r="GR77" s="2510"/>
      <c r="GS77" s="2510"/>
      <c r="GT77" s="2510"/>
      <c r="GU77" s="2510"/>
      <c r="GV77" s="2510"/>
      <c r="GW77" s="2510"/>
      <c r="GX77" s="2472"/>
      <c r="GY77" s="2510"/>
      <c r="GZ77" s="2510"/>
      <c r="HA77" s="2510"/>
      <c r="HB77" s="2472"/>
      <c r="HC77" s="2472"/>
      <c r="HD77" s="2510"/>
      <c r="HE77" s="2510"/>
      <c r="HF77" s="2510"/>
      <c r="HG77" s="2510"/>
      <c r="HH77" s="2510"/>
      <c r="HI77" s="2510"/>
      <c r="HJ77" s="2510"/>
      <c r="HK77" s="2510"/>
      <c r="HL77" s="2510"/>
      <c r="HM77" s="2510"/>
      <c r="HN77" s="2510"/>
      <c r="HO77" s="2472"/>
      <c r="HP77" s="2510"/>
      <c r="HQ77" s="2510"/>
      <c r="HR77" s="2510"/>
      <c r="HS77" s="2510"/>
      <c r="HT77" s="2510"/>
      <c r="HU77" s="2510"/>
      <c r="HV77" s="2510"/>
      <c r="HW77" s="2510"/>
      <c r="HX77" s="2510"/>
      <c r="HY77" s="2510"/>
      <c r="HZ77" s="2510"/>
      <c r="IA77" s="2510"/>
      <c r="IB77" s="2510"/>
      <c r="IC77" s="2510"/>
      <c r="ID77" s="2510"/>
      <c r="IE77" s="2510"/>
      <c r="IF77" s="2510"/>
      <c r="IG77" s="2510"/>
      <c r="IH77" s="2510"/>
      <c r="II77" s="2510"/>
      <c r="IJ77" s="2510"/>
      <c r="IK77" s="2510"/>
      <c r="IL77" s="2510"/>
      <c r="IM77" s="2510"/>
      <c r="IN77" s="2510"/>
      <c r="IO77" s="2510"/>
      <c r="IP77" s="2510"/>
      <c r="IQ77" s="2510"/>
      <c r="IR77" s="2510"/>
      <c r="IS77" s="2510"/>
      <c r="IT77" s="2510"/>
      <c r="IU77" s="2510"/>
      <c r="IV77" s="2510"/>
      <c r="IW77" s="2510"/>
      <c r="IX77" s="2510"/>
      <c r="IY77" s="2510"/>
      <c r="IZ77" s="2510"/>
      <c r="JA77" s="2510"/>
      <c r="JB77" s="2510"/>
      <c r="JC77" s="2510"/>
      <c r="JD77" s="2510"/>
      <c r="JE77" s="2510"/>
      <c r="JF77" s="2510"/>
      <c r="JG77" s="2479"/>
      <c r="JH77" s="1233"/>
      <c r="JI77" s="2248" t="s">
        <v>8855</v>
      </c>
      <c r="JJ77" s="2248" t="s">
        <v>6127</v>
      </c>
    </row>
    <row r="78" spans="1:270" x14ac:dyDescent="0.2">
      <c r="A78" s="1128">
        <v>35</v>
      </c>
      <c r="B78" s="1347" t="str">
        <f si="4" t="shared"/>
        <v/>
      </c>
      <c r="C78" s="1278" t="s">
        <v>2828</v>
      </c>
      <c r="D78" s="1350" t="s">
        <v>5505</v>
      </c>
      <c r="E78" s="2472"/>
      <c r="F78" s="2472"/>
      <c r="G78" s="2472"/>
      <c r="H78" s="2472"/>
      <c r="I78" s="2472"/>
      <c r="J78" s="2511"/>
      <c r="K78" s="2472"/>
      <c r="L78" s="2472"/>
      <c r="M78" s="2472"/>
      <c r="N78" s="2472"/>
      <c r="O78" s="2509"/>
      <c r="P78" s="2509"/>
      <c r="Q78" s="2472"/>
      <c r="R78" s="2509"/>
      <c r="S78" s="2472"/>
      <c r="T78" s="2510"/>
      <c r="U78" s="2510"/>
      <c r="V78" s="2510"/>
      <c r="W78" s="2510"/>
      <c r="X78" s="2510"/>
      <c r="Y78" s="2510"/>
      <c r="Z78" s="2510"/>
      <c r="AA78" s="2510"/>
      <c r="AB78" s="2510"/>
      <c r="AC78" s="2472"/>
      <c r="AD78" s="2841"/>
      <c r="AE78" s="2841"/>
      <c r="AF78" s="2841"/>
      <c r="AG78" s="2841"/>
      <c r="AH78" s="2841"/>
      <c r="AI78" s="2510"/>
      <c r="AJ78" s="2472"/>
      <c r="AK78" s="2510"/>
      <c r="AL78" s="2472"/>
      <c r="AM78" s="2510"/>
      <c r="AN78" s="2510"/>
      <c r="AO78" s="2510"/>
      <c r="AP78" s="2510"/>
      <c r="AQ78" s="2510"/>
      <c r="AR78" s="2510"/>
      <c r="AS78" s="2510"/>
      <c r="AT78" s="2510"/>
      <c r="AU78" s="2510"/>
      <c r="AV78" s="2472"/>
      <c r="AW78" s="2510"/>
      <c r="AX78" s="2510"/>
      <c r="AY78" s="2510"/>
      <c r="AZ78" s="2510"/>
      <c r="BA78" s="2510"/>
      <c r="BB78" s="2510"/>
      <c r="BC78" s="2510"/>
      <c r="BD78" s="2510"/>
      <c r="BE78" s="2510"/>
      <c r="BF78" s="2510"/>
      <c r="BG78" s="2510"/>
      <c r="BH78" s="3956"/>
      <c r="BI78" s="3956"/>
      <c r="BJ78" s="2472"/>
      <c r="BK78" s="2510"/>
      <c r="BL78" s="2510"/>
      <c r="BM78" s="2510"/>
      <c r="BN78" s="2510"/>
      <c r="BO78" s="2510"/>
      <c r="BP78" s="2472"/>
      <c r="BQ78" s="2510"/>
      <c r="BR78" s="2510"/>
      <c r="BS78" s="2510"/>
      <c r="BT78" s="2510"/>
      <c r="BU78" s="2510"/>
      <c r="BV78" s="2510"/>
      <c r="BW78" s="2510"/>
      <c r="BX78" s="2510"/>
      <c r="BY78" s="2510"/>
      <c r="BZ78" s="2510"/>
      <c r="CA78" s="2510"/>
      <c r="CB78" s="2472"/>
      <c r="CC78" s="2510"/>
      <c r="CD78" s="2510"/>
      <c r="CE78" s="2510"/>
      <c r="CF78" s="2472"/>
      <c r="CG78" s="2510"/>
      <c r="CH78" s="2472"/>
      <c r="CI78" s="2510"/>
      <c r="CJ78" s="2510"/>
      <c r="CK78" s="2510"/>
      <c r="CL78" s="2472"/>
      <c r="CM78" s="2510"/>
      <c r="CN78" s="2510"/>
      <c r="CO78" s="2510"/>
      <c r="CP78" s="2510"/>
      <c r="CQ78" s="2510"/>
      <c r="CR78" s="2472"/>
      <c r="CS78" s="2472"/>
      <c r="CT78" s="2510"/>
      <c r="CU78" s="2472"/>
      <c r="CV78" s="2472"/>
      <c r="CW78" s="2510"/>
      <c r="CX78" s="2510"/>
      <c r="CY78" s="2510"/>
      <c r="CZ78" s="2510"/>
      <c r="DA78" s="2510"/>
      <c r="DB78" s="2510"/>
      <c r="DC78" s="2472"/>
      <c r="DD78" s="2510"/>
      <c r="DE78" s="2510"/>
      <c r="DF78" s="2510"/>
      <c r="DG78" s="2510"/>
      <c r="DH78" s="2510"/>
      <c r="DI78" s="2510"/>
      <c r="DJ78" s="2472"/>
      <c r="DK78" s="2510"/>
      <c r="DL78" s="2510"/>
      <c r="DM78" s="2510"/>
      <c r="DN78" s="2510"/>
      <c r="DO78" s="2472"/>
      <c r="DP78" s="2510"/>
      <c r="DQ78" s="2510"/>
      <c r="DR78" s="2510"/>
      <c r="DS78" s="2510"/>
      <c r="DT78" s="2510"/>
      <c r="DU78" s="2510"/>
      <c r="DV78" s="2510"/>
      <c r="DW78" s="2510"/>
      <c r="DX78" s="2510"/>
      <c r="DY78" s="2510"/>
      <c r="DZ78" s="2510"/>
      <c r="EA78" s="2510"/>
      <c r="EB78" s="2510"/>
      <c r="EC78" s="2510"/>
      <c r="ED78" s="2510"/>
      <c r="EE78" s="2510"/>
      <c r="EF78" s="2472"/>
      <c r="EG78" s="2472"/>
      <c r="EH78" s="2510"/>
      <c r="EI78" s="2472">
        <v>270</v>
      </c>
      <c r="EJ78" s="2510"/>
      <c r="EK78" s="2510"/>
      <c r="EL78" s="2510"/>
      <c r="EM78" s="2472"/>
      <c r="EN78" s="2510"/>
      <c r="EO78" s="2510"/>
      <c r="EP78" s="2510"/>
      <c r="EQ78" s="2510"/>
      <c r="ER78" s="2510"/>
      <c r="ES78" s="2510"/>
      <c r="ET78" s="2510"/>
      <c r="EU78" s="2510"/>
      <c r="EV78" s="2510"/>
      <c r="EW78" s="2510"/>
      <c r="EX78" s="2510"/>
      <c r="EY78" s="2472"/>
      <c r="EZ78" s="2510"/>
      <c r="FA78" s="2510"/>
      <c r="FB78" s="2510"/>
      <c r="FC78" s="2510"/>
      <c r="FD78" s="2510"/>
      <c r="FE78" s="2510"/>
      <c r="FF78" s="2472"/>
      <c r="FG78" s="2510"/>
      <c r="FH78" s="2472"/>
      <c r="FI78" s="2510"/>
      <c r="FJ78" s="2510"/>
      <c r="FK78" s="2510"/>
      <c r="FL78" s="2510"/>
      <c r="FM78" s="2510"/>
      <c r="FN78" s="2510"/>
      <c r="FO78" s="2510"/>
      <c r="FP78" s="2510"/>
      <c r="FQ78" s="2510"/>
      <c r="FR78" s="2510"/>
      <c r="FS78" s="2510"/>
      <c r="FT78" s="2510"/>
      <c r="FU78" s="2510"/>
      <c r="FV78" s="2510"/>
      <c r="FW78" s="2510"/>
      <c r="FX78" s="2510"/>
      <c r="FY78" s="2510"/>
      <c r="FZ78" s="2510"/>
      <c r="GA78" s="2510"/>
      <c r="GB78" s="2510"/>
      <c r="GC78" s="2510"/>
      <c r="GD78" s="2510"/>
      <c r="GE78" s="2510"/>
      <c r="GF78" s="2510"/>
      <c r="GG78" s="2510"/>
      <c r="GH78" s="2510"/>
      <c r="GI78" s="2510"/>
      <c r="GJ78" s="2472">
        <v>270</v>
      </c>
      <c r="GK78" s="2510"/>
      <c r="GL78" s="2510"/>
      <c r="GM78" s="2510"/>
      <c r="GN78" s="2510"/>
      <c r="GO78" s="2510"/>
      <c r="GP78" s="2510"/>
      <c r="GQ78" s="2510"/>
      <c r="GR78" s="2510"/>
      <c r="GS78" s="2510"/>
      <c r="GT78" s="2510"/>
      <c r="GU78" s="2510"/>
      <c r="GV78" s="2510"/>
      <c r="GW78" s="2510"/>
      <c r="GX78" s="2472"/>
      <c r="GY78" s="2510"/>
      <c r="GZ78" s="2510"/>
      <c r="HA78" s="2510"/>
      <c r="HB78" s="2472"/>
      <c r="HC78" s="2472"/>
      <c r="HD78" s="2510"/>
      <c r="HE78" s="2510"/>
      <c r="HF78" s="2510"/>
      <c r="HG78" s="2510"/>
      <c r="HH78" s="2510"/>
      <c r="HI78" s="2510"/>
      <c r="HJ78" s="2510"/>
      <c r="HK78" s="2510"/>
      <c r="HL78" s="2510"/>
      <c r="HM78" s="2510"/>
      <c r="HN78" s="2510"/>
      <c r="HO78" s="2472"/>
      <c r="HP78" s="2510"/>
      <c r="HQ78" s="2510"/>
      <c r="HR78" s="2510"/>
      <c r="HS78" s="2510"/>
      <c r="HT78" s="2510"/>
      <c r="HU78" s="2510"/>
      <c r="HV78" s="2510"/>
      <c r="HW78" s="2510"/>
      <c r="HX78" s="2510"/>
      <c r="HY78" s="2510"/>
      <c r="HZ78" s="2510"/>
      <c r="IA78" s="2510"/>
      <c r="IB78" s="2510"/>
      <c r="IC78" s="2510"/>
      <c r="ID78" s="2510"/>
      <c r="IE78" s="2510"/>
      <c r="IF78" s="2510"/>
      <c r="IG78" s="2510"/>
      <c r="IH78" s="2510"/>
      <c r="II78" s="2510"/>
      <c r="IJ78" s="2510"/>
      <c r="IK78" s="2510"/>
      <c r="IL78" s="2510"/>
      <c r="IM78" s="2510"/>
      <c r="IN78" s="2510"/>
      <c r="IO78" s="2510"/>
      <c r="IP78" s="2510"/>
      <c r="IQ78" s="2510"/>
      <c r="IR78" s="2510"/>
      <c r="IS78" s="2510"/>
      <c r="IT78" s="2510"/>
      <c r="IU78" s="2510"/>
      <c r="IV78" s="2510"/>
      <c r="IW78" s="2510"/>
      <c r="IX78" s="2510"/>
      <c r="IY78" s="2510"/>
      <c r="IZ78" s="2510"/>
      <c r="JA78" s="2510"/>
      <c r="JB78" s="2510"/>
      <c r="JC78" s="2510"/>
      <c r="JD78" s="2510"/>
      <c r="JE78" s="2510"/>
      <c r="JF78" s="2510"/>
      <c r="JG78" s="2479"/>
      <c r="JH78" s="1233"/>
      <c r="JI78" s="2248" t="s">
        <v>8855</v>
      </c>
      <c r="JJ78" s="2248" t="s">
        <v>6108</v>
      </c>
    </row>
    <row r="79" spans="1:270" x14ac:dyDescent="0.2">
      <c r="A79" s="1128">
        <v>36</v>
      </c>
      <c r="B79" s="1347" t="str">
        <f si="4" t="shared"/>
        <v/>
      </c>
      <c r="C79" s="1278" t="s">
        <v>2159</v>
      </c>
      <c r="D79" s="1350" t="s">
        <v>5506</v>
      </c>
      <c r="E79" s="2472"/>
      <c r="F79" s="2472"/>
      <c r="G79" s="2472"/>
      <c r="H79" s="2472"/>
      <c r="I79" s="2472"/>
      <c r="J79" s="2511"/>
      <c r="K79" s="2472"/>
      <c r="L79" s="2472"/>
      <c r="M79" s="2472"/>
      <c r="N79" s="2472"/>
      <c r="O79" s="2509"/>
      <c r="P79" s="2509"/>
      <c r="Q79" s="2472"/>
      <c r="R79" s="2509"/>
      <c r="S79" s="2472"/>
      <c r="T79" s="2510"/>
      <c r="U79" s="2510"/>
      <c r="V79" s="2510"/>
      <c r="W79" s="2510"/>
      <c r="X79" s="2510"/>
      <c r="Y79" s="2510"/>
      <c r="Z79" s="2510"/>
      <c r="AA79" s="2510"/>
      <c r="AB79" s="2510"/>
      <c r="AC79" s="2472"/>
      <c r="AD79" s="2841"/>
      <c r="AE79" s="2841"/>
      <c r="AF79" s="2841"/>
      <c r="AG79" s="2841"/>
      <c r="AH79" s="2841"/>
      <c r="AI79" s="2510"/>
      <c r="AJ79" s="2472"/>
      <c r="AK79" s="2510"/>
      <c r="AL79" s="2472"/>
      <c r="AM79" s="2510"/>
      <c r="AN79" s="2510"/>
      <c r="AO79" s="2510"/>
      <c r="AP79" s="2510"/>
      <c r="AQ79" s="2510"/>
      <c r="AR79" s="2510"/>
      <c r="AS79" s="2510"/>
      <c r="AT79" s="2510"/>
      <c r="AU79" s="2510"/>
      <c r="AV79" s="2472"/>
      <c r="AW79" s="2510"/>
      <c r="AX79" s="2510"/>
      <c r="AY79" s="2510"/>
      <c r="AZ79" s="2510"/>
      <c r="BA79" s="2510"/>
      <c r="BB79" s="2510"/>
      <c r="BC79" s="2510"/>
      <c r="BD79" s="2510"/>
      <c r="BE79" s="2510"/>
      <c r="BF79" s="2510"/>
      <c r="BG79" s="2510"/>
      <c r="BH79" s="3956"/>
      <c r="BI79" s="3956"/>
      <c r="BJ79" s="2472"/>
      <c r="BK79" s="2510"/>
      <c r="BL79" s="2510"/>
      <c r="BM79" s="2510"/>
      <c r="BN79" s="2510"/>
      <c r="BO79" s="2510"/>
      <c r="BP79" s="2472"/>
      <c r="BQ79" s="2510"/>
      <c r="BR79" s="2510"/>
      <c r="BS79" s="2510"/>
      <c r="BT79" s="2510"/>
      <c r="BU79" s="2510"/>
      <c r="BV79" s="2510"/>
      <c r="BW79" s="2510"/>
      <c r="BX79" s="2510"/>
      <c r="BY79" s="2510"/>
      <c r="BZ79" s="2510"/>
      <c r="CA79" s="2510"/>
      <c r="CB79" s="2472"/>
      <c r="CC79" s="2510"/>
      <c r="CD79" s="2510"/>
      <c r="CE79" s="2510"/>
      <c r="CF79" s="2472"/>
      <c r="CG79" s="2510"/>
      <c r="CH79" s="2472"/>
      <c r="CI79" s="2510"/>
      <c r="CJ79" s="2510"/>
      <c r="CK79" s="2510"/>
      <c r="CL79" s="2472"/>
      <c r="CM79" s="2510"/>
      <c r="CN79" s="2510"/>
      <c r="CO79" s="2510"/>
      <c r="CP79" s="2510"/>
      <c r="CQ79" s="2510"/>
      <c r="CR79" s="2472"/>
      <c r="CS79" s="2472"/>
      <c r="CT79" s="2510"/>
      <c r="CU79" s="2472"/>
      <c r="CV79" s="2472"/>
      <c r="CW79" s="2510"/>
      <c r="CX79" s="2510"/>
      <c r="CY79" s="2510"/>
      <c r="CZ79" s="2510"/>
      <c r="DA79" s="2510"/>
      <c r="DB79" s="2510"/>
      <c r="DC79" s="2472"/>
      <c r="DD79" s="2510"/>
      <c r="DE79" s="2510"/>
      <c r="DF79" s="2510"/>
      <c r="DG79" s="2510"/>
      <c r="DH79" s="2510"/>
      <c r="DI79" s="2510"/>
      <c r="DJ79" s="2472"/>
      <c r="DK79" s="2510"/>
      <c r="DL79" s="2510"/>
      <c r="DM79" s="2510"/>
      <c r="DN79" s="2510"/>
      <c r="DO79" s="2472"/>
      <c r="DP79" s="2510"/>
      <c r="DQ79" s="2510"/>
      <c r="DR79" s="2510"/>
      <c r="DS79" s="2510"/>
      <c r="DT79" s="2510"/>
      <c r="DU79" s="2510"/>
      <c r="DV79" s="2510"/>
      <c r="DW79" s="2510"/>
      <c r="DX79" s="2510"/>
      <c r="DY79" s="2510"/>
      <c r="DZ79" s="2510"/>
      <c r="EA79" s="2510"/>
      <c r="EB79" s="2510"/>
      <c r="EC79" s="2510"/>
      <c r="ED79" s="2510"/>
      <c r="EE79" s="2510"/>
      <c r="EF79" s="2472"/>
      <c r="EG79" s="2472"/>
      <c r="EH79" s="2510"/>
      <c r="EI79" s="2472">
        <v>212</v>
      </c>
      <c r="EJ79" s="2510"/>
      <c r="EK79" s="2510"/>
      <c r="EL79" s="2510"/>
      <c r="EM79" s="2472"/>
      <c r="EN79" s="2510"/>
      <c r="EO79" s="2510"/>
      <c r="EP79" s="2510"/>
      <c r="EQ79" s="2510"/>
      <c r="ER79" s="2510"/>
      <c r="ES79" s="2510"/>
      <c r="ET79" s="2510"/>
      <c r="EU79" s="2510"/>
      <c r="EV79" s="2510"/>
      <c r="EW79" s="2510"/>
      <c r="EX79" s="2510"/>
      <c r="EY79" s="2472"/>
      <c r="EZ79" s="2510"/>
      <c r="FA79" s="2510"/>
      <c r="FB79" s="2510"/>
      <c r="FC79" s="2510"/>
      <c r="FD79" s="2510"/>
      <c r="FE79" s="2510"/>
      <c r="FF79" s="2472"/>
      <c r="FG79" s="2510"/>
      <c r="FH79" s="2472"/>
      <c r="FI79" s="2510"/>
      <c r="FJ79" s="2510"/>
      <c r="FK79" s="2510"/>
      <c r="FL79" s="2510"/>
      <c r="FM79" s="2510"/>
      <c r="FN79" s="2510"/>
      <c r="FO79" s="2510"/>
      <c r="FP79" s="2510"/>
      <c r="FQ79" s="2510"/>
      <c r="FR79" s="2510"/>
      <c r="FS79" s="2510"/>
      <c r="FT79" s="2510"/>
      <c r="FU79" s="2510"/>
      <c r="FV79" s="2510"/>
      <c r="FW79" s="2510"/>
      <c r="FX79" s="2510"/>
      <c r="FY79" s="2510"/>
      <c r="FZ79" s="2510"/>
      <c r="GA79" s="2510"/>
      <c r="GB79" s="2510"/>
      <c r="GC79" s="2510"/>
      <c r="GD79" s="2510"/>
      <c r="GE79" s="2510"/>
      <c r="GF79" s="2510"/>
      <c r="GG79" s="2510"/>
      <c r="GH79" s="2510"/>
      <c r="GI79" s="2510"/>
      <c r="GJ79" s="2472">
        <v>212</v>
      </c>
      <c r="GK79" s="2510"/>
      <c r="GL79" s="2510"/>
      <c r="GM79" s="2510"/>
      <c r="GN79" s="2510"/>
      <c r="GO79" s="2510"/>
      <c r="GP79" s="2510"/>
      <c r="GQ79" s="2510"/>
      <c r="GR79" s="2510"/>
      <c r="GS79" s="2510"/>
      <c r="GT79" s="2510"/>
      <c r="GU79" s="2510"/>
      <c r="GV79" s="2510"/>
      <c r="GW79" s="2510"/>
      <c r="GX79" s="2472"/>
      <c r="GY79" s="2510"/>
      <c r="GZ79" s="2510"/>
      <c r="HA79" s="2510"/>
      <c r="HB79" s="2472"/>
      <c r="HC79" s="2472"/>
      <c r="HD79" s="2510"/>
      <c r="HE79" s="2510"/>
      <c r="HF79" s="2510"/>
      <c r="HG79" s="2510"/>
      <c r="HH79" s="2510"/>
      <c r="HI79" s="2510"/>
      <c r="HJ79" s="2510"/>
      <c r="HK79" s="2510"/>
      <c r="HL79" s="2510"/>
      <c r="HM79" s="2510"/>
      <c r="HN79" s="2510"/>
      <c r="HO79" s="2472"/>
      <c r="HP79" s="2510"/>
      <c r="HQ79" s="2510"/>
      <c r="HR79" s="2510"/>
      <c r="HS79" s="2510"/>
      <c r="HT79" s="2510"/>
      <c r="HU79" s="2510"/>
      <c r="HV79" s="2510"/>
      <c r="HW79" s="2510"/>
      <c r="HX79" s="2510"/>
      <c r="HY79" s="2510"/>
      <c r="HZ79" s="2510"/>
      <c r="IA79" s="2510"/>
      <c r="IB79" s="2510"/>
      <c r="IC79" s="2510"/>
      <c r="ID79" s="2510"/>
      <c r="IE79" s="2510"/>
      <c r="IF79" s="2510"/>
      <c r="IG79" s="2510"/>
      <c r="IH79" s="2510"/>
      <c r="II79" s="2510"/>
      <c r="IJ79" s="2510"/>
      <c r="IK79" s="2510"/>
      <c r="IL79" s="2510"/>
      <c r="IM79" s="2510"/>
      <c r="IN79" s="2510"/>
      <c r="IO79" s="2510"/>
      <c r="IP79" s="2510"/>
      <c r="IQ79" s="2510"/>
      <c r="IR79" s="2510"/>
      <c r="IS79" s="2510"/>
      <c r="IT79" s="2510"/>
      <c r="IU79" s="2510"/>
      <c r="IV79" s="2510"/>
      <c r="IW79" s="2510"/>
      <c r="IX79" s="2510"/>
      <c r="IY79" s="2510"/>
      <c r="IZ79" s="2510"/>
      <c r="JA79" s="2510"/>
      <c r="JB79" s="2510"/>
      <c r="JC79" s="2510"/>
      <c r="JD79" s="2510"/>
      <c r="JE79" s="2510"/>
      <c r="JF79" s="2510"/>
      <c r="JG79" s="2479"/>
      <c r="JH79" s="1233"/>
      <c r="JI79" s="2248" t="s">
        <v>8855</v>
      </c>
      <c r="JJ79" s="2248" t="s">
        <v>6108</v>
      </c>
    </row>
    <row r="80" spans="1:270" x14ac:dyDescent="0.2">
      <c r="A80" s="1128">
        <v>37</v>
      </c>
      <c r="B80" s="1347" t="str">
        <f si="4" t="shared"/>
        <v/>
      </c>
      <c r="C80" s="1278" t="s">
        <v>2160</v>
      </c>
      <c r="D80" s="1350" t="s">
        <v>5507</v>
      </c>
      <c r="E80" s="2472"/>
      <c r="F80" s="2472"/>
      <c r="G80" s="2472"/>
      <c r="H80" s="2472"/>
      <c r="I80" s="2472"/>
      <c r="J80" s="2511"/>
      <c r="K80" s="2472"/>
      <c r="L80" s="2472"/>
      <c r="M80" s="2472"/>
      <c r="N80" s="2472"/>
      <c r="O80" s="2509"/>
      <c r="P80" s="2509"/>
      <c r="Q80" s="2472"/>
      <c r="R80" s="2509"/>
      <c r="S80" s="2472"/>
      <c r="T80" s="2510"/>
      <c r="U80" s="2510"/>
      <c r="V80" s="2510"/>
      <c r="W80" s="2510"/>
      <c r="X80" s="2510"/>
      <c r="Y80" s="2510"/>
      <c r="Z80" s="2510"/>
      <c r="AA80" s="2510"/>
      <c r="AB80" s="2510"/>
      <c r="AC80" s="2472"/>
      <c r="AD80" s="2841"/>
      <c r="AE80" s="2841"/>
      <c r="AF80" s="2841"/>
      <c r="AG80" s="2841"/>
      <c r="AH80" s="2841"/>
      <c r="AI80" s="2510"/>
      <c r="AJ80" s="2472"/>
      <c r="AK80" s="2510"/>
      <c r="AL80" s="2472">
        <v>199</v>
      </c>
      <c r="AM80" s="2510"/>
      <c r="AN80" s="2510"/>
      <c r="AO80" s="2510"/>
      <c r="AP80" s="2510"/>
      <c r="AQ80" s="2510"/>
      <c r="AR80" s="2510"/>
      <c r="AS80" s="2510"/>
      <c r="AT80" s="2510"/>
      <c r="AU80" s="2510"/>
      <c r="AV80" s="2472"/>
      <c r="AW80" s="2510"/>
      <c r="AX80" s="2510"/>
      <c r="AY80" s="2510"/>
      <c r="AZ80" s="2510"/>
      <c r="BA80" s="2510"/>
      <c r="BB80" s="2510"/>
      <c r="BC80" s="2510"/>
      <c r="BD80" s="2510"/>
      <c r="BE80" s="2510"/>
      <c r="BF80" s="2510"/>
      <c r="BG80" s="2510"/>
      <c r="BH80" s="3956"/>
      <c r="BI80" s="3956"/>
      <c r="BJ80" s="2472">
        <v>199</v>
      </c>
      <c r="BK80" s="2510"/>
      <c r="BL80" s="2510"/>
      <c r="BM80" s="2510"/>
      <c r="BN80" s="2510"/>
      <c r="BO80" s="2510"/>
      <c r="BP80" s="2472"/>
      <c r="BQ80" s="2510"/>
      <c r="BR80" s="2510"/>
      <c r="BS80" s="2510"/>
      <c r="BT80" s="2510"/>
      <c r="BU80" s="2510"/>
      <c r="BV80" s="2510"/>
      <c r="BW80" s="2510"/>
      <c r="BX80" s="2510"/>
      <c r="BY80" s="2510"/>
      <c r="BZ80" s="2510"/>
      <c r="CA80" s="2510"/>
      <c r="CB80" s="2472"/>
      <c r="CC80" s="2510"/>
      <c r="CD80" s="2510"/>
      <c r="CE80" s="2510"/>
      <c r="CF80" s="2472"/>
      <c r="CG80" s="2510"/>
      <c r="CH80" s="2472"/>
      <c r="CI80" s="2510"/>
      <c r="CJ80" s="2510"/>
      <c r="CK80" s="2510"/>
      <c r="CL80" s="2472">
        <v>199</v>
      </c>
      <c r="CM80" s="2510"/>
      <c r="CN80" s="2510"/>
      <c r="CO80" s="2510"/>
      <c r="CP80" s="2510"/>
      <c r="CQ80" s="2510"/>
      <c r="CR80" s="2472">
        <v>199</v>
      </c>
      <c r="CS80" s="2472">
        <v>199</v>
      </c>
      <c r="CT80" s="2510"/>
      <c r="CU80" s="2472">
        <v>561</v>
      </c>
      <c r="CV80" s="2472">
        <v>561</v>
      </c>
      <c r="CW80" s="2510"/>
      <c r="CX80" s="2510"/>
      <c r="CY80" s="2510"/>
      <c r="CZ80" s="2510"/>
      <c r="DA80" s="2510"/>
      <c r="DB80" s="2510"/>
      <c r="DC80" s="2472">
        <v>561</v>
      </c>
      <c r="DD80" s="2510"/>
      <c r="DE80" s="2510"/>
      <c r="DF80" s="2510"/>
      <c r="DG80" s="2510"/>
      <c r="DH80" s="2510"/>
      <c r="DI80" s="2510"/>
      <c r="DJ80" s="2472">
        <v>561</v>
      </c>
      <c r="DK80" s="2510"/>
      <c r="DL80" s="2510"/>
      <c r="DM80" s="2510"/>
      <c r="DN80" s="2510"/>
      <c r="DO80" s="2472"/>
      <c r="DP80" s="2510"/>
      <c r="DQ80" s="2510"/>
      <c r="DR80" s="2510"/>
      <c r="DS80" s="2510"/>
      <c r="DT80" s="2510"/>
      <c r="DU80" s="2510"/>
      <c r="DV80" s="2510"/>
      <c r="DW80" s="2510"/>
      <c r="DX80" s="2510"/>
      <c r="DY80" s="2510"/>
      <c r="DZ80" s="2510"/>
      <c r="EA80" s="2510"/>
      <c r="EB80" s="2510"/>
      <c r="EC80" s="2510"/>
      <c r="ED80" s="2510"/>
      <c r="EE80" s="2510"/>
      <c r="EF80" s="2472"/>
      <c r="EG80" s="2472"/>
      <c r="EH80" s="2510"/>
      <c r="EI80" s="2472">
        <v>205</v>
      </c>
      <c r="EJ80" s="2510"/>
      <c r="EK80" s="2510"/>
      <c r="EL80" s="2510"/>
      <c r="EM80" s="2472">
        <v>199</v>
      </c>
      <c r="EN80" s="2510"/>
      <c r="EO80" s="2510"/>
      <c r="EP80" s="2510"/>
      <c r="EQ80" s="2510"/>
      <c r="ER80" s="2510"/>
      <c r="ES80" s="2510"/>
      <c r="ET80" s="2510"/>
      <c r="EU80" s="2510"/>
      <c r="EV80" s="2510"/>
      <c r="EW80" s="2510"/>
      <c r="EX80" s="2510"/>
      <c r="EY80" s="2472">
        <v>199</v>
      </c>
      <c r="EZ80" s="2510"/>
      <c r="FA80" s="2510"/>
      <c r="FB80" s="2510"/>
      <c r="FC80" s="2510"/>
      <c r="FD80" s="2510"/>
      <c r="FE80" s="2510"/>
      <c r="FF80" s="2472"/>
      <c r="FG80" s="2510"/>
      <c r="FH80" s="2472">
        <v>561</v>
      </c>
      <c r="FI80" s="2510"/>
      <c r="FJ80" s="2510"/>
      <c r="FK80" s="2510"/>
      <c r="FL80" s="2510"/>
      <c r="FM80" s="2510"/>
      <c r="FN80" s="2510"/>
      <c r="FO80" s="2510"/>
      <c r="FP80" s="2510"/>
      <c r="FQ80" s="2510"/>
      <c r="FR80" s="2510"/>
      <c r="FS80" s="2510"/>
      <c r="FT80" s="2510"/>
      <c r="FU80" s="2510"/>
      <c r="FV80" s="2510"/>
      <c r="FW80" s="2510"/>
      <c r="FX80" s="2510"/>
      <c r="FY80" s="2510"/>
      <c r="FZ80" s="2510"/>
      <c r="GA80" s="2510"/>
      <c r="GB80" s="2510"/>
      <c r="GC80" s="2510"/>
      <c r="GD80" s="2510"/>
      <c r="GE80" s="2510"/>
      <c r="GF80" s="2510"/>
      <c r="GG80" s="2510"/>
      <c r="GH80" s="2510"/>
      <c r="GI80" s="2510"/>
      <c r="GJ80" s="2472">
        <v>205</v>
      </c>
      <c r="GK80" s="2510"/>
      <c r="GL80" s="2510"/>
      <c r="GM80" s="2510"/>
      <c r="GN80" s="2510"/>
      <c r="GO80" s="2510"/>
      <c r="GP80" s="2510"/>
      <c r="GQ80" s="2510"/>
      <c r="GR80" s="2510"/>
      <c r="GS80" s="2510"/>
      <c r="GT80" s="2510"/>
      <c r="GU80" s="2510"/>
      <c r="GV80" s="2510"/>
      <c r="GW80" s="2510"/>
      <c r="GX80" s="2472"/>
      <c r="GY80" s="2510"/>
      <c r="GZ80" s="2510"/>
      <c r="HA80" s="2510"/>
      <c r="HB80" s="2472"/>
      <c r="HC80" s="2472">
        <v>561</v>
      </c>
      <c r="HD80" s="2510"/>
      <c r="HE80" s="2510"/>
      <c r="HF80" s="2510"/>
      <c r="HG80" s="2510"/>
      <c r="HH80" s="2510"/>
      <c r="HI80" s="2510"/>
      <c r="HJ80" s="2510"/>
      <c r="HK80" s="2510"/>
      <c r="HL80" s="2510"/>
      <c r="HM80" s="2510"/>
      <c r="HN80" s="2510"/>
      <c r="HO80" s="2472"/>
      <c r="HP80" s="2510"/>
      <c r="HQ80" s="2510"/>
      <c r="HR80" s="2510"/>
      <c r="HS80" s="2510"/>
      <c r="HT80" s="2510"/>
      <c r="HU80" s="2510"/>
      <c r="HV80" s="2510"/>
      <c r="HW80" s="2510"/>
      <c r="HX80" s="2510"/>
      <c r="HY80" s="2510"/>
      <c r="HZ80" s="2510"/>
      <c r="IA80" s="2510"/>
      <c r="IB80" s="2510"/>
      <c r="IC80" s="2510"/>
      <c r="ID80" s="2510"/>
      <c r="IE80" s="2510"/>
      <c r="IF80" s="2510"/>
      <c r="IG80" s="2510"/>
      <c r="IH80" s="2510"/>
      <c r="II80" s="2510"/>
      <c r="IJ80" s="2510"/>
      <c r="IK80" s="2510"/>
      <c r="IL80" s="2510"/>
      <c r="IM80" s="2510"/>
      <c r="IN80" s="2510"/>
      <c r="IO80" s="2510"/>
      <c r="IP80" s="2510"/>
      <c r="IQ80" s="2510"/>
      <c r="IR80" s="2510"/>
      <c r="IS80" s="2510"/>
      <c r="IT80" s="2510"/>
      <c r="IU80" s="2510"/>
      <c r="IV80" s="2510"/>
      <c r="IW80" s="2510"/>
      <c r="IX80" s="2510"/>
      <c r="IY80" s="2510"/>
      <c r="IZ80" s="2510"/>
      <c r="JA80" s="2510"/>
      <c r="JB80" s="2510"/>
      <c r="JC80" s="2510"/>
      <c r="JD80" s="2510"/>
      <c r="JE80" s="2510"/>
      <c r="JF80" s="2510"/>
      <c r="JG80" s="2479"/>
      <c r="JH80" s="1233"/>
      <c r="JI80" s="2248" t="s">
        <v>8855</v>
      </c>
      <c r="JJ80" s="2248" t="s">
        <v>6108</v>
      </c>
    </row>
    <row r="81" spans="1:270" x14ac:dyDescent="0.2">
      <c r="A81" s="1128">
        <v>38</v>
      </c>
      <c r="B81" s="1347" t="str">
        <f si="4" t="shared"/>
        <v/>
      </c>
      <c r="C81" s="1278" t="s">
        <v>3524</v>
      </c>
      <c r="D81" s="1350" t="s">
        <v>5508</v>
      </c>
      <c r="E81" s="2472"/>
      <c r="F81" s="2472"/>
      <c r="G81" s="2472"/>
      <c r="H81" s="2472"/>
      <c r="I81" s="2472"/>
      <c r="J81" s="2511"/>
      <c r="K81" s="2472"/>
      <c r="L81" s="2472"/>
      <c r="M81" s="2472"/>
      <c r="N81" s="2472"/>
      <c r="O81" s="2509"/>
      <c r="P81" s="2509"/>
      <c r="Q81" s="2472"/>
      <c r="R81" s="2509"/>
      <c r="S81" s="2472"/>
      <c r="T81" s="2510"/>
      <c r="U81" s="2510"/>
      <c r="V81" s="2510"/>
      <c r="W81" s="2510"/>
      <c r="X81" s="2510"/>
      <c r="Y81" s="2510"/>
      <c r="Z81" s="2510"/>
      <c r="AA81" s="2510"/>
      <c r="AB81" s="2510"/>
      <c r="AC81" s="2472"/>
      <c r="AD81" s="2841"/>
      <c r="AE81" s="2841"/>
      <c r="AF81" s="2841"/>
      <c r="AG81" s="2841"/>
      <c r="AH81" s="2841"/>
      <c r="AI81" s="2510"/>
      <c r="AJ81" s="2472"/>
      <c r="AK81" s="2510"/>
      <c r="AL81" s="2472"/>
      <c r="AM81" s="2510"/>
      <c r="AN81" s="2510"/>
      <c r="AO81" s="2510"/>
      <c r="AP81" s="2510"/>
      <c r="AQ81" s="2510"/>
      <c r="AR81" s="2510"/>
      <c r="AS81" s="2510"/>
      <c r="AT81" s="2510"/>
      <c r="AU81" s="2510"/>
      <c r="AV81" s="2472"/>
      <c r="AW81" s="2510"/>
      <c r="AX81" s="2510"/>
      <c r="AY81" s="2510"/>
      <c r="AZ81" s="2510"/>
      <c r="BA81" s="2510"/>
      <c r="BB81" s="2510"/>
      <c r="BC81" s="2510"/>
      <c r="BD81" s="2510"/>
      <c r="BE81" s="2510"/>
      <c r="BF81" s="2510"/>
      <c r="BG81" s="2510"/>
      <c r="BH81" s="3956"/>
      <c r="BI81" s="3956"/>
      <c r="BJ81" s="2472"/>
      <c r="BK81" s="2510"/>
      <c r="BL81" s="2510"/>
      <c r="BM81" s="2510"/>
      <c r="BN81" s="2510"/>
      <c r="BO81" s="2510"/>
      <c r="BP81" s="2472"/>
      <c r="BQ81" s="2510"/>
      <c r="BR81" s="2510"/>
      <c r="BS81" s="2510"/>
      <c r="BT81" s="2510"/>
      <c r="BU81" s="2510"/>
      <c r="BV81" s="2510"/>
      <c r="BW81" s="2510"/>
      <c r="BX81" s="2510"/>
      <c r="BY81" s="2510"/>
      <c r="BZ81" s="2510"/>
      <c r="CA81" s="2510"/>
      <c r="CB81" s="2472"/>
      <c r="CC81" s="2510"/>
      <c r="CD81" s="2510"/>
      <c r="CE81" s="2510"/>
      <c r="CF81" s="2472"/>
      <c r="CG81" s="2510"/>
      <c r="CH81" s="2472"/>
      <c r="CI81" s="2510"/>
      <c r="CJ81" s="2510"/>
      <c r="CK81" s="2510"/>
      <c r="CL81" s="2472"/>
      <c r="CM81" s="2510"/>
      <c r="CN81" s="2510"/>
      <c r="CO81" s="2510"/>
      <c r="CP81" s="2510"/>
      <c r="CQ81" s="2510"/>
      <c r="CR81" s="2472"/>
      <c r="CS81" s="2472"/>
      <c r="CT81" s="2510"/>
      <c r="CU81" s="2472">
        <v>2135</v>
      </c>
      <c r="CV81" s="2472">
        <v>2135</v>
      </c>
      <c r="CW81" s="2510"/>
      <c r="CX81" s="2510"/>
      <c r="CY81" s="2510"/>
      <c r="CZ81" s="2510"/>
      <c r="DA81" s="2510"/>
      <c r="DB81" s="2510"/>
      <c r="DC81" s="2472">
        <v>2135</v>
      </c>
      <c r="DD81" s="2510"/>
      <c r="DE81" s="2510"/>
      <c r="DF81" s="2510"/>
      <c r="DG81" s="2510"/>
      <c r="DH81" s="2510"/>
      <c r="DI81" s="2510"/>
      <c r="DJ81" s="2472">
        <v>2135</v>
      </c>
      <c r="DK81" s="2510"/>
      <c r="DL81" s="2510"/>
      <c r="DM81" s="2510"/>
      <c r="DN81" s="2510"/>
      <c r="DO81" s="2472"/>
      <c r="DP81" s="2510"/>
      <c r="DQ81" s="2510"/>
      <c r="DR81" s="2510"/>
      <c r="DS81" s="2510"/>
      <c r="DT81" s="2510"/>
      <c r="DU81" s="2510"/>
      <c r="DV81" s="2510"/>
      <c r="DW81" s="2510"/>
      <c r="DX81" s="2510"/>
      <c r="DY81" s="2510"/>
      <c r="DZ81" s="2510"/>
      <c r="EA81" s="2510"/>
      <c r="EB81" s="2510"/>
      <c r="EC81" s="2510"/>
      <c r="ED81" s="2510"/>
      <c r="EE81" s="2510"/>
      <c r="EF81" s="2472"/>
      <c r="EG81" s="2472"/>
      <c r="EH81" s="2510"/>
      <c r="EI81" s="2472"/>
      <c r="EJ81" s="2510"/>
      <c r="EK81" s="2510"/>
      <c r="EL81" s="2510"/>
      <c r="EM81" s="2472"/>
      <c r="EN81" s="2510"/>
      <c r="EO81" s="2510"/>
      <c r="EP81" s="2510"/>
      <c r="EQ81" s="2510"/>
      <c r="ER81" s="2510"/>
      <c r="ES81" s="2510"/>
      <c r="ET81" s="2510"/>
      <c r="EU81" s="2510"/>
      <c r="EV81" s="2510"/>
      <c r="EW81" s="2510"/>
      <c r="EX81" s="2510"/>
      <c r="EY81" s="2472"/>
      <c r="EZ81" s="2510"/>
      <c r="FA81" s="2510"/>
      <c r="FB81" s="2510"/>
      <c r="FC81" s="2510"/>
      <c r="FD81" s="2510"/>
      <c r="FE81" s="2510"/>
      <c r="FF81" s="2472"/>
      <c r="FG81" s="2510"/>
      <c r="FH81" s="2472">
        <v>2135</v>
      </c>
      <c r="FI81" s="2510"/>
      <c r="FJ81" s="2510"/>
      <c r="FK81" s="2510"/>
      <c r="FL81" s="2510"/>
      <c r="FM81" s="2510"/>
      <c r="FN81" s="2510"/>
      <c r="FO81" s="2510"/>
      <c r="FP81" s="2510"/>
      <c r="FQ81" s="2510"/>
      <c r="FR81" s="2510"/>
      <c r="FS81" s="2510"/>
      <c r="FT81" s="2510"/>
      <c r="FU81" s="2510"/>
      <c r="FV81" s="2510"/>
      <c r="FW81" s="2510"/>
      <c r="FX81" s="2510"/>
      <c r="FY81" s="2510"/>
      <c r="FZ81" s="2510"/>
      <c r="GA81" s="2510"/>
      <c r="GB81" s="2510"/>
      <c r="GC81" s="2510"/>
      <c r="GD81" s="2510"/>
      <c r="GE81" s="2510"/>
      <c r="GF81" s="2510"/>
      <c r="GG81" s="2510"/>
      <c r="GH81" s="2510"/>
      <c r="GI81" s="2510"/>
      <c r="GJ81" s="2472"/>
      <c r="GK81" s="2510"/>
      <c r="GL81" s="2510"/>
      <c r="GM81" s="2510"/>
      <c r="GN81" s="2510"/>
      <c r="GO81" s="2510"/>
      <c r="GP81" s="2510"/>
      <c r="GQ81" s="2510"/>
      <c r="GR81" s="2510"/>
      <c r="GS81" s="2510"/>
      <c r="GT81" s="2510"/>
      <c r="GU81" s="2510"/>
      <c r="GV81" s="2510"/>
      <c r="GW81" s="2510"/>
      <c r="GX81" s="2472"/>
      <c r="GY81" s="2510"/>
      <c r="GZ81" s="2510"/>
      <c r="HA81" s="2510"/>
      <c r="HB81" s="2472"/>
      <c r="HC81" s="2472">
        <v>2135</v>
      </c>
      <c r="HD81" s="2510"/>
      <c r="HE81" s="2510"/>
      <c r="HF81" s="2510"/>
      <c r="HG81" s="2510"/>
      <c r="HH81" s="2510"/>
      <c r="HI81" s="2510"/>
      <c r="HJ81" s="2510"/>
      <c r="HK81" s="2510"/>
      <c r="HL81" s="2510"/>
      <c r="HM81" s="2510"/>
      <c r="HN81" s="2510"/>
      <c r="HO81" s="2472"/>
      <c r="HP81" s="2510"/>
      <c r="HQ81" s="2510"/>
      <c r="HR81" s="2510"/>
      <c r="HS81" s="2510"/>
      <c r="HT81" s="2510"/>
      <c r="HU81" s="2510"/>
      <c r="HV81" s="2510"/>
      <c r="HW81" s="2510"/>
      <c r="HX81" s="2510"/>
      <c r="HY81" s="2510"/>
      <c r="HZ81" s="2510"/>
      <c r="IA81" s="2510"/>
      <c r="IB81" s="2510"/>
      <c r="IC81" s="2510"/>
      <c r="ID81" s="2510"/>
      <c r="IE81" s="2510"/>
      <c r="IF81" s="2510"/>
      <c r="IG81" s="2510"/>
      <c r="IH81" s="2510"/>
      <c r="II81" s="2510"/>
      <c r="IJ81" s="2510"/>
      <c r="IK81" s="2510"/>
      <c r="IL81" s="2510"/>
      <c r="IM81" s="2510"/>
      <c r="IN81" s="2510"/>
      <c r="IO81" s="2510"/>
      <c r="IP81" s="2510"/>
      <c r="IQ81" s="2510"/>
      <c r="IR81" s="2510"/>
      <c r="IS81" s="2510"/>
      <c r="IT81" s="2510"/>
      <c r="IU81" s="2510"/>
      <c r="IV81" s="2510"/>
      <c r="IW81" s="2510"/>
      <c r="IX81" s="2510"/>
      <c r="IY81" s="2510"/>
      <c r="IZ81" s="2510"/>
      <c r="JA81" s="2510"/>
      <c r="JB81" s="2510"/>
      <c r="JC81" s="2510"/>
      <c r="JD81" s="2510"/>
      <c r="JE81" s="2510"/>
      <c r="JF81" s="2510"/>
      <c r="JG81" s="2479"/>
      <c r="JH81" s="1233"/>
      <c r="JI81" s="2248" t="s">
        <v>8855</v>
      </c>
      <c r="JJ81" s="2248" t="s">
        <v>6127</v>
      </c>
    </row>
    <row r="82" spans="1:270" x14ac:dyDescent="0.2">
      <c r="A82" s="1128">
        <v>39</v>
      </c>
      <c r="B82" s="1347" t="str">
        <f si="4" t="shared"/>
        <v/>
      </c>
      <c r="C82" s="1278" t="s">
        <v>3525</v>
      </c>
      <c r="D82" s="1350" t="s">
        <v>5509</v>
      </c>
      <c r="E82" s="2472"/>
      <c r="F82" s="2472"/>
      <c r="G82" s="2472"/>
      <c r="H82" s="2472"/>
      <c r="I82" s="2472"/>
      <c r="J82" s="2511"/>
      <c r="K82" s="2472"/>
      <c r="L82" s="2472"/>
      <c r="M82" s="2472"/>
      <c r="N82" s="2472"/>
      <c r="O82" s="2509"/>
      <c r="P82" s="2509"/>
      <c r="Q82" s="2472"/>
      <c r="R82" s="2509"/>
      <c r="S82" s="2472"/>
      <c r="T82" s="2510"/>
      <c r="U82" s="2510"/>
      <c r="V82" s="2510"/>
      <c r="W82" s="2510"/>
      <c r="X82" s="2510"/>
      <c r="Y82" s="2510"/>
      <c r="Z82" s="2510"/>
      <c r="AA82" s="2510"/>
      <c r="AB82" s="2510"/>
      <c r="AC82" s="2472"/>
      <c r="AD82" s="2841"/>
      <c r="AE82" s="2841"/>
      <c r="AF82" s="2841"/>
      <c r="AG82" s="2841"/>
      <c r="AH82" s="2841"/>
      <c r="AI82" s="2510"/>
      <c r="AJ82" s="2472"/>
      <c r="AK82" s="2510"/>
      <c r="AL82" s="2472"/>
      <c r="AM82" s="2510"/>
      <c r="AN82" s="2510"/>
      <c r="AO82" s="2510"/>
      <c r="AP82" s="2510"/>
      <c r="AQ82" s="2510"/>
      <c r="AR82" s="2510"/>
      <c r="AS82" s="2510"/>
      <c r="AT82" s="2510"/>
      <c r="AU82" s="2510"/>
      <c r="AV82" s="2472"/>
      <c r="AW82" s="2510"/>
      <c r="AX82" s="2510"/>
      <c r="AY82" s="2510"/>
      <c r="AZ82" s="2510"/>
      <c r="BA82" s="2510"/>
      <c r="BB82" s="2510"/>
      <c r="BC82" s="2510"/>
      <c r="BD82" s="2510"/>
      <c r="BE82" s="2510"/>
      <c r="BF82" s="2510"/>
      <c r="BG82" s="2510"/>
      <c r="BH82" s="3956"/>
      <c r="BI82" s="3956"/>
      <c r="BJ82" s="2472"/>
      <c r="BK82" s="2510"/>
      <c r="BL82" s="2510"/>
      <c r="BM82" s="2510"/>
      <c r="BN82" s="2510"/>
      <c r="BO82" s="2510"/>
      <c r="BP82" s="2472"/>
      <c r="BQ82" s="2510"/>
      <c r="BR82" s="2510"/>
      <c r="BS82" s="2510"/>
      <c r="BT82" s="2510"/>
      <c r="BU82" s="2510"/>
      <c r="BV82" s="2510"/>
      <c r="BW82" s="2510"/>
      <c r="BX82" s="2510"/>
      <c r="BY82" s="2510"/>
      <c r="BZ82" s="2510"/>
      <c r="CA82" s="2510"/>
      <c r="CB82" s="2472"/>
      <c r="CC82" s="2510"/>
      <c r="CD82" s="2510"/>
      <c r="CE82" s="2510"/>
      <c r="CF82" s="2472"/>
      <c r="CG82" s="2510"/>
      <c r="CH82" s="2472"/>
      <c r="CI82" s="2510"/>
      <c r="CJ82" s="2510"/>
      <c r="CK82" s="2510"/>
      <c r="CL82" s="2472"/>
      <c r="CM82" s="2510"/>
      <c r="CN82" s="2510"/>
      <c r="CO82" s="2510"/>
      <c r="CP82" s="2510"/>
      <c r="CQ82" s="2510"/>
      <c r="CR82" s="2472"/>
      <c r="CS82" s="2472"/>
      <c r="CT82" s="2510"/>
      <c r="CU82" s="2472"/>
      <c r="CV82" s="2472"/>
      <c r="CW82" s="2510"/>
      <c r="CX82" s="2510"/>
      <c r="CY82" s="2510"/>
      <c r="CZ82" s="2510"/>
      <c r="DA82" s="2510"/>
      <c r="DB82" s="2510"/>
      <c r="DC82" s="2472"/>
      <c r="DD82" s="2510"/>
      <c r="DE82" s="2510"/>
      <c r="DF82" s="2510"/>
      <c r="DG82" s="2510"/>
      <c r="DH82" s="2510"/>
      <c r="DI82" s="2510"/>
      <c r="DJ82" s="2472"/>
      <c r="DK82" s="2510"/>
      <c r="DL82" s="2510"/>
      <c r="DM82" s="2510"/>
      <c r="DN82" s="2510"/>
      <c r="DO82" s="2472"/>
      <c r="DP82" s="2510"/>
      <c r="DQ82" s="2510"/>
      <c r="DR82" s="2510"/>
      <c r="DS82" s="2510"/>
      <c r="DT82" s="2510"/>
      <c r="DU82" s="2510"/>
      <c r="DV82" s="2510"/>
      <c r="DW82" s="2510"/>
      <c r="DX82" s="2510"/>
      <c r="DY82" s="2510"/>
      <c r="DZ82" s="2510"/>
      <c r="EA82" s="2510"/>
      <c r="EB82" s="2510"/>
      <c r="EC82" s="2510"/>
      <c r="ED82" s="2510"/>
      <c r="EE82" s="2510"/>
      <c r="EF82" s="2472"/>
      <c r="EG82" s="2472"/>
      <c r="EH82" s="2510"/>
      <c r="EI82" s="2472"/>
      <c r="EJ82" s="2510"/>
      <c r="EK82" s="2510"/>
      <c r="EL82" s="2510"/>
      <c r="EM82" s="2472"/>
      <c r="EN82" s="2510"/>
      <c r="EO82" s="2510"/>
      <c r="EP82" s="2510"/>
      <c r="EQ82" s="2510"/>
      <c r="ER82" s="2510"/>
      <c r="ES82" s="2510"/>
      <c r="ET82" s="2510"/>
      <c r="EU82" s="2510"/>
      <c r="EV82" s="2510"/>
      <c r="EW82" s="2510"/>
      <c r="EX82" s="2510"/>
      <c r="EY82" s="2472"/>
      <c r="EZ82" s="2510"/>
      <c r="FA82" s="2510"/>
      <c r="FB82" s="2510"/>
      <c r="FC82" s="2510"/>
      <c r="FD82" s="2510"/>
      <c r="FE82" s="2510"/>
      <c r="FF82" s="2472"/>
      <c r="FG82" s="2510"/>
      <c r="FH82" s="2472"/>
      <c r="FI82" s="2510"/>
      <c r="FJ82" s="2510"/>
      <c r="FK82" s="2510"/>
      <c r="FL82" s="2510"/>
      <c r="FM82" s="2510"/>
      <c r="FN82" s="2510"/>
      <c r="FO82" s="2510"/>
      <c r="FP82" s="2510"/>
      <c r="FQ82" s="2510"/>
      <c r="FR82" s="2510"/>
      <c r="FS82" s="2510"/>
      <c r="FT82" s="2510"/>
      <c r="FU82" s="2510"/>
      <c r="FV82" s="2510"/>
      <c r="FW82" s="2510"/>
      <c r="FX82" s="2510"/>
      <c r="FY82" s="2510"/>
      <c r="FZ82" s="2510"/>
      <c r="GA82" s="2510"/>
      <c r="GB82" s="2510"/>
      <c r="GC82" s="2510"/>
      <c r="GD82" s="2510"/>
      <c r="GE82" s="2510"/>
      <c r="GF82" s="2510"/>
      <c r="GG82" s="2510"/>
      <c r="GH82" s="2510"/>
      <c r="GI82" s="2510"/>
      <c r="GJ82" s="2472"/>
      <c r="GK82" s="2510"/>
      <c r="GL82" s="2510"/>
      <c r="GM82" s="2510"/>
      <c r="GN82" s="2510"/>
      <c r="GO82" s="2510"/>
      <c r="GP82" s="2510"/>
      <c r="GQ82" s="2510"/>
      <c r="GR82" s="2510"/>
      <c r="GS82" s="2510"/>
      <c r="GT82" s="2510"/>
      <c r="GU82" s="2510"/>
      <c r="GV82" s="2510"/>
      <c r="GW82" s="2510"/>
      <c r="GX82" s="2472"/>
      <c r="GY82" s="2510"/>
      <c r="GZ82" s="2510"/>
      <c r="HA82" s="2510"/>
      <c r="HB82" s="2472"/>
      <c r="HC82" s="2472"/>
      <c r="HD82" s="2510"/>
      <c r="HE82" s="2510"/>
      <c r="HF82" s="2510"/>
      <c r="HG82" s="2510"/>
      <c r="HH82" s="2510"/>
      <c r="HI82" s="2510"/>
      <c r="HJ82" s="2510"/>
      <c r="HK82" s="2510"/>
      <c r="HL82" s="2510"/>
      <c r="HM82" s="2510"/>
      <c r="HN82" s="2510"/>
      <c r="HO82" s="2472"/>
      <c r="HP82" s="2510"/>
      <c r="HQ82" s="2510"/>
      <c r="HR82" s="2510"/>
      <c r="HS82" s="2510"/>
      <c r="HT82" s="2510"/>
      <c r="HU82" s="2510"/>
      <c r="HV82" s="2510"/>
      <c r="HW82" s="2510"/>
      <c r="HX82" s="2510"/>
      <c r="HY82" s="2510"/>
      <c r="HZ82" s="2510"/>
      <c r="IA82" s="2510"/>
      <c r="IB82" s="2510"/>
      <c r="IC82" s="2510"/>
      <c r="ID82" s="2510"/>
      <c r="IE82" s="2510"/>
      <c r="IF82" s="2510"/>
      <c r="IG82" s="2510"/>
      <c r="IH82" s="2510"/>
      <c r="II82" s="2510"/>
      <c r="IJ82" s="2510"/>
      <c r="IK82" s="2510"/>
      <c r="IL82" s="2510"/>
      <c r="IM82" s="2510"/>
      <c r="IN82" s="2510"/>
      <c r="IO82" s="2510"/>
      <c r="IP82" s="2510"/>
      <c r="IQ82" s="2510"/>
      <c r="IR82" s="2510"/>
      <c r="IS82" s="2510"/>
      <c r="IT82" s="2510"/>
      <c r="IU82" s="2510"/>
      <c r="IV82" s="2510"/>
      <c r="IW82" s="2510"/>
      <c r="IX82" s="2510"/>
      <c r="IY82" s="2510"/>
      <c r="IZ82" s="2510"/>
      <c r="JA82" s="2510"/>
      <c r="JB82" s="2510"/>
      <c r="JC82" s="2510"/>
      <c r="JD82" s="2510"/>
      <c r="JE82" s="2510"/>
      <c r="JF82" s="2510"/>
      <c r="JG82" s="2479"/>
      <c r="JH82" s="1233"/>
      <c r="JI82" s="2248" t="s">
        <v>8855</v>
      </c>
      <c r="JJ82" s="2248" t="s">
        <v>6127</v>
      </c>
    </row>
    <row r="83" spans="1:270" x14ac:dyDescent="0.2">
      <c r="A83" s="1128">
        <v>40</v>
      </c>
      <c r="B83" s="1347" t="str">
        <f si="4" t="shared"/>
        <v/>
      </c>
      <c r="C83" s="1278" t="s">
        <v>3526</v>
      </c>
      <c r="D83" s="1350" t="s">
        <v>5510</v>
      </c>
      <c r="E83" s="2472"/>
      <c r="F83" s="2472"/>
      <c r="G83" s="2472"/>
      <c r="H83" s="2472"/>
      <c r="I83" s="2472"/>
      <c r="J83" s="2511"/>
      <c r="K83" s="2472"/>
      <c r="L83" s="2472"/>
      <c r="M83" s="2472"/>
      <c r="N83" s="2472"/>
      <c r="O83" s="2509"/>
      <c r="P83" s="2509"/>
      <c r="Q83" s="2472"/>
      <c r="R83" s="2509"/>
      <c r="S83" s="2472"/>
      <c r="T83" s="2510"/>
      <c r="U83" s="2510"/>
      <c r="V83" s="2510"/>
      <c r="W83" s="2510"/>
      <c r="X83" s="2510"/>
      <c r="Y83" s="2510"/>
      <c r="Z83" s="2510"/>
      <c r="AA83" s="2510"/>
      <c r="AB83" s="2510"/>
      <c r="AC83" s="2472"/>
      <c r="AD83" s="2841"/>
      <c r="AE83" s="2841"/>
      <c r="AF83" s="2841"/>
      <c r="AG83" s="2841"/>
      <c r="AH83" s="2841"/>
      <c r="AI83" s="2510"/>
      <c r="AJ83" s="2472"/>
      <c r="AK83" s="2510"/>
      <c r="AL83" s="2472"/>
      <c r="AM83" s="2510"/>
      <c r="AN83" s="2510"/>
      <c r="AO83" s="2510"/>
      <c r="AP83" s="2510"/>
      <c r="AQ83" s="2510"/>
      <c r="AR83" s="2510"/>
      <c r="AS83" s="2510"/>
      <c r="AT83" s="2510"/>
      <c r="AU83" s="2510"/>
      <c r="AV83" s="2472"/>
      <c r="AW83" s="2510"/>
      <c r="AX83" s="2510"/>
      <c r="AY83" s="2510"/>
      <c r="AZ83" s="2510"/>
      <c r="BA83" s="2510"/>
      <c r="BB83" s="2510"/>
      <c r="BC83" s="2510"/>
      <c r="BD83" s="2510"/>
      <c r="BE83" s="2510"/>
      <c r="BF83" s="2510"/>
      <c r="BG83" s="2510"/>
      <c r="BH83" s="3956"/>
      <c r="BI83" s="3956"/>
      <c r="BJ83" s="2472"/>
      <c r="BK83" s="2510"/>
      <c r="BL83" s="2510"/>
      <c r="BM83" s="2510"/>
      <c r="BN83" s="2510"/>
      <c r="BO83" s="2510"/>
      <c r="BP83" s="2472"/>
      <c r="BQ83" s="2510"/>
      <c r="BR83" s="2510"/>
      <c r="BS83" s="2510"/>
      <c r="BT83" s="2510"/>
      <c r="BU83" s="2510"/>
      <c r="BV83" s="2510"/>
      <c r="BW83" s="2510"/>
      <c r="BX83" s="2510"/>
      <c r="BY83" s="2510"/>
      <c r="BZ83" s="2510"/>
      <c r="CA83" s="2510"/>
      <c r="CB83" s="2472"/>
      <c r="CC83" s="2510"/>
      <c r="CD83" s="2510"/>
      <c r="CE83" s="2510"/>
      <c r="CF83" s="2472"/>
      <c r="CG83" s="2510"/>
      <c r="CH83" s="2472"/>
      <c r="CI83" s="2510"/>
      <c r="CJ83" s="2510"/>
      <c r="CK83" s="2510"/>
      <c r="CL83" s="2472"/>
      <c r="CM83" s="2510"/>
      <c r="CN83" s="2510"/>
      <c r="CO83" s="2510"/>
      <c r="CP83" s="2510"/>
      <c r="CQ83" s="2510"/>
      <c r="CR83" s="2472"/>
      <c r="CS83" s="2472"/>
      <c r="CT83" s="2510"/>
      <c r="CU83" s="2472"/>
      <c r="CV83" s="2472"/>
      <c r="CW83" s="2510"/>
      <c r="CX83" s="2510"/>
      <c r="CY83" s="2510"/>
      <c r="CZ83" s="2510"/>
      <c r="DA83" s="2510"/>
      <c r="DB83" s="2510"/>
      <c r="DC83" s="2472"/>
      <c r="DD83" s="2510"/>
      <c r="DE83" s="2510"/>
      <c r="DF83" s="2510"/>
      <c r="DG83" s="2510"/>
      <c r="DH83" s="2510"/>
      <c r="DI83" s="2510"/>
      <c r="DJ83" s="2472"/>
      <c r="DK83" s="2510"/>
      <c r="DL83" s="2510"/>
      <c r="DM83" s="2510"/>
      <c r="DN83" s="2510"/>
      <c r="DO83" s="2472"/>
      <c r="DP83" s="2510"/>
      <c r="DQ83" s="2510"/>
      <c r="DR83" s="2510"/>
      <c r="DS83" s="2510"/>
      <c r="DT83" s="2510"/>
      <c r="DU83" s="2510"/>
      <c r="DV83" s="2510"/>
      <c r="DW83" s="2510"/>
      <c r="DX83" s="2510"/>
      <c r="DY83" s="2510"/>
      <c r="DZ83" s="2510"/>
      <c r="EA83" s="2510"/>
      <c r="EB83" s="2510"/>
      <c r="EC83" s="2510"/>
      <c r="ED83" s="2510"/>
      <c r="EE83" s="2510"/>
      <c r="EF83" s="2472"/>
      <c r="EG83" s="2472"/>
      <c r="EH83" s="2510"/>
      <c r="EI83" s="2472"/>
      <c r="EJ83" s="2510"/>
      <c r="EK83" s="2510"/>
      <c r="EL83" s="2510"/>
      <c r="EM83" s="2472"/>
      <c r="EN83" s="2510"/>
      <c r="EO83" s="2510"/>
      <c r="EP83" s="2510"/>
      <c r="EQ83" s="2510"/>
      <c r="ER83" s="2510"/>
      <c r="ES83" s="2510"/>
      <c r="ET83" s="2510"/>
      <c r="EU83" s="2510"/>
      <c r="EV83" s="2510"/>
      <c r="EW83" s="2510"/>
      <c r="EX83" s="2510"/>
      <c r="EY83" s="2472"/>
      <c r="EZ83" s="2510"/>
      <c r="FA83" s="2510"/>
      <c r="FB83" s="2510"/>
      <c r="FC83" s="2510"/>
      <c r="FD83" s="2510"/>
      <c r="FE83" s="2510"/>
      <c r="FF83" s="2472"/>
      <c r="FG83" s="2510"/>
      <c r="FH83" s="2472"/>
      <c r="FI83" s="2510"/>
      <c r="FJ83" s="2510"/>
      <c r="FK83" s="2510"/>
      <c r="FL83" s="2510"/>
      <c r="FM83" s="2510"/>
      <c r="FN83" s="2510"/>
      <c r="FO83" s="2510"/>
      <c r="FP83" s="2510"/>
      <c r="FQ83" s="2510"/>
      <c r="FR83" s="2510"/>
      <c r="FS83" s="2510"/>
      <c r="FT83" s="2510"/>
      <c r="FU83" s="2510"/>
      <c r="FV83" s="2510"/>
      <c r="FW83" s="2510"/>
      <c r="FX83" s="2510"/>
      <c r="FY83" s="2510"/>
      <c r="FZ83" s="2510"/>
      <c r="GA83" s="2510"/>
      <c r="GB83" s="2510"/>
      <c r="GC83" s="2510"/>
      <c r="GD83" s="2510"/>
      <c r="GE83" s="2510"/>
      <c r="GF83" s="2510"/>
      <c r="GG83" s="2510"/>
      <c r="GH83" s="2510"/>
      <c r="GI83" s="2510"/>
      <c r="GJ83" s="2472"/>
      <c r="GK83" s="2510"/>
      <c r="GL83" s="2510"/>
      <c r="GM83" s="2510"/>
      <c r="GN83" s="2510"/>
      <c r="GO83" s="2510"/>
      <c r="GP83" s="2510"/>
      <c r="GQ83" s="2510"/>
      <c r="GR83" s="2510"/>
      <c r="GS83" s="2510"/>
      <c r="GT83" s="2510"/>
      <c r="GU83" s="2510"/>
      <c r="GV83" s="2510"/>
      <c r="GW83" s="2510"/>
      <c r="GX83" s="2472"/>
      <c r="GY83" s="2510"/>
      <c r="GZ83" s="2510"/>
      <c r="HA83" s="2510"/>
      <c r="HB83" s="2472"/>
      <c r="HC83" s="2472"/>
      <c r="HD83" s="2510"/>
      <c r="HE83" s="2510"/>
      <c r="HF83" s="2510"/>
      <c r="HG83" s="2510"/>
      <c r="HH83" s="2510"/>
      <c r="HI83" s="2510"/>
      <c r="HJ83" s="2510"/>
      <c r="HK83" s="2510"/>
      <c r="HL83" s="2510"/>
      <c r="HM83" s="2510"/>
      <c r="HN83" s="2510"/>
      <c r="HO83" s="2472"/>
      <c r="HP83" s="2510"/>
      <c r="HQ83" s="2510"/>
      <c r="HR83" s="2510"/>
      <c r="HS83" s="2510"/>
      <c r="HT83" s="2510"/>
      <c r="HU83" s="2510"/>
      <c r="HV83" s="2510"/>
      <c r="HW83" s="2510"/>
      <c r="HX83" s="2510"/>
      <c r="HY83" s="2510"/>
      <c r="HZ83" s="2510"/>
      <c r="IA83" s="2510"/>
      <c r="IB83" s="2510"/>
      <c r="IC83" s="2510"/>
      <c r="ID83" s="2510"/>
      <c r="IE83" s="2510"/>
      <c r="IF83" s="2510"/>
      <c r="IG83" s="2510"/>
      <c r="IH83" s="2510"/>
      <c r="II83" s="2510"/>
      <c r="IJ83" s="2510"/>
      <c r="IK83" s="2510"/>
      <c r="IL83" s="2510"/>
      <c r="IM83" s="2510"/>
      <c r="IN83" s="2510"/>
      <c r="IO83" s="2510"/>
      <c r="IP83" s="2510"/>
      <c r="IQ83" s="2510"/>
      <c r="IR83" s="2510"/>
      <c r="IS83" s="2510"/>
      <c r="IT83" s="2510"/>
      <c r="IU83" s="2510"/>
      <c r="IV83" s="2510"/>
      <c r="IW83" s="2510"/>
      <c r="IX83" s="2510"/>
      <c r="IY83" s="2510"/>
      <c r="IZ83" s="2510"/>
      <c r="JA83" s="2510"/>
      <c r="JB83" s="2510"/>
      <c r="JC83" s="2510"/>
      <c r="JD83" s="2510"/>
      <c r="JE83" s="2510"/>
      <c r="JF83" s="2510"/>
      <c r="JG83" s="2479"/>
      <c r="JH83" s="1233"/>
      <c r="JI83" s="2248" t="s">
        <v>8855</v>
      </c>
      <c r="JJ83" s="2248" t="s">
        <v>6108</v>
      </c>
    </row>
    <row r="84" spans="1:270" x14ac:dyDescent="0.2">
      <c r="A84" s="1128">
        <v>41</v>
      </c>
      <c r="B84" s="1347" t="str">
        <f si="4" t="shared"/>
        <v/>
      </c>
      <c r="C84" s="1278" t="s">
        <v>2671</v>
      </c>
      <c r="D84" s="1350" t="s">
        <v>5511</v>
      </c>
      <c r="E84" s="2472"/>
      <c r="F84" s="2472"/>
      <c r="G84" s="2472"/>
      <c r="H84" s="2472"/>
      <c r="I84" s="2472"/>
      <c r="J84" s="2511"/>
      <c r="K84" s="2472"/>
      <c r="L84" s="2472"/>
      <c r="M84" s="2472"/>
      <c r="N84" s="2472"/>
      <c r="O84" s="2509"/>
      <c r="P84" s="2509"/>
      <c r="Q84" s="2472"/>
      <c r="R84" s="2509"/>
      <c r="S84" s="2472"/>
      <c r="T84" s="2510"/>
      <c r="U84" s="2510"/>
      <c r="V84" s="2510"/>
      <c r="W84" s="2510"/>
      <c r="X84" s="2510"/>
      <c r="Y84" s="2510"/>
      <c r="Z84" s="2510"/>
      <c r="AA84" s="2510"/>
      <c r="AB84" s="2510"/>
      <c r="AC84" s="2472"/>
      <c r="AD84" s="2841"/>
      <c r="AE84" s="2841"/>
      <c r="AF84" s="2841"/>
      <c r="AG84" s="2841"/>
      <c r="AH84" s="2841"/>
      <c r="AI84" s="2510"/>
      <c r="AJ84" s="2472"/>
      <c r="AK84" s="2510"/>
      <c r="AL84" s="2472"/>
      <c r="AM84" s="2510"/>
      <c r="AN84" s="2510"/>
      <c r="AO84" s="2510"/>
      <c r="AP84" s="2510"/>
      <c r="AQ84" s="2510"/>
      <c r="AR84" s="2510"/>
      <c r="AS84" s="2510"/>
      <c r="AT84" s="2510"/>
      <c r="AU84" s="2510"/>
      <c r="AV84" s="2472"/>
      <c r="AW84" s="2510"/>
      <c r="AX84" s="2510"/>
      <c r="AY84" s="2510"/>
      <c r="AZ84" s="2510"/>
      <c r="BA84" s="2510"/>
      <c r="BB84" s="2510"/>
      <c r="BC84" s="2510"/>
      <c r="BD84" s="2510"/>
      <c r="BE84" s="2510"/>
      <c r="BF84" s="2510"/>
      <c r="BG84" s="2510"/>
      <c r="BH84" s="3956"/>
      <c r="BI84" s="3956"/>
      <c r="BJ84" s="2472"/>
      <c r="BK84" s="2510"/>
      <c r="BL84" s="2510"/>
      <c r="BM84" s="2510"/>
      <c r="BN84" s="2510"/>
      <c r="BO84" s="2510"/>
      <c r="BP84" s="2472"/>
      <c r="BQ84" s="2510"/>
      <c r="BR84" s="2510"/>
      <c r="BS84" s="2510"/>
      <c r="BT84" s="2510"/>
      <c r="BU84" s="2510"/>
      <c r="BV84" s="2510"/>
      <c r="BW84" s="2510"/>
      <c r="BX84" s="2510"/>
      <c r="BY84" s="2510"/>
      <c r="BZ84" s="2510"/>
      <c r="CA84" s="2510"/>
      <c r="CB84" s="2472"/>
      <c r="CC84" s="2510"/>
      <c r="CD84" s="2510"/>
      <c r="CE84" s="2510"/>
      <c r="CF84" s="2472"/>
      <c r="CG84" s="2510"/>
      <c r="CH84" s="2472"/>
      <c r="CI84" s="2510"/>
      <c r="CJ84" s="2510"/>
      <c r="CK84" s="2510"/>
      <c r="CL84" s="2472"/>
      <c r="CM84" s="2510"/>
      <c r="CN84" s="2510"/>
      <c r="CO84" s="2510"/>
      <c r="CP84" s="2510"/>
      <c r="CQ84" s="2510"/>
      <c r="CR84" s="2472"/>
      <c r="CS84" s="2472"/>
      <c r="CT84" s="2510"/>
      <c r="CU84" s="2472"/>
      <c r="CV84" s="2472"/>
      <c r="CW84" s="2510"/>
      <c r="CX84" s="2510"/>
      <c r="CY84" s="2510"/>
      <c r="CZ84" s="2510"/>
      <c r="DA84" s="2510"/>
      <c r="DB84" s="2510"/>
      <c r="DC84" s="2472"/>
      <c r="DD84" s="2510"/>
      <c r="DE84" s="2510"/>
      <c r="DF84" s="2510"/>
      <c r="DG84" s="2510"/>
      <c r="DH84" s="2510"/>
      <c r="DI84" s="2510"/>
      <c r="DJ84" s="2472"/>
      <c r="DK84" s="2510"/>
      <c r="DL84" s="2510"/>
      <c r="DM84" s="2510"/>
      <c r="DN84" s="2510"/>
      <c r="DO84" s="2472"/>
      <c r="DP84" s="2510"/>
      <c r="DQ84" s="2510"/>
      <c r="DR84" s="2510"/>
      <c r="DS84" s="2510"/>
      <c r="DT84" s="2510"/>
      <c r="DU84" s="2510"/>
      <c r="DV84" s="2510"/>
      <c r="DW84" s="2510"/>
      <c r="DX84" s="2510"/>
      <c r="DY84" s="2510"/>
      <c r="DZ84" s="2510"/>
      <c r="EA84" s="2510"/>
      <c r="EB84" s="2510"/>
      <c r="EC84" s="2510"/>
      <c r="ED84" s="2510"/>
      <c r="EE84" s="2510"/>
      <c r="EF84" s="2472"/>
      <c r="EG84" s="2472"/>
      <c r="EH84" s="2510"/>
      <c r="EI84" s="2472"/>
      <c r="EJ84" s="2510"/>
      <c r="EK84" s="2510"/>
      <c r="EL84" s="2510"/>
      <c r="EM84" s="2472"/>
      <c r="EN84" s="2510"/>
      <c r="EO84" s="2510"/>
      <c r="EP84" s="2510"/>
      <c r="EQ84" s="2510"/>
      <c r="ER84" s="2510"/>
      <c r="ES84" s="2510"/>
      <c r="ET84" s="2510"/>
      <c r="EU84" s="2510"/>
      <c r="EV84" s="2510"/>
      <c r="EW84" s="2510"/>
      <c r="EX84" s="2510"/>
      <c r="EY84" s="2472"/>
      <c r="EZ84" s="2510"/>
      <c r="FA84" s="2510"/>
      <c r="FB84" s="2510"/>
      <c r="FC84" s="2510"/>
      <c r="FD84" s="2510"/>
      <c r="FE84" s="2510"/>
      <c r="FF84" s="2472"/>
      <c r="FG84" s="2510"/>
      <c r="FH84" s="2472"/>
      <c r="FI84" s="2510"/>
      <c r="FJ84" s="2510"/>
      <c r="FK84" s="2510"/>
      <c r="FL84" s="2510"/>
      <c r="FM84" s="2510"/>
      <c r="FN84" s="2510"/>
      <c r="FO84" s="2510"/>
      <c r="FP84" s="2510"/>
      <c r="FQ84" s="2510"/>
      <c r="FR84" s="2510"/>
      <c r="FS84" s="2510"/>
      <c r="FT84" s="2510"/>
      <c r="FU84" s="2510"/>
      <c r="FV84" s="2510"/>
      <c r="FW84" s="2510"/>
      <c r="FX84" s="2510"/>
      <c r="FY84" s="2510"/>
      <c r="FZ84" s="2510"/>
      <c r="GA84" s="2510"/>
      <c r="GB84" s="2510"/>
      <c r="GC84" s="2510"/>
      <c r="GD84" s="2510"/>
      <c r="GE84" s="2510"/>
      <c r="GF84" s="2510"/>
      <c r="GG84" s="2510"/>
      <c r="GH84" s="2510"/>
      <c r="GI84" s="2510"/>
      <c r="GJ84" s="2472"/>
      <c r="GK84" s="2510"/>
      <c r="GL84" s="2510"/>
      <c r="GM84" s="2510"/>
      <c r="GN84" s="2510"/>
      <c r="GO84" s="2510"/>
      <c r="GP84" s="2510"/>
      <c r="GQ84" s="2510"/>
      <c r="GR84" s="2510"/>
      <c r="GS84" s="2510"/>
      <c r="GT84" s="2510"/>
      <c r="GU84" s="2510"/>
      <c r="GV84" s="2510"/>
      <c r="GW84" s="2510"/>
      <c r="GX84" s="2472"/>
      <c r="GY84" s="2510"/>
      <c r="GZ84" s="2510"/>
      <c r="HA84" s="2510"/>
      <c r="HB84" s="2472"/>
      <c r="HC84" s="2472"/>
      <c r="HD84" s="2510"/>
      <c r="HE84" s="2510"/>
      <c r="HF84" s="2510"/>
      <c r="HG84" s="2510"/>
      <c r="HH84" s="2510"/>
      <c r="HI84" s="2510"/>
      <c r="HJ84" s="2510"/>
      <c r="HK84" s="2510"/>
      <c r="HL84" s="2510"/>
      <c r="HM84" s="2510"/>
      <c r="HN84" s="2510"/>
      <c r="HO84" s="2472"/>
      <c r="HP84" s="2510"/>
      <c r="HQ84" s="2510"/>
      <c r="HR84" s="2510"/>
      <c r="HS84" s="2510"/>
      <c r="HT84" s="2510"/>
      <c r="HU84" s="2510"/>
      <c r="HV84" s="2510"/>
      <c r="HW84" s="2510"/>
      <c r="HX84" s="2510"/>
      <c r="HY84" s="2510"/>
      <c r="HZ84" s="2510"/>
      <c r="IA84" s="2510"/>
      <c r="IB84" s="2510"/>
      <c r="IC84" s="2510"/>
      <c r="ID84" s="2510"/>
      <c r="IE84" s="2510"/>
      <c r="IF84" s="2510"/>
      <c r="IG84" s="2510"/>
      <c r="IH84" s="2510"/>
      <c r="II84" s="2510"/>
      <c r="IJ84" s="2510"/>
      <c r="IK84" s="2510"/>
      <c r="IL84" s="2510"/>
      <c r="IM84" s="2510"/>
      <c r="IN84" s="2510"/>
      <c r="IO84" s="2510"/>
      <c r="IP84" s="2510"/>
      <c r="IQ84" s="2510"/>
      <c r="IR84" s="2510"/>
      <c r="IS84" s="2510"/>
      <c r="IT84" s="2510"/>
      <c r="IU84" s="2510"/>
      <c r="IV84" s="2510"/>
      <c r="IW84" s="2510"/>
      <c r="IX84" s="2510"/>
      <c r="IY84" s="2510"/>
      <c r="IZ84" s="2510"/>
      <c r="JA84" s="2510"/>
      <c r="JB84" s="2510"/>
      <c r="JC84" s="2510"/>
      <c r="JD84" s="2510"/>
      <c r="JE84" s="2510"/>
      <c r="JF84" s="2510"/>
      <c r="JG84" s="2479"/>
      <c r="JH84" s="1233"/>
      <c r="JI84" s="2248" t="s">
        <v>8855</v>
      </c>
      <c r="JJ84" s="2248" t="s">
        <v>6108</v>
      </c>
    </row>
    <row r="85" spans="1:270" x14ac:dyDescent="0.2">
      <c r="A85" s="1128">
        <v>42</v>
      </c>
      <c r="B85" s="1347" t="str">
        <f si="4" t="shared"/>
        <v/>
      </c>
      <c r="C85" s="1278" t="s">
        <v>2672</v>
      </c>
      <c r="D85" s="1350" t="s">
        <v>5512</v>
      </c>
      <c r="E85" s="2472"/>
      <c r="F85" s="2472"/>
      <c r="G85" s="2472"/>
      <c r="H85" s="2472"/>
      <c r="I85" s="2472"/>
      <c r="J85" s="2511"/>
      <c r="K85" s="2472"/>
      <c r="L85" s="2472"/>
      <c r="M85" s="2472"/>
      <c r="N85" s="2472"/>
      <c r="O85" s="2509"/>
      <c r="P85" s="2509"/>
      <c r="Q85" s="2472"/>
      <c r="R85" s="2509"/>
      <c r="S85" s="2472"/>
      <c r="T85" s="2510"/>
      <c r="U85" s="2510"/>
      <c r="V85" s="2510"/>
      <c r="W85" s="2510"/>
      <c r="X85" s="2510"/>
      <c r="Y85" s="2510"/>
      <c r="Z85" s="2510"/>
      <c r="AA85" s="2510"/>
      <c r="AB85" s="2510"/>
      <c r="AC85" s="2472"/>
      <c r="AD85" s="2841"/>
      <c r="AE85" s="2841"/>
      <c r="AF85" s="2841"/>
      <c r="AG85" s="2841"/>
      <c r="AH85" s="2841"/>
      <c r="AI85" s="2510"/>
      <c r="AJ85" s="2472"/>
      <c r="AK85" s="2510"/>
      <c r="AL85" s="2472"/>
      <c r="AM85" s="2510"/>
      <c r="AN85" s="2510"/>
      <c r="AO85" s="2510"/>
      <c r="AP85" s="2510"/>
      <c r="AQ85" s="2510"/>
      <c r="AR85" s="2510"/>
      <c r="AS85" s="2510"/>
      <c r="AT85" s="2510"/>
      <c r="AU85" s="2510"/>
      <c r="AV85" s="2472"/>
      <c r="AW85" s="2510"/>
      <c r="AX85" s="2510"/>
      <c r="AY85" s="2510"/>
      <c r="AZ85" s="2510"/>
      <c r="BA85" s="2510"/>
      <c r="BB85" s="2510"/>
      <c r="BC85" s="2510"/>
      <c r="BD85" s="2510"/>
      <c r="BE85" s="2510"/>
      <c r="BF85" s="2510"/>
      <c r="BG85" s="2510"/>
      <c r="BH85" s="3956"/>
      <c r="BI85" s="3956"/>
      <c r="BJ85" s="2472"/>
      <c r="BK85" s="2510"/>
      <c r="BL85" s="2510"/>
      <c r="BM85" s="2510"/>
      <c r="BN85" s="2510"/>
      <c r="BO85" s="2510"/>
      <c r="BP85" s="2472"/>
      <c r="BQ85" s="2510"/>
      <c r="BR85" s="2510"/>
      <c r="BS85" s="2510"/>
      <c r="BT85" s="2510"/>
      <c r="BU85" s="2510"/>
      <c r="BV85" s="2510"/>
      <c r="BW85" s="2510"/>
      <c r="BX85" s="2510"/>
      <c r="BY85" s="2510"/>
      <c r="BZ85" s="2510"/>
      <c r="CA85" s="2510"/>
      <c r="CB85" s="2472"/>
      <c r="CC85" s="2510"/>
      <c r="CD85" s="2510"/>
      <c r="CE85" s="2510"/>
      <c r="CF85" s="2472"/>
      <c r="CG85" s="2510"/>
      <c r="CH85" s="2472"/>
      <c r="CI85" s="2510"/>
      <c r="CJ85" s="2510"/>
      <c r="CK85" s="2510"/>
      <c r="CL85" s="2472"/>
      <c r="CM85" s="2510"/>
      <c r="CN85" s="2510"/>
      <c r="CO85" s="2510"/>
      <c r="CP85" s="2510"/>
      <c r="CQ85" s="2510"/>
      <c r="CR85" s="2472"/>
      <c r="CS85" s="2472"/>
      <c r="CT85" s="2510"/>
      <c r="CU85" s="2472"/>
      <c r="CV85" s="2472"/>
      <c r="CW85" s="2510"/>
      <c r="CX85" s="2510"/>
      <c r="CY85" s="2510"/>
      <c r="CZ85" s="2510"/>
      <c r="DA85" s="2510"/>
      <c r="DB85" s="2510"/>
      <c r="DC85" s="2472"/>
      <c r="DD85" s="2510"/>
      <c r="DE85" s="2510"/>
      <c r="DF85" s="2510"/>
      <c r="DG85" s="2510"/>
      <c r="DH85" s="2510"/>
      <c r="DI85" s="2510"/>
      <c r="DJ85" s="2472"/>
      <c r="DK85" s="2510"/>
      <c r="DL85" s="2510"/>
      <c r="DM85" s="2510"/>
      <c r="DN85" s="2510"/>
      <c r="DO85" s="2472"/>
      <c r="DP85" s="2510"/>
      <c r="DQ85" s="2510"/>
      <c r="DR85" s="2510"/>
      <c r="DS85" s="2510"/>
      <c r="DT85" s="2510"/>
      <c r="DU85" s="2510"/>
      <c r="DV85" s="2510"/>
      <c r="DW85" s="2510"/>
      <c r="DX85" s="2510"/>
      <c r="DY85" s="2510"/>
      <c r="DZ85" s="2510"/>
      <c r="EA85" s="2510"/>
      <c r="EB85" s="2510"/>
      <c r="EC85" s="2510"/>
      <c r="ED85" s="2510"/>
      <c r="EE85" s="2510"/>
      <c r="EF85" s="2472"/>
      <c r="EG85" s="2472"/>
      <c r="EH85" s="2510"/>
      <c r="EI85" s="2472"/>
      <c r="EJ85" s="2510"/>
      <c r="EK85" s="2510"/>
      <c r="EL85" s="2510"/>
      <c r="EM85" s="2472"/>
      <c r="EN85" s="2510"/>
      <c r="EO85" s="2510"/>
      <c r="EP85" s="2510"/>
      <c r="EQ85" s="2510"/>
      <c r="ER85" s="2510"/>
      <c r="ES85" s="2510"/>
      <c r="ET85" s="2510"/>
      <c r="EU85" s="2510"/>
      <c r="EV85" s="2510"/>
      <c r="EW85" s="2510"/>
      <c r="EX85" s="2510"/>
      <c r="EY85" s="2472"/>
      <c r="EZ85" s="2510"/>
      <c r="FA85" s="2510"/>
      <c r="FB85" s="2510"/>
      <c r="FC85" s="2510"/>
      <c r="FD85" s="2510"/>
      <c r="FE85" s="2510"/>
      <c r="FF85" s="2472"/>
      <c r="FG85" s="2510"/>
      <c r="FH85" s="2472"/>
      <c r="FI85" s="2510"/>
      <c r="FJ85" s="2510"/>
      <c r="FK85" s="2510"/>
      <c r="FL85" s="2510"/>
      <c r="FM85" s="2510"/>
      <c r="FN85" s="2510"/>
      <c r="FO85" s="2510"/>
      <c r="FP85" s="2510"/>
      <c r="FQ85" s="2510"/>
      <c r="FR85" s="2510"/>
      <c r="FS85" s="2510"/>
      <c r="FT85" s="2510"/>
      <c r="FU85" s="2510"/>
      <c r="FV85" s="2510"/>
      <c r="FW85" s="2510"/>
      <c r="FX85" s="2510"/>
      <c r="FY85" s="2510"/>
      <c r="FZ85" s="2510"/>
      <c r="GA85" s="2510"/>
      <c r="GB85" s="2510"/>
      <c r="GC85" s="2510"/>
      <c r="GD85" s="2510"/>
      <c r="GE85" s="2510"/>
      <c r="GF85" s="2510"/>
      <c r="GG85" s="2510"/>
      <c r="GH85" s="2510"/>
      <c r="GI85" s="2510"/>
      <c r="GJ85" s="2472"/>
      <c r="GK85" s="2510"/>
      <c r="GL85" s="2510"/>
      <c r="GM85" s="2510"/>
      <c r="GN85" s="2510"/>
      <c r="GO85" s="2510"/>
      <c r="GP85" s="2510"/>
      <c r="GQ85" s="2510"/>
      <c r="GR85" s="2510"/>
      <c r="GS85" s="2510"/>
      <c r="GT85" s="2510"/>
      <c r="GU85" s="2510"/>
      <c r="GV85" s="2510"/>
      <c r="GW85" s="2510"/>
      <c r="GX85" s="2472"/>
      <c r="GY85" s="2510"/>
      <c r="GZ85" s="2510"/>
      <c r="HA85" s="2510"/>
      <c r="HB85" s="2472"/>
      <c r="HC85" s="2472"/>
      <c r="HD85" s="2510"/>
      <c r="HE85" s="2510"/>
      <c r="HF85" s="2510"/>
      <c r="HG85" s="2510"/>
      <c r="HH85" s="2510"/>
      <c r="HI85" s="2510"/>
      <c r="HJ85" s="2510"/>
      <c r="HK85" s="2510"/>
      <c r="HL85" s="2510"/>
      <c r="HM85" s="2510"/>
      <c r="HN85" s="2510"/>
      <c r="HO85" s="2472"/>
      <c r="HP85" s="2510"/>
      <c r="HQ85" s="2510"/>
      <c r="HR85" s="2510"/>
      <c r="HS85" s="2510"/>
      <c r="HT85" s="2510"/>
      <c r="HU85" s="2510"/>
      <c r="HV85" s="2510"/>
      <c r="HW85" s="2510"/>
      <c r="HX85" s="2510"/>
      <c r="HY85" s="2510"/>
      <c r="HZ85" s="2510"/>
      <c r="IA85" s="2510"/>
      <c r="IB85" s="2510"/>
      <c r="IC85" s="2510"/>
      <c r="ID85" s="2510"/>
      <c r="IE85" s="2510"/>
      <c r="IF85" s="2510"/>
      <c r="IG85" s="2510"/>
      <c r="IH85" s="2510"/>
      <c r="II85" s="2510"/>
      <c r="IJ85" s="2510"/>
      <c r="IK85" s="2510"/>
      <c r="IL85" s="2510"/>
      <c r="IM85" s="2510"/>
      <c r="IN85" s="2510"/>
      <c r="IO85" s="2510"/>
      <c r="IP85" s="2510"/>
      <c r="IQ85" s="2510"/>
      <c r="IR85" s="2510"/>
      <c r="IS85" s="2510"/>
      <c r="IT85" s="2510"/>
      <c r="IU85" s="2510"/>
      <c r="IV85" s="2510"/>
      <c r="IW85" s="2510"/>
      <c r="IX85" s="2510"/>
      <c r="IY85" s="2510"/>
      <c r="IZ85" s="2510"/>
      <c r="JA85" s="2510"/>
      <c r="JB85" s="2510"/>
      <c r="JC85" s="2510"/>
      <c r="JD85" s="2510"/>
      <c r="JE85" s="2510"/>
      <c r="JF85" s="2510"/>
      <c r="JG85" s="2479"/>
      <c r="JH85" s="1233"/>
      <c r="JI85" s="2248" t="s">
        <v>8855</v>
      </c>
      <c r="JJ85" s="2248" t="s">
        <v>6127</v>
      </c>
    </row>
    <row r="86" spans="1:270" x14ac:dyDescent="0.2">
      <c r="A86" s="1128">
        <v>43</v>
      </c>
      <c r="B86" s="1347" t="str">
        <f si="4" t="shared"/>
        <v/>
      </c>
      <c r="C86" s="1278" t="s">
        <v>2673</v>
      </c>
      <c r="D86" s="1350" t="s">
        <v>5513</v>
      </c>
      <c r="E86" s="2472"/>
      <c r="F86" s="2472"/>
      <c r="G86" s="2472"/>
      <c r="H86" s="2472"/>
      <c r="I86" s="2472"/>
      <c r="J86" s="2511"/>
      <c r="K86" s="2472"/>
      <c r="L86" s="2472"/>
      <c r="M86" s="2472"/>
      <c r="N86" s="2472"/>
      <c r="O86" s="2509"/>
      <c r="P86" s="2509"/>
      <c r="Q86" s="2472"/>
      <c r="R86" s="2509"/>
      <c r="S86" s="2472"/>
      <c r="T86" s="2510"/>
      <c r="U86" s="2510"/>
      <c r="V86" s="2510"/>
      <c r="W86" s="2510"/>
      <c r="X86" s="2510"/>
      <c r="Y86" s="2510"/>
      <c r="Z86" s="2510"/>
      <c r="AA86" s="2510"/>
      <c r="AB86" s="2510"/>
      <c r="AC86" s="2472"/>
      <c r="AD86" s="2841"/>
      <c r="AE86" s="2841"/>
      <c r="AF86" s="2841"/>
      <c r="AG86" s="2841"/>
      <c r="AH86" s="2841"/>
      <c r="AI86" s="2510"/>
      <c r="AJ86" s="2472"/>
      <c r="AK86" s="2510"/>
      <c r="AL86" s="2472"/>
      <c r="AM86" s="2510"/>
      <c r="AN86" s="2510"/>
      <c r="AO86" s="2510"/>
      <c r="AP86" s="2510"/>
      <c r="AQ86" s="2510"/>
      <c r="AR86" s="2510"/>
      <c r="AS86" s="2510"/>
      <c r="AT86" s="2510"/>
      <c r="AU86" s="2510"/>
      <c r="AV86" s="2472"/>
      <c r="AW86" s="2510"/>
      <c r="AX86" s="2510"/>
      <c r="AY86" s="2510"/>
      <c r="AZ86" s="2510"/>
      <c r="BA86" s="2510"/>
      <c r="BB86" s="2510"/>
      <c r="BC86" s="2510"/>
      <c r="BD86" s="2510"/>
      <c r="BE86" s="2510"/>
      <c r="BF86" s="2510"/>
      <c r="BG86" s="2510"/>
      <c r="BH86" s="3956"/>
      <c r="BI86" s="3956"/>
      <c r="BJ86" s="2472"/>
      <c r="BK86" s="2510"/>
      <c r="BL86" s="2510"/>
      <c r="BM86" s="2510"/>
      <c r="BN86" s="2510"/>
      <c r="BO86" s="2510"/>
      <c r="BP86" s="2472"/>
      <c r="BQ86" s="2510"/>
      <c r="BR86" s="2510"/>
      <c r="BS86" s="2510"/>
      <c r="BT86" s="2510"/>
      <c r="BU86" s="2510"/>
      <c r="BV86" s="2510"/>
      <c r="BW86" s="2510"/>
      <c r="BX86" s="2510"/>
      <c r="BY86" s="2510"/>
      <c r="BZ86" s="2510"/>
      <c r="CA86" s="2510"/>
      <c r="CB86" s="2472"/>
      <c r="CC86" s="2510"/>
      <c r="CD86" s="2510"/>
      <c r="CE86" s="2510"/>
      <c r="CF86" s="2472"/>
      <c r="CG86" s="2510"/>
      <c r="CH86" s="2472"/>
      <c r="CI86" s="2510"/>
      <c r="CJ86" s="2510"/>
      <c r="CK86" s="2510"/>
      <c r="CL86" s="2472"/>
      <c r="CM86" s="2510"/>
      <c r="CN86" s="2510"/>
      <c r="CO86" s="2510"/>
      <c r="CP86" s="2510"/>
      <c r="CQ86" s="2510"/>
      <c r="CR86" s="2472"/>
      <c r="CS86" s="2472"/>
      <c r="CT86" s="2510"/>
      <c r="CU86" s="2472"/>
      <c r="CV86" s="2472"/>
      <c r="CW86" s="2510"/>
      <c r="CX86" s="2510"/>
      <c r="CY86" s="2510"/>
      <c r="CZ86" s="2510"/>
      <c r="DA86" s="2510"/>
      <c r="DB86" s="2510"/>
      <c r="DC86" s="2472"/>
      <c r="DD86" s="2510"/>
      <c r="DE86" s="2510"/>
      <c r="DF86" s="2510"/>
      <c r="DG86" s="2510"/>
      <c r="DH86" s="2510"/>
      <c r="DI86" s="2510"/>
      <c r="DJ86" s="2472"/>
      <c r="DK86" s="2510"/>
      <c r="DL86" s="2510"/>
      <c r="DM86" s="2510"/>
      <c r="DN86" s="2510"/>
      <c r="DO86" s="2472"/>
      <c r="DP86" s="2510"/>
      <c r="DQ86" s="2510"/>
      <c r="DR86" s="2510"/>
      <c r="DS86" s="2510"/>
      <c r="DT86" s="2510"/>
      <c r="DU86" s="2510"/>
      <c r="DV86" s="2510"/>
      <c r="DW86" s="2510"/>
      <c r="DX86" s="2510"/>
      <c r="DY86" s="2510"/>
      <c r="DZ86" s="2510"/>
      <c r="EA86" s="2510"/>
      <c r="EB86" s="2510"/>
      <c r="EC86" s="2510"/>
      <c r="ED86" s="2510"/>
      <c r="EE86" s="2510"/>
      <c r="EF86" s="2472"/>
      <c r="EG86" s="2472"/>
      <c r="EH86" s="2510"/>
      <c r="EI86" s="2472"/>
      <c r="EJ86" s="2510"/>
      <c r="EK86" s="2510"/>
      <c r="EL86" s="2510"/>
      <c r="EM86" s="2472"/>
      <c r="EN86" s="2510"/>
      <c r="EO86" s="2510"/>
      <c r="EP86" s="2510"/>
      <c r="EQ86" s="2510"/>
      <c r="ER86" s="2510"/>
      <c r="ES86" s="2510"/>
      <c r="ET86" s="2510"/>
      <c r="EU86" s="2510"/>
      <c r="EV86" s="2510"/>
      <c r="EW86" s="2510"/>
      <c r="EX86" s="2510"/>
      <c r="EY86" s="2472"/>
      <c r="EZ86" s="2510"/>
      <c r="FA86" s="2510"/>
      <c r="FB86" s="2510"/>
      <c r="FC86" s="2510"/>
      <c r="FD86" s="2510"/>
      <c r="FE86" s="2510"/>
      <c r="FF86" s="2472"/>
      <c r="FG86" s="2510"/>
      <c r="FH86" s="2472"/>
      <c r="FI86" s="2510"/>
      <c r="FJ86" s="2510"/>
      <c r="FK86" s="2510"/>
      <c r="FL86" s="2510"/>
      <c r="FM86" s="2510"/>
      <c r="FN86" s="2510"/>
      <c r="FO86" s="2510"/>
      <c r="FP86" s="2510"/>
      <c r="FQ86" s="2510"/>
      <c r="FR86" s="2510"/>
      <c r="FS86" s="2510"/>
      <c r="FT86" s="2510"/>
      <c r="FU86" s="2510"/>
      <c r="FV86" s="2510"/>
      <c r="FW86" s="2510"/>
      <c r="FX86" s="2510"/>
      <c r="FY86" s="2510"/>
      <c r="FZ86" s="2510"/>
      <c r="GA86" s="2510"/>
      <c r="GB86" s="2510"/>
      <c r="GC86" s="2510"/>
      <c r="GD86" s="2510"/>
      <c r="GE86" s="2510"/>
      <c r="GF86" s="2510"/>
      <c r="GG86" s="2510"/>
      <c r="GH86" s="2510"/>
      <c r="GI86" s="2510"/>
      <c r="GJ86" s="2472"/>
      <c r="GK86" s="2510"/>
      <c r="GL86" s="2510"/>
      <c r="GM86" s="2510"/>
      <c r="GN86" s="2510"/>
      <c r="GO86" s="2510"/>
      <c r="GP86" s="2510"/>
      <c r="GQ86" s="2510"/>
      <c r="GR86" s="2510"/>
      <c r="GS86" s="2510"/>
      <c r="GT86" s="2510"/>
      <c r="GU86" s="2510"/>
      <c r="GV86" s="2510"/>
      <c r="GW86" s="2510"/>
      <c r="GX86" s="2472"/>
      <c r="GY86" s="2510"/>
      <c r="GZ86" s="2510"/>
      <c r="HA86" s="2510"/>
      <c r="HB86" s="2472"/>
      <c r="HC86" s="2472"/>
      <c r="HD86" s="2510"/>
      <c r="HE86" s="2510"/>
      <c r="HF86" s="2510"/>
      <c r="HG86" s="2510"/>
      <c r="HH86" s="2510"/>
      <c r="HI86" s="2510"/>
      <c r="HJ86" s="2510"/>
      <c r="HK86" s="2510"/>
      <c r="HL86" s="2510"/>
      <c r="HM86" s="2510"/>
      <c r="HN86" s="2510"/>
      <c r="HO86" s="2472"/>
      <c r="HP86" s="2510"/>
      <c r="HQ86" s="2510"/>
      <c r="HR86" s="2510"/>
      <c r="HS86" s="2510"/>
      <c r="HT86" s="2510"/>
      <c r="HU86" s="2510"/>
      <c r="HV86" s="2510"/>
      <c r="HW86" s="2510"/>
      <c r="HX86" s="2510"/>
      <c r="HY86" s="2510"/>
      <c r="HZ86" s="2510"/>
      <c r="IA86" s="2510"/>
      <c r="IB86" s="2510"/>
      <c r="IC86" s="2510"/>
      <c r="ID86" s="2510"/>
      <c r="IE86" s="2510"/>
      <c r="IF86" s="2510"/>
      <c r="IG86" s="2510"/>
      <c r="IH86" s="2510"/>
      <c r="II86" s="2510"/>
      <c r="IJ86" s="2510"/>
      <c r="IK86" s="2510"/>
      <c r="IL86" s="2510"/>
      <c r="IM86" s="2510"/>
      <c r="IN86" s="2510"/>
      <c r="IO86" s="2510"/>
      <c r="IP86" s="2510"/>
      <c r="IQ86" s="2510"/>
      <c r="IR86" s="2510"/>
      <c r="IS86" s="2510"/>
      <c r="IT86" s="2510"/>
      <c r="IU86" s="2510"/>
      <c r="IV86" s="2510"/>
      <c r="IW86" s="2510"/>
      <c r="IX86" s="2510"/>
      <c r="IY86" s="2510"/>
      <c r="IZ86" s="2510"/>
      <c r="JA86" s="2510"/>
      <c r="JB86" s="2510"/>
      <c r="JC86" s="2510"/>
      <c r="JD86" s="2510"/>
      <c r="JE86" s="2510"/>
      <c r="JF86" s="2510"/>
      <c r="JG86" s="2479"/>
      <c r="JH86" s="1233"/>
      <c r="JI86" s="2248" t="s">
        <v>8855</v>
      </c>
      <c r="JJ86" s="2248" t="s">
        <v>6127</v>
      </c>
    </row>
    <row r="87" spans="1:270" x14ac:dyDescent="0.2">
      <c r="A87" s="1128">
        <v>44</v>
      </c>
      <c r="B87" s="1347" t="str">
        <f si="4" t="shared"/>
        <v/>
      </c>
      <c r="C87" s="1278" t="s">
        <v>2674</v>
      </c>
      <c r="D87" s="1350" t="s">
        <v>5514</v>
      </c>
      <c r="E87" s="2472"/>
      <c r="F87" s="2472"/>
      <c r="G87" s="2472"/>
      <c r="H87" s="2472"/>
      <c r="I87" s="2472"/>
      <c r="J87" s="2511"/>
      <c r="K87" s="2472"/>
      <c r="L87" s="2472"/>
      <c r="M87" s="2472"/>
      <c r="N87" s="2472"/>
      <c r="O87" s="2509"/>
      <c r="P87" s="2509"/>
      <c r="Q87" s="2472"/>
      <c r="R87" s="2509"/>
      <c r="S87" s="2472"/>
      <c r="T87" s="2510"/>
      <c r="U87" s="2510"/>
      <c r="V87" s="2510"/>
      <c r="W87" s="2510"/>
      <c r="X87" s="2510"/>
      <c r="Y87" s="2510"/>
      <c r="Z87" s="2510"/>
      <c r="AA87" s="2510"/>
      <c r="AB87" s="2510"/>
      <c r="AC87" s="2472"/>
      <c r="AD87" s="2841"/>
      <c r="AE87" s="2841"/>
      <c r="AF87" s="2841"/>
      <c r="AG87" s="2841"/>
      <c r="AH87" s="2841"/>
      <c r="AI87" s="2510"/>
      <c r="AJ87" s="2472"/>
      <c r="AK87" s="2510"/>
      <c r="AL87" s="2472"/>
      <c r="AM87" s="2510"/>
      <c r="AN87" s="2510"/>
      <c r="AO87" s="2510"/>
      <c r="AP87" s="2510"/>
      <c r="AQ87" s="2510"/>
      <c r="AR87" s="2510"/>
      <c r="AS87" s="2510"/>
      <c r="AT87" s="2510"/>
      <c r="AU87" s="2510"/>
      <c r="AV87" s="2472"/>
      <c r="AW87" s="2510"/>
      <c r="AX87" s="2510"/>
      <c r="AY87" s="2510"/>
      <c r="AZ87" s="2510"/>
      <c r="BA87" s="2510"/>
      <c r="BB87" s="2510"/>
      <c r="BC87" s="2510"/>
      <c r="BD87" s="2510"/>
      <c r="BE87" s="2510"/>
      <c r="BF87" s="2510"/>
      <c r="BG87" s="2510"/>
      <c r="BH87" s="3956"/>
      <c r="BI87" s="3956"/>
      <c r="BJ87" s="2472"/>
      <c r="BK87" s="2510"/>
      <c r="BL87" s="2510"/>
      <c r="BM87" s="2510"/>
      <c r="BN87" s="2510"/>
      <c r="BO87" s="2510"/>
      <c r="BP87" s="2472"/>
      <c r="BQ87" s="2510"/>
      <c r="BR87" s="2510"/>
      <c r="BS87" s="2510"/>
      <c r="BT87" s="2510"/>
      <c r="BU87" s="2510"/>
      <c r="BV87" s="2510"/>
      <c r="BW87" s="2510"/>
      <c r="BX87" s="2510"/>
      <c r="BY87" s="2510"/>
      <c r="BZ87" s="2510"/>
      <c r="CA87" s="2510"/>
      <c r="CB87" s="2472"/>
      <c r="CC87" s="2510"/>
      <c r="CD87" s="2510"/>
      <c r="CE87" s="2510"/>
      <c r="CF87" s="2472"/>
      <c r="CG87" s="2510"/>
      <c r="CH87" s="2472"/>
      <c r="CI87" s="2510"/>
      <c r="CJ87" s="2510"/>
      <c r="CK87" s="2510"/>
      <c r="CL87" s="2472"/>
      <c r="CM87" s="2510"/>
      <c r="CN87" s="2510"/>
      <c r="CO87" s="2510"/>
      <c r="CP87" s="2510"/>
      <c r="CQ87" s="2510"/>
      <c r="CR87" s="2472"/>
      <c r="CS87" s="2472"/>
      <c r="CT87" s="2510"/>
      <c r="CU87" s="2472"/>
      <c r="CV87" s="2472"/>
      <c r="CW87" s="2510"/>
      <c r="CX87" s="2510"/>
      <c r="CY87" s="2510"/>
      <c r="CZ87" s="2510"/>
      <c r="DA87" s="2510"/>
      <c r="DB87" s="2510"/>
      <c r="DC87" s="2472"/>
      <c r="DD87" s="2510"/>
      <c r="DE87" s="2510"/>
      <c r="DF87" s="2510"/>
      <c r="DG87" s="2510"/>
      <c r="DH87" s="2510"/>
      <c r="DI87" s="2510"/>
      <c r="DJ87" s="2472"/>
      <c r="DK87" s="2510"/>
      <c r="DL87" s="2510"/>
      <c r="DM87" s="2510"/>
      <c r="DN87" s="2510"/>
      <c r="DO87" s="2472"/>
      <c r="DP87" s="2510"/>
      <c r="DQ87" s="2510"/>
      <c r="DR87" s="2510"/>
      <c r="DS87" s="2510"/>
      <c r="DT87" s="2510"/>
      <c r="DU87" s="2510"/>
      <c r="DV87" s="2510"/>
      <c r="DW87" s="2510"/>
      <c r="DX87" s="2510"/>
      <c r="DY87" s="2510"/>
      <c r="DZ87" s="2510"/>
      <c r="EA87" s="2510"/>
      <c r="EB87" s="2510"/>
      <c r="EC87" s="2510"/>
      <c r="ED87" s="2510"/>
      <c r="EE87" s="2510"/>
      <c r="EF87" s="2472"/>
      <c r="EG87" s="2472"/>
      <c r="EH87" s="2510"/>
      <c r="EI87" s="2472"/>
      <c r="EJ87" s="2510"/>
      <c r="EK87" s="2510"/>
      <c r="EL87" s="2510"/>
      <c r="EM87" s="2472"/>
      <c r="EN87" s="2510"/>
      <c r="EO87" s="2510"/>
      <c r="EP87" s="2510"/>
      <c r="EQ87" s="2510"/>
      <c r="ER87" s="2510"/>
      <c r="ES87" s="2510"/>
      <c r="ET87" s="2510"/>
      <c r="EU87" s="2510"/>
      <c r="EV87" s="2510"/>
      <c r="EW87" s="2510"/>
      <c r="EX87" s="2510"/>
      <c r="EY87" s="2472"/>
      <c r="EZ87" s="2510"/>
      <c r="FA87" s="2510"/>
      <c r="FB87" s="2510"/>
      <c r="FC87" s="2510"/>
      <c r="FD87" s="2510"/>
      <c r="FE87" s="2510"/>
      <c r="FF87" s="2472"/>
      <c r="FG87" s="2510"/>
      <c r="FH87" s="2472"/>
      <c r="FI87" s="2510"/>
      <c r="FJ87" s="2510"/>
      <c r="FK87" s="2510"/>
      <c r="FL87" s="2510"/>
      <c r="FM87" s="2510"/>
      <c r="FN87" s="2510"/>
      <c r="FO87" s="2510"/>
      <c r="FP87" s="2510"/>
      <c r="FQ87" s="2510"/>
      <c r="FR87" s="2510"/>
      <c r="FS87" s="2510"/>
      <c r="FT87" s="2510"/>
      <c r="FU87" s="2510"/>
      <c r="FV87" s="2510"/>
      <c r="FW87" s="2510"/>
      <c r="FX87" s="2510"/>
      <c r="FY87" s="2510"/>
      <c r="FZ87" s="2510"/>
      <c r="GA87" s="2510"/>
      <c r="GB87" s="2510"/>
      <c r="GC87" s="2510"/>
      <c r="GD87" s="2510"/>
      <c r="GE87" s="2510"/>
      <c r="GF87" s="2510"/>
      <c r="GG87" s="2510"/>
      <c r="GH87" s="2510"/>
      <c r="GI87" s="2510"/>
      <c r="GJ87" s="2472"/>
      <c r="GK87" s="2510"/>
      <c r="GL87" s="2510"/>
      <c r="GM87" s="2510"/>
      <c r="GN87" s="2510"/>
      <c r="GO87" s="2510"/>
      <c r="GP87" s="2510"/>
      <c r="GQ87" s="2510"/>
      <c r="GR87" s="2510"/>
      <c r="GS87" s="2510"/>
      <c r="GT87" s="2510"/>
      <c r="GU87" s="2510"/>
      <c r="GV87" s="2510"/>
      <c r="GW87" s="2510"/>
      <c r="GX87" s="2472"/>
      <c r="GY87" s="2510"/>
      <c r="GZ87" s="2510"/>
      <c r="HA87" s="2510"/>
      <c r="HB87" s="2472"/>
      <c r="HC87" s="2472"/>
      <c r="HD87" s="2510"/>
      <c r="HE87" s="2510"/>
      <c r="HF87" s="2510"/>
      <c r="HG87" s="2510"/>
      <c r="HH87" s="2510"/>
      <c r="HI87" s="2510"/>
      <c r="HJ87" s="2510"/>
      <c r="HK87" s="2510"/>
      <c r="HL87" s="2510"/>
      <c r="HM87" s="2510"/>
      <c r="HN87" s="2510"/>
      <c r="HO87" s="2472"/>
      <c r="HP87" s="2510"/>
      <c r="HQ87" s="2510"/>
      <c r="HR87" s="2510"/>
      <c r="HS87" s="2510"/>
      <c r="HT87" s="2510"/>
      <c r="HU87" s="2510"/>
      <c r="HV87" s="2510"/>
      <c r="HW87" s="2510"/>
      <c r="HX87" s="2510"/>
      <c r="HY87" s="2510"/>
      <c r="HZ87" s="2510"/>
      <c r="IA87" s="2510"/>
      <c r="IB87" s="2510"/>
      <c r="IC87" s="2510"/>
      <c r="ID87" s="2510"/>
      <c r="IE87" s="2510"/>
      <c r="IF87" s="2510"/>
      <c r="IG87" s="2510"/>
      <c r="IH87" s="2510"/>
      <c r="II87" s="2510"/>
      <c r="IJ87" s="2510"/>
      <c r="IK87" s="2510"/>
      <c r="IL87" s="2510"/>
      <c r="IM87" s="2510"/>
      <c r="IN87" s="2510"/>
      <c r="IO87" s="2510"/>
      <c r="IP87" s="2510"/>
      <c r="IQ87" s="2510"/>
      <c r="IR87" s="2510"/>
      <c r="IS87" s="2510"/>
      <c r="IT87" s="2510"/>
      <c r="IU87" s="2510"/>
      <c r="IV87" s="2510"/>
      <c r="IW87" s="2510"/>
      <c r="IX87" s="2510"/>
      <c r="IY87" s="2510"/>
      <c r="IZ87" s="2510"/>
      <c r="JA87" s="2510"/>
      <c r="JB87" s="2510"/>
      <c r="JC87" s="2510"/>
      <c r="JD87" s="2510"/>
      <c r="JE87" s="2510"/>
      <c r="JF87" s="2510"/>
      <c r="JG87" s="2479"/>
      <c r="JH87" s="1233"/>
      <c r="JI87" s="2248" t="s">
        <v>8855</v>
      </c>
      <c r="JJ87" s="2248" t="s">
        <v>6127</v>
      </c>
    </row>
    <row r="88" spans="1:270" x14ac:dyDescent="0.2">
      <c r="A88" s="1128">
        <v>45</v>
      </c>
      <c r="B88" s="1347" t="str">
        <f si="4" t="shared"/>
        <v/>
      </c>
      <c r="C88" s="1278" t="s">
        <v>2675</v>
      </c>
      <c r="D88" s="1350" t="s">
        <v>5515</v>
      </c>
      <c r="E88" s="2472"/>
      <c r="F88" s="2472"/>
      <c r="G88" s="2472"/>
      <c r="H88" s="2472"/>
      <c r="I88" s="2472"/>
      <c r="J88" s="2511"/>
      <c r="K88" s="2472"/>
      <c r="L88" s="2472"/>
      <c r="M88" s="2472"/>
      <c r="N88" s="2472"/>
      <c r="O88" s="2509"/>
      <c r="P88" s="2509"/>
      <c r="Q88" s="2472"/>
      <c r="R88" s="2509"/>
      <c r="S88" s="2472"/>
      <c r="T88" s="2510"/>
      <c r="U88" s="2510"/>
      <c r="V88" s="2510"/>
      <c r="W88" s="2510"/>
      <c r="X88" s="2510"/>
      <c r="Y88" s="2510"/>
      <c r="Z88" s="2510"/>
      <c r="AA88" s="2510"/>
      <c r="AB88" s="2510"/>
      <c r="AC88" s="2472"/>
      <c r="AD88" s="2841"/>
      <c r="AE88" s="2841"/>
      <c r="AF88" s="2841"/>
      <c r="AG88" s="2841"/>
      <c r="AH88" s="2841"/>
      <c r="AI88" s="2510"/>
      <c r="AJ88" s="2472"/>
      <c r="AK88" s="2510"/>
      <c r="AL88" s="2472"/>
      <c r="AM88" s="2510"/>
      <c r="AN88" s="2510"/>
      <c r="AO88" s="2510"/>
      <c r="AP88" s="2510"/>
      <c r="AQ88" s="2510"/>
      <c r="AR88" s="2510"/>
      <c r="AS88" s="2510"/>
      <c r="AT88" s="2510"/>
      <c r="AU88" s="2510"/>
      <c r="AV88" s="2472"/>
      <c r="AW88" s="2510"/>
      <c r="AX88" s="2510"/>
      <c r="AY88" s="2510"/>
      <c r="AZ88" s="2510"/>
      <c r="BA88" s="2510"/>
      <c r="BB88" s="2510"/>
      <c r="BC88" s="2510"/>
      <c r="BD88" s="2510"/>
      <c r="BE88" s="2510"/>
      <c r="BF88" s="2510"/>
      <c r="BG88" s="2510"/>
      <c r="BH88" s="3956"/>
      <c r="BI88" s="3956"/>
      <c r="BJ88" s="2472"/>
      <c r="BK88" s="2510"/>
      <c r="BL88" s="2510"/>
      <c r="BM88" s="2510"/>
      <c r="BN88" s="2510"/>
      <c r="BO88" s="2510"/>
      <c r="BP88" s="2472"/>
      <c r="BQ88" s="2510"/>
      <c r="BR88" s="2510"/>
      <c r="BS88" s="2510"/>
      <c r="BT88" s="2510"/>
      <c r="BU88" s="2510"/>
      <c r="BV88" s="2510"/>
      <c r="BW88" s="2510"/>
      <c r="BX88" s="2510"/>
      <c r="BY88" s="2510"/>
      <c r="BZ88" s="2510"/>
      <c r="CA88" s="2510"/>
      <c r="CB88" s="2472"/>
      <c r="CC88" s="2510"/>
      <c r="CD88" s="2510"/>
      <c r="CE88" s="2510"/>
      <c r="CF88" s="2472"/>
      <c r="CG88" s="2510"/>
      <c r="CH88" s="2472"/>
      <c r="CI88" s="2510"/>
      <c r="CJ88" s="2510"/>
      <c r="CK88" s="2510"/>
      <c r="CL88" s="2472"/>
      <c r="CM88" s="2510"/>
      <c r="CN88" s="2510"/>
      <c r="CO88" s="2510"/>
      <c r="CP88" s="2510"/>
      <c r="CQ88" s="2510"/>
      <c r="CR88" s="2472"/>
      <c r="CS88" s="2472"/>
      <c r="CT88" s="2510"/>
      <c r="CU88" s="2472"/>
      <c r="CV88" s="2472"/>
      <c r="CW88" s="2510"/>
      <c r="CX88" s="2510"/>
      <c r="CY88" s="2510"/>
      <c r="CZ88" s="2510"/>
      <c r="DA88" s="2510"/>
      <c r="DB88" s="2510"/>
      <c r="DC88" s="2472"/>
      <c r="DD88" s="2510"/>
      <c r="DE88" s="2510"/>
      <c r="DF88" s="2510"/>
      <c r="DG88" s="2510"/>
      <c r="DH88" s="2510"/>
      <c r="DI88" s="2510"/>
      <c r="DJ88" s="2472"/>
      <c r="DK88" s="2510"/>
      <c r="DL88" s="2510"/>
      <c r="DM88" s="2510"/>
      <c r="DN88" s="2510"/>
      <c r="DO88" s="2472"/>
      <c r="DP88" s="2510"/>
      <c r="DQ88" s="2510"/>
      <c r="DR88" s="2510"/>
      <c r="DS88" s="2510"/>
      <c r="DT88" s="2510"/>
      <c r="DU88" s="2510"/>
      <c r="DV88" s="2510"/>
      <c r="DW88" s="2510"/>
      <c r="DX88" s="2510"/>
      <c r="DY88" s="2510"/>
      <c r="DZ88" s="2510"/>
      <c r="EA88" s="2510"/>
      <c r="EB88" s="2510"/>
      <c r="EC88" s="2510"/>
      <c r="ED88" s="2510"/>
      <c r="EE88" s="2510"/>
      <c r="EF88" s="2472"/>
      <c r="EG88" s="2472"/>
      <c r="EH88" s="2510"/>
      <c r="EI88" s="2472"/>
      <c r="EJ88" s="2510"/>
      <c r="EK88" s="2510"/>
      <c r="EL88" s="2510"/>
      <c r="EM88" s="2472"/>
      <c r="EN88" s="2510"/>
      <c r="EO88" s="2510"/>
      <c r="EP88" s="2510"/>
      <c r="EQ88" s="2510"/>
      <c r="ER88" s="2510"/>
      <c r="ES88" s="2510"/>
      <c r="ET88" s="2510"/>
      <c r="EU88" s="2510"/>
      <c r="EV88" s="2510"/>
      <c r="EW88" s="2510"/>
      <c r="EX88" s="2510"/>
      <c r="EY88" s="2472"/>
      <c r="EZ88" s="2510"/>
      <c r="FA88" s="2510"/>
      <c r="FB88" s="2510"/>
      <c r="FC88" s="2510"/>
      <c r="FD88" s="2510"/>
      <c r="FE88" s="2510"/>
      <c r="FF88" s="2472"/>
      <c r="FG88" s="2510"/>
      <c r="FH88" s="2472"/>
      <c r="FI88" s="2510"/>
      <c r="FJ88" s="2510"/>
      <c r="FK88" s="2510"/>
      <c r="FL88" s="2510"/>
      <c r="FM88" s="2510"/>
      <c r="FN88" s="2510"/>
      <c r="FO88" s="2510"/>
      <c r="FP88" s="2510"/>
      <c r="FQ88" s="2510"/>
      <c r="FR88" s="2510"/>
      <c r="FS88" s="2510"/>
      <c r="FT88" s="2510"/>
      <c r="FU88" s="2510"/>
      <c r="FV88" s="2510"/>
      <c r="FW88" s="2510"/>
      <c r="FX88" s="2510"/>
      <c r="FY88" s="2510"/>
      <c r="FZ88" s="2510"/>
      <c r="GA88" s="2510"/>
      <c r="GB88" s="2510"/>
      <c r="GC88" s="2510"/>
      <c r="GD88" s="2510"/>
      <c r="GE88" s="2510"/>
      <c r="GF88" s="2510"/>
      <c r="GG88" s="2510"/>
      <c r="GH88" s="2510"/>
      <c r="GI88" s="2510"/>
      <c r="GJ88" s="2472"/>
      <c r="GK88" s="2510"/>
      <c r="GL88" s="2510"/>
      <c r="GM88" s="2510"/>
      <c r="GN88" s="2510"/>
      <c r="GO88" s="2510"/>
      <c r="GP88" s="2510"/>
      <c r="GQ88" s="2510"/>
      <c r="GR88" s="2510"/>
      <c r="GS88" s="2510"/>
      <c r="GT88" s="2510"/>
      <c r="GU88" s="2510"/>
      <c r="GV88" s="2510"/>
      <c r="GW88" s="2510"/>
      <c r="GX88" s="2472"/>
      <c r="GY88" s="2510"/>
      <c r="GZ88" s="2510"/>
      <c r="HA88" s="2510"/>
      <c r="HB88" s="2472"/>
      <c r="HC88" s="2472"/>
      <c r="HD88" s="2510"/>
      <c r="HE88" s="2510"/>
      <c r="HF88" s="2510"/>
      <c r="HG88" s="2510"/>
      <c r="HH88" s="2510"/>
      <c r="HI88" s="2510"/>
      <c r="HJ88" s="2510"/>
      <c r="HK88" s="2510"/>
      <c r="HL88" s="2510"/>
      <c r="HM88" s="2510"/>
      <c r="HN88" s="2510"/>
      <c r="HO88" s="2472"/>
      <c r="HP88" s="2510"/>
      <c r="HQ88" s="2510"/>
      <c r="HR88" s="2510"/>
      <c r="HS88" s="2510"/>
      <c r="HT88" s="2510"/>
      <c r="HU88" s="2510"/>
      <c r="HV88" s="2510"/>
      <c r="HW88" s="2510"/>
      <c r="HX88" s="2510"/>
      <c r="HY88" s="2510"/>
      <c r="HZ88" s="2510"/>
      <c r="IA88" s="2510"/>
      <c r="IB88" s="2510"/>
      <c r="IC88" s="2510"/>
      <c r="ID88" s="2510"/>
      <c r="IE88" s="2510"/>
      <c r="IF88" s="2510"/>
      <c r="IG88" s="2510"/>
      <c r="IH88" s="2510"/>
      <c r="II88" s="2510"/>
      <c r="IJ88" s="2510"/>
      <c r="IK88" s="2510"/>
      <c r="IL88" s="2510"/>
      <c r="IM88" s="2510"/>
      <c r="IN88" s="2510"/>
      <c r="IO88" s="2510"/>
      <c r="IP88" s="2510"/>
      <c r="IQ88" s="2510"/>
      <c r="IR88" s="2510"/>
      <c r="IS88" s="2510"/>
      <c r="IT88" s="2510"/>
      <c r="IU88" s="2510"/>
      <c r="IV88" s="2510"/>
      <c r="IW88" s="2510"/>
      <c r="IX88" s="2510"/>
      <c r="IY88" s="2510"/>
      <c r="IZ88" s="2510"/>
      <c r="JA88" s="2510"/>
      <c r="JB88" s="2510"/>
      <c r="JC88" s="2510"/>
      <c r="JD88" s="2510"/>
      <c r="JE88" s="2510"/>
      <c r="JF88" s="2510"/>
      <c r="JG88" s="2479"/>
      <c r="JH88" s="1233"/>
      <c r="JI88" s="2248" t="s">
        <v>8855</v>
      </c>
      <c r="JJ88" s="2248" t="s">
        <v>6108</v>
      </c>
    </row>
    <row r="89" spans="1:270" x14ac:dyDescent="0.2">
      <c r="A89" s="1128">
        <v>46</v>
      </c>
      <c r="B89" s="1347" t="str">
        <f si="4" t="shared"/>
        <v/>
      </c>
      <c r="C89" s="1278" t="s">
        <v>2676</v>
      </c>
      <c r="D89" s="1350" t="s">
        <v>5516</v>
      </c>
      <c r="E89" s="2472"/>
      <c r="F89" s="2472"/>
      <c r="G89" s="2472"/>
      <c r="H89" s="2472"/>
      <c r="I89" s="2472"/>
      <c r="J89" s="2511"/>
      <c r="K89" s="2472"/>
      <c r="L89" s="2472"/>
      <c r="M89" s="2472"/>
      <c r="N89" s="2472"/>
      <c r="O89" s="2509"/>
      <c r="P89" s="2509"/>
      <c r="Q89" s="2472"/>
      <c r="R89" s="2509"/>
      <c r="S89" s="2472"/>
      <c r="T89" s="2510"/>
      <c r="U89" s="2510"/>
      <c r="V89" s="2510"/>
      <c r="W89" s="2510"/>
      <c r="X89" s="2510"/>
      <c r="Y89" s="2510"/>
      <c r="Z89" s="2510"/>
      <c r="AA89" s="2510"/>
      <c r="AB89" s="2510"/>
      <c r="AC89" s="2472"/>
      <c r="AD89" s="2841"/>
      <c r="AE89" s="2841"/>
      <c r="AF89" s="2841"/>
      <c r="AG89" s="2841"/>
      <c r="AH89" s="2841"/>
      <c r="AI89" s="2510"/>
      <c r="AJ89" s="2472"/>
      <c r="AK89" s="2510"/>
      <c r="AL89" s="2472">
        <v>8592</v>
      </c>
      <c r="AM89" s="2510"/>
      <c r="AN89" s="2510"/>
      <c r="AO89" s="2510"/>
      <c r="AP89" s="2510"/>
      <c r="AQ89" s="2510"/>
      <c r="AR89" s="2510"/>
      <c r="AS89" s="2510"/>
      <c r="AT89" s="2510"/>
      <c r="AU89" s="2510"/>
      <c r="AV89" s="2472"/>
      <c r="AW89" s="2510"/>
      <c r="AX89" s="2510"/>
      <c r="AY89" s="2510"/>
      <c r="AZ89" s="2510"/>
      <c r="BA89" s="2510"/>
      <c r="BB89" s="2510"/>
      <c r="BC89" s="2510"/>
      <c r="BD89" s="2510"/>
      <c r="BE89" s="2510"/>
      <c r="BF89" s="2510"/>
      <c r="BG89" s="2510"/>
      <c r="BH89" s="3956"/>
      <c r="BI89" s="3956"/>
      <c r="BJ89" s="2472">
        <v>8592</v>
      </c>
      <c r="BK89" s="2510"/>
      <c r="BL89" s="2510"/>
      <c r="BM89" s="2510"/>
      <c r="BN89" s="2510"/>
      <c r="BO89" s="2510"/>
      <c r="BP89" s="2472"/>
      <c r="BQ89" s="2510"/>
      <c r="BR89" s="2510"/>
      <c r="BS89" s="2510"/>
      <c r="BT89" s="2510"/>
      <c r="BU89" s="2510"/>
      <c r="BV89" s="2510"/>
      <c r="BW89" s="2510"/>
      <c r="BX89" s="2510"/>
      <c r="BY89" s="2510"/>
      <c r="BZ89" s="2510"/>
      <c r="CA89" s="2510"/>
      <c r="CB89" s="2472"/>
      <c r="CC89" s="2510"/>
      <c r="CD89" s="2510"/>
      <c r="CE89" s="2510"/>
      <c r="CF89" s="2472"/>
      <c r="CG89" s="2510"/>
      <c r="CH89" s="2472"/>
      <c r="CI89" s="2510"/>
      <c r="CJ89" s="2510"/>
      <c r="CK89" s="2510"/>
      <c r="CL89" s="2472">
        <v>8592</v>
      </c>
      <c r="CM89" s="2510"/>
      <c r="CN89" s="2510"/>
      <c r="CO89" s="2510"/>
      <c r="CP89" s="2510"/>
      <c r="CQ89" s="2510"/>
      <c r="CR89" s="2472">
        <v>8592</v>
      </c>
      <c r="CS89" s="2472">
        <v>8592</v>
      </c>
      <c r="CT89" s="2510"/>
      <c r="CU89" s="2472"/>
      <c r="CV89" s="2472"/>
      <c r="CW89" s="2510"/>
      <c r="CX89" s="2510"/>
      <c r="CY89" s="2510"/>
      <c r="CZ89" s="2510"/>
      <c r="DA89" s="2510"/>
      <c r="DB89" s="2510"/>
      <c r="DC89" s="2472"/>
      <c r="DD89" s="2510"/>
      <c r="DE89" s="2510"/>
      <c r="DF89" s="2510"/>
      <c r="DG89" s="2510"/>
      <c r="DH89" s="2510"/>
      <c r="DI89" s="2510"/>
      <c r="DJ89" s="2472"/>
      <c r="DK89" s="2510"/>
      <c r="DL89" s="2510"/>
      <c r="DM89" s="2510"/>
      <c r="DN89" s="2510"/>
      <c r="DO89" s="2472"/>
      <c r="DP89" s="2510"/>
      <c r="DQ89" s="2510"/>
      <c r="DR89" s="2510"/>
      <c r="DS89" s="2510"/>
      <c r="DT89" s="2510"/>
      <c r="DU89" s="2510"/>
      <c r="DV89" s="2510"/>
      <c r="DW89" s="2510"/>
      <c r="DX89" s="2510"/>
      <c r="DY89" s="2510"/>
      <c r="DZ89" s="2510"/>
      <c r="EA89" s="2510"/>
      <c r="EB89" s="2510"/>
      <c r="EC89" s="2510"/>
      <c r="ED89" s="2510"/>
      <c r="EE89" s="2510"/>
      <c r="EF89" s="2472"/>
      <c r="EG89" s="2472"/>
      <c r="EH89" s="2510"/>
      <c r="EI89" s="2472"/>
      <c r="EJ89" s="2510"/>
      <c r="EK89" s="2510"/>
      <c r="EL89" s="2510"/>
      <c r="EM89" s="2472">
        <v>8592</v>
      </c>
      <c r="EN89" s="2510"/>
      <c r="EO89" s="2510"/>
      <c r="EP89" s="2510"/>
      <c r="EQ89" s="2510"/>
      <c r="ER89" s="2510"/>
      <c r="ES89" s="2510"/>
      <c r="ET89" s="2510"/>
      <c r="EU89" s="2510"/>
      <c r="EV89" s="2510"/>
      <c r="EW89" s="2510"/>
      <c r="EX89" s="2510"/>
      <c r="EY89" s="2472">
        <v>8592</v>
      </c>
      <c r="EZ89" s="2510"/>
      <c r="FA89" s="2510"/>
      <c r="FB89" s="2510"/>
      <c r="FC89" s="2510"/>
      <c r="FD89" s="2510"/>
      <c r="FE89" s="2510"/>
      <c r="FF89" s="2472"/>
      <c r="FG89" s="2510"/>
      <c r="FH89" s="2472"/>
      <c r="FI89" s="2510"/>
      <c r="FJ89" s="2510"/>
      <c r="FK89" s="2510"/>
      <c r="FL89" s="2510"/>
      <c r="FM89" s="2510"/>
      <c r="FN89" s="2510"/>
      <c r="FO89" s="2510"/>
      <c r="FP89" s="2510"/>
      <c r="FQ89" s="2510"/>
      <c r="FR89" s="2510"/>
      <c r="FS89" s="2510"/>
      <c r="FT89" s="2510"/>
      <c r="FU89" s="2510"/>
      <c r="FV89" s="2510"/>
      <c r="FW89" s="2510"/>
      <c r="FX89" s="2510"/>
      <c r="FY89" s="2510"/>
      <c r="FZ89" s="2510"/>
      <c r="GA89" s="2510"/>
      <c r="GB89" s="2510"/>
      <c r="GC89" s="2510"/>
      <c r="GD89" s="2510"/>
      <c r="GE89" s="2510"/>
      <c r="GF89" s="2510"/>
      <c r="GG89" s="2510"/>
      <c r="GH89" s="2510"/>
      <c r="GI89" s="2510"/>
      <c r="GJ89" s="2472"/>
      <c r="GK89" s="2510"/>
      <c r="GL89" s="2510"/>
      <c r="GM89" s="2510"/>
      <c r="GN89" s="2510"/>
      <c r="GO89" s="2510"/>
      <c r="GP89" s="2510"/>
      <c r="GQ89" s="2510"/>
      <c r="GR89" s="2510"/>
      <c r="GS89" s="2510"/>
      <c r="GT89" s="2510"/>
      <c r="GU89" s="2510"/>
      <c r="GV89" s="2510"/>
      <c r="GW89" s="2510"/>
      <c r="GX89" s="2472"/>
      <c r="GY89" s="2510"/>
      <c r="GZ89" s="2510"/>
      <c r="HA89" s="2510"/>
      <c r="HB89" s="2472"/>
      <c r="HC89" s="2472"/>
      <c r="HD89" s="2510"/>
      <c r="HE89" s="2510"/>
      <c r="HF89" s="2510"/>
      <c r="HG89" s="2510"/>
      <c r="HH89" s="2510"/>
      <c r="HI89" s="2510"/>
      <c r="HJ89" s="2510"/>
      <c r="HK89" s="2510"/>
      <c r="HL89" s="2510"/>
      <c r="HM89" s="2510"/>
      <c r="HN89" s="2510"/>
      <c r="HO89" s="2472"/>
      <c r="HP89" s="2510"/>
      <c r="HQ89" s="2510"/>
      <c r="HR89" s="2510"/>
      <c r="HS89" s="2510"/>
      <c r="HT89" s="2510"/>
      <c r="HU89" s="2510"/>
      <c r="HV89" s="2510"/>
      <c r="HW89" s="2510"/>
      <c r="HX89" s="2510"/>
      <c r="HY89" s="2510"/>
      <c r="HZ89" s="2510"/>
      <c r="IA89" s="2510"/>
      <c r="IB89" s="2510"/>
      <c r="IC89" s="2510"/>
      <c r="ID89" s="2510"/>
      <c r="IE89" s="2510"/>
      <c r="IF89" s="2510"/>
      <c r="IG89" s="2510"/>
      <c r="IH89" s="2510"/>
      <c r="II89" s="2510"/>
      <c r="IJ89" s="2510"/>
      <c r="IK89" s="2510"/>
      <c r="IL89" s="2510"/>
      <c r="IM89" s="2510"/>
      <c r="IN89" s="2510"/>
      <c r="IO89" s="2510"/>
      <c r="IP89" s="2510"/>
      <c r="IQ89" s="2510"/>
      <c r="IR89" s="2510"/>
      <c r="IS89" s="2510"/>
      <c r="IT89" s="2510"/>
      <c r="IU89" s="2510"/>
      <c r="IV89" s="2510"/>
      <c r="IW89" s="2510"/>
      <c r="IX89" s="2510"/>
      <c r="IY89" s="2510"/>
      <c r="IZ89" s="2510"/>
      <c r="JA89" s="2510"/>
      <c r="JB89" s="2510"/>
      <c r="JC89" s="2510"/>
      <c r="JD89" s="2510"/>
      <c r="JE89" s="2510"/>
      <c r="JF89" s="2510"/>
      <c r="JG89" s="2479"/>
      <c r="JH89" s="1233"/>
      <c r="JI89" s="2248" t="s">
        <v>8855</v>
      </c>
      <c r="JJ89" s="2248" t="s">
        <v>6127</v>
      </c>
    </row>
    <row r="90" spans="1:270" x14ac:dyDescent="0.2">
      <c r="A90" s="1128">
        <v>47</v>
      </c>
      <c r="B90" s="1347" t="str">
        <f si="4" t="shared"/>
        <v/>
      </c>
      <c r="C90" s="1278" t="s">
        <v>2677</v>
      </c>
      <c r="D90" s="1350" t="s">
        <v>5517</v>
      </c>
      <c r="E90" s="2472"/>
      <c r="F90" s="2472"/>
      <c r="G90" s="2472"/>
      <c r="H90" s="2472"/>
      <c r="I90" s="2472"/>
      <c r="J90" s="2511"/>
      <c r="K90" s="2472"/>
      <c r="L90" s="2472"/>
      <c r="M90" s="2472"/>
      <c r="N90" s="2472"/>
      <c r="O90" s="2509"/>
      <c r="P90" s="2509"/>
      <c r="Q90" s="2472"/>
      <c r="R90" s="2509"/>
      <c r="S90" s="2472"/>
      <c r="T90" s="2510"/>
      <c r="U90" s="2510"/>
      <c r="V90" s="2510"/>
      <c r="W90" s="2510"/>
      <c r="X90" s="2510"/>
      <c r="Y90" s="2510"/>
      <c r="Z90" s="2510"/>
      <c r="AA90" s="2510"/>
      <c r="AB90" s="2510"/>
      <c r="AC90" s="2472"/>
      <c r="AD90" s="2841"/>
      <c r="AE90" s="2841"/>
      <c r="AF90" s="2841"/>
      <c r="AG90" s="2841"/>
      <c r="AH90" s="2841"/>
      <c r="AI90" s="2510"/>
      <c r="AJ90" s="2472"/>
      <c r="AK90" s="2510"/>
      <c r="AL90" s="2472"/>
      <c r="AM90" s="2510"/>
      <c r="AN90" s="2510"/>
      <c r="AO90" s="2510"/>
      <c r="AP90" s="2510"/>
      <c r="AQ90" s="2510"/>
      <c r="AR90" s="2510"/>
      <c r="AS90" s="2510"/>
      <c r="AT90" s="2510"/>
      <c r="AU90" s="2510"/>
      <c r="AV90" s="2472"/>
      <c r="AW90" s="2510"/>
      <c r="AX90" s="2510"/>
      <c r="AY90" s="2510"/>
      <c r="AZ90" s="2510"/>
      <c r="BA90" s="2510"/>
      <c r="BB90" s="2510"/>
      <c r="BC90" s="2510"/>
      <c r="BD90" s="2510"/>
      <c r="BE90" s="2510"/>
      <c r="BF90" s="2510"/>
      <c r="BG90" s="2510"/>
      <c r="BH90" s="3956"/>
      <c r="BI90" s="3956"/>
      <c r="BJ90" s="2472"/>
      <c r="BK90" s="2510"/>
      <c r="BL90" s="2510"/>
      <c r="BM90" s="2510"/>
      <c r="BN90" s="2510"/>
      <c r="BO90" s="2510"/>
      <c r="BP90" s="2472"/>
      <c r="BQ90" s="2510"/>
      <c r="BR90" s="2510"/>
      <c r="BS90" s="2510"/>
      <c r="BT90" s="2510"/>
      <c r="BU90" s="2510"/>
      <c r="BV90" s="2510"/>
      <c r="BW90" s="2510"/>
      <c r="BX90" s="2510"/>
      <c r="BY90" s="2510"/>
      <c r="BZ90" s="2510"/>
      <c r="CA90" s="2510"/>
      <c r="CB90" s="2472"/>
      <c r="CC90" s="2510"/>
      <c r="CD90" s="2510"/>
      <c r="CE90" s="2510"/>
      <c r="CF90" s="2472"/>
      <c r="CG90" s="2510"/>
      <c r="CH90" s="2472"/>
      <c r="CI90" s="2510"/>
      <c r="CJ90" s="2510"/>
      <c r="CK90" s="2510"/>
      <c r="CL90" s="2472"/>
      <c r="CM90" s="2510"/>
      <c r="CN90" s="2510"/>
      <c r="CO90" s="2510"/>
      <c r="CP90" s="2510"/>
      <c r="CQ90" s="2510"/>
      <c r="CR90" s="2472"/>
      <c r="CS90" s="2472"/>
      <c r="CT90" s="2510"/>
      <c r="CU90" s="2472"/>
      <c r="CV90" s="2472"/>
      <c r="CW90" s="2510"/>
      <c r="CX90" s="2510"/>
      <c r="CY90" s="2510"/>
      <c r="CZ90" s="2510"/>
      <c r="DA90" s="2510"/>
      <c r="DB90" s="2510"/>
      <c r="DC90" s="2472"/>
      <c r="DD90" s="2510"/>
      <c r="DE90" s="2510"/>
      <c r="DF90" s="2510"/>
      <c r="DG90" s="2510"/>
      <c r="DH90" s="2510"/>
      <c r="DI90" s="2510"/>
      <c r="DJ90" s="2472"/>
      <c r="DK90" s="2510"/>
      <c r="DL90" s="2510"/>
      <c r="DM90" s="2510"/>
      <c r="DN90" s="2510"/>
      <c r="DO90" s="2472"/>
      <c r="DP90" s="2510"/>
      <c r="DQ90" s="2510"/>
      <c r="DR90" s="2510"/>
      <c r="DS90" s="2510"/>
      <c r="DT90" s="2510"/>
      <c r="DU90" s="2510"/>
      <c r="DV90" s="2510"/>
      <c r="DW90" s="2510"/>
      <c r="DX90" s="2510"/>
      <c r="DY90" s="2510"/>
      <c r="DZ90" s="2510"/>
      <c r="EA90" s="2510"/>
      <c r="EB90" s="2510"/>
      <c r="EC90" s="2510"/>
      <c r="ED90" s="2510"/>
      <c r="EE90" s="2510"/>
      <c r="EF90" s="2472"/>
      <c r="EG90" s="2472"/>
      <c r="EH90" s="2510"/>
      <c r="EI90" s="2472"/>
      <c r="EJ90" s="2510"/>
      <c r="EK90" s="2510"/>
      <c r="EL90" s="2510"/>
      <c r="EM90" s="2472"/>
      <c r="EN90" s="2510"/>
      <c r="EO90" s="2510"/>
      <c r="EP90" s="2510"/>
      <c r="EQ90" s="2510"/>
      <c r="ER90" s="2510"/>
      <c r="ES90" s="2510"/>
      <c r="ET90" s="2510"/>
      <c r="EU90" s="2510"/>
      <c r="EV90" s="2510"/>
      <c r="EW90" s="2510"/>
      <c r="EX90" s="2510"/>
      <c r="EY90" s="2472"/>
      <c r="EZ90" s="2510"/>
      <c r="FA90" s="2510"/>
      <c r="FB90" s="2510"/>
      <c r="FC90" s="2510"/>
      <c r="FD90" s="2510"/>
      <c r="FE90" s="2510"/>
      <c r="FF90" s="2472"/>
      <c r="FG90" s="2510"/>
      <c r="FH90" s="2472"/>
      <c r="FI90" s="2510"/>
      <c r="FJ90" s="2510"/>
      <c r="FK90" s="2510"/>
      <c r="FL90" s="2510"/>
      <c r="FM90" s="2510"/>
      <c r="FN90" s="2510"/>
      <c r="FO90" s="2510"/>
      <c r="FP90" s="2510"/>
      <c r="FQ90" s="2510"/>
      <c r="FR90" s="2510"/>
      <c r="FS90" s="2510"/>
      <c r="FT90" s="2510"/>
      <c r="FU90" s="2510"/>
      <c r="FV90" s="2510"/>
      <c r="FW90" s="2510"/>
      <c r="FX90" s="2510"/>
      <c r="FY90" s="2510"/>
      <c r="FZ90" s="2510"/>
      <c r="GA90" s="2510"/>
      <c r="GB90" s="2510"/>
      <c r="GC90" s="2510"/>
      <c r="GD90" s="2510"/>
      <c r="GE90" s="2510"/>
      <c r="GF90" s="2510"/>
      <c r="GG90" s="2510"/>
      <c r="GH90" s="2510"/>
      <c r="GI90" s="2510"/>
      <c r="GJ90" s="2472"/>
      <c r="GK90" s="2510"/>
      <c r="GL90" s="2510"/>
      <c r="GM90" s="2510"/>
      <c r="GN90" s="2510"/>
      <c r="GO90" s="2510"/>
      <c r="GP90" s="2510"/>
      <c r="GQ90" s="2510"/>
      <c r="GR90" s="2510"/>
      <c r="GS90" s="2510"/>
      <c r="GT90" s="2510"/>
      <c r="GU90" s="2510"/>
      <c r="GV90" s="2510"/>
      <c r="GW90" s="2510"/>
      <c r="GX90" s="2472"/>
      <c r="GY90" s="2510"/>
      <c r="GZ90" s="2510"/>
      <c r="HA90" s="2510"/>
      <c r="HB90" s="2472"/>
      <c r="HC90" s="2472"/>
      <c r="HD90" s="2510"/>
      <c r="HE90" s="2510"/>
      <c r="HF90" s="2510"/>
      <c r="HG90" s="2510"/>
      <c r="HH90" s="2510"/>
      <c r="HI90" s="2510"/>
      <c r="HJ90" s="2510"/>
      <c r="HK90" s="2510"/>
      <c r="HL90" s="2510"/>
      <c r="HM90" s="2510"/>
      <c r="HN90" s="2510"/>
      <c r="HO90" s="2472"/>
      <c r="HP90" s="2510"/>
      <c r="HQ90" s="2510"/>
      <c r="HR90" s="2510"/>
      <c r="HS90" s="2510"/>
      <c r="HT90" s="2510"/>
      <c r="HU90" s="2510"/>
      <c r="HV90" s="2510"/>
      <c r="HW90" s="2510"/>
      <c r="HX90" s="2510"/>
      <c r="HY90" s="2510"/>
      <c r="HZ90" s="2510"/>
      <c r="IA90" s="2510"/>
      <c r="IB90" s="2510"/>
      <c r="IC90" s="2510"/>
      <c r="ID90" s="2510"/>
      <c r="IE90" s="2510"/>
      <c r="IF90" s="2510"/>
      <c r="IG90" s="2510"/>
      <c r="IH90" s="2510"/>
      <c r="II90" s="2510"/>
      <c r="IJ90" s="2510"/>
      <c r="IK90" s="2510"/>
      <c r="IL90" s="2510"/>
      <c r="IM90" s="2510"/>
      <c r="IN90" s="2510"/>
      <c r="IO90" s="2510"/>
      <c r="IP90" s="2510"/>
      <c r="IQ90" s="2510"/>
      <c r="IR90" s="2510"/>
      <c r="IS90" s="2510"/>
      <c r="IT90" s="2510"/>
      <c r="IU90" s="2510"/>
      <c r="IV90" s="2510"/>
      <c r="IW90" s="2510"/>
      <c r="IX90" s="2510"/>
      <c r="IY90" s="2510"/>
      <c r="IZ90" s="2510"/>
      <c r="JA90" s="2510"/>
      <c r="JB90" s="2510"/>
      <c r="JC90" s="2510"/>
      <c r="JD90" s="2510"/>
      <c r="JE90" s="2510"/>
      <c r="JF90" s="2510"/>
      <c r="JG90" s="2479"/>
      <c r="JH90" s="1233"/>
      <c r="JI90" s="2248" t="s">
        <v>8855</v>
      </c>
      <c r="JJ90" s="2248" t="s">
        <v>6127</v>
      </c>
    </row>
    <row ht="56.25" r="91" spans="1:270" x14ac:dyDescent="0.2">
      <c r="A91" s="1128">
        <v>48</v>
      </c>
      <c r="B91" s="1347" t="str">
        <f si="4" t="shared"/>
        <v/>
      </c>
      <c r="C91" s="1278" t="s">
        <v>2678</v>
      </c>
      <c r="D91" s="1350" t="s">
        <v>5518</v>
      </c>
      <c r="E91" s="2513"/>
      <c r="F91" s="2514"/>
      <c r="G91" s="2513"/>
      <c r="H91" s="2513"/>
      <c r="I91" s="2513"/>
      <c r="J91" s="2513"/>
      <c r="K91" s="2513"/>
      <c r="L91" s="2513"/>
      <c r="M91" s="2513"/>
      <c r="N91" s="2513"/>
      <c r="O91" s="2515"/>
      <c r="P91" s="2515"/>
      <c r="Q91" s="2513"/>
      <c r="R91" s="2515"/>
      <c r="S91" s="2513"/>
      <c r="T91" s="2516"/>
      <c r="U91" s="2516"/>
      <c r="V91" s="2516"/>
      <c r="W91" s="2516"/>
      <c r="X91" s="2516"/>
      <c r="Y91" s="2516"/>
      <c r="Z91" s="2516"/>
      <c r="AA91" s="2516"/>
      <c r="AB91" s="2516"/>
      <c r="AC91" s="2513"/>
      <c r="AD91" s="3523"/>
      <c r="AE91" s="3523"/>
      <c r="AF91" s="3523"/>
      <c r="AG91" s="3523"/>
      <c r="AH91" s="3523"/>
      <c r="AI91" s="2516"/>
      <c r="AJ91" s="2513"/>
      <c r="AK91" s="2516"/>
      <c r="AL91" s="2514">
        <f>AL77+AL78+AL79+AL80+AL81+AL82+AL83+AL84+AL85+AL86+AL87+AL88+AL89+AL90</f>
        <v>8791</v>
      </c>
      <c r="AM91" s="2516"/>
      <c r="AN91" s="2516"/>
      <c r="AO91" s="2516"/>
      <c r="AP91" s="2516"/>
      <c r="AQ91" s="2516"/>
      <c r="AR91" s="2516"/>
      <c r="AS91" s="2516"/>
      <c r="AT91" s="2516"/>
      <c r="AU91" s="2516"/>
      <c r="AV91" s="2513"/>
      <c r="AW91" s="2516"/>
      <c r="AX91" s="2516"/>
      <c r="AY91" s="2516"/>
      <c r="AZ91" s="2516"/>
      <c r="BA91" s="2516"/>
      <c r="BB91" s="2516"/>
      <c r="BC91" s="2516"/>
      <c r="BD91" s="2516"/>
      <c r="BE91" s="2516"/>
      <c r="BF91" s="2516"/>
      <c r="BG91" s="2516"/>
      <c r="BH91" s="3957"/>
      <c r="BI91" s="3957"/>
      <c r="BJ91" s="2514">
        <f>BJ77+BJ78+BJ79+BJ80+BJ81+BJ82+BJ83+BJ84+BJ85+BJ86+BJ87+BJ88+BJ89+BJ90</f>
        <v>8791</v>
      </c>
      <c r="BK91" s="2516"/>
      <c r="BL91" s="2516"/>
      <c r="BM91" s="2516"/>
      <c r="BN91" s="2516"/>
      <c r="BO91" s="2516"/>
      <c r="BP91" s="2513"/>
      <c r="BQ91" s="2516"/>
      <c r="BR91" s="2516"/>
      <c r="BS91" s="2516"/>
      <c r="BT91" s="2516"/>
      <c r="BU91" s="2516"/>
      <c r="BV91" s="2516"/>
      <c r="BW91" s="2516"/>
      <c r="BX91" s="2516"/>
      <c r="BY91" s="2516"/>
      <c r="BZ91" s="2516"/>
      <c r="CA91" s="2516"/>
      <c r="CB91" s="2513"/>
      <c r="CC91" s="2516"/>
      <c r="CD91" s="2516"/>
      <c r="CE91" s="2516"/>
      <c r="CF91" s="2513"/>
      <c r="CG91" s="2516"/>
      <c r="CH91" s="2513"/>
      <c r="CI91" s="2516"/>
      <c r="CJ91" s="2516"/>
      <c r="CK91" s="2516"/>
      <c r="CL91" s="2514">
        <f>CL77+CL78+CL79+CL80+CL81+CL82+CL83+CL84+CL85+CL86+CL87+CL88+CL89+CL90</f>
        <v>8791</v>
      </c>
      <c r="CM91" s="2516"/>
      <c r="CN91" s="2516"/>
      <c r="CO91" s="2516"/>
      <c r="CP91" s="2516"/>
      <c r="CQ91" s="2516"/>
      <c r="CR91" s="2514">
        <f>CR77+CR78+CR79+CR80+CR81+CR82+CR83+CR84+CR85+CR86+CR87+CR88+CR89+CR90</f>
        <v>8791</v>
      </c>
      <c r="CS91" s="2514">
        <f>CS77+CS78+CS79+CS80+CS81+CS82+CS83+CS84+CS85+CS86+CS87+CS88+CS89+CS90</f>
        <v>8791</v>
      </c>
      <c r="CT91" s="2516"/>
      <c r="CU91" s="2514">
        <f>CU77+CU78+CU79+CU80+CU81+CU82+CU83+CU84+CU85+CU86+CU87+CU88+CU89+CU90</f>
        <v>2696</v>
      </c>
      <c r="CV91" s="2514">
        <f>CV77+CV78+CV79+CV80+CV81+CV82+CV83+CV84+CV85+CV86+CV87+CV88+CV89+CV90</f>
        <v>2696</v>
      </c>
      <c r="CW91" s="2516"/>
      <c r="CX91" s="2516"/>
      <c r="CY91" s="2516"/>
      <c r="CZ91" s="2516"/>
      <c r="DA91" s="2516"/>
      <c r="DB91" s="2516"/>
      <c r="DC91" s="2514">
        <f>DC77+DC78+DC79+DC80+DC81+DC82+DC83+DC84+DC85+DC86+DC87+DC88+DC89+DC90</f>
        <v>2696</v>
      </c>
      <c r="DD91" s="2516"/>
      <c r="DE91" s="2516"/>
      <c r="DF91" s="2516"/>
      <c r="DG91" s="2516"/>
      <c r="DH91" s="2516"/>
      <c r="DI91" s="2516"/>
      <c r="DJ91" s="2514">
        <f>DJ77+DJ78+DJ79+DJ80+DJ81+DJ82+DJ83+DJ84+DJ85+DJ86+DJ87+DJ88+DJ89+DJ90</f>
        <v>2696</v>
      </c>
      <c r="DK91" s="2516"/>
      <c r="DL91" s="2516"/>
      <c r="DM91" s="2516"/>
      <c r="DN91" s="2516"/>
      <c r="DO91" s="2513"/>
      <c r="DP91" s="2516"/>
      <c r="DQ91" s="2516"/>
      <c r="DR91" s="2516"/>
      <c r="DS91" s="2516"/>
      <c r="DT91" s="2516"/>
      <c r="DU91" s="2516"/>
      <c r="DV91" s="2516"/>
      <c r="DW91" s="2516"/>
      <c r="DX91" s="2516"/>
      <c r="DY91" s="2516"/>
      <c r="DZ91" s="2516"/>
      <c r="EA91" s="2516"/>
      <c r="EB91" s="2516"/>
      <c r="EC91" s="2516"/>
      <c r="ED91" s="2516"/>
      <c r="EE91" s="2516"/>
      <c r="EF91" s="2513"/>
      <c r="EG91" s="2513"/>
      <c r="EH91" s="2516"/>
      <c r="EI91" s="2514">
        <f>EI77+EI78+EI79+EI80+EI81+EI82+EI83+EI84+EI85+EI86+EI87+EI88+EI89+EI90</f>
        <v>687</v>
      </c>
      <c r="EJ91" s="2516"/>
      <c r="EK91" s="2516"/>
      <c r="EL91" s="2516"/>
      <c r="EM91" s="2514">
        <f>EM77+EM78+EM79+EM80+EM81+EM82+EM83+EM84+EM85+EM86+EM87+EM88+EM89+EM90</f>
        <v>8791</v>
      </c>
      <c r="EN91" s="2516"/>
      <c r="EO91" s="2516"/>
      <c r="EP91" s="2516"/>
      <c r="EQ91" s="2516"/>
      <c r="ER91" s="2516"/>
      <c r="ES91" s="2516"/>
      <c r="ET91" s="2516"/>
      <c r="EU91" s="2516"/>
      <c r="EV91" s="2516"/>
      <c r="EW91" s="2516"/>
      <c r="EX91" s="2516"/>
      <c r="EY91" s="2514">
        <f>EY77+EY78+EY79+EY80+EY81+EY82+EY83+EY84+EY85+EY86+EY87+EY88+EY89+EY90</f>
        <v>8791</v>
      </c>
      <c r="EZ91" s="2516"/>
      <c r="FA91" s="2516"/>
      <c r="FB91" s="2516"/>
      <c r="FC91" s="2516"/>
      <c r="FD91" s="2516"/>
      <c r="FE91" s="2516"/>
      <c r="FF91" s="2513"/>
      <c r="FG91" s="2516"/>
      <c r="FH91" s="2514">
        <f>FH77+FH78+FH79+FH80+FH81+FH82+FH83+FH84+FH85+FH86+FH87+FH88+FH89+FH90</f>
        <v>2696</v>
      </c>
      <c r="FI91" s="2516"/>
      <c r="FJ91" s="2516"/>
      <c r="FK91" s="2516"/>
      <c r="FL91" s="2516"/>
      <c r="FM91" s="2516"/>
      <c r="FN91" s="2516"/>
      <c r="FO91" s="2516"/>
      <c r="FP91" s="2516"/>
      <c r="FQ91" s="2516"/>
      <c r="FR91" s="2516"/>
      <c r="FS91" s="2516"/>
      <c r="FT91" s="2516"/>
      <c r="FU91" s="2516"/>
      <c r="FV91" s="2516"/>
      <c r="FW91" s="2516"/>
      <c r="FX91" s="2516"/>
      <c r="FY91" s="2516"/>
      <c r="FZ91" s="2516"/>
      <c r="GA91" s="2516"/>
      <c r="GB91" s="2516"/>
      <c r="GC91" s="2516"/>
      <c r="GD91" s="2516"/>
      <c r="GE91" s="2516"/>
      <c r="GF91" s="2516"/>
      <c r="GG91" s="2516"/>
      <c r="GH91" s="2516"/>
      <c r="GI91" s="2516"/>
      <c r="GJ91" s="2514">
        <f>GJ77+GJ78+GJ79+GJ80+GJ81+GJ82+GJ83+GJ84+GJ85+GJ86+GJ87+GJ88+GJ89+GJ90</f>
        <v>687</v>
      </c>
      <c r="GK91" s="2516"/>
      <c r="GL91" s="2516"/>
      <c r="GM91" s="2516"/>
      <c r="GN91" s="2516"/>
      <c r="GO91" s="2516"/>
      <c r="GP91" s="2516"/>
      <c r="GQ91" s="2516"/>
      <c r="GR91" s="2516"/>
      <c r="GS91" s="2516"/>
      <c r="GT91" s="2516"/>
      <c r="GU91" s="2516"/>
      <c r="GV91" s="2516"/>
      <c r="GW91" s="2516"/>
      <c r="GX91" s="2513"/>
      <c r="GY91" s="2516"/>
      <c r="GZ91" s="2516"/>
      <c r="HA91" s="2516"/>
      <c r="HB91" s="2513"/>
      <c r="HC91" s="2514">
        <f>HC77+HC78+HC79+HC80+HC81+HC82+HC83+HC84+HC85+HC86+HC87+HC88+HC89+HC90</f>
        <v>2696</v>
      </c>
      <c r="HD91" s="2516"/>
      <c r="HE91" s="2516"/>
      <c r="HF91" s="2516"/>
      <c r="HG91" s="2516"/>
      <c r="HH91" s="2516"/>
      <c r="HI91" s="2516"/>
      <c r="HJ91" s="2516"/>
      <c r="HK91" s="2516"/>
      <c r="HL91" s="2516"/>
      <c r="HM91" s="2516"/>
      <c r="HN91" s="2516"/>
      <c r="HO91" s="2513"/>
      <c r="HP91" s="2516"/>
      <c r="HQ91" s="2516"/>
      <c r="HR91" s="2516"/>
      <c r="HS91" s="2516"/>
      <c r="HT91" s="2516"/>
      <c r="HU91" s="2516"/>
      <c r="HV91" s="2516"/>
      <c r="HW91" s="2516"/>
      <c r="HX91" s="2516"/>
      <c r="HY91" s="2516"/>
      <c r="HZ91" s="2516"/>
      <c r="IA91" s="2516"/>
      <c r="IB91" s="2516"/>
      <c r="IC91" s="2516"/>
      <c r="ID91" s="2516"/>
      <c r="IE91" s="2516"/>
      <c r="IF91" s="2516"/>
      <c r="IG91" s="2516"/>
      <c r="IH91" s="2516"/>
      <c r="II91" s="2516"/>
      <c r="IJ91" s="2516"/>
      <c r="IK91" s="2516"/>
      <c r="IL91" s="2516"/>
      <c r="IM91" s="2516"/>
      <c r="IN91" s="2516"/>
      <c r="IO91" s="2516"/>
      <c r="IP91" s="2516"/>
      <c r="IQ91" s="2516"/>
      <c r="IR91" s="2516"/>
      <c r="IS91" s="2516"/>
      <c r="IT91" s="2516"/>
      <c r="IU91" s="2516"/>
      <c r="IV91" s="2516"/>
      <c r="IW91" s="2516"/>
      <c r="IX91" s="2516"/>
      <c r="IY91" s="2516"/>
      <c r="IZ91" s="2516"/>
      <c r="JA91" s="2516"/>
      <c r="JB91" s="2516"/>
      <c r="JC91" s="2516"/>
      <c r="JD91" s="2516"/>
      <c r="JE91" s="2516"/>
      <c r="JF91" s="2516"/>
      <c r="JG91" s="2517"/>
      <c r="JH91" s="1233"/>
      <c r="JI91" s="2248" t="s">
        <v>8865</v>
      </c>
      <c r="JJ91" s="2248" t="s">
        <v>6110</v>
      </c>
    </row>
    <row ht="45" r="92" spans="1:270" x14ac:dyDescent="0.2">
      <c r="A92" s="1128">
        <v>49</v>
      </c>
      <c r="B92" s="1347">
        <f si="4" t="shared"/>
        <v>14900</v>
      </c>
      <c r="C92" s="1278" t="s">
        <v>2679</v>
      </c>
      <c r="D92" s="1350" t="s">
        <v>5458</v>
      </c>
      <c r="E92" s="2514"/>
      <c r="F92" s="2514"/>
      <c r="G92" s="2514">
        <f>MAX(0,G59+G60-G76)</f>
        <v>14900</v>
      </c>
      <c r="H92" s="2514"/>
      <c r="I92" s="2514">
        <f>MAX(0,I59+I60-I76)</f>
        <v>14900</v>
      </c>
      <c r="J92" s="2513"/>
      <c r="K92" s="2514"/>
      <c r="L92" s="2514">
        <f>MAX(0,L59+L60-L76)</f>
        <v>14900</v>
      </c>
      <c r="M92" s="2514"/>
      <c r="N92" s="2514"/>
      <c r="O92" s="2514"/>
      <c r="P92" s="2514"/>
      <c r="Q92" s="2514">
        <f>MAX(0,Q59+Q60-Q76)</f>
        <v>14900</v>
      </c>
      <c r="R92" s="2514"/>
      <c r="S92" s="2514">
        <f>MAX(0,S59+S60-S76)</f>
        <v>14900</v>
      </c>
      <c r="T92" s="2539"/>
      <c r="U92" s="2539"/>
      <c r="V92" s="2539"/>
      <c r="W92" s="2539"/>
      <c r="X92" s="2539"/>
      <c r="Y92" s="2539"/>
      <c r="Z92" s="2539"/>
      <c r="AA92" s="2539"/>
      <c r="AB92" s="2539"/>
      <c r="AC92" s="2514">
        <f>MAX(0,AC59+AC60-AC76)</f>
        <v>14900</v>
      </c>
      <c r="AD92" s="2539"/>
      <c r="AE92" s="3541">
        <f>MAX(0,AE59+AE60-AE76)</f>
        <v>21875</v>
      </c>
      <c r="AF92" s="2539"/>
      <c r="AG92" s="2539"/>
      <c r="AH92" s="3541">
        <f>MAX(0,AH59+AH60-AH76)</f>
        <v>18330</v>
      </c>
      <c r="AI92" s="2539"/>
      <c r="AJ92" s="2514">
        <f>MAX(0,AJ59+AJ60-AJ76)</f>
        <v>54299</v>
      </c>
      <c r="AK92" s="2539"/>
      <c r="AL92" s="2514">
        <f>MAX(0,AL59+AL60-AL76)</f>
        <v>98672</v>
      </c>
      <c r="AM92" s="2539"/>
      <c r="AN92" s="2539"/>
      <c r="AO92" s="2539"/>
      <c r="AP92" s="2539"/>
      <c r="AQ92" s="2539"/>
      <c r="AR92" s="2539"/>
      <c r="AS92" s="2539"/>
      <c r="AT92" s="2539"/>
      <c r="AU92" s="2539"/>
      <c r="AV92" s="2514">
        <f>MAX(0,AV59+AV60-AV76)</f>
        <v>0</v>
      </c>
      <c r="AW92" s="2539"/>
      <c r="AX92" s="2539"/>
      <c r="AY92" s="2539"/>
      <c r="AZ92" s="2539"/>
      <c r="BA92" s="2539"/>
      <c r="BB92" s="2539"/>
      <c r="BC92" s="2539"/>
      <c r="BD92" s="2539"/>
      <c r="BE92" s="2539"/>
      <c r="BF92" s="2539"/>
      <c r="BG92" s="2539"/>
      <c r="BH92" s="3957"/>
      <c r="BI92" s="3957"/>
      <c r="BJ92" s="2514">
        <f>MAX(0,BJ59+BJ60-BJ76)</f>
        <v>98672</v>
      </c>
      <c r="BK92" s="2539"/>
      <c r="BL92" s="2539"/>
      <c r="BM92" s="2539"/>
      <c r="BN92" s="2539"/>
      <c r="BO92" s="2539"/>
      <c r="BP92" s="2514">
        <f>MAX(0,BP59+BP60-BP76)</f>
        <v>14900</v>
      </c>
      <c r="BQ92" s="2539"/>
      <c r="BR92" s="2539"/>
      <c r="BS92" s="2539"/>
      <c r="BT92" s="2539"/>
      <c r="BU92" s="2539"/>
      <c r="BV92" s="2539"/>
      <c r="BW92" s="2539"/>
      <c r="BX92" s="2539"/>
      <c r="BY92" s="2539"/>
      <c r="BZ92" s="2539"/>
      <c r="CA92" s="2539"/>
      <c r="CB92" s="2514">
        <f>MAX(0,CB59+CB60-CB76)</f>
        <v>1393695</v>
      </c>
      <c r="CC92" s="2539"/>
      <c r="CD92" s="2539"/>
      <c r="CE92" s="2539"/>
      <c r="CF92" s="2514">
        <f>MAX(0,CF59+CF60-CF76)</f>
        <v>54299</v>
      </c>
      <c r="CG92" s="2539"/>
      <c r="CH92" s="2514">
        <f>MAX(0,CH59+CH60-CH76)</f>
        <v>14900</v>
      </c>
      <c r="CI92" s="2539"/>
      <c r="CJ92" s="2539"/>
      <c r="CK92" s="2539"/>
      <c r="CL92" s="2514">
        <f>MAX(0,CL59+CL60-CL76)</f>
        <v>98672</v>
      </c>
      <c r="CM92" s="2539"/>
      <c r="CN92" s="2539"/>
      <c r="CO92" s="2539"/>
      <c r="CP92" s="2539"/>
      <c r="CQ92" s="2539"/>
      <c r="CR92" s="2514">
        <f>MAX(0,CR59+CR60-CR76)</f>
        <v>98672</v>
      </c>
      <c r="CS92" s="2514">
        <f>MAX(0,CS59+CS60-CS76)</f>
        <v>98672</v>
      </c>
      <c r="CT92" s="2539"/>
      <c r="CU92" s="2514">
        <f>MAX(0,CU59+CU60-CU76)</f>
        <v>139838</v>
      </c>
      <c r="CV92" s="2514">
        <f>MAX(0,CV59+CV60-CV76)</f>
        <v>139838</v>
      </c>
      <c r="CW92" s="2539"/>
      <c r="CX92" s="2539"/>
      <c r="CY92" s="2539"/>
      <c r="CZ92" s="2539"/>
      <c r="DA92" s="2539"/>
      <c r="DB92" s="2539"/>
      <c r="DC92" s="2514">
        <f>MAX(0,DC59+DC60-DC76)</f>
        <v>139838</v>
      </c>
      <c r="DD92" s="2539"/>
      <c r="DE92" s="2539"/>
      <c r="DF92" s="2539"/>
      <c r="DG92" s="2539"/>
      <c r="DH92" s="2539"/>
      <c r="DI92" s="2539"/>
      <c r="DJ92" s="2514">
        <f>MAX(0,DJ59+DJ60-DJ76)</f>
        <v>139838</v>
      </c>
      <c r="DK92" s="2539"/>
      <c r="DL92" s="2539"/>
      <c r="DM92" s="2539"/>
      <c r="DN92" s="2539"/>
      <c r="DO92" s="2514">
        <f>MAX(0,DO59+DO60-DO76)</f>
        <v>0</v>
      </c>
      <c r="DP92" s="2539"/>
      <c r="DQ92" s="2539"/>
      <c r="DR92" s="2539"/>
      <c r="DS92" s="2539"/>
      <c r="DT92" s="2539"/>
      <c r="DU92" s="2539"/>
      <c r="DV92" s="2539"/>
      <c r="DW92" s="2539"/>
      <c r="DX92" s="2539"/>
      <c r="DY92" s="2539"/>
      <c r="DZ92" s="2539"/>
      <c r="EA92" s="2539"/>
      <c r="EB92" s="2539"/>
      <c r="EC92" s="2539"/>
      <c r="ED92" s="2539"/>
      <c r="EE92" s="2539"/>
      <c r="EF92" s="2514">
        <f>MAX(0,EF59+EF60-EF76)</f>
        <v>20023</v>
      </c>
      <c r="EG92" s="2514">
        <f>MAX(0,EG59+EG60-EG76)</f>
        <v>0</v>
      </c>
      <c r="EH92" s="2539"/>
      <c r="EI92" s="2514">
        <f>MAX(0,EI59+EI60-EI76)</f>
        <v>57188</v>
      </c>
      <c r="EJ92" s="2539"/>
      <c r="EK92" s="2539"/>
      <c r="EL92" s="2539"/>
      <c r="EM92" s="2514">
        <f>MAX(0,EM59+EM60-EM76)</f>
        <v>98672</v>
      </c>
      <c r="EN92" s="2539"/>
      <c r="EO92" s="2539"/>
      <c r="EP92" s="2539"/>
      <c r="EQ92" s="2539"/>
      <c r="ER92" s="2539"/>
      <c r="ES92" s="2539"/>
      <c r="ET92" s="2539"/>
      <c r="EU92" s="2539"/>
      <c r="EV92" s="2539"/>
      <c r="EW92" s="2539"/>
      <c r="EX92" s="2539"/>
      <c r="EY92" s="2514">
        <f>MAX(0,EY59+EY60-EY76)</f>
        <v>98672</v>
      </c>
      <c r="EZ92" s="2539"/>
      <c r="FA92" s="2539"/>
      <c r="FB92" s="2539"/>
      <c r="FC92" s="2539"/>
      <c r="FD92" s="2539"/>
      <c r="FE92" s="2539"/>
      <c r="FF92" s="2514">
        <f>MAX(0,FF59+FF60-FF76)</f>
        <v>54299</v>
      </c>
      <c r="FG92" s="2539"/>
      <c r="FH92" s="2514">
        <f>MAX(0,FH59+FH60-FH76)</f>
        <v>139838</v>
      </c>
      <c r="FI92" s="2539"/>
      <c r="FJ92" s="2539"/>
      <c r="FK92" s="2539"/>
      <c r="FL92" s="2539"/>
      <c r="FM92" s="2539"/>
      <c r="FN92" s="2539"/>
      <c r="FO92" s="2539"/>
      <c r="FP92" s="2539"/>
      <c r="FQ92" s="2539"/>
      <c r="FR92" s="2539"/>
      <c r="FS92" s="2539"/>
      <c r="FT92" s="2539"/>
      <c r="FU92" s="2539"/>
      <c r="FV92" s="2539"/>
      <c r="FW92" s="2539"/>
      <c r="FX92" s="2539"/>
      <c r="FY92" s="2539"/>
      <c r="FZ92" s="2539"/>
      <c r="GA92" s="2539"/>
      <c r="GB92" s="2539"/>
      <c r="GC92" s="2539"/>
      <c r="GD92" s="2539"/>
      <c r="GE92" s="2539"/>
      <c r="GF92" s="2539"/>
      <c r="GG92" s="2539"/>
      <c r="GH92" s="2539"/>
      <c r="GI92" s="2539"/>
      <c r="GJ92" s="2514">
        <f>MAX(0,GJ59+GJ60-GJ76)</f>
        <v>57188</v>
      </c>
      <c r="GK92" s="2539"/>
      <c r="GL92" s="2539"/>
      <c r="GM92" s="2539"/>
      <c r="GN92" s="2539"/>
      <c r="GO92" s="2539"/>
      <c r="GP92" s="2539"/>
      <c r="GQ92" s="2539"/>
      <c r="GR92" s="2539"/>
      <c r="GS92" s="2539"/>
      <c r="GT92" s="2539"/>
      <c r="GU92" s="2539"/>
      <c r="GV92" s="2539"/>
      <c r="GW92" s="2539"/>
      <c r="GX92" s="2514">
        <f>MAX(0,GX59+GX60-GX76)</f>
        <v>0</v>
      </c>
      <c r="GY92" s="2539"/>
      <c r="GZ92" s="2539"/>
      <c r="HA92" s="2539"/>
      <c r="HB92" s="2514">
        <f>MAX(0,HB59+HB60-HB76)</f>
        <v>0</v>
      </c>
      <c r="HC92" s="2514">
        <f>MAX(0,HC59+HC60-HC76)</f>
        <v>139838</v>
      </c>
      <c r="HD92" s="2539"/>
      <c r="HE92" s="2539"/>
      <c r="HF92" s="2539"/>
      <c r="HG92" s="2539"/>
      <c r="HH92" s="2539"/>
      <c r="HI92" s="2539"/>
      <c r="HJ92" s="2539"/>
      <c r="HK92" s="2539"/>
      <c r="HL92" s="2539"/>
      <c r="HM92" s="2539"/>
      <c r="HN92" s="2539"/>
      <c r="HO92" s="2514">
        <f>MAX(0,HO59+HO60-HO76)</f>
        <v>14900</v>
      </c>
      <c r="HP92" s="2539"/>
      <c r="HQ92" s="2539"/>
      <c r="HR92" s="2539"/>
      <c r="HS92" s="2539"/>
      <c r="HT92" s="2539"/>
      <c r="HU92" s="2539"/>
      <c r="HV92" s="2539"/>
      <c r="HW92" s="2539"/>
      <c r="HX92" s="2539"/>
      <c r="HY92" s="2539"/>
      <c r="HZ92" s="2539"/>
      <c r="IA92" s="2539"/>
      <c r="IB92" s="2539"/>
      <c r="IC92" s="2539"/>
      <c r="ID92" s="2539"/>
      <c r="IE92" s="2539"/>
      <c r="IF92" s="2539"/>
      <c r="IG92" s="2539"/>
      <c r="IH92" s="2539"/>
      <c r="II92" s="2539"/>
      <c r="IJ92" s="2539"/>
      <c r="IK92" s="2539"/>
      <c r="IL92" s="2539"/>
      <c r="IM92" s="2539"/>
      <c r="IN92" s="2539"/>
      <c r="IO92" s="2539"/>
      <c r="IP92" s="2539"/>
      <c r="IQ92" s="2539"/>
      <c r="IR92" s="2539"/>
      <c r="IS92" s="2539"/>
      <c r="IT92" s="2539"/>
      <c r="IU92" s="2539"/>
      <c r="IV92" s="2539"/>
      <c r="IW92" s="2539"/>
      <c r="IX92" s="2539"/>
      <c r="IY92" s="2539"/>
      <c r="IZ92" s="2539"/>
      <c r="JA92" s="2539"/>
      <c r="JB92" s="2539"/>
      <c r="JC92" s="2539"/>
      <c r="JD92" s="2539"/>
      <c r="JE92" s="2539"/>
      <c r="JF92" s="2539"/>
      <c r="JG92" s="2540"/>
      <c r="JH92" s="1233"/>
      <c r="JI92" s="2248" t="s">
        <v>8857</v>
      </c>
      <c r="JJ92" s="2248" t="s">
        <v>6124</v>
      </c>
    </row>
    <row ht="45" r="93" spans="1:270" x14ac:dyDescent="0.2">
      <c r="A93" s="1128">
        <v>50</v>
      </c>
      <c r="B93" s="1347">
        <f si="4" t="shared"/>
        <v>0</v>
      </c>
      <c r="C93" s="1278" t="s">
        <v>2680</v>
      </c>
      <c r="D93" s="1350" t="s">
        <v>5459</v>
      </c>
      <c r="E93" s="2514"/>
      <c r="F93" s="2514"/>
      <c r="G93" s="2514">
        <f>MAX(0,G76-(G59+G60))</f>
        <v>0</v>
      </c>
      <c r="H93" s="2514"/>
      <c r="I93" s="2514">
        <f>MAX(0,I76-(I59+I60))</f>
        <v>0</v>
      </c>
      <c r="J93" s="2513"/>
      <c r="K93" s="2514"/>
      <c r="L93" s="2514">
        <f>MAX(0,L76-(L59+L60))</f>
        <v>0</v>
      </c>
      <c r="M93" s="2514"/>
      <c r="N93" s="2514"/>
      <c r="O93" s="2514"/>
      <c r="P93" s="2514"/>
      <c r="Q93" s="2514">
        <f>MAX(0,Q76-(Q59+Q60))</f>
        <v>0</v>
      </c>
      <c r="R93" s="2514"/>
      <c r="S93" s="2514">
        <f>MAX(0,S76-(S59+S60))</f>
        <v>0</v>
      </c>
      <c r="T93" s="2539"/>
      <c r="U93" s="2539"/>
      <c r="V93" s="2539"/>
      <c r="W93" s="2539"/>
      <c r="X93" s="2539"/>
      <c r="Y93" s="2539"/>
      <c r="Z93" s="2539"/>
      <c r="AA93" s="2539"/>
      <c r="AB93" s="2539"/>
      <c r="AC93" s="2514">
        <f>MAX(0,AC76-(AC59+AC60))</f>
        <v>0</v>
      </c>
      <c r="AD93" s="2539"/>
      <c r="AE93" s="3541">
        <f>MAX(0,AE76-(AE59+AE60))</f>
        <v>0</v>
      </c>
      <c r="AF93" s="2539"/>
      <c r="AG93" s="2539"/>
      <c r="AH93" s="3541">
        <f>MAX(0,AH76-(AH59+AH60))</f>
        <v>0</v>
      </c>
      <c r="AI93" s="2539"/>
      <c r="AJ93" s="2514">
        <f>MAX(0,AJ76-(AJ59+AJ60))</f>
        <v>0</v>
      </c>
      <c r="AK93" s="2539"/>
      <c r="AL93" s="2514">
        <f>MAX(0,AL76-(AL59+AL60))</f>
        <v>0</v>
      </c>
      <c r="AM93" s="2539"/>
      <c r="AN93" s="2539"/>
      <c r="AO93" s="2539"/>
      <c r="AP93" s="2539"/>
      <c r="AQ93" s="2539"/>
      <c r="AR93" s="2539"/>
      <c r="AS93" s="2539"/>
      <c r="AT93" s="2539"/>
      <c r="AU93" s="2539"/>
      <c r="AV93" s="2514">
        <f>MAX(0,AV76-(AV59+AV60))</f>
        <v>5001</v>
      </c>
      <c r="AW93" s="2539"/>
      <c r="AX93" s="2539"/>
      <c r="AY93" s="2539"/>
      <c r="AZ93" s="2539"/>
      <c r="BA93" s="2539"/>
      <c r="BB93" s="2539"/>
      <c r="BC93" s="2539"/>
      <c r="BD93" s="2539"/>
      <c r="BE93" s="2539"/>
      <c r="BF93" s="2539"/>
      <c r="BG93" s="2539"/>
      <c r="BH93" s="3957"/>
      <c r="BI93" s="3957"/>
      <c r="BJ93" s="2514">
        <f>MAX(0,BJ76-(BJ59+BJ60))</f>
        <v>0</v>
      </c>
      <c r="BK93" s="2539"/>
      <c r="BL93" s="2539"/>
      <c r="BM93" s="2539"/>
      <c r="BN93" s="2539"/>
      <c r="BO93" s="2539"/>
      <c r="BP93" s="2514">
        <f>MAX(0,BP76-(BP59+BP60))</f>
        <v>0</v>
      </c>
      <c r="BQ93" s="2539"/>
      <c r="BR93" s="2539"/>
      <c r="BS93" s="2539"/>
      <c r="BT93" s="2539"/>
      <c r="BU93" s="2539"/>
      <c r="BV93" s="2539"/>
      <c r="BW93" s="2539"/>
      <c r="BX93" s="2539"/>
      <c r="BY93" s="2539"/>
      <c r="BZ93" s="2539"/>
      <c r="CA93" s="2539"/>
      <c r="CB93" s="2514">
        <f>MAX(0,CB76-(CB59+CB60))</f>
        <v>0</v>
      </c>
      <c r="CC93" s="2539"/>
      <c r="CD93" s="2539"/>
      <c r="CE93" s="2539"/>
      <c r="CF93" s="2514">
        <f>MAX(0,CF76-(CF59+CF60))</f>
        <v>0</v>
      </c>
      <c r="CG93" s="2539"/>
      <c r="CH93" s="2514">
        <f>MAX(0,CH76-(CH59+CH60))</f>
        <v>0</v>
      </c>
      <c r="CI93" s="2539"/>
      <c r="CJ93" s="2539"/>
      <c r="CK93" s="2539"/>
      <c r="CL93" s="2514">
        <f>MAX(0,CL76-(CL59+CL60))</f>
        <v>0</v>
      </c>
      <c r="CM93" s="2539"/>
      <c r="CN93" s="2539"/>
      <c r="CO93" s="2539"/>
      <c r="CP93" s="2539"/>
      <c r="CQ93" s="2539"/>
      <c r="CR93" s="2514">
        <f>MAX(0,CR76-(CR59+CR60))</f>
        <v>0</v>
      </c>
      <c r="CS93" s="2514">
        <f>MAX(0,CS76-(CS59+CS60))</f>
        <v>0</v>
      </c>
      <c r="CT93" s="2539"/>
      <c r="CU93" s="2514">
        <f>MAX(0,CU76-(CU59+CU60))</f>
        <v>0</v>
      </c>
      <c r="CV93" s="2514">
        <f>MAX(0,CV76-(CV59+CV60))</f>
        <v>0</v>
      </c>
      <c r="CW93" s="2539"/>
      <c r="CX93" s="2539"/>
      <c r="CY93" s="2539"/>
      <c r="CZ93" s="2539"/>
      <c r="DA93" s="2539"/>
      <c r="DB93" s="2539"/>
      <c r="DC93" s="2514">
        <f>MAX(0,DC76-(DC59+DC60))</f>
        <v>0</v>
      </c>
      <c r="DD93" s="2539"/>
      <c r="DE93" s="2539"/>
      <c r="DF93" s="2539"/>
      <c r="DG93" s="2539"/>
      <c r="DH93" s="2539"/>
      <c r="DI93" s="2539"/>
      <c r="DJ93" s="2514">
        <f>MAX(0,DJ76-(DJ59+DJ60))</f>
        <v>0</v>
      </c>
      <c r="DK93" s="2539"/>
      <c r="DL93" s="2539"/>
      <c r="DM93" s="2539"/>
      <c r="DN93" s="2539"/>
      <c r="DO93" s="2514">
        <f>MAX(0,DO76-(DO59+DO60))</f>
        <v>5001</v>
      </c>
      <c r="DP93" s="2539"/>
      <c r="DQ93" s="2539"/>
      <c r="DR93" s="2539"/>
      <c r="DS93" s="2539"/>
      <c r="DT93" s="2539"/>
      <c r="DU93" s="2539"/>
      <c r="DV93" s="2539"/>
      <c r="DW93" s="2539"/>
      <c r="DX93" s="2539"/>
      <c r="DY93" s="2539"/>
      <c r="DZ93" s="2539"/>
      <c r="EA93" s="2539"/>
      <c r="EB93" s="2539"/>
      <c r="EC93" s="2539"/>
      <c r="ED93" s="2539"/>
      <c r="EE93" s="2539"/>
      <c r="EF93" s="2514">
        <f>MAX(0,EF76-(EF59+EF60))</f>
        <v>0</v>
      </c>
      <c r="EG93" s="2514">
        <f>MAX(0,EG76-(EG59+EG60))</f>
        <v>5000</v>
      </c>
      <c r="EH93" s="2539"/>
      <c r="EI93" s="2514">
        <f>MAX(0,EI76-(EI59+EI60))</f>
        <v>0</v>
      </c>
      <c r="EJ93" s="2539"/>
      <c r="EK93" s="2539"/>
      <c r="EL93" s="2539"/>
      <c r="EM93" s="2514">
        <f>MAX(0,EM76-(EM59+EM60))</f>
        <v>0</v>
      </c>
      <c r="EN93" s="2539"/>
      <c r="EO93" s="2539"/>
      <c r="EP93" s="2539"/>
      <c r="EQ93" s="2539"/>
      <c r="ER93" s="2539"/>
      <c r="ES93" s="2539"/>
      <c r="ET93" s="2539"/>
      <c r="EU93" s="2539"/>
      <c r="EV93" s="2539"/>
      <c r="EW93" s="2539"/>
      <c r="EX93" s="2539"/>
      <c r="EY93" s="2514">
        <f>MAX(0,EY76-(EY59+EY60))</f>
        <v>0</v>
      </c>
      <c r="EZ93" s="2539"/>
      <c r="FA93" s="2539"/>
      <c r="FB93" s="2539"/>
      <c r="FC93" s="2539"/>
      <c r="FD93" s="2539"/>
      <c r="FE93" s="2539"/>
      <c r="FF93" s="2514">
        <f>MAX(0,FF76-(FF59+FF60))</f>
        <v>0</v>
      </c>
      <c r="FG93" s="2539"/>
      <c r="FH93" s="2514">
        <f>MAX(0,FH76-(FH59+FH60))</f>
        <v>0</v>
      </c>
      <c r="FI93" s="2539"/>
      <c r="FJ93" s="2539"/>
      <c r="FK93" s="2539"/>
      <c r="FL93" s="2539"/>
      <c r="FM93" s="2539"/>
      <c r="FN93" s="2539"/>
      <c r="FO93" s="2539"/>
      <c r="FP93" s="2539"/>
      <c r="FQ93" s="2539"/>
      <c r="FR93" s="2539"/>
      <c r="FS93" s="2539"/>
      <c r="FT93" s="2539"/>
      <c r="FU93" s="2539"/>
      <c r="FV93" s="2539"/>
      <c r="FW93" s="2539"/>
      <c r="FX93" s="2539"/>
      <c r="FY93" s="2539"/>
      <c r="FZ93" s="2539"/>
      <c r="GA93" s="2539"/>
      <c r="GB93" s="2539"/>
      <c r="GC93" s="2539"/>
      <c r="GD93" s="2539"/>
      <c r="GE93" s="2539"/>
      <c r="GF93" s="2539"/>
      <c r="GG93" s="2539"/>
      <c r="GH93" s="2539"/>
      <c r="GI93" s="2539"/>
      <c r="GJ93" s="2514">
        <f>MAX(0,GJ76-(GJ59+GJ60))</f>
        <v>0</v>
      </c>
      <c r="GK93" s="2539"/>
      <c r="GL93" s="2539"/>
      <c r="GM93" s="2539"/>
      <c r="GN93" s="2539"/>
      <c r="GO93" s="2539"/>
      <c r="GP93" s="2539"/>
      <c r="GQ93" s="2539"/>
      <c r="GR93" s="2539"/>
      <c r="GS93" s="2539"/>
      <c r="GT93" s="2539"/>
      <c r="GU93" s="2539"/>
      <c r="GV93" s="2539"/>
      <c r="GW93" s="2539"/>
      <c r="GX93" s="2514">
        <f>MAX(0,GX76-(GX59+GX60))</f>
        <v>52763</v>
      </c>
      <c r="GY93" s="2539"/>
      <c r="GZ93" s="2539"/>
      <c r="HA93" s="2539"/>
      <c r="HB93" s="2514">
        <f>MAX(0,HB76-(HB59+HB60))</f>
        <v>5001</v>
      </c>
      <c r="HC93" s="2514">
        <f>MAX(0,HC76-(HC59+HC60))</f>
        <v>0</v>
      </c>
      <c r="HD93" s="2539"/>
      <c r="HE93" s="2539"/>
      <c r="HF93" s="2539"/>
      <c r="HG93" s="2539"/>
      <c r="HH93" s="2539"/>
      <c r="HI93" s="2539"/>
      <c r="HJ93" s="2539"/>
      <c r="HK93" s="2539"/>
      <c r="HL93" s="2539"/>
      <c r="HM93" s="2539"/>
      <c r="HN93" s="2539"/>
      <c r="HO93" s="2514">
        <f>MAX(0,HO76-(HO59+HO60))</f>
        <v>0</v>
      </c>
      <c r="HP93" s="2539"/>
      <c r="HQ93" s="2539"/>
      <c r="HR93" s="2539"/>
      <c r="HS93" s="2539"/>
      <c r="HT93" s="2539"/>
      <c r="HU93" s="2539"/>
      <c r="HV93" s="2539"/>
      <c r="HW93" s="2539"/>
      <c r="HX93" s="2539"/>
      <c r="HY93" s="2539"/>
      <c r="HZ93" s="2539"/>
      <c r="IA93" s="2539"/>
      <c r="IB93" s="2539"/>
      <c r="IC93" s="2539"/>
      <c r="ID93" s="2539"/>
      <c r="IE93" s="2539"/>
      <c r="IF93" s="2539"/>
      <c r="IG93" s="2539"/>
      <c r="IH93" s="2539"/>
      <c r="II93" s="2539"/>
      <c r="IJ93" s="2539"/>
      <c r="IK93" s="2539"/>
      <c r="IL93" s="2539"/>
      <c r="IM93" s="2539"/>
      <c r="IN93" s="2539"/>
      <c r="IO93" s="2539"/>
      <c r="IP93" s="2539"/>
      <c r="IQ93" s="2539"/>
      <c r="IR93" s="2539"/>
      <c r="IS93" s="2539"/>
      <c r="IT93" s="2539"/>
      <c r="IU93" s="2539"/>
      <c r="IV93" s="2539"/>
      <c r="IW93" s="2539"/>
      <c r="IX93" s="2539"/>
      <c r="IY93" s="2539"/>
      <c r="IZ93" s="2539"/>
      <c r="JA93" s="2539"/>
      <c r="JB93" s="2539"/>
      <c r="JC93" s="2539"/>
      <c r="JD93" s="2539"/>
      <c r="JE93" s="2539"/>
      <c r="JF93" s="2539"/>
      <c r="JG93" s="2540"/>
      <c r="JH93" s="1233"/>
      <c r="JI93" s="2248" t="s">
        <v>8858</v>
      </c>
      <c r="JJ93" s="2248" t="s">
        <v>6124</v>
      </c>
    </row>
    <row ht="33.75" r="94" spans="1:270" x14ac:dyDescent="0.2">
      <c r="A94" s="1128">
        <v>51</v>
      </c>
      <c r="B94" s="1347" t="str">
        <f si="4" t="shared"/>
        <v/>
      </c>
      <c r="C94" s="1278" t="s">
        <v>2681</v>
      </c>
      <c r="D94" s="1350" t="s">
        <v>5460</v>
      </c>
      <c r="E94" s="2472"/>
      <c r="F94" s="2472"/>
      <c r="G94" s="2472"/>
      <c r="H94" s="2472"/>
      <c r="I94" s="2472"/>
      <c r="J94" s="2511"/>
      <c r="K94" s="2472"/>
      <c r="L94" s="2472"/>
      <c r="M94" s="2472"/>
      <c r="N94" s="2472"/>
      <c r="O94" s="2509"/>
      <c r="P94" s="2509"/>
      <c r="Q94" s="2472"/>
      <c r="R94" s="2509"/>
      <c r="S94" s="2472"/>
      <c r="T94" s="2510"/>
      <c r="U94" s="2510"/>
      <c r="V94" s="2510"/>
      <c r="W94" s="2510"/>
      <c r="X94" s="2510"/>
      <c r="Y94" s="2510"/>
      <c r="Z94" s="2510"/>
      <c r="AA94" s="2510"/>
      <c r="AB94" s="2510"/>
      <c r="AC94" s="2472"/>
      <c r="AD94" s="2841"/>
      <c r="AE94" s="2841"/>
      <c r="AF94" s="2841"/>
      <c r="AG94" s="2841"/>
      <c r="AH94" s="2841"/>
      <c r="AI94" s="2510"/>
      <c r="AJ94" s="2472">
        <v>6350</v>
      </c>
      <c r="AK94" s="2510"/>
      <c r="AL94" s="2472"/>
      <c r="AM94" s="2510"/>
      <c r="AN94" s="2510"/>
      <c r="AO94" s="2510"/>
      <c r="AP94" s="2510"/>
      <c r="AQ94" s="2510"/>
      <c r="AR94" s="2510"/>
      <c r="AS94" s="2510"/>
      <c r="AT94" s="2510"/>
      <c r="AU94" s="2510"/>
      <c r="AV94" s="2472">
        <v>5000</v>
      </c>
      <c r="AW94" s="2510"/>
      <c r="AX94" s="2510"/>
      <c r="AY94" s="2510"/>
      <c r="AZ94" s="2510"/>
      <c r="BA94" s="2510"/>
      <c r="BB94" s="2510"/>
      <c r="BC94" s="2510"/>
      <c r="BD94" s="2510"/>
      <c r="BE94" s="2510"/>
      <c r="BF94" s="2510"/>
      <c r="BG94" s="2510"/>
      <c r="BH94" s="3956"/>
      <c r="BI94" s="3956"/>
      <c r="BJ94" s="2472"/>
      <c r="BK94" s="2510"/>
      <c r="BL94" s="2510"/>
      <c r="BM94" s="2510"/>
      <c r="BN94" s="2510"/>
      <c r="BO94" s="2510"/>
      <c r="BP94" s="2472"/>
      <c r="BQ94" s="2510"/>
      <c r="BR94" s="2510"/>
      <c r="BS94" s="2510"/>
      <c r="BT94" s="2510"/>
      <c r="BU94" s="2510"/>
      <c r="BV94" s="2510"/>
      <c r="BW94" s="2510"/>
      <c r="BX94" s="2510"/>
      <c r="BY94" s="2510"/>
      <c r="BZ94" s="2510"/>
      <c r="CA94" s="2510"/>
      <c r="CB94" s="3728">
        <v>1307946</v>
      </c>
      <c r="CC94" s="2510"/>
      <c r="CD94" s="2510"/>
      <c r="CE94" s="2510"/>
      <c r="CF94" s="2472">
        <v>6350</v>
      </c>
      <c r="CG94" s="2510"/>
      <c r="CH94" s="2472"/>
      <c r="CI94" s="2510"/>
      <c r="CJ94" s="2510"/>
      <c r="CK94" s="2510"/>
      <c r="CL94" s="2472"/>
      <c r="CM94" s="2510"/>
      <c r="CN94" s="2510"/>
      <c r="CO94" s="2510"/>
      <c r="CP94" s="2510"/>
      <c r="CQ94" s="2510"/>
      <c r="CR94" s="2472"/>
      <c r="CS94" s="2472"/>
      <c r="CT94" s="2510"/>
      <c r="CU94" s="2472"/>
      <c r="CV94" s="2472"/>
      <c r="CW94" s="2510"/>
      <c r="CX94" s="2510"/>
      <c r="CY94" s="2510"/>
      <c r="CZ94" s="2510"/>
      <c r="DA94" s="2510"/>
      <c r="DB94" s="2510"/>
      <c r="DC94" s="2472"/>
      <c r="DD94" s="2510"/>
      <c r="DE94" s="2510"/>
      <c r="DF94" s="2510"/>
      <c r="DG94" s="2510"/>
      <c r="DH94" s="2510"/>
      <c r="DI94" s="2510"/>
      <c r="DJ94" s="2472"/>
      <c r="DK94" s="2510"/>
      <c r="DL94" s="2510"/>
      <c r="DM94" s="2510"/>
      <c r="DN94" s="2510"/>
      <c r="DO94" s="2472">
        <v>5000</v>
      </c>
      <c r="DP94" s="2510"/>
      <c r="DQ94" s="2510"/>
      <c r="DR94" s="2510"/>
      <c r="DS94" s="2510"/>
      <c r="DT94" s="2510"/>
      <c r="DU94" s="2510"/>
      <c r="DV94" s="2510"/>
      <c r="DW94" s="2510"/>
      <c r="DX94" s="2510"/>
      <c r="DY94" s="2510"/>
      <c r="DZ94" s="2510"/>
      <c r="EA94" s="2510"/>
      <c r="EB94" s="2510"/>
      <c r="EC94" s="2510"/>
      <c r="ED94" s="2510"/>
      <c r="EE94" s="2510"/>
      <c r="EF94" s="2472">
        <v>1000</v>
      </c>
      <c r="EG94" s="2472"/>
      <c r="EH94" s="2510"/>
      <c r="EI94" s="2472"/>
      <c r="EJ94" s="2510"/>
      <c r="EK94" s="2510"/>
      <c r="EL94" s="2510"/>
      <c r="EM94" s="2472"/>
      <c r="EN94" s="2510"/>
      <c r="EO94" s="2510"/>
      <c r="EP94" s="2510"/>
      <c r="EQ94" s="2510"/>
      <c r="ER94" s="2510"/>
      <c r="ES94" s="2510"/>
      <c r="ET94" s="2510"/>
      <c r="EU94" s="2510"/>
      <c r="EV94" s="2510"/>
      <c r="EW94" s="2510"/>
      <c r="EX94" s="2510"/>
      <c r="EY94" s="2472"/>
      <c r="EZ94" s="2510"/>
      <c r="FA94" s="2510"/>
      <c r="FB94" s="2510"/>
      <c r="FC94" s="2510"/>
      <c r="FD94" s="2510"/>
      <c r="FE94" s="2510"/>
      <c r="FF94" s="2472">
        <v>6350</v>
      </c>
      <c r="FG94" s="2510"/>
      <c r="FH94" s="2472"/>
      <c r="FI94" s="2510"/>
      <c r="FJ94" s="2510"/>
      <c r="FK94" s="2510"/>
      <c r="FL94" s="2510"/>
      <c r="FM94" s="2510"/>
      <c r="FN94" s="2510"/>
      <c r="FO94" s="2510"/>
      <c r="FP94" s="2510"/>
      <c r="FQ94" s="2510"/>
      <c r="FR94" s="2510"/>
      <c r="FS94" s="2510"/>
      <c r="FT94" s="2510"/>
      <c r="FU94" s="2510"/>
      <c r="FV94" s="2510"/>
      <c r="FW94" s="2510"/>
      <c r="FX94" s="2510"/>
      <c r="FY94" s="2510"/>
      <c r="FZ94" s="2510"/>
      <c r="GA94" s="2510"/>
      <c r="GB94" s="2510"/>
      <c r="GC94" s="2510"/>
      <c r="GD94" s="2510"/>
      <c r="GE94" s="2510"/>
      <c r="GF94" s="2510"/>
      <c r="GG94" s="2510"/>
      <c r="GH94" s="2510"/>
      <c r="GI94" s="2510"/>
      <c r="GJ94" s="2472"/>
      <c r="GK94" s="2510"/>
      <c r="GL94" s="2510"/>
      <c r="GM94" s="2510"/>
      <c r="GN94" s="2510"/>
      <c r="GO94" s="2510"/>
      <c r="GP94" s="2510"/>
      <c r="GQ94" s="2510"/>
      <c r="GR94" s="2510"/>
      <c r="GS94" s="2510"/>
      <c r="GT94" s="2510"/>
      <c r="GU94" s="2510"/>
      <c r="GV94" s="2510"/>
      <c r="GW94" s="2510"/>
      <c r="GX94" s="2472"/>
      <c r="GY94" s="2510"/>
      <c r="GZ94" s="2510"/>
      <c r="HA94" s="2510"/>
      <c r="HB94" s="2472">
        <v>5000</v>
      </c>
      <c r="HC94" s="2472"/>
      <c r="HD94" s="2510"/>
      <c r="HE94" s="2510"/>
      <c r="HF94" s="2510"/>
      <c r="HG94" s="2510"/>
      <c r="HH94" s="2510"/>
      <c r="HI94" s="2510"/>
      <c r="HJ94" s="2510"/>
      <c r="HK94" s="2510"/>
      <c r="HL94" s="2510"/>
      <c r="HM94" s="2510"/>
      <c r="HN94" s="2510"/>
      <c r="HO94" s="2472"/>
      <c r="HP94" s="2510"/>
      <c r="HQ94" s="2510"/>
      <c r="HR94" s="2510"/>
      <c r="HS94" s="2510"/>
      <c r="HT94" s="2510"/>
      <c r="HU94" s="2510"/>
      <c r="HV94" s="2510"/>
      <c r="HW94" s="2510"/>
      <c r="HX94" s="2510"/>
      <c r="HY94" s="2510"/>
      <c r="HZ94" s="2510"/>
      <c r="IA94" s="2510"/>
      <c r="IB94" s="2510"/>
      <c r="IC94" s="2510"/>
      <c r="ID94" s="2510"/>
      <c r="IE94" s="2510"/>
      <c r="IF94" s="2510"/>
      <c r="IG94" s="2510"/>
      <c r="IH94" s="2510"/>
      <c r="II94" s="2510"/>
      <c r="IJ94" s="2510"/>
      <c r="IK94" s="2510"/>
      <c r="IL94" s="2510"/>
      <c r="IM94" s="2510"/>
      <c r="IN94" s="2510"/>
      <c r="IO94" s="2510"/>
      <c r="IP94" s="2510"/>
      <c r="IQ94" s="2510"/>
      <c r="IR94" s="2510"/>
      <c r="IS94" s="2510"/>
      <c r="IT94" s="2510"/>
      <c r="IU94" s="2510"/>
      <c r="IV94" s="2510"/>
      <c r="IW94" s="2510"/>
      <c r="IX94" s="2510"/>
      <c r="IY94" s="2510"/>
      <c r="IZ94" s="2510"/>
      <c r="JA94" s="2510"/>
      <c r="JB94" s="2510"/>
      <c r="JC94" s="2510"/>
      <c r="JD94" s="2510"/>
      <c r="JE94" s="2510"/>
      <c r="JF94" s="2510"/>
      <c r="JG94" s="2479"/>
      <c r="JH94" s="1233"/>
      <c r="JI94" s="4281" t="s">
        <v>8859</v>
      </c>
      <c r="JJ94" s="2248" t="s">
        <v>6108</v>
      </c>
    </row>
    <row r="95" spans="1:270" x14ac:dyDescent="0.2">
      <c r="A95" s="1128">
        <v>52</v>
      </c>
      <c r="B95" s="1347" t="str">
        <f si="4" t="shared"/>
        <v/>
      </c>
      <c r="C95" s="1278" t="s">
        <v>2682</v>
      </c>
      <c r="D95" s="1350" t="s">
        <v>5519</v>
      </c>
      <c r="E95" s="2472"/>
      <c r="F95" s="2472"/>
      <c r="G95" s="2472"/>
      <c r="H95" s="2472"/>
      <c r="I95" s="2472"/>
      <c r="J95" s="2511"/>
      <c r="K95" s="2472"/>
      <c r="L95" s="2472"/>
      <c r="M95" s="2472"/>
      <c r="N95" s="2472"/>
      <c r="O95" s="2509"/>
      <c r="P95" s="2509"/>
      <c r="Q95" s="2472"/>
      <c r="R95" s="2509"/>
      <c r="S95" s="2472"/>
      <c r="T95" s="2510"/>
      <c r="U95" s="2510"/>
      <c r="V95" s="2510"/>
      <c r="W95" s="2510"/>
      <c r="X95" s="2510"/>
      <c r="Y95" s="2510"/>
      <c r="Z95" s="2510"/>
      <c r="AA95" s="2510"/>
      <c r="AB95" s="2510"/>
      <c r="AC95" s="2472"/>
      <c r="AD95" s="2841"/>
      <c r="AE95" s="2841"/>
      <c r="AF95" s="2841"/>
      <c r="AG95" s="2841"/>
      <c r="AH95" s="2841"/>
      <c r="AI95" s="2510"/>
      <c r="AJ95" s="2472"/>
      <c r="AK95" s="2510"/>
      <c r="AL95" s="2472"/>
      <c r="AM95" s="2510"/>
      <c r="AN95" s="2510"/>
      <c r="AO95" s="2510"/>
      <c r="AP95" s="2510"/>
      <c r="AQ95" s="2510"/>
      <c r="AR95" s="2510"/>
      <c r="AS95" s="2510"/>
      <c r="AT95" s="2510"/>
      <c r="AU95" s="2510"/>
      <c r="AV95" s="2472">
        <v>2750</v>
      </c>
      <c r="AW95" s="2510"/>
      <c r="AX95" s="2510"/>
      <c r="AY95" s="2510"/>
      <c r="AZ95" s="2510"/>
      <c r="BA95" s="2510"/>
      <c r="BB95" s="2510"/>
      <c r="BC95" s="2510"/>
      <c r="BD95" s="2510"/>
      <c r="BE95" s="2510"/>
      <c r="BF95" s="2510"/>
      <c r="BG95" s="2510"/>
      <c r="BH95" s="3956"/>
      <c r="BI95" s="3956"/>
      <c r="BJ95" s="2472"/>
      <c r="BK95" s="2510"/>
      <c r="BL95" s="2510"/>
      <c r="BM95" s="2510"/>
      <c r="BN95" s="2510"/>
      <c r="BO95" s="2510"/>
      <c r="BP95" s="2472"/>
      <c r="BQ95" s="2510"/>
      <c r="BR95" s="2510"/>
      <c r="BS95" s="2510"/>
      <c r="BT95" s="2510"/>
      <c r="BU95" s="2510"/>
      <c r="BV95" s="2510"/>
      <c r="BW95" s="2510"/>
      <c r="BX95" s="2510"/>
      <c r="BY95" s="2510"/>
      <c r="BZ95" s="2510"/>
      <c r="CA95" s="2510"/>
      <c r="CB95" s="2472"/>
      <c r="CC95" s="2510"/>
      <c r="CD95" s="2510"/>
      <c r="CE95" s="2510"/>
      <c r="CF95" s="2472"/>
      <c r="CG95" s="2510"/>
      <c r="CH95" s="2472"/>
      <c r="CI95" s="2510"/>
      <c r="CJ95" s="2510"/>
      <c r="CK95" s="2510"/>
      <c r="CL95" s="2472"/>
      <c r="CM95" s="2510"/>
      <c r="CN95" s="2510"/>
      <c r="CO95" s="2510"/>
      <c r="CP95" s="2510"/>
      <c r="CQ95" s="2510"/>
      <c r="CR95" s="2472"/>
      <c r="CS95" s="2472"/>
      <c r="CT95" s="2510"/>
      <c r="CU95" s="2472"/>
      <c r="CV95" s="2472"/>
      <c r="CW95" s="2510"/>
      <c r="CX95" s="2510"/>
      <c r="CY95" s="2510"/>
      <c r="CZ95" s="2510"/>
      <c r="DA95" s="2510"/>
      <c r="DB95" s="2510"/>
      <c r="DC95" s="2472"/>
      <c r="DD95" s="2510"/>
      <c r="DE95" s="2510"/>
      <c r="DF95" s="2510"/>
      <c r="DG95" s="2510"/>
      <c r="DH95" s="2510"/>
      <c r="DI95" s="2510"/>
      <c r="DJ95" s="2472"/>
      <c r="DK95" s="2510"/>
      <c r="DL95" s="2510"/>
      <c r="DM95" s="2510"/>
      <c r="DN95" s="2510"/>
      <c r="DO95" s="2472">
        <v>2750</v>
      </c>
      <c r="DP95" s="2510"/>
      <c r="DQ95" s="2510"/>
      <c r="DR95" s="2510"/>
      <c r="DS95" s="2510"/>
      <c r="DT95" s="2510"/>
      <c r="DU95" s="2510"/>
      <c r="DV95" s="2510"/>
      <c r="DW95" s="2510"/>
      <c r="DX95" s="2510"/>
      <c r="DY95" s="2510"/>
      <c r="DZ95" s="2510"/>
      <c r="EA95" s="2510"/>
      <c r="EB95" s="2510"/>
      <c r="EC95" s="2510"/>
      <c r="ED95" s="2510"/>
      <c r="EE95" s="2510"/>
      <c r="EF95" s="2472"/>
      <c r="EG95" s="2472"/>
      <c r="EH95" s="2510"/>
      <c r="EI95" s="2472">
        <v>1161</v>
      </c>
      <c r="EJ95" s="2510"/>
      <c r="EK95" s="2510"/>
      <c r="EL95" s="2510"/>
      <c r="EM95" s="2472"/>
      <c r="EN95" s="2510"/>
      <c r="EO95" s="2510"/>
      <c r="EP95" s="2510"/>
      <c r="EQ95" s="2510"/>
      <c r="ER95" s="2510"/>
      <c r="ES95" s="2510"/>
      <c r="ET95" s="2510"/>
      <c r="EU95" s="2510"/>
      <c r="EV95" s="2510"/>
      <c r="EW95" s="2510"/>
      <c r="EX95" s="2510"/>
      <c r="EY95" s="2472"/>
      <c r="EZ95" s="2510"/>
      <c r="FA95" s="2510"/>
      <c r="FB95" s="2510"/>
      <c r="FC95" s="2510"/>
      <c r="FD95" s="2510"/>
      <c r="FE95" s="2510"/>
      <c r="FF95" s="2472"/>
      <c r="FG95" s="2510"/>
      <c r="FH95" s="2472"/>
      <c r="FI95" s="2510"/>
      <c r="FJ95" s="2510"/>
      <c r="FK95" s="2510"/>
      <c r="FL95" s="2510"/>
      <c r="FM95" s="2510"/>
      <c r="FN95" s="2510"/>
      <c r="FO95" s="2510"/>
      <c r="FP95" s="2510"/>
      <c r="FQ95" s="2510"/>
      <c r="FR95" s="2510"/>
      <c r="FS95" s="2510"/>
      <c r="FT95" s="2510"/>
      <c r="FU95" s="2510"/>
      <c r="FV95" s="2510"/>
      <c r="FW95" s="2510"/>
      <c r="FX95" s="2510"/>
      <c r="FY95" s="2510"/>
      <c r="FZ95" s="2510"/>
      <c r="GA95" s="2510"/>
      <c r="GB95" s="2510"/>
      <c r="GC95" s="2510"/>
      <c r="GD95" s="2510"/>
      <c r="GE95" s="2510"/>
      <c r="GF95" s="2510"/>
      <c r="GG95" s="2510"/>
      <c r="GH95" s="2510"/>
      <c r="GI95" s="2510"/>
      <c r="GJ95" s="2472">
        <v>1161</v>
      </c>
      <c r="GK95" s="2510"/>
      <c r="GL95" s="2510"/>
      <c r="GM95" s="2510"/>
      <c r="GN95" s="2510"/>
      <c r="GO95" s="2510"/>
      <c r="GP95" s="2510"/>
      <c r="GQ95" s="2510"/>
      <c r="GR95" s="2510"/>
      <c r="GS95" s="2510"/>
      <c r="GT95" s="2510"/>
      <c r="GU95" s="2510"/>
      <c r="GV95" s="2510"/>
      <c r="GW95" s="2510"/>
      <c r="GX95" s="2472"/>
      <c r="GY95" s="2510"/>
      <c r="GZ95" s="2510"/>
      <c r="HA95" s="2510"/>
      <c r="HB95" s="2472">
        <v>2750</v>
      </c>
      <c r="HC95" s="2472"/>
      <c r="HD95" s="2510"/>
      <c r="HE95" s="2510"/>
      <c r="HF95" s="2510"/>
      <c r="HG95" s="2510"/>
      <c r="HH95" s="2510"/>
      <c r="HI95" s="2510"/>
      <c r="HJ95" s="2510"/>
      <c r="HK95" s="2510"/>
      <c r="HL95" s="2510"/>
      <c r="HM95" s="2510"/>
      <c r="HN95" s="2510"/>
      <c r="HO95" s="2472"/>
      <c r="HP95" s="2510"/>
      <c r="HQ95" s="2510"/>
      <c r="HR95" s="2510"/>
      <c r="HS95" s="2510"/>
      <c r="HT95" s="2510"/>
      <c r="HU95" s="2510"/>
      <c r="HV95" s="2510"/>
      <c r="HW95" s="2510"/>
      <c r="HX95" s="2510"/>
      <c r="HY95" s="2510"/>
      <c r="HZ95" s="2510"/>
      <c r="IA95" s="2510"/>
      <c r="IB95" s="2510"/>
      <c r="IC95" s="2510"/>
      <c r="ID95" s="2510"/>
      <c r="IE95" s="2510"/>
      <c r="IF95" s="2510"/>
      <c r="IG95" s="2510"/>
      <c r="IH95" s="2510"/>
      <c r="II95" s="2510"/>
      <c r="IJ95" s="2510"/>
      <c r="IK95" s="2510"/>
      <c r="IL95" s="2510"/>
      <c r="IM95" s="2510"/>
      <c r="IN95" s="2510"/>
      <c r="IO95" s="2510"/>
      <c r="IP95" s="2510"/>
      <c r="IQ95" s="2510"/>
      <c r="IR95" s="2510"/>
      <c r="IS95" s="2510"/>
      <c r="IT95" s="2510"/>
      <c r="IU95" s="2510"/>
      <c r="IV95" s="2510"/>
      <c r="IW95" s="2510"/>
      <c r="IX95" s="2510"/>
      <c r="IY95" s="2510"/>
      <c r="IZ95" s="2510"/>
      <c r="JA95" s="2510"/>
      <c r="JB95" s="2510"/>
      <c r="JC95" s="2510"/>
      <c r="JD95" s="2510"/>
      <c r="JE95" s="2510"/>
      <c r="JF95" s="2510"/>
      <c r="JG95" s="2479"/>
      <c r="JH95" s="1233"/>
      <c r="JI95" s="2248" t="s">
        <v>8855</v>
      </c>
      <c r="JJ95" s="2248" t="s">
        <v>6108</v>
      </c>
    </row>
    <row r="96" spans="1:270" x14ac:dyDescent="0.2">
      <c r="A96" s="1128">
        <v>53</v>
      </c>
      <c r="B96" s="1347" t="str">
        <f si="4" t="shared"/>
        <v/>
      </c>
      <c r="C96" s="1278" t="s">
        <v>2683</v>
      </c>
      <c r="D96" s="1350" t="s">
        <v>5520</v>
      </c>
      <c r="E96" s="2472"/>
      <c r="F96" s="2472"/>
      <c r="G96" s="2472"/>
      <c r="H96" s="2472"/>
      <c r="I96" s="2472"/>
      <c r="J96" s="2511"/>
      <c r="K96" s="2472"/>
      <c r="L96" s="2472"/>
      <c r="M96" s="2472"/>
      <c r="N96" s="2472"/>
      <c r="O96" s="2509"/>
      <c r="P96" s="2509"/>
      <c r="Q96" s="2472"/>
      <c r="R96" s="2509"/>
      <c r="S96" s="2472"/>
      <c r="T96" s="2510"/>
      <c r="U96" s="2510"/>
      <c r="V96" s="2510"/>
      <c r="W96" s="2510"/>
      <c r="X96" s="2510"/>
      <c r="Y96" s="2510"/>
      <c r="Z96" s="2510"/>
      <c r="AA96" s="2510"/>
      <c r="AB96" s="2510"/>
      <c r="AC96" s="2472"/>
      <c r="AD96" s="2841"/>
      <c r="AE96" s="2841"/>
      <c r="AF96" s="2841"/>
      <c r="AG96" s="2841"/>
      <c r="AH96" s="2841"/>
      <c r="AI96" s="2510"/>
      <c r="AJ96" s="2472"/>
      <c r="AK96" s="2510"/>
      <c r="AL96" s="2472">
        <v>1800</v>
      </c>
      <c r="AM96" s="2510"/>
      <c r="AN96" s="2510"/>
      <c r="AO96" s="2510"/>
      <c r="AP96" s="2510"/>
      <c r="AQ96" s="2510"/>
      <c r="AR96" s="2510"/>
      <c r="AS96" s="2510"/>
      <c r="AT96" s="2510"/>
      <c r="AU96" s="2510"/>
      <c r="AV96" s="2472"/>
      <c r="AW96" s="2510"/>
      <c r="AX96" s="2510"/>
      <c r="AY96" s="2510"/>
      <c r="AZ96" s="2510"/>
      <c r="BA96" s="2510"/>
      <c r="BB96" s="2510"/>
      <c r="BC96" s="2510"/>
      <c r="BD96" s="2510"/>
      <c r="BE96" s="2510"/>
      <c r="BF96" s="2510"/>
      <c r="BG96" s="2510"/>
      <c r="BH96" s="3956"/>
      <c r="BI96" s="3956"/>
      <c r="BJ96" s="2472">
        <v>1800</v>
      </c>
      <c r="BK96" s="2510"/>
      <c r="BL96" s="2510"/>
      <c r="BM96" s="2510"/>
      <c r="BN96" s="2510"/>
      <c r="BO96" s="2510"/>
      <c r="BP96" s="2472"/>
      <c r="BQ96" s="2510"/>
      <c r="BR96" s="2510"/>
      <c r="BS96" s="2510"/>
      <c r="BT96" s="2510"/>
      <c r="BU96" s="2510"/>
      <c r="BV96" s="2510"/>
      <c r="BW96" s="2510"/>
      <c r="BX96" s="2510"/>
      <c r="BY96" s="2510"/>
      <c r="BZ96" s="2510"/>
      <c r="CA96" s="2510"/>
      <c r="CB96" s="2472"/>
      <c r="CC96" s="2510"/>
      <c r="CD96" s="2510"/>
      <c r="CE96" s="2510"/>
      <c r="CF96" s="2472"/>
      <c r="CG96" s="2510"/>
      <c r="CH96" s="2472"/>
      <c r="CI96" s="2510"/>
      <c r="CJ96" s="2510"/>
      <c r="CK96" s="2510"/>
      <c r="CL96" s="2472">
        <v>1800</v>
      </c>
      <c r="CM96" s="2510"/>
      <c r="CN96" s="2510"/>
      <c r="CO96" s="2510"/>
      <c r="CP96" s="2510"/>
      <c r="CQ96" s="2510"/>
      <c r="CR96" s="2472">
        <v>1800</v>
      </c>
      <c r="CS96" s="2472">
        <v>1800</v>
      </c>
      <c r="CT96" s="2510"/>
      <c r="CU96" s="2472"/>
      <c r="CV96" s="2472"/>
      <c r="CW96" s="2510"/>
      <c r="CX96" s="2510"/>
      <c r="CY96" s="2510"/>
      <c r="CZ96" s="2510"/>
      <c r="DA96" s="2510"/>
      <c r="DB96" s="2510"/>
      <c r="DC96" s="2472"/>
      <c r="DD96" s="2510"/>
      <c r="DE96" s="2510"/>
      <c r="DF96" s="2510"/>
      <c r="DG96" s="2510"/>
      <c r="DH96" s="2510"/>
      <c r="DI96" s="2510"/>
      <c r="DJ96" s="2472"/>
      <c r="DK96" s="2510"/>
      <c r="DL96" s="2510"/>
      <c r="DM96" s="2510"/>
      <c r="DN96" s="2510"/>
      <c r="DO96" s="2472"/>
      <c r="DP96" s="2510"/>
      <c r="DQ96" s="2510"/>
      <c r="DR96" s="2510"/>
      <c r="DS96" s="2510"/>
      <c r="DT96" s="2510"/>
      <c r="DU96" s="2510"/>
      <c r="DV96" s="2510"/>
      <c r="DW96" s="2510"/>
      <c r="DX96" s="2510"/>
      <c r="DY96" s="2510"/>
      <c r="DZ96" s="2510"/>
      <c r="EA96" s="2510"/>
      <c r="EB96" s="2510"/>
      <c r="EC96" s="2510"/>
      <c r="ED96" s="2510"/>
      <c r="EE96" s="2510"/>
      <c r="EF96" s="2472">
        <v>2000</v>
      </c>
      <c r="EG96" s="2472"/>
      <c r="EH96" s="2510"/>
      <c r="EI96" s="2472"/>
      <c r="EJ96" s="2510"/>
      <c r="EK96" s="2510"/>
      <c r="EL96" s="2510"/>
      <c r="EM96" s="2472">
        <v>1800</v>
      </c>
      <c r="EN96" s="2510"/>
      <c r="EO96" s="2510"/>
      <c r="EP96" s="2510"/>
      <c r="EQ96" s="2510"/>
      <c r="ER96" s="2510"/>
      <c r="ES96" s="2510"/>
      <c r="ET96" s="2510"/>
      <c r="EU96" s="2510"/>
      <c r="EV96" s="2510"/>
      <c r="EW96" s="2510"/>
      <c r="EX96" s="2510"/>
      <c r="EY96" s="2472">
        <v>1800</v>
      </c>
      <c r="EZ96" s="2510"/>
      <c r="FA96" s="2510"/>
      <c r="FB96" s="2510"/>
      <c r="FC96" s="2510"/>
      <c r="FD96" s="2510"/>
      <c r="FE96" s="2510"/>
      <c r="FF96" s="2472"/>
      <c r="FG96" s="2510"/>
      <c r="FH96" s="2472"/>
      <c r="FI96" s="2510"/>
      <c r="FJ96" s="2510"/>
      <c r="FK96" s="2510"/>
      <c r="FL96" s="2510"/>
      <c r="FM96" s="2510"/>
      <c r="FN96" s="2510"/>
      <c r="FO96" s="2510"/>
      <c r="FP96" s="2510"/>
      <c r="FQ96" s="2510"/>
      <c r="FR96" s="2510"/>
      <c r="FS96" s="2510"/>
      <c r="FT96" s="2510"/>
      <c r="FU96" s="2510"/>
      <c r="FV96" s="2510"/>
      <c r="FW96" s="2510"/>
      <c r="FX96" s="2510"/>
      <c r="FY96" s="2510"/>
      <c r="FZ96" s="2510"/>
      <c r="GA96" s="2510"/>
      <c r="GB96" s="2510"/>
      <c r="GC96" s="2510"/>
      <c r="GD96" s="2510"/>
      <c r="GE96" s="2510"/>
      <c r="GF96" s="2510"/>
      <c r="GG96" s="2510"/>
      <c r="GH96" s="2510"/>
      <c r="GI96" s="2510"/>
      <c r="GJ96" s="2472"/>
      <c r="GK96" s="2510"/>
      <c r="GL96" s="2510"/>
      <c r="GM96" s="2510"/>
      <c r="GN96" s="2510"/>
      <c r="GO96" s="2510"/>
      <c r="GP96" s="2510"/>
      <c r="GQ96" s="2510"/>
      <c r="GR96" s="2510"/>
      <c r="GS96" s="2510"/>
      <c r="GT96" s="2510"/>
      <c r="GU96" s="2510"/>
      <c r="GV96" s="2510"/>
      <c r="GW96" s="2510"/>
      <c r="GX96" s="2472">
        <v>5000</v>
      </c>
      <c r="GY96" s="2510"/>
      <c r="GZ96" s="2510"/>
      <c r="HA96" s="2510"/>
      <c r="HB96" s="2472"/>
      <c r="HC96" s="2472"/>
      <c r="HD96" s="2510"/>
      <c r="HE96" s="2510"/>
      <c r="HF96" s="2510"/>
      <c r="HG96" s="2510"/>
      <c r="HH96" s="2510"/>
      <c r="HI96" s="2510"/>
      <c r="HJ96" s="2510"/>
      <c r="HK96" s="2510"/>
      <c r="HL96" s="2510"/>
      <c r="HM96" s="2510"/>
      <c r="HN96" s="2510"/>
      <c r="HO96" s="2472"/>
      <c r="HP96" s="2510"/>
      <c r="HQ96" s="2510"/>
      <c r="HR96" s="2510"/>
      <c r="HS96" s="2510"/>
      <c r="HT96" s="2510"/>
      <c r="HU96" s="2510"/>
      <c r="HV96" s="2510"/>
      <c r="HW96" s="2510"/>
      <c r="HX96" s="2510"/>
      <c r="HY96" s="2510"/>
      <c r="HZ96" s="2510"/>
      <c r="IA96" s="2510"/>
      <c r="IB96" s="2510"/>
      <c r="IC96" s="2510"/>
      <c r="ID96" s="2510"/>
      <c r="IE96" s="2510"/>
      <c r="IF96" s="2510"/>
      <c r="IG96" s="2510"/>
      <c r="IH96" s="2510"/>
      <c r="II96" s="2510"/>
      <c r="IJ96" s="2510"/>
      <c r="IK96" s="2510"/>
      <c r="IL96" s="2510"/>
      <c r="IM96" s="2510"/>
      <c r="IN96" s="2510"/>
      <c r="IO96" s="2510"/>
      <c r="IP96" s="2510"/>
      <c r="IQ96" s="2510"/>
      <c r="IR96" s="2510"/>
      <c r="IS96" s="2510"/>
      <c r="IT96" s="2510"/>
      <c r="IU96" s="2510"/>
      <c r="IV96" s="2510"/>
      <c r="IW96" s="2510"/>
      <c r="IX96" s="2510"/>
      <c r="IY96" s="2510"/>
      <c r="IZ96" s="2510"/>
      <c r="JA96" s="2510"/>
      <c r="JB96" s="2510"/>
      <c r="JC96" s="2510"/>
      <c r="JD96" s="2510"/>
      <c r="JE96" s="2510"/>
      <c r="JF96" s="2510"/>
      <c r="JG96" s="2479"/>
      <c r="JH96" s="1233"/>
      <c r="JI96" s="2248" t="s">
        <v>8855</v>
      </c>
      <c r="JJ96" s="2248" t="s">
        <v>6108</v>
      </c>
    </row>
    <row r="97" spans="1:270" x14ac:dyDescent="0.2">
      <c r="A97" s="1128">
        <v>54</v>
      </c>
      <c r="B97" s="1347" t="str">
        <f si="4" t="shared"/>
        <v/>
      </c>
      <c r="C97" s="1278" t="s">
        <v>2684</v>
      </c>
      <c r="D97" s="1350" t="s">
        <v>5521</v>
      </c>
      <c r="E97" s="2472"/>
      <c r="F97" s="2472"/>
      <c r="G97" s="2472"/>
      <c r="H97" s="2472"/>
      <c r="I97" s="2472"/>
      <c r="J97" s="2511"/>
      <c r="K97" s="2472"/>
      <c r="L97" s="2472"/>
      <c r="M97" s="2472"/>
      <c r="N97" s="2472"/>
      <c r="O97" s="2509"/>
      <c r="P97" s="2509"/>
      <c r="Q97" s="2472"/>
      <c r="R97" s="2509"/>
      <c r="S97" s="2472"/>
      <c r="T97" s="2510"/>
      <c r="U97" s="2510"/>
      <c r="V97" s="2510"/>
      <c r="W97" s="2510"/>
      <c r="X97" s="2510"/>
      <c r="Y97" s="2510"/>
      <c r="Z97" s="2510"/>
      <c r="AA97" s="2510"/>
      <c r="AB97" s="2510"/>
      <c r="AC97" s="2472"/>
      <c r="AD97" s="2841"/>
      <c r="AE97" s="2841"/>
      <c r="AF97" s="2841"/>
      <c r="AG97" s="2841"/>
      <c r="AH97" s="2841"/>
      <c r="AI97" s="2510"/>
      <c r="AJ97" s="2472"/>
      <c r="AK97" s="2510"/>
      <c r="AL97" s="2472"/>
      <c r="AM97" s="2510"/>
      <c r="AN97" s="2510"/>
      <c r="AO97" s="2510"/>
      <c r="AP97" s="2510"/>
      <c r="AQ97" s="2510"/>
      <c r="AR97" s="2510"/>
      <c r="AS97" s="2510"/>
      <c r="AT97" s="2510"/>
      <c r="AU97" s="2510"/>
      <c r="AV97" s="2472"/>
      <c r="AW97" s="2510"/>
      <c r="AX97" s="2510"/>
      <c r="AY97" s="2510"/>
      <c r="AZ97" s="2510"/>
      <c r="BA97" s="2510"/>
      <c r="BB97" s="2510"/>
      <c r="BC97" s="2510"/>
      <c r="BD97" s="2510"/>
      <c r="BE97" s="2510"/>
      <c r="BF97" s="2510"/>
      <c r="BG97" s="2510"/>
      <c r="BH97" s="3956"/>
      <c r="BI97" s="3956"/>
      <c r="BJ97" s="2472"/>
      <c r="BK97" s="2510"/>
      <c r="BL97" s="2510"/>
      <c r="BM97" s="2510"/>
      <c r="BN97" s="2510"/>
      <c r="BO97" s="2510"/>
      <c r="BP97" s="2472"/>
      <c r="BQ97" s="2510"/>
      <c r="BR97" s="2510"/>
      <c r="BS97" s="2510"/>
      <c r="BT97" s="2510"/>
      <c r="BU97" s="2510"/>
      <c r="BV97" s="2510"/>
      <c r="BW97" s="2510"/>
      <c r="BX97" s="2510"/>
      <c r="BY97" s="2510"/>
      <c r="BZ97" s="2510"/>
      <c r="CA97" s="2510"/>
      <c r="CB97" s="2472"/>
      <c r="CC97" s="2510"/>
      <c r="CD97" s="2510"/>
      <c r="CE97" s="2510"/>
      <c r="CF97" s="2472"/>
      <c r="CG97" s="2510"/>
      <c r="CH97" s="2472"/>
      <c r="CI97" s="2510"/>
      <c r="CJ97" s="2510"/>
      <c r="CK97" s="2510"/>
      <c r="CL97" s="2472"/>
      <c r="CM97" s="2510"/>
      <c r="CN97" s="2510"/>
      <c r="CO97" s="2510"/>
      <c r="CP97" s="2510"/>
      <c r="CQ97" s="2510"/>
      <c r="CR97" s="2472"/>
      <c r="CS97" s="2472"/>
      <c r="CT97" s="2510"/>
      <c r="CU97" s="2472">
        <v>4500</v>
      </c>
      <c r="CV97" s="2472">
        <v>4500</v>
      </c>
      <c r="CW97" s="2510"/>
      <c r="CX97" s="2510"/>
      <c r="CY97" s="2510"/>
      <c r="CZ97" s="2510"/>
      <c r="DA97" s="2510"/>
      <c r="DB97" s="2510"/>
      <c r="DC97" s="2472">
        <v>4500</v>
      </c>
      <c r="DD97" s="2510"/>
      <c r="DE97" s="2510"/>
      <c r="DF97" s="2510"/>
      <c r="DG97" s="2510"/>
      <c r="DH97" s="2510"/>
      <c r="DI97" s="2510"/>
      <c r="DJ97" s="2472">
        <v>4500</v>
      </c>
      <c r="DK97" s="2510"/>
      <c r="DL97" s="2510"/>
      <c r="DM97" s="2510"/>
      <c r="DN97" s="2510"/>
      <c r="DO97" s="2472"/>
      <c r="DP97" s="2510"/>
      <c r="DQ97" s="2510"/>
      <c r="DR97" s="2510"/>
      <c r="DS97" s="2510"/>
      <c r="DT97" s="2510"/>
      <c r="DU97" s="2510"/>
      <c r="DV97" s="2510"/>
      <c r="DW97" s="2510"/>
      <c r="DX97" s="2510"/>
      <c r="DY97" s="2510"/>
      <c r="DZ97" s="2510"/>
      <c r="EA97" s="2510"/>
      <c r="EB97" s="2510"/>
      <c r="EC97" s="2510"/>
      <c r="ED97" s="2510"/>
      <c r="EE97" s="2510"/>
      <c r="EF97" s="2472">
        <v>3000</v>
      </c>
      <c r="EG97" s="2472"/>
      <c r="EH97" s="2510"/>
      <c r="EI97" s="2472"/>
      <c r="EJ97" s="2510"/>
      <c r="EK97" s="2510"/>
      <c r="EL97" s="2510"/>
      <c r="EM97" s="2472"/>
      <c r="EN97" s="2510"/>
      <c r="EO97" s="2510"/>
      <c r="EP97" s="2510"/>
      <c r="EQ97" s="2510"/>
      <c r="ER97" s="2510"/>
      <c r="ES97" s="2510"/>
      <c r="ET97" s="2510"/>
      <c r="EU97" s="2510"/>
      <c r="EV97" s="2510"/>
      <c r="EW97" s="2510"/>
      <c r="EX97" s="2510"/>
      <c r="EY97" s="2472"/>
      <c r="EZ97" s="2510"/>
      <c r="FA97" s="2510"/>
      <c r="FB97" s="2510"/>
      <c r="FC97" s="2510"/>
      <c r="FD97" s="2510"/>
      <c r="FE97" s="2510"/>
      <c r="FF97" s="2472"/>
      <c r="FG97" s="2510"/>
      <c r="FH97" s="2472">
        <v>4500</v>
      </c>
      <c r="FI97" s="2510"/>
      <c r="FJ97" s="2510"/>
      <c r="FK97" s="2510"/>
      <c r="FL97" s="2510"/>
      <c r="FM97" s="2510"/>
      <c r="FN97" s="2510"/>
      <c r="FO97" s="2510"/>
      <c r="FP97" s="2510"/>
      <c r="FQ97" s="2510"/>
      <c r="FR97" s="2510"/>
      <c r="FS97" s="2510"/>
      <c r="FT97" s="2510"/>
      <c r="FU97" s="2510"/>
      <c r="FV97" s="2510"/>
      <c r="FW97" s="2510"/>
      <c r="FX97" s="2510"/>
      <c r="FY97" s="2510"/>
      <c r="FZ97" s="2510"/>
      <c r="GA97" s="2510"/>
      <c r="GB97" s="2510"/>
      <c r="GC97" s="2510"/>
      <c r="GD97" s="2510"/>
      <c r="GE97" s="2510"/>
      <c r="GF97" s="2510"/>
      <c r="GG97" s="2510"/>
      <c r="GH97" s="2510"/>
      <c r="GI97" s="2510"/>
      <c r="GJ97" s="2472"/>
      <c r="GK97" s="2510"/>
      <c r="GL97" s="2510"/>
      <c r="GM97" s="2510"/>
      <c r="GN97" s="2510"/>
      <c r="GO97" s="2510"/>
      <c r="GP97" s="2510"/>
      <c r="GQ97" s="2510"/>
      <c r="GR97" s="2510"/>
      <c r="GS97" s="2510"/>
      <c r="GT97" s="2510"/>
      <c r="GU97" s="2510"/>
      <c r="GV97" s="2510"/>
      <c r="GW97" s="2510"/>
      <c r="GX97" s="2472"/>
      <c r="GY97" s="2510"/>
      <c r="GZ97" s="2510"/>
      <c r="HA97" s="2510"/>
      <c r="HB97" s="2472"/>
      <c r="HC97" s="2472">
        <v>4500</v>
      </c>
      <c r="HD97" s="2510"/>
      <c r="HE97" s="2510"/>
      <c r="HF97" s="2510"/>
      <c r="HG97" s="2510"/>
      <c r="HH97" s="2510"/>
      <c r="HI97" s="2510"/>
      <c r="HJ97" s="2510"/>
      <c r="HK97" s="2510"/>
      <c r="HL97" s="2510"/>
      <c r="HM97" s="2510"/>
      <c r="HN97" s="2510"/>
      <c r="HO97" s="2472"/>
      <c r="HP97" s="2510"/>
      <c r="HQ97" s="2510"/>
      <c r="HR97" s="2510"/>
      <c r="HS97" s="2510"/>
      <c r="HT97" s="2510"/>
      <c r="HU97" s="2510"/>
      <c r="HV97" s="2510"/>
      <c r="HW97" s="2510"/>
      <c r="HX97" s="2510"/>
      <c r="HY97" s="2510"/>
      <c r="HZ97" s="2510"/>
      <c r="IA97" s="2510"/>
      <c r="IB97" s="2510"/>
      <c r="IC97" s="2510"/>
      <c r="ID97" s="2510"/>
      <c r="IE97" s="2510"/>
      <c r="IF97" s="2510"/>
      <c r="IG97" s="2510"/>
      <c r="IH97" s="2510"/>
      <c r="II97" s="2510"/>
      <c r="IJ97" s="2510"/>
      <c r="IK97" s="2510"/>
      <c r="IL97" s="2510"/>
      <c r="IM97" s="2510"/>
      <c r="IN97" s="2510"/>
      <c r="IO97" s="2510"/>
      <c r="IP97" s="2510"/>
      <c r="IQ97" s="2510"/>
      <c r="IR97" s="2510"/>
      <c r="IS97" s="2510"/>
      <c r="IT97" s="2510"/>
      <c r="IU97" s="2510"/>
      <c r="IV97" s="2510"/>
      <c r="IW97" s="2510"/>
      <c r="IX97" s="2510"/>
      <c r="IY97" s="2510"/>
      <c r="IZ97" s="2510"/>
      <c r="JA97" s="2510"/>
      <c r="JB97" s="2510"/>
      <c r="JC97" s="2510"/>
      <c r="JD97" s="2510"/>
      <c r="JE97" s="2510"/>
      <c r="JF97" s="2510"/>
      <c r="JG97" s="2479"/>
      <c r="JH97" s="1233"/>
      <c r="JI97" s="2248" t="s">
        <v>8855</v>
      </c>
      <c r="JJ97" s="2248" t="s">
        <v>6108</v>
      </c>
    </row>
    <row r="98" spans="1:270" x14ac:dyDescent="0.2">
      <c r="A98" s="1128">
        <v>55</v>
      </c>
      <c r="B98" s="1347" t="str">
        <f si="4" t="shared"/>
        <v/>
      </c>
      <c r="C98" s="4080" t="s">
        <v>2685</v>
      </c>
      <c r="D98" s="4045" t="s">
        <v>8495</v>
      </c>
      <c r="E98" s="2472"/>
      <c r="F98" s="2472"/>
      <c r="G98" s="2472"/>
      <c r="H98" s="2472"/>
      <c r="I98" s="2472"/>
      <c r="J98" s="2511"/>
      <c r="K98" s="2472"/>
      <c r="L98" s="2472"/>
      <c r="M98" s="2472"/>
      <c r="N98" s="2472"/>
      <c r="O98" s="2509"/>
      <c r="P98" s="2509"/>
      <c r="Q98" s="2472"/>
      <c r="R98" s="2509"/>
      <c r="S98" s="2472"/>
      <c r="T98" s="2510"/>
      <c r="U98" s="2510"/>
      <c r="V98" s="2510"/>
      <c r="W98" s="2510"/>
      <c r="X98" s="2510"/>
      <c r="Y98" s="2510"/>
      <c r="Z98" s="2510"/>
      <c r="AA98" s="2510"/>
      <c r="AB98" s="2510"/>
      <c r="AC98" s="2472"/>
      <c r="AD98" s="2841"/>
      <c r="AE98" s="2841"/>
      <c r="AF98" s="2841"/>
      <c r="AG98" s="2841"/>
      <c r="AH98" s="2841"/>
      <c r="AI98" s="2510"/>
      <c r="AJ98" s="2472"/>
      <c r="AK98" s="2510"/>
      <c r="AL98" s="2472"/>
      <c r="AM98" s="2510"/>
      <c r="AN98" s="2510"/>
      <c r="AO98" s="2510"/>
      <c r="AP98" s="2510"/>
      <c r="AQ98" s="2510"/>
      <c r="AR98" s="2510"/>
      <c r="AS98" s="2510"/>
      <c r="AT98" s="2510"/>
      <c r="AU98" s="2510"/>
      <c r="AV98" s="2472"/>
      <c r="AW98" s="2510"/>
      <c r="AX98" s="2510"/>
      <c r="AY98" s="2510"/>
      <c r="AZ98" s="2510"/>
      <c r="BA98" s="2510"/>
      <c r="BB98" s="2510"/>
      <c r="BC98" s="2510"/>
      <c r="BD98" s="2510"/>
      <c r="BE98" s="2510"/>
      <c r="BF98" s="2510"/>
      <c r="BG98" s="2510"/>
      <c r="BH98" s="3956"/>
      <c r="BI98" s="3956"/>
      <c r="BJ98" s="2472"/>
      <c r="BK98" s="2510"/>
      <c r="BL98" s="2510"/>
      <c r="BM98" s="2510"/>
      <c r="BN98" s="2510"/>
      <c r="BO98" s="2510"/>
      <c r="BP98" s="2472"/>
      <c r="BQ98" s="2510"/>
      <c r="BR98" s="2510"/>
      <c r="BS98" s="2510"/>
      <c r="BT98" s="2510"/>
      <c r="BU98" s="2510"/>
      <c r="BV98" s="2510"/>
      <c r="BW98" s="2510"/>
      <c r="BX98" s="2510"/>
      <c r="BY98" s="2510"/>
      <c r="BZ98" s="2510"/>
      <c r="CA98" s="2510"/>
      <c r="CB98" s="3728">
        <v>23000</v>
      </c>
      <c r="CC98" s="2510"/>
      <c r="CD98" s="2510"/>
      <c r="CE98" s="2510"/>
      <c r="CF98" s="2472"/>
      <c r="CG98" s="2510"/>
      <c r="CH98" s="2472"/>
      <c r="CI98" s="2510"/>
      <c r="CJ98" s="2510"/>
      <c r="CK98" s="2510"/>
      <c r="CL98" s="2472"/>
      <c r="CM98" s="2510"/>
      <c r="CN98" s="2510"/>
      <c r="CO98" s="2510"/>
      <c r="CP98" s="2510"/>
      <c r="CQ98" s="2510"/>
      <c r="CR98" s="2472"/>
      <c r="CS98" s="2472"/>
      <c r="CT98" s="2510"/>
      <c r="CU98" s="2472"/>
      <c r="CV98" s="2472"/>
      <c r="CW98" s="2510"/>
      <c r="CX98" s="2510"/>
      <c r="CY98" s="2510"/>
      <c r="CZ98" s="2510"/>
      <c r="DA98" s="2510"/>
      <c r="DB98" s="2510"/>
      <c r="DC98" s="2472"/>
      <c r="DD98" s="2510"/>
      <c r="DE98" s="2510"/>
      <c r="DF98" s="2510"/>
      <c r="DG98" s="2510"/>
      <c r="DH98" s="2510"/>
      <c r="DI98" s="2510"/>
      <c r="DJ98" s="2472"/>
      <c r="DK98" s="2510"/>
      <c r="DL98" s="2510"/>
      <c r="DM98" s="2510"/>
      <c r="DN98" s="2510"/>
      <c r="DO98" s="2472"/>
      <c r="DP98" s="2510"/>
      <c r="DQ98" s="2510"/>
      <c r="DR98" s="2510"/>
      <c r="DS98" s="2510"/>
      <c r="DT98" s="2510"/>
      <c r="DU98" s="2510"/>
      <c r="DV98" s="2510"/>
      <c r="DW98" s="2510"/>
      <c r="DX98" s="2510"/>
      <c r="DY98" s="2510"/>
      <c r="DZ98" s="2510"/>
      <c r="EA98" s="2510"/>
      <c r="EB98" s="2510"/>
      <c r="EC98" s="2510"/>
      <c r="ED98" s="2510"/>
      <c r="EE98" s="2510"/>
      <c r="EF98" s="2472"/>
      <c r="EG98" s="2472"/>
      <c r="EH98" s="2510"/>
      <c r="EI98" s="2472"/>
      <c r="EJ98" s="2510"/>
      <c r="EK98" s="2510"/>
      <c r="EL98" s="2510"/>
      <c r="EM98" s="2472"/>
      <c r="EN98" s="2510"/>
      <c r="EO98" s="2510"/>
      <c r="EP98" s="2510"/>
      <c r="EQ98" s="2510"/>
      <c r="ER98" s="2510"/>
      <c r="ES98" s="2510"/>
      <c r="ET98" s="2510"/>
      <c r="EU98" s="2510"/>
      <c r="EV98" s="2510"/>
      <c r="EW98" s="2510"/>
      <c r="EX98" s="2510"/>
      <c r="EY98" s="2472"/>
      <c r="EZ98" s="2510"/>
      <c r="FA98" s="2510"/>
      <c r="FB98" s="2510"/>
      <c r="FC98" s="2510"/>
      <c r="FD98" s="2510"/>
      <c r="FE98" s="2510"/>
      <c r="FF98" s="2472"/>
      <c r="FG98" s="2510"/>
      <c r="FH98" s="2472"/>
      <c r="FI98" s="2510"/>
      <c r="FJ98" s="2510"/>
      <c r="FK98" s="2510"/>
      <c r="FL98" s="2510"/>
      <c r="FM98" s="2510"/>
      <c r="FN98" s="2510"/>
      <c r="FO98" s="2510"/>
      <c r="FP98" s="2510"/>
      <c r="FQ98" s="2510"/>
      <c r="FR98" s="2510"/>
      <c r="FS98" s="2510"/>
      <c r="FT98" s="2510"/>
      <c r="FU98" s="2510"/>
      <c r="FV98" s="2510"/>
      <c r="FW98" s="2510"/>
      <c r="FX98" s="2510"/>
      <c r="FY98" s="2510"/>
      <c r="FZ98" s="2510"/>
      <c r="GA98" s="2510"/>
      <c r="GB98" s="2510"/>
      <c r="GC98" s="2510"/>
      <c r="GD98" s="2510"/>
      <c r="GE98" s="2510"/>
      <c r="GF98" s="2510"/>
      <c r="GG98" s="2510"/>
      <c r="GH98" s="2510"/>
      <c r="GI98" s="2510"/>
      <c r="GJ98" s="2472"/>
      <c r="GK98" s="2510"/>
      <c r="GL98" s="2510"/>
      <c r="GM98" s="2510"/>
      <c r="GN98" s="2510"/>
      <c r="GO98" s="2510"/>
      <c r="GP98" s="2510"/>
      <c r="GQ98" s="2510"/>
      <c r="GR98" s="2510"/>
      <c r="GS98" s="2510"/>
      <c r="GT98" s="2510"/>
      <c r="GU98" s="2510"/>
      <c r="GV98" s="2510"/>
      <c r="GW98" s="2510"/>
      <c r="GX98" s="2472"/>
      <c r="GY98" s="2510"/>
      <c r="GZ98" s="2510"/>
      <c r="HA98" s="2510"/>
      <c r="HB98" s="2472"/>
      <c r="HC98" s="2472"/>
      <c r="HD98" s="2510"/>
      <c r="HE98" s="2510"/>
      <c r="HF98" s="2510"/>
      <c r="HG98" s="2510"/>
      <c r="HH98" s="2510"/>
      <c r="HI98" s="2510"/>
      <c r="HJ98" s="2510"/>
      <c r="HK98" s="2510"/>
      <c r="HL98" s="2510"/>
      <c r="HM98" s="2510"/>
      <c r="HN98" s="2510"/>
      <c r="HO98" s="2472"/>
      <c r="HP98" s="2510"/>
      <c r="HQ98" s="2510"/>
      <c r="HR98" s="2510"/>
      <c r="HS98" s="2510"/>
      <c r="HT98" s="2510"/>
      <c r="HU98" s="2510"/>
      <c r="HV98" s="2510"/>
      <c r="HW98" s="2510"/>
      <c r="HX98" s="2510"/>
      <c r="HY98" s="2510"/>
      <c r="HZ98" s="2510"/>
      <c r="IA98" s="2510"/>
      <c r="IB98" s="2510"/>
      <c r="IC98" s="2510"/>
      <c r="ID98" s="2510"/>
      <c r="IE98" s="2510"/>
      <c r="IF98" s="2510"/>
      <c r="IG98" s="2510"/>
      <c r="IH98" s="2510"/>
      <c r="II98" s="2510"/>
      <c r="IJ98" s="2510"/>
      <c r="IK98" s="2510"/>
      <c r="IL98" s="2510"/>
      <c r="IM98" s="2510"/>
      <c r="IN98" s="2510"/>
      <c r="IO98" s="2510"/>
      <c r="IP98" s="2510"/>
      <c r="IQ98" s="2510"/>
      <c r="IR98" s="2510"/>
      <c r="IS98" s="2510"/>
      <c r="IT98" s="2510"/>
      <c r="IU98" s="2510"/>
      <c r="IV98" s="2510"/>
      <c r="IW98" s="2510"/>
      <c r="IX98" s="2510"/>
      <c r="IY98" s="2510"/>
      <c r="IZ98" s="2510"/>
      <c r="JA98" s="2510"/>
      <c r="JB98" s="2510"/>
      <c r="JC98" s="2510"/>
      <c r="JD98" s="2510"/>
      <c r="JE98" s="2510"/>
      <c r="JF98" s="2510"/>
      <c r="JG98" s="2479"/>
      <c r="JH98" s="1233"/>
      <c r="JI98" s="4282" t="s">
        <v>8855</v>
      </c>
      <c r="JJ98" s="4282" t="s">
        <v>6108</v>
      </c>
    </row>
    <row r="99" spans="1:270" x14ac:dyDescent="0.2">
      <c r="A99" s="1128">
        <v>56</v>
      </c>
      <c r="B99" s="1347" t="str">
        <f si="4" t="shared"/>
        <v/>
      </c>
      <c r="C99" s="4081" t="s">
        <v>2686</v>
      </c>
      <c r="D99" s="4054" t="s">
        <v>8499</v>
      </c>
      <c r="E99" s="2472"/>
      <c r="F99" s="2472"/>
      <c r="G99" s="2472"/>
      <c r="H99" s="2472"/>
      <c r="I99" s="2472"/>
      <c r="J99" s="2511"/>
      <c r="K99" s="2472"/>
      <c r="L99" s="2472"/>
      <c r="M99" s="2472"/>
      <c r="N99" s="2472"/>
      <c r="O99" s="2509"/>
      <c r="P99" s="2509"/>
      <c r="Q99" s="2472"/>
      <c r="R99" s="2509"/>
      <c r="S99" s="2472"/>
      <c r="T99" s="2510"/>
      <c r="U99" s="2510"/>
      <c r="V99" s="2510"/>
      <c r="W99" s="2510"/>
      <c r="X99" s="2510"/>
      <c r="Y99" s="2510"/>
      <c r="Z99" s="2510"/>
      <c r="AA99" s="2510"/>
      <c r="AB99" s="2510"/>
      <c r="AC99" s="2472"/>
      <c r="AD99" s="2841"/>
      <c r="AE99" s="2841"/>
      <c r="AF99" s="2841"/>
      <c r="AG99" s="2841"/>
      <c r="AH99" s="2841"/>
      <c r="AI99" s="2510"/>
      <c r="AJ99" s="2472"/>
      <c r="AK99" s="2510"/>
      <c r="AL99" s="2472"/>
      <c r="AM99" s="2510"/>
      <c r="AN99" s="2510"/>
      <c r="AO99" s="2510"/>
      <c r="AP99" s="2510"/>
      <c r="AQ99" s="2510"/>
      <c r="AR99" s="2510"/>
      <c r="AS99" s="2510"/>
      <c r="AT99" s="2510"/>
      <c r="AU99" s="2510"/>
      <c r="AV99" s="2472"/>
      <c r="AW99" s="2510"/>
      <c r="AX99" s="2510"/>
      <c r="AY99" s="2510"/>
      <c r="AZ99" s="2510"/>
      <c r="BA99" s="2510"/>
      <c r="BB99" s="2510"/>
      <c r="BC99" s="2510"/>
      <c r="BD99" s="2510"/>
      <c r="BE99" s="2510"/>
      <c r="BF99" s="2510"/>
      <c r="BG99" s="2510"/>
      <c r="BH99" s="3956"/>
      <c r="BI99" s="3956"/>
      <c r="BJ99" s="2472"/>
      <c r="BK99" s="2510"/>
      <c r="BL99" s="2510"/>
      <c r="BM99" s="2510"/>
      <c r="BN99" s="2510"/>
      <c r="BO99" s="2510"/>
      <c r="BP99" s="2472"/>
      <c r="BQ99" s="2510"/>
      <c r="BR99" s="2510"/>
      <c r="BS99" s="2510"/>
      <c r="BT99" s="2510"/>
      <c r="BU99" s="2510"/>
      <c r="BV99" s="2510"/>
      <c r="BW99" s="2510"/>
      <c r="BX99" s="2510"/>
      <c r="BY99" s="2510"/>
      <c r="BZ99" s="2510"/>
      <c r="CA99" s="2510"/>
      <c r="CB99" s="3728">
        <v>3000</v>
      </c>
      <c r="CC99" s="2510"/>
      <c r="CD99" s="2510"/>
      <c r="CE99" s="2510"/>
      <c r="CF99" s="2472"/>
      <c r="CG99" s="2510"/>
      <c r="CH99" s="2472"/>
      <c r="CI99" s="2510"/>
      <c r="CJ99" s="2510"/>
      <c r="CK99" s="2510"/>
      <c r="CL99" s="2472"/>
      <c r="CM99" s="2510"/>
      <c r="CN99" s="2510"/>
      <c r="CO99" s="2510"/>
      <c r="CP99" s="2510"/>
      <c r="CQ99" s="2510"/>
      <c r="CR99" s="2472"/>
      <c r="CS99" s="2472"/>
      <c r="CT99" s="2510"/>
      <c r="CU99" s="2472"/>
      <c r="CV99" s="2472"/>
      <c r="CW99" s="2510"/>
      <c r="CX99" s="2510"/>
      <c r="CY99" s="2510"/>
      <c r="CZ99" s="2510"/>
      <c r="DA99" s="2510"/>
      <c r="DB99" s="2510"/>
      <c r="DC99" s="2472"/>
      <c r="DD99" s="2510"/>
      <c r="DE99" s="2510"/>
      <c r="DF99" s="2510"/>
      <c r="DG99" s="2510"/>
      <c r="DH99" s="2510"/>
      <c r="DI99" s="2510"/>
      <c r="DJ99" s="2472"/>
      <c r="DK99" s="2510"/>
      <c r="DL99" s="2510"/>
      <c r="DM99" s="2510"/>
      <c r="DN99" s="2510"/>
      <c r="DO99" s="2472"/>
      <c r="DP99" s="2510"/>
      <c r="DQ99" s="2510"/>
      <c r="DR99" s="2510"/>
      <c r="DS99" s="2510"/>
      <c r="DT99" s="2510"/>
      <c r="DU99" s="2510"/>
      <c r="DV99" s="2510"/>
      <c r="DW99" s="2510"/>
      <c r="DX99" s="2510"/>
      <c r="DY99" s="2510"/>
      <c r="DZ99" s="2510"/>
      <c r="EA99" s="2510"/>
      <c r="EB99" s="2510"/>
      <c r="EC99" s="2510"/>
      <c r="ED99" s="2510"/>
      <c r="EE99" s="2510"/>
      <c r="EF99" s="2472"/>
      <c r="EG99" s="2472"/>
      <c r="EH99" s="2510"/>
      <c r="EI99" s="2472"/>
      <c r="EJ99" s="2510"/>
      <c r="EK99" s="2510"/>
      <c r="EL99" s="2510"/>
      <c r="EM99" s="2472"/>
      <c r="EN99" s="2510"/>
      <c r="EO99" s="2510"/>
      <c r="EP99" s="2510"/>
      <c r="EQ99" s="2510"/>
      <c r="ER99" s="2510"/>
      <c r="ES99" s="2510"/>
      <c r="ET99" s="2510"/>
      <c r="EU99" s="2510"/>
      <c r="EV99" s="2510"/>
      <c r="EW99" s="2510"/>
      <c r="EX99" s="2510"/>
      <c r="EY99" s="2472"/>
      <c r="EZ99" s="2510"/>
      <c r="FA99" s="2510"/>
      <c r="FB99" s="2510"/>
      <c r="FC99" s="2510"/>
      <c r="FD99" s="2510"/>
      <c r="FE99" s="2510"/>
      <c r="FF99" s="2472"/>
      <c r="FG99" s="2510"/>
      <c r="FH99" s="2472"/>
      <c r="FI99" s="2510"/>
      <c r="FJ99" s="2510"/>
      <c r="FK99" s="2510"/>
      <c r="FL99" s="2510"/>
      <c r="FM99" s="2510"/>
      <c r="FN99" s="2510"/>
      <c r="FO99" s="2510"/>
      <c r="FP99" s="2510"/>
      <c r="FQ99" s="2510"/>
      <c r="FR99" s="2510"/>
      <c r="FS99" s="2510"/>
      <c r="FT99" s="2510"/>
      <c r="FU99" s="2510"/>
      <c r="FV99" s="2510"/>
      <c r="FW99" s="2510"/>
      <c r="FX99" s="2510"/>
      <c r="FY99" s="2510"/>
      <c r="FZ99" s="2510"/>
      <c r="GA99" s="2510"/>
      <c r="GB99" s="2510"/>
      <c r="GC99" s="2510"/>
      <c r="GD99" s="2510"/>
      <c r="GE99" s="2510"/>
      <c r="GF99" s="2510"/>
      <c r="GG99" s="2510"/>
      <c r="GH99" s="2510"/>
      <c r="GI99" s="2510"/>
      <c r="GJ99" s="2472"/>
      <c r="GK99" s="2510"/>
      <c r="GL99" s="2510"/>
      <c r="GM99" s="2510"/>
      <c r="GN99" s="2510"/>
      <c r="GO99" s="2510"/>
      <c r="GP99" s="2510"/>
      <c r="GQ99" s="2510"/>
      <c r="GR99" s="2510"/>
      <c r="GS99" s="2510"/>
      <c r="GT99" s="2510"/>
      <c r="GU99" s="2510"/>
      <c r="GV99" s="2510"/>
      <c r="GW99" s="2510"/>
      <c r="GX99" s="2472"/>
      <c r="GY99" s="2510"/>
      <c r="GZ99" s="2510"/>
      <c r="HA99" s="2510"/>
      <c r="HB99" s="2472"/>
      <c r="HC99" s="2472"/>
      <c r="HD99" s="2510"/>
      <c r="HE99" s="2510"/>
      <c r="HF99" s="2510"/>
      <c r="HG99" s="2510"/>
      <c r="HH99" s="2510"/>
      <c r="HI99" s="2510"/>
      <c r="HJ99" s="2510"/>
      <c r="HK99" s="2510"/>
      <c r="HL99" s="2510"/>
      <c r="HM99" s="2510"/>
      <c r="HN99" s="2510"/>
      <c r="HO99" s="2472"/>
      <c r="HP99" s="2510"/>
      <c r="HQ99" s="2510"/>
      <c r="HR99" s="2510"/>
      <c r="HS99" s="2510"/>
      <c r="HT99" s="2510"/>
      <c r="HU99" s="2510"/>
      <c r="HV99" s="2510"/>
      <c r="HW99" s="2510"/>
      <c r="HX99" s="2510"/>
      <c r="HY99" s="2510"/>
      <c r="HZ99" s="2510"/>
      <c r="IA99" s="2510"/>
      <c r="IB99" s="2510"/>
      <c r="IC99" s="2510"/>
      <c r="ID99" s="2510"/>
      <c r="IE99" s="2510"/>
      <c r="IF99" s="2510"/>
      <c r="IG99" s="2510"/>
      <c r="IH99" s="2510"/>
      <c r="II99" s="2510"/>
      <c r="IJ99" s="2510"/>
      <c r="IK99" s="2510"/>
      <c r="IL99" s="2510"/>
      <c r="IM99" s="2510"/>
      <c r="IN99" s="2510"/>
      <c r="IO99" s="2510"/>
      <c r="IP99" s="2510"/>
      <c r="IQ99" s="2510"/>
      <c r="IR99" s="2510"/>
      <c r="IS99" s="2510"/>
      <c r="IT99" s="2510"/>
      <c r="IU99" s="2510"/>
      <c r="IV99" s="2510"/>
      <c r="IW99" s="2510"/>
      <c r="IX99" s="2510"/>
      <c r="IY99" s="2510"/>
      <c r="IZ99" s="2510"/>
      <c r="JA99" s="2510"/>
      <c r="JB99" s="2510"/>
      <c r="JC99" s="2510"/>
      <c r="JD99" s="2510"/>
      <c r="JE99" s="2510"/>
      <c r="JF99" s="2510"/>
      <c r="JG99" s="2479"/>
      <c r="JH99" s="1233"/>
      <c r="JI99" s="4283" t="s">
        <v>8855</v>
      </c>
      <c r="JJ99" s="4283" t="s">
        <v>6108</v>
      </c>
    </row>
    <row r="100" spans="1:270" x14ac:dyDescent="0.2">
      <c r="A100" s="1128">
        <v>57</v>
      </c>
      <c r="B100" s="1347" t="str">
        <f si="4" t="shared"/>
        <v/>
      </c>
      <c r="C100" s="1278" t="s">
        <v>2687</v>
      </c>
      <c r="D100" s="1350" t="s">
        <v>5522</v>
      </c>
      <c r="E100" s="2472"/>
      <c r="F100" s="2472"/>
      <c r="G100" s="2472"/>
      <c r="H100" s="2472"/>
      <c r="I100" s="2472"/>
      <c r="J100" s="2511"/>
      <c r="K100" s="2472"/>
      <c r="L100" s="2472"/>
      <c r="M100" s="2472"/>
      <c r="N100" s="2472"/>
      <c r="O100" s="2509"/>
      <c r="P100" s="2509"/>
      <c r="Q100" s="2472"/>
      <c r="R100" s="2509"/>
      <c r="S100" s="2472"/>
      <c r="T100" s="2510"/>
      <c r="U100" s="2510"/>
      <c r="V100" s="2510"/>
      <c r="W100" s="2510"/>
      <c r="X100" s="2510"/>
      <c r="Y100" s="2510"/>
      <c r="Z100" s="2510"/>
      <c r="AA100" s="2510"/>
      <c r="AB100" s="2510"/>
      <c r="AC100" s="2472"/>
      <c r="AD100" s="2841"/>
      <c r="AE100" s="2841"/>
      <c r="AF100" s="2841"/>
      <c r="AG100" s="2841"/>
      <c r="AH100" s="3539">
        <v>900</v>
      </c>
      <c r="AI100" s="2510"/>
      <c r="AJ100" s="2472"/>
      <c r="AK100" s="2510"/>
      <c r="AL100" s="2472">
        <v>1200</v>
      </c>
      <c r="AM100" s="2510"/>
      <c r="AN100" s="2510"/>
      <c r="AO100" s="2510"/>
      <c r="AP100" s="2510"/>
      <c r="AQ100" s="2510"/>
      <c r="AR100" s="2510"/>
      <c r="AS100" s="2510"/>
      <c r="AT100" s="2510"/>
      <c r="AU100" s="2510"/>
      <c r="AV100" s="2472"/>
      <c r="AW100" s="2510"/>
      <c r="AX100" s="2510"/>
      <c r="AY100" s="2510"/>
      <c r="AZ100" s="2510"/>
      <c r="BA100" s="2510"/>
      <c r="BB100" s="2510"/>
      <c r="BC100" s="2510"/>
      <c r="BD100" s="2510"/>
      <c r="BE100" s="2510"/>
      <c r="BF100" s="2510"/>
      <c r="BG100" s="2510"/>
      <c r="BH100" s="3956"/>
      <c r="BI100" s="3956"/>
      <c r="BJ100" s="2472">
        <v>1200</v>
      </c>
      <c r="BK100" s="2510"/>
      <c r="BL100" s="2510"/>
      <c r="BM100" s="2510"/>
      <c r="BN100" s="2510"/>
      <c r="BO100" s="2510"/>
      <c r="BP100" s="2472"/>
      <c r="BQ100" s="2510"/>
      <c r="BR100" s="2510"/>
      <c r="BS100" s="2510"/>
      <c r="BT100" s="2510"/>
      <c r="BU100" s="2510"/>
      <c r="BV100" s="2510"/>
      <c r="BW100" s="2510"/>
      <c r="BX100" s="2510"/>
      <c r="BY100" s="2510"/>
      <c r="BZ100" s="2510"/>
      <c r="CA100" s="2510"/>
      <c r="CB100" s="2472"/>
      <c r="CC100" s="2510"/>
      <c r="CD100" s="2510"/>
      <c r="CE100" s="2510"/>
      <c r="CF100" s="2472"/>
      <c r="CG100" s="2510"/>
      <c r="CH100" s="2472"/>
      <c r="CI100" s="2510"/>
      <c r="CJ100" s="2510"/>
      <c r="CK100" s="2510"/>
      <c r="CL100" s="2472">
        <v>1200</v>
      </c>
      <c r="CM100" s="2510"/>
      <c r="CN100" s="2510"/>
      <c r="CO100" s="2510"/>
      <c r="CP100" s="2510"/>
      <c r="CQ100" s="2510"/>
      <c r="CR100" s="2472">
        <v>1200</v>
      </c>
      <c r="CS100" s="2472">
        <v>1200</v>
      </c>
      <c r="CT100" s="2510"/>
      <c r="CU100" s="2472"/>
      <c r="CV100" s="2472"/>
      <c r="CW100" s="2510"/>
      <c r="CX100" s="2510"/>
      <c r="CY100" s="2510"/>
      <c r="CZ100" s="2510"/>
      <c r="DA100" s="2510"/>
      <c r="DB100" s="2510"/>
      <c r="DC100" s="2472"/>
      <c r="DD100" s="2510"/>
      <c r="DE100" s="2510"/>
      <c r="DF100" s="2510"/>
      <c r="DG100" s="2510"/>
      <c r="DH100" s="2510"/>
      <c r="DI100" s="2510"/>
      <c r="DJ100" s="2472"/>
      <c r="DK100" s="2510"/>
      <c r="DL100" s="2510"/>
      <c r="DM100" s="2510"/>
      <c r="DN100" s="2510"/>
      <c r="DO100" s="2472"/>
      <c r="DP100" s="2510"/>
      <c r="DQ100" s="2510"/>
      <c r="DR100" s="2510"/>
      <c r="DS100" s="2510"/>
      <c r="DT100" s="2510"/>
      <c r="DU100" s="2510"/>
      <c r="DV100" s="2510"/>
      <c r="DW100" s="2510"/>
      <c r="DX100" s="2510"/>
      <c r="DY100" s="2510"/>
      <c r="DZ100" s="2510"/>
      <c r="EA100" s="2510"/>
      <c r="EB100" s="2510"/>
      <c r="EC100" s="2510"/>
      <c r="ED100" s="2510"/>
      <c r="EE100" s="2510"/>
      <c r="EF100" s="2472"/>
      <c r="EG100" s="2472"/>
      <c r="EH100" s="2510"/>
      <c r="EI100" s="2472"/>
      <c r="EJ100" s="2510"/>
      <c r="EK100" s="2510"/>
      <c r="EL100" s="2510"/>
      <c r="EM100" s="2472">
        <v>1200</v>
      </c>
      <c r="EN100" s="2510"/>
      <c r="EO100" s="2510"/>
      <c r="EP100" s="2510"/>
      <c r="EQ100" s="2510"/>
      <c r="ER100" s="2510"/>
      <c r="ES100" s="2510"/>
      <c r="ET100" s="2510"/>
      <c r="EU100" s="2510"/>
      <c r="EV100" s="2510"/>
      <c r="EW100" s="2510"/>
      <c r="EX100" s="2510"/>
      <c r="EY100" s="2472">
        <v>1200</v>
      </c>
      <c r="EZ100" s="2510"/>
      <c r="FA100" s="2510"/>
      <c r="FB100" s="2510"/>
      <c r="FC100" s="2510"/>
      <c r="FD100" s="2510"/>
      <c r="FE100" s="2510"/>
      <c r="FF100" s="2472"/>
      <c r="FG100" s="2510"/>
      <c r="FH100" s="2472"/>
      <c r="FI100" s="2510"/>
      <c r="FJ100" s="2510"/>
      <c r="FK100" s="2510"/>
      <c r="FL100" s="2510"/>
      <c r="FM100" s="2510"/>
      <c r="FN100" s="2510"/>
      <c r="FO100" s="2510"/>
      <c r="FP100" s="2510"/>
      <c r="FQ100" s="2510"/>
      <c r="FR100" s="2510"/>
      <c r="FS100" s="2510"/>
      <c r="FT100" s="2510"/>
      <c r="FU100" s="2510"/>
      <c r="FV100" s="2510"/>
      <c r="FW100" s="2510"/>
      <c r="FX100" s="2510"/>
      <c r="FY100" s="2510"/>
      <c r="FZ100" s="2510"/>
      <c r="GA100" s="2510"/>
      <c r="GB100" s="2510"/>
      <c r="GC100" s="2510"/>
      <c r="GD100" s="2510"/>
      <c r="GE100" s="2510"/>
      <c r="GF100" s="2510"/>
      <c r="GG100" s="2510"/>
      <c r="GH100" s="2510"/>
      <c r="GI100" s="2510"/>
      <c r="GJ100" s="2472"/>
      <c r="GK100" s="2510"/>
      <c r="GL100" s="2510"/>
      <c r="GM100" s="2510"/>
      <c r="GN100" s="2510"/>
      <c r="GO100" s="2510"/>
      <c r="GP100" s="2510"/>
      <c r="GQ100" s="2510"/>
      <c r="GR100" s="2510"/>
      <c r="GS100" s="2510"/>
      <c r="GT100" s="2510"/>
      <c r="GU100" s="2510"/>
      <c r="GV100" s="2510"/>
      <c r="GW100" s="2510"/>
      <c r="GX100" s="2472"/>
      <c r="GY100" s="2510"/>
      <c r="GZ100" s="2510"/>
      <c r="HA100" s="2510"/>
      <c r="HB100" s="2472"/>
      <c r="HC100" s="2472"/>
      <c r="HD100" s="2510"/>
      <c r="HE100" s="2510"/>
      <c r="HF100" s="2510"/>
      <c r="HG100" s="2510"/>
      <c r="HH100" s="2510"/>
      <c r="HI100" s="2510"/>
      <c r="HJ100" s="2510"/>
      <c r="HK100" s="2510"/>
      <c r="HL100" s="2510"/>
      <c r="HM100" s="2510"/>
      <c r="HN100" s="2510"/>
      <c r="HO100" s="2472"/>
      <c r="HP100" s="2510"/>
      <c r="HQ100" s="2510"/>
      <c r="HR100" s="2510"/>
      <c r="HS100" s="2510"/>
      <c r="HT100" s="2510"/>
      <c r="HU100" s="2510"/>
      <c r="HV100" s="2510"/>
      <c r="HW100" s="2510"/>
      <c r="HX100" s="2510"/>
      <c r="HY100" s="2510"/>
      <c r="HZ100" s="2510"/>
      <c r="IA100" s="2510"/>
      <c r="IB100" s="2510"/>
      <c r="IC100" s="2510"/>
      <c r="ID100" s="2510"/>
      <c r="IE100" s="2510"/>
      <c r="IF100" s="2510"/>
      <c r="IG100" s="2510"/>
      <c r="IH100" s="2510"/>
      <c r="II100" s="2510"/>
      <c r="IJ100" s="2510"/>
      <c r="IK100" s="2510"/>
      <c r="IL100" s="2510"/>
      <c r="IM100" s="2510"/>
      <c r="IN100" s="2510"/>
      <c r="IO100" s="2510"/>
      <c r="IP100" s="2510"/>
      <c r="IQ100" s="2510"/>
      <c r="IR100" s="2510"/>
      <c r="IS100" s="2510"/>
      <c r="IT100" s="2510"/>
      <c r="IU100" s="2510"/>
      <c r="IV100" s="2510"/>
      <c r="IW100" s="2510"/>
      <c r="IX100" s="2510"/>
      <c r="IY100" s="2510"/>
      <c r="IZ100" s="2510"/>
      <c r="JA100" s="2510"/>
      <c r="JB100" s="2510"/>
      <c r="JC100" s="2510"/>
      <c r="JD100" s="2510"/>
      <c r="JE100" s="2510"/>
      <c r="JF100" s="2510"/>
      <c r="JG100" s="2479"/>
      <c r="JH100" s="1233"/>
      <c r="JI100" s="2248" t="s">
        <v>8855</v>
      </c>
      <c r="JJ100" s="2248" t="s">
        <v>6108</v>
      </c>
    </row>
    <row r="101" spans="1:270" x14ac:dyDescent="0.2">
      <c r="A101" s="1128">
        <v>58</v>
      </c>
      <c r="B101" s="1347" t="str">
        <f si="4" t="shared"/>
        <v/>
      </c>
      <c r="C101" s="1278" t="s">
        <v>2688</v>
      </c>
      <c r="D101" s="1350" t="s">
        <v>5523</v>
      </c>
      <c r="E101" s="2472"/>
      <c r="F101" s="2472"/>
      <c r="G101" s="2472"/>
      <c r="H101" s="2472"/>
      <c r="I101" s="2472"/>
      <c r="J101" s="2511"/>
      <c r="K101" s="2472"/>
      <c r="L101" s="2472"/>
      <c r="M101" s="2472"/>
      <c r="N101" s="2472"/>
      <c r="O101" s="2509"/>
      <c r="P101" s="2509"/>
      <c r="Q101" s="2472"/>
      <c r="R101" s="2509"/>
      <c r="S101" s="2472"/>
      <c r="T101" s="2510"/>
      <c r="U101" s="2510"/>
      <c r="V101" s="2510"/>
      <c r="W101" s="2510"/>
      <c r="X101" s="2510"/>
      <c r="Y101" s="2510"/>
      <c r="Z101" s="2510"/>
      <c r="AA101" s="2510"/>
      <c r="AB101" s="2510"/>
      <c r="AC101" s="2472"/>
      <c r="AD101" s="2841"/>
      <c r="AE101" s="2841"/>
      <c r="AF101" s="2841"/>
      <c r="AG101" s="2841"/>
      <c r="AH101" s="2841"/>
      <c r="AI101" s="2510"/>
      <c r="AJ101" s="2472"/>
      <c r="AK101" s="2510"/>
      <c r="AL101" s="2472">
        <v>165</v>
      </c>
      <c r="AM101" s="2510"/>
      <c r="AN101" s="2510"/>
      <c r="AO101" s="2510"/>
      <c r="AP101" s="2510"/>
      <c r="AQ101" s="2510"/>
      <c r="AR101" s="2510"/>
      <c r="AS101" s="2510"/>
      <c r="AT101" s="2510"/>
      <c r="AU101" s="2510"/>
      <c r="AV101" s="2472"/>
      <c r="AW101" s="2510"/>
      <c r="AX101" s="2510"/>
      <c r="AY101" s="2510"/>
      <c r="AZ101" s="2510"/>
      <c r="BA101" s="2510"/>
      <c r="BB101" s="2510"/>
      <c r="BC101" s="2510"/>
      <c r="BD101" s="2510"/>
      <c r="BE101" s="2510"/>
      <c r="BF101" s="2510"/>
      <c r="BG101" s="2510"/>
      <c r="BH101" s="3956"/>
      <c r="BI101" s="3956"/>
      <c r="BJ101" s="2472">
        <v>165</v>
      </c>
      <c r="BK101" s="2510"/>
      <c r="BL101" s="2510"/>
      <c r="BM101" s="2510"/>
      <c r="BN101" s="2510"/>
      <c r="BO101" s="2510"/>
      <c r="BP101" s="2472"/>
      <c r="BQ101" s="2510"/>
      <c r="BR101" s="2510"/>
      <c r="BS101" s="2510"/>
      <c r="BT101" s="2510"/>
      <c r="BU101" s="2510"/>
      <c r="BV101" s="2510"/>
      <c r="BW101" s="2510"/>
      <c r="BX101" s="2510"/>
      <c r="BY101" s="2510"/>
      <c r="BZ101" s="2510"/>
      <c r="CA101" s="2510"/>
      <c r="CB101" s="2472"/>
      <c r="CC101" s="2510"/>
      <c r="CD101" s="2510"/>
      <c r="CE101" s="2510"/>
      <c r="CF101" s="2472"/>
      <c r="CG101" s="2510"/>
      <c r="CH101" s="2472"/>
      <c r="CI101" s="2510"/>
      <c r="CJ101" s="2510"/>
      <c r="CK101" s="2510"/>
      <c r="CL101" s="2472">
        <v>165</v>
      </c>
      <c r="CM101" s="2510"/>
      <c r="CN101" s="2510"/>
      <c r="CO101" s="2510"/>
      <c r="CP101" s="2510"/>
      <c r="CQ101" s="2510"/>
      <c r="CR101" s="2472">
        <v>165</v>
      </c>
      <c r="CS101" s="2472">
        <v>165</v>
      </c>
      <c r="CT101" s="2510"/>
      <c r="CU101" s="2472"/>
      <c r="CV101" s="2472"/>
      <c r="CW101" s="2510"/>
      <c r="CX101" s="2510"/>
      <c r="CY101" s="2510"/>
      <c r="CZ101" s="2510"/>
      <c r="DA101" s="2510"/>
      <c r="DB101" s="2510"/>
      <c r="DC101" s="2472"/>
      <c r="DD101" s="2510"/>
      <c r="DE101" s="2510"/>
      <c r="DF101" s="2510"/>
      <c r="DG101" s="2510"/>
      <c r="DH101" s="2510"/>
      <c r="DI101" s="2510"/>
      <c r="DJ101" s="2472"/>
      <c r="DK101" s="2510"/>
      <c r="DL101" s="2510"/>
      <c r="DM101" s="2510"/>
      <c r="DN101" s="2510"/>
      <c r="DO101" s="2472"/>
      <c r="DP101" s="2510"/>
      <c r="DQ101" s="2510"/>
      <c r="DR101" s="2510"/>
      <c r="DS101" s="2510"/>
      <c r="DT101" s="2510"/>
      <c r="DU101" s="2510"/>
      <c r="DV101" s="2510"/>
      <c r="DW101" s="2510"/>
      <c r="DX101" s="2510"/>
      <c r="DY101" s="2510"/>
      <c r="DZ101" s="2510"/>
      <c r="EA101" s="2510"/>
      <c r="EB101" s="2510"/>
      <c r="EC101" s="2510"/>
      <c r="ED101" s="2510"/>
      <c r="EE101" s="2510"/>
      <c r="EF101" s="2472"/>
      <c r="EG101" s="2472"/>
      <c r="EH101" s="2510"/>
      <c r="EI101" s="2472"/>
      <c r="EJ101" s="2510"/>
      <c r="EK101" s="2510"/>
      <c r="EL101" s="2510"/>
      <c r="EM101" s="2472">
        <v>165</v>
      </c>
      <c r="EN101" s="2510"/>
      <c r="EO101" s="2510"/>
      <c r="EP101" s="2510"/>
      <c r="EQ101" s="2510"/>
      <c r="ER101" s="2510"/>
      <c r="ES101" s="2510"/>
      <c r="ET101" s="2510"/>
      <c r="EU101" s="2510"/>
      <c r="EV101" s="2510"/>
      <c r="EW101" s="2510"/>
      <c r="EX101" s="2510"/>
      <c r="EY101" s="2472">
        <v>165</v>
      </c>
      <c r="EZ101" s="2510"/>
      <c r="FA101" s="2510"/>
      <c r="FB101" s="2510"/>
      <c r="FC101" s="2510"/>
      <c r="FD101" s="2510"/>
      <c r="FE101" s="2510"/>
      <c r="FF101" s="2472"/>
      <c r="FG101" s="2510"/>
      <c r="FH101" s="2472"/>
      <c r="FI101" s="2510"/>
      <c r="FJ101" s="2510"/>
      <c r="FK101" s="2510"/>
      <c r="FL101" s="2510"/>
      <c r="FM101" s="2510"/>
      <c r="FN101" s="2510"/>
      <c r="FO101" s="2510"/>
      <c r="FP101" s="2510"/>
      <c r="FQ101" s="2510"/>
      <c r="FR101" s="2510"/>
      <c r="FS101" s="2510"/>
      <c r="FT101" s="2510"/>
      <c r="FU101" s="2510"/>
      <c r="FV101" s="2510"/>
      <c r="FW101" s="2510"/>
      <c r="FX101" s="2510"/>
      <c r="FY101" s="2510"/>
      <c r="FZ101" s="2510"/>
      <c r="GA101" s="2510"/>
      <c r="GB101" s="2510"/>
      <c r="GC101" s="2510"/>
      <c r="GD101" s="2510"/>
      <c r="GE101" s="2510"/>
      <c r="GF101" s="2510"/>
      <c r="GG101" s="2510"/>
      <c r="GH101" s="2510"/>
      <c r="GI101" s="2510"/>
      <c r="GJ101" s="2472"/>
      <c r="GK101" s="2510"/>
      <c r="GL101" s="2510"/>
      <c r="GM101" s="2510"/>
      <c r="GN101" s="2510"/>
      <c r="GO101" s="2510"/>
      <c r="GP101" s="2510"/>
      <c r="GQ101" s="2510"/>
      <c r="GR101" s="2510"/>
      <c r="GS101" s="2510"/>
      <c r="GT101" s="2510"/>
      <c r="GU101" s="2510"/>
      <c r="GV101" s="2510"/>
      <c r="GW101" s="2510"/>
      <c r="GX101" s="2472"/>
      <c r="GY101" s="2510"/>
      <c r="GZ101" s="2510"/>
      <c r="HA101" s="2510"/>
      <c r="HB101" s="2472"/>
      <c r="HC101" s="2472"/>
      <c r="HD101" s="2510"/>
      <c r="HE101" s="2510"/>
      <c r="HF101" s="2510"/>
      <c r="HG101" s="2510"/>
      <c r="HH101" s="2510"/>
      <c r="HI101" s="2510"/>
      <c r="HJ101" s="2510"/>
      <c r="HK101" s="2510"/>
      <c r="HL101" s="2510"/>
      <c r="HM101" s="2510"/>
      <c r="HN101" s="2510"/>
      <c r="HO101" s="2472"/>
      <c r="HP101" s="2510"/>
      <c r="HQ101" s="2510"/>
      <c r="HR101" s="2510"/>
      <c r="HS101" s="2510"/>
      <c r="HT101" s="2510"/>
      <c r="HU101" s="2510"/>
      <c r="HV101" s="2510"/>
      <c r="HW101" s="2510"/>
      <c r="HX101" s="2510"/>
      <c r="HY101" s="2510"/>
      <c r="HZ101" s="2510"/>
      <c r="IA101" s="2510"/>
      <c r="IB101" s="2510"/>
      <c r="IC101" s="2510"/>
      <c r="ID101" s="2510"/>
      <c r="IE101" s="2510"/>
      <c r="IF101" s="2510"/>
      <c r="IG101" s="2510"/>
      <c r="IH101" s="2510"/>
      <c r="II101" s="2510"/>
      <c r="IJ101" s="2510"/>
      <c r="IK101" s="2510"/>
      <c r="IL101" s="2510"/>
      <c r="IM101" s="2510"/>
      <c r="IN101" s="2510"/>
      <c r="IO101" s="2510"/>
      <c r="IP101" s="2510"/>
      <c r="IQ101" s="2510"/>
      <c r="IR101" s="2510"/>
      <c r="IS101" s="2510"/>
      <c r="IT101" s="2510"/>
      <c r="IU101" s="2510"/>
      <c r="IV101" s="2510"/>
      <c r="IW101" s="2510"/>
      <c r="IX101" s="2510"/>
      <c r="IY101" s="2510"/>
      <c r="IZ101" s="2510"/>
      <c r="JA101" s="2510"/>
      <c r="JB101" s="2510"/>
      <c r="JC101" s="2510"/>
      <c r="JD101" s="2510"/>
      <c r="JE101" s="2510"/>
      <c r="JF101" s="2510"/>
      <c r="JG101" s="2479"/>
      <c r="JH101" s="1233"/>
      <c r="JI101" s="2248" t="s">
        <v>8855</v>
      </c>
      <c r="JJ101" s="2248" t="s">
        <v>6108</v>
      </c>
    </row>
    <row ht="33.75" r="102" spans="1:270" x14ac:dyDescent="0.2">
      <c r="A102" s="1128">
        <v>59</v>
      </c>
      <c r="B102" s="1347" t="str">
        <f si="4" t="shared"/>
        <v/>
      </c>
      <c r="C102" s="1278" t="s">
        <v>2689</v>
      </c>
      <c r="D102" s="1350" t="s">
        <v>5524</v>
      </c>
      <c r="E102" s="2514"/>
      <c r="F102" s="2514"/>
      <c r="G102" s="2514" t="str">
        <f>IF(G94+G95+G96+G97+G99+G100+G101&gt;0,G94+G95+G96+G97+G99+G100+G101,"")</f>
        <v/>
      </c>
      <c r="H102" s="2514"/>
      <c r="I102" s="2514" t="str">
        <f>IF(I94+I95+I96+I97+I99+I100+I101&gt;0,I94+I95+I96+I97+I99+I100+I101,"")</f>
        <v/>
      </c>
      <c r="J102" s="2513"/>
      <c r="K102" s="2514"/>
      <c r="L102" s="2514" t="str">
        <f>IF(L94+L95+L96+L97+L99+L100+L101&gt;0,L94+L95+L96+L97+L99+L100+L101,"")</f>
        <v/>
      </c>
      <c r="M102" s="2514"/>
      <c r="N102" s="2514"/>
      <c r="O102" s="2514"/>
      <c r="P102" s="2514"/>
      <c r="Q102" s="2514" t="str">
        <f>IF(Q94+Q95+Q96+Q97+Q99+Q100+Q101&gt;0,Q94+Q95+Q96+Q97+Q99+Q100+Q101,"")</f>
        <v/>
      </c>
      <c r="R102" s="2514"/>
      <c r="S102" s="2514" t="str">
        <f>IF(S94+S95+S96+S97+S99+S100+S101&gt;0,S94+S95+S96+S97+S99+S100+S101,"")</f>
        <v/>
      </c>
      <c r="T102" s="2539"/>
      <c r="U102" s="2539"/>
      <c r="V102" s="2539"/>
      <c r="W102" s="2539"/>
      <c r="X102" s="2539"/>
      <c r="Y102" s="2539"/>
      <c r="Z102" s="2539"/>
      <c r="AA102" s="2539"/>
      <c r="AB102" s="2539"/>
      <c r="AC102" s="2514" t="str">
        <f>IF(AC94+AC95+AC96+AC97+AC99+AC100+AC101&gt;0,AC94+AC95+AC96+AC97+AC99+AC100+AC101,"")</f>
        <v/>
      </c>
      <c r="AD102" s="2539"/>
      <c r="AE102" s="3541"/>
      <c r="AF102" s="2539"/>
      <c r="AG102" s="2539"/>
      <c r="AH102" s="3541">
        <f>IF(AH94+AH95+AH96+AH97+AH100+AH101&gt;0,AH94+AH95+AH96+AH97+AH100+AH101,"")</f>
        <v>900</v>
      </c>
      <c r="AI102" s="2539"/>
      <c r="AJ102" s="2514">
        <f>IF(AJ94+AJ95+AJ96+AJ97+AJ100+AJ101&gt;0,AJ94+AJ95+AJ96+AJ97+AJ100+AJ101,"")</f>
        <v>6350</v>
      </c>
      <c r="AK102" s="2539"/>
      <c r="AL102" s="2514">
        <f>IF(AL94+AL95+AL96+AL97+AL100+AL101&gt;0,AL94+AL95+AL96+AL97+AL100+AL101,"")</f>
        <v>3165</v>
      </c>
      <c r="AM102" s="2539"/>
      <c r="AN102" s="2539"/>
      <c r="AO102" s="2539"/>
      <c r="AP102" s="2539"/>
      <c r="AQ102" s="2539"/>
      <c r="AR102" s="2539"/>
      <c r="AS102" s="2539"/>
      <c r="AT102" s="2539"/>
      <c r="AU102" s="2539"/>
      <c r="AV102" s="2514">
        <f>IF(AV94+AV95+AV96+AV97+AV100+AV101&gt;0,AV94+AV95+AV96+AV97+AV100+AV101,"")</f>
        <v>7750</v>
      </c>
      <c r="AW102" s="2539"/>
      <c r="AX102" s="2539"/>
      <c r="AY102" s="2539"/>
      <c r="AZ102" s="2539"/>
      <c r="BA102" s="2539"/>
      <c r="BB102" s="2539"/>
      <c r="BC102" s="2539"/>
      <c r="BD102" s="2539"/>
      <c r="BE102" s="2539"/>
      <c r="BF102" s="2539"/>
      <c r="BG102" s="2539"/>
      <c r="BH102" s="3957"/>
      <c r="BI102" s="3957"/>
      <c r="BJ102" s="2514">
        <f>IF(BJ94+BJ95+BJ96+BJ97+BJ100+BJ101&gt;0,BJ94+BJ95+BJ96+BJ97+BJ100+BJ101,"")</f>
        <v>3165</v>
      </c>
      <c r="BK102" s="2539"/>
      <c r="BL102" s="2539"/>
      <c r="BM102" s="2539"/>
      <c r="BN102" s="2539"/>
      <c r="BO102" s="2539"/>
      <c r="BP102" s="2514" t="str">
        <f>IF(BP94+BP95+BP96+BP97+BP99+BP100+BP101&gt;0,BP94+BP95+BP96+BP97+BP99+BP100+BP101,"")</f>
        <v/>
      </c>
      <c r="BQ102" s="2539"/>
      <c r="BR102" s="2539"/>
      <c r="BS102" s="2539"/>
      <c r="BT102" s="2539"/>
      <c r="BU102" s="2539"/>
      <c r="BV102" s="2539"/>
      <c r="BW102" s="2539"/>
      <c r="BX102" s="2539"/>
      <c r="BY102" s="2539"/>
      <c r="BZ102" s="2539"/>
      <c r="CA102" s="2539"/>
      <c r="CB102" s="2514">
        <f>IF(CB94+CB95+CB96+CB97+CB100+CB101&gt;0,CB94+CB95+CB96+CB97+CB98+CB99+CB100+CB101,"")</f>
        <v>1333946</v>
      </c>
      <c r="CC102" s="2539"/>
      <c r="CD102" s="2539"/>
      <c r="CE102" s="2539"/>
      <c r="CF102" s="2514">
        <f>IF(CF94+CF95+CF96+CF97+CF100+CF101&gt;0,CF94+CF95+CF96+CF97+CF100+CF101,"")</f>
        <v>6350</v>
      </c>
      <c r="CG102" s="2539"/>
      <c r="CH102" s="2514" t="str">
        <f>IF(CH94+CH95+CH96+CH97+CH99+CH100+CH101&gt;0,CH94+CH95+CH96+CH97+CH99+CH100+CH101,"")</f>
        <v/>
      </c>
      <c r="CI102" s="2539"/>
      <c r="CJ102" s="2539"/>
      <c r="CK102" s="2539"/>
      <c r="CL102" s="2514">
        <f>IF(CL94+CL95+CL96+CL97+CL100+CL101&gt;0,CL94+CL95+CL96+CL97+CL100+CL101,"")</f>
        <v>3165</v>
      </c>
      <c r="CM102" s="2539"/>
      <c r="CN102" s="2539"/>
      <c r="CO102" s="2539"/>
      <c r="CP102" s="2539"/>
      <c r="CQ102" s="2539"/>
      <c r="CR102" s="2514">
        <f>IF(CR94+CR95+CR96+CR97+CR100+CR101&gt;0,CR94+CR95+CR96+CR97+CR100+CR101,"")</f>
        <v>3165</v>
      </c>
      <c r="CS102" s="2514">
        <f>IF(CS94+CS95+CS96+CS97+CS100+CS101&gt;0,CS94+CS95+CS96+CS97+CS100+CS101,"")</f>
        <v>3165</v>
      </c>
      <c r="CT102" s="2539"/>
      <c r="CU102" s="2514">
        <f>IF(CU94+CU95+CU96+CU97+CU100+CU101&gt;0,CU94+CU95+CU96+CU97+CU100+CU101,"")</f>
        <v>4500</v>
      </c>
      <c r="CV102" s="2514">
        <f>IF(CV94+CV95+CV96+CV97+CV100+CV101&gt;0,CV94+CV95+CV96+CV97+CV100+CV101,"")</f>
        <v>4500</v>
      </c>
      <c r="CW102" s="2539"/>
      <c r="CX102" s="2539"/>
      <c r="CY102" s="2539"/>
      <c r="CZ102" s="2539"/>
      <c r="DA102" s="2539"/>
      <c r="DB102" s="2539"/>
      <c r="DC102" s="2514">
        <f>IF(DC94+DC95+DC96+DC97+DC100+DC101&gt;0,DC94+DC95+DC96+DC97+DC100+DC101,"")</f>
        <v>4500</v>
      </c>
      <c r="DD102" s="2539"/>
      <c r="DE102" s="2539"/>
      <c r="DF102" s="2539"/>
      <c r="DG102" s="2539"/>
      <c r="DH102" s="2539"/>
      <c r="DI102" s="2539"/>
      <c r="DJ102" s="2514">
        <f>IF(DJ94+DJ95+DJ96+DJ97+DJ100+DJ101&gt;0,DJ94+DJ95+DJ96+DJ97+DJ100+DJ101,"")</f>
        <v>4500</v>
      </c>
      <c r="DK102" s="2539"/>
      <c r="DL102" s="2539"/>
      <c r="DM102" s="2539"/>
      <c r="DN102" s="2539"/>
      <c r="DO102" s="2514">
        <f>IF(DO94+DO95+DO96+DO97+DO100+DO101&gt;0,DO94+DO95+DO96+DO97+DO100+DO101,"")</f>
        <v>7750</v>
      </c>
      <c r="DP102" s="2539"/>
      <c r="DQ102" s="2539"/>
      <c r="DR102" s="2539"/>
      <c r="DS102" s="2539"/>
      <c r="DT102" s="2539"/>
      <c r="DU102" s="2539"/>
      <c r="DV102" s="2539"/>
      <c r="DW102" s="2539"/>
      <c r="DX102" s="2539"/>
      <c r="DY102" s="2539"/>
      <c r="DZ102" s="2539"/>
      <c r="EA102" s="2539"/>
      <c r="EB102" s="2539"/>
      <c r="EC102" s="2539"/>
      <c r="ED102" s="2539"/>
      <c r="EE102" s="2539"/>
      <c r="EF102" s="2514">
        <f>IF(EF94+EF95+EF96+EF97+EF100+EF101&gt;0,EF94+EF95+EF96+EF97+EF100+EF101,"")</f>
        <v>6000</v>
      </c>
      <c r="EG102" s="2514" t="str">
        <f>IF(EG94+EG95+EG96+EG97+EG99+EG100+EG101&gt;0,EG94+EG95+EG96+EG97+EG99+EG100+EG101,"")</f>
        <v/>
      </c>
      <c r="EH102" s="2539"/>
      <c r="EI102" s="2514">
        <f>IF(EI94+EI95+EI96+EI97+EI100+EI101&gt;0,EI94+EI95+EI96+EI97+EI100+EI101,"")</f>
        <v>1161</v>
      </c>
      <c r="EJ102" s="2539"/>
      <c r="EK102" s="2539"/>
      <c r="EL102" s="2539"/>
      <c r="EM102" s="2514">
        <f>IF(EM94+EM95+EM96+EM97+EM100+EM101&gt;0,EM94+EM95+EM96+EM97+EM100+EM101,"")</f>
        <v>3165</v>
      </c>
      <c r="EN102" s="2539"/>
      <c r="EO102" s="2539"/>
      <c r="EP102" s="2539"/>
      <c r="EQ102" s="2539"/>
      <c r="ER102" s="2539"/>
      <c r="ES102" s="2539"/>
      <c r="ET102" s="2539"/>
      <c r="EU102" s="2539"/>
      <c r="EV102" s="2539"/>
      <c r="EW102" s="2539"/>
      <c r="EX102" s="2539"/>
      <c r="EY102" s="2514">
        <f>IF(EY94+EY95+EY96+EY97+EY100+EY101&gt;0,EY94+EY95+EY96+EY97+EY100+EY101,"")</f>
        <v>3165</v>
      </c>
      <c r="EZ102" s="2539"/>
      <c r="FA102" s="2539"/>
      <c r="FB102" s="2539"/>
      <c r="FC102" s="2539"/>
      <c r="FD102" s="2539"/>
      <c r="FE102" s="2539"/>
      <c r="FF102" s="2514">
        <f>IF(FF94+FF95+FF96+FF97+FF100+FF101&gt;0,FF94+FF95+FF96+FF97+FF100+FF101,"")</f>
        <v>6350</v>
      </c>
      <c r="FG102" s="2539"/>
      <c r="FH102" s="2514">
        <f>IF(FH94+FH95+FH96+FH97+FH100+FH101&gt;0,FH94+FH95+FH96+FH97+FH100+FH101,"")</f>
        <v>4500</v>
      </c>
      <c r="FI102" s="2539"/>
      <c r="FJ102" s="2539"/>
      <c r="FK102" s="2539"/>
      <c r="FL102" s="2539"/>
      <c r="FM102" s="2539"/>
      <c r="FN102" s="2539"/>
      <c r="FO102" s="2539"/>
      <c r="FP102" s="2539"/>
      <c r="FQ102" s="2539"/>
      <c r="FR102" s="2539"/>
      <c r="FS102" s="2539"/>
      <c r="FT102" s="2539"/>
      <c r="FU102" s="2539"/>
      <c r="FV102" s="2539"/>
      <c r="FW102" s="2539"/>
      <c r="FX102" s="2539"/>
      <c r="FY102" s="2539"/>
      <c r="FZ102" s="2539"/>
      <c r="GA102" s="2539"/>
      <c r="GB102" s="2539"/>
      <c r="GC102" s="2539"/>
      <c r="GD102" s="2539"/>
      <c r="GE102" s="2539"/>
      <c r="GF102" s="2539"/>
      <c r="GG102" s="2539"/>
      <c r="GH102" s="2539"/>
      <c r="GI102" s="2539"/>
      <c r="GJ102" s="2514">
        <f>IF(GJ94+GJ95+GJ96+GJ97+GJ100+GJ101&gt;0,GJ94+GJ95+GJ96+GJ97+GJ100+GJ101,"")</f>
        <v>1161</v>
      </c>
      <c r="GK102" s="2539"/>
      <c r="GL102" s="2539"/>
      <c r="GM102" s="2539"/>
      <c r="GN102" s="2539"/>
      <c r="GO102" s="2539"/>
      <c r="GP102" s="2539"/>
      <c r="GQ102" s="2539"/>
      <c r="GR102" s="2539"/>
      <c r="GS102" s="2539"/>
      <c r="GT102" s="2539"/>
      <c r="GU102" s="2539"/>
      <c r="GV102" s="2539"/>
      <c r="GW102" s="2539"/>
      <c r="GX102" s="2514">
        <f>IF(GX94+GX95+GX96+GX97+GX100+GX101&gt;0,GX94+GX95+GX96+GX97+GX100+GX101,"")</f>
        <v>5000</v>
      </c>
      <c r="GY102" s="2539"/>
      <c r="GZ102" s="2539"/>
      <c r="HA102" s="2539"/>
      <c r="HB102" s="2514">
        <f>IF(HB94+HB95+HB96+HB97+HB100+HB101&gt;0,HB94+HB95+HB96+HB97+HB100+HB101,"")</f>
        <v>7750</v>
      </c>
      <c r="HC102" s="2514">
        <f>IF(HC94+HC95+HC96+HC97+HC100+HC101&gt;0,HC94+HC95+HC96+HC97+HC100+HC101,"")</f>
        <v>4500</v>
      </c>
      <c r="HD102" s="2539"/>
      <c r="HE102" s="2539"/>
      <c r="HF102" s="2539"/>
      <c r="HG102" s="2539"/>
      <c r="HH102" s="2539"/>
      <c r="HI102" s="2539"/>
      <c r="HJ102" s="2539"/>
      <c r="HK102" s="2539"/>
      <c r="HL102" s="2539"/>
      <c r="HM102" s="2539"/>
      <c r="HN102" s="2539"/>
      <c r="HO102" s="2514" t="str">
        <f>IF(HO94+HO95+HO96+HO97+HO99+HO100+HO101&gt;0,HO94+HO95+HO96+HO97+HO99+HO100+HO101,"")</f>
        <v/>
      </c>
      <c r="HP102" s="2539"/>
      <c r="HQ102" s="2539"/>
      <c r="HR102" s="2539"/>
      <c r="HS102" s="2539"/>
      <c r="HT102" s="2539"/>
      <c r="HU102" s="2539"/>
      <c r="HV102" s="2539"/>
      <c r="HW102" s="2539"/>
      <c r="HX102" s="2539"/>
      <c r="HY102" s="2539"/>
      <c r="HZ102" s="2539"/>
      <c r="IA102" s="2539"/>
      <c r="IB102" s="2539"/>
      <c r="IC102" s="2539"/>
      <c r="ID102" s="2539"/>
      <c r="IE102" s="2539"/>
      <c r="IF102" s="2539"/>
      <c r="IG102" s="2539"/>
      <c r="IH102" s="2539"/>
      <c r="II102" s="2539"/>
      <c r="IJ102" s="2539"/>
      <c r="IK102" s="2539"/>
      <c r="IL102" s="2539"/>
      <c r="IM102" s="2539"/>
      <c r="IN102" s="2539"/>
      <c r="IO102" s="2539"/>
      <c r="IP102" s="2539"/>
      <c r="IQ102" s="2539"/>
      <c r="IR102" s="2539"/>
      <c r="IS102" s="2539"/>
      <c r="IT102" s="2539"/>
      <c r="IU102" s="2539"/>
      <c r="IV102" s="2539"/>
      <c r="IW102" s="2539"/>
      <c r="IX102" s="2539"/>
      <c r="IY102" s="2539"/>
      <c r="IZ102" s="2539"/>
      <c r="JA102" s="2539"/>
      <c r="JB102" s="2539"/>
      <c r="JC102" s="2539"/>
      <c r="JD102" s="2539"/>
      <c r="JE102" s="2539"/>
      <c r="JF102" s="2539"/>
      <c r="JG102" s="2540"/>
      <c r="JH102" s="1233"/>
      <c r="JI102" s="4282" t="s">
        <v>8864</v>
      </c>
      <c r="JJ102" s="2248" t="s">
        <v>6108</v>
      </c>
    </row>
    <row r="103" spans="1:270" x14ac:dyDescent="0.2">
      <c r="A103" s="2623">
        <v>60</v>
      </c>
      <c r="B103" s="2908" t="str">
        <f si="4" t="shared"/>
        <v/>
      </c>
      <c r="C103" s="2909" t="s">
        <v>2690</v>
      </c>
      <c r="D103" s="2910" t="s">
        <v>5525</v>
      </c>
      <c r="E103" s="2542"/>
      <c r="F103" s="2542"/>
      <c r="G103" s="2542"/>
      <c r="H103" s="2542"/>
      <c r="I103" s="2542"/>
      <c r="J103" s="2511"/>
      <c r="K103" s="2541"/>
      <c r="L103" s="2542"/>
      <c r="M103" s="2542"/>
      <c r="N103" s="2542"/>
      <c r="O103" s="2542"/>
      <c r="P103" s="2542"/>
      <c r="Q103" s="2542"/>
      <c r="R103" s="2542"/>
      <c r="S103" s="2542"/>
      <c r="T103" s="2543"/>
      <c r="U103" s="2543"/>
      <c r="V103" s="2543"/>
      <c r="W103" s="2543"/>
      <c r="X103" s="2543"/>
      <c r="Y103" s="2543"/>
      <c r="Z103" s="2543"/>
      <c r="AA103" s="2543"/>
      <c r="AB103" s="2543"/>
      <c r="AC103" s="2542"/>
      <c r="AD103" s="2543"/>
      <c r="AE103" s="2543"/>
      <c r="AF103" s="2543"/>
      <c r="AG103" s="2543"/>
      <c r="AH103" s="2543"/>
      <c r="AI103" s="2543"/>
      <c r="AJ103" s="2542"/>
      <c r="AK103" s="2543"/>
      <c r="AL103" s="2542"/>
      <c r="AM103" s="2543"/>
      <c r="AN103" s="2543"/>
      <c r="AO103" s="2543"/>
      <c r="AP103" s="2543"/>
      <c r="AQ103" s="2543"/>
      <c r="AR103" s="2543"/>
      <c r="AS103" s="2543"/>
      <c r="AT103" s="2543"/>
      <c r="AU103" s="2543"/>
      <c r="AV103" s="2542"/>
      <c r="AW103" s="2543"/>
      <c r="AX103" s="2543"/>
      <c r="AY103" s="2543"/>
      <c r="AZ103" s="2543"/>
      <c r="BA103" s="2543"/>
      <c r="BB103" s="2543"/>
      <c r="BC103" s="2543"/>
      <c r="BD103" s="2543"/>
      <c r="BE103" s="2543"/>
      <c r="BF103" s="2543"/>
      <c r="BG103" s="2543"/>
      <c r="BH103" s="3958"/>
      <c r="BI103" s="3958"/>
      <c r="BJ103" s="2542"/>
      <c r="BK103" s="2543"/>
      <c r="BL103" s="2543"/>
      <c r="BM103" s="2543"/>
      <c r="BN103" s="2543"/>
      <c r="BO103" s="2543"/>
      <c r="BP103" s="2542"/>
      <c r="BQ103" s="2543"/>
      <c r="BR103" s="2543"/>
      <c r="BS103" s="2543"/>
      <c r="BT103" s="2543"/>
      <c r="BU103" s="2543"/>
      <c r="BV103" s="2543"/>
      <c r="BW103" s="2543"/>
      <c r="BX103" s="2543"/>
      <c r="BY103" s="2543"/>
      <c r="BZ103" s="2543"/>
      <c r="CA103" s="2543"/>
      <c r="CB103" s="2542"/>
      <c r="CC103" s="2543"/>
      <c r="CD103" s="2543"/>
      <c r="CE103" s="2543"/>
      <c r="CF103" s="2542"/>
      <c r="CG103" s="2543"/>
      <c r="CH103" s="2542"/>
      <c r="CI103" s="2543"/>
      <c r="CJ103" s="2543"/>
      <c r="CK103" s="2543"/>
      <c r="CL103" s="2542"/>
      <c r="CM103" s="2543"/>
      <c r="CN103" s="2543"/>
      <c r="CO103" s="2543"/>
      <c r="CP103" s="2543"/>
      <c r="CQ103" s="2543"/>
      <c r="CR103" s="2542"/>
      <c r="CS103" s="2542"/>
      <c r="CT103" s="2543"/>
      <c r="CU103" s="2542"/>
      <c r="CV103" s="2542"/>
      <c r="CW103" s="2543"/>
      <c r="CX103" s="2543"/>
      <c r="CY103" s="2543"/>
      <c r="CZ103" s="2543"/>
      <c r="DA103" s="2543"/>
      <c r="DB103" s="2543"/>
      <c r="DC103" s="2542"/>
      <c r="DD103" s="2543"/>
      <c r="DE103" s="2543"/>
      <c r="DF103" s="2543"/>
      <c r="DG103" s="2543"/>
      <c r="DH103" s="2543"/>
      <c r="DI103" s="2543"/>
      <c r="DJ103" s="2542"/>
      <c r="DK103" s="2543"/>
      <c r="DL103" s="2543"/>
      <c r="DM103" s="2543"/>
      <c r="DN103" s="2543"/>
      <c r="DO103" s="2542"/>
      <c r="DP103" s="2543"/>
      <c r="DQ103" s="2543"/>
      <c r="DR103" s="2543"/>
      <c r="DS103" s="2543"/>
      <c r="DT103" s="2543"/>
      <c r="DU103" s="2543"/>
      <c r="DV103" s="2543"/>
      <c r="DW103" s="2543"/>
      <c r="DX103" s="2543"/>
      <c r="DY103" s="2543"/>
      <c r="DZ103" s="2543"/>
      <c r="EA103" s="2543"/>
      <c r="EB103" s="2543"/>
      <c r="EC103" s="2543"/>
      <c r="ED103" s="2543"/>
      <c r="EE103" s="2543"/>
      <c r="EF103" s="2541"/>
      <c r="EG103" s="2542"/>
      <c r="EH103" s="2543"/>
      <c r="EI103" s="2542"/>
      <c r="EJ103" s="2543"/>
      <c r="EK103" s="2543"/>
      <c r="EL103" s="2543"/>
      <c r="EM103" s="2542"/>
      <c r="EN103" s="2543"/>
      <c r="EO103" s="2543"/>
      <c r="EP103" s="2543"/>
      <c r="EQ103" s="2543"/>
      <c r="ER103" s="2543"/>
      <c r="ES103" s="2543"/>
      <c r="ET103" s="2543"/>
      <c r="EU103" s="2543"/>
      <c r="EV103" s="2543"/>
      <c r="EW103" s="2543"/>
      <c r="EX103" s="2543"/>
      <c r="EY103" s="2542"/>
      <c r="EZ103" s="2543"/>
      <c r="FA103" s="2543"/>
      <c r="FB103" s="2543"/>
      <c r="FC103" s="2543"/>
      <c r="FD103" s="2543"/>
      <c r="FE103" s="2543"/>
      <c r="FF103" s="2542"/>
      <c r="FG103" s="2543"/>
      <c r="FH103" s="2542"/>
      <c r="FI103" s="2543"/>
      <c r="FJ103" s="2543"/>
      <c r="FK103" s="2543"/>
      <c r="FL103" s="2543"/>
      <c r="FM103" s="2543"/>
      <c r="FN103" s="2543"/>
      <c r="FO103" s="2543"/>
      <c r="FP103" s="2543"/>
      <c r="FQ103" s="2543"/>
      <c r="FR103" s="2543"/>
      <c r="FS103" s="2543"/>
      <c r="FT103" s="2543"/>
      <c r="FU103" s="2543"/>
      <c r="FV103" s="2543"/>
      <c r="FW103" s="2543"/>
      <c r="FX103" s="2543"/>
      <c r="FY103" s="2543"/>
      <c r="FZ103" s="2543"/>
      <c r="GA103" s="2543"/>
      <c r="GB103" s="2543"/>
      <c r="GC103" s="2543"/>
      <c r="GD103" s="2543"/>
      <c r="GE103" s="2543"/>
      <c r="GF103" s="2543"/>
      <c r="GG103" s="2543"/>
      <c r="GH103" s="2543"/>
      <c r="GI103" s="2543"/>
      <c r="GJ103" s="2542"/>
      <c r="GK103" s="2543"/>
      <c r="GL103" s="2543"/>
      <c r="GM103" s="2543"/>
      <c r="GN103" s="2543"/>
      <c r="GO103" s="2543"/>
      <c r="GP103" s="2543"/>
      <c r="GQ103" s="2543"/>
      <c r="GR103" s="2543"/>
      <c r="GS103" s="2543"/>
      <c r="GT103" s="2543"/>
      <c r="GU103" s="2543"/>
      <c r="GV103" s="2543"/>
      <c r="GW103" s="2543"/>
      <c r="GX103" s="2542"/>
      <c r="GY103" s="2543"/>
      <c r="GZ103" s="2543"/>
      <c r="HA103" s="2543"/>
      <c r="HB103" s="2542"/>
      <c r="HC103" s="2542"/>
      <c r="HD103" s="2543"/>
      <c r="HE103" s="2543"/>
      <c r="HF103" s="2543"/>
      <c r="HG103" s="2543"/>
      <c r="HH103" s="2543"/>
      <c r="HI103" s="2543"/>
      <c r="HJ103" s="2543"/>
      <c r="HK103" s="2543"/>
      <c r="HL103" s="2543"/>
      <c r="HM103" s="2543"/>
      <c r="HN103" s="2543"/>
      <c r="HO103" s="2542"/>
      <c r="HP103" s="2543"/>
      <c r="HQ103" s="2543"/>
      <c r="HR103" s="2543"/>
      <c r="HS103" s="2543"/>
      <c r="HT103" s="2543"/>
      <c r="HU103" s="2543"/>
      <c r="HV103" s="2543"/>
      <c r="HW103" s="2543"/>
      <c r="HX103" s="2543"/>
      <c r="HY103" s="2543"/>
      <c r="HZ103" s="2543"/>
      <c r="IA103" s="2543"/>
      <c r="IB103" s="2543"/>
      <c r="IC103" s="2543"/>
      <c r="ID103" s="2543"/>
      <c r="IE103" s="2543"/>
      <c r="IF103" s="2543"/>
      <c r="IG103" s="2543"/>
      <c r="IH103" s="2543"/>
      <c r="II103" s="2543"/>
      <c r="IJ103" s="2543"/>
      <c r="IK103" s="2543"/>
      <c r="IL103" s="2543"/>
      <c r="IM103" s="2543"/>
      <c r="IN103" s="2543"/>
      <c r="IO103" s="2543"/>
      <c r="IP103" s="2543"/>
      <c r="IQ103" s="2543"/>
      <c r="IR103" s="2543"/>
      <c r="IS103" s="2543"/>
      <c r="IT103" s="2543"/>
      <c r="IU103" s="2543"/>
      <c r="IV103" s="2543"/>
      <c r="IW103" s="2543"/>
      <c r="IX103" s="2543"/>
      <c r="IY103" s="2543"/>
      <c r="IZ103" s="2543"/>
      <c r="JA103" s="2543"/>
      <c r="JB103" s="2543"/>
      <c r="JC103" s="2543"/>
      <c r="JD103" s="2543"/>
      <c r="JE103" s="2543"/>
      <c r="JF103" s="2543"/>
      <c r="JG103" s="2544"/>
      <c r="JH103" s="2633"/>
      <c r="JI103" s="4284"/>
      <c r="JJ103" s="4284"/>
    </row>
    <row r="104" spans="1:270" x14ac:dyDescent="0.2">
      <c r="A104" s="1128">
        <v>61</v>
      </c>
      <c r="B104" s="1347" t="str">
        <f si="4" t="shared"/>
        <v/>
      </c>
      <c r="C104" s="1278" t="s">
        <v>1759</v>
      </c>
      <c r="D104" s="1350" t="s">
        <v>5526</v>
      </c>
      <c r="E104" s="2472"/>
      <c r="F104" s="2472"/>
      <c r="G104" s="2472"/>
      <c r="H104" s="2472"/>
      <c r="I104" s="2472"/>
      <c r="J104" s="2511"/>
      <c r="K104" s="2472"/>
      <c r="L104" s="2472"/>
      <c r="M104" s="2472"/>
      <c r="N104" s="2472"/>
      <c r="O104" s="2509"/>
      <c r="P104" s="2509"/>
      <c r="Q104" s="2472"/>
      <c r="R104" s="2509"/>
      <c r="S104" s="2472"/>
      <c r="T104" s="2510"/>
      <c r="U104" s="2510"/>
      <c r="V104" s="2510"/>
      <c r="W104" s="2510"/>
      <c r="X104" s="2510"/>
      <c r="Y104" s="2510"/>
      <c r="Z104" s="2510"/>
      <c r="AA104" s="2510"/>
      <c r="AB104" s="2510"/>
      <c r="AC104" s="2472"/>
      <c r="AD104" s="2841"/>
      <c r="AE104" s="2841"/>
      <c r="AF104" s="2841"/>
      <c r="AG104" s="2841"/>
      <c r="AH104" s="2841"/>
      <c r="AI104" s="2510"/>
      <c r="AJ104" s="2472"/>
      <c r="AK104" s="2510"/>
      <c r="AL104" s="2472"/>
      <c r="AM104" s="2510"/>
      <c r="AN104" s="2510"/>
      <c r="AO104" s="2510"/>
      <c r="AP104" s="2510"/>
      <c r="AQ104" s="2510"/>
      <c r="AR104" s="2510"/>
      <c r="AS104" s="2510"/>
      <c r="AT104" s="2510"/>
      <c r="AU104" s="2510"/>
      <c r="AV104" s="2472"/>
      <c r="AW104" s="2510"/>
      <c r="AX104" s="2510"/>
      <c r="AY104" s="2510"/>
      <c r="AZ104" s="2510"/>
      <c r="BA104" s="2510"/>
      <c r="BB104" s="2510"/>
      <c r="BC104" s="2510"/>
      <c r="BD104" s="2510"/>
      <c r="BE104" s="2510"/>
      <c r="BF104" s="2510"/>
      <c r="BG104" s="2510"/>
      <c r="BH104" s="3956"/>
      <c r="BI104" s="3956"/>
      <c r="BJ104" s="2472"/>
      <c r="BK104" s="2510"/>
      <c r="BL104" s="2510"/>
      <c r="BM104" s="2510"/>
      <c r="BN104" s="2510"/>
      <c r="BO104" s="2510"/>
      <c r="BP104" s="2472"/>
      <c r="BQ104" s="2510"/>
      <c r="BR104" s="2510"/>
      <c r="BS104" s="2510"/>
      <c r="BT104" s="2510"/>
      <c r="BU104" s="2510"/>
      <c r="BV104" s="2510"/>
      <c r="BW104" s="2510"/>
      <c r="BX104" s="2510"/>
      <c r="BY104" s="2510"/>
      <c r="BZ104" s="2510"/>
      <c r="CA104" s="2510"/>
      <c r="CB104" s="2472"/>
      <c r="CC104" s="2510"/>
      <c r="CD104" s="2510"/>
      <c r="CE104" s="2510"/>
      <c r="CF104" s="2472"/>
      <c r="CG104" s="2510"/>
      <c r="CH104" s="2472"/>
      <c r="CI104" s="2510"/>
      <c r="CJ104" s="2510"/>
      <c r="CK104" s="2510"/>
      <c r="CL104" s="2472"/>
      <c r="CM104" s="2510"/>
      <c r="CN104" s="2510"/>
      <c r="CO104" s="2510"/>
      <c r="CP104" s="2510"/>
      <c r="CQ104" s="2510"/>
      <c r="CR104" s="2472"/>
      <c r="CS104" s="2472"/>
      <c r="CT104" s="2510"/>
      <c r="CU104" s="2472">
        <v>620</v>
      </c>
      <c r="CV104" s="2472">
        <v>620</v>
      </c>
      <c r="CW104" s="2510"/>
      <c r="CX104" s="2510"/>
      <c r="CY104" s="2510"/>
      <c r="CZ104" s="2510"/>
      <c r="DA104" s="2510"/>
      <c r="DB104" s="2510"/>
      <c r="DC104" s="2472">
        <v>620</v>
      </c>
      <c r="DD104" s="2510"/>
      <c r="DE104" s="2510"/>
      <c r="DF104" s="2510"/>
      <c r="DG104" s="2510"/>
      <c r="DH104" s="2510"/>
      <c r="DI104" s="2510"/>
      <c r="DJ104" s="2472">
        <v>620</v>
      </c>
      <c r="DK104" s="2510"/>
      <c r="DL104" s="2510"/>
      <c r="DM104" s="2510"/>
      <c r="DN104" s="2510"/>
      <c r="DO104" s="2472"/>
      <c r="DP104" s="2510"/>
      <c r="DQ104" s="2510"/>
      <c r="DR104" s="2510"/>
      <c r="DS104" s="2510"/>
      <c r="DT104" s="2510"/>
      <c r="DU104" s="2510"/>
      <c r="DV104" s="2510"/>
      <c r="DW104" s="2510"/>
      <c r="DX104" s="2510"/>
      <c r="DY104" s="2510"/>
      <c r="DZ104" s="2510"/>
      <c r="EA104" s="2510"/>
      <c r="EB104" s="2510"/>
      <c r="EC104" s="2510"/>
      <c r="ED104" s="2510"/>
      <c r="EE104" s="2510"/>
      <c r="EF104" s="2472"/>
      <c r="EG104" s="2511"/>
      <c r="EH104" s="2510"/>
      <c r="EI104" s="2472"/>
      <c r="EJ104" s="2510"/>
      <c r="EK104" s="2510"/>
      <c r="EL104" s="2510"/>
      <c r="EM104" s="2472"/>
      <c r="EN104" s="2510"/>
      <c r="EO104" s="2510"/>
      <c r="EP104" s="2510"/>
      <c r="EQ104" s="2510"/>
      <c r="ER104" s="2510"/>
      <c r="ES104" s="2510"/>
      <c r="ET104" s="2510"/>
      <c r="EU104" s="2510"/>
      <c r="EV104" s="2510"/>
      <c r="EW104" s="2510"/>
      <c r="EX104" s="2510"/>
      <c r="EY104" s="2472"/>
      <c r="EZ104" s="2510"/>
      <c r="FA104" s="2510"/>
      <c r="FB104" s="2510"/>
      <c r="FC104" s="2510"/>
      <c r="FD104" s="2510"/>
      <c r="FE104" s="2510"/>
      <c r="FF104" s="2472"/>
      <c r="FG104" s="2510"/>
      <c r="FH104" s="2472">
        <v>620</v>
      </c>
      <c r="FI104" s="2510"/>
      <c r="FJ104" s="2510"/>
      <c r="FK104" s="2510"/>
      <c r="FL104" s="2510"/>
      <c r="FM104" s="2510"/>
      <c r="FN104" s="2510"/>
      <c r="FO104" s="2510"/>
      <c r="FP104" s="2510"/>
      <c r="FQ104" s="2510"/>
      <c r="FR104" s="2510"/>
      <c r="FS104" s="2510"/>
      <c r="FT104" s="2510"/>
      <c r="FU104" s="2510"/>
      <c r="FV104" s="2510"/>
      <c r="FW104" s="2510"/>
      <c r="FX104" s="2510"/>
      <c r="FY104" s="2510"/>
      <c r="FZ104" s="2510"/>
      <c r="GA104" s="2510"/>
      <c r="GB104" s="2510"/>
      <c r="GC104" s="2510"/>
      <c r="GD104" s="2510"/>
      <c r="GE104" s="2510"/>
      <c r="GF104" s="2510"/>
      <c r="GG104" s="2510"/>
      <c r="GH104" s="2510"/>
      <c r="GI104" s="2510"/>
      <c r="GJ104" s="2472"/>
      <c r="GK104" s="2510"/>
      <c r="GL104" s="2510"/>
      <c r="GM104" s="2510"/>
      <c r="GN104" s="2510"/>
      <c r="GO104" s="2510"/>
      <c r="GP104" s="2510"/>
      <c r="GQ104" s="2510"/>
      <c r="GR104" s="2510"/>
      <c r="GS104" s="2510"/>
      <c r="GT104" s="2510"/>
      <c r="GU104" s="2510"/>
      <c r="GV104" s="2510"/>
      <c r="GW104" s="2510"/>
      <c r="GX104" s="2472"/>
      <c r="GY104" s="2510"/>
      <c r="GZ104" s="2510"/>
      <c r="HA104" s="2510"/>
      <c r="HB104" s="2472"/>
      <c r="HC104" s="2472">
        <v>620</v>
      </c>
      <c r="HD104" s="2510"/>
      <c r="HE104" s="2510"/>
      <c r="HF104" s="2510"/>
      <c r="HG104" s="2510"/>
      <c r="HH104" s="2510"/>
      <c r="HI104" s="2510"/>
      <c r="HJ104" s="2510"/>
      <c r="HK104" s="2510"/>
      <c r="HL104" s="2510"/>
      <c r="HM104" s="2510"/>
      <c r="HN104" s="2510"/>
      <c r="HO104" s="2472"/>
      <c r="HP104" s="2510"/>
      <c r="HQ104" s="2510"/>
      <c r="HR104" s="2510"/>
      <c r="HS104" s="2510"/>
      <c r="HT104" s="2510"/>
      <c r="HU104" s="2510"/>
      <c r="HV104" s="2510"/>
      <c r="HW104" s="2510"/>
      <c r="HX104" s="2510"/>
      <c r="HY104" s="2510"/>
      <c r="HZ104" s="2510"/>
      <c r="IA104" s="2510"/>
      <c r="IB104" s="2510"/>
      <c r="IC104" s="2510"/>
      <c r="ID104" s="2510"/>
      <c r="IE104" s="2510"/>
      <c r="IF104" s="2510"/>
      <c r="IG104" s="2510"/>
      <c r="IH104" s="2510"/>
      <c r="II104" s="2510"/>
      <c r="IJ104" s="2510"/>
      <c r="IK104" s="2510"/>
      <c r="IL104" s="2510"/>
      <c r="IM104" s="2510"/>
      <c r="IN104" s="2510"/>
      <c r="IO104" s="2510"/>
      <c r="IP104" s="2510"/>
      <c r="IQ104" s="2510"/>
      <c r="IR104" s="2510"/>
      <c r="IS104" s="2510"/>
      <c r="IT104" s="2510"/>
      <c r="IU104" s="2510"/>
      <c r="IV104" s="2510"/>
      <c r="IW104" s="2510"/>
      <c r="IX104" s="2510"/>
      <c r="IY104" s="2510"/>
      <c r="IZ104" s="2510"/>
      <c r="JA104" s="2510"/>
      <c r="JB104" s="2510"/>
      <c r="JC104" s="2510"/>
      <c r="JD104" s="2510"/>
      <c r="JE104" s="2510"/>
      <c r="JF104" s="2510"/>
      <c r="JG104" s="2479"/>
      <c r="JH104" s="1233"/>
      <c r="JI104" s="2248"/>
      <c r="JJ104" s="2248" t="s">
        <v>6108</v>
      </c>
    </row>
    <row r="105" spans="1:270" x14ac:dyDescent="0.2">
      <c r="A105" s="1128">
        <v>62</v>
      </c>
      <c r="B105" s="1347" t="str">
        <f si="4" t="shared"/>
        <v/>
      </c>
      <c r="C105" s="1278" t="s">
        <v>2701</v>
      </c>
      <c r="D105" s="1350" t="s">
        <v>5464</v>
      </c>
      <c r="E105" s="2472"/>
      <c r="F105" s="2472"/>
      <c r="G105" s="2472"/>
      <c r="H105" s="2472"/>
      <c r="I105" s="2472"/>
      <c r="J105" s="2511"/>
      <c r="K105" s="2472"/>
      <c r="L105" s="2472"/>
      <c r="M105" s="2472"/>
      <c r="N105" s="2472"/>
      <c r="O105" s="2509"/>
      <c r="P105" s="2509"/>
      <c r="Q105" s="2472"/>
      <c r="R105" s="2509"/>
      <c r="S105" s="2472"/>
      <c r="T105" s="2510"/>
      <c r="U105" s="2510"/>
      <c r="V105" s="2510"/>
      <c r="W105" s="2510"/>
      <c r="X105" s="2510"/>
      <c r="Y105" s="2510"/>
      <c r="Z105" s="2510"/>
      <c r="AA105" s="2510"/>
      <c r="AB105" s="2510"/>
      <c r="AC105" s="2472"/>
      <c r="AD105" s="2841"/>
      <c r="AE105" s="2841"/>
      <c r="AF105" s="2841"/>
      <c r="AG105" s="2841"/>
      <c r="AH105" s="2841"/>
      <c r="AI105" s="2510"/>
      <c r="AJ105" s="2472"/>
      <c r="AK105" s="2510"/>
      <c r="AL105" s="2472">
        <v>921</v>
      </c>
      <c r="AM105" s="2510"/>
      <c r="AN105" s="2510"/>
      <c r="AO105" s="2510"/>
      <c r="AP105" s="2510"/>
      <c r="AQ105" s="2510"/>
      <c r="AR105" s="2510"/>
      <c r="AS105" s="2510"/>
      <c r="AT105" s="2510"/>
      <c r="AU105" s="2510"/>
      <c r="AV105" s="2472">
        <v>361</v>
      </c>
      <c r="AW105" s="2510"/>
      <c r="AX105" s="2510"/>
      <c r="AY105" s="2510"/>
      <c r="AZ105" s="2510"/>
      <c r="BA105" s="2510"/>
      <c r="BB105" s="2510"/>
      <c r="BC105" s="2510"/>
      <c r="BD105" s="2510"/>
      <c r="BE105" s="2510"/>
      <c r="BF105" s="2510"/>
      <c r="BG105" s="2510"/>
      <c r="BH105" s="3956"/>
      <c r="BI105" s="3956"/>
      <c r="BJ105" s="2472">
        <v>921</v>
      </c>
      <c r="BK105" s="2510"/>
      <c r="BL105" s="2510"/>
      <c r="BM105" s="2510"/>
      <c r="BN105" s="2510"/>
      <c r="BO105" s="2510"/>
      <c r="BP105" s="2472"/>
      <c r="BQ105" s="2510"/>
      <c r="BR105" s="2510"/>
      <c r="BS105" s="2510"/>
      <c r="BT105" s="2510"/>
      <c r="BU105" s="2510"/>
      <c r="BV105" s="2510"/>
      <c r="BW105" s="2510"/>
      <c r="BX105" s="2510"/>
      <c r="BY105" s="2510"/>
      <c r="BZ105" s="2510"/>
      <c r="CA105" s="2510"/>
      <c r="CB105" s="2472"/>
      <c r="CC105" s="2510"/>
      <c r="CD105" s="2510"/>
      <c r="CE105" s="2510"/>
      <c r="CF105" s="2472"/>
      <c r="CG105" s="2510"/>
      <c r="CH105" s="2472"/>
      <c r="CI105" s="2510"/>
      <c r="CJ105" s="2510"/>
      <c r="CK105" s="2510"/>
      <c r="CL105" s="2472">
        <v>921</v>
      </c>
      <c r="CM105" s="2510"/>
      <c r="CN105" s="2510"/>
      <c r="CO105" s="2510"/>
      <c r="CP105" s="2510"/>
      <c r="CQ105" s="2510"/>
      <c r="CR105" s="2472">
        <v>921</v>
      </c>
      <c r="CS105" s="2472">
        <v>921</v>
      </c>
      <c r="CT105" s="2510"/>
      <c r="CU105" s="2472"/>
      <c r="CV105" s="2472"/>
      <c r="CW105" s="2510"/>
      <c r="CX105" s="2510"/>
      <c r="CY105" s="2510"/>
      <c r="CZ105" s="2510"/>
      <c r="DA105" s="2510"/>
      <c r="DB105" s="2510"/>
      <c r="DC105" s="2472"/>
      <c r="DD105" s="2510"/>
      <c r="DE105" s="2510"/>
      <c r="DF105" s="2510"/>
      <c r="DG105" s="2510"/>
      <c r="DH105" s="2510"/>
      <c r="DI105" s="2510"/>
      <c r="DJ105" s="2472"/>
      <c r="DK105" s="2510"/>
      <c r="DL105" s="2510"/>
      <c r="DM105" s="2510"/>
      <c r="DN105" s="2510"/>
      <c r="DO105" s="2472">
        <v>361</v>
      </c>
      <c r="DP105" s="2510"/>
      <c r="DQ105" s="2510"/>
      <c r="DR105" s="2510"/>
      <c r="DS105" s="2510"/>
      <c r="DT105" s="2510"/>
      <c r="DU105" s="2510"/>
      <c r="DV105" s="2510"/>
      <c r="DW105" s="2510"/>
      <c r="DX105" s="2510"/>
      <c r="DY105" s="2510"/>
      <c r="DZ105" s="2510"/>
      <c r="EA105" s="2510"/>
      <c r="EB105" s="2510"/>
      <c r="EC105" s="2510"/>
      <c r="ED105" s="2510"/>
      <c r="EE105" s="2510"/>
      <c r="EF105" s="2472"/>
      <c r="EG105" s="2511"/>
      <c r="EH105" s="2510"/>
      <c r="EI105" s="2472"/>
      <c r="EJ105" s="2510"/>
      <c r="EK105" s="2510"/>
      <c r="EL105" s="2510"/>
      <c r="EM105" s="2472">
        <v>921</v>
      </c>
      <c r="EN105" s="2510"/>
      <c r="EO105" s="2510"/>
      <c r="EP105" s="2510"/>
      <c r="EQ105" s="2510"/>
      <c r="ER105" s="2510"/>
      <c r="ES105" s="2510"/>
      <c r="ET105" s="2510"/>
      <c r="EU105" s="2510"/>
      <c r="EV105" s="2510"/>
      <c r="EW105" s="2510"/>
      <c r="EX105" s="2510"/>
      <c r="EY105" s="2472">
        <v>921</v>
      </c>
      <c r="EZ105" s="2510"/>
      <c r="FA105" s="2510"/>
      <c r="FB105" s="2510"/>
      <c r="FC105" s="2510"/>
      <c r="FD105" s="2510"/>
      <c r="FE105" s="2510"/>
      <c r="FF105" s="2472"/>
      <c r="FG105" s="2510"/>
      <c r="FH105" s="2472"/>
      <c r="FI105" s="2510"/>
      <c r="FJ105" s="2510"/>
      <c r="FK105" s="2510"/>
      <c r="FL105" s="2510"/>
      <c r="FM105" s="2510"/>
      <c r="FN105" s="2510"/>
      <c r="FO105" s="2510"/>
      <c r="FP105" s="2510"/>
      <c r="FQ105" s="2510"/>
      <c r="FR105" s="2510"/>
      <c r="FS105" s="2510"/>
      <c r="FT105" s="2510"/>
      <c r="FU105" s="2510"/>
      <c r="FV105" s="2510"/>
      <c r="FW105" s="2510"/>
      <c r="FX105" s="2510"/>
      <c r="FY105" s="2510"/>
      <c r="FZ105" s="2510"/>
      <c r="GA105" s="2510"/>
      <c r="GB105" s="2510"/>
      <c r="GC105" s="2510"/>
      <c r="GD105" s="2510"/>
      <c r="GE105" s="2510"/>
      <c r="GF105" s="2510"/>
      <c r="GG105" s="2510"/>
      <c r="GH105" s="2510"/>
      <c r="GI105" s="2510"/>
      <c r="GJ105" s="2472"/>
      <c r="GK105" s="2510"/>
      <c r="GL105" s="2510"/>
      <c r="GM105" s="2510"/>
      <c r="GN105" s="2510"/>
      <c r="GO105" s="2510"/>
      <c r="GP105" s="2510"/>
      <c r="GQ105" s="2510"/>
      <c r="GR105" s="2510"/>
      <c r="GS105" s="2510"/>
      <c r="GT105" s="2510"/>
      <c r="GU105" s="2510"/>
      <c r="GV105" s="2510"/>
      <c r="GW105" s="2510"/>
      <c r="GX105" s="2472"/>
      <c r="GY105" s="2510"/>
      <c r="GZ105" s="2510"/>
      <c r="HA105" s="2510"/>
      <c r="HB105" s="2472">
        <v>361</v>
      </c>
      <c r="HC105" s="2472"/>
      <c r="HD105" s="2510"/>
      <c r="HE105" s="2510"/>
      <c r="HF105" s="2510"/>
      <c r="HG105" s="2510"/>
      <c r="HH105" s="2510"/>
      <c r="HI105" s="2510"/>
      <c r="HJ105" s="2510"/>
      <c r="HK105" s="2510"/>
      <c r="HL105" s="2510"/>
      <c r="HM105" s="2510"/>
      <c r="HN105" s="2510"/>
      <c r="HO105" s="2472"/>
      <c r="HP105" s="2510"/>
      <c r="HQ105" s="2510"/>
      <c r="HR105" s="2510"/>
      <c r="HS105" s="2510"/>
      <c r="HT105" s="2510"/>
      <c r="HU105" s="2510"/>
      <c r="HV105" s="2510"/>
      <c r="HW105" s="2510"/>
      <c r="HX105" s="2510"/>
      <c r="HY105" s="2510"/>
      <c r="HZ105" s="2510"/>
      <c r="IA105" s="2510"/>
      <c r="IB105" s="2510"/>
      <c r="IC105" s="2510"/>
      <c r="ID105" s="2510"/>
      <c r="IE105" s="2510"/>
      <c r="IF105" s="2510"/>
      <c r="IG105" s="2510"/>
      <c r="IH105" s="2510"/>
      <c r="II105" s="2510"/>
      <c r="IJ105" s="2510"/>
      <c r="IK105" s="2510"/>
      <c r="IL105" s="2510"/>
      <c r="IM105" s="2510"/>
      <c r="IN105" s="2510"/>
      <c r="IO105" s="2510"/>
      <c r="IP105" s="2510"/>
      <c r="IQ105" s="2510"/>
      <c r="IR105" s="2510"/>
      <c r="IS105" s="2510"/>
      <c r="IT105" s="2510"/>
      <c r="IU105" s="2510"/>
      <c r="IV105" s="2510"/>
      <c r="IW105" s="2510"/>
      <c r="IX105" s="2510"/>
      <c r="IY105" s="2510"/>
      <c r="IZ105" s="2510"/>
      <c r="JA105" s="2510"/>
      <c r="JB105" s="2510"/>
      <c r="JC105" s="2510"/>
      <c r="JD105" s="2510"/>
      <c r="JE105" s="2510"/>
      <c r="JF105" s="2510"/>
      <c r="JG105" s="2479"/>
      <c r="JH105" s="1233"/>
      <c r="JI105" s="2248"/>
      <c r="JJ105" s="2248" t="s">
        <v>6108</v>
      </c>
    </row>
    <row r="106" spans="1:270" x14ac:dyDescent="0.2">
      <c r="A106" s="1128">
        <v>63</v>
      </c>
      <c r="B106" s="1347" t="str">
        <f si="4" t="shared"/>
        <v/>
      </c>
      <c r="C106" s="1278" t="s">
        <v>2702</v>
      </c>
      <c r="D106" s="1350" t="s">
        <v>5527</v>
      </c>
      <c r="E106" s="2514"/>
      <c r="F106" s="2514"/>
      <c r="G106" s="2513"/>
      <c r="H106" s="2514"/>
      <c r="I106" s="2513"/>
      <c r="J106" s="2513"/>
      <c r="K106" s="2514"/>
      <c r="L106" s="2513"/>
      <c r="M106" s="2513"/>
      <c r="N106" s="2513"/>
      <c r="O106" s="2515"/>
      <c r="P106" s="2515"/>
      <c r="Q106" s="2513"/>
      <c r="R106" s="2515"/>
      <c r="S106" s="2513"/>
      <c r="T106" s="2516"/>
      <c r="U106" s="2516"/>
      <c r="V106" s="2516"/>
      <c r="W106" s="2516"/>
      <c r="X106" s="2516"/>
      <c r="Y106" s="2516"/>
      <c r="Z106" s="2516"/>
      <c r="AA106" s="2516"/>
      <c r="AB106" s="2516"/>
      <c r="AC106" s="2513"/>
      <c r="AD106" s="3523"/>
      <c r="AE106" s="2514">
        <f>AE91+AE103+AE104+AE105</f>
        <v>0</v>
      </c>
      <c r="AF106" s="3523"/>
      <c r="AG106" s="3523"/>
      <c r="AH106" s="2514">
        <f>AH91+AH103+AH104+AH105</f>
        <v>0</v>
      </c>
      <c r="AI106" s="2516"/>
      <c r="AJ106" s="2514">
        <f>AJ91+AJ103+AJ104+AJ105</f>
        <v>0</v>
      </c>
      <c r="AK106" s="2516"/>
      <c r="AL106" s="2514">
        <f>AL91+AL103+AL104+AL105</f>
        <v>9712</v>
      </c>
      <c r="AM106" s="2516"/>
      <c r="AN106" s="2516"/>
      <c r="AO106" s="2516"/>
      <c r="AP106" s="2516"/>
      <c r="AQ106" s="2516"/>
      <c r="AR106" s="2516"/>
      <c r="AS106" s="2516"/>
      <c r="AT106" s="2516"/>
      <c r="AU106" s="2516"/>
      <c r="AV106" s="2514">
        <f>AV91+AV103+AV104+AV105</f>
        <v>361</v>
      </c>
      <c r="AW106" s="2516"/>
      <c r="AX106" s="2516"/>
      <c r="AY106" s="2516"/>
      <c r="AZ106" s="2516"/>
      <c r="BA106" s="2516"/>
      <c r="BB106" s="2516"/>
      <c r="BC106" s="2516"/>
      <c r="BD106" s="2516"/>
      <c r="BE106" s="2516"/>
      <c r="BF106" s="2516"/>
      <c r="BG106" s="2516"/>
      <c r="BH106" s="3957"/>
      <c r="BI106" s="3957"/>
      <c r="BJ106" s="2514">
        <f>BJ91+BJ103+BJ104+BJ105</f>
        <v>9712</v>
      </c>
      <c r="BK106" s="2516"/>
      <c r="BL106" s="2516"/>
      <c r="BM106" s="2516"/>
      <c r="BN106" s="2516"/>
      <c r="BO106" s="2516"/>
      <c r="BP106" s="2513"/>
      <c r="BQ106" s="2516"/>
      <c r="BR106" s="2516"/>
      <c r="BS106" s="2516"/>
      <c r="BT106" s="2516"/>
      <c r="BU106" s="2516"/>
      <c r="BV106" s="2516"/>
      <c r="BW106" s="2516"/>
      <c r="BX106" s="2516"/>
      <c r="BY106" s="2516"/>
      <c r="BZ106" s="2516"/>
      <c r="CA106" s="2516"/>
      <c r="CB106" s="2514">
        <f>CB91+CB103+CB104+CB105</f>
        <v>0</v>
      </c>
      <c r="CC106" s="2516"/>
      <c r="CD106" s="2516"/>
      <c r="CE106" s="2516"/>
      <c r="CF106" s="2514">
        <f>CF91+CF103+CF104+CF105</f>
        <v>0</v>
      </c>
      <c r="CG106" s="2516"/>
      <c r="CH106" s="2513"/>
      <c r="CI106" s="2516"/>
      <c r="CJ106" s="2516"/>
      <c r="CK106" s="2516"/>
      <c r="CL106" s="2514">
        <f>CL91+CL103+CL104+CL105</f>
        <v>9712</v>
      </c>
      <c r="CM106" s="2516"/>
      <c r="CN106" s="2516"/>
      <c r="CO106" s="2516"/>
      <c r="CP106" s="2516"/>
      <c r="CQ106" s="2516"/>
      <c r="CR106" s="2514">
        <f>CR91+CR103+CR104+CR105</f>
        <v>9712</v>
      </c>
      <c r="CS106" s="2514">
        <f>CS91+CS103+CS104+CS105</f>
        <v>9712</v>
      </c>
      <c r="CT106" s="2516"/>
      <c r="CU106" s="2514">
        <f>CU91+CU103+CU104+CU105</f>
        <v>3316</v>
      </c>
      <c r="CV106" s="2514">
        <f>CV91+CV103+CV104+CV105</f>
        <v>3316</v>
      </c>
      <c r="CW106" s="2516"/>
      <c r="CX106" s="2516"/>
      <c r="CY106" s="2516"/>
      <c r="CZ106" s="2516"/>
      <c r="DA106" s="2516"/>
      <c r="DB106" s="2516"/>
      <c r="DC106" s="2514">
        <f>DC91+DC103+DC104+DC105</f>
        <v>3316</v>
      </c>
      <c r="DD106" s="2516"/>
      <c r="DE106" s="2516"/>
      <c r="DF106" s="2516"/>
      <c r="DG106" s="2516"/>
      <c r="DH106" s="2516"/>
      <c r="DI106" s="2516"/>
      <c r="DJ106" s="2514">
        <f>DJ91+DJ103+DJ104+DJ105</f>
        <v>3316</v>
      </c>
      <c r="DK106" s="2516"/>
      <c r="DL106" s="2516"/>
      <c r="DM106" s="2516"/>
      <c r="DN106" s="2516"/>
      <c r="DO106" s="2514">
        <f>DO91+DO103+DO104+DO105</f>
        <v>361</v>
      </c>
      <c r="DP106" s="2516"/>
      <c r="DQ106" s="2516"/>
      <c r="DR106" s="2516"/>
      <c r="DS106" s="2516"/>
      <c r="DT106" s="2516"/>
      <c r="DU106" s="2516"/>
      <c r="DV106" s="2516"/>
      <c r="DW106" s="2516"/>
      <c r="DX106" s="2516"/>
      <c r="DY106" s="2516"/>
      <c r="DZ106" s="2516"/>
      <c r="EA106" s="2516"/>
      <c r="EB106" s="2516"/>
      <c r="EC106" s="2516"/>
      <c r="ED106" s="2516"/>
      <c r="EE106" s="2516"/>
      <c r="EF106" s="2514">
        <f>EF91+EF104+EF105</f>
        <v>0</v>
      </c>
      <c r="EG106" s="2513"/>
      <c r="EH106" s="2516"/>
      <c r="EI106" s="2514">
        <f>EI91+EI103+EI104+EI105</f>
        <v>687</v>
      </c>
      <c r="EJ106" s="2516"/>
      <c r="EK106" s="2516"/>
      <c r="EL106" s="2516"/>
      <c r="EM106" s="2514">
        <f>EM91+EM103+EM104+EM105</f>
        <v>9712</v>
      </c>
      <c r="EN106" s="2516"/>
      <c r="EO106" s="2516"/>
      <c r="EP106" s="2516"/>
      <c r="EQ106" s="2516"/>
      <c r="ER106" s="2516"/>
      <c r="ES106" s="2516"/>
      <c r="ET106" s="2516"/>
      <c r="EU106" s="2516"/>
      <c r="EV106" s="2516"/>
      <c r="EW106" s="2516"/>
      <c r="EX106" s="2516"/>
      <c r="EY106" s="2514">
        <f>EY91+EY103+EY104+EY105</f>
        <v>9712</v>
      </c>
      <c r="EZ106" s="2516"/>
      <c r="FA106" s="2516"/>
      <c r="FB106" s="2516"/>
      <c r="FC106" s="2516"/>
      <c r="FD106" s="2516"/>
      <c r="FE106" s="2516"/>
      <c r="FF106" s="2514">
        <f>FF91+FF103+FF104+FF105</f>
        <v>0</v>
      </c>
      <c r="FG106" s="2516"/>
      <c r="FH106" s="2514">
        <f>FH91+FH103+FH104+FH105</f>
        <v>3316</v>
      </c>
      <c r="FI106" s="2516"/>
      <c r="FJ106" s="2516"/>
      <c r="FK106" s="2516"/>
      <c r="FL106" s="2516"/>
      <c r="FM106" s="2516"/>
      <c r="FN106" s="2516"/>
      <c r="FO106" s="2516"/>
      <c r="FP106" s="2516"/>
      <c r="FQ106" s="2516"/>
      <c r="FR106" s="2516"/>
      <c r="FS106" s="2516"/>
      <c r="FT106" s="2516"/>
      <c r="FU106" s="2516"/>
      <c r="FV106" s="2516"/>
      <c r="FW106" s="2516"/>
      <c r="FX106" s="2516"/>
      <c r="FY106" s="2516"/>
      <c r="FZ106" s="2516"/>
      <c r="GA106" s="2516"/>
      <c r="GB106" s="2516"/>
      <c r="GC106" s="2516"/>
      <c r="GD106" s="2516"/>
      <c r="GE106" s="2516"/>
      <c r="GF106" s="2516"/>
      <c r="GG106" s="2516"/>
      <c r="GH106" s="2516"/>
      <c r="GI106" s="2516"/>
      <c r="GJ106" s="2514">
        <f>GJ91+GJ103+GJ104+GJ105</f>
        <v>687</v>
      </c>
      <c r="GK106" s="2516"/>
      <c r="GL106" s="2516"/>
      <c r="GM106" s="2516"/>
      <c r="GN106" s="2516"/>
      <c r="GO106" s="2516"/>
      <c r="GP106" s="2516"/>
      <c r="GQ106" s="2516"/>
      <c r="GR106" s="2516"/>
      <c r="GS106" s="2516"/>
      <c r="GT106" s="2516"/>
      <c r="GU106" s="2516"/>
      <c r="GV106" s="2516"/>
      <c r="GW106" s="2516"/>
      <c r="GX106" s="2513"/>
      <c r="GY106" s="2516"/>
      <c r="GZ106" s="2516"/>
      <c r="HA106" s="2516"/>
      <c r="HB106" s="2514">
        <f>HB91+HB103+HB104+HB105</f>
        <v>361</v>
      </c>
      <c r="HC106" s="2514">
        <f>HC91+HC103+HC104+HC105</f>
        <v>3316</v>
      </c>
      <c r="HD106" s="2516"/>
      <c r="HE106" s="2516"/>
      <c r="HF106" s="2516"/>
      <c r="HG106" s="2516"/>
      <c r="HH106" s="2516"/>
      <c r="HI106" s="2516"/>
      <c r="HJ106" s="2516"/>
      <c r="HK106" s="2516"/>
      <c r="HL106" s="2516"/>
      <c r="HM106" s="2516"/>
      <c r="HN106" s="2516"/>
      <c r="HO106" s="2513"/>
      <c r="HP106" s="2516"/>
      <c r="HQ106" s="2516"/>
      <c r="HR106" s="2516"/>
      <c r="HS106" s="2516"/>
      <c r="HT106" s="2516"/>
      <c r="HU106" s="2516"/>
      <c r="HV106" s="2516"/>
      <c r="HW106" s="2516"/>
      <c r="HX106" s="2516"/>
      <c r="HY106" s="2516"/>
      <c r="HZ106" s="2516"/>
      <c r="IA106" s="2516"/>
      <c r="IB106" s="2516"/>
      <c r="IC106" s="2516"/>
      <c r="ID106" s="2516"/>
      <c r="IE106" s="2516"/>
      <c r="IF106" s="2516"/>
      <c r="IG106" s="2516"/>
      <c r="IH106" s="2516"/>
      <c r="II106" s="2516"/>
      <c r="IJ106" s="2516"/>
      <c r="IK106" s="2516"/>
      <c r="IL106" s="2516"/>
      <c r="IM106" s="2516"/>
      <c r="IN106" s="2516"/>
      <c r="IO106" s="2516"/>
      <c r="IP106" s="2516"/>
      <c r="IQ106" s="2516"/>
      <c r="IR106" s="2516"/>
      <c r="IS106" s="2516"/>
      <c r="IT106" s="2516"/>
      <c r="IU106" s="2516"/>
      <c r="IV106" s="2516"/>
      <c r="IW106" s="2516"/>
      <c r="IX106" s="2516"/>
      <c r="IY106" s="2516"/>
      <c r="IZ106" s="2516"/>
      <c r="JA106" s="2516"/>
      <c r="JB106" s="2516"/>
      <c r="JC106" s="2516"/>
      <c r="JD106" s="2516"/>
      <c r="JE106" s="2516"/>
      <c r="JF106" s="2516"/>
      <c r="JG106" s="2517"/>
      <c r="JH106" s="1233"/>
      <c r="JI106" s="2248" t="s">
        <v>6528</v>
      </c>
      <c r="JJ106" s="2248" t="s">
        <v>6128</v>
      </c>
    </row>
    <row r="107" spans="1:270" x14ac:dyDescent="0.2">
      <c r="A107" s="1128">
        <v>64</v>
      </c>
      <c r="B107" s="1347" t="str">
        <f si="4" t="shared"/>
        <v/>
      </c>
      <c r="C107" s="1278" t="s">
        <v>2703</v>
      </c>
      <c r="D107" s="1350" t="s">
        <v>5528</v>
      </c>
      <c r="E107" s="2472"/>
      <c r="F107" s="2472"/>
      <c r="G107" s="2511"/>
      <c r="H107" s="2472"/>
      <c r="I107" s="2511"/>
      <c r="J107" s="2511"/>
      <c r="K107" s="2472"/>
      <c r="L107" s="2511"/>
      <c r="M107" s="2472"/>
      <c r="N107" s="2472"/>
      <c r="O107" s="2509"/>
      <c r="P107" s="2509"/>
      <c r="Q107" s="2511"/>
      <c r="R107" s="2509"/>
      <c r="S107" s="2511"/>
      <c r="T107" s="2510"/>
      <c r="U107" s="2510"/>
      <c r="V107" s="2510"/>
      <c r="W107" s="2510"/>
      <c r="X107" s="2510"/>
      <c r="Y107" s="2510"/>
      <c r="Z107" s="2510"/>
      <c r="AA107" s="2510"/>
      <c r="AB107" s="2510"/>
      <c r="AC107" s="2511"/>
      <c r="AD107" s="2889"/>
      <c r="AE107" s="2472"/>
      <c r="AF107" s="2889"/>
      <c r="AG107" s="2889"/>
      <c r="AH107" s="2472"/>
      <c r="AI107" s="2510"/>
      <c r="AJ107" s="2472"/>
      <c r="AK107" s="2510"/>
      <c r="AL107" s="2472">
        <v>921</v>
      </c>
      <c r="AM107" s="2510"/>
      <c r="AN107" s="2510"/>
      <c r="AO107" s="2510"/>
      <c r="AP107" s="2510"/>
      <c r="AQ107" s="2510"/>
      <c r="AR107" s="2510"/>
      <c r="AS107" s="2510"/>
      <c r="AT107" s="2510"/>
      <c r="AU107" s="2510"/>
      <c r="AV107" s="2472"/>
      <c r="AW107" s="2510"/>
      <c r="AX107" s="2510"/>
      <c r="AY107" s="2510"/>
      <c r="AZ107" s="2510"/>
      <c r="BA107" s="2510"/>
      <c r="BB107" s="2510"/>
      <c r="BC107" s="2510"/>
      <c r="BD107" s="2510"/>
      <c r="BE107" s="2510"/>
      <c r="BF107" s="2510"/>
      <c r="BG107" s="2510"/>
      <c r="BH107" s="3956"/>
      <c r="BI107" s="3956"/>
      <c r="BJ107" s="2472">
        <v>921</v>
      </c>
      <c r="BK107" s="2510"/>
      <c r="BL107" s="2510"/>
      <c r="BM107" s="2510"/>
      <c r="BN107" s="2510"/>
      <c r="BO107" s="2510"/>
      <c r="BP107" s="2511"/>
      <c r="BQ107" s="2510"/>
      <c r="BR107" s="2510"/>
      <c r="BS107" s="2510"/>
      <c r="BT107" s="2510"/>
      <c r="BU107" s="2510"/>
      <c r="BV107" s="2510"/>
      <c r="BW107" s="2510"/>
      <c r="BX107" s="2510"/>
      <c r="BY107" s="2510"/>
      <c r="BZ107" s="2510"/>
      <c r="CA107" s="2510"/>
      <c r="CB107" s="2472"/>
      <c r="CC107" s="2510"/>
      <c r="CD107" s="2510"/>
      <c r="CE107" s="2510"/>
      <c r="CF107" s="2472"/>
      <c r="CG107" s="2510"/>
      <c r="CH107" s="2511"/>
      <c r="CI107" s="2510"/>
      <c r="CJ107" s="2510"/>
      <c r="CK107" s="2510"/>
      <c r="CL107" s="2472">
        <v>921</v>
      </c>
      <c r="CM107" s="2510"/>
      <c r="CN107" s="2510"/>
      <c r="CO107" s="2510"/>
      <c r="CP107" s="2510"/>
      <c r="CQ107" s="2510"/>
      <c r="CR107" s="2472">
        <v>921</v>
      </c>
      <c r="CS107" s="2472">
        <v>921</v>
      </c>
      <c r="CT107" s="2510"/>
      <c r="CU107" s="2472"/>
      <c r="CV107" s="2472"/>
      <c r="CW107" s="2510"/>
      <c r="CX107" s="2510"/>
      <c r="CY107" s="2510"/>
      <c r="CZ107" s="2510"/>
      <c r="DA107" s="2510"/>
      <c r="DB107" s="2510"/>
      <c r="DC107" s="2472"/>
      <c r="DD107" s="2510"/>
      <c r="DE107" s="2510"/>
      <c r="DF107" s="2510"/>
      <c r="DG107" s="2510"/>
      <c r="DH107" s="2510"/>
      <c r="DI107" s="2510"/>
      <c r="DJ107" s="2472"/>
      <c r="DK107" s="2510"/>
      <c r="DL107" s="2510"/>
      <c r="DM107" s="2510"/>
      <c r="DN107" s="2510"/>
      <c r="DO107" s="2472"/>
      <c r="DP107" s="2510"/>
      <c r="DQ107" s="2510"/>
      <c r="DR107" s="2510"/>
      <c r="DS107" s="2510"/>
      <c r="DT107" s="2510"/>
      <c r="DU107" s="2510"/>
      <c r="DV107" s="2510"/>
      <c r="DW107" s="2510"/>
      <c r="DX107" s="2510"/>
      <c r="DY107" s="2510"/>
      <c r="DZ107" s="2510"/>
      <c r="EA107" s="2510"/>
      <c r="EB107" s="2510"/>
      <c r="EC107" s="2510"/>
      <c r="ED107" s="2510"/>
      <c r="EE107" s="2510"/>
      <c r="EF107" s="2472"/>
      <c r="EG107" s="2511"/>
      <c r="EH107" s="2510"/>
      <c r="EI107" s="2472"/>
      <c r="EJ107" s="2510"/>
      <c r="EK107" s="2510"/>
      <c r="EL107" s="2510"/>
      <c r="EM107" s="2472">
        <v>921</v>
      </c>
      <c r="EN107" s="2510"/>
      <c r="EO107" s="2510"/>
      <c r="EP107" s="2510"/>
      <c r="EQ107" s="2510"/>
      <c r="ER107" s="2510"/>
      <c r="ES107" s="2510"/>
      <c r="ET107" s="2510"/>
      <c r="EU107" s="2510"/>
      <c r="EV107" s="2510"/>
      <c r="EW107" s="2510"/>
      <c r="EX107" s="2510"/>
      <c r="EY107" s="2472">
        <v>921</v>
      </c>
      <c r="EZ107" s="2510"/>
      <c r="FA107" s="2510"/>
      <c r="FB107" s="2510"/>
      <c r="FC107" s="2510"/>
      <c r="FD107" s="2510"/>
      <c r="FE107" s="2510"/>
      <c r="FF107" s="2472"/>
      <c r="FG107" s="2510"/>
      <c r="FH107" s="2472"/>
      <c r="FI107" s="2510"/>
      <c r="FJ107" s="2510"/>
      <c r="FK107" s="2510"/>
      <c r="FL107" s="2510"/>
      <c r="FM107" s="2510"/>
      <c r="FN107" s="2510"/>
      <c r="FO107" s="2510"/>
      <c r="FP107" s="2510"/>
      <c r="FQ107" s="2510"/>
      <c r="FR107" s="2510"/>
      <c r="FS107" s="2510"/>
      <c r="FT107" s="2510"/>
      <c r="FU107" s="2510"/>
      <c r="FV107" s="2510"/>
      <c r="FW107" s="2510"/>
      <c r="FX107" s="2510"/>
      <c r="FY107" s="2510"/>
      <c r="FZ107" s="2510"/>
      <c r="GA107" s="2510"/>
      <c r="GB107" s="2510"/>
      <c r="GC107" s="2510"/>
      <c r="GD107" s="2510"/>
      <c r="GE107" s="2510"/>
      <c r="GF107" s="2510"/>
      <c r="GG107" s="2510"/>
      <c r="GH107" s="2510"/>
      <c r="GI107" s="2510"/>
      <c r="GJ107" s="2472"/>
      <c r="GK107" s="2510"/>
      <c r="GL107" s="2510"/>
      <c r="GM107" s="2510"/>
      <c r="GN107" s="2510"/>
      <c r="GO107" s="2510"/>
      <c r="GP107" s="2510"/>
      <c r="GQ107" s="2510"/>
      <c r="GR107" s="2510"/>
      <c r="GS107" s="2510"/>
      <c r="GT107" s="2510"/>
      <c r="GU107" s="2510"/>
      <c r="GV107" s="2510"/>
      <c r="GW107" s="2510"/>
      <c r="GX107" s="2472"/>
      <c r="GY107" s="2510"/>
      <c r="GZ107" s="2510"/>
      <c r="HA107" s="2510"/>
      <c r="HB107" s="2472"/>
      <c r="HC107" s="2472"/>
      <c r="HD107" s="2510"/>
      <c r="HE107" s="2510"/>
      <c r="HF107" s="2510"/>
      <c r="HG107" s="2510"/>
      <c r="HH107" s="2510"/>
      <c r="HI107" s="2510"/>
      <c r="HJ107" s="2510"/>
      <c r="HK107" s="2510"/>
      <c r="HL107" s="2510"/>
      <c r="HM107" s="2510"/>
      <c r="HN107" s="2510"/>
      <c r="HO107" s="2511"/>
      <c r="HP107" s="2510"/>
      <c r="HQ107" s="2510"/>
      <c r="HR107" s="2510"/>
      <c r="HS107" s="2510"/>
      <c r="HT107" s="2510"/>
      <c r="HU107" s="2510"/>
      <c r="HV107" s="2510"/>
      <c r="HW107" s="2510"/>
      <c r="HX107" s="2510"/>
      <c r="HY107" s="2510"/>
      <c r="HZ107" s="2510"/>
      <c r="IA107" s="2510"/>
      <c r="IB107" s="2510"/>
      <c r="IC107" s="2510"/>
      <c r="ID107" s="2510"/>
      <c r="IE107" s="2510"/>
      <c r="IF107" s="2510"/>
      <c r="IG107" s="2510"/>
      <c r="IH107" s="2510"/>
      <c r="II107" s="2510"/>
      <c r="IJ107" s="2510"/>
      <c r="IK107" s="2510"/>
      <c r="IL107" s="2510"/>
      <c r="IM107" s="2510"/>
      <c r="IN107" s="2510"/>
      <c r="IO107" s="2510"/>
      <c r="IP107" s="2510"/>
      <c r="IQ107" s="2510"/>
      <c r="IR107" s="2510"/>
      <c r="IS107" s="2510"/>
      <c r="IT107" s="2510"/>
      <c r="IU107" s="2510"/>
      <c r="IV107" s="2510"/>
      <c r="IW107" s="2510"/>
      <c r="IX107" s="2510"/>
      <c r="IY107" s="2510"/>
      <c r="IZ107" s="2510"/>
      <c r="JA107" s="2510"/>
      <c r="JB107" s="2510"/>
      <c r="JC107" s="2510"/>
      <c r="JD107" s="2510"/>
      <c r="JE107" s="2510"/>
      <c r="JF107" s="2510"/>
      <c r="JG107" s="2479"/>
      <c r="JH107" s="1233"/>
      <c r="JI107" s="2248"/>
      <c r="JJ107" s="2248" t="s">
        <v>6108</v>
      </c>
    </row>
    <row r="108" spans="1:270" x14ac:dyDescent="0.2">
      <c r="A108" s="1128">
        <v>65</v>
      </c>
      <c r="B108" s="1347" t="str">
        <f si="4" t="shared"/>
        <v/>
      </c>
      <c r="C108" s="1278" t="s">
        <v>1314</v>
      </c>
      <c r="D108" s="1350" t="s">
        <v>5529</v>
      </c>
      <c r="E108" s="2514"/>
      <c r="F108" s="2514"/>
      <c r="G108" s="2513"/>
      <c r="H108" s="2514"/>
      <c r="I108" s="2513"/>
      <c r="J108" s="2513"/>
      <c r="K108" s="2514"/>
      <c r="L108" s="2513"/>
      <c r="M108" s="2514"/>
      <c r="N108" s="2514"/>
      <c r="O108" s="2515"/>
      <c r="P108" s="2515"/>
      <c r="Q108" s="2513"/>
      <c r="R108" s="2515"/>
      <c r="S108" s="2513"/>
      <c r="T108" s="2516"/>
      <c r="U108" s="2516"/>
      <c r="V108" s="2516"/>
      <c r="W108" s="2516"/>
      <c r="X108" s="2516"/>
      <c r="Y108" s="2516"/>
      <c r="Z108" s="2516"/>
      <c r="AA108" s="2516"/>
      <c r="AB108" s="2516"/>
      <c r="AC108" s="2513"/>
      <c r="AD108" s="3523"/>
      <c r="AE108" s="2514">
        <f>AE102+AE107</f>
        <v>0</v>
      </c>
      <c r="AF108" s="3523"/>
      <c r="AG108" s="3523"/>
      <c r="AH108" s="2514">
        <f>AH102+AH107</f>
        <v>900</v>
      </c>
      <c r="AI108" s="2516"/>
      <c r="AJ108" s="2514">
        <f>AJ102+AJ107</f>
        <v>6350</v>
      </c>
      <c r="AK108" s="2516"/>
      <c r="AL108" s="2514">
        <f>AL102+AL107</f>
        <v>4086</v>
      </c>
      <c r="AM108" s="2516"/>
      <c r="AN108" s="2516"/>
      <c r="AO108" s="2516"/>
      <c r="AP108" s="2516"/>
      <c r="AQ108" s="2516"/>
      <c r="AR108" s="2516"/>
      <c r="AS108" s="2516"/>
      <c r="AT108" s="2516"/>
      <c r="AU108" s="2516"/>
      <c r="AV108" s="2514">
        <f>AV102+AV107</f>
        <v>7750</v>
      </c>
      <c r="AW108" s="2516"/>
      <c r="AX108" s="2516"/>
      <c r="AY108" s="2516"/>
      <c r="AZ108" s="2516"/>
      <c r="BA108" s="2516"/>
      <c r="BB108" s="2516"/>
      <c r="BC108" s="2516"/>
      <c r="BD108" s="2516"/>
      <c r="BE108" s="2516"/>
      <c r="BF108" s="2516"/>
      <c r="BG108" s="2516"/>
      <c r="BH108" s="3957"/>
      <c r="BI108" s="3957"/>
      <c r="BJ108" s="2514">
        <f>BJ102+BJ107</f>
        <v>4086</v>
      </c>
      <c r="BK108" s="2516"/>
      <c r="BL108" s="2516"/>
      <c r="BM108" s="2516"/>
      <c r="BN108" s="2516"/>
      <c r="BO108" s="2516"/>
      <c r="BP108" s="2513"/>
      <c r="BQ108" s="2516"/>
      <c r="BR108" s="2516"/>
      <c r="BS108" s="2516"/>
      <c r="BT108" s="2516"/>
      <c r="BU108" s="2516"/>
      <c r="BV108" s="2516"/>
      <c r="BW108" s="2516"/>
      <c r="BX108" s="2516"/>
      <c r="BY108" s="2516"/>
      <c r="BZ108" s="2516"/>
      <c r="CA108" s="2516"/>
      <c r="CB108" s="2514">
        <f>CB102+CB107</f>
        <v>1333946</v>
      </c>
      <c r="CC108" s="2516"/>
      <c r="CD108" s="2516"/>
      <c r="CE108" s="2516"/>
      <c r="CF108" s="2514">
        <f>CF102+CF107</f>
        <v>6350</v>
      </c>
      <c r="CG108" s="2516"/>
      <c r="CH108" s="2513"/>
      <c r="CI108" s="2516"/>
      <c r="CJ108" s="2516"/>
      <c r="CK108" s="2516"/>
      <c r="CL108" s="2514">
        <f>CL102+CL107</f>
        <v>4086</v>
      </c>
      <c r="CM108" s="2516"/>
      <c r="CN108" s="2516"/>
      <c r="CO108" s="2516"/>
      <c r="CP108" s="2516"/>
      <c r="CQ108" s="2516"/>
      <c r="CR108" s="2514">
        <f>CR102+CR107</f>
        <v>4086</v>
      </c>
      <c r="CS108" s="2514">
        <f>CS102+CS107</f>
        <v>4086</v>
      </c>
      <c r="CT108" s="2516"/>
      <c r="CU108" s="2514">
        <f>CU102+CU107</f>
        <v>4500</v>
      </c>
      <c r="CV108" s="2514">
        <f>CV102+CV107</f>
        <v>4500</v>
      </c>
      <c r="CW108" s="2516"/>
      <c r="CX108" s="2516"/>
      <c r="CY108" s="2516"/>
      <c r="CZ108" s="2516"/>
      <c r="DA108" s="2516"/>
      <c r="DB108" s="2516"/>
      <c r="DC108" s="2514">
        <f>DC102+DC107</f>
        <v>4500</v>
      </c>
      <c r="DD108" s="2516"/>
      <c r="DE108" s="2516"/>
      <c r="DF108" s="2516"/>
      <c r="DG108" s="2516"/>
      <c r="DH108" s="2516"/>
      <c r="DI108" s="2516"/>
      <c r="DJ108" s="2514">
        <f>DJ102+DJ107</f>
        <v>4500</v>
      </c>
      <c r="DK108" s="2516"/>
      <c r="DL108" s="2516"/>
      <c r="DM108" s="2516"/>
      <c r="DN108" s="2516"/>
      <c r="DO108" s="2514">
        <f>DO102+DO107</f>
        <v>7750</v>
      </c>
      <c r="DP108" s="2516"/>
      <c r="DQ108" s="2516"/>
      <c r="DR108" s="2516"/>
      <c r="DS108" s="2516"/>
      <c r="DT108" s="2516"/>
      <c r="DU108" s="2516"/>
      <c r="DV108" s="2516"/>
      <c r="DW108" s="2516"/>
      <c r="DX108" s="2516"/>
      <c r="DY108" s="2516"/>
      <c r="DZ108" s="2516"/>
      <c r="EA108" s="2516"/>
      <c r="EB108" s="2516"/>
      <c r="EC108" s="2516"/>
      <c r="ED108" s="2516"/>
      <c r="EE108" s="2516"/>
      <c r="EF108" s="2514">
        <f>EF102+EF107</f>
        <v>6000</v>
      </c>
      <c r="EG108" s="2513"/>
      <c r="EH108" s="2516"/>
      <c r="EI108" s="2514">
        <f>EI102+EI107</f>
        <v>1161</v>
      </c>
      <c r="EJ108" s="2516"/>
      <c r="EK108" s="2516"/>
      <c r="EL108" s="2516"/>
      <c r="EM108" s="2514">
        <f>EM102+EM107</f>
        <v>4086</v>
      </c>
      <c r="EN108" s="2516"/>
      <c r="EO108" s="2516"/>
      <c r="EP108" s="2516"/>
      <c r="EQ108" s="2516"/>
      <c r="ER108" s="2516"/>
      <c r="ES108" s="2516"/>
      <c r="ET108" s="2516"/>
      <c r="EU108" s="2516"/>
      <c r="EV108" s="2516"/>
      <c r="EW108" s="2516"/>
      <c r="EX108" s="2516"/>
      <c r="EY108" s="2514">
        <f>EY102+EY107</f>
        <v>4086</v>
      </c>
      <c r="EZ108" s="2516"/>
      <c r="FA108" s="2516"/>
      <c r="FB108" s="2516"/>
      <c r="FC108" s="2516"/>
      <c r="FD108" s="2516"/>
      <c r="FE108" s="2516"/>
      <c r="FF108" s="2514">
        <f>FF102+FF107</f>
        <v>6350</v>
      </c>
      <c r="FG108" s="2516"/>
      <c r="FH108" s="2514">
        <f>FH102+FH107</f>
        <v>4500</v>
      </c>
      <c r="FI108" s="2516"/>
      <c r="FJ108" s="2516"/>
      <c r="FK108" s="2516"/>
      <c r="FL108" s="2516"/>
      <c r="FM108" s="2516"/>
      <c r="FN108" s="2516"/>
      <c r="FO108" s="2516"/>
      <c r="FP108" s="2516"/>
      <c r="FQ108" s="2516"/>
      <c r="FR108" s="2516"/>
      <c r="FS108" s="2516"/>
      <c r="FT108" s="2516"/>
      <c r="FU108" s="2516"/>
      <c r="FV108" s="2516"/>
      <c r="FW108" s="2516"/>
      <c r="FX108" s="2516"/>
      <c r="FY108" s="2516"/>
      <c r="FZ108" s="2516"/>
      <c r="GA108" s="2516"/>
      <c r="GB108" s="2516"/>
      <c r="GC108" s="2516"/>
      <c r="GD108" s="2516"/>
      <c r="GE108" s="2516"/>
      <c r="GF108" s="2516"/>
      <c r="GG108" s="2516"/>
      <c r="GH108" s="2516"/>
      <c r="GI108" s="2516"/>
      <c r="GJ108" s="2514">
        <f>GJ102+GJ107</f>
        <v>1161</v>
      </c>
      <c r="GK108" s="2516"/>
      <c r="GL108" s="2516"/>
      <c r="GM108" s="2516"/>
      <c r="GN108" s="2516"/>
      <c r="GO108" s="2516"/>
      <c r="GP108" s="2516"/>
      <c r="GQ108" s="2516"/>
      <c r="GR108" s="2516"/>
      <c r="GS108" s="2516"/>
      <c r="GT108" s="2516"/>
      <c r="GU108" s="2516"/>
      <c r="GV108" s="2516"/>
      <c r="GW108" s="2516"/>
      <c r="GX108" s="2514">
        <f>GX102+GX107</f>
        <v>5000</v>
      </c>
      <c r="GY108" s="2516"/>
      <c r="GZ108" s="2516"/>
      <c r="HA108" s="2516"/>
      <c r="HB108" s="2514">
        <f>HB102+HB107</f>
        <v>7750</v>
      </c>
      <c r="HC108" s="2514">
        <f>HC102+HC107</f>
        <v>4500</v>
      </c>
      <c r="HD108" s="2516"/>
      <c r="HE108" s="2516"/>
      <c r="HF108" s="2516"/>
      <c r="HG108" s="2516"/>
      <c r="HH108" s="2516"/>
      <c r="HI108" s="2516"/>
      <c r="HJ108" s="2516"/>
      <c r="HK108" s="2516"/>
      <c r="HL108" s="2516"/>
      <c r="HM108" s="2516"/>
      <c r="HN108" s="2516"/>
      <c r="HO108" s="2513"/>
      <c r="HP108" s="2516"/>
      <c r="HQ108" s="2516"/>
      <c r="HR108" s="2516"/>
      <c r="HS108" s="2516"/>
      <c r="HT108" s="2516"/>
      <c r="HU108" s="2516"/>
      <c r="HV108" s="2516"/>
      <c r="HW108" s="2516"/>
      <c r="HX108" s="2516"/>
      <c r="HY108" s="2516"/>
      <c r="HZ108" s="2516"/>
      <c r="IA108" s="2516"/>
      <c r="IB108" s="2516"/>
      <c r="IC108" s="2516"/>
      <c r="ID108" s="2516"/>
      <c r="IE108" s="2516"/>
      <c r="IF108" s="2516"/>
      <c r="IG108" s="2516"/>
      <c r="IH108" s="2516"/>
      <c r="II108" s="2516"/>
      <c r="IJ108" s="2516"/>
      <c r="IK108" s="2516"/>
      <c r="IL108" s="2516"/>
      <c r="IM108" s="2516"/>
      <c r="IN108" s="2516"/>
      <c r="IO108" s="2516"/>
      <c r="IP108" s="2516"/>
      <c r="IQ108" s="2516"/>
      <c r="IR108" s="2516"/>
      <c r="IS108" s="2516"/>
      <c r="IT108" s="2516"/>
      <c r="IU108" s="2516"/>
      <c r="IV108" s="2516"/>
      <c r="IW108" s="2516"/>
      <c r="IX108" s="2516"/>
      <c r="IY108" s="2516"/>
      <c r="IZ108" s="2516"/>
      <c r="JA108" s="2516"/>
      <c r="JB108" s="2516"/>
      <c r="JC108" s="2516"/>
      <c r="JD108" s="2516"/>
      <c r="JE108" s="2516"/>
      <c r="JF108" s="2516"/>
      <c r="JG108" s="2517"/>
      <c r="JH108" s="1233"/>
      <c r="JI108" s="2248" t="s">
        <v>5480</v>
      </c>
      <c r="JJ108" s="2248" t="s">
        <v>6108</v>
      </c>
    </row>
    <row ht="45" r="109" spans="1:270" x14ac:dyDescent="0.2">
      <c r="A109" s="1128">
        <v>66</v>
      </c>
      <c r="B109" s="1347">
        <f si="4" t="shared"/>
        <v>14900</v>
      </c>
      <c r="C109" s="1278" t="s">
        <v>3498</v>
      </c>
      <c r="D109" s="1350" t="s">
        <v>5530</v>
      </c>
      <c r="E109" s="2514"/>
      <c r="F109" s="2514"/>
      <c r="G109" s="2514">
        <f>MAX(0,(G92+G106)-(G93+G108))</f>
        <v>14900</v>
      </c>
      <c r="H109" s="2513"/>
      <c r="I109" s="2514">
        <f>MAX(0,(I92+I106)-(I93+I108))</f>
        <v>14900</v>
      </c>
      <c r="J109" s="2513"/>
      <c r="K109" s="2514"/>
      <c r="L109" s="2514">
        <f>MAX(0,(L92+L106)-(L93+L108))</f>
        <v>14900</v>
      </c>
      <c r="M109" s="2513"/>
      <c r="N109" s="2513"/>
      <c r="O109" s="2515"/>
      <c r="P109" s="2515"/>
      <c r="Q109" s="2514">
        <f>MAX(0,(Q92+Q106)-(Q93+Q108))</f>
        <v>14900</v>
      </c>
      <c r="R109" s="2515"/>
      <c r="S109" s="2514">
        <f>MAX(0,(S92+S106)-(S93+S108))</f>
        <v>14900</v>
      </c>
      <c r="T109" s="2516"/>
      <c r="U109" s="2516"/>
      <c r="V109" s="2516"/>
      <c r="W109" s="2516"/>
      <c r="X109" s="2516"/>
      <c r="Y109" s="2516"/>
      <c r="Z109" s="2516"/>
      <c r="AA109" s="2516"/>
      <c r="AB109" s="2516"/>
      <c r="AC109" s="2514">
        <f>MAX(0,(AC92+AC106)-(AC93+AC108))</f>
        <v>14900</v>
      </c>
      <c r="AD109" s="2539"/>
      <c r="AE109" s="3541">
        <f>MAX(0,(AE92+AE106)-(AE93+AE108))</f>
        <v>21875</v>
      </c>
      <c r="AF109" s="2539"/>
      <c r="AG109" s="2539"/>
      <c r="AH109" s="3541">
        <f>MAX(0,(AH92+AH106)-(AH93+AH108))</f>
        <v>17430</v>
      </c>
      <c r="AI109" s="2516"/>
      <c r="AJ109" s="2514">
        <f>MAX(0,(AJ92+AJ106)-(AJ93+AJ108))</f>
        <v>47949</v>
      </c>
      <c r="AK109" s="2516"/>
      <c r="AL109" s="2514">
        <f>MAX(0,(AL92+AL106)-(AL93+AL108))</f>
        <v>104298</v>
      </c>
      <c r="AM109" s="2516"/>
      <c r="AN109" s="2516"/>
      <c r="AO109" s="2516"/>
      <c r="AP109" s="2516"/>
      <c r="AQ109" s="2516"/>
      <c r="AR109" s="2516"/>
      <c r="AS109" s="2516"/>
      <c r="AT109" s="2516"/>
      <c r="AU109" s="2516"/>
      <c r="AV109" s="2513"/>
      <c r="AW109" s="2516"/>
      <c r="AX109" s="2516"/>
      <c r="AY109" s="2516"/>
      <c r="AZ109" s="2516"/>
      <c r="BA109" s="2516"/>
      <c r="BB109" s="2516"/>
      <c r="BC109" s="2516"/>
      <c r="BD109" s="2516"/>
      <c r="BE109" s="2516"/>
      <c r="BF109" s="2516"/>
      <c r="BG109" s="2516"/>
      <c r="BH109" s="3957"/>
      <c r="BI109" s="3957"/>
      <c r="BJ109" s="2514">
        <f>MAX(0,(BJ92+BJ106)-(BJ93+BJ108))</f>
        <v>104298</v>
      </c>
      <c r="BK109" s="2516"/>
      <c r="BL109" s="2516"/>
      <c r="BM109" s="2516"/>
      <c r="BN109" s="2516"/>
      <c r="BO109" s="2516"/>
      <c r="BP109" s="2514">
        <f>MAX(0,(BP92+BP106)-(BP93+BP108))</f>
        <v>14900</v>
      </c>
      <c r="BQ109" s="2516"/>
      <c r="BR109" s="2516"/>
      <c r="BS109" s="2516"/>
      <c r="BT109" s="2516"/>
      <c r="BU109" s="2516"/>
      <c r="BV109" s="2516"/>
      <c r="BW109" s="2516"/>
      <c r="BX109" s="2516"/>
      <c r="BY109" s="2516"/>
      <c r="BZ109" s="2516"/>
      <c r="CA109" s="2516"/>
      <c r="CB109" s="2514">
        <f>MAX(0,(CB92+CB106)-(CB93+CB108))</f>
        <v>59749</v>
      </c>
      <c r="CC109" s="2516"/>
      <c r="CD109" s="2516"/>
      <c r="CE109" s="2516"/>
      <c r="CF109" s="2514">
        <f>MAX(0,(CF92+CF106)-(CF93+CF108))</f>
        <v>47949</v>
      </c>
      <c r="CG109" s="2516"/>
      <c r="CH109" s="2514">
        <f>MAX(0,(CH92+CH106)-(CH93+CH108))</f>
        <v>14900</v>
      </c>
      <c r="CI109" s="2516"/>
      <c r="CJ109" s="2516"/>
      <c r="CK109" s="2516"/>
      <c r="CL109" s="2514">
        <f>MAX(0,(CL92+CL106)-(CL93+CL108))</f>
        <v>104298</v>
      </c>
      <c r="CM109" s="2516"/>
      <c r="CN109" s="2516"/>
      <c r="CO109" s="2516"/>
      <c r="CP109" s="2516"/>
      <c r="CQ109" s="2516"/>
      <c r="CR109" s="2514">
        <f>MAX(0,(CR92+CR106)-(CR93+CR108))</f>
        <v>104298</v>
      </c>
      <c r="CS109" s="2514">
        <f>MAX(0,(CS92+CS106)-(CS93+CS108))</f>
        <v>104298</v>
      </c>
      <c r="CT109" s="2516"/>
      <c r="CU109" s="2514">
        <f>MAX(0,(CU92+CU106)-(CU93+CU108))</f>
        <v>138654</v>
      </c>
      <c r="CV109" s="2514">
        <f>MAX(0,(CV92+CV106)-(CV93+CV108))</f>
        <v>138654</v>
      </c>
      <c r="CW109" s="2516"/>
      <c r="CX109" s="2516"/>
      <c r="CY109" s="2516"/>
      <c r="CZ109" s="2516"/>
      <c r="DA109" s="2516"/>
      <c r="DB109" s="2516"/>
      <c r="DC109" s="2514">
        <f>MAX(0,(DC92+DC106)-(DC93+DC108))</f>
        <v>138654</v>
      </c>
      <c r="DD109" s="2516"/>
      <c r="DE109" s="2516"/>
      <c r="DF109" s="2516"/>
      <c r="DG109" s="2516"/>
      <c r="DH109" s="2516"/>
      <c r="DI109" s="2516"/>
      <c r="DJ109" s="2514">
        <f>MAX(0,(DJ92+DJ106)-(DJ93+DJ108))</f>
        <v>138654</v>
      </c>
      <c r="DK109" s="2516"/>
      <c r="DL109" s="2516"/>
      <c r="DM109" s="2516"/>
      <c r="DN109" s="2516"/>
      <c r="DO109" s="2513"/>
      <c r="DP109" s="2516"/>
      <c r="DQ109" s="2516"/>
      <c r="DR109" s="2516"/>
      <c r="DS109" s="2516"/>
      <c r="DT109" s="2516"/>
      <c r="DU109" s="2516"/>
      <c r="DV109" s="2516"/>
      <c r="DW109" s="2516"/>
      <c r="DX109" s="2516"/>
      <c r="DY109" s="2516"/>
      <c r="DZ109" s="2516"/>
      <c r="EA109" s="2516"/>
      <c r="EB109" s="2516"/>
      <c r="EC109" s="2516"/>
      <c r="ED109" s="2516"/>
      <c r="EE109" s="2516"/>
      <c r="EF109" s="2514">
        <f>MAX(0,(EF92+EF106)-(EF93+EF108))</f>
        <v>14023</v>
      </c>
      <c r="EG109" s="2513"/>
      <c r="EH109" s="2516"/>
      <c r="EI109" s="2514">
        <f>MAX(0,(EI92+EI106)-(EI93+EI108))</f>
        <v>56714</v>
      </c>
      <c r="EJ109" s="2516"/>
      <c r="EK109" s="2516"/>
      <c r="EL109" s="2516"/>
      <c r="EM109" s="2514">
        <f>MAX(0,(EM92+EM106)-(EM93+EM108))</f>
        <v>104298</v>
      </c>
      <c r="EN109" s="2516"/>
      <c r="EO109" s="2516"/>
      <c r="EP109" s="2516"/>
      <c r="EQ109" s="2516"/>
      <c r="ER109" s="2516"/>
      <c r="ES109" s="2516"/>
      <c r="ET109" s="2516"/>
      <c r="EU109" s="2516"/>
      <c r="EV109" s="2516"/>
      <c r="EW109" s="2516"/>
      <c r="EX109" s="2516"/>
      <c r="EY109" s="2514">
        <f>MAX(0,(EY92+EY106)-(EY93+EY108))</f>
        <v>104298</v>
      </c>
      <c r="EZ109" s="2516"/>
      <c r="FA109" s="2516"/>
      <c r="FB109" s="2516"/>
      <c r="FC109" s="2516"/>
      <c r="FD109" s="2516"/>
      <c r="FE109" s="2516"/>
      <c r="FF109" s="2514">
        <f>MAX(0,(FF92+FF106)-(FF93+FF108))</f>
        <v>47949</v>
      </c>
      <c r="FG109" s="2516"/>
      <c r="FH109" s="2514">
        <f>MAX(0,(FH92+FH106)-(FH93+FH108))</f>
        <v>138654</v>
      </c>
      <c r="FI109" s="2516"/>
      <c r="FJ109" s="2516"/>
      <c r="FK109" s="2516"/>
      <c r="FL109" s="2516"/>
      <c r="FM109" s="2516"/>
      <c r="FN109" s="2516"/>
      <c r="FO109" s="2516"/>
      <c r="FP109" s="2516"/>
      <c r="FQ109" s="2516"/>
      <c r="FR109" s="2516"/>
      <c r="FS109" s="2516"/>
      <c r="FT109" s="2516"/>
      <c r="FU109" s="2516"/>
      <c r="FV109" s="2516"/>
      <c r="FW109" s="2516"/>
      <c r="FX109" s="2516"/>
      <c r="FY109" s="2516"/>
      <c r="FZ109" s="2516"/>
      <c r="GA109" s="2516"/>
      <c r="GB109" s="2516"/>
      <c r="GC109" s="2516"/>
      <c r="GD109" s="2516"/>
      <c r="GE109" s="2516"/>
      <c r="GF109" s="2516"/>
      <c r="GG109" s="2516"/>
      <c r="GH109" s="2516"/>
      <c r="GI109" s="2516"/>
      <c r="GJ109" s="2514">
        <f>MAX(0,(GJ92+GJ106)-(GJ93+GJ108))</f>
        <v>56714</v>
      </c>
      <c r="GK109" s="2516"/>
      <c r="GL109" s="2516"/>
      <c r="GM109" s="2516"/>
      <c r="GN109" s="2516"/>
      <c r="GO109" s="2516"/>
      <c r="GP109" s="2516"/>
      <c r="GQ109" s="2516"/>
      <c r="GR109" s="2516"/>
      <c r="GS109" s="2516"/>
      <c r="GT109" s="2516"/>
      <c r="GU109" s="2516"/>
      <c r="GV109" s="2516"/>
      <c r="GW109" s="2516"/>
      <c r="GX109" s="2513"/>
      <c r="GY109" s="2516"/>
      <c r="GZ109" s="2516"/>
      <c r="HA109" s="2516"/>
      <c r="HB109" s="2513"/>
      <c r="HC109" s="2514">
        <f>MAX(0,(HC92+HC106)-(HC93+HC108))</f>
        <v>138654</v>
      </c>
      <c r="HD109" s="2516"/>
      <c r="HE109" s="2516"/>
      <c r="HF109" s="2516"/>
      <c r="HG109" s="2516"/>
      <c r="HH109" s="2516"/>
      <c r="HI109" s="2516"/>
      <c r="HJ109" s="2516"/>
      <c r="HK109" s="2516"/>
      <c r="HL109" s="2516"/>
      <c r="HM109" s="2516"/>
      <c r="HN109" s="2516"/>
      <c r="HO109" s="2514">
        <f>MAX(0,(HO92+HO106)-(HO93+HO108))</f>
        <v>14900</v>
      </c>
      <c r="HP109" s="2516"/>
      <c r="HQ109" s="2516"/>
      <c r="HR109" s="2516"/>
      <c r="HS109" s="2516"/>
      <c r="HT109" s="2516"/>
      <c r="HU109" s="2516"/>
      <c r="HV109" s="2516"/>
      <c r="HW109" s="2516"/>
      <c r="HX109" s="2516"/>
      <c r="HY109" s="2516"/>
      <c r="HZ109" s="2516"/>
      <c r="IA109" s="2516"/>
      <c r="IB109" s="2516"/>
      <c r="IC109" s="2516"/>
      <c r="ID109" s="2516"/>
      <c r="IE109" s="2516"/>
      <c r="IF109" s="2516"/>
      <c r="IG109" s="2516"/>
      <c r="IH109" s="2516"/>
      <c r="II109" s="2516"/>
      <c r="IJ109" s="2516"/>
      <c r="IK109" s="2516"/>
      <c r="IL109" s="2516"/>
      <c r="IM109" s="2516"/>
      <c r="IN109" s="2516"/>
      <c r="IO109" s="2516"/>
      <c r="IP109" s="2516"/>
      <c r="IQ109" s="2516"/>
      <c r="IR109" s="2516"/>
      <c r="IS109" s="2516"/>
      <c r="IT109" s="2516"/>
      <c r="IU109" s="2516"/>
      <c r="IV109" s="2516"/>
      <c r="IW109" s="2516"/>
      <c r="IX109" s="2516"/>
      <c r="IY109" s="2516"/>
      <c r="IZ109" s="2516"/>
      <c r="JA109" s="2516"/>
      <c r="JB109" s="2516"/>
      <c r="JC109" s="2516"/>
      <c r="JD109" s="2516"/>
      <c r="JE109" s="2516"/>
      <c r="JF109" s="2516"/>
      <c r="JG109" s="2517"/>
      <c r="JH109" s="1233"/>
      <c r="JI109" s="2248" t="s">
        <v>8860</v>
      </c>
      <c r="JJ109" s="2248" t="s">
        <v>6124</v>
      </c>
    </row>
    <row ht="67.5" r="110" spans="1:270" x14ac:dyDescent="0.2">
      <c r="A110" s="1128">
        <v>67</v>
      </c>
      <c r="B110" s="1347" t="str">
        <f si="4" t="shared"/>
        <v/>
      </c>
      <c r="C110" s="1278" t="s">
        <v>3499</v>
      </c>
      <c r="D110" s="1350" t="s">
        <v>4939</v>
      </c>
      <c r="E110" s="2513"/>
      <c r="F110" s="2513"/>
      <c r="G110" s="2513"/>
      <c r="H110" s="2514"/>
      <c r="I110" s="2513"/>
      <c r="J110" s="2513"/>
      <c r="K110" s="2513"/>
      <c r="L110" s="2513"/>
      <c r="M110" s="2514"/>
      <c r="N110" s="2514"/>
      <c r="O110" s="2515"/>
      <c r="P110" s="2515"/>
      <c r="Q110" s="2513"/>
      <c r="R110" s="2515"/>
      <c r="S110" s="2513"/>
      <c r="T110" s="2516"/>
      <c r="U110" s="2516"/>
      <c r="V110" s="2516"/>
      <c r="W110" s="2516"/>
      <c r="X110" s="2516"/>
      <c r="Y110" s="2516"/>
      <c r="Z110" s="2516"/>
      <c r="AA110" s="2516"/>
      <c r="AB110" s="2516"/>
      <c r="AC110" s="2513"/>
      <c r="AD110" s="3523"/>
      <c r="AE110" s="3523"/>
      <c r="AF110" s="3523"/>
      <c r="AG110" s="3523"/>
      <c r="AH110" s="3523"/>
      <c r="AI110" s="2516"/>
      <c r="AJ110" s="2513"/>
      <c r="AK110" s="2516"/>
      <c r="AL110" s="2513"/>
      <c r="AM110" s="2516"/>
      <c r="AN110" s="2516"/>
      <c r="AO110" s="2516"/>
      <c r="AP110" s="2516"/>
      <c r="AQ110" s="2516"/>
      <c r="AR110" s="2516"/>
      <c r="AS110" s="2516"/>
      <c r="AT110" s="2516"/>
      <c r="AU110" s="2516"/>
      <c r="AV110" s="2514">
        <f>MAX(0,(AV93+AV108)-(AV92+AV106))</f>
        <v>12390</v>
      </c>
      <c r="AW110" s="2516"/>
      <c r="AX110" s="2516"/>
      <c r="AY110" s="2516"/>
      <c r="AZ110" s="2516"/>
      <c r="BA110" s="2516"/>
      <c r="BB110" s="2516"/>
      <c r="BC110" s="2516"/>
      <c r="BD110" s="2516"/>
      <c r="BE110" s="2516"/>
      <c r="BF110" s="2516"/>
      <c r="BG110" s="2516"/>
      <c r="BH110" s="3957"/>
      <c r="BI110" s="3957"/>
      <c r="BJ110" s="2513"/>
      <c r="BK110" s="2516"/>
      <c r="BL110" s="2516"/>
      <c r="BM110" s="2516"/>
      <c r="BN110" s="2516"/>
      <c r="BO110" s="2516"/>
      <c r="BP110" s="2513"/>
      <c r="BQ110" s="2516"/>
      <c r="BR110" s="2516"/>
      <c r="BS110" s="2516"/>
      <c r="BT110" s="2516"/>
      <c r="BU110" s="2516"/>
      <c r="BV110" s="2516"/>
      <c r="BW110" s="2516"/>
      <c r="BX110" s="2516"/>
      <c r="BY110" s="2516"/>
      <c r="BZ110" s="2516"/>
      <c r="CA110" s="2516"/>
      <c r="CB110" s="2513"/>
      <c r="CC110" s="2516"/>
      <c r="CD110" s="2516"/>
      <c r="CE110" s="2516"/>
      <c r="CF110" s="2513"/>
      <c r="CG110" s="2516"/>
      <c r="CH110" s="2513"/>
      <c r="CI110" s="2516"/>
      <c r="CJ110" s="2516"/>
      <c r="CK110" s="2516"/>
      <c r="CL110" s="2513"/>
      <c r="CM110" s="2516"/>
      <c r="CN110" s="2516"/>
      <c r="CO110" s="2516"/>
      <c r="CP110" s="2516"/>
      <c r="CQ110" s="2516"/>
      <c r="CR110" s="2513"/>
      <c r="CS110" s="2513"/>
      <c r="CT110" s="2516"/>
      <c r="CU110" s="2513"/>
      <c r="CV110" s="2513"/>
      <c r="CW110" s="2516"/>
      <c r="CX110" s="2516"/>
      <c r="CY110" s="2516"/>
      <c r="CZ110" s="2516"/>
      <c r="DA110" s="2516"/>
      <c r="DB110" s="2516"/>
      <c r="DC110" s="2513"/>
      <c r="DD110" s="2516"/>
      <c r="DE110" s="2516"/>
      <c r="DF110" s="2516"/>
      <c r="DG110" s="2516"/>
      <c r="DH110" s="2516"/>
      <c r="DI110" s="2516"/>
      <c r="DJ110" s="2513"/>
      <c r="DK110" s="2516"/>
      <c r="DL110" s="2516"/>
      <c r="DM110" s="2516"/>
      <c r="DN110" s="2516"/>
      <c r="DO110" s="2514">
        <f>MAX(0,(DO93+DO108)-(DO92+DO106))</f>
        <v>12390</v>
      </c>
      <c r="DP110" s="2516"/>
      <c r="DQ110" s="2516"/>
      <c r="DR110" s="2516"/>
      <c r="DS110" s="2516"/>
      <c r="DT110" s="2516"/>
      <c r="DU110" s="2516"/>
      <c r="DV110" s="2516"/>
      <c r="DW110" s="2516"/>
      <c r="DX110" s="2516"/>
      <c r="DY110" s="2516"/>
      <c r="DZ110" s="2516"/>
      <c r="EA110" s="2516"/>
      <c r="EB110" s="2516"/>
      <c r="EC110" s="2516"/>
      <c r="ED110" s="2516"/>
      <c r="EE110" s="2516"/>
      <c r="EF110" s="2513"/>
      <c r="EG110" s="2514">
        <f>MAX(0,(EG93+EG108)-(EG92+EG106))</f>
        <v>5000</v>
      </c>
      <c r="EH110" s="2516"/>
      <c r="EI110" s="2513"/>
      <c r="EJ110" s="2516"/>
      <c r="EK110" s="2516"/>
      <c r="EL110" s="2516"/>
      <c r="EM110" s="2513"/>
      <c r="EN110" s="2516"/>
      <c r="EO110" s="2516"/>
      <c r="EP110" s="2516"/>
      <c r="EQ110" s="2516"/>
      <c r="ER110" s="2516"/>
      <c r="ES110" s="2516"/>
      <c r="ET110" s="2516"/>
      <c r="EU110" s="2516"/>
      <c r="EV110" s="2516"/>
      <c r="EW110" s="2516"/>
      <c r="EX110" s="2516"/>
      <c r="EY110" s="2513"/>
      <c r="EZ110" s="2516"/>
      <c r="FA110" s="2516"/>
      <c r="FB110" s="2516"/>
      <c r="FC110" s="2516"/>
      <c r="FD110" s="2516"/>
      <c r="FE110" s="2516"/>
      <c r="FF110" s="2513"/>
      <c r="FG110" s="2516"/>
      <c r="FH110" s="2513"/>
      <c r="FI110" s="2516"/>
      <c r="FJ110" s="2516"/>
      <c r="FK110" s="2516"/>
      <c r="FL110" s="2516"/>
      <c r="FM110" s="2516"/>
      <c r="FN110" s="2516"/>
      <c r="FO110" s="2516"/>
      <c r="FP110" s="2516"/>
      <c r="FQ110" s="2516"/>
      <c r="FR110" s="2516"/>
      <c r="FS110" s="2516"/>
      <c r="FT110" s="2516"/>
      <c r="FU110" s="2516"/>
      <c r="FV110" s="2516"/>
      <c r="FW110" s="2516"/>
      <c r="FX110" s="2516"/>
      <c r="FY110" s="2516"/>
      <c r="FZ110" s="2516"/>
      <c r="GA110" s="2516"/>
      <c r="GB110" s="2516"/>
      <c r="GC110" s="2516"/>
      <c r="GD110" s="2516"/>
      <c r="GE110" s="2516"/>
      <c r="GF110" s="2516"/>
      <c r="GG110" s="2516"/>
      <c r="GH110" s="2516"/>
      <c r="GI110" s="2516"/>
      <c r="GJ110" s="2513"/>
      <c r="GK110" s="2516"/>
      <c r="GL110" s="2516"/>
      <c r="GM110" s="2516"/>
      <c r="GN110" s="2516"/>
      <c r="GO110" s="2516"/>
      <c r="GP110" s="2516"/>
      <c r="GQ110" s="2516"/>
      <c r="GR110" s="2516"/>
      <c r="GS110" s="2516"/>
      <c r="GT110" s="2516"/>
      <c r="GU110" s="2516"/>
      <c r="GV110" s="2516"/>
      <c r="GW110" s="2516"/>
      <c r="GX110" s="2514">
        <f>MAX(0,(GX93+GX108)-(GX92+GX106))</f>
        <v>57763</v>
      </c>
      <c r="GY110" s="2516"/>
      <c r="GZ110" s="2516"/>
      <c r="HA110" s="2516"/>
      <c r="HB110" s="2514">
        <f>MAX(0,(HB93+HB108)-(HB92+HB106))</f>
        <v>12390</v>
      </c>
      <c r="HC110" s="2513"/>
      <c r="HD110" s="2516"/>
      <c r="HE110" s="2516"/>
      <c r="HF110" s="2516"/>
      <c r="HG110" s="2516"/>
      <c r="HH110" s="2516"/>
      <c r="HI110" s="2516"/>
      <c r="HJ110" s="2516"/>
      <c r="HK110" s="2516"/>
      <c r="HL110" s="2516"/>
      <c r="HM110" s="2516"/>
      <c r="HN110" s="2516"/>
      <c r="HO110" s="2513"/>
      <c r="HP110" s="2516"/>
      <c r="HQ110" s="2516"/>
      <c r="HR110" s="2516"/>
      <c r="HS110" s="2516"/>
      <c r="HT110" s="2516"/>
      <c r="HU110" s="2516"/>
      <c r="HV110" s="2516"/>
      <c r="HW110" s="2516"/>
      <c r="HX110" s="2516"/>
      <c r="HY110" s="2516"/>
      <c r="HZ110" s="2516"/>
      <c r="IA110" s="2516"/>
      <c r="IB110" s="2516"/>
      <c r="IC110" s="2516"/>
      <c r="ID110" s="2516"/>
      <c r="IE110" s="2516"/>
      <c r="IF110" s="2516"/>
      <c r="IG110" s="2516"/>
      <c r="IH110" s="2516"/>
      <c r="II110" s="2516"/>
      <c r="IJ110" s="2516"/>
      <c r="IK110" s="2516"/>
      <c r="IL110" s="2516"/>
      <c r="IM110" s="2516"/>
      <c r="IN110" s="2516"/>
      <c r="IO110" s="2516"/>
      <c r="IP110" s="2516"/>
      <c r="IQ110" s="2516"/>
      <c r="IR110" s="2516"/>
      <c r="IS110" s="2516"/>
      <c r="IT110" s="2516"/>
      <c r="IU110" s="2516"/>
      <c r="IV110" s="2516"/>
      <c r="IW110" s="2516"/>
      <c r="IX110" s="2516"/>
      <c r="IY110" s="2516"/>
      <c r="IZ110" s="2516"/>
      <c r="JA110" s="2516"/>
      <c r="JB110" s="2516"/>
      <c r="JC110" s="2516"/>
      <c r="JD110" s="2516"/>
      <c r="JE110" s="2516"/>
      <c r="JF110" s="2516"/>
      <c r="JG110" s="2517"/>
      <c r="JH110" s="1233"/>
      <c r="JI110" s="2248" t="s">
        <v>8861</v>
      </c>
      <c r="JJ110" s="2248" t="s">
        <v>6124</v>
      </c>
    </row>
    <row r="111" spans="1:270" x14ac:dyDescent="0.2">
      <c r="A111" s="1128">
        <v>68</v>
      </c>
      <c r="B111" s="1347" t="str">
        <f si="4" t="shared"/>
        <v>06/04/2019</v>
      </c>
      <c r="C111" s="1278" t="s">
        <v>3500</v>
      </c>
      <c r="D111" s="1350" t="s">
        <v>5531</v>
      </c>
      <c r="E111" s="2535"/>
      <c r="F111" s="2535"/>
      <c r="G111" s="2535" t="str">
        <f>"06/04/"&amp;Tax_year_start</f>
        <v>06/04/2019</v>
      </c>
      <c r="H111" s="2535"/>
      <c r="I111" s="2535" t="str">
        <f>"06/04/"&amp;Tax_year_start</f>
        <v>06/04/2019</v>
      </c>
      <c r="J111" s="2493"/>
      <c r="K111" s="2535"/>
      <c r="L111" s="2535" t="str">
        <f>"06/04/"&amp;Tax_year_start</f>
        <v>06/04/2019</v>
      </c>
      <c r="M111" s="2535"/>
      <c r="N111" s="2535"/>
      <c r="O111" s="2495"/>
      <c r="P111" s="2495"/>
      <c r="Q111" s="2535" t="str">
        <f>"06/04/"&amp;Tax_year_start</f>
        <v>06/04/2019</v>
      </c>
      <c r="R111" s="2495"/>
      <c r="S111" s="2535" t="str">
        <f>"06/04/"&amp;Tax_year_start</f>
        <v>06/04/2019</v>
      </c>
      <c r="T111" s="2496"/>
      <c r="U111" s="2496"/>
      <c r="V111" s="2496"/>
      <c r="W111" s="2496"/>
      <c r="X111" s="2496"/>
      <c r="Y111" s="2496"/>
      <c r="Z111" s="2496"/>
      <c r="AA111" s="2496"/>
      <c r="AB111" s="2496"/>
      <c r="AC111" s="2535" t="str">
        <f>"06/04/"&amp;Tax_year_start</f>
        <v>06/04/2019</v>
      </c>
      <c r="AD111" s="3527"/>
      <c r="AE111" s="3542" t="str">
        <f>"06/04/"&amp;Tax_year_start</f>
        <v>06/04/2019</v>
      </c>
      <c r="AF111" s="3527"/>
      <c r="AG111" s="3527"/>
      <c r="AH111" s="3542" t="str">
        <f>"01/12/"&amp;Tax_year_start-1</f>
        <v>01/12/2018</v>
      </c>
      <c r="AI111" s="2496"/>
      <c r="AJ111" s="2535" t="str">
        <f>"06/04/"&amp;Tax_year_start</f>
        <v>06/04/2019</v>
      </c>
      <c r="AK111" s="2496"/>
      <c r="AL111" s="2535" t="str">
        <f>"01/11/"&amp;Tax_year_start-1</f>
        <v>01/11/2018</v>
      </c>
      <c r="AM111" s="2496"/>
      <c r="AN111" s="2496"/>
      <c r="AO111" s="2496"/>
      <c r="AP111" s="2496"/>
      <c r="AQ111" s="2496"/>
      <c r="AR111" s="2496"/>
      <c r="AS111" s="2496"/>
      <c r="AT111" s="2496"/>
      <c r="AU111" s="2496"/>
      <c r="AV111" s="2535" t="str">
        <f>"06/06/"&amp;Tax_year_start</f>
        <v>06/06/2019</v>
      </c>
      <c r="AW111" s="2496"/>
      <c r="AX111" s="2496"/>
      <c r="AY111" s="2496"/>
      <c r="AZ111" s="2496"/>
      <c r="BA111" s="2496"/>
      <c r="BB111" s="2496"/>
      <c r="BC111" s="2496"/>
      <c r="BD111" s="2496"/>
      <c r="BE111" s="2496"/>
      <c r="BF111" s="2496"/>
      <c r="BG111" s="2496"/>
      <c r="BH111" s="3954"/>
      <c r="BI111" s="3954"/>
      <c r="BJ111" s="2535" t="str">
        <f>"01/11/"&amp;Tax_year_start-1</f>
        <v>01/11/2018</v>
      </c>
      <c r="BK111" s="2496"/>
      <c r="BL111" s="2496"/>
      <c r="BM111" s="2496"/>
      <c r="BN111" s="2496"/>
      <c r="BO111" s="2496"/>
      <c r="BP111" s="2535" t="str">
        <f>"06/04/"&amp;Tax_year_start</f>
        <v>06/04/2019</v>
      </c>
      <c r="BQ111" s="2496"/>
      <c r="BR111" s="2496"/>
      <c r="BS111" s="2496"/>
      <c r="BT111" s="2496"/>
      <c r="BU111" s="2496"/>
      <c r="BV111" s="2496"/>
      <c r="BW111" s="2496"/>
      <c r="BX111" s="2496"/>
      <c r="BY111" s="2496"/>
      <c r="BZ111" s="2496"/>
      <c r="CA111" s="2496"/>
      <c r="CB111" s="2535" t="str">
        <f>"06/04/"&amp;Tax_year_start</f>
        <v>06/04/2019</v>
      </c>
      <c r="CC111" s="2496"/>
      <c r="CD111" s="2496"/>
      <c r="CE111" s="2496"/>
      <c r="CF111" s="2535" t="str">
        <f>"06/04/"&amp;Tax_year_start</f>
        <v>06/04/2019</v>
      </c>
      <c r="CG111" s="2496"/>
      <c r="CH111" s="2535" t="str">
        <f>"06/04/"&amp;Tax_year_start</f>
        <v>06/04/2019</v>
      </c>
      <c r="CI111" s="2496"/>
      <c r="CJ111" s="2496"/>
      <c r="CK111" s="2496"/>
      <c r="CL111" s="2535" t="str">
        <f>"01/11/"&amp;Tax_year_start-1</f>
        <v>01/11/2018</v>
      </c>
      <c r="CM111" s="2496"/>
      <c r="CN111" s="2496"/>
      <c r="CO111" s="2496"/>
      <c r="CP111" s="2496"/>
      <c r="CQ111" s="2496"/>
      <c r="CR111" s="2535" t="str">
        <f>"01/11/"&amp;Tax_year_start-1</f>
        <v>01/11/2018</v>
      </c>
      <c r="CS111" s="2535" t="str">
        <f>"01/11/"&amp;Tax_year_start-1</f>
        <v>01/11/2018</v>
      </c>
      <c r="CT111" s="2496"/>
      <c r="CU111" s="2535" t="str">
        <f>"06/04/"&amp;Tax_year_start</f>
        <v>06/04/2019</v>
      </c>
      <c r="CV111" s="2535" t="str">
        <f>"06/04/"&amp;Tax_year_start</f>
        <v>06/04/2019</v>
      </c>
      <c r="CW111" s="2496"/>
      <c r="CX111" s="2496"/>
      <c r="CY111" s="2496"/>
      <c r="CZ111" s="2496"/>
      <c r="DA111" s="2496"/>
      <c r="DB111" s="2496"/>
      <c r="DC111" s="2535" t="str">
        <f>"06/04/"&amp;Tax_year_start</f>
        <v>06/04/2019</v>
      </c>
      <c r="DD111" s="2496"/>
      <c r="DE111" s="2496"/>
      <c r="DF111" s="2496"/>
      <c r="DG111" s="2496"/>
      <c r="DH111" s="2496"/>
      <c r="DI111" s="2496"/>
      <c r="DJ111" s="2535" t="str">
        <f>"06/04/"&amp;Tax_year_start</f>
        <v>06/04/2019</v>
      </c>
      <c r="DK111" s="2496"/>
      <c r="DL111" s="2496"/>
      <c r="DM111" s="2496"/>
      <c r="DN111" s="2496"/>
      <c r="DO111" s="2535" t="str">
        <f>"06/06/"&amp;Tax_year_start</f>
        <v>06/06/2019</v>
      </c>
      <c r="DP111" s="2496"/>
      <c r="DQ111" s="2496"/>
      <c r="DR111" s="2496"/>
      <c r="DS111" s="2496"/>
      <c r="DT111" s="2496"/>
      <c r="DU111" s="2496"/>
      <c r="DV111" s="2496"/>
      <c r="DW111" s="2496"/>
      <c r="DX111" s="2496"/>
      <c r="DY111" s="2496"/>
      <c r="DZ111" s="2496"/>
      <c r="EA111" s="2496"/>
      <c r="EB111" s="2496"/>
      <c r="EC111" s="2496"/>
      <c r="ED111" s="2496"/>
      <c r="EE111" s="2496"/>
      <c r="EF111" s="2535" t="str">
        <f>"06/04/"&amp;Tax_year_start</f>
        <v>06/04/2019</v>
      </c>
      <c r="EG111" s="2535" t="str">
        <f>"06/04/"&amp;Tax_year_start</f>
        <v>06/04/2019</v>
      </c>
      <c r="EH111" s="2496"/>
      <c r="EI111" s="2535" t="str">
        <f>"01/01/"&amp;Tax_year_start</f>
        <v>01/01/2019</v>
      </c>
      <c r="EJ111" s="2496"/>
      <c r="EK111" s="2496"/>
      <c r="EL111" s="2496"/>
      <c r="EM111" s="2535" t="str">
        <f>"01/11/"&amp;Tax_year_start-1</f>
        <v>01/11/2018</v>
      </c>
      <c r="EN111" s="2496"/>
      <c r="EO111" s="2496"/>
      <c r="EP111" s="2496"/>
      <c r="EQ111" s="2496"/>
      <c r="ER111" s="2496"/>
      <c r="ES111" s="2496"/>
      <c r="ET111" s="2496"/>
      <c r="EU111" s="2496"/>
      <c r="EV111" s="2496"/>
      <c r="EW111" s="2496"/>
      <c r="EX111" s="2496"/>
      <c r="EY111" s="2535" t="str">
        <f>"01/11/"&amp;Tax_year_start-1</f>
        <v>01/11/2018</v>
      </c>
      <c r="EZ111" s="2496"/>
      <c r="FA111" s="2496"/>
      <c r="FB111" s="2496"/>
      <c r="FC111" s="2496"/>
      <c r="FD111" s="2496"/>
      <c r="FE111" s="2496"/>
      <c r="FF111" s="2535" t="str">
        <f>"06/04/"&amp;Tax_year_start</f>
        <v>06/04/2019</v>
      </c>
      <c r="FG111" s="2496"/>
      <c r="FH111" s="2535" t="str">
        <f>"06/04/"&amp;Tax_year_start</f>
        <v>06/04/2019</v>
      </c>
      <c r="FI111" s="2496"/>
      <c r="FJ111" s="2496"/>
      <c r="FK111" s="2496"/>
      <c r="FL111" s="2496"/>
      <c r="FM111" s="2496"/>
      <c r="FN111" s="2496"/>
      <c r="FO111" s="2496"/>
      <c r="FP111" s="2496"/>
      <c r="FQ111" s="2496"/>
      <c r="FR111" s="2496"/>
      <c r="FS111" s="2496"/>
      <c r="FT111" s="2496"/>
      <c r="FU111" s="2496"/>
      <c r="FV111" s="2496"/>
      <c r="FW111" s="2496"/>
      <c r="FX111" s="2496"/>
      <c r="FY111" s="2496"/>
      <c r="FZ111" s="2496"/>
      <c r="GA111" s="2496"/>
      <c r="GB111" s="2496"/>
      <c r="GC111" s="2496"/>
      <c r="GD111" s="2496"/>
      <c r="GE111" s="2496"/>
      <c r="GF111" s="2496"/>
      <c r="GG111" s="2496"/>
      <c r="GH111" s="2496"/>
      <c r="GI111" s="2496"/>
      <c r="GJ111" s="2535" t="str">
        <f>"01/01/"&amp;Tax_year_start</f>
        <v>01/01/2019</v>
      </c>
      <c r="GK111" s="2496"/>
      <c r="GL111" s="2496"/>
      <c r="GM111" s="2496"/>
      <c r="GN111" s="2496"/>
      <c r="GO111" s="2496"/>
      <c r="GP111" s="2496"/>
      <c r="GQ111" s="2496"/>
      <c r="GR111" s="2496"/>
      <c r="GS111" s="2496"/>
      <c r="GT111" s="2496"/>
      <c r="GU111" s="2496"/>
      <c r="GV111" s="2496"/>
      <c r="GW111" s="2496"/>
      <c r="GX111" s="2535" t="str">
        <f>"06/04/"&amp;Tax_year_start</f>
        <v>06/04/2019</v>
      </c>
      <c r="GY111" s="2496"/>
      <c r="GZ111" s="2496"/>
      <c r="HA111" s="2496"/>
      <c r="HB111" s="2535" t="str">
        <f>"06/06/"&amp;Tax_year_start</f>
        <v>06/06/2019</v>
      </c>
      <c r="HC111" s="2535" t="str">
        <f>"06/04/"&amp;Tax_year_start</f>
        <v>06/04/2019</v>
      </c>
      <c r="HD111" s="2496"/>
      <c r="HE111" s="2496"/>
      <c r="HF111" s="2496"/>
      <c r="HG111" s="2496"/>
      <c r="HH111" s="2496"/>
      <c r="HI111" s="2496"/>
      <c r="HJ111" s="2496"/>
      <c r="HK111" s="2496"/>
      <c r="HL111" s="2496"/>
      <c r="HM111" s="2496"/>
      <c r="HN111" s="2496"/>
      <c r="HO111" s="2535" t="str">
        <f>"06/04/"&amp;Tax_year_start</f>
        <v>06/04/2019</v>
      </c>
      <c r="HP111" s="2496"/>
      <c r="HQ111" s="2496"/>
      <c r="HR111" s="2496"/>
      <c r="HS111" s="2496"/>
      <c r="HT111" s="2496"/>
      <c r="HU111" s="2496"/>
      <c r="HV111" s="2496"/>
      <c r="HW111" s="2496"/>
      <c r="HX111" s="2496"/>
      <c r="HY111" s="2496"/>
      <c r="HZ111" s="2496"/>
      <c r="IA111" s="2496"/>
      <c r="IB111" s="2496"/>
      <c r="IC111" s="2496"/>
      <c r="ID111" s="2496"/>
      <c r="IE111" s="2496"/>
      <c r="IF111" s="2496"/>
      <c r="IG111" s="2496"/>
      <c r="IH111" s="2496"/>
      <c r="II111" s="2496"/>
      <c r="IJ111" s="2496"/>
      <c r="IK111" s="2496"/>
      <c r="IL111" s="2496"/>
      <c r="IM111" s="2496"/>
      <c r="IN111" s="2496"/>
      <c r="IO111" s="2496"/>
      <c r="IP111" s="2496"/>
      <c r="IQ111" s="2496"/>
      <c r="IR111" s="2496"/>
      <c r="IS111" s="2496"/>
      <c r="IT111" s="2496"/>
      <c r="IU111" s="2496"/>
      <c r="IV111" s="2496"/>
      <c r="IW111" s="2496"/>
      <c r="IX111" s="2496"/>
      <c r="IY111" s="2496"/>
      <c r="IZ111" s="2496"/>
      <c r="JA111" s="2496"/>
      <c r="JB111" s="2496"/>
      <c r="JC111" s="2496"/>
      <c r="JD111" s="2496"/>
      <c r="JE111" s="2496"/>
      <c r="JF111" s="2496"/>
      <c r="JG111" s="2497"/>
      <c r="JH111" s="1233"/>
      <c r="JI111" s="2248"/>
      <c r="JJ111" s="2248" t="s">
        <v>6126</v>
      </c>
    </row>
    <row ht="33.75" r="112" spans="1:270" x14ac:dyDescent="0.2">
      <c r="A112" s="1128">
        <v>69</v>
      </c>
      <c r="B112" s="1347" t="str">
        <f si="4" t="shared"/>
        <v>05/04/2020</v>
      </c>
      <c r="C112" s="1278" t="s">
        <v>3501</v>
      </c>
      <c r="D112" s="1350" t="s">
        <v>5532</v>
      </c>
      <c r="E112" s="2535"/>
      <c r="F112" s="2535"/>
      <c r="G112" s="2535" t="str">
        <f>"05/04/"&amp;Tax_year_end</f>
        <v>05/04/2020</v>
      </c>
      <c r="H112" s="2535"/>
      <c r="I112" s="2535" t="str">
        <f>"05/04/"&amp;Tax_year_end</f>
        <v>05/04/2020</v>
      </c>
      <c r="J112" s="2493"/>
      <c r="K112" s="2535"/>
      <c r="L112" s="2535" t="str">
        <f>"05/04/"&amp;Tax_year_end</f>
        <v>05/04/2020</v>
      </c>
      <c r="M112" s="2535"/>
      <c r="N112" s="2535"/>
      <c r="O112" s="2495"/>
      <c r="P112" s="2495"/>
      <c r="Q112" s="2535" t="str">
        <f>"05/04/"&amp;Tax_year_end</f>
        <v>05/04/2020</v>
      </c>
      <c r="R112" s="2495"/>
      <c r="S112" s="2535" t="str">
        <f>"05/04/"&amp;Tax_year_end</f>
        <v>05/04/2020</v>
      </c>
      <c r="T112" s="2496"/>
      <c r="U112" s="2496"/>
      <c r="V112" s="2496"/>
      <c r="W112" s="2496"/>
      <c r="X112" s="2496"/>
      <c r="Y112" s="2496"/>
      <c r="Z112" s="2496"/>
      <c r="AA112" s="2496"/>
      <c r="AB112" s="2496"/>
      <c r="AC112" s="2535" t="str">
        <f>"05/04/"&amp;Tax_year_end</f>
        <v>05/04/2020</v>
      </c>
      <c r="AD112" s="3527"/>
      <c r="AE112" s="3542" t="str">
        <f>"05/04/"&amp;Tax_year_end</f>
        <v>05/04/2020</v>
      </c>
      <c r="AF112" s="3527"/>
      <c r="AG112" s="3527"/>
      <c r="AH112" s="3542" t="str">
        <f>"02/09/"&amp;Tax_year_start</f>
        <v>02/09/2019</v>
      </c>
      <c r="AI112" s="2496"/>
      <c r="AJ112" s="2535" t="str">
        <f>"05/04/"&amp;Tax_year_end</f>
        <v>05/04/2020</v>
      </c>
      <c r="AK112" s="2496"/>
      <c r="AL112" s="2535" t="str">
        <f>"31/10/"&amp;Tax_year_start</f>
        <v>31/10/2019</v>
      </c>
      <c r="AM112" s="2496"/>
      <c r="AN112" s="2496"/>
      <c r="AO112" s="2496"/>
      <c r="AP112" s="2496"/>
      <c r="AQ112" s="2496"/>
      <c r="AR112" s="2496"/>
      <c r="AS112" s="2496"/>
      <c r="AT112" s="2496"/>
      <c r="AU112" s="2496"/>
      <c r="AV112" s="2535" t="str">
        <f>"05/04/"&amp;Tax_year_end</f>
        <v>05/04/2020</v>
      </c>
      <c r="AW112" s="2496"/>
      <c r="AX112" s="2496"/>
      <c r="AY112" s="2496"/>
      <c r="AZ112" s="2496"/>
      <c r="BA112" s="2496"/>
      <c r="BB112" s="2496"/>
      <c r="BC112" s="2496"/>
      <c r="BD112" s="2496"/>
      <c r="BE112" s="2496"/>
      <c r="BF112" s="2496"/>
      <c r="BG112" s="2496"/>
      <c r="BH112" s="3954"/>
      <c r="BI112" s="3954"/>
      <c r="BJ112" s="2535" t="str">
        <f>"31/10/"&amp;Tax_year_start</f>
        <v>31/10/2019</v>
      </c>
      <c r="BK112" s="2496"/>
      <c r="BL112" s="2496"/>
      <c r="BM112" s="2496"/>
      <c r="BN112" s="2496"/>
      <c r="BO112" s="2496"/>
      <c r="BP112" s="2535" t="str">
        <f>"05/04/"&amp;Tax_year_end</f>
        <v>05/04/2020</v>
      </c>
      <c r="BQ112" s="2496"/>
      <c r="BR112" s="2496"/>
      <c r="BS112" s="2496"/>
      <c r="BT112" s="2496"/>
      <c r="BU112" s="2496"/>
      <c r="BV112" s="2496"/>
      <c r="BW112" s="2496"/>
      <c r="BX112" s="2496"/>
      <c r="BY112" s="2496"/>
      <c r="BZ112" s="2496"/>
      <c r="CA112" s="2496"/>
      <c r="CB112" s="2535" t="str">
        <f>"05/04/"&amp;Tax_year_end</f>
        <v>05/04/2020</v>
      </c>
      <c r="CC112" s="2496"/>
      <c r="CD112" s="2496"/>
      <c r="CE112" s="2496"/>
      <c r="CF112" s="2535" t="str">
        <f>"05/04/"&amp;Tax_year_end</f>
        <v>05/04/2020</v>
      </c>
      <c r="CG112" s="2496"/>
      <c r="CH112" s="2535" t="str">
        <f>"05/04/"&amp;Tax_year_end</f>
        <v>05/04/2020</v>
      </c>
      <c r="CI112" s="2496"/>
      <c r="CJ112" s="2496"/>
      <c r="CK112" s="2496"/>
      <c r="CL112" s="2535" t="str">
        <f>"31/10/"&amp;Tax_year_start</f>
        <v>31/10/2019</v>
      </c>
      <c r="CM112" s="2496"/>
      <c r="CN112" s="2496"/>
      <c r="CO112" s="2496"/>
      <c r="CP112" s="2496"/>
      <c r="CQ112" s="2496"/>
      <c r="CR112" s="2535" t="str">
        <f>"31/10/"&amp;Tax_year_start</f>
        <v>31/10/2019</v>
      </c>
      <c r="CS112" s="2535" t="str">
        <f>"31/10/"&amp;Tax_year_start</f>
        <v>31/10/2019</v>
      </c>
      <c r="CT112" s="2496"/>
      <c r="CU112" s="2535" t="str">
        <f>"05/04/"&amp;Tax_year_end</f>
        <v>05/04/2020</v>
      </c>
      <c r="CV112" s="2535" t="str">
        <f>"05/04/"&amp;Tax_year_end</f>
        <v>05/04/2020</v>
      </c>
      <c r="CW112" s="2496"/>
      <c r="CX112" s="2496"/>
      <c r="CY112" s="2496"/>
      <c r="CZ112" s="2496"/>
      <c r="DA112" s="2496"/>
      <c r="DB112" s="2496"/>
      <c r="DC112" s="2535" t="str">
        <f>"05/04/"&amp;Tax_year_end</f>
        <v>05/04/2020</v>
      </c>
      <c r="DD112" s="2496"/>
      <c r="DE112" s="2496"/>
      <c r="DF112" s="2496"/>
      <c r="DG112" s="2496"/>
      <c r="DH112" s="2496"/>
      <c r="DI112" s="2496"/>
      <c r="DJ112" s="2535" t="str">
        <f>"05/04/"&amp;Tax_year_end</f>
        <v>05/04/2020</v>
      </c>
      <c r="DK112" s="2496"/>
      <c r="DL112" s="2496"/>
      <c r="DM112" s="2496"/>
      <c r="DN112" s="2496"/>
      <c r="DO112" s="2535" t="str">
        <f>"05/04/"&amp;Tax_year_end</f>
        <v>05/04/2020</v>
      </c>
      <c r="DP112" s="2496"/>
      <c r="DQ112" s="2496"/>
      <c r="DR112" s="2496"/>
      <c r="DS112" s="2496"/>
      <c r="DT112" s="2496"/>
      <c r="DU112" s="2496"/>
      <c r="DV112" s="2496"/>
      <c r="DW112" s="2496"/>
      <c r="DX112" s="2496"/>
      <c r="DY112" s="2496"/>
      <c r="DZ112" s="2496"/>
      <c r="EA112" s="2496"/>
      <c r="EB112" s="2496"/>
      <c r="EC112" s="2496"/>
      <c r="ED112" s="2496"/>
      <c r="EE112" s="2496"/>
      <c r="EF112" s="2535" t="str">
        <f>"05/04/"&amp;Tax_year_end</f>
        <v>05/04/2020</v>
      </c>
      <c r="EG112" s="2535" t="str">
        <f>"05/04/"&amp;Tax_year_end</f>
        <v>05/04/2020</v>
      </c>
      <c r="EH112" s="2496"/>
      <c r="EI112" s="2535" t="str">
        <f>"31/08/"&amp;Tax_year_start</f>
        <v>31/08/2019</v>
      </c>
      <c r="EJ112" s="2496"/>
      <c r="EK112" s="2496"/>
      <c r="EL112" s="2496"/>
      <c r="EM112" s="2535" t="str">
        <f>"31/10/"&amp;Tax_year_start</f>
        <v>31/10/2019</v>
      </c>
      <c r="EN112" s="2496"/>
      <c r="EO112" s="2496"/>
      <c r="EP112" s="2496"/>
      <c r="EQ112" s="2496"/>
      <c r="ER112" s="2496"/>
      <c r="ES112" s="2496"/>
      <c r="ET112" s="2496"/>
      <c r="EU112" s="2496"/>
      <c r="EV112" s="2496"/>
      <c r="EW112" s="2496"/>
      <c r="EX112" s="2496"/>
      <c r="EY112" s="2535" t="str">
        <f>"31/10/"&amp;Tax_year_start</f>
        <v>31/10/2019</v>
      </c>
      <c r="EZ112" s="2496"/>
      <c r="FA112" s="2496"/>
      <c r="FB112" s="2496"/>
      <c r="FC112" s="2496"/>
      <c r="FD112" s="2496"/>
      <c r="FE112" s="2496"/>
      <c r="FF112" s="2535" t="str">
        <f>"05/04/"&amp;Tax_year_end</f>
        <v>05/04/2020</v>
      </c>
      <c r="FG112" s="2496"/>
      <c r="FH112" s="2535" t="str">
        <f>"05/04/"&amp;Tax_year_end</f>
        <v>05/04/2020</v>
      </c>
      <c r="FI112" s="2496"/>
      <c r="FJ112" s="2496"/>
      <c r="FK112" s="2496"/>
      <c r="FL112" s="2496"/>
      <c r="FM112" s="2496"/>
      <c r="FN112" s="2496"/>
      <c r="FO112" s="2496"/>
      <c r="FP112" s="2496"/>
      <c r="FQ112" s="2496"/>
      <c r="FR112" s="2496"/>
      <c r="FS112" s="2496"/>
      <c r="FT112" s="2496"/>
      <c r="FU112" s="2496"/>
      <c r="FV112" s="2496"/>
      <c r="FW112" s="2496"/>
      <c r="FX112" s="2496"/>
      <c r="FY112" s="2496"/>
      <c r="FZ112" s="2496"/>
      <c r="GA112" s="2496"/>
      <c r="GB112" s="2496"/>
      <c r="GC112" s="2496"/>
      <c r="GD112" s="2496"/>
      <c r="GE112" s="2496"/>
      <c r="GF112" s="2496"/>
      <c r="GG112" s="2496"/>
      <c r="GH112" s="2496"/>
      <c r="GI112" s="2496"/>
      <c r="GJ112" s="2535" t="str">
        <f>"31/08/"&amp;Tax_year_start</f>
        <v>31/08/2019</v>
      </c>
      <c r="GK112" s="2496"/>
      <c r="GL112" s="2496"/>
      <c r="GM112" s="2496"/>
      <c r="GN112" s="2496"/>
      <c r="GO112" s="2496"/>
      <c r="GP112" s="2496"/>
      <c r="GQ112" s="2496"/>
      <c r="GR112" s="2496"/>
      <c r="GS112" s="2496"/>
      <c r="GT112" s="2496"/>
      <c r="GU112" s="2496"/>
      <c r="GV112" s="2496"/>
      <c r="GW112" s="2496"/>
      <c r="GX112" s="2535" t="str">
        <f>"05/04/"&amp;Tax_year_end</f>
        <v>05/04/2020</v>
      </c>
      <c r="GY112" s="2496"/>
      <c r="GZ112" s="2496"/>
      <c r="HA112" s="2496"/>
      <c r="HB112" s="2535" t="str">
        <f>"05/04/"&amp;Tax_year_end</f>
        <v>05/04/2020</v>
      </c>
      <c r="HC112" s="2535" t="str">
        <f>"05/04/"&amp;Tax_year_end</f>
        <v>05/04/2020</v>
      </c>
      <c r="HD112" s="2496"/>
      <c r="HE112" s="2496"/>
      <c r="HF112" s="2496"/>
      <c r="HG112" s="2496"/>
      <c r="HH112" s="2496"/>
      <c r="HI112" s="2496"/>
      <c r="HJ112" s="2496"/>
      <c r="HK112" s="2496"/>
      <c r="HL112" s="2496"/>
      <c r="HM112" s="2496"/>
      <c r="HN112" s="2496"/>
      <c r="HO112" s="2535" t="str">
        <f>"05/04/"&amp;Tax_year_end</f>
        <v>05/04/2020</v>
      </c>
      <c r="HP112" s="2496"/>
      <c r="HQ112" s="2496"/>
      <c r="HR112" s="2496"/>
      <c r="HS112" s="2496"/>
      <c r="HT112" s="2496"/>
      <c r="HU112" s="2496"/>
      <c r="HV112" s="2496"/>
      <c r="HW112" s="2496"/>
      <c r="HX112" s="2496"/>
      <c r="HY112" s="2496"/>
      <c r="HZ112" s="2496"/>
      <c r="IA112" s="2496"/>
      <c r="IB112" s="2496"/>
      <c r="IC112" s="2496"/>
      <c r="ID112" s="2496"/>
      <c r="IE112" s="2496"/>
      <c r="IF112" s="2496"/>
      <c r="IG112" s="2496"/>
      <c r="IH112" s="2496"/>
      <c r="II112" s="2496"/>
      <c r="IJ112" s="2496"/>
      <c r="IK112" s="2496"/>
      <c r="IL112" s="2496"/>
      <c r="IM112" s="2496"/>
      <c r="IN112" s="2496"/>
      <c r="IO112" s="2496"/>
      <c r="IP112" s="2496"/>
      <c r="IQ112" s="2496"/>
      <c r="IR112" s="2496"/>
      <c r="IS112" s="2496"/>
      <c r="IT112" s="2496"/>
      <c r="IU112" s="2496"/>
      <c r="IV112" s="2496"/>
      <c r="IW112" s="2496"/>
      <c r="IX112" s="2496"/>
      <c r="IY112" s="2496"/>
      <c r="IZ112" s="2496"/>
      <c r="JA112" s="2496"/>
      <c r="JB112" s="2496"/>
      <c r="JC112" s="2496"/>
      <c r="JD112" s="2496"/>
      <c r="JE112" s="2496"/>
      <c r="JF112" s="2496"/>
      <c r="JG112" s="2497"/>
      <c r="JH112" s="1233"/>
      <c r="JI112" s="2248" t="s">
        <v>5481</v>
      </c>
      <c r="JJ112" s="2248" t="s">
        <v>6126</v>
      </c>
    </row>
    <row r="113" spans="1:270" x14ac:dyDescent="0.2">
      <c r="A113" s="1128">
        <v>70</v>
      </c>
      <c r="B113" s="1347">
        <f si="4" t="shared"/>
        <v>-1010</v>
      </c>
      <c r="C113" s="1278" t="s">
        <v>3502</v>
      </c>
      <c r="D113" s="1350" t="s">
        <v>5533</v>
      </c>
      <c r="E113" s="2545"/>
      <c r="F113" s="2546"/>
      <c r="G113" s="2546">
        <v>-1010</v>
      </c>
      <c r="H113" s="2546"/>
      <c r="I113" s="2546">
        <v>-1010</v>
      </c>
      <c r="J113" s="2545"/>
      <c r="K113" s="2546"/>
      <c r="L113" s="2546">
        <v>-1010</v>
      </c>
      <c r="M113" s="2546"/>
      <c r="N113" s="2546"/>
      <c r="O113" s="2547"/>
      <c r="P113" s="2547"/>
      <c r="Q113" s="2546">
        <v>-1010</v>
      </c>
      <c r="R113" s="2547"/>
      <c r="S113" s="2546">
        <v>-1010</v>
      </c>
      <c r="T113" s="2548"/>
      <c r="U113" s="2548"/>
      <c r="V113" s="2548"/>
      <c r="W113" s="2548"/>
      <c r="X113" s="2548"/>
      <c r="Y113" s="2548"/>
      <c r="Z113" s="2548"/>
      <c r="AA113" s="2548"/>
      <c r="AB113" s="2548"/>
      <c r="AC113" s="2546">
        <v>-1010</v>
      </c>
      <c r="AD113" s="3529"/>
      <c r="AE113" s="3529"/>
      <c r="AF113" s="3529"/>
      <c r="AG113" s="3529"/>
      <c r="AH113" s="3529"/>
      <c r="AI113" s="2548"/>
      <c r="AJ113" s="2545"/>
      <c r="AK113" s="2548"/>
      <c r="AL113" s="2546"/>
      <c r="AM113" s="2548"/>
      <c r="AN113" s="2548"/>
      <c r="AO113" s="2548"/>
      <c r="AP113" s="2548"/>
      <c r="AQ113" s="2548"/>
      <c r="AR113" s="2548"/>
      <c r="AS113" s="2548"/>
      <c r="AT113" s="2548"/>
      <c r="AU113" s="2548"/>
      <c r="AV113" s="2546"/>
      <c r="AW113" s="2548"/>
      <c r="AX113" s="2548"/>
      <c r="AY113" s="2548"/>
      <c r="AZ113" s="2548"/>
      <c r="BA113" s="2548"/>
      <c r="BB113" s="2548"/>
      <c r="BC113" s="2548"/>
      <c r="BD113" s="2548"/>
      <c r="BE113" s="2548"/>
      <c r="BF113" s="2548"/>
      <c r="BG113" s="2548"/>
      <c r="BH113" s="3959"/>
      <c r="BI113" s="3959"/>
      <c r="BJ113" s="2546"/>
      <c r="BK113" s="2548"/>
      <c r="BL113" s="2548"/>
      <c r="BM113" s="2548"/>
      <c r="BN113" s="2548"/>
      <c r="BO113" s="2548"/>
      <c r="BP113" s="2546">
        <v>-1010</v>
      </c>
      <c r="BQ113" s="2548"/>
      <c r="BR113" s="2548"/>
      <c r="BS113" s="2548"/>
      <c r="BT113" s="2548"/>
      <c r="BU113" s="2548"/>
      <c r="BV113" s="2548"/>
      <c r="BW113" s="2548"/>
      <c r="BX113" s="2548"/>
      <c r="BY113" s="2548"/>
      <c r="BZ113" s="2548"/>
      <c r="CA113" s="2548"/>
      <c r="CB113" s="2545"/>
      <c r="CC113" s="2548"/>
      <c r="CD113" s="2548"/>
      <c r="CE113" s="2548"/>
      <c r="CF113" s="2545"/>
      <c r="CG113" s="2548"/>
      <c r="CH113" s="2546">
        <v>-1010</v>
      </c>
      <c r="CI113" s="2548"/>
      <c r="CJ113" s="2548"/>
      <c r="CK113" s="2548"/>
      <c r="CL113" s="2546"/>
      <c r="CM113" s="2548"/>
      <c r="CN113" s="2548"/>
      <c r="CO113" s="2548"/>
      <c r="CP113" s="2548"/>
      <c r="CQ113" s="2548"/>
      <c r="CR113" s="2546"/>
      <c r="CS113" s="2546"/>
      <c r="CT113" s="2548"/>
      <c r="CU113" s="2546"/>
      <c r="CV113" s="2546"/>
      <c r="CW113" s="2548"/>
      <c r="CX113" s="2548"/>
      <c r="CY113" s="2548"/>
      <c r="CZ113" s="2548"/>
      <c r="DA113" s="2548"/>
      <c r="DB113" s="2548"/>
      <c r="DC113" s="2546"/>
      <c r="DD113" s="2548"/>
      <c r="DE113" s="2548"/>
      <c r="DF113" s="2548"/>
      <c r="DG113" s="2548"/>
      <c r="DH113" s="2548"/>
      <c r="DI113" s="2548"/>
      <c r="DJ113" s="2546"/>
      <c r="DK113" s="2548"/>
      <c r="DL113" s="2548"/>
      <c r="DM113" s="2548"/>
      <c r="DN113" s="2548"/>
      <c r="DO113" s="2546"/>
      <c r="DP113" s="2548"/>
      <c r="DQ113" s="2548"/>
      <c r="DR113" s="2548"/>
      <c r="DS113" s="2548"/>
      <c r="DT113" s="2548"/>
      <c r="DU113" s="2548"/>
      <c r="DV113" s="2548"/>
      <c r="DW113" s="2548"/>
      <c r="DX113" s="2548"/>
      <c r="DY113" s="2548"/>
      <c r="DZ113" s="2548"/>
      <c r="EA113" s="2548"/>
      <c r="EB113" s="2548"/>
      <c r="EC113" s="2548"/>
      <c r="ED113" s="2548"/>
      <c r="EE113" s="2548"/>
      <c r="EF113" s="2546"/>
      <c r="EG113" s="2546"/>
      <c r="EH113" s="2548"/>
      <c r="EI113" s="2546"/>
      <c r="EJ113" s="2548"/>
      <c r="EK113" s="2548"/>
      <c r="EL113" s="2548"/>
      <c r="EM113" s="2546"/>
      <c r="EN113" s="2548"/>
      <c r="EO113" s="2548"/>
      <c r="EP113" s="2548"/>
      <c r="EQ113" s="2548"/>
      <c r="ER113" s="2548"/>
      <c r="ES113" s="2548"/>
      <c r="ET113" s="2548"/>
      <c r="EU113" s="2548"/>
      <c r="EV113" s="2548"/>
      <c r="EW113" s="2548"/>
      <c r="EX113" s="2548"/>
      <c r="EY113" s="2546"/>
      <c r="EZ113" s="2548"/>
      <c r="FA113" s="2548"/>
      <c r="FB113" s="2548"/>
      <c r="FC113" s="2548"/>
      <c r="FD113" s="2548"/>
      <c r="FE113" s="2548"/>
      <c r="FF113" s="2545"/>
      <c r="FG113" s="2548"/>
      <c r="FH113" s="2546"/>
      <c r="FI113" s="2548"/>
      <c r="FJ113" s="2548"/>
      <c r="FK113" s="2548"/>
      <c r="FL113" s="2548"/>
      <c r="FM113" s="2548"/>
      <c r="FN113" s="2548"/>
      <c r="FO113" s="2548"/>
      <c r="FP113" s="2548"/>
      <c r="FQ113" s="2548"/>
      <c r="FR113" s="2548"/>
      <c r="FS113" s="2548"/>
      <c r="FT113" s="2548"/>
      <c r="FU113" s="2548"/>
      <c r="FV113" s="2548"/>
      <c r="FW113" s="2548"/>
      <c r="FX113" s="2548"/>
      <c r="FY113" s="2548"/>
      <c r="FZ113" s="2548"/>
      <c r="GA113" s="2548"/>
      <c r="GB113" s="2548"/>
      <c r="GC113" s="2548"/>
      <c r="GD113" s="2548"/>
      <c r="GE113" s="2548"/>
      <c r="GF113" s="2548"/>
      <c r="GG113" s="2548"/>
      <c r="GH113" s="2548"/>
      <c r="GI113" s="2548"/>
      <c r="GJ113" s="2546"/>
      <c r="GK113" s="2548"/>
      <c r="GL113" s="2548"/>
      <c r="GM113" s="2548"/>
      <c r="GN113" s="2548"/>
      <c r="GO113" s="2548"/>
      <c r="GP113" s="2548"/>
      <c r="GQ113" s="2548"/>
      <c r="GR113" s="2548"/>
      <c r="GS113" s="2548"/>
      <c r="GT113" s="2548"/>
      <c r="GU113" s="2548"/>
      <c r="GV113" s="2548"/>
      <c r="GW113" s="2548"/>
      <c r="GX113" s="2546"/>
      <c r="GY113" s="2548"/>
      <c r="GZ113" s="2548"/>
      <c r="HA113" s="2548"/>
      <c r="HB113" s="2546"/>
      <c r="HC113" s="2546"/>
      <c r="HD113" s="2548"/>
      <c r="HE113" s="2548"/>
      <c r="HF113" s="2548"/>
      <c r="HG113" s="2548"/>
      <c r="HH113" s="2548"/>
      <c r="HI113" s="2548"/>
      <c r="HJ113" s="2548"/>
      <c r="HK113" s="2548"/>
      <c r="HL113" s="2548"/>
      <c r="HM113" s="2548"/>
      <c r="HN113" s="2548"/>
      <c r="HO113" s="2546">
        <v>-1010</v>
      </c>
      <c r="HP113" s="2548"/>
      <c r="HQ113" s="2548"/>
      <c r="HR113" s="2548"/>
      <c r="HS113" s="2548"/>
      <c r="HT113" s="2548"/>
      <c r="HU113" s="2548"/>
      <c r="HV113" s="2548"/>
      <c r="HW113" s="2548"/>
      <c r="HX113" s="2548"/>
      <c r="HY113" s="2548"/>
      <c r="HZ113" s="2548"/>
      <c r="IA113" s="2548"/>
      <c r="IB113" s="2548"/>
      <c r="IC113" s="2548"/>
      <c r="ID113" s="2548"/>
      <c r="IE113" s="2548"/>
      <c r="IF113" s="2548"/>
      <c r="IG113" s="2548"/>
      <c r="IH113" s="2548"/>
      <c r="II113" s="2548"/>
      <c r="IJ113" s="2548"/>
      <c r="IK113" s="2548"/>
      <c r="IL113" s="2548"/>
      <c r="IM113" s="2548"/>
      <c r="IN113" s="2548"/>
      <c r="IO113" s="2548"/>
      <c r="IP113" s="2548"/>
      <c r="IQ113" s="2548"/>
      <c r="IR113" s="2548"/>
      <c r="IS113" s="2548"/>
      <c r="IT113" s="2548"/>
      <c r="IU113" s="2548"/>
      <c r="IV113" s="2548"/>
      <c r="IW113" s="2548"/>
      <c r="IX113" s="2548"/>
      <c r="IY113" s="2548"/>
      <c r="IZ113" s="2548"/>
      <c r="JA113" s="2548"/>
      <c r="JB113" s="2548"/>
      <c r="JC113" s="2548"/>
      <c r="JD113" s="2548"/>
      <c r="JE113" s="2548"/>
      <c r="JF113" s="2548"/>
      <c r="JG113" s="2549"/>
      <c r="JH113" s="1233"/>
      <c r="JI113" s="2248"/>
      <c r="JJ113" s="2248" t="s">
        <v>6127</v>
      </c>
    </row>
    <row ht="22.5" r="114" spans="1:270" x14ac:dyDescent="0.2">
      <c r="A114" s="1128">
        <v>71</v>
      </c>
      <c r="B114" s="1347" t="str">
        <f si="4" t="shared"/>
        <v/>
      </c>
      <c r="C114" s="1278" t="s">
        <v>3503</v>
      </c>
      <c r="D114" s="1350" t="s">
        <v>5534</v>
      </c>
      <c r="E114" s="2550"/>
      <c r="F114" s="2550"/>
      <c r="G114" s="2550"/>
      <c r="H114" s="2550"/>
      <c r="I114" s="2550"/>
      <c r="J114" s="2564"/>
      <c r="K114" s="2550"/>
      <c r="L114" s="2550"/>
      <c r="M114" s="2550"/>
      <c r="N114" s="2550"/>
      <c r="O114" s="2551"/>
      <c r="P114" s="2551"/>
      <c r="Q114" s="2550"/>
      <c r="R114" s="2551"/>
      <c r="S114" s="2550"/>
      <c r="T114" s="2552"/>
      <c r="U114" s="2552"/>
      <c r="V114" s="2552"/>
      <c r="W114" s="2552"/>
      <c r="X114" s="2552"/>
      <c r="Y114" s="2552"/>
      <c r="Z114" s="2552"/>
      <c r="AA114" s="2552"/>
      <c r="AB114" s="2552"/>
      <c r="AC114" s="2550"/>
      <c r="AD114" s="2879"/>
      <c r="AE114" s="2879"/>
      <c r="AF114" s="2879"/>
      <c r="AG114" s="2879"/>
      <c r="AH114" s="2879"/>
      <c r="AI114" s="2552"/>
      <c r="AJ114" s="2550"/>
      <c r="AK114" s="2552"/>
      <c r="AL114" s="2550"/>
      <c r="AM114" s="2552"/>
      <c r="AN114" s="2552"/>
      <c r="AO114" s="2552"/>
      <c r="AP114" s="2552"/>
      <c r="AQ114" s="2552"/>
      <c r="AR114" s="2552"/>
      <c r="AS114" s="2552"/>
      <c r="AT114" s="2552"/>
      <c r="AU114" s="2552"/>
      <c r="AV114" s="2550"/>
      <c r="AW114" s="2552"/>
      <c r="AX114" s="2552"/>
      <c r="AY114" s="2552"/>
      <c r="AZ114" s="2552"/>
      <c r="BA114" s="2552"/>
      <c r="BB114" s="2552"/>
      <c r="BC114" s="2552"/>
      <c r="BD114" s="2552"/>
      <c r="BE114" s="2552"/>
      <c r="BF114" s="2552"/>
      <c r="BG114" s="2552"/>
      <c r="BH114" s="3960"/>
      <c r="BI114" s="3960"/>
      <c r="BJ114" s="2550"/>
      <c r="BK114" s="2552"/>
      <c r="BL114" s="2552"/>
      <c r="BM114" s="2552"/>
      <c r="BN114" s="2552"/>
      <c r="BO114" s="2552"/>
      <c r="BP114" s="2550"/>
      <c r="BQ114" s="2552"/>
      <c r="BR114" s="2552"/>
      <c r="BS114" s="2552"/>
      <c r="BT114" s="2552"/>
      <c r="BU114" s="2552"/>
      <c r="BV114" s="2552"/>
      <c r="BW114" s="2552"/>
      <c r="BX114" s="2552"/>
      <c r="BY114" s="2552"/>
      <c r="BZ114" s="2552"/>
      <c r="CA114" s="2552"/>
      <c r="CB114" s="2550"/>
      <c r="CC114" s="2552"/>
      <c r="CD114" s="2552"/>
      <c r="CE114" s="2552"/>
      <c r="CF114" s="2550"/>
      <c r="CG114" s="2552"/>
      <c r="CH114" s="2550"/>
      <c r="CI114" s="2552"/>
      <c r="CJ114" s="2552"/>
      <c r="CK114" s="2552"/>
      <c r="CL114" s="2550"/>
      <c r="CM114" s="2552"/>
      <c r="CN114" s="2552"/>
      <c r="CO114" s="2552"/>
      <c r="CP114" s="2552"/>
      <c r="CQ114" s="2552"/>
      <c r="CR114" s="2550"/>
      <c r="CS114" s="2550"/>
      <c r="CT114" s="2552"/>
      <c r="CU114" s="2550"/>
      <c r="CV114" s="2550"/>
      <c r="CW114" s="2552"/>
      <c r="CX114" s="2552"/>
      <c r="CY114" s="2552"/>
      <c r="CZ114" s="2552"/>
      <c r="DA114" s="2552"/>
      <c r="DB114" s="2552"/>
      <c r="DC114" s="2550"/>
      <c r="DD114" s="2552"/>
      <c r="DE114" s="2552"/>
      <c r="DF114" s="2552"/>
      <c r="DG114" s="2552"/>
      <c r="DH114" s="2552"/>
      <c r="DI114" s="2552"/>
      <c r="DJ114" s="2550"/>
      <c r="DK114" s="2552"/>
      <c r="DL114" s="2552"/>
      <c r="DM114" s="2552"/>
      <c r="DN114" s="2552"/>
      <c r="DO114" s="2550"/>
      <c r="DP114" s="2552"/>
      <c r="DQ114" s="2552"/>
      <c r="DR114" s="2552"/>
      <c r="DS114" s="2552"/>
      <c r="DT114" s="2552"/>
      <c r="DU114" s="2552"/>
      <c r="DV114" s="2552"/>
      <c r="DW114" s="2552"/>
      <c r="DX114" s="2552"/>
      <c r="DY114" s="2552"/>
      <c r="DZ114" s="2552"/>
      <c r="EA114" s="2552"/>
      <c r="EB114" s="2552"/>
      <c r="EC114" s="2552"/>
      <c r="ED114" s="2552"/>
      <c r="EE114" s="2552"/>
      <c r="EF114" s="2550"/>
      <c r="EG114" s="2550"/>
      <c r="EH114" s="2552"/>
      <c r="EI114" s="2550">
        <v>1982</v>
      </c>
      <c r="EJ114" s="2552"/>
      <c r="EK114" s="2552"/>
      <c r="EL114" s="2552"/>
      <c r="EM114" s="2550"/>
      <c r="EN114" s="2552"/>
      <c r="EO114" s="2552"/>
      <c r="EP114" s="2552"/>
      <c r="EQ114" s="2552"/>
      <c r="ER114" s="2552"/>
      <c r="ES114" s="2552"/>
      <c r="ET114" s="2552"/>
      <c r="EU114" s="2552"/>
      <c r="EV114" s="2552"/>
      <c r="EW114" s="2552"/>
      <c r="EX114" s="2552"/>
      <c r="EY114" s="2550"/>
      <c r="EZ114" s="2552"/>
      <c r="FA114" s="2552"/>
      <c r="FB114" s="2552"/>
      <c r="FC114" s="2552"/>
      <c r="FD114" s="2552"/>
      <c r="FE114" s="2552"/>
      <c r="FF114" s="2550"/>
      <c r="FG114" s="2552"/>
      <c r="FH114" s="2550"/>
      <c r="FI114" s="2552"/>
      <c r="FJ114" s="2552"/>
      <c r="FK114" s="2552"/>
      <c r="FL114" s="2552"/>
      <c r="FM114" s="2552"/>
      <c r="FN114" s="2552"/>
      <c r="FO114" s="2552"/>
      <c r="FP114" s="2552"/>
      <c r="FQ114" s="2552"/>
      <c r="FR114" s="2552"/>
      <c r="FS114" s="2552"/>
      <c r="FT114" s="2552"/>
      <c r="FU114" s="2552"/>
      <c r="FV114" s="2552"/>
      <c r="FW114" s="2552"/>
      <c r="FX114" s="2552"/>
      <c r="FY114" s="2552"/>
      <c r="FZ114" s="2552"/>
      <c r="GA114" s="2552"/>
      <c r="GB114" s="2552"/>
      <c r="GC114" s="2552"/>
      <c r="GD114" s="2552"/>
      <c r="GE114" s="2552"/>
      <c r="GF114" s="2552"/>
      <c r="GG114" s="2552"/>
      <c r="GH114" s="2552"/>
      <c r="GI114" s="2552"/>
      <c r="GJ114" s="2550">
        <v>1982</v>
      </c>
      <c r="GK114" s="2552"/>
      <c r="GL114" s="2552"/>
      <c r="GM114" s="2552"/>
      <c r="GN114" s="2552"/>
      <c r="GO114" s="2552"/>
      <c r="GP114" s="2552"/>
      <c r="GQ114" s="2552"/>
      <c r="GR114" s="2552"/>
      <c r="GS114" s="2552"/>
      <c r="GT114" s="2552"/>
      <c r="GU114" s="2552"/>
      <c r="GV114" s="2552"/>
      <c r="GW114" s="2552"/>
      <c r="GX114" s="2550">
        <v>9000</v>
      </c>
      <c r="GY114" s="2552"/>
      <c r="GZ114" s="2552"/>
      <c r="HA114" s="2552"/>
      <c r="HB114" s="2550"/>
      <c r="HC114" s="2550"/>
      <c r="HD114" s="2552"/>
      <c r="HE114" s="2552"/>
      <c r="HF114" s="2552"/>
      <c r="HG114" s="2552"/>
      <c r="HH114" s="2552"/>
      <c r="HI114" s="2552"/>
      <c r="HJ114" s="2552"/>
      <c r="HK114" s="2552"/>
      <c r="HL114" s="2552"/>
      <c r="HM114" s="2552"/>
      <c r="HN114" s="2552"/>
      <c r="HO114" s="2550"/>
      <c r="HP114" s="2552"/>
      <c r="HQ114" s="2552"/>
      <c r="HR114" s="2552"/>
      <c r="HS114" s="2552"/>
      <c r="HT114" s="2552"/>
      <c r="HU114" s="2552"/>
      <c r="HV114" s="2552"/>
      <c r="HW114" s="2552"/>
      <c r="HX114" s="2552"/>
      <c r="HY114" s="2552"/>
      <c r="HZ114" s="2552"/>
      <c r="IA114" s="2552"/>
      <c r="IB114" s="2552"/>
      <c r="IC114" s="2552"/>
      <c r="ID114" s="2552"/>
      <c r="IE114" s="2552"/>
      <c r="IF114" s="2552"/>
      <c r="IG114" s="2552"/>
      <c r="IH114" s="2552"/>
      <c r="II114" s="2552"/>
      <c r="IJ114" s="2552"/>
      <c r="IK114" s="2552"/>
      <c r="IL114" s="2552"/>
      <c r="IM114" s="2552"/>
      <c r="IN114" s="2552"/>
      <c r="IO114" s="2552"/>
      <c r="IP114" s="2552"/>
      <c r="IQ114" s="2552"/>
      <c r="IR114" s="2552"/>
      <c r="IS114" s="2552"/>
      <c r="IT114" s="2552"/>
      <c r="IU114" s="2552"/>
      <c r="IV114" s="2552"/>
      <c r="IW114" s="2552"/>
      <c r="IX114" s="2552"/>
      <c r="IY114" s="2552"/>
      <c r="IZ114" s="2552"/>
      <c r="JA114" s="2552"/>
      <c r="JB114" s="2552"/>
      <c r="JC114" s="2552"/>
      <c r="JD114" s="2552"/>
      <c r="JE114" s="2552"/>
      <c r="JF114" s="2552"/>
      <c r="JG114" s="2553"/>
      <c r="JH114" s="1233"/>
      <c r="JI114" s="2248" t="s">
        <v>6597</v>
      </c>
      <c r="JJ114" s="2248" t="s">
        <v>6108</v>
      </c>
    </row>
    <row r="115" spans="1:270" x14ac:dyDescent="0.2">
      <c r="A115" s="1128">
        <v>72</v>
      </c>
      <c r="B115" s="1347" t="str">
        <f si="4" t="shared"/>
        <v/>
      </c>
      <c r="C115" s="1278" t="s">
        <v>3504</v>
      </c>
      <c r="D115" s="1350" t="s">
        <v>5535</v>
      </c>
      <c r="E115" s="2546"/>
      <c r="F115" s="2546"/>
      <c r="G115" s="2546"/>
      <c r="H115" s="2546"/>
      <c r="I115" s="2546"/>
      <c r="J115" s="2545"/>
      <c r="K115" s="2546"/>
      <c r="L115" s="2546"/>
      <c r="M115" s="2546"/>
      <c r="N115" s="2546"/>
      <c r="O115" s="2547"/>
      <c r="P115" s="2547"/>
      <c r="Q115" s="2546"/>
      <c r="R115" s="2547"/>
      <c r="S115" s="2546"/>
      <c r="T115" s="2548"/>
      <c r="U115" s="2548"/>
      <c r="V115" s="2548"/>
      <c r="W115" s="2548"/>
      <c r="X115" s="2548"/>
      <c r="Y115" s="2548"/>
      <c r="Z115" s="2548"/>
      <c r="AA115" s="2548"/>
      <c r="AB115" s="2548"/>
      <c r="AC115" s="2546"/>
      <c r="AD115" s="3529"/>
      <c r="AE115" s="3529"/>
      <c r="AF115" s="3529"/>
      <c r="AG115" s="3529"/>
      <c r="AH115" s="3529"/>
      <c r="AI115" s="2548"/>
      <c r="AJ115" s="2546"/>
      <c r="AK115" s="2548"/>
      <c r="AL115" s="2546"/>
      <c r="AM115" s="2548"/>
      <c r="AN115" s="2548"/>
      <c r="AO115" s="2548"/>
      <c r="AP115" s="2548"/>
      <c r="AQ115" s="2548"/>
      <c r="AR115" s="2548"/>
      <c r="AS115" s="2548"/>
      <c r="AT115" s="2548"/>
      <c r="AU115" s="2548"/>
      <c r="AV115" s="2546"/>
      <c r="AW115" s="2548"/>
      <c r="AX115" s="2548"/>
      <c r="AY115" s="2548"/>
      <c r="AZ115" s="2548"/>
      <c r="BA115" s="2548"/>
      <c r="BB115" s="2548"/>
      <c r="BC115" s="2548"/>
      <c r="BD115" s="2548"/>
      <c r="BE115" s="2548"/>
      <c r="BF115" s="2548"/>
      <c r="BG115" s="2548"/>
      <c r="BH115" s="3959"/>
      <c r="BI115" s="3959"/>
      <c r="BJ115" s="2546"/>
      <c r="BK115" s="2548"/>
      <c r="BL115" s="2548"/>
      <c r="BM115" s="2548"/>
      <c r="BN115" s="2548"/>
      <c r="BO115" s="2548"/>
      <c r="BP115" s="2546"/>
      <c r="BQ115" s="2548"/>
      <c r="BR115" s="2548"/>
      <c r="BS115" s="2548"/>
      <c r="BT115" s="2548"/>
      <c r="BU115" s="2548"/>
      <c r="BV115" s="2548"/>
      <c r="BW115" s="2548"/>
      <c r="BX115" s="2548"/>
      <c r="BY115" s="2548"/>
      <c r="BZ115" s="2548"/>
      <c r="CA115" s="2548"/>
      <c r="CB115" s="2546"/>
      <c r="CC115" s="2548"/>
      <c r="CD115" s="2548"/>
      <c r="CE115" s="2548"/>
      <c r="CF115" s="2546"/>
      <c r="CG115" s="2548"/>
      <c r="CH115" s="2546"/>
      <c r="CI115" s="2548"/>
      <c r="CJ115" s="2548"/>
      <c r="CK115" s="2548"/>
      <c r="CL115" s="2546"/>
      <c r="CM115" s="2548"/>
      <c r="CN115" s="2548"/>
      <c r="CO115" s="2548"/>
      <c r="CP115" s="2548"/>
      <c r="CQ115" s="2548"/>
      <c r="CR115" s="2546"/>
      <c r="CS115" s="2546"/>
      <c r="CT115" s="2548"/>
      <c r="CU115" s="2546"/>
      <c r="CV115" s="2546"/>
      <c r="CW115" s="2548"/>
      <c r="CX115" s="2548"/>
      <c r="CY115" s="2548"/>
      <c r="CZ115" s="2548"/>
      <c r="DA115" s="2548"/>
      <c r="DB115" s="2548"/>
      <c r="DC115" s="2546"/>
      <c r="DD115" s="2548"/>
      <c r="DE115" s="2548"/>
      <c r="DF115" s="2548"/>
      <c r="DG115" s="2548"/>
      <c r="DH115" s="2548"/>
      <c r="DI115" s="2548"/>
      <c r="DJ115" s="2546"/>
      <c r="DK115" s="2548"/>
      <c r="DL115" s="2548"/>
      <c r="DM115" s="2548"/>
      <c r="DN115" s="2548"/>
      <c r="DO115" s="2546"/>
      <c r="DP115" s="2548"/>
      <c r="DQ115" s="2548"/>
      <c r="DR115" s="2548"/>
      <c r="DS115" s="2548"/>
      <c r="DT115" s="2548"/>
      <c r="DU115" s="2548"/>
      <c r="DV115" s="2548"/>
      <c r="DW115" s="2548"/>
      <c r="DX115" s="2548"/>
      <c r="DY115" s="2548"/>
      <c r="DZ115" s="2548"/>
      <c r="EA115" s="2548"/>
      <c r="EB115" s="2548"/>
      <c r="EC115" s="2548"/>
      <c r="ED115" s="2548"/>
      <c r="EE115" s="2548"/>
      <c r="EF115" s="2546"/>
      <c r="EG115" s="2546"/>
      <c r="EH115" s="2548"/>
      <c r="EI115" s="2546"/>
      <c r="EJ115" s="2548"/>
      <c r="EK115" s="2548"/>
      <c r="EL115" s="2548"/>
      <c r="EM115" s="2546"/>
      <c r="EN115" s="2548"/>
      <c r="EO115" s="2548"/>
      <c r="EP115" s="2548"/>
      <c r="EQ115" s="2548"/>
      <c r="ER115" s="2548"/>
      <c r="ES115" s="2548"/>
      <c r="ET115" s="2548"/>
      <c r="EU115" s="2548"/>
      <c r="EV115" s="2548"/>
      <c r="EW115" s="2548"/>
      <c r="EX115" s="2548"/>
      <c r="EY115" s="2546"/>
      <c r="EZ115" s="2548"/>
      <c r="FA115" s="2548"/>
      <c r="FB115" s="2548"/>
      <c r="FC115" s="2548"/>
      <c r="FD115" s="2548"/>
      <c r="FE115" s="2548"/>
      <c r="FF115" s="2546"/>
      <c r="FG115" s="2548"/>
      <c r="FH115" s="2546"/>
      <c r="FI115" s="2548"/>
      <c r="FJ115" s="2548"/>
      <c r="FK115" s="2548"/>
      <c r="FL115" s="2548"/>
      <c r="FM115" s="2548"/>
      <c r="FN115" s="2548"/>
      <c r="FO115" s="2548"/>
      <c r="FP115" s="2548"/>
      <c r="FQ115" s="2548"/>
      <c r="FR115" s="2548"/>
      <c r="FS115" s="2548"/>
      <c r="FT115" s="2548"/>
      <c r="FU115" s="2548"/>
      <c r="FV115" s="2548"/>
      <c r="FW115" s="2548"/>
      <c r="FX115" s="2548"/>
      <c r="FY115" s="2548"/>
      <c r="FZ115" s="2548"/>
      <c r="GA115" s="2548"/>
      <c r="GB115" s="2548"/>
      <c r="GC115" s="2548"/>
      <c r="GD115" s="2548"/>
      <c r="GE115" s="2548"/>
      <c r="GF115" s="2548"/>
      <c r="GG115" s="2548"/>
      <c r="GH115" s="2548"/>
      <c r="GI115" s="2548"/>
      <c r="GJ115" s="2546"/>
      <c r="GK115" s="2548"/>
      <c r="GL115" s="2548"/>
      <c r="GM115" s="2548"/>
      <c r="GN115" s="2548"/>
      <c r="GO115" s="2548"/>
      <c r="GP115" s="2548"/>
      <c r="GQ115" s="2548"/>
      <c r="GR115" s="2548"/>
      <c r="GS115" s="2548"/>
      <c r="GT115" s="2548"/>
      <c r="GU115" s="2548"/>
      <c r="GV115" s="2548"/>
      <c r="GW115" s="2548"/>
      <c r="GX115" s="2546"/>
      <c r="GY115" s="2548"/>
      <c r="GZ115" s="2548"/>
      <c r="HA115" s="2548"/>
      <c r="HB115" s="2546"/>
      <c r="HC115" s="2546"/>
      <c r="HD115" s="2548"/>
      <c r="HE115" s="2548"/>
      <c r="HF115" s="2548"/>
      <c r="HG115" s="2548"/>
      <c r="HH115" s="2548"/>
      <c r="HI115" s="2548"/>
      <c r="HJ115" s="2548"/>
      <c r="HK115" s="2548"/>
      <c r="HL115" s="2548"/>
      <c r="HM115" s="2548"/>
      <c r="HN115" s="2548"/>
      <c r="HO115" s="2546"/>
      <c r="HP115" s="2548"/>
      <c r="HQ115" s="2548"/>
      <c r="HR115" s="2548"/>
      <c r="HS115" s="2548"/>
      <c r="HT115" s="2548"/>
      <c r="HU115" s="2548"/>
      <c r="HV115" s="2548"/>
      <c r="HW115" s="2548"/>
      <c r="HX115" s="2548"/>
      <c r="HY115" s="2548"/>
      <c r="HZ115" s="2548"/>
      <c r="IA115" s="2548"/>
      <c r="IB115" s="2548"/>
      <c r="IC115" s="2548"/>
      <c r="ID115" s="2548"/>
      <c r="IE115" s="2548"/>
      <c r="IF115" s="2548"/>
      <c r="IG115" s="2548"/>
      <c r="IH115" s="2548"/>
      <c r="II115" s="2548"/>
      <c r="IJ115" s="2548"/>
      <c r="IK115" s="2548"/>
      <c r="IL115" s="2548"/>
      <c r="IM115" s="2548"/>
      <c r="IN115" s="2548"/>
      <c r="IO115" s="2548"/>
      <c r="IP115" s="2548"/>
      <c r="IQ115" s="2548"/>
      <c r="IR115" s="2548"/>
      <c r="IS115" s="2548"/>
      <c r="IT115" s="2548"/>
      <c r="IU115" s="2548"/>
      <c r="IV115" s="2548"/>
      <c r="IW115" s="2548"/>
      <c r="IX115" s="2548"/>
      <c r="IY115" s="2548"/>
      <c r="IZ115" s="2548"/>
      <c r="JA115" s="2548"/>
      <c r="JB115" s="2548"/>
      <c r="JC115" s="2548"/>
      <c r="JD115" s="2548"/>
      <c r="JE115" s="2548"/>
      <c r="JF115" s="2548"/>
      <c r="JG115" s="2549"/>
      <c r="JH115" s="1233"/>
      <c r="JI115" s="2248"/>
      <c r="JJ115" s="2248" t="s">
        <v>6108</v>
      </c>
    </row>
    <row r="116" spans="1:270" x14ac:dyDescent="0.2">
      <c r="A116" s="1128">
        <v>73</v>
      </c>
      <c r="B116" s="1347" t="str">
        <f si="4" t="shared"/>
        <v/>
      </c>
      <c r="C116" s="1278" t="s">
        <v>3475</v>
      </c>
      <c r="D116" s="1350" t="s">
        <v>5536</v>
      </c>
      <c r="E116" s="2546"/>
      <c r="F116" s="2546"/>
      <c r="G116" s="2546"/>
      <c r="H116" s="2546"/>
      <c r="I116" s="2546"/>
      <c r="J116" s="2545"/>
      <c r="K116" s="2546"/>
      <c r="L116" s="2546"/>
      <c r="M116" s="2546"/>
      <c r="N116" s="2546"/>
      <c r="O116" s="2547"/>
      <c r="P116" s="2547"/>
      <c r="Q116" s="2546"/>
      <c r="R116" s="2547"/>
      <c r="S116" s="2546"/>
      <c r="T116" s="2548"/>
      <c r="U116" s="2548"/>
      <c r="V116" s="2548"/>
      <c r="W116" s="2548"/>
      <c r="X116" s="2548"/>
      <c r="Y116" s="2548"/>
      <c r="Z116" s="2548"/>
      <c r="AA116" s="2548"/>
      <c r="AB116" s="2548"/>
      <c r="AC116" s="2546"/>
      <c r="AD116" s="3529"/>
      <c r="AE116" s="3529"/>
      <c r="AF116" s="3529"/>
      <c r="AG116" s="3529"/>
      <c r="AH116" s="3529"/>
      <c r="AI116" s="2548"/>
      <c r="AJ116" s="2546"/>
      <c r="AK116" s="2548"/>
      <c r="AL116" s="2546"/>
      <c r="AM116" s="2548"/>
      <c r="AN116" s="2548"/>
      <c r="AO116" s="2548"/>
      <c r="AP116" s="2548"/>
      <c r="AQ116" s="2548"/>
      <c r="AR116" s="2548"/>
      <c r="AS116" s="2548"/>
      <c r="AT116" s="2548"/>
      <c r="AU116" s="2548"/>
      <c r="AV116" s="2546"/>
      <c r="AW116" s="2548"/>
      <c r="AX116" s="2548"/>
      <c r="AY116" s="2548"/>
      <c r="AZ116" s="2548"/>
      <c r="BA116" s="2548"/>
      <c r="BB116" s="2548"/>
      <c r="BC116" s="2548"/>
      <c r="BD116" s="2548"/>
      <c r="BE116" s="2548"/>
      <c r="BF116" s="2548"/>
      <c r="BG116" s="2548"/>
      <c r="BH116" s="3959"/>
      <c r="BI116" s="3959"/>
      <c r="BJ116" s="2546"/>
      <c r="BK116" s="2548"/>
      <c r="BL116" s="2548"/>
      <c r="BM116" s="2548"/>
      <c r="BN116" s="2548"/>
      <c r="BO116" s="2548"/>
      <c r="BP116" s="2546"/>
      <c r="BQ116" s="2548"/>
      <c r="BR116" s="2548"/>
      <c r="BS116" s="2548"/>
      <c r="BT116" s="2548"/>
      <c r="BU116" s="2548"/>
      <c r="BV116" s="2548"/>
      <c r="BW116" s="2548"/>
      <c r="BX116" s="2548"/>
      <c r="BY116" s="2548"/>
      <c r="BZ116" s="2548"/>
      <c r="CA116" s="2548"/>
      <c r="CB116" s="2546"/>
      <c r="CC116" s="2548"/>
      <c r="CD116" s="2548"/>
      <c r="CE116" s="2548"/>
      <c r="CF116" s="2546"/>
      <c r="CG116" s="2548"/>
      <c r="CH116" s="2546"/>
      <c r="CI116" s="2548"/>
      <c r="CJ116" s="2548"/>
      <c r="CK116" s="2548"/>
      <c r="CL116" s="2546"/>
      <c r="CM116" s="2548"/>
      <c r="CN116" s="2548"/>
      <c r="CO116" s="2548"/>
      <c r="CP116" s="2548"/>
      <c r="CQ116" s="2548"/>
      <c r="CR116" s="2546"/>
      <c r="CS116" s="2546"/>
      <c r="CT116" s="2548"/>
      <c r="CU116" s="2546">
        <v>15200</v>
      </c>
      <c r="CV116" s="2546">
        <v>15200</v>
      </c>
      <c r="CW116" s="2548"/>
      <c r="CX116" s="2548"/>
      <c r="CY116" s="2548"/>
      <c r="CZ116" s="2548"/>
      <c r="DA116" s="2548"/>
      <c r="DB116" s="2548"/>
      <c r="DC116" s="2546">
        <v>15200</v>
      </c>
      <c r="DD116" s="2548"/>
      <c r="DE116" s="2548"/>
      <c r="DF116" s="2548"/>
      <c r="DG116" s="2548"/>
      <c r="DH116" s="2548"/>
      <c r="DI116" s="2548"/>
      <c r="DJ116" s="2546">
        <v>15200</v>
      </c>
      <c r="DK116" s="2548"/>
      <c r="DL116" s="2548"/>
      <c r="DM116" s="2548"/>
      <c r="DN116" s="2548"/>
      <c r="DO116" s="2546"/>
      <c r="DP116" s="2548"/>
      <c r="DQ116" s="2548"/>
      <c r="DR116" s="2548"/>
      <c r="DS116" s="2548"/>
      <c r="DT116" s="2548"/>
      <c r="DU116" s="2548"/>
      <c r="DV116" s="2548"/>
      <c r="DW116" s="2548"/>
      <c r="DX116" s="2548"/>
      <c r="DY116" s="2548"/>
      <c r="DZ116" s="2548"/>
      <c r="EA116" s="2548"/>
      <c r="EB116" s="2548"/>
      <c r="EC116" s="2548"/>
      <c r="ED116" s="2548"/>
      <c r="EE116" s="2548"/>
      <c r="EF116" s="2546"/>
      <c r="EG116" s="2546"/>
      <c r="EH116" s="2548"/>
      <c r="EI116" s="2546"/>
      <c r="EJ116" s="2548"/>
      <c r="EK116" s="2548"/>
      <c r="EL116" s="2548"/>
      <c r="EM116" s="2546"/>
      <c r="EN116" s="2548"/>
      <c r="EO116" s="2548"/>
      <c r="EP116" s="2548"/>
      <c r="EQ116" s="2548"/>
      <c r="ER116" s="2548"/>
      <c r="ES116" s="2548"/>
      <c r="ET116" s="2548"/>
      <c r="EU116" s="2548"/>
      <c r="EV116" s="2548"/>
      <c r="EW116" s="2548"/>
      <c r="EX116" s="2548"/>
      <c r="EY116" s="2546"/>
      <c r="EZ116" s="2548"/>
      <c r="FA116" s="2548"/>
      <c r="FB116" s="2548"/>
      <c r="FC116" s="2548"/>
      <c r="FD116" s="2548"/>
      <c r="FE116" s="2548"/>
      <c r="FF116" s="2546"/>
      <c r="FG116" s="2548"/>
      <c r="FH116" s="2546">
        <v>15200</v>
      </c>
      <c r="FI116" s="2548"/>
      <c r="FJ116" s="2548"/>
      <c r="FK116" s="2548"/>
      <c r="FL116" s="2548"/>
      <c r="FM116" s="2548"/>
      <c r="FN116" s="2548"/>
      <c r="FO116" s="2548"/>
      <c r="FP116" s="2548"/>
      <c r="FQ116" s="2548"/>
      <c r="FR116" s="2548"/>
      <c r="FS116" s="2548"/>
      <c r="FT116" s="2548"/>
      <c r="FU116" s="2548"/>
      <c r="FV116" s="2548"/>
      <c r="FW116" s="2548"/>
      <c r="FX116" s="2548"/>
      <c r="FY116" s="2548"/>
      <c r="FZ116" s="2548"/>
      <c r="GA116" s="2548"/>
      <c r="GB116" s="2548"/>
      <c r="GC116" s="2548"/>
      <c r="GD116" s="2548"/>
      <c r="GE116" s="2548"/>
      <c r="GF116" s="2548"/>
      <c r="GG116" s="2548"/>
      <c r="GH116" s="2548"/>
      <c r="GI116" s="2548"/>
      <c r="GJ116" s="2546"/>
      <c r="GK116" s="2548"/>
      <c r="GL116" s="2548"/>
      <c r="GM116" s="2548"/>
      <c r="GN116" s="2548"/>
      <c r="GO116" s="2548"/>
      <c r="GP116" s="2548"/>
      <c r="GQ116" s="2548"/>
      <c r="GR116" s="2548"/>
      <c r="GS116" s="2548"/>
      <c r="GT116" s="2548"/>
      <c r="GU116" s="2548"/>
      <c r="GV116" s="2548"/>
      <c r="GW116" s="2548"/>
      <c r="GX116" s="2546"/>
      <c r="GY116" s="2548"/>
      <c r="GZ116" s="2548"/>
      <c r="HA116" s="2548"/>
      <c r="HB116" s="2546"/>
      <c r="HC116" s="2546">
        <v>15200</v>
      </c>
      <c r="HD116" s="2548"/>
      <c r="HE116" s="2548"/>
      <c r="HF116" s="2548"/>
      <c r="HG116" s="2548"/>
      <c r="HH116" s="2548"/>
      <c r="HI116" s="2548"/>
      <c r="HJ116" s="2548"/>
      <c r="HK116" s="2548"/>
      <c r="HL116" s="2548"/>
      <c r="HM116" s="2548"/>
      <c r="HN116" s="2548"/>
      <c r="HO116" s="2546"/>
      <c r="HP116" s="2548"/>
      <c r="HQ116" s="2548"/>
      <c r="HR116" s="2548"/>
      <c r="HS116" s="2548"/>
      <c r="HT116" s="2548"/>
      <c r="HU116" s="2548"/>
      <c r="HV116" s="2548"/>
      <c r="HW116" s="2548"/>
      <c r="HX116" s="2548"/>
      <c r="HY116" s="2548"/>
      <c r="HZ116" s="2548"/>
      <c r="IA116" s="2548"/>
      <c r="IB116" s="2548"/>
      <c r="IC116" s="2548"/>
      <c r="ID116" s="2548"/>
      <c r="IE116" s="2548"/>
      <c r="IF116" s="2548"/>
      <c r="IG116" s="2548"/>
      <c r="IH116" s="2548"/>
      <c r="II116" s="2548"/>
      <c r="IJ116" s="2548"/>
      <c r="IK116" s="2548"/>
      <c r="IL116" s="2548"/>
      <c r="IM116" s="2548"/>
      <c r="IN116" s="2548"/>
      <c r="IO116" s="2548"/>
      <c r="IP116" s="2548"/>
      <c r="IQ116" s="2548"/>
      <c r="IR116" s="2548"/>
      <c r="IS116" s="2548"/>
      <c r="IT116" s="2548"/>
      <c r="IU116" s="2548"/>
      <c r="IV116" s="2548"/>
      <c r="IW116" s="2548"/>
      <c r="IX116" s="2548"/>
      <c r="IY116" s="2548"/>
      <c r="IZ116" s="2548"/>
      <c r="JA116" s="2548"/>
      <c r="JB116" s="2548"/>
      <c r="JC116" s="2548"/>
      <c r="JD116" s="2548"/>
      <c r="JE116" s="2548"/>
      <c r="JF116" s="2548"/>
      <c r="JG116" s="2549"/>
      <c r="JH116" s="1233"/>
      <c r="JI116" s="2248"/>
      <c r="JJ116" s="2248" t="s">
        <v>6108</v>
      </c>
    </row>
    <row r="117" spans="1:270" x14ac:dyDescent="0.2">
      <c r="A117" s="1128">
        <v>74</v>
      </c>
      <c r="B117" s="1347" t="str">
        <f si="4" t="shared"/>
        <v/>
      </c>
      <c r="C117" s="1278" t="s">
        <v>3274</v>
      </c>
      <c r="D117" s="1350" t="s">
        <v>5537</v>
      </c>
      <c r="E117" s="2546"/>
      <c r="F117" s="2546"/>
      <c r="G117" s="2546"/>
      <c r="H117" s="2546"/>
      <c r="I117" s="2546"/>
      <c r="J117" s="2545"/>
      <c r="K117" s="2546"/>
      <c r="L117" s="2546"/>
      <c r="M117" s="2546"/>
      <c r="N117" s="2546"/>
      <c r="O117" s="2547"/>
      <c r="P117" s="2547"/>
      <c r="Q117" s="2546"/>
      <c r="R117" s="2547"/>
      <c r="S117" s="2546"/>
      <c r="T117" s="2548"/>
      <c r="U117" s="2548"/>
      <c r="V117" s="2548"/>
      <c r="W117" s="2548"/>
      <c r="X117" s="2548"/>
      <c r="Y117" s="2548"/>
      <c r="Z117" s="2548"/>
      <c r="AA117" s="2548"/>
      <c r="AB117" s="2548"/>
      <c r="AC117" s="2546"/>
      <c r="AD117" s="3529"/>
      <c r="AE117" s="3529"/>
      <c r="AF117" s="3529"/>
      <c r="AG117" s="3529"/>
      <c r="AH117" s="3529"/>
      <c r="AI117" s="2548"/>
      <c r="AJ117" s="2546">
        <v>3000</v>
      </c>
      <c r="AK117" s="2548"/>
      <c r="AL117" s="2546"/>
      <c r="AM117" s="2548"/>
      <c r="AN117" s="2548"/>
      <c r="AO117" s="2548"/>
      <c r="AP117" s="2548"/>
      <c r="AQ117" s="2548"/>
      <c r="AR117" s="2548"/>
      <c r="AS117" s="2548"/>
      <c r="AT117" s="2548"/>
      <c r="AU117" s="2548"/>
      <c r="AV117" s="2546"/>
      <c r="AW117" s="2548"/>
      <c r="AX117" s="2548"/>
      <c r="AY117" s="2548"/>
      <c r="AZ117" s="2548"/>
      <c r="BA117" s="2548"/>
      <c r="BB117" s="2548"/>
      <c r="BC117" s="2548"/>
      <c r="BD117" s="2548"/>
      <c r="BE117" s="2548"/>
      <c r="BF117" s="2548"/>
      <c r="BG117" s="2548"/>
      <c r="BH117" s="3959"/>
      <c r="BI117" s="3959"/>
      <c r="BJ117" s="2546"/>
      <c r="BK117" s="2548"/>
      <c r="BL117" s="2548"/>
      <c r="BM117" s="2548"/>
      <c r="BN117" s="2548"/>
      <c r="BO117" s="2548"/>
      <c r="BP117" s="2546"/>
      <c r="BQ117" s="2548"/>
      <c r="BR117" s="2548"/>
      <c r="BS117" s="2548"/>
      <c r="BT117" s="2548"/>
      <c r="BU117" s="2548"/>
      <c r="BV117" s="2548"/>
      <c r="BW117" s="2548"/>
      <c r="BX117" s="2548"/>
      <c r="BY117" s="2548"/>
      <c r="BZ117" s="2548"/>
      <c r="CA117" s="2548"/>
      <c r="CB117" s="2546">
        <v>3000</v>
      </c>
      <c r="CC117" s="2548"/>
      <c r="CD117" s="2548"/>
      <c r="CE117" s="2548"/>
      <c r="CF117" s="2546">
        <v>3000</v>
      </c>
      <c r="CG117" s="2548"/>
      <c r="CH117" s="2546"/>
      <c r="CI117" s="2548"/>
      <c r="CJ117" s="2548"/>
      <c r="CK117" s="2548"/>
      <c r="CL117" s="2546"/>
      <c r="CM117" s="2548"/>
      <c r="CN117" s="2548"/>
      <c r="CO117" s="2548"/>
      <c r="CP117" s="2548"/>
      <c r="CQ117" s="2548"/>
      <c r="CR117" s="2546"/>
      <c r="CS117" s="2546"/>
      <c r="CT117" s="2548"/>
      <c r="CU117" s="2546"/>
      <c r="CV117" s="2546"/>
      <c r="CW117" s="2548"/>
      <c r="CX117" s="2548"/>
      <c r="CY117" s="2548"/>
      <c r="CZ117" s="2548"/>
      <c r="DA117" s="2548"/>
      <c r="DB117" s="2548"/>
      <c r="DC117" s="2546"/>
      <c r="DD117" s="2548"/>
      <c r="DE117" s="2548"/>
      <c r="DF117" s="2548"/>
      <c r="DG117" s="2548"/>
      <c r="DH117" s="2548"/>
      <c r="DI117" s="2548"/>
      <c r="DJ117" s="2546"/>
      <c r="DK117" s="2548"/>
      <c r="DL117" s="2548"/>
      <c r="DM117" s="2548"/>
      <c r="DN117" s="2548"/>
      <c r="DO117" s="2546"/>
      <c r="DP117" s="2548"/>
      <c r="DQ117" s="2548"/>
      <c r="DR117" s="2548"/>
      <c r="DS117" s="2548"/>
      <c r="DT117" s="2548"/>
      <c r="DU117" s="2548"/>
      <c r="DV117" s="2548"/>
      <c r="DW117" s="2548"/>
      <c r="DX117" s="2548"/>
      <c r="DY117" s="2548"/>
      <c r="DZ117" s="2548"/>
      <c r="EA117" s="2548"/>
      <c r="EB117" s="2548"/>
      <c r="EC117" s="2548"/>
      <c r="ED117" s="2548"/>
      <c r="EE117" s="2548"/>
      <c r="EF117" s="2546"/>
      <c r="EG117" s="2546"/>
      <c r="EH117" s="2548"/>
      <c r="EI117" s="2546"/>
      <c r="EJ117" s="2548"/>
      <c r="EK117" s="2548"/>
      <c r="EL117" s="2548"/>
      <c r="EM117" s="2546"/>
      <c r="EN117" s="2548"/>
      <c r="EO117" s="2548"/>
      <c r="EP117" s="2548"/>
      <c r="EQ117" s="2548"/>
      <c r="ER117" s="2548"/>
      <c r="ES117" s="2548"/>
      <c r="ET117" s="2548"/>
      <c r="EU117" s="2548"/>
      <c r="EV117" s="2548"/>
      <c r="EW117" s="2548"/>
      <c r="EX117" s="2548"/>
      <c r="EY117" s="2546"/>
      <c r="EZ117" s="2548"/>
      <c r="FA117" s="2548"/>
      <c r="FB117" s="2548"/>
      <c r="FC117" s="2548"/>
      <c r="FD117" s="2548"/>
      <c r="FE117" s="2548"/>
      <c r="FF117" s="2546">
        <v>3000</v>
      </c>
      <c r="FG117" s="2548"/>
      <c r="FH117" s="2546"/>
      <c r="FI117" s="2548"/>
      <c r="FJ117" s="2548"/>
      <c r="FK117" s="2548"/>
      <c r="FL117" s="2548"/>
      <c r="FM117" s="2548"/>
      <c r="FN117" s="2548"/>
      <c r="FO117" s="2548"/>
      <c r="FP117" s="2548"/>
      <c r="FQ117" s="2548"/>
      <c r="FR117" s="2548"/>
      <c r="FS117" s="2548"/>
      <c r="FT117" s="2548"/>
      <c r="FU117" s="2548"/>
      <c r="FV117" s="2548"/>
      <c r="FW117" s="2548"/>
      <c r="FX117" s="2548"/>
      <c r="FY117" s="2548"/>
      <c r="FZ117" s="2548"/>
      <c r="GA117" s="2548"/>
      <c r="GB117" s="2548"/>
      <c r="GC117" s="2548"/>
      <c r="GD117" s="2548"/>
      <c r="GE117" s="2548"/>
      <c r="GF117" s="2548"/>
      <c r="GG117" s="2548"/>
      <c r="GH117" s="2548"/>
      <c r="GI117" s="2548"/>
      <c r="GJ117" s="2546"/>
      <c r="GK117" s="2548"/>
      <c r="GL117" s="2548"/>
      <c r="GM117" s="2548"/>
      <c r="GN117" s="2548"/>
      <c r="GO117" s="2548"/>
      <c r="GP117" s="2548"/>
      <c r="GQ117" s="2548"/>
      <c r="GR117" s="2548"/>
      <c r="GS117" s="2548"/>
      <c r="GT117" s="2548"/>
      <c r="GU117" s="2548"/>
      <c r="GV117" s="2548"/>
      <c r="GW117" s="2548"/>
      <c r="GX117" s="2546"/>
      <c r="GY117" s="2548"/>
      <c r="GZ117" s="2548"/>
      <c r="HA117" s="2548"/>
      <c r="HB117" s="2546"/>
      <c r="HC117" s="2546"/>
      <c r="HD117" s="2548"/>
      <c r="HE117" s="2548"/>
      <c r="HF117" s="2548"/>
      <c r="HG117" s="2548"/>
      <c r="HH117" s="2548"/>
      <c r="HI117" s="2548"/>
      <c r="HJ117" s="2548"/>
      <c r="HK117" s="2548"/>
      <c r="HL117" s="2548"/>
      <c r="HM117" s="2548"/>
      <c r="HN117" s="2548"/>
      <c r="HO117" s="2546"/>
      <c r="HP117" s="2548"/>
      <c r="HQ117" s="2548"/>
      <c r="HR117" s="2548"/>
      <c r="HS117" s="2548"/>
      <c r="HT117" s="2548"/>
      <c r="HU117" s="2548"/>
      <c r="HV117" s="2548"/>
      <c r="HW117" s="2548"/>
      <c r="HX117" s="2548"/>
      <c r="HY117" s="2548"/>
      <c r="HZ117" s="2548"/>
      <c r="IA117" s="2548"/>
      <c r="IB117" s="2548"/>
      <c r="IC117" s="2548"/>
      <c r="ID117" s="2548"/>
      <c r="IE117" s="2548"/>
      <c r="IF117" s="2548"/>
      <c r="IG117" s="2548"/>
      <c r="IH117" s="2548"/>
      <c r="II117" s="2548"/>
      <c r="IJ117" s="2548"/>
      <c r="IK117" s="2548"/>
      <c r="IL117" s="2548"/>
      <c r="IM117" s="2548"/>
      <c r="IN117" s="2548"/>
      <c r="IO117" s="2548"/>
      <c r="IP117" s="2548"/>
      <c r="IQ117" s="2548"/>
      <c r="IR117" s="2548"/>
      <c r="IS117" s="2548"/>
      <c r="IT117" s="2548"/>
      <c r="IU117" s="2548"/>
      <c r="IV117" s="2548"/>
      <c r="IW117" s="2548"/>
      <c r="IX117" s="2548"/>
      <c r="IY117" s="2548"/>
      <c r="IZ117" s="2548"/>
      <c r="JA117" s="2548"/>
      <c r="JB117" s="2548"/>
      <c r="JC117" s="2548"/>
      <c r="JD117" s="2548"/>
      <c r="JE117" s="2548"/>
      <c r="JF117" s="2548"/>
      <c r="JG117" s="2549"/>
      <c r="JH117" s="1233"/>
      <c r="JI117" s="2248"/>
      <c r="JJ117" s="2248" t="s">
        <v>6127</v>
      </c>
    </row>
    <row ht="123.75" r="118" spans="1:270" x14ac:dyDescent="0.2">
      <c r="A118" s="1128">
        <v>75</v>
      </c>
      <c r="B118" s="1347">
        <f si="4" t="shared"/>
        <v>13890</v>
      </c>
      <c r="C118" s="1278" t="s">
        <v>3275</v>
      </c>
      <c r="D118" s="1350" t="s">
        <v>5538</v>
      </c>
      <c r="E118" s="2554"/>
      <c r="F118" s="2554"/>
      <c r="G118" s="2554">
        <f>IF(G109+G113+G116-(G110+G114)&gt;0,G109+G113+G116+G117-(G110+G114),G117)</f>
        <v>13890</v>
      </c>
      <c r="H118" s="2554"/>
      <c r="I118" s="2554">
        <f>IF(I109+I113+I116-(I110+I114)&gt;0,I109+I113+I116+I117-(I110+I114),I117)</f>
        <v>13890</v>
      </c>
      <c r="J118" s="2562"/>
      <c r="K118" s="2554"/>
      <c r="L118" s="2554">
        <f>IF(L109+L113+L116-(L110+L114)&gt;0,L109+L113+L116+L117-(L110+L114),L117)</f>
        <v>13890</v>
      </c>
      <c r="M118" s="2554"/>
      <c r="N118" s="2554"/>
      <c r="O118" s="2555"/>
      <c r="P118" s="2555"/>
      <c r="Q118" s="2554">
        <f>IF(Q109+Q113+Q116-(Q110+Q114)&gt;0,Q109+Q113+Q116+Q117-(Q110+Q114),Q117)</f>
        <v>13890</v>
      </c>
      <c r="R118" s="2555"/>
      <c r="S118" s="2554">
        <f>IF(S109+S113+S116-(S110+S114)&gt;0,S109+S113+S116+S117-(S110+S114),S117)</f>
        <v>13890</v>
      </c>
      <c r="T118" s="2556"/>
      <c r="U118" s="2556"/>
      <c r="V118" s="2556"/>
      <c r="W118" s="2556"/>
      <c r="X118" s="2556"/>
      <c r="Y118" s="2556"/>
      <c r="Z118" s="2556"/>
      <c r="AA118" s="2556"/>
      <c r="AB118" s="2556"/>
      <c r="AC118" s="2554">
        <f>IF(AC109+AC113+AC116-(AC110+AC114)&gt;0,AC109+AC113+AC116+AC117-(AC110+AC114),AC117)</f>
        <v>13890</v>
      </c>
      <c r="AD118" s="3530"/>
      <c r="AE118" s="3543">
        <f>IF(AE109+AE113+AE116-(AE110+AE114)&gt;0,AE109+AE113+AE116+AE117-(AE110+AE114),AE117)</f>
        <v>21875</v>
      </c>
      <c r="AF118" s="3530"/>
      <c r="AG118" s="3530"/>
      <c r="AH118" s="3543">
        <f>IF(AH109+AH113+AH116-(AH110+AH114)&gt;0,AH109+AH113+AH116+AH117-(AH110+AH114),AH117)</f>
        <v>17430</v>
      </c>
      <c r="AI118" s="2556"/>
      <c r="AJ118" s="2554">
        <f>IF(AJ109+AJ113+AJ116-(AJ110+AJ114)&gt;0,AJ109+AJ113+AJ116+AJ117-(AJ110+AJ114),AJ117)</f>
        <v>50949</v>
      </c>
      <c r="AK118" s="2556"/>
      <c r="AL118" s="2554">
        <f>IF(AL109+AL113+AL116-(AL110+AL114)&gt;0,AL109+AL113+AL116+AL117-(AL110+AL114),AL117)</f>
        <v>104298</v>
      </c>
      <c r="AM118" s="2556"/>
      <c r="AN118" s="2556"/>
      <c r="AO118" s="2556"/>
      <c r="AP118" s="2556"/>
      <c r="AQ118" s="2556"/>
      <c r="AR118" s="2556"/>
      <c r="AS118" s="2556"/>
      <c r="AT118" s="2556"/>
      <c r="AU118" s="2556"/>
      <c r="AV118" s="2554">
        <f>IF(AV109+AV113+AV116-(AV110+AV114)&gt;0,AV109+AV113+AV116+AV117-(AV110+AV114),AV117)</f>
        <v>0</v>
      </c>
      <c r="AW118" s="2556"/>
      <c r="AX118" s="2556"/>
      <c r="AY118" s="2556"/>
      <c r="AZ118" s="2556"/>
      <c r="BA118" s="2556"/>
      <c r="BB118" s="2556"/>
      <c r="BC118" s="2556"/>
      <c r="BD118" s="2556"/>
      <c r="BE118" s="2556"/>
      <c r="BF118" s="2556"/>
      <c r="BG118" s="2556"/>
      <c r="BH118" s="3961"/>
      <c r="BI118" s="3961"/>
      <c r="BJ118" s="2554">
        <f>IF(BJ109+BJ113+BJ116-(BJ110+BJ114)&gt;0,BJ109+BJ113+BJ116+BJ117-(BJ110+BJ114),BJ117)</f>
        <v>104298</v>
      </c>
      <c r="BK118" s="2556"/>
      <c r="BL118" s="2556"/>
      <c r="BM118" s="2556"/>
      <c r="BN118" s="2556"/>
      <c r="BO118" s="2556"/>
      <c r="BP118" s="2554">
        <f>IF(BP109+BP113+BP116-(BP110+BP114)&gt;0,BP109+BP113+BP116+BP117-(BP110+BP114),BP117)</f>
        <v>13890</v>
      </c>
      <c r="BQ118" s="2556"/>
      <c r="BR118" s="2556"/>
      <c r="BS118" s="2556"/>
      <c r="BT118" s="2556"/>
      <c r="BU118" s="2556"/>
      <c r="BV118" s="2556"/>
      <c r="BW118" s="2556"/>
      <c r="BX118" s="2556"/>
      <c r="BY118" s="2556"/>
      <c r="BZ118" s="2556"/>
      <c r="CA118" s="2556"/>
      <c r="CB118" s="2554">
        <f>IF(CB109+CB113+CB116-(CB110+CB114)&gt;0,CB109+CB113+CB116+CB117-(CB110+CB114),CB117)</f>
        <v>62749</v>
      </c>
      <c r="CC118" s="2556"/>
      <c r="CD118" s="2556"/>
      <c r="CE118" s="2556"/>
      <c r="CF118" s="2554">
        <f>IF(CF109+CF113+CF116-(CF110+CF114)&gt;0,CF109+CF113+CF116+CF117-(CF110+CF114),CF117)</f>
        <v>50949</v>
      </c>
      <c r="CG118" s="2556"/>
      <c r="CH118" s="2554">
        <f>IF(CH109+CH113+CH116-(CH110+CH114)&gt;0,CH109+CH113+CH116+CH117-(CH110+CH114),CH117)</f>
        <v>13890</v>
      </c>
      <c r="CI118" s="2556"/>
      <c r="CJ118" s="2556"/>
      <c r="CK118" s="2556"/>
      <c r="CL118" s="2554">
        <f>IF(CL109+CL113+CL116-(CL110+CL114)&gt;0,CL109+CL113+CL116+CL117-(CL110+CL114),CL117)</f>
        <v>104298</v>
      </c>
      <c r="CM118" s="2556"/>
      <c r="CN118" s="2556"/>
      <c r="CO118" s="2556"/>
      <c r="CP118" s="2556"/>
      <c r="CQ118" s="2556"/>
      <c r="CR118" s="2554">
        <f>IF(CR109+CR113+CR116-(CR110+CR114)&gt;0,CR109+CR113+CR116+CR117-(CR110+CR114),CR117)</f>
        <v>104298</v>
      </c>
      <c r="CS118" s="2554">
        <f>IF(CS109+CS113+CS116-(CS110+CS114)&gt;0,CS109+CS113+CS116+CS117-(CS110+CS114),CS117)</f>
        <v>104298</v>
      </c>
      <c r="CT118" s="2556"/>
      <c r="CU118" s="2554">
        <f>IF(CU109+CU113+CU116-(CU110+CU114)&gt;0,CU109+CU113+CU116+CU117-(CU110+CU114),CU117)</f>
        <v>153854</v>
      </c>
      <c r="CV118" s="2554">
        <f>IF(CV109+CV113+CV116-(CV110+CV114)&gt;0,CV109+CV113+CV116+CV117-(CV110+CV114),CV117)</f>
        <v>153854</v>
      </c>
      <c r="CW118" s="2556"/>
      <c r="CX118" s="2556"/>
      <c r="CY118" s="2556"/>
      <c r="CZ118" s="2556"/>
      <c r="DA118" s="2556"/>
      <c r="DB118" s="2556"/>
      <c r="DC118" s="2554">
        <f>IF(DC109+DC113+DC116-(DC110+DC114)&gt;0,DC109+DC113+DC116+DC117-(DC110+DC114),DC117)</f>
        <v>153854</v>
      </c>
      <c r="DD118" s="2556"/>
      <c r="DE118" s="2556"/>
      <c r="DF118" s="2556"/>
      <c r="DG118" s="2556"/>
      <c r="DH118" s="2556"/>
      <c r="DI118" s="2556"/>
      <c r="DJ118" s="2554">
        <f>IF(DJ109+DJ113+DJ116-(DJ110+DJ114)&gt;0,DJ109+DJ113+DJ116+DJ117-(DJ110+DJ114),DJ117)</f>
        <v>153854</v>
      </c>
      <c r="DK118" s="2556"/>
      <c r="DL118" s="2556"/>
      <c r="DM118" s="2556"/>
      <c r="DN118" s="2556"/>
      <c r="DO118" s="2554">
        <f>IF(DO109+DO113+DO116-(DO110+DO114)&gt;0,DO109+DO113+DO116+DO117-(DO110+DO114),DO117)</f>
        <v>0</v>
      </c>
      <c r="DP118" s="2556"/>
      <c r="DQ118" s="2556"/>
      <c r="DR118" s="2556"/>
      <c r="DS118" s="2556"/>
      <c r="DT118" s="2556"/>
      <c r="DU118" s="2556"/>
      <c r="DV118" s="2556"/>
      <c r="DW118" s="2556"/>
      <c r="DX118" s="2556"/>
      <c r="DY118" s="2556"/>
      <c r="DZ118" s="2556"/>
      <c r="EA118" s="2556"/>
      <c r="EB118" s="2556"/>
      <c r="EC118" s="2556"/>
      <c r="ED118" s="2556"/>
      <c r="EE118" s="2556"/>
      <c r="EF118" s="2554">
        <f>IF(EF109+EF113+EF116-(EF110+EF114)&gt;0,EF109+EF113+EF116+EF117-(EF110+EF114),EF117)</f>
        <v>14023</v>
      </c>
      <c r="EG118" s="2554">
        <f>IF(EG109+EG113+EG116-(EG110+EG114)&gt;0,EG109+EG113+EG116+EG117-(EG110+EG114),EG117)</f>
        <v>0</v>
      </c>
      <c r="EH118" s="2556"/>
      <c r="EI118" s="2554">
        <f>IF(EI109+EI113+EI116-(EI110+EI114)&gt;0,EI109+EI113+EI116+EI117-(EI110+EI114),EI117)</f>
        <v>54732</v>
      </c>
      <c r="EJ118" s="2556"/>
      <c r="EK118" s="2556"/>
      <c r="EL118" s="2556"/>
      <c r="EM118" s="2554">
        <f>IF(EM109+EM113+EM116-(EM110+EM114)&gt;0,EM109+EM113+EM116+EM117-(EM110+EM114),EM117)</f>
        <v>104298</v>
      </c>
      <c r="EN118" s="2556"/>
      <c r="EO118" s="2556"/>
      <c r="EP118" s="2556"/>
      <c r="EQ118" s="2556"/>
      <c r="ER118" s="2556"/>
      <c r="ES118" s="2556"/>
      <c r="ET118" s="2556"/>
      <c r="EU118" s="2556"/>
      <c r="EV118" s="2556"/>
      <c r="EW118" s="2556"/>
      <c r="EX118" s="2556"/>
      <c r="EY118" s="2554">
        <f>IF(EY109+EY113+EY116-(EY110+EY114)&gt;0,EY109+EY113+EY116+EY117-(EY110+EY114),EY117)</f>
        <v>104298</v>
      </c>
      <c r="EZ118" s="2556"/>
      <c r="FA118" s="2556"/>
      <c r="FB118" s="2556"/>
      <c r="FC118" s="2556"/>
      <c r="FD118" s="2556"/>
      <c r="FE118" s="2556"/>
      <c r="FF118" s="2554">
        <f>IF(FF109+FF113+FF116-(FF110+FF114)&gt;0,FF109+FF113+FF116+FF117-(FF110+FF114),FF117)</f>
        <v>50949</v>
      </c>
      <c r="FG118" s="2556"/>
      <c r="FH118" s="2554">
        <f>IF(FH109+FH113+FH116-(FH110+FH114)&gt;0,FH109+FH113+FH116+FH117-(FH110+FH114),FH117)</f>
        <v>153854</v>
      </c>
      <c r="FI118" s="2556"/>
      <c r="FJ118" s="2556"/>
      <c r="FK118" s="2556"/>
      <c r="FL118" s="2556"/>
      <c r="FM118" s="2556"/>
      <c r="FN118" s="2556"/>
      <c r="FO118" s="2556"/>
      <c r="FP118" s="2556"/>
      <c r="FQ118" s="2556"/>
      <c r="FR118" s="2556"/>
      <c r="FS118" s="2556"/>
      <c r="FT118" s="2556"/>
      <c r="FU118" s="2556"/>
      <c r="FV118" s="2556"/>
      <c r="FW118" s="2556"/>
      <c r="FX118" s="2556"/>
      <c r="FY118" s="2556"/>
      <c r="FZ118" s="2556"/>
      <c r="GA118" s="2556"/>
      <c r="GB118" s="2556"/>
      <c r="GC118" s="2556"/>
      <c r="GD118" s="2556"/>
      <c r="GE118" s="2556"/>
      <c r="GF118" s="2556"/>
      <c r="GG118" s="2556"/>
      <c r="GH118" s="2556"/>
      <c r="GI118" s="2556"/>
      <c r="GJ118" s="2554">
        <f>IF(GJ109+GJ113+GJ116-(GJ110+GJ114)&gt;0,GJ109+GJ113+GJ116+GJ117-(GJ110+GJ114),GJ117)</f>
        <v>54732</v>
      </c>
      <c r="GK118" s="2556"/>
      <c r="GL118" s="2556"/>
      <c r="GM118" s="2556"/>
      <c r="GN118" s="2556"/>
      <c r="GO118" s="2556"/>
      <c r="GP118" s="2556"/>
      <c r="GQ118" s="2556"/>
      <c r="GR118" s="2556"/>
      <c r="GS118" s="2556"/>
      <c r="GT118" s="2556"/>
      <c r="GU118" s="2556"/>
      <c r="GV118" s="2556"/>
      <c r="GW118" s="2556"/>
      <c r="GX118" s="2554">
        <f>IF(GX109+GX113+GX116-(GX110+GX114)&gt;0,GX109+GX113+GX116+GX117-(GX110+GX114),GX117)</f>
        <v>0</v>
      </c>
      <c r="GY118" s="2556"/>
      <c r="GZ118" s="2556"/>
      <c r="HA118" s="2556"/>
      <c r="HB118" s="2554">
        <f>IF(HB109+HB113+HB116-(HB110+HB114)&gt;0,HB109+HB113+HB116+HB117-(HB110+HB114),HB117)</f>
        <v>0</v>
      </c>
      <c r="HC118" s="2554">
        <f>IF(HC109+HC113+HC116-(HC110+HC114)&gt;0,HC109+HC113+HC116+HC117-(HC110+HC114),HC117)</f>
        <v>153854</v>
      </c>
      <c r="HD118" s="2556"/>
      <c r="HE118" s="2556"/>
      <c r="HF118" s="2556"/>
      <c r="HG118" s="2556"/>
      <c r="HH118" s="2556"/>
      <c r="HI118" s="2556"/>
      <c r="HJ118" s="2556"/>
      <c r="HK118" s="2556"/>
      <c r="HL118" s="2556"/>
      <c r="HM118" s="2556"/>
      <c r="HN118" s="2556"/>
      <c r="HO118" s="2554">
        <f>IF(HO109+HO113+HO116-(HO110+HO114)&gt;0,HO109+HO113+HO116+HO117-(HO110+HO114),HO117)</f>
        <v>13890</v>
      </c>
      <c r="HP118" s="2556"/>
      <c r="HQ118" s="2556"/>
      <c r="HR118" s="2556"/>
      <c r="HS118" s="2556"/>
      <c r="HT118" s="2556"/>
      <c r="HU118" s="2556"/>
      <c r="HV118" s="2556"/>
      <c r="HW118" s="2556"/>
      <c r="HX118" s="2556"/>
      <c r="HY118" s="2556"/>
      <c r="HZ118" s="2556"/>
      <c r="IA118" s="2556"/>
      <c r="IB118" s="2556"/>
      <c r="IC118" s="2556"/>
      <c r="ID118" s="2556"/>
      <c r="IE118" s="2556"/>
      <c r="IF118" s="2556"/>
      <c r="IG118" s="2556"/>
      <c r="IH118" s="2556"/>
      <c r="II118" s="2556"/>
      <c r="IJ118" s="2556"/>
      <c r="IK118" s="2556"/>
      <c r="IL118" s="2556"/>
      <c r="IM118" s="2556"/>
      <c r="IN118" s="2556"/>
      <c r="IO118" s="2556"/>
      <c r="IP118" s="2556"/>
      <c r="IQ118" s="2556"/>
      <c r="IR118" s="2556"/>
      <c r="IS118" s="2556"/>
      <c r="IT118" s="2556"/>
      <c r="IU118" s="2556"/>
      <c r="IV118" s="2556"/>
      <c r="IW118" s="2556"/>
      <c r="IX118" s="2556"/>
      <c r="IY118" s="2556"/>
      <c r="IZ118" s="2556"/>
      <c r="JA118" s="2556"/>
      <c r="JB118" s="2556"/>
      <c r="JC118" s="2556"/>
      <c r="JD118" s="2556"/>
      <c r="JE118" s="2556"/>
      <c r="JF118" s="2556"/>
      <c r="JG118" s="2557"/>
      <c r="JH118" s="1233"/>
      <c r="JI118" s="2248" t="s">
        <v>8862</v>
      </c>
      <c r="JJ118" s="2248" t="s">
        <v>6124</v>
      </c>
    </row>
    <row ht="22.5" r="119" spans="1:270" x14ac:dyDescent="0.2">
      <c r="A119" s="1128">
        <v>76</v>
      </c>
      <c r="B119" s="1347" t="str">
        <f si="4" t="shared"/>
        <v/>
      </c>
      <c r="C119" s="1278" t="s">
        <v>3276</v>
      </c>
      <c r="D119" s="1350" t="s">
        <v>5466</v>
      </c>
      <c r="E119" s="2550"/>
      <c r="F119" s="2550"/>
      <c r="G119" s="2550"/>
      <c r="H119" s="2550"/>
      <c r="I119" s="2550"/>
      <c r="J119" s="2564"/>
      <c r="K119" s="2550"/>
      <c r="L119" s="2550"/>
      <c r="M119" s="2550"/>
      <c r="N119" s="2550"/>
      <c r="O119" s="2551"/>
      <c r="P119" s="2551"/>
      <c r="Q119" s="2550"/>
      <c r="R119" s="2551"/>
      <c r="S119" s="2550"/>
      <c r="T119" s="2552"/>
      <c r="U119" s="2552"/>
      <c r="V119" s="2552"/>
      <c r="W119" s="2552"/>
      <c r="X119" s="2552"/>
      <c r="Y119" s="2552"/>
      <c r="Z119" s="2552"/>
      <c r="AA119" s="2552"/>
      <c r="AB119" s="2552"/>
      <c r="AC119" s="2550"/>
      <c r="AD119" s="2879"/>
      <c r="AE119" s="2550"/>
      <c r="AF119" s="2879"/>
      <c r="AG119" s="2879"/>
      <c r="AH119" s="2550"/>
      <c r="AI119" s="2552"/>
      <c r="AJ119" s="2550"/>
      <c r="AK119" s="2552"/>
      <c r="AL119" s="2550">
        <v>7295</v>
      </c>
      <c r="AM119" s="2552"/>
      <c r="AN119" s="2552"/>
      <c r="AO119" s="2552"/>
      <c r="AP119" s="2552"/>
      <c r="AQ119" s="2552"/>
      <c r="AR119" s="2552"/>
      <c r="AS119" s="2552"/>
      <c r="AT119" s="2552"/>
      <c r="AU119" s="2552"/>
      <c r="AV119" s="2550"/>
      <c r="AW119" s="2552"/>
      <c r="AX119" s="2552"/>
      <c r="AY119" s="2552"/>
      <c r="AZ119" s="2552"/>
      <c r="BA119" s="2552"/>
      <c r="BB119" s="2552"/>
      <c r="BC119" s="2552"/>
      <c r="BD119" s="2552"/>
      <c r="BE119" s="2552"/>
      <c r="BF119" s="2552"/>
      <c r="BG119" s="2552"/>
      <c r="BH119" s="3960"/>
      <c r="BI119" s="3960"/>
      <c r="BJ119" s="2550">
        <v>7295</v>
      </c>
      <c r="BK119" s="2552"/>
      <c r="BL119" s="2552"/>
      <c r="BM119" s="2552"/>
      <c r="BN119" s="2552"/>
      <c r="BO119" s="2552"/>
      <c r="BP119" s="2550"/>
      <c r="BQ119" s="2552"/>
      <c r="BR119" s="2552"/>
      <c r="BS119" s="2552"/>
      <c r="BT119" s="2552"/>
      <c r="BU119" s="2552"/>
      <c r="BV119" s="2552"/>
      <c r="BW119" s="2552"/>
      <c r="BX119" s="2552"/>
      <c r="BY119" s="2552"/>
      <c r="BZ119" s="2552"/>
      <c r="CA119" s="2552"/>
      <c r="CB119" s="2550"/>
      <c r="CC119" s="2552"/>
      <c r="CD119" s="2552"/>
      <c r="CE119" s="2552"/>
      <c r="CF119" s="2550"/>
      <c r="CG119" s="2552"/>
      <c r="CH119" s="2550"/>
      <c r="CI119" s="2552"/>
      <c r="CJ119" s="2552"/>
      <c r="CK119" s="2552"/>
      <c r="CL119" s="2550">
        <v>7295</v>
      </c>
      <c r="CM119" s="2552"/>
      <c r="CN119" s="2552"/>
      <c r="CO119" s="2552"/>
      <c r="CP119" s="2552"/>
      <c r="CQ119" s="2552"/>
      <c r="CR119" s="2550">
        <v>7295</v>
      </c>
      <c r="CS119" s="2550">
        <v>7295</v>
      </c>
      <c r="CT119" s="2552"/>
      <c r="CU119" s="2550">
        <v>5692</v>
      </c>
      <c r="CV119" s="2550">
        <v>5692</v>
      </c>
      <c r="CW119" s="2552"/>
      <c r="CX119" s="2552"/>
      <c r="CY119" s="2552"/>
      <c r="CZ119" s="2552"/>
      <c r="DA119" s="2552"/>
      <c r="DB119" s="2552"/>
      <c r="DC119" s="2550">
        <v>5692</v>
      </c>
      <c r="DD119" s="2552"/>
      <c r="DE119" s="2552"/>
      <c r="DF119" s="2552"/>
      <c r="DG119" s="2552"/>
      <c r="DH119" s="2552"/>
      <c r="DI119" s="2552"/>
      <c r="DJ119" s="2550">
        <v>5692</v>
      </c>
      <c r="DK119" s="2552"/>
      <c r="DL119" s="2552"/>
      <c r="DM119" s="2552"/>
      <c r="DN119" s="2552"/>
      <c r="DO119" s="2550"/>
      <c r="DP119" s="2552"/>
      <c r="DQ119" s="2552"/>
      <c r="DR119" s="2552"/>
      <c r="DS119" s="2552"/>
      <c r="DT119" s="2552"/>
      <c r="DU119" s="2552"/>
      <c r="DV119" s="2552"/>
      <c r="DW119" s="2552"/>
      <c r="DX119" s="2552"/>
      <c r="DY119" s="2552"/>
      <c r="DZ119" s="2552"/>
      <c r="EA119" s="2552"/>
      <c r="EB119" s="2552"/>
      <c r="EC119" s="2552"/>
      <c r="ED119" s="2552"/>
      <c r="EE119" s="2552"/>
      <c r="EF119" s="2550"/>
      <c r="EG119" s="2550"/>
      <c r="EH119" s="2552"/>
      <c r="EI119" s="2550"/>
      <c r="EJ119" s="2552"/>
      <c r="EK119" s="2552"/>
      <c r="EL119" s="2552"/>
      <c r="EM119" s="2550">
        <v>7295</v>
      </c>
      <c r="EN119" s="2552"/>
      <c r="EO119" s="2552"/>
      <c r="EP119" s="2552"/>
      <c r="EQ119" s="2552"/>
      <c r="ER119" s="2552"/>
      <c r="ES119" s="2552"/>
      <c r="ET119" s="2552"/>
      <c r="EU119" s="2552"/>
      <c r="EV119" s="2552"/>
      <c r="EW119" s="2552"/>
      <c r="EX119" s="2552"/>
      <c r="EY119" s="2550">
        <v>7295</v>
      </c>
      <c r="EZ119" s="2552"/>
      <c r="FA119" s="2552"/>
      <c r="FB119" s="2552"/>
      <c r="FC119" s="2552"/>
      <c r="FD119" s="2552"/>
      <c r="FE119" s="2552"/>
      <c r="FF119" s="2550"/>
      <c r="FG119" s="2552"/>
      <c r="FH119" s="2550">
        <v>5692</v>
      </c>
      <c r="FI119" s="2552"/>
      <c r="FJ119" s="2552"/>
      <c r="FK119" s="2552"/>
      <c r="FL119" s="2552"/>
      <c r="FM119" s="2552"/>
      <c r="FN119" s="2552"/>
      <c r="FO119" s="2552"/>
      <c r="FP119" s="2552"/>
      <c r="FQ119" s="2552"/>
      <c r="FR119" s="2552"/>
      <c r="FS119" s="2552"/>
      <c r="FT119" s="2552"/>
      <c r="FU119" s="2552"/>
      <c r="FV119" s="2552"/>
      <c r="FW119" s="2552"/>
      <c r="FX119" s="2552"/>
      <c r="FY119" s="2552"/>
      <c r="FZ119" s="2552"/>
      <c r="GA119" s="2552"/>
      <c r="GB119" s="2552"/>
      <c r="GC119" s="2552"/>
      <c r="GD119" s="2552"/>
      <c r="GE119" s="2552"/>
      <c r="GF119" s="2552"/>
      <c r="GG119" s="2552"/>
      <c r="GH119" s="2552"/>
      <c r="GI119" s="2552"/>
      <c r="GJ119" s="2550"/>
      <c r="GK119" s="2552"/>
      <c r="GL119" s="2552"/>
      <c r="GM119" s="2552"/>
      <c r="GN119" s="2552"/>
      <c r="GO119" s="2552"/>
      <c r="GP119" s="2552"/>
      <c r="GQ119" s="2552"/>
      <c r="GR119" s="2552"/>
      <c r="GS119" s="2552"/>
      <c r="GT119" s="2552"/>
      <c r="GU119" s="2552"/>
      <c r="GV119" s="2552"/>
      <c r="GW119" s="2552"/>
      <c r="GX119" s="2550"/>
      <c r="GY119" s="2552"/>
      <c r="GZ119" s="2552"/>
      <c r="HA119" s="2552"/>
      <c r="HB119" s="2550"/>
      <c r="HC119" s="2550">
        <v>5692</v>
      </c>
      <c r="HD119" s="2552"/>
      <c r="HE119" s="2552"/>
      <c r="HF119" s="2552"/>
      <c r="HG119" s="2552"/>
      <c r="HH119" s="2552"/>
      <c r="HI119" s="2552"/>
      <c r="HJ119" s="2552"/>
      <c r="HK119" s="2552"/>
      <c r="HL119" s="2552"/>
      <c r="HM119" s="2552"/>
      <c r="HN119" s="2552"/>
      <c r="HO119" s="2550"/>
      <c r="HP119" s="2552"/>
      <c r="HQ119" s="2552"/>
      <c r="HR119" s="2552"/>
      <c r="HS119" s="2552"/>
      <c r="HT119" s="2552"/>
      <c r="HU119" s="2552"/>
      <c r="HV119" s="2552"/>
      <c r="HW119" s="2552"/>
      <c r="HX119" s="2552"/>
      <c r="HY119" s="2552"/>
      <c r="HZ119" s="2552"/>
      <c r="IA119" s="2552"/>
      <c r="IB119" s="2552"/>
      <c r="IC119" s="2552"/>
      <c r="ID119" s="2552"/>
      <c r="IE119" s="2552"/>
      <c r="IF119" s="2552"/>
      <c r="IG119" s="2552"/>
      <c r="IH119" s="2552"/>
      <c r="II119" s="2552"/>
      <c r="IJ119" s="2552"/>
      <c r="IK119" s="2552"/>
      <c r="IL119" s="2552"/>
      <c r="IM119" s="2552"/>
      <c r="IN119" s="2552"/>
      <c r="IO119" s="2552"/>
      <c r="IP119" s="2552"/>
      <c r="IQ119" s="2552"/>
      <c r="IR119" s="2552"/>
      <c r="IS119" s="2552"/>
      <c r="IT119" s="2552"/>
      <c r="IU119" s="2552"/>
      <c r="IV119" s="2552"/>
      <c r="IW119" s="2552"/>
      <c r="IX119" s="2552"/>
      <c r="IY119" s="2552"/>
      <c r="IZ119" s="2552"/>
      <c r="JA119" s="2552"/>
      <c r="JB119" s="2552"/>
      <c r="JC119" s="2552"/>
      <c r="JD119" s="2552"/>
      <c r="JE119" s="2552"/>
      <c r="JF119" s="2552"/>
      <c r="JG119" s="2553"/>
      <c r="JH119" s="1233"/>
      <c r="JI119" s="4280" t="s">
        <v>5482</v>
      </c>
      <c r="JJ119" s="2248" t="s">
        <v>6108</v>
      </c>
    </row>
    <row r="120" spans="1:270" x14ac:dyDescent="0.2">
      <c r="A120" s="1128">
        <v>77</v>
      </c>
      <c r="B120" s="1347">
        <f si="4" t="shared"/>
        <v>300</v>
      </c>
      <c r="C120" s="1278" t="s">
        <v>3277</v>
      </c>
      <c r="D120" s="1350" t="s">
        <v>5467</v>
      </c>
      <c r="E120" s="2546"/>
      <c r="F120" s="2546"/>
      <c r="G120" s="2546">
        <v>300</v>
      </c>
      <c r="H120" s="2546"/>
      <c r="I120" s="2546">
        <v>300</v>
      </c>
      <c r="J120" s="2545"/>
      <c r="K120" s="2546"/>
      <c r="L120" s="2546">
        <v>300</v>
      </c>
      <c r="M120" s="2546"/>
      <c r="N120" s="2546"/>
      <c r="O120" s="2547"/>
      <c r="P120" s="2547"/>
      <c r="Q120" s="2546">
        <v>300</v>
      </c>
      <c r="R120" s="2547"/>
      <c r="S120" s="2546">
        <v>300</v>
      </c>
      <c r="T120" s="2548"/>
      <c r="U120" s="2548"/>
      <c r="V120" s="2548"/>
      <c r="W120" s="2548"/>
      <c r="X120" s="2548"/>
      <c r="Y120" s="2548"/>
      <c r="Z120" s="2548"/>
      <c r="AA120" s="2548"/>
      <c r="AB120" s="2548"/>
      <c r="AC120" s="2546">
        <v>300</v>
      </c>
      <c r="AD120" s="3529"/>
      <c r="AE120" s="2546"/>
      <c r="AF120" s="3529"/>
      <c r="AG120" s="3529"/>
      <c r="AH120" s="2546"/>
      <c r="AI120" s="2548"/>
      <c r="AJ120" s="2546"/>
      <c r="AK120" s="2548"/>
      <c r="AL120" s="2546"/>
      <c r="AM120" s="2548"/>
      <c r="AN120" s="2548"/>
      <c r="AO120" s="2548"/>
      <c r="AP120" s="2548"/>
      <c r="AQ120" s="2548"/>
      <c r="AR120" s="2548"/>
      <c r="AS120" s="2548"/>
      <c r="AT120" s="2548"/>
      <c r="AU120" s="2548"/>
      <c r="AV120" s="2546"/>
      <c r="AW120" s="2548"/>
      <c r="AX120" s="2548"/>
      <c r="AY120" s="2548"/>
      <c r="AZ120" s="2548"/>
      <c r="BA120" s="2548"/>
      <c r="BB120" s="2548"/>
      <c r="BC120" s="2548"/>
      <c r="BD120" s="2548"/>
      <c r="BE120" s="2548"/>
      <c r="BF120" s="2548"/>
      <c r="BG120" s="2548"/>
      <c r="BH120" s="3959"/>
      <c r="BI120" s="3959"/>
      <c r="BJ120" s="2546"/>
      <c r="BK120" s="2548"/>
      <c r="BL120" s="2548"/>
      <c r="BM120" s="2548"/>
      <c r="BN120" s="2548"/>
      <c r="BO120" s="2548"/>
      <c r="BP120" s="2546">
        <v>300</v>
      </c>
      <c r="BQ120" s="2548"/>
      <c r="BR120" s="2548"/>
      <c r="BS120" s="2548"/>
      <c r="BT120" s="2548"/>
      <c r="BU120" s="2548"/>
      <c r="BV120" s="2548"/>
      <c r="BW120" s="2548"/>
      <c r="BX120" s="2548"/>
      <c r="BY120" s="2548"/>
      <c r="BZ120" s="2548"/>
      <c r="CA120" s="2548"/>
      <c r="CB120" s="2546"/>
      <c r="CC120" s="2548"/>
      <c r="CD120" s="2548"/>
      <c r="CE120" s="2548"/>
      <c r="CF120" s="2546"/>
      <c r="CG120" s="2548"/>
      <c r="CH120" s="2546">
        <v>300</v>
      </c>
      <c r="CI120" s="2548"/>
      <c r="CJ120" s="2548"/>
      <c r="CK120" s="2548"/>
      <c r="CL120" s="2546"/>
      <c r="CM120" s="2548"/>
      <c r="CN120" s="2548"/>
      <c r="CO120" s="2548"/>
      <c r="CP120" s="2548"/>
      <c r="CQ120" s="2548"/>
      <c r="CR120" s="2546"/>
      <c r="CS120" s="2546"/>
      <c r="CT120" s="2548"/>
      <c r="CU120" s="2546"/>
      <c r="CV120" s="2546"/>
      <c r="CW120" s="2548"/>
      <c r="CX120" s="2548"/>
      <c r="CY120" s="2548"/>
      <c r="CZ120" s="2548"/>
      <c r="DA120" s="2548"/>
      <c r="DB120" s="2548"/>
      <c r="DC120" s="2546"/>
      <c r="DD120" s="2548"/>
      <c r="DE120" s="2548"/>
      <c r="DF120" s="2548"/>
      <c r="DG120" s="2548"/>
      <c r="DH120" s="2548"/>
      <c r="DI120" s="2548"/>
      <c r="DJ120" s="2546"/>
      <c r="DK120" s="2548"/>
      <c r="DL120" s="2548"/>
      <c r="DM120" s="2548"/>
      <c r="DN120" s="2548"/>
      <c r="DO120" s="2546"/>
      <c r="DP120" s="2548"/>
      <c r="DQ120" s="2548"/>
      <c r="DR120" s="2548"/>
      <c r="DS120" s="2548"/>
      <c r="DT120" s="2548"/>
      <c r="DU120" s="2548"/>
      <c r="DV120" s="2548"/>
      <c r="DW120" s="2548"/>
      <c r="DX120" s="2548"/>
      <c r="DY120" s="2548"/>
      <c r="DZ120" s="2548"/>
      <c r="EA120" s="2548"/>
      <c r="EB120" s="2548"/>
      <c r="EC120" s="2548"/>
      <c r="ED120" s="2548"/>
      <c r="EE120" s="2548"/>
      <c r="EF120" s="2546"/>
      <c r="EG120" s="2546"/>
      <c r="EH120" s="2548"/>
      <c r="EI120" s="2546"/>
      <c r="EJ120" s="2548"/>
      <c r="EK120" s="2548"/>
      <c r="EL120" s="2548"/>
      <c r="EM120" s="2546"/>
      <c r="EN120" s="2548"/>
      <c r="EO120" s="2548"/>
      <c r="EP120" s="2548"/>
      <c r="EQ120" s="2548"/>
      <c r="ER120" s="2548"/>
      <c r="ES120" s="2548"/>
      <c r="ET120" s="2548"/>
      <c r="EU120" s="2548"/>
      <c r="EV120" s="2548"/>
      <c r="EW120" s="2548"/>
      <c r="EX120" s="2548"/>
      <c r="EY120" s="2546"/>
      <c r="EZ120" s="2548"/>
      <c r="FA120" s="2548"/>
      <c r="FB120" s="2548"/>
      <c r="FC120" s="2548"/>
      <c r="FD120" s="2548"/>
      <c r="FE120" s="2548"/>
      <c r="FF120" s="2546"/>
      <c r="FG120" s="2548"/>
      <c r="FH120" s="2546"/>
      <c r="FI120" s="2548"/>
      <c r="FJ120" s="2548"/>
      <c r="FK120" s="2548"/>
      <c r="FL120" s="2548"/>
      <c r="FM120" s="2548"/>
      <c r="FN120" s="2548"/>
      <c r="FO120" s="2548"/>
      <c r="FP120" s="2548"/>
      <c r="FQ120" s="2548"/>
      <c r="FR120" s="2548"/>
      <c r="FS120" s="2548"/>
      <c r="FT120" s="2548"/>
      <c r="FU120" s="2548"/>
      <c r="FV120" s="2548"/>
      <c r="FW120" s="2548"/>
      <c r="FX120" s="2548"/>
      <c r="FY120" s="2548"/>
      <c r="FZ120" s="2548"/>
      <c r="GA120" s="2548"/>
      <c r="GB120" s="2548"/>
      <c r="GC120" s="2548"/>
      <c r="GD120" s="2548"/>
      <c r="GE120" s="2548"/>
      <c r="GF120" s="2548"/>
      <c r="GG120" s="2548"/>
      <c r="GH120" s="2548"/>
      <c r="GI120" s="2548"/>
      <c r="GJ120" s="2546"/>
      <c r="GK120" s="2548"/>
      <c r="GL120" s="2548"/>
      <c r="GM120" s="2548"/>
      <c r="GN120" s="2548"/>
      <c r="GO120" s="2548"/>
      <c r="GP120" s="2548"/>
      <c r="GQ120" s="2548"/>
      <c r="GR120" s="2548"/>
      <c r="GS120" s="2548"/>
      <c r="GT120" s="2548"/>
      <c r="GU120" s="2548"/>
      <c r="GV120" s="2548"/>
      <c r="GW120" s="2548"/>
      <c r="GX120" s="2546"/>
      <c r="GY120" s="2548"/>
      <c r="GZ120" s="2548"/>
      <c r="HA120" s="2548"/>
      <c r="HB120" s="2546"/>
      <c r="HC120" s="2546"/>
      <c r="HD120" s="2548"/>
      <c r="HE120" s="2548"/>
      <c r="HF120" s="2548"/>
      <c r="HG120" s="2548"/>
      <c r="HH120" s="2548"/>
      <c r="HI120" s="2548"/>
      <c r="HJ120" s="2548"/>
      <c r="HK120" s="2548"/>
      <c r="HL120" s="2548"/>
      <c r="HM120" s="2548"/>
      <c r="HN120" s="2548"/>
      <c r="HO120" s="2546">
        <v>300</v>
      </c>
      <c r="HP120" s="2548"/>
      <c r="HQ120" s="2548"/>
      <c r="HR120" s="2548"/>
      <c r="HS120" s="2548"/>
      <c r="HT120" s="2548"/>
      <c r="HU120" s="2548"/>
      <c r="HV120" s="2548"/>
      <c r="HW120" s="2548"/>
      <c r="HX120" s="2548"/>
      <c r="HY120" s="2548"/>
      <c r="HZ120" s="2548"/>
      <c r="IA120" s="2548"/>
      <c r="IB120" s="2548"/>
      <c r="IC120" s="2548"/>
      <c r="ID120" s="2548"/>
      <c r="IE120" s="2548"/>
      <c r="IF120" s="2548"/>
      <c r="IG120" s="2548"/>
      <c r="IH120" s="2548"/>
      <c r="II120" s="2548"/>
      <c r="IJ120" s="2548"/>
      <c r="IK120" s="2548"/>
      <c r="IL120" s="2548"/>
      <c r="IM120" s="2548"/>
      <c r="IN120" s="2548"/>
      <c r="IO120" s="2548"/>
      <c r="IP120" s="2548"/>
      <c r="IQ120" s="2548"/>
      <c r="IR120" s="2548"/>
      <c r="IS120" s="2548"/>
      <c r="IT120" s="2548"/>
      <c r="IU120" s="2548"/>
      <c r="IV120" s="2548"/>
      <c r="IW120" s="2548"/>
      <c r="IX120" s="2548"/>
      <c r="IY120" s="2548"/>
      <c r="IZ120" s="2548"/>
      <c r="JA120" s="2548"/>
      <c r="JB120" s="2548"/>
      <c r="JC120" s="2548"/>
      <c r="JD120" s="2548"/>
      <c r="JE120" s="2548"/>
      <c r="JF120" s="2548"/>
      <c r="JG120" s="2549"/>
      <c r="JH120" s="1233"/>
      <c r="JI120" s="2248"/>
      <c r="JJ120" s="2248" t="s">
        <v>8863</v>
      </c>
    </row>
    <row r="121" spans="1:270" x14ac:dyDescent="0.2">
      <c r="A121" s="1128">
        <v>78</v>
      </c>
      <c r="B121" s="1347" t="str">
        <f>IF(SE_B_IND&gt;1,IF(HLOOKUP(SE_B_IND-1,FSE_RANGE,A121)="","",HLOOKUP(SE_B_IND-1,FSE_RANGE,A121)),"")</f>
        <v/>
      </c>
      <c r="C121" s="1278" t="s">
        <v>7290</v>
      </c>
      <c r="D121" s="1350" t="s">
        <v>7292</v>
      </c>
      <c r="E121" s="2546"/>
      <c r="F121" s="2546"/>
      <c r="G121" s="2546"/>
      <c r="H121" s="2546"/>
      <c r="I121" s="2546"/>
      <c r="J121" s="2545"/>
      <c r="K121" s="2546"/>
      <c r="L121" s="2546"/>
      <c r="M121" s="2546"/>
      <c r="N121" s="2546"/>
      <c r="O121" s="2547"/>
      <c r="P121" s="2547"/>
      <c r="Q121" s="2546"/>
      <c r="R121" s="2547"/>
      <c r="S121" s="2546"/>
      <c r="T121" s="2548"/>
      <c r="U121" s="2548"/>
      <c r="V121" s="2548"/>
      <c r="W121" s="2548"/>
      <c r="X121" s="2548"/>
      <c r="Y121" s="2548"/>
      <c r="Z121" s="2548"/>
      <c r="AA121" s="2548"/>
      <c r="AB121" s="2548"/>
      <c r="AC121" s="2546"/>
      <c r="AD121" s="3529"/>
      <c r="AE121" s="2546"/>
      <c r="AF121" s="3529"/>
      <c r="AG121" s="3529"/>
      <c r="AH121" s="2546"/>
      <c r="AI121" s="2548"/>
      <c r="AJ121" s="2546"/>
      <c r="AK121" s="2548"/>
      <c r="AL121" s="2546"/>
      <c r="AM121" s="2548"/>
      <c r="AN121" s="2548"/>
      <c r="AO121" s="2548"/>
      <c r="AP121" s="2548"/>
      <c r="AQ121" s="2548"/>
      <c r="AR121" s="2548"/>
      <c r="AS121" s="2548"/>
      <c r="AT121" s="2548"/>
      <c r="AU121" s="2548"/>
      <c r="AV121" s="2546"/>
      <c r="AW121" s="2548"/>
      <c r="AX121" s="2548"/>
      <c r="AY121" s="2548"/>
      <c r="AZ121" s="2548"/>
      <c r="BA121" s="2548"/>
      <c r="BB121" s="2548"/>
      <c r="BC121" s="2548"/>
      <c r="BD121" s="2548"/>
      <c r="BE121" s="2548"/>
      <c r="BF121" s="2548"/>
      <c r="BG121" s="2548"/>
      <c r="BH121" s="3959"/>
      <c r="BI121" s="3959"/>
      <c r="BJ121" s="2546"/>
      <c r="BK121" s="2548"/>
      <c r="BL121" s="2548"/>
      <c r="BM121" s="2548"/>
      <c r="BN121" s="2548"/>
      <c r="BO121" s="2548"/>
      <c r="BP121" s="2546"/>
      <c r="BQ121" s="2548"/>
      <c r="BR121" s="2548"/>
      <c r="BS121" s="2548"/>
      <c r="BT121" s="2548"/>
      <c r="BU121" s="2548"/>
      <c r="BV121" s="2548"/>
      <c r="BW121" s="2548"/>
      <c r="BX121" s="2548"/>
      <c r="BY121" s="2548"/>
      <c r="BZ121" s="2548"/>
      <c r="CA121" s="2548"/>
      <c r="CB121" s="2546"/>
      <c r="CC121" s="2548"/>
      <c r="CD121" s="2548"/>
      <c r="CE121" s="2548"/>
      <c r="CF121" s="2546"/>
      <c r="CG121" s="2548"/>
      <c r="CH121" s="2546"/>
      <c r="CI121" s="2548"/>
      <c r="CJ121" s="2548"/>
      <c r="CK121" s="2548"/>
      <c r="CL121" s="2546"/>
      <c r="CM121" s="2548"/>
      <c r="CN121" s="2548"/>
      <c r="CO121" s="2548"/>
      <c r="CP121" s="2548"/>
      <c r="CQ121" s="2548"/>
      <c r="CR121" s="2546"/>
      <c r="CS121" s="2546"/>
      <c r="CT121" s="2548"/>
      <c r="CU121" s="2546"/>
      <c r="CV121" s="2546"/>
      <c r="CW121" s="2548"/>
      <c r="CX121" s="2548"/>
      <c r="CY121" s="2548"/>
      <c r="CZ121" s="2548"/>
      <c r="DA121" s="2548"/>
      <c r="DB121" s="2548"/>
      <c r="DC121" s="2546"/>
      <c r="DD121" s="2548"/>
      <c r="DE121" s="2548"/>
      <c r="DF121" s="2548"/>
      <c r="DG121" s="2548"/>
      <c r="DH121" s="2548"/>
      <c r="DI121" s="2548"/>
      <c r="DJ121" s="2546"/>
      <c r="DK121" s="2548"/>
      <c r="DL121" s="2548"/>
      <c r="DM121" s="2548"/>
      <c r="DN121" s="2548"/>
      <c r="DO121" s="2546"/>
      <c r="DP121" s="2548"/>
      <c r="DQ121" s="2548"/>
      <c r="DR121" s="2548"/>
      <c r="DS121" s="2548"/>
      <c r="DT121" s="2548"/>
      <c r="DU121" s="2548"/>
      <c r="DV121" s="2548"/>
      <c r="DW121" s="2548"/>
      <c r="DX121" s="2548"/>
      <c r="DY121" s="2548"/>
      <c r="DZ121" s="2548"/>
      <c r="EA121" s="2548"/>
      <c r="EB121" s="2548"/>
      <c r="EC121" s="2548"/>
      <c r="ED121" s="2548"/>
      <c r="EE121" s="2548"/>
      <c r="EF121" s="2546"/>
      <c r="EG121" s="2546"/>
      <c r="EH121" s="2548"/>
      <c r="EI121" s="2546"/>
      <c r="EJ121" s="2548"/>
      <c r="EK121" s="2548"/>
      <c r="EL121" s="2548"/>
      <c r="EM121" s="2546"/>
      <c r="EN121" s="2548"/>
      <c r="EO121" s="2548"/>
      <c r="EP121" s="2548"/>
      <c r="EQ121" s="2548"/>
      <c r="ER121" s="2548"/>
      <c r="ES121" s="2548"/>
      <c r="ET121" s="2548"/>
      <c r="EU121" s="2548"/>
      <c r="EV121" s="2548"/>
      <c r="EW121" s="2548"/>
      <c r="EX121" s="2548"/>
      <c r="EY121" s="2546"/>
      <c r="EZ121" s="2548"/>
      <c r="FA121" s="2548"/>
      <c r="FB121" s="2548"/>
      <c r="FC121" s="2548"/>
      <c r="FD121" s="2548"/>
      <c r="FE121" s="2548"/>
      <c r="FF121" s="2546"/>
      <c r="FG121" s="2548"/>
      <c r="FH121" s="2546"/>
      <c r="FI121" s="2548"/>
      <c r="FJ121" s="2548"/>
      <c r="FK121" s="2548"/>
      <c r="FL121" s="2548"/>
      <c r="FM121" s="2548"/>
      <c r="FN121" s="2548"/>
      <c r="FO121" s="2548"/>
      <c r="FP121" s="2548"/>
      <c r="FQ121" s="2548"/>
      <c r="FR121" s="2548"/>
      <c r="FS121" s="2548"/>
      <c r="FT121" s="2548"/>
      <c r="FU121" s="2548"/>
      <c r="FV121" s="2548"/>
      <c r="FW121" s="2548"/>
      <c r="FX121" s="2548"/>
      <c r="FY121" s="2548"/>
      <c r="FZ121" s="2548"/>
      <c r="GA121" s="2548"/>
      <c r="GB121" s="2548"/>
      <c r="GC121" s="2548"/>
      <c r="GD121" s="2548"/>
      <c r="GE121" s="2548"/>
      <c r="GF121" s="2548"/>
      <c r="GG121" s="2548"/>
      <c r="GH121" s="2548"/>
      <c r="GI121" s="2548"/>
      <c r="GJ121" s="2546"/>
      <c r="GK121" s="2548"/>
      <c r="GL121" s="2548"/>
      <c r="GM121" s="2548"/>
      <c r="GN121" s="2548"/>
      <c r="GO121" s="2548"/>
      <c r="GP121" s="2548"/>
      <c r="GQ121" s="2548"/>
      <c r="GR121" s="2548"/>
      <c r="GS121" s="2548"/>
      <c r="GT121" s="2548"/>
      <c r="GU121" s="2548"/>
      <c r="GV121" s="2548"/>
      <c r="GW121" s="2548"/>
      <c r="GX121" s="2546"/>
      <c r="GY121" s="2548"/>
      <c r="GZ121" s="2548"/>
      <c r="HA121" s="2548"/>
      <c r="HB121" s="2546"/>
      <c r="HC121" s="2546"/>
      <c r="HD121" s="2548"/>
      <c r="HE121" s="2548"/>
      <c r="HF121" s="2548"/>
      <c r="HG121" s="2548"/>
      <c r="HH121" s="2548"/>
      <c r="HI121" s="2548"/>
      <c r="HJ121" s="2548"/>
      <c r="HK121" s="2548"/>
      <c r="HL121" s="2548"/>
      <c r="HM121" s="2548"/>
      <c r="HN121" s="2548"/>
      <c r="HO121" s="2546"/>
      <c r="HP121" s="2548"/>
      <c r="HQ121" s="2548"/>
      <c r="HR121" s="2548"/>
      <c r="HS121" s="2548"/>
      <c r="HT121" s="2548"/>
      <c r="HU121" s="2548"/>
      <c r="HV121" s="2548"/>
      <c r="HW121" s="2548"/>
      <c r="HX121" s="2548"/>
      <c r="HY121" s="2548"/>
      <c r="HZ121" s="2548"/>
      <c r="IA121" s="2548"/>
      <c r="IB121" s="2548"/>
      <c r="IC121" s="2548"/>
      <c r="ID121" s="2548"/>
      <c r="IE121" s="2548"/>
      <c r="IF121" s="2548"/>
      <c r="IG121" s="2548"/>
      <c r="IH121" s="2548"/>
      <c r="II121" s="2548"/>
      <c r="IJ121" s="2548"/>
      <c r="IK121" s="2548"/>
      <c r="IL121" s="2548"/>
      <c r="IM121" s="2548"/>
      <c r="IN121" s="2548"/>
      <c r="IO121" s="2548"/>
      <c r="IP121" s="2548"/>
      <c r="IQ121" s="2548"/>
      <c r="IR121" s="2548"/>
      <c r="IS121" s="2548"/>
      <c r="IT121" s="2548"/>
      <c r="IU121" s="2548"/>
      <c r="IV121" s="2548"/>
      <c r="IW121" s="2548"/>
      <c r="IX121" s="2548"/>
      <c r="IY121" s="2548"/>
      <c r="IZ121" s="2548"/>
      <c r="JA121" s="2548"/>
      <c r="JB121" s="2548"/>
      <c r="JC121" s="2548"/>
      <c r="JD121" s="2548"/>
      <c r="JE121" s="2548"/>
      <c r="JF121" s="2548"/>
      <c r="JG121" s="2549"/>
      <c r="JH121" s="1233"/>
      <c r="JI121" s="4285"/>
      <c r="JJ121" s="2248" t="s">
        <v>6108</v>
      </c>
    </row>
    <row ht="22.5" r="122" spans="1:270" x14ac:dyDescent="0.2">
      <c r="A122" s="1128">
        <v>79</v>
      </c>
      <c r="B122" s="1347">
        <f si="4" t="shared"/>
        <v>14190</v>
      </c>
      <c r="C122" s="1278" t="s">
        <v>3278</v>
      </c>
      <c r="D122" s="1350" t="s">
        <v>5468</v>
      </c>
      <c r="E122" s="2558"/>
      <c r="F122" s="2558"/>
      <c r="G122" s="2558">
        <f>MAX(0,G118+G120-G119)</f>
        <v>14190</v>
      </c>
      <c r="H122" s="2558"/>
      <c r="I122" s="2558">
        <f>MAX(0,I118+I120-I119)</f>
        <v>14190</v>
      </c>
      <c r="J122" s="2563"/>
      <c r="K122" s="2558"/>
      <c r="L122" s="2558">
        <f>MAX(0,L118+L120-L119)</f>
        <v>14190</v>
      </c>
      <c r="M122" s="2558"/>
      <c r="N122" s="2558"/>
      <c r="O122" s="2559"/>
      <c r="P122" s="2559"/>
      <c r="Q122" s="2558">
        <f>MAX(0,Q118+Q120-Q119)</f>
        <v>14190</v>
      </c>
      <c r="R122" s="2559"/>
      <c r="S122" s="2558">
        <f>MAX(0,S118+S120-S119)</f>
        <v>14190</v>
      </c>
      <c r="T122" s="2560"/>
      <c r="U122" s="2560"/>
      <c r="V122" s="2560"/>
      <c r="W122" s="2560"/>
      <c r="X122" s="2560"/>
      <c r="Y122" s="2560"/>
      <c r="Z122" s="2560"/>
      <c r="AA122" s="2560"/>
      <c r="AB122" s="2560"/>
      <c r="AC122" s="2558">
        <f>MAX(0,AC118+AC120-AC119)</f>
        <v>14190</v>
      </c>
      <c r="AD122" s="3531"/>
      <c r="AE122" s="3544">
        <f>MAX(0,AE118+AE120-AE119)</f>
        <v>21875</v>
      </c>
      <c r="AF122" s="3531"/>
      <c r="AG122" s="3531"/>
      <c r="AH122" s="3544">
        <f>MAX(0,AH118+AH120-AH119)</f>
        <v>17430</v>
      </c>
      <c r="AI122" s="2560"/>
      <c r="AJ122" s="2558">
        <f>MAX(0,AJ118+AJ120-AJ119)</f>
        <v>50949</v>
      </c>
      <c r="AK122" s="2560"/>
      <c r="AL122" s="2558">
        <f>MAX(0,AL118+AL120-AL119)</f>
        <v>97003</v>
      </c>
      <c r="AM122" s="2560"/>
      <c r="AN122" s="2560"/>
      <c r="AO122" s="2560"/>
      <c r="AP122" s="2560"/>
      <c r="AQ122" s="2560"/>
      <c r="AR122" s="2560"/>
      <c r="AS122" s="2560"/>
      <c r="AT122" s="2560"/>
      <c r="AU122" s="2560"/>
      <c r="AV122" s="2558">
        <f>MAX(0,AV118+AV120-AV119)</f>
        <v>0</v>
      </c>
      <c r="AW122" s="2560"/>
      <c r="AX122" s="2560"/>
      <c r="AY122" s="2560"/>
      <c r="AZ122" s="2560"/>
      <c r="BA122" s="2560"/>
      <c r="BB122" s="2560"/>
      <c r="BC122" s="2560"/>
      <c r="BD122" s="2560"/>
      <c r="BE122" s="2560"/>
      <c r="BF122" s="2560"/>
      <c r="BG122" s="2560"/>
      <c r="BH122" s="3962"/>
      <c r="BI122" s="3962"/>
      <c r="BJ122" s="2558">
        <f>MAX(0,BJ118+BJ120-BJ119)</f>
        <v>97003</v>
      </c>
      <c r="BK122" s="2560"/>
      <c r="BL122" s="2560"/>
      <c r="BM122" s="2560"/>
      <c r="BN122" s="2560"/>
      <c r="BO122" s="2560"/>
      <c r="BP122" s="2558">
        <f>MAX(0,BP118+BP120-BP119)</f>
        <v>14190</v>
      </c>
      <c r="BQ122" s="2560"/>
      <c r="BR122" s="2560"/>
      <c r="BS122" s="2560"/>
      <c r="BT122" s="2560"/>
      <c r="BU122" s="2560"/>
      <c r="BV122" s="2560"/>
      <c r="BW122" s="2560"/>
      <c r="BX122" s="2560"/>
      <c r="BY122" s="2560"/>
      <c r="BZ122" s="2560"/>
      <c r="CA122" s="2560"/>
      <c r="CB122" s="2558">
        <f>MAX(0,CB118+CB120-CB119)</f>
        <v>62749</v>
      </c>
      <c r="CC122" s="2560"/>
      <c r="CD122" s="2560"/>
      <c r="CE122" s="2560"/>
      <c r="CF122" s="2558">
        <f>MAX(0,CF118+CF120-CF119)</f>
        <v>50949</v>
      </c>
      <c r="CG122" s="2560"/>
      <c r="CH122" s="2558">
        <f>MAX(0,CH118+CH120-CH119)</f>
        <v>14190</v>
      </c>
      <c r="CI122" s="2560"/>
      <c r="CJ122" s="2560"/>
      <c r="CK122" s="2560"/>
      <c r="CL122" s="2558">
        <f>MAX(0,CL118+CL120-CL119)</f>
        <v>97003</v>
      </c>
      <c r="CM122" s="2560"/>
      <c r="CN122" s="2560"/>
      <c r="CO122" s="2560"/>
      <c r="CP122" s="2560"/>
      <c r="CQ122" s="2560"/>
      <c r="CR122" s="2558">
        <f>MAX(0,CR118+CR120-CR119)</f>
        <v>97003</v>
      </c>
      <c r="CS122" s="2558">
        <f>MAX(0,CS118+CS120-CS119)</f>
        <v>97003</v>
      </c>
      <c r="CT122" s="2560"/>
      <c r="CU122" s="2558">
        <f>MAX(0,CU118+CU120-CU119)</f>
        <v>148162</v>
      </c>
      <c r="CV122" s="2558">
        <f>MAX(0,CV118+CV120-CV119)</f>
        <v>148162</v>
      </c>
      <c r="CW122" s="2560"/>
      <c r="CX122" s="2560"/>
      <c r="CY122" s="2560"/>
      <c r="CZ122" s="2560"/>
      <c r="DA122" s="2560"/>
      <c r="DB122" s="2560"/>
      <c r="DC122" s="2558">
        <f>MAX(0,DC118+DC120-DC119)</f>
        <v>148162</v>
      </c>
      <c r="DD122" s="2560"/>
      <c r="DE122" s="2560"/>
      <c r="DF122" s="2560"/>
      <c r="DG122" s="2560"/>
      <c r="DH122" s="2560"/>
      <c r="DI122" s="2560"/>
      <c r="DJ122" s="2558">
        <f>MAX(0,DJ118+DJ120-DJ119)</f>
        <v>148162</v>
      </c>
      <c r="DK122" s="2560"/>
      <c r="DL122" s="2560"/>
      <c r="DM122" s="2560"/>
      <c r="DN122" s="2560"/>
      <c r="DO122" s="2558">
        <f>MAX(0,DO118+DO120-DO119)</f>
        <v>0</v>
      </c>
      <c r="DP122" s="2560"/>
      <c r="DQ122" s="2560"/>
      <c r="DR122" s="2560"/>
      <c r="DS122" s="2560"/>
      <c r="DT122" s="2560"/>
      <c r="DU122" s="2560"/>
      <c r="DV122" s="2560"/>
      <c r="DW122" s="2560"/>
      <c r="DX122" s="2560"/>
      <c r="DY122" s="2560"/>
      <c r="DZ122" s="2560"/>
      <c r="EA122" s="2560"/>
      <c r="EB122" s="2560"/>
      <c r="EC122" s="2560"/>
      <c r="ED122" s="2560"/>
      <c r="EE122" s="2560"/>
      <c r="EF122" s="2558">
        <f>MAX(0,EF118+EF120-EF119)</f>
        <v>14023</v>
      </c>
      <c r="EG122" s="2558">
        <f>MAX(0,EG118+EG120-EG119)</f>
        <v>0</v>
      </c>
      <c r="EH122" s="2560"/>
      <c r="EI122" s="2558">
        <f>MAX(0,EI118+EI120-EI119)</f>
        <v>54732</v>
      </c>
      <c r="EJ122" s="2560"/>
      <c r="EK122" s="2560"/>
      <c r="EL122" s="2560"/>
      <c r="EM122" s="2558">
        <f>MAX(0,EM118+EM120-EM119)</f>
        <v>97003</v>
      </c>
      <c r="EN122" s="2560"/>
      <c r="EO122" s="2560"/>
      <c r="EP122" s="2560"/>
      <c r="EQ122" s="2560"/>
      <c r="ER122" s="2560"/>
      <c r="ES122" s="2560"/>
      <c r="ET122" s="2560"/>
      <c r="EU122" s="2560"/>
      <c r="EV122" s="2560"/>
      <c r="EW122" s="2560"/>
      <c r="EX122" s="2560"/>
      <c r="EY122" s="2558">
        <f>MAX(0,EY118+EY120-EY119)</f>
        <v>97003</v>
      </c>
      <c r="EZ122" s="2560"/>
      <c r="FA122" s="2560"/>
      <c r="FB122" s="2560"/>
      <c r="FC122" s="2560"/>
      <c r="FD122" s="2560"/>
      <c r="FE122" s="2560"/>
      <c r="FF122" s="2558">
        <f>MAX(0,FF118+FF120-FF119)</f>
        <v>50949</v>
      </c>
      <c r="FG122" s="2560"/>
      <c r="FH122" s="2558">
        <f>MAX(0,FH118+FH120-FH119)</f>
        <v>148162</v>
      </c>
      <c r="FI122" s="2560"/>
      <c r="FJ122" s="2560"/>
      <c r="FK122" s="2560"/>
      <c r="FL122" s="2560"/>
      <c r="FM122" s="2560"/>
      <c r="FN122" s="2560"/>
      <c r="FO122" s="2560"/>
      <c r="FP122" s="2560"/>
      <c r="FQ122" s="2560"/>
      <c r="FR122" s="2560"/>
      <c r="FS122" s="2560"/>
      <c r="FT122" s="2560"/>
      <c r="FU122" s="2560"/>
      <c r="FV122" s="2560"/>
      <c r="FW122" s="2560"/>
      <c r="FX122" s="2560"/>
      <c r="FY122" s="2560"/>
      <c r="FZ122" s="2560"/>
      <c r="GA122" s="2560"/>
      <c r="GB122" s="2560"/>
      <c r="GC122" s="2560"/>
      <c r="GD122" s="2560"/>
      <c r="GE122" s="2560"/>
      <c r="GF122" s="2560"/>
      <c r="GG122" s="2560"/>
      <c r="GH122" s="2560"/>
      <c r="GI122" s="2560"/>
      <c r="GJ122" s="2558">
        <f>MAX(0,GJ118+GJ120-GJ119)</f>
        <v>54732</v>
      </c>
      <c r="GK122" s="2560"/>
      <c r="GL122" s="2560"/>
      <c r="GM122" s="2560"/>
      <c r="GN122" s="2560"/>
      <c r="GO122" s="2560"/>
      <c r="GP122" s="2560"/>
      <c r="GQ122" s="2560"/>
      <c r="GR122" s="2560"/>
      <c r="GS122" s="2560"/>
      <c r="GT122" s="2560"/>
      <c r="GU122" s="2560"/>
      <c r="GV122" s="2560"/>
      <c r="GW122" s="2560"/>
      <c r="GX122" s="2558">
        <f>MAX(0,GX118+GX120-GX119)</f>
        <v>0</v>
      </c>
      <c r="GY122" s="2560"/>
      <c r="GZ122" s="2560"/>
      <c r="HA122" s="2560"/>
      <c r="HB122" s="2558">
        <f>MAX(0,HB118+HB120-HB119)</f>
        <v>0</v>
      </c>
      <c r="HC122" s="2558">
        <f>MAX(0,HC118+HC120-HC119)</f>
        <v>148162</v>
      </c>
      <c r="HD122" s="2560"/>
      <c r="HE122" s="2560"/>
      <c r="HF122" s="2560"/>
      <c r="HG122" s="2560"/>
      <c r="HH122" s="2560"/>
      <c r="HI122" s="2560"/>
      <c r="HJ122" s="2560"/>
      <c r="HK122" s="2560"/>
      <c r="HL122" s="2560"/>
      <c r="HM122" s="2560"/>
      <c r="HN122" s="2560"/>
      <c r="HO122" s="2558">
        <f>MAX(0,HO118+HO120-HO119)</f>
        <v>14190</v>
      </c>
      <c r="HP122" s="2560"/>
      <c r="HQ122" s="2560"/>
      <c r="HR122" s="2560"/>
      <c r="HS122" s="2560"/>
      <c r="HT122" s="2560"/>
      <c r="HU122" s="2560"/>
      <c r="HV122" s="2560"/>
      <c r="HW122" s="2560"/>
      <c r="HX122" s="2560"/>
      <c r="HY122" s="2560"/>
      <c r="HZ122" s="2560"/>
      <c r="IA122" s="2560"/>
      <c r="IB122" s="2560"/>
      <c r="IC122" s="2560"/>
      <c r="ID122" s="2560"/>
      <c r="IE122" s="2560"/>
      <c r="IF122" s="2560"/>
      <c r="IG122" s="2560"/>
      <c r="IH122" s="2560"/>
      <c r="II122" s="2560"/>
      <c r="IJ122" s="2560"/>
      <c r="IK122" s="2560"/>
      <c r="IL122" s="2560"/>
      <c r="IM122" s="2560"/>
      <c r="IN122" s="2560"/>
      <c r="IO122" s="2560"/>
      <c r="IP122" s="2560"/>
      <c r="IQ122" s="2560"/>
      <c r="IR122" s="2560"/>
      <c r="IS122" s="2560"/>
      <c r="IT122" s="2560"/>
      <c r="IU122" s="2560"/>
      <c r="IV122" s="2560"/>
      <c r="IW122" s="2560"/>
      <c r="IX122" s="2560"/>
      <c r="IY122" s="2560"/>
      <c r="IZ122" s="2560"/>
      <c r="JA122" s="2560"/>
      <c r="JB122" s="2560"/>
      <c r="JC122" s="2560"/>
      <c r="JD122" s="2560"/>
      <c r="JE122" s="2560"/>
      <c r="JF122" s="2560"/>
      <c r="JG122" s="2561"/>
      <c r="JH122" s="1233"/>
      <c r="JI122" s="2248" t="s">
        <v>7291</v>
      </c>
      <c r="JJ122" s="2248"/>
    </row>
    <row ht="67.5" r="123" spans="1:270" x14ac:dyDescent="0.2">
      <c r="A123" s="1128">
        <v>80</v>
      </c>
      <c r="B123" s="1347" t="str">
        <f si="4" t="shared"/>
        <v/>
      </c>
      <c r="C123" s="1278" t="s">
        <v>3279</v>
      </c>
      <c r="D123" s="1350" t="str">
        <f>"Adjusted loss for "&amp;tax_year</f>
        <v>Adjusted loss for 2019-20</v>
      </c>
      <c r="E123" s="2562"/>
      <c r="F123" s="2562"/>
      <c r="G123" s="2562"/>
      <c r="H123" s="2554"/>
      <c r="I123" s="2562"/>
      <c r="J123" s="2562"/>
      <c r="K123" s="2562"/>
      <c r="L123" s="2562"/>
      <c r="M123" s="2554"/>
      <c r="N123" s="2554"/>
      <c r="O123" s="2555"/>
      <c r="P123" s="2555"/>
      <c r="Q123" s="2562"/>
      <c r="R123" s="2555"/>
      <c r="S123" s="2562"/>
      <c r="T123" s="2556"/>
      <c r="U123" s="2556"/>
      <c r="V123" s="2556"/>
      <c r="W123" s="2556"/>
      <c r="X123" s="2556"/>
      <c r="Y123" s="2556"/>
      <c r="Z123" s="2556"/>
      <c r="AA123" s="2556"/>
      <c r="AB123" s="2556"/>
      <c r="AC123" s="2562"/>
      <c r="AD123" s="3532"/>
      <c r="AE123" s="3532"/>
      <c r="AF123" s="3532"/>
      <c r="AG123" s="3532"/>
      <c r="AH123" s="3532"/>
      <c r="AI123" s="2556"/>
      <c r="AJ123" s="2562"/>
      <c r="AK123" s="2556"/>
      <c r="AL123" s="2562"/>
      <c r="AM123" s="2556"/>
      <c r="AN123" s="2556"/>
      <c r="AO123" s="2556"/>
      <c r="AP123" s="2556"/>
      <c r="AQ123" s="2556"/>
      <c r="AR123" s="2556"/>
      <c r="AS123" s="2556"/>
      <c r="AT123" s="2556"/>
      <c r="AU123" s="2556"/>
      <c r="AV123" s="2554">
        <f>MAX(0,(AV110+AV114)-(AV109+AV113+AV116))</f>
        <v>12390</v>
      </c>
      <c r="AW123" s="2556"/>
      <c r="AX123" s="2556"/>
      <c r="AY123" s="2556"/>
      <c r="AZ123" s="2556"/>
      <c r="BA123" s="2556"/>
      <c r="BB123" s="2556"/>
      <c r="BC123" s="2556"/>
      <c r="BD123" s="2556"/>
      <c r="BE123" s="2556"/>
      <c r="BF123" s="2556"/>
      <c r="BG123" s="2556"/>
      <c r="BH123" s="3961"/>
      <c r="BI123" s="3961"/>
      <c r="BJ123" s="2562"/>
      <c r="BK123" s="2556"/>
      <c r="BL123" s="2556"/>
      <c r="BM123" s="2556"/>
      <c r="BN123" s="2556"/>
      <c r="BO123" s="2556"/>
      <c r="BP123" s="2562"/>
      <c r="BQ123" s="2556"/>
      <c r="BR123" s="2556"/>
      <c r="BS123" s="2556"/>
      <c r="BT123" s="2556"/>
      <c r="BU123" s="2556"/>
      <c r="BV123" s="2556"/>
      <c r="BW123" s="2556"/>
      <c r="BX123" s="2556"/>
      <c r="BY123" s="2556"/>
      <c r="BZ123" s="2556"/>
      <c r="CA123" s="2556"/>
      <c r="CB123" s="2562"/>
      <c r="CC123" s="2556"/>
      <c r="CD123" s="2556"/>
      <c r="CE123" s="2556"/>
      <c r="CF123" s="2562"/>
      <c r="CG123" s="2556"/>
      <c r="CH123" s="2562"/>
      <c r="CI123" s="2556"/>
      <c r="CJ123" s="2556"/>
      <c r="CK123" s="2556"/>
      <c r="CL123" s="2562"/>
      <c r="CM123" s="2556"/>
      <c r="CN123" s="2556"/>
      <c r="CO123" s="2556"/>
      <c r="CP123" s="2556"/>
      <c r="CQ123" s="2556"/>
      <c r="CR123" s="2562"/>
      <c r="CS123" s="2562"/>
      <c r="CT123" s="2556"/>
      <c r="CU123" s="2562"/>
      <c r="CV123" s="2562"/>
      <c r="CW123" s="2556"/>
      <c r="CX123" s="2556"/>
      <c r="CY123" s="2556"/>
      <c r="CZ123" s="2556"/>
      <c r="DA123" s="2556"/>
      <c r="DB123" s="2556"/>
      <c r="DC123" s="2562"/>
      <c r="DD123" s="2556"/>
      <c r="DE123" s="2556"/>
      <c r="DF123" s="2556"/>
      <c r="DG123" s="2556"/>
      <c r="DH123" s="2556"/>
      <c r="DI123" s="2556"/>
      <c r="DJ123" s="2562"/>
      <c r="DK123" s="2556"/>
      <c r="DL123" s="2556"/>
      <c r="DM123" s="2556"/>
      <c r="DN123" s="2556"/>
      <c r="DO123" s="2554">
        <f>MAX(0,(DO110+DO114)-(DO109+DO113+DO116))</f>
        <v>12390</v>
      </c>
      <c r="DP123" s="2556"/>
      <c r="DQ123" s="2556"/>
      <c r="DR123" s="2556"/>
      <c r="DS123" s="2556"/>
      <c r="DT123" s="2556"/>
      <c r="DU123" s="2556"/>
      <c r="DV123" s="2556"/>
      <c r="DW123" s="2556"/>
      <c r="DX123" s="2556"/>
      <c r="DY123" s="2556"/>
      <c r="DZ123" s="2556"/>
      <c r="EA123" s="2556"/>
      <c r="EB123" s="2556"/>
      <c r="EC123" s="2556"/>
      <c r="ED123" s="2556"/>
      <c r="EE123" s="2556"/>
      <c r="EF123" s="2562"/>
      <c r="EG123" s="2554">
        <f>MAX(0,(EG110+EG114)-(EG109+EG113+EG116))</f>
        <v>5000</v>
      </c>
      <c r="EH123" s="2556"/>
      <c r="EI123" s="2562"/>
      <c r="EJ123" s="2556"/>
      <c r="EK123" s="2556"/>
      <c r="EL123" s="2556"/>
      <c r="EM123" s="2562"/>
      <c r="EN123" s="2556"/>
      <c r="EO123" s="2556"/>
      <c r="EP123" s="2556"/>
      <c r="EQ123" s="2556"/>
      <c r="ER123" s="2556"/>
      <c r="ES123" s="2556"/>
      <c r="ET123" s="2556"/>
      <c r="EU123" s="2556"/>
      <c r="EV123" s="2556"/>
      <c r="EW123" s="2556"/>
      <c r="EX123" s="2556"/>
      <c r="EY123" s="2562"/>
      <c r="EZ123" s="2556"/>
      <c r="FA123" s="2556"/>
      <c r="FB123" s="2556"/>
      <c r="FC123" s="2556"/>
      <c r="FD123" s="2556"/>
      <c r="FE123" s="2556"/>
      <c r="FF123" s="2562"/>
      <c r="FG123" s="2556"/>
      <c r="FH123" s="2562"/>
      <c r="FI123" s="2556"/>
      <c r="FJ123" s="2556"/>
      <c r="FK123" s="2556"/>
      <c r="FL123" s="2556"/>
      <c r="FM123" s="2556"/>
      <c r="FN123" s="2556"/>
      <c r="FO123" s="2556"/>
      <c r="FP123" s="2556"/>
      <c r="FQ123" s="2556"/>
      <c r="FR123" s="2556"/>
      <c r="FS123" s="2556"/>
      <c r="FT123" s="2556"/>
      <c r="FU123" s="2556"/>
      <c r="FV123" s="2556"/>
      <c r="FW123" s="2556"/>
      <c r="FX123" s="2556"/>
      <c r="FY123" s="2556"/>
      <c r="FZ123" s="2556"/>
      <c r="GA123" s="2556"/>
      <c r="GB123" s="2556"/>
      <c r="GC123" s="2556"/>
      <c r="GD123" s="2556"/>
      <c r="GE123" s="2556"/>
      <c r="GF123" s="2556"/>
      <c r="GG123" s="2556"/>
      <c r="GH123" s="2556"/>
      <c r="GI123" s="2556"/>
      <c r="GJ123" s="2562"/>
      <c r="GK123" s="2556"/>
      <c r="GL123" s="2556"/>
      <c r="GM123" s="2556"/>
      <c r="GN123" s="2556"/>
      <c r="GO123" s="2556"/>
      <c r="GP123" s="2556"/>
      <c r="GQ123" s="2556"/>
      <c r="GR123" s="2556"/>
      <c r="GS123" s="2556"/>
      <c r="GT123" s="2556"/>
      <c r="GU123" s="2556"/>
      <c r="GV123" s="2556"/>
      <c r="GW123" s="2556"/>
      <c r="GX123" s="2554">
        <f>MAX(0,(GX110+GX114)-(GX109+GX113+GX116))</f>
        <v>66763</v>
      </c>
      <c r="GY123" s="2556"/>
      <c r="GZ123" s="2556"/>
      <c r="HA123" s="2556"/>
      <c r="HB123" s="2554">
        <f>MAX(0,(HB110+HB114)-(HB109+HB113+HB116))</f>
        <v>12390</v>
      </c>
      <c r="HC123" s="2562"/>
      <c r="HD123" s="2556"/>
      <c r="HE123" s="2556"/>
      <c r="HF123" s="2556"/>
      <c r="HG123" s="2556"/>
      <c r="HH123" s="2556"/>
      <c r="HI123" s="2556"/>
      <c r="HJ123" s="2556"/>
      <c r="HK123" s="2556"/>
      <c r="HL123" s="2556"/>
      <c r="HM123" s="2556"/>
      <c r="HN123" s="2556"/>
      <c r="HO123" s="2562"/>
      <c r="HP123" s="2556"/>
      <c r="HQ123" s="2556"/>
      <c r="HR123" s="2556"/>
      <c r="HS123" s="2556"/>
      <c r="HT123" s="2556"/>
      <c r="HU123" s="2556"/>
      <c r="HV123" s="2556"/>
      <c r="HW123" s="2556"/>
      <c r="HX123" s="2556"/>
      <c r="HY123" s="2556"/>
      <c r="HZ123" s="2556"/>
      <c r="IA123" s="2556"/>
      <c r="IB123" s="2556"/>
      <c r="IC123" s="2556"/>
      <c r="ID123" s="2556"/>
      <c r="IE123" s="2556"/>
      <c r="IF123" s="2556"/>
      <c r="IG123" s="2556"/>
      <c r="IH123" s="2556"/>
      <c r="II123" s="2556"/>
      <c r="IJ123" s="2556"/>
      <c r="IK123" s="2556"/>
      <c r="IL123" s="2556"/>
      <c r="IM123" s="2556"/>
      <c r="IN123" s="2556"/>
      <c r="IO123" s="2556"/>
      <c r="IP123" s="2556"/>
      <c r="IQ123" s="2556"/>
      <c r="IR123" s="2556"/>
      <c r="IS123" s="2556"/>
      <c r="IT123" s="2556"/>
      <c r="IU123" s="2556"/>
      <c r="IV123" s="2556"/>
      <c r="IW123" s="2556"/>
      <c r="IX123" s="2556"/>
      <c r="IY123" s="2556"/>
      <c r="IZ123" s="2556"/>
      <c r="JA123" s="2556"/>
      <c r="JB123" s="2556"/>
      <c r="JC123" s="2556"/>
      <c r="JD123" s="2556"/>
      <c r="JE123" s="2556"/>
      <c r="JF123" s="2556"/>
      <c r="JG123" s="2557"/>
      <c r="JH123" s="1233"/>
      <c r="JI123" s="4280" t="s">
        <v>5483</v>
      </c>
      <c r="JJ123" s="2248" t="s">
        <v>6124</v>
      </c>
    </row>
    <row ht="33.75" r="124" spans="1:270" x14ac:dyDescent="0.2">
      <c r="A124" s="1128">
        <v>81</v>
      </c>
      <c r="B124" s="1347" t="str">
        <f si="4" t="shared"/>
        <v/>
      </c>
      <c r="C124" s="1278" t="s">
        <v>3280</v>
      </c>
      <c r="D124" s="1350" t="str">
        <f>"Loss from this tax year set off against other income for "&amp;tax_year</f>
        <v>Loss from this tax year set off against other income for 2019-20</v>
      </c>
      <c r="E124" s="2550"/>
      <c r="F124" s="2550"/>
      <c r="G124" s="2550"/>
      <c r="H124" s="2550"/>
      <c r="I124" s="2550"/>
      <c r="J124" s="2564"/>
      <c r="K124" s="2550"/>
      <c r="L124" s="2550"/>
      <c r="M124" s="2563"/>
      <c r="N124" s="2563"/>
      <c r="O124" s="2551"/>
      <c r="P124" s="2551"/>
      <c r="Q124" s="2550"/>
      <c r="R124" s="2551"/>
      <c r="S124" s="2550"/>
      <c r="T124" s="2552"/>
      <c r="U124" s="2552"/>
      <c r="V124" s="2552"/>
      <c r="W124" s="2552"/>
      <c r="X124" s="2552"/>
      <c r="Y124" s="2552"/>
      <c r="Z124" s="2552"/>
      <c r="AA124" s="2552"/>
      <c r="AB124" s="2552"/>
      <c r="AC124" s="2550"/>
      <c r="AD124" s="2879"/>
      <c r="AE124" s="2879"/>
      <c r="AF124" s="2879"/>
      <c r="AG124" s="2879"/>
      <c r="AH124" s="2879"/>
      <c r="AI124" s="2552"/>
      <c r="AJ124" s="2550"/>
      <c r="AK124" s="2552"/>
      <c r="AL124" s="2550"/>
      <c r="AM124" s="2552"/>
      <c r="AN124" s="2552"/>
      <c r="AO124" s="2552"/>
      <c r="AP124" s="2552"/>
      <c r="AQ124" s="2552"/>
      <c r="AR124" s="2552"/>
      <c r="AS124" s="2552"/>
      <c r="AT124" s="2552"/>
      <c r="AU124" s="2552"/>
      <c r="AV124" s="2550">
        <v>12390</v>
      </c>
      <c r="AW124" s="2552"/>
      <c r="AX124" s="2552"/>
      <c r="AY124" s="2552"/>
      <c r="AZ124" s="2552"/>
      <c r="BA124" s="2552"/>
      <c r="BB124" s="2552"/>
      <c r="BC124" s="2552"/>
      <c r="BD124" s="2552"/>
      <c r="BE124" s="2552"/>
      <c r="BF124" s="2552"/>
      <c r="BG124" s="2552"/>
      <c r="BH124" s="3960"/>
      <c r="BI124" s="3960"/>
      <c r="BJ124" s="2550"/>
      <c r="BK124" s="2552"/>
      <c r="BL124" s="2552"/>
      <c r="BM124" s="2552"/>
      <c r="BN124" s="2552"/>
      <c r="BO124" s="2552"/>
      <c r="BP124" s="2550"/>
      <c r="BQ124" s="2552"/>
      <c r="BR124" s="2552"/>
      <c r="BS124" s="2552"/>
      <c r="BT124" s="2552"/>
      <c r="BU124" s="2552"/>
      <c r="BV124" s="2552"/>
      <c r="BW124" s="2552"/>
      <c r="BX124" s="2552"/>
      <c r="BY124" s="2552"/>
      <c r="BZ124" s="2552"/>
      <c r="CA124" s="2552"/>
      <c r="CB124" s="2550"/>
      <c r="CC124" s="2552"/>
      <c r="CD124" s="2552"/>
      <c r="CE124" s="2552"/>
      <c r="CF124" s="2550"/>
      <c r="CG124" s="2552"/>
      <c r="CH124" s="2550"/>
      <c r="CI124" s="2552"/>
      <c r="CJ124" s="2552"/>
      <c r="CK124" s="2552"/>
      <c r="CL124" s="2550"/>
      <c r="CM124" s="2552"/>
      <c r="CN124" s="2552"/>
      <c r="CO124" s="2552"/>
      <c r="CP124" s="2552"/>
      <c r="CQ124" s="2552"/>
      <c r="CR124" s="2550"/>
      <c r="CS124" s="2550"/>
      <c r="CT124" s="2552"/>
      <c r="CU124" s="2550"/>
      <c r="CV124" s="2550"/>
      <c r="CW124" s="2552"/>
      <c r="CX124" s="2552"/>
      <c r="CY124" s="2552"/>
      <c r="CZ124" s="2552"/>
      <c r="DA124" s="2552"/>
      <c r="DB124" s="2552"/>
      <c r="DC124" s="2550"/>
      <c r="DD124" s="2552"/>
      <c r="DE124" s="2552"/>
      <c r="DF124" s="2552"/>
      <c r="DG124" s="2552"/>
      <c r="DH124" s="2552"/>
      <c r="DI124" s="2552"/>
      <c r="DJ124" s="2550"/>
      <c r="DK124" s="2552"/>
      <c r="DL124" s="2552"/>
      <c r="DM124" s="2552"/>
      <c r="DN124" s="2552"/>
      <c r="DO124" s="2550">
        <v>12390</v>
      </c>
      <c r="DP124" s="2552"/>
      <c r="DQ124" s="2552"/>
      <c r="DR124" s="2552"/>
      <c r="DS124" s="2552"/>
      <c r="DT124" s="2552"/>
      <c r="DU124" s="2552"/>
      <c r="DV124" s="2552"/>
      <c r="DW124" s="2552"/>
      <c r="DX124" s="2552"/>
      <c r="DY124" s="2552"/>
      <c r="DZ124" s="2552"/>
      <c r="EA124" s="2552"/>
      <c r="EB124" s="2552"/>
      <c r="EC124" s="2552"/>
      <c r="ED124" s="2552"/>
      <c r="EE124" s="2552"/>
      <c r="EF124" s="2550"/>
      <c r="EG124" s="2564"/>
      <c r="EH124" s="2552"/>
      <c r="EI124" s="2550"/>
      <c r="EJ124" s="2552"/>
      <c r="EK124" s="2552"/>
      <c r="EL124" s="2552"/>
      <c r="EM124" s="2550"/>
      <c r="EN124" s="2552"/>
      <c r="EO124" s="2552"/>
      <c r="EP124" s="2552"/>
      <c r="EQ124" s="2552"/>
      <c r="ER124" s="2552"/>
      <c r="ES124" s="2552"/>
      <c r="ET124" s="2552"/>
      <c r="EU124" s="2552"/>
      <c r="EV124" s="2552"/>
      <c r="EW124" s="2552"/>
      <c r="EX124" s="2552"/>
      <c r="EY124" s="2550"/>
      <c r="EZ124" s="2552"/>
      <c r="FA124" s="2552"/>
      <c r="FB124" s="2552"/>
      <c r="FC124" s="2552"/>
      <c r="FD124" s="2552"/>
      <c r="FE124" s="2552"/>
      <c r="FF124" s="2550"/>
      <c r="FG124" s="2552"/>
      <c r="FH124" s="2550"/>
      <c r="FI124" s="2552"/>
      <c r="FJ124" s="2552"/>
      <c r="FK124" s="2552"/>
      <c r="FL124" s="2552"/>
      <c r="FM124" s="2552"/>
      <c r="FN124" s="2552"/>
      <c r="FO124" s="2552"/>
      <c r="FP124" s="2552"/>
      <c r="FQ124" s="2552"/>
      <c r="FR124" s="2552"/>
      <c r="FS124" s="2552"/>
      <c r="FT124" s="2552"/>
      <c r="FU124" s="2552"/>
      <c r="FV124" s="2552"/>
      <c r="FW124" s="2552"/>
      <c r="FX124" s="2552"/>
      <c r="FY124" s="2552"/>
      <c r="FZ124" s="2552"/>
      <c r="GA124" s="2552"/>
      <c r="GB124" s="2552"/>
      <c r="GC124" s="2552"/>
      <c r="GD124" s="2552"/>
      <c r="GE124" s="2552"/>
      <c r="GF124" s="2552"/>
      <c r="GG124" s="2552"/>
      <c r="GH124" s="2552"/>
      <c r="GI124" s="2552"/>
      <c r="GJ124" s="2550"/>
      <c r="GK124" s="2552"/>
      <c r="GL124" s="2552"/>
      <c r="GM124" s="2552"/>
      <c r="GN124" s="2552"/>
      <c r="GO124" s="2552"/>
      <c r="GP124" s="2552"/>
      <c r="GQ124" s="2552"/>
      <c r="GR124" s="2552"/>
      <c r="GS124" s="2552"/>
      <c r="GT124" s="2552"/>
      <c r="GU124" s="2552"/>
      <c r="GV124" s="2552"/>
      <c r="GW124" s="2552"/>
      <c r="GX124" s="2563">
        <v>66763</v>
      </c>
      <c r="GY124" s="2552"/>
      <c r="GZ124" s="2552"/>
      <c r="HA124" s="2552"/>
      <c r="HB124" s="2550">
        <v>12390</v>
      </c>
      <c r="HC124" s="2550"/>
      <c r="HD124" s="2552"/>
      <c r="HE124" s="2552"/>
      <c r="HF124" s="2552"/>
      <c r="HG124" s="2552"/>
      <c r="HH124" s="2552"/>
      <c r="HI124" s="2552"/>
      <c r="HJ124" s="2552"/>
      <c r="HK124" s="2552"/>
      <c r="HL124" s="2552"/>
      <c r="HM124" s="2552"/>
      <c r="HN124" s="2552"/>
      <c r="HO124" s="2550"/>
      <c r="HP124" s="2552"/>
      <c r="HQ124" s="2552"/>
      <c r="HR124" s="2552"/>
      <c r="HS124" s="2552"/>
      <c r="HT124" s="2552"/>
      <c r="HU124" s="2552"/>
      <c r="HV124" s="2552"/>
      <c r="HW124" s="2552"/>
      <c r="HX124" s="2552"/>
      <c r="HY124" s="2552"/>
      <c r="HZ124" s="2552"/>
      <c r="IA124" s="2552"/>
      <c r="IB124" s="2552"/>
      <c r="IC124" s="2552"/>
      <c r="ID124" s="2552"/>
      <c r="IE124" s="2552"/>
      <c r="IF124" s="2552"/>
      <c r="IG124" s="2552"/>
      <c r="IH124" s="2552"/>
      <c r="II124" s="2552"/>
      <c r="IJ124" s="2552"/>
      <c r="IK124" s="2552"/>
      <c r="IL124" s="2552"/>
      <c r="IM124" s="2552"/>
      <c r="IN124" s="2552"/>
      <c r="IO124" s="2552"/>
      <c r="IP124" s="2552"/>
      <c r="IQ124" s="2552"/>
      <c r="IR124" s="2552"/>
      <c r="IS124" s="2552"/>
      <c r="IT124" s="2552"/>
      <c r="IU124" s="2552"/>
      <c r="IV124" s="2552"/>
      <c r="IW124" s="2552"/>
      <c r="IX124" s="2552"/>
      <c r="IY124" s="2552"/>
      <c r="IZ124" s="2552"/>
      <c r="JA124" s="2552"/>
      <c r="JB124" s="2552"/>
      <c r="JC124" s="2552"/>
      <c r="JD124" s="2552"/>
      <c r="JE124" s="2552"/>
      <c r="JF124" s="2552"/>
      <c r="JG124" s="2553"/>
      <c r="JH124" s="1233"/>
      <c r="JI124" s="4280" t="s">
        <v>5484</v>
      </c>
      <c r="JJ124" s="2248" t="s">
        <v>6124</v>
      </c>
    </row>
    <row ht="22.5" r="125" spans="1:270" x14ac:dyDescent="0.2">
      <c r="A125" s="1128">
        <v>82</v>
      </c>
      <c r="B125" s="1347" t="str">
        <f si="4" t="shared"/>
        <v/>
      </c>
      <c r="C125" s="1278" t="s">
        <v>3281</v>
      </c>
      <c r="D125" s="1350" t="s">
        <v>5539</v>
      </c>
      <c r="E125" s="2546"/>
      <c r="F125" s="2546"/>
      <c r="G125" s="2546"/>
      <c r="H125" s="2546"/>
      <c r="I125" s="2546"/>
      <c r="J125" s="2545"/>
      <c r="K125" s="2546"/>
      <c r="L125" s="2546"/>
      <c r="M125" s="2546"/>
      <c r="N125" s="2546"/>
      <c r="O125" s="2547"/>
      <c r="P125" s="2547"/>
      <c r="Q125" s="2546"/>
      <c r="R125" s="2547"/>
      <c r="S125" s="2546"/>
      <c r="T125" s="2548"/>
      <c r="U125" s="2548"/>
      <c r="V125" s="2548"/>
      <c r="W125" s="2548"/>
      <c r="X125" s="2548"/>
      <c r="Y125" s="2548"/>
      <c r="Z125" s="2548"/>
      <c r="AA125" s="2548"/>
      <c r="AB125" s="2548"/>
      <c r="AC125" s="2546"/>
      <c r="AD125" s="3529"/>
      <c r="AE125" s="3529"/>
      <c r="AF125" s="3529"/>
      <c r="AG125" s="3529"/>
      <c r="AH125" s="3529"/>
      <c r="AI125" s="2548"/>
      <c r="AJ125" s="2546"/>
      <c r="AK125" s="2548"/>
      <c r="AL125" s="2546"/>
      <c r="AM125" s="2548"/>
      <c r="AN125" s="2548"/>
      <c r="AO125" s="2548"/>
      <c r="AP125" s="2548"/>
      <c r="AQ125" s="2548"/>
      <c r="AR125" s="2548"/>
      <c r="AS125" s="2548"/>
      <c r="AT125" s="2548"/>
      <c r="AU125" s="2548"/>
      <c r="AV125" s="2546"/>
      <c r="AW125" s="2548"/>
      <c r="AX125" s="2548"/>
      <c r="AY125" s="2548"/>
      <c r="AZ125" s="2548"/>
      <c r="BA125" s="2548"/>
      <c r="BB125" s="2548"/>
      <c r="BC125" s="2548"/>
      <c r="BD125" s="2548"/>
      <c r="BE125" s="2548"/>
      <c r="BF125" s="2548"/>
      <c r="BG125" s="2548"/>
      <c r="BH125" s="3959"/>
      <c r="BI125" s="3959"/>
      <c r="BJ125" s="2546"/>
      <c r="BK125" s="2548"/>
      <c r="BL125" s="2548"/>
      <c r="BM125" s="2548"/>
      <c r="BN125" s="2548"/>
      <c r="BO125" s="2548"/>
      <c r="BP125" s="2546"/>
      <c r="BQ125" s="2548"/>
      <c r="BR125" s="2548"/>
      <c r="BS125" s="2548"/>
      <c r="BT125" s="2548"/>
      <c r="BU125" s="2548"/>
      <c r="BV125" s="2548"/>
      <c r="BW125" s="2548"/>
      <c r="BX125" s="2548"/>
      <c r="BY125" s="2548"/>
      <c r="BZ125" s="2548"/>
      <c r="CA125" s="2548"/>
      <c r="CB125" s="2546"/>
      <c r="CC125" s="2548"/>
      <c r="CD125" s="2548"/>
      <c r="CE125" s="2548"/>
      <c r="CF125" s="2546"/>
      <c r="CG125" s="2548"/>
      <c r="CH125" s="2546"/>
      <c r="CI125" s="2548"/>
      <c r="CJ125" s="2548"/>
      <c r="CK125" s="2548"/>
      <c r="CL125" s="2546"/>
      <c r="CM125" s="2548"/>
      <c r="CN125" s="2548"/>
      <c r="CO125" s="2548"/>
      <c r="CP125" s="2548"/>
      <c r="CQ125" s="2548"/>
      <c r="CR125" s="2546"/>
      <c r="CS125" s="2546"/>
      <c r="CT125" s="2548"/>
      <c r="CU125" s="2546"/>
      <c r="CV125" s="2546"/>
      <c r="CW125" s="2548"/>
      <c r="CX125" s="2548"/>
      <c r="CY125" s="2548"/>
      <c r="CZ125" s="2548"/>
      <c r="DA125" s="2548"/>
      <c r="DB125" s="2548"/>
      <c r="DC125" s="2546"/>
      <c r="DD125" s="2548"/>
      <c r="DE125" s="2548"/>
      <c r="DF125" s="2548"/>
      <c r="DG125" s="2548"/>
      <c r="DH125" s="2548"/>
      <c r="DI125" s="2548"/>
      <c r="DJ125" s="2546"/>
      <c r="DK125" s="2548"/>
      <c r="DL125" s="2548"/>
      <c r="DM125" s="2548"/>
      <c r="DN125" s="2548"/>
      <c r="DO125" s="2546"/>
      <c r="DP125" s="2548"/>
      <c r="DQ125" s="2548"/>
      <c r="DR125" s="2548"/>
      <c r="DS125" s="2548"/>
      <c r="DT125" s="2548"/>
      <c r="DU125" s="2548"/>
      <c r="DV125" s="2548"/>
      <c r="DW125" s="2548"/>
      <c r="DX125" s="2548"/>
      <c r="DY125" s="2548"/>
      <c r="DZ125" s="2548"/>
      <c r="EA125" s="2548"/>
      <c r="EB125" s="2548"/>
      <c r="EC125" s="2548"/>
      <c r="ED125" s="2548"/>
      <c r="EE125" s="2548"/>
      <c r="EF125" s="2546"/>
      <c r="EG125" s="2546"/>
      <c r="EH125" s="2548"/>
      <c r="EI125" s="2546"/>
      <c r="EJ125" s="2548"/>
      <c r="EK125" s="2548"/>
      <c r="EL125" s="2548"/>
      <c r="EM125" s="2546"/>
      <c r="EN125" s="2548"/>
      <c r="EO125" s="2548"/>
      <c r="EP125" s="2548"/>
      <c r="EQ125" s="2548"/>
      <c r="ER125" s="2548"/>
      <c r="ES125" s="2548"/>
      <c r="ET125" s="2548"/>
      <c r="EU125" s="2548"/>
      <c r="EV125" s="2548"/>
      <c r="EW125" s="2548"/>
      <c r="EX125" s="2548"/>
      <c r="EY125" s="2546"/>
      <c r="EZ125" s="2548"/>
      <c r="FA125" s="2548"/>
      <c r="FB125" s="2548"/>
      <c r="FC125" s="2548"/>
      <c r="FD125" s="2548"/>
      <c r="FE125" s="2548"/>
      <c r="FF125" s="2546"/>
      <c r="FG125" s="2548"/>
      <c r="FH125" s="2546"/>
      <c r="FI125" s="2548"/>
      <c r="FJ125" s="2548"/>
      <c r="FK125" s="2548"/>
      <c r="FL125" s="2548"/>
      <c r="FM125" s="2548"/>
      <c r="FN125" s="2548"/>
      <c r="FO125" s="2548"/>
      <c r="FP125" s="2548"/>
      <c r="FQ125" s="2548"/>
      <c r="FR125" s="2548"/>
      <c r="FS125" s="2548"/>
      <c r="FT125" s="2548"/>
      <c r="FU125" s="2548"/>
      <c r="FV125" s="2548"/>
      <c r="FW125" s="2548"/>
      <c r="FX125" s="2548"/>
      <c r="FY125" s="2548"/>
      <c r="FZ125" s="2548"/>
      <c r="GA125" s="2548"/>
      <c r="GB125" s="2548"/>
      <c r="GC125" s="2548"/>
      <c r="GD125" s="2548"/>
      <c r="GE125" s="2548"/>
      <c r="GF125" s="2548"/>
      <c r="GG125" s="2548"/>
      <c r="GH125" s="2548"/>
      <c r="GI125" s="2548"/>
      <c r="GJ125" s="2546"/>
      <c r="GK125" s="2548"/>
      <c r="GL125" s="2548"/>
      <c r="GM125" s="2548"/>
      <c r="GN125" s="2548"/>
      <c r="GO125" s="2548"/>
      <c r="GP125" s="2548"/>
      <c r="GQ125" s="2548"/>
      <c r="GR125" s="2548"/>
      <c r="GS125" s="2548"/>
      <c r="GT125" s="2548"/>
      <c r="GU125" s="2548"/>
      <c r="GV125" s="2548"/>
      <c r="GW125" s="2548"/>
      <c r="GX125" s="2546"/>
      <c r="GY125" s="2548"/>
      <c r="GZ125" s="2548"/>
      <c r="HA125" s="2548"/>
      <c r="HB125" s="2546"/>
      <c r="HC125" s="2546"/>
      <c r="HD125" s="2548"/>
      <c r="HE125" s="2548"/>
      <c r="HF125" s="2548"/>
      <c r="HG125" s="2548"/>
      <c r="HH125" s="2548"/>
      <c r="HI125" s="2548"/>
      <c r="HJ125" s="2548"/>
      <c r="HK125" s="2548"/>
      <c r="HL125" s="2548"/>
      <c r="HM125" s="2548"/>
      <c r="HN125" s="2548"/>
      <c r="HO125" s="2546"/>
      <c r="HP125" s="2548"/>
      <c r="HQ125" s="2548"/>
      <c r="HR125" s="2548"/>
      <c r="HS125" s="2548"/>
      <c r="HT125" s="2548"/>
      <c r="HU125" s="2548"/>
      <c r="HV125" s="2548"/>
      <c r="HW125" s="2548"/>
      <c r="HX125" s="2548"/>
      <c r="HY125" s="2548"/>
      <c r="HZ125" s="2548"/>
      <c r="IA125" s="2548"/>
      <c r="IB125" s="2548"/>
      <c r="IC125" s="2548"/>
      <c r="ID125" s="2548"/>
      <c r="IE125" s="2548"/>
      <c r="IF125" s="2548"/>
      <c r="IG125" s="2548"/>
      <c r="IH125" s="2548"/>
      <c r="II125" s="2548"/>
      <c r="IJ125" s="2548"/>
      <c r="IK125" s="2548"/>
      <c r="IL125" s="2548"/>
      <c r="IM125" s="2548"/>
      <c r="IN125" s="2548"/>
      <c r="IO125" s="2548"/>
      <c r="IP125" s="2548"/>
      <c r="IQ125" s="2548"/>
      <c r="IR125" s="2548"/>
      <c r="IS125" s="2548"/>
      <c r="IT125" s="2548"/>
      <c r="IU125" s="2548"/>
      <c r="IV125" s="2548"/>
      <c r="IW125" s="2548"/>
      <c r="IX125" s="2548"/>
      <c r="IY125" s="2548"/>
      <c r="IZ125" s="2548"/>
      <c r="JA125" s="2548"/>
      <c r="JB125" s="2548"/>
      <c r="JC125" s="2548"/>
      <c r="JD125" s="2548"/>
      <c r="JE125" s="2548"/>
      <c r="JF125" s="2548"/>
      <c r="JG125" s="2549"/>
      <c r="JH125" s="1233"/>
      <c r="JI125" s="4280" t="s">
        <v>5485</v>
      </c>
      <c r="JJ125" s="2248" t="s">
        <v>6108</v>
      </c>
    </row>
    <row r="126" spans="1:270" x14ac:dyDescent="0.2">
      <c r="A126" s="1128">
        <v>83</v>
      </c>
      <c r="B126" s="1347" t="str">
        <f ref="B126:B149" si="5" t="shared">IF(SE_B_IND&gt;1,IF(HLOOKUP(SE_B_IND-1,FSE_RANGE,A126)="","",HLOOKUP(SE_B_IND-1,FSE_RANGE,A126)),"")</f>
        <v/>
      </c>
      <c r="C126" s="1278" t="s">
        <v>3282</v>
      </c>
      <c r="D126" s="1350" t="s">
        <v>5540</v>
      </c>
      <c r="E126" s="2546"/>
      <c r="F126" s="2546"/>
      <c r="G126" s="2546"/>
      <c r="H126" s="2546"/>
      <c r="I126" s="2546"/>
      <c r="J126" s="2545"/>
      <c r="K126" s="2546"/>
      <c r="L126" s="2546"/>
      <c r="M126" s="2546"/>
      <c r="N126" s="2546"/>
      <c r="O126" s="2547"/>
      <c r="P126" s="2547"/>
      <c r="Q126" s="2546"/>
      <c r="R126" s="2547"/>
      <c r="S126" s="2546"/>
      <c r="T126" s="2548"/>
      <c r="U126" s="2548"/>
      <c r="V126" s="2548"/>
      <c r="W126" s="2548"/>
      <c r="X126" s="2548"/>
      <c r="Y126" s="2548"/>
      <c r="Z126" s="2548"/>
      <c r="AA126" s="2548"/>
      <c r="AB126" s="2548"/>
      <c r="AC126" s="2546"/>
      <c r="AD126" s="3529"/>
      <c r="AE126" s="3529"/>
      <c r="AF126" s="3529"/>
      <c r="AG126" s="3529"/>
      <c r="AH126" s="3529"/>
      <c r="AI126" s="2548"/>
      <c r="AJ126" s="2546"/>
      <c r="AK126" s="2548"/>
      <c r="AL126" s="2546"/>
      <c r="AM126" s="2548"/>
      <c r="AN126" s="2548"/>
      <c r="AO126" s="2548"/>
      <c r="AP126" s="2548"/>
      <c r="AQ126" s="2548"/>
      <c r="AR126" s="2548"/>
      <c r="AS126" s="2548"/>
      <c r="AT126" s="2548"/>
      <c r="AU126" s="2548"/>
      <c r="AV126" s="2546"/>
      <c r="AW126" s="2548"/>
      <c r="AX126" s="2548"/>
      <c r="AY126" s="2548"/>
      <c r="AZ126" s="2548"/>
      <c r="BA126" s="2548"/>
      <c r="BB126" s="2548"/>
      <c r="BC126" s="2548"/>
      <c r="BD126" s="2548"/>
      <c r="BE126" s="2548"/>
      <c r="BF126" s="2548"/>
      <c r="BG126" s="2548"/>
      <c r="BH126" s="3959"/>
      <c r="BI126" s="3959"/>
      <c r="BJ126" s="2546"/>
      <c r="BK126" s="2548"/>
      <c r="BL126" s="2548"/>
      <c r="BM126" s="2548"/>
      <c r="BN126" s="2548"/>
      <c r="BO126" s="2548"/>
      <c r="BP126" s="2546"/>
      <c r="BQ126" s="2548"/>
      <c r="BR126" s="2548"/>
      <c r="BS126" s="2548"/>
      <c r="BT126" s="2548"/>
      <c r="BU126" s="2548"/>
      <c r="BV126" s="2548"/>
      <c r="BW126" s="2548"/>
      <c r="BX126" s="2548"/>
      <c r="BY126" s="2548"/>
      <c r="BZ126" s="2548"/>
      <c r="CA126" s="2548"/>
      <c r="CB126" s="2546"/>
      <c r="CC126" s="2548"/>
      <c r="CD126" s="2548"/>
      <c r="CE126" s="2548"/>
      <c r="CF126" s="2546"/>
      <c r="CG126" s="2548"/>
      <c r="CH126" s="2546"/>
      <c r="CI126" s="2548"/>
      <c r="CJ126" s="2548"/>
      <c r="CK126" s="2548"/>
      <c r="CL126" s="2546"/>
      <c r="CM126" s="2548"/>
      <c r="CN126" s="2548"/>
      <c r="CO126" s="2548"/>
      <c r="CP126" s="2548"/>
      <c r="CQ126" s="2548"/>
      <c r="CR126" s="2546"/>
      <c r="CS126" s="2546"/>
      <c r="CT126" s="2548"/>
      <c r="CU126" s="2546"/>
      <c r="CV126" s="2546"/>
      <c r="CW126" s="2548"/>
      <c r="CX126" s="2548"/>
      <c r="CY126" s="2548"/>
      <c r="CZ126" s="2548"/>
      <c r="DA126" s="2548"/>
      <c r="DB126" s="2548"/>
      <c r="DC126" s="2546"/>
      <c r="DD126" s="2548"/>
      <c r="DE126" s="2548"/>
      <c r="DF126" s="2548"/>
      <c r="DG126" s="2548"/>
      <c r="DH126" s="2548"/>
      <c r="DI126" s="2548"/>
      <c r="DJ126" s="2546"/>
      <c r="DK126" s="2548"/>
      <c r="DL126" s="2548"/>
      <c r="DM126" s="2548"/>
      <c r="DN126" s="2548"/>
      <c r="DO126" s="2546"/>
      <c r="DP126" s="2548"/>
      <c r="DQ126" s="2548"/>
      <c r="DR126" s="2548"/>
      <c r="DS126" s="2548"/>
      <c r="DT126" s="2548"/>
      <c r="DU126" s="2548"/>
      <c r="DV126" s="2548"/>
      <c r="DW126" s="2548"/>
      <c r="DX126" s="2548"/>
      <c r="DY126" s="2548"/>
      <c r="DZ126" s="2548"/>
      <c r="EA126" s="2548"/>
      <c r="EB126" s="2548"/>
      <c r="EC126" s="2548"/>
      <c r="ED126" s="2548"/>
      <c r="EE126" s="2548"/>
      <c r="EF126" s="2546"/>
      <c r="EG126" s="2546"/>
      <c r="EH126" s="2548"/>
      <c r="EI126" s="2546"/>
      <c r="EJ126" s="2548"/>
      <c r="EK126" s="2548"/>
      <c r="EL126" s="2548"/>
      <c r="EM126" s="2546"/>
      <c r="EN126" s="2548"/>
      <c r="EO126" s="2548"/>
      <c r="EP126" s="2548"/>
      <c r="EQ126" s="2548"/>
      <c r="ER126" s="2548"/>
      <c r="ES126" s="2548"/>
      <c r="ET126" s="2548"/>
      <c r="EU126" s="2548"/>
      <c r="EV126" s="2548"/>
      <c r="EW126" s="2548"/>
      <c r="EX126" s="2548"/>
      <c r="EY126" s="2546"/>
      <c r="EZ126" s="2548"/>
      <c r="FA126" s="2548"/>
      <c r="FB126" s="2548"/>
      <c r="FC126" s="2548"/>
      <c r="FD126" s="2548"/>
      <c r="FE126" s="2548"/>
      <c r="FF126" s="2546"/>
      <c r="FG126" s="2548"/>
      <c r="FH126" s="2546"/>
      <c r="FI126" s="2548"/>
      <c r="FJ126" s="2548"/>
      <c r="FK126" s="2548"/>
      <c r="FL126" s="2548"/>
      <c r="FM126" s="2548"/>
      <c r="FN126" s="2548"/>
      <c r="FO126" s="2548"/>
      <c r="FP126" s="2548"/>
      <c r="FQ126" s="2548"/>
      <c r="FR126" s="2548"/>
      <c r="FS126" s="2548"/>
      <c r="FT126" s="2548"/>
      <c r="FU126" s="2548"/>
      <c r="FV126" s="2548"/>
      <c r="FW126" s="2548"/>
      <c r="FX126" s="2548"/>
      <c r="FY126" s="2548"/>
      <c r="FZ126" s="2548"/>
      <c r="GA126" s="2548"/>
      <c r="GB126" s="2548"/>
      <c r="GC126" s="2548"/>
      <c r="GD126" s="2548"/>
      <c r="GE126" s="2548"/>
      <c r="GF126" s="2548"/>
      <c r="GG126" s="2548"/>
      <c r="GH126" s="2548"/>
      <c r="GI126" s="2548"/>
      <c r="GJ126" s="2546"/>
      <c r="GK126" s="2548"/>
      <c r="GL126" s="2548"/>
      <c r="GM126" s="2548"/>
      <c r="GN126" s="2548"/>
      <c r="GO126" s="2548"/>
      <c r="GP126" s="2548"/>
      <c r="GQ126" s="2548"/>
      <c r="GR126" s="2548"/>
      <c r="GS126" s="2548"/>
      <c r="GT126" s="2548"/>
      <c r="GU126" s="2548"/>
      <c r="GV126" s="2548"/>
      <c r="GW126" s="2548"/>
      <c r="GX126" s="2546"/>
      <c r="GY126" s="2548"/>
      <c r="GZ126" s="2548"/>
      <c r="HA126" s="2548"/>
      <c r="HB126" s="2546"/>
      <c r="HC126" s="2546"/>
      <c r="HD126" s="2548"/>
      <c r="HE126" s="2548"/>
      <c r="HF126" s="2548"/>
      <c r="HG126" s="2548"/>
      <c r="HH126" s="2548"/>
      <c r="HI126" s="2548"/>
      <c r="HJ126" s="2548"/>
      <c r="HK126" s="2548"/>
      <c r="HL126" s="2548"/>
      <c r="HM126" s="2548"/>
      <c r="HN126" s="2548"/>
      <c r="HO126" s="2546"/>
      <c r="HP126" s="2548"/>
      <c r="HQ126" s="2548"/>
      <c r="HR126" s="2548"/>
      <c r="HS126" s="2548"/>
      <c r="HT126" s="2548"/>
      <c r="HU126" s="2548"/>
      <c r="HV126" s="2548"/>
      <c r="HW126" s="2548"/>
      <c r="HX126" s="2548"/>
      <c r="HY126" s="2548"/>
      <c r="HZ126" s="2548"/>
      <c r="IA126" s="2548"/>
      <c r="IB126" s="2548"/>
      <c r="IC126" s="2548"/>
      <c r="ID126" s="2548"/>
      <c r="IE126" s="2548"/>
      <c r="IF126" s="2548"/>
      <c r="IG126" s="2548"/>
      <c r="IH126" s="2548"/>
      <c r="II126" s="2548"/>
      <c r="IJ126" s="2548"/>
      <c r="IK126" s="2548"/>
      <c r="IL126" s="2548"/>
      <c r="IM126" s="2548"/>
      <c r="IN126" s="2548"/>
      <c r="IO126" s="2548"/>
      <c r="IP126" s="2548"/>
      <c r="IQ126" s="2548"/>
      <c r="IR126" s="2548"/>
      <c r="IS126" s="2548"/>
      <c r="IT126" s="2548"/>
      <c r="IU126" s="2548"/>
      <c r="IV126" s="2548"/>
      <c r="IW126" s="2548"/>
      <c r="IX126" s="2548"/>
      <c r="IY126" s="2548"/>
      <c r="IZ126" s="2548"/>
      <c r="JA126" s="2548"/>
      <c r="JB126" s="2548"/>
      <c r="JC126" s="2548"/>
      <c r="JD126" s="2548"/>
      <c r="JE126" s="2548"/>
      <c r="JF126" s="2548"/>
      <c r="JG126" s="2549"/>
      <c r="JH126" s="1233"/>
      <c r="JI126" s="2248"/>
      <c r="JJ126" s="2248" t="s">
        <v>6108</v>
      </c>
    </row>
    <row r="127" spans="1:270" x14ac:dyDescent="0.2">
      <c r="A127" s="1128">
        <v>84</v>
      </c>
      <c r="B127" s="1347" t="str">
        <f si="5" t="shared"/>
        <v/>
      </c>
      <c r="C127" s="1278" t="s">
        <v>1615</v>
      </c>
      <c r="D127" s="1350" t="s">
        <v>5473</v>
      </c>
      <c r="E127" s="2550"/>
      <c r="F127" s="2550"/>
      <c r="G127" s="2550"/>
      <c r="H127" s="2550"/>
      <c r="I127" s="2550"/>
      <c r="J127" s="2564"/>
      <c r="K127" s="2550"/>
      <c r="L127" s="2550"/>
      <c r="M127" s="2550"/>
      <c r="N127" s="2550"/>
      <c r="O127" s="2551"/>
      <c r="P127" s="2551"/>
      <c r="Q127" s="2550"/>
      <c r="R127" s="2551"/>
      <c r="S127" s="2550"/>
      <c r="T127" s="2552"/>
      <c r="U127" s="2552"/>
      <c r="V127" s="2552"/>
      <c r="W127" s="2552"/>
      <c r="X127" s="2552"/>
      <c r="Y127" s="2552"/>
      <c r="Z127" s="2552"/>
      <c r="AA127" s="2552"/>
      <c r="AB127" s="2552"/>
      <c r="AC127" s="2550"/>
      <c r="AD127" s="2879"/>
      <c r="AE127" s="2879"/>
      <c r="AF127" s="2879"/>
      <c r="AG127" s="2879"/>
      <c r="AH127" s="2879"/>
      <c r="AI127" s="2552"/>
      <c r="AJ127" s="2550"/>
      <c r="AK127" s="2552"/>
      <c r="AL127" s="2550"/>
      <c r="AM127" s="2552"/>
      <c r="AN127" s="2552"/>
      <c r="AO127" s="2552"/>
      <c r="AP127" s="2552"/>
      <c r="AQ127" s="2552"/>
      <c r="AR127" s="2552"/>
      <c r="AS127" s="2552"/>
      <c r="AT127" s="2552"/>
      <c r="AU127" s="2552"/>
      <c r="AV127" s="2550"/>
      <c r="AW127" s="2552"/>
      <c r="AX127" s="2552"/>
      <c r="AY127" s="2552"/>
      <c r="AZ127" s="2552"/>
      <c r="BA127" s="2552"/>
      <c r="BB127" s="2552"/>
      <c r="BC127" s="2552"/>
      <c r="BD127" s="2552"/>
      <c r="BE127" s="2552"/>
      <c r="BF127" s="2552"/>
      <c r="BG127" s="2552"/>
      <c r="BH127" s="3960"/>
      <c r="BI127" s="3960"/>
      <c r="BJ127" s="2550"/>
      <c r="BK127" s="2552"/>
      <c r="BL127" s="2552"/>
      <c r="BM127" s="2552"/>
      <c r="BN127" s="2552"/>
      <c r="BO127" s="2552"/>
      <c r="BP127" s="2550"/>
      <c r="BQ127" s="2552"/>
      <c r="BR127" s="2552"/>
      <c r="BS127" s="2552"/>
      <c r="BT127" s="2552"/>
      <c r="BU127" s="2552"/>
      <c r="BV127" s="2552"/>
      <c r="BW127" s="2552"/>
      <c r="BX127" s="2552"/>
      <c r="BY127" s="2552"/>
      <c r="BZ127" s="2552"/>
      <c r="CA127" s="2552"/>
      <c r="CB127" s="2550"/>
      <c r="CC127" s="2552"/>
      <c r="CD127" s="2552"/>
      <c r="CE127" s="2552"/>
      <c r="CF127" s="2550"/>
      <c r="CG127" s="2552"/>
      <c r="CH127" s="2550"/>
      <c r="CI127" s="2552"/>
      <c r="CJ127" s="2552"/>
      <c r="CK127" s="2552"/>
      <c r="CL127" s="2550"/>
      <c r="CM127" s="2552"/>
      <c r="CN127" s="2552"/>
      <c r="CO127" s="2552"/>
      <c r="CP127" s="2552"/>
      <c r="CQ127" s="2552"/>
      <c r="CR127" s="2550"/>
      <c r="CS127" s="2550"/>
      <c r="CT127" s="2552"/>
      <c r="CU127" s="2550"/>
      <c r="CV127" s="2550"/>
      <c r="CW127" s="2552"/>
      <c r="CX127" s="2552"/>
      <c r="CY127" s="2552"/>
      <c r="CZ127" s="2552"/>
      <c r="DA127" s="2552"/>
      <c r="DB127" s="2552"/>
      <c r="DC127" s="2550"/>
      <c r="DD127" s="2552"/>
      <c r="DE127" s="2552"/>
      <c r="DF127" s="2552"/>
      <c r="DG127" s="2552"/>
      <c r="DH127" s="2552"/>
      <c r="DI127" s="2552"/>
      <c r="DJ127" s="2550"/>
      <c r="DK127" s="2552"/>
      <c r="DL127" s="2552"/>
      <c r="DM127" s="2552"/>
      <c r="DN127" s="2552"/>
      <c r="DO127" s="2550"/>
      <c r="DP127" s="2552"/>
      <c r="DQ127" s="2552"/>
      <c r="DR127" s="2552"/>
      <c r="DS127" s="2552"/>
      <c r="DT127" s="2552"/>
      <c r="DU127" s="2552"/>
      <c r="DV127" s="2552"/>
      <c r="DW127" s="2552"/>
      <c r="DX127" s="2552"/>
      <c r="DY127" s="2552"/>
      <c r="DZ127" s="2552"/>
      <c r="EA127" s="2552"/>
      <c r="EB127" s="2552"/>
      <c r="EC127" s="2552"/>
      <c r="ED127" s="2552"/>
      <c r="EE127" s="2552"/>
      <c r="EF127" s="2550"/>
      <c r="EG127" s="2550"/>
      <c r="EH127" s="2552"/>
      <c r="EI127" s="2550">
        <v>12065</v>
      </c>
      <c r="EJ127" s="2552"/>
      <c r="EK127" s="2552"/>
      <c r="EL127" s="2552"/>
      <c r="EM127" s="2550"/>
      <c r="EN127" s="2552"/>
      <c r="EO127" s="2552"/>
      <c r="EP127" s="2552"/>
      <c r="EQ127" s="2552"/>
      <c r="ER127" s="2552"/>
      <c r="ES127" s="2552"/>
      <c r="ET127" s="2552"/>
      <c r="EU127" s="2552"/>
      <c r="EV127" s="2552"/>
      <c r="EW127" s="2552"/>
      <c r="EX127" s="2552"/>
      <c r="EY127" s="2550"/>
      <c r="EZ127" s="2552"/>
      <c r="FA127" s="2552"/>
      <c r="FB127" s="2552"/>
      <c r="FC127" s="2552"/>
      <c r="FD127" s="2552"/>
      <c r="FE127" s="2552"/>
      <c r="FF127" s="2550"/>
      <c r="FG127" s="2552"/>
      <c r="FH127" s="2550"/>
      <c r="FI127" s="2552"/>
      <c r="FJ127" s="2552"/>
      <c r="FK127" s="2552"/>
      <c r="FL127" s="2552"/>
      <c r="FM127" s="2552"/>
      <c r="FN127" s="2552"/>
      <c r="FO127" s="2552"/>
      <c r="FP127" s="2552"/>
      <c r="FQ127" s="2552"/>
      <c r="FR127" s="2552"/>
      <c r="FS127" s="2552"/>
      <c r="FT127" s="2552"/>
      <c r="FU127" s="2552"/>
      <c r="FV127" s="2552"/>
      <c r="FW127" s="2552"/>
      <c r="FX127" s="2552"/>
      <c r="FY127" s="2552"/>
      <c r="FZ127" s="2552"/>
      <c r="GA127" s="2552"/>
      <c r="GB127" s="2552"/>
      <c r="GC127" s="2552"/>
      <c r="GD127" s="2552"/>
      <c r="GE127" s="2552"/>
      <c r="GF127" s="2552"/>
      <c r="GG127" s="2552"/>
      <c r="GH127" s="2552"/>
      <c r="GI127" s="2552"/>
      <c r="GJ127" s="2550">
        <v>12065</v>
      </c>
      <c r="GK127" s="2552"/>
      <c r="GL127" s="2552"/>
      <c r="GM127" s="2552"/>
      <c r="GN127" s="2552"/>
      <c r="GO127" s="2552"/>
      <c r="GP127" s="2552"/>
      <c r="GQ127" s="2552"/>
      <c r="GR127" s="2552"/>
      <c r="GS127" s="2552"/>
      <c r="GT127" s="2552"/>
      <c r="GU127" s="2552"/>
      <c r="GV127" s="2552"/>
      <c r="GW127" s="2552"/>
      <c r="GX127" s="2550"/>
      <c r="GY127" s="2552"/>
      <c r="GZ127" s="2552"/>
      <c r="HA127" s="2552"/>
      <c r="HB127" s="2550"/>
      <c r="HC127" s="2550"/>
      <c r="HD127" s="2552"/>
      <c r="HE127" s="2552"/>
      <c r="HF127" s="2552"/>
      <c r="HG127" s="2552"/>
      <c r="HH127" s="2552"/>
      <c r="HI127" s="2552"/>
      <c r="HJ127" s="2552"/>
      <c r="HK127" s="2552"/>
      <c r="HL127" s="2552"/>
      <c r="HM127" s="2552"/>
      <c r="HN127" s="2552"/>
      <c r="HO127" s="2550"/>
      <c r="HP127" s="2552"/>
      <c r="HQ127" s="2552"/>
      <c r="HR127" s="2552"/>
      <c r="HS127" s="2552"/>
      <c r="HT127" s="2552"/>
      <c r="HU127" s="2552"/>
      <c r="HV127" s="2552"/>
      <c r="HW127" s="2552"/>
      <c r="HX127" s="2552"/>
      <c r="HY127" s="2552"/>
      <c r="HZ127" s="2552"/>
      <c r="IA127" s="2552"/>
      <c r="IB127" s="2552"/>
      <c r="IC127" s="2552"/>
      <c r="ID127" s="2552"/>
      <c r="IE127" s="2552"/>
      <c r="IF127" s="2552"/>
      <c r="IG127" s="2552"/>
      <c r="IH127" s="2552"/>
      <c r="II127" s="2552"/>
      <c r="IJ127" s="2552"/>
      <c r="IK127" s="2552"/>
      <c r="IL127" s="2552"/>
      <c r="IM127" s="2552"/>
      <c r="IN127" s="2552"/>
      <c r="IO127" s="2552"/>
      <c r="IP127" s="2552"/>
      <c r="IQ127" s="2552"/>
      <c r="IR127" s="2552"/>
      <c r="IS127" s="2552"/>
      <c r="IT127" s="2552"/>
      <c r="IU127" s="2552"/>
      <c r="IV127" s="2552"/>
      <c r="IW127" s="2552"/>
      <c r="IX127" s="2552"/>
      <c r="IY127" s="2552"/>
      <c r="IZ127" s="2552"/>
      <c r="JA127" s="2552"/>
      <c r="JB127" s="2552"/>
      <c r="JC127" s="2552"/>
      <c r="JD127" s="2552"/>
      <c r="JE127" s="2552"/>
      <c r="JF127" s="2552"/>
      <c r="JG127" s="2553"/>
      <c r="JH127" s="1233"/>
      <c r="JI127" s="2248"/>
      <c r="JJ127" s="2248" t="s">
        <v>6108</v>
      </c>
    </row>
    <row r="128" spans="1:270" x14ac:dyDescent="0.2">
      <c r="A128" s="1128">
        <v>85</v>
      </c>
      <c r="B128" s="1347" t="str">
        <f si="5" t="shared"/>
        <v/>
      </c>
      <c r="C128" s="1278" t="s">
        <v>1616</v>
      </c>
      <c r="D128" s="1350" t="s">
        <v>5541</v>
      </c>
      <c r="E128" s="2550"/>
      <c r="F128" s="2550"/>
      <c r="G128" s="2550"/>
      <c r="H128" s="2550"/>
      <c r="I128" s="2550"/>
      <c r="J128" s="2564"/>
      <c r="K128" s="2550"/>
      <c r="L128" s="2550"/>
      <c r="M128" s="2550"/>
      <c r="N128" s="2550"/>
      <c r="O128" s="2551"/>
      <c r="P128" s="2551"/>
      <c r="Q128" s="2550"/>
      <c r="R128" s="2551"/>
      <c r="S128" s="2550"/>
      <c r="T128" s="2552"/>
      <c r="U128" s="2552"/>
      <c r="V128" s="2552"/>
      <c r="W128" s="2552"/>
      <c r="X128" s="2552"/>
      <c r="Y128" s="2552"/>
      <c r="Z128" s="2552"/>
      <c r="AA128" s="2552"/>
      <c r="AB128" s="2552"/>
      <c r="AC128" s="2550"/>
      <c r="AD128" s="2879"/>
      <c r="AE128" s="2879"/>
      <c r="AF128" s="2879"/>
      <c r="AG128" s="2879"/>
      <c r="AH128" s="2879"/>
      <c r="AI128" s="2552"/>
      <c r="AJ128" s="2550"/>
      <c r="AK128" s="2552"/>
      <c r="AL128" s="2550"/>
      <c r="AM128" s="2552"/>
      <c r="AN128" s="2552"/>
      <c r="AO128" s="2552"/>
      <c r="AP128" s="2552"/>
      <c r="AQ128" s="2552"/>
      <c r="AR128" s="2552"/>
      <c r="AS128" s="2552"/>
      <c r="AT128" s="2552"/>
      <c r="AU128" s="2552"/>
      <c r="AV128" s="2550"/>
      <c r="AW128" s="2552"/>
      <c r="AX128" s="2552"/>
      <c r="AY128" s="2552"/>
      <c r="AZ128" s="2552"/>
      <c r="BA128" s="2552"/>
      <c r="BB128" s="2552"/>
      <c r="BC128" s="2552"/>
      <c r="BD128" s="2552"/>
      <c r="BE128" s="2552"/>
      <c r="BF128" s="2552"/>
      <c r="BG128" s="2552"/>
      <c r="BH128" s="3960"/>
      <c r="BI128" s="3960"/>
      <c r="BJ128" s="2550"/>
      <c r="BK128" s="2552"/>
      <c r="BL128" s="2552"/>
      <c r="BM128" s="2552"/>
      <c r="BN128" s="2552"/>
      <c r="BO128" s="2552"/>
      <c r="BP128" s="2550"/>
      <c r="BQ128" s="2552"/>
      <c r="BR128" s="2552"/>
      <c r="BS128" s="2552"/>
      <c r="BT128" s="2552"/>
      <c r="BU128" s="2552"/>
      <c r="BV128" s="2552"/>
      <c r="BW128" s="2552"/>
      <c r="BX128" s="2552"/>
      <c r="BY128" s="2552"/>
      <c r="BZ128" s="2552"/>
      <c r="CA128" s="2552"/>
      <c r="CB128" s="2550"/>
      <c r="CC128" s="2552"/>
      <c r="CD128" s="2552"/>
      <c r="CE128" s="2552"/>
      <c r="CF128" s="2550"/>
      <c r="CG128" s="2552"/>
      <c r="CH128" s="2550"/>
      <c r="CI128" s="2552"/>
      <c r="CJ128" s="2552"/>
      <c r="CK128" s="2552"/>
      <c r="CL128" s="2550"/>
      <c r="CM128" s="2552"/>
      <c r="CN128" s="2552"/>
      <c r="CO128" s="2552"/>
      <c r="CP128" s="2552"/>
      <c r="CQ128" s="2552"/>
      <c r="CR128" s="2550"/>
      <c r="CS128" s="2550"/>
      <c r="CT128" s="2552"/>
      <c r="CU128" s="2550"/>
      <c r="CV128" s="2550"/>
      <c r="CW128" s="2552"/>
      <c r="CX128" s="2552"/>
      <c r="CY128" s="2552"/>
      <c r="CZ128" s="2552"/>
      <c r="DA128" s="2552"/>
      <c r="DB128" s="2552"/>
      <c r="DC128" s="2550"/>
      <c r="DD128" s="2552"/>
      <c r="DE128" s="2552"/>
      <c r="DF128" s="2552"/>
      <c r="DG128" s="2552"/>
      <c r="DH128" s="2552"/>
      <c r="DI128" s="2552"/>
      <c r="DJ128" s="2550"/>
      <c r="DK128" s="2552"/>
      <c r="DL128" s="2552"/>
      <c r="DM128" s="2552"/>
      <c r="DN128" s="2552"/>
      <c r="DO128" s="2550"/>
      <c r="DP128" s="2552"/>
      <c r="DQ128" s="2552"/>
      <c r="DR128" s="2552"/>
      <c r="DS128" s="2552"/>
      <c r="DT128" s="2552"/>
      <c r="DU128" s="2552"/>
      <c r="DV128" s="2552"/>
      <c r="DW128" s="2552"/>
      <c r="DX128" s="2552"/>
      <c r="DY128" s="2552"/>
      <c r="DZ128" s="2552"/>
      <c r="EA128" s="2552"/>
      <c r="EB128" s="2552"/>
      <c r="EC128" s="2552"/>
      <c r="ED128" s="2552"/>
      <c r="EE128" s="2552"/>
      <c r="EF128" s="2550"/>
      <c r="EG128" s="2550"/>
      <c r="EH128" s="2552"/>
      <c r="EI128" s="2550"/>
      <c r="EJ128" s="2552"/>
      <c r="EK128" s="2552"/>
      <c r="EL128" s="2552"/>
      <c r="EM128" s="2550"/>
      <c r="EN128" s="2552"/>
      <c r="EO128" s="2552"/>
      <c r="EP128" s="2552"/>
      <c r="EQ128" s="2552"/>
      <c r="ER128" s="2552"/>
      <c r="ES128" s="2552"/>
      <c r="ET128" s="2552"/>
      <c r="EU128" s="2552"/>
      <c r="EV128" s="2552"/>
      <c r="EW128" s="2552"/>
      <c r="EX128" s="2552"/>
      <c r="EY128" s="2550"/>
      <c r="EZ128" s="2552"/>
      <c r="FA128" s="2552"/>
      <c r="FB128" s="2552"/>
      <c r="FC128" s="2552"/>
      <c r="FD128" s="2552"/>
      <c r="FE128" s="2552"/>
      <c r="FF128" s="2550"/>
      <c r="FG128" s="2552"/>
      <c r="FH128" s="2550"/>
      <c r="FI128" s="2552"/>
      <c r="FJ128" s="2552"/>
      <c r="FK128" s="2552"/>
      <c r="FL128" s="2552"/>
      <c r="FM128" s="2552"/>
      <c r="FN128" s="2552"/>
      <c r="FO128" s="2552"/>
      <c r="FP128" s="2552"/>
      <c r="FQ128" s="2552"/>
      <c r="FR128" s="2552"/>
      <c r="FS128" s="2552"/>
      <c r="FT128" s="2552"/>
      <c r="FU128" s="2552"/>
      <c r="FV128" s="2552"/>
      <c r="FW128" s="2552"/>
      <c r="FX128" s="2552"/>
      <c r="FY128" s="2552"/>
      <c r="FZ128" s="2552"/>
      <c r="GA128" s="2552"/>
      <c r="GB128" s="2552"/>
      <c r="GC128" s="2552"/>
      <c r="GD128" s="2552"/>
      <c r="GE128" s="2552"/>
      <c r="GF128" s="2552"/>
      <c r="GG128" s="2552"/>
      <c r="GH128" s="2552"/>
      <c r="GI128" s="2552"/>
      <c r="GJ128" s="2550"/>
      <c r="GK128" s="2552"/>
      <c r="GL128" s="2552"/>
      <c r="GM128" s="2552"/>
      <c r="GN128" s="2552"/>
      <c r="GO128" s="2552"/>
      <c r="GP128" s="2552"/>
      <c r="GQ128" s="2552"/>
      <c r="GR128" s="2552"/>
      <c r="GS128" s="2552"/>
      <c r="GT128" s="2552"/>
      <c r="GU128" s="2552"/>
      <c r="GV128" s="2552"/>
      <c r="GW128" s="2552"/>
      <c r="GX128" s="2550"/>
      <c r="GY128" s="2552"/>
      <c r="GZ128" s="2552"/>
      <c r="HA128" s="2552"/>
      <c r="HB128" s="2550"/>
      <c r="HC128" s="2550"/>
      <c r="HD128" s="2552"/>
      <c r="HE128" s="2552"/>
      <c r="HF128" s="2552"/>
      <c r="HG128" s="2552"/>
      <c r="HH128" s="2552"/>
      <c r="HI128" s="2552"/>
      <c r="HJ128" s="2552"/>
      <c r="HK128" s="2552"/>
      <c r="HL128" s="2552"/>
      <c r="HM128" s="2552"/>
      <c r="HN128" s="2552"/>
      <c r="HO128" s="2550"/>
      <c r="HP128" s="2552"/>
      <c r="HQ128" s="2552"/>
      <c r="HR128" s="2552"/>
      <c r="HS128" s="2552"/>
      <c r="HT128" s="2552"/>
      <c r="HU128" s="2552"/>
      <c r="HV128" s="2552"/>
      <c r="HW128" s="2552"/>
      <c r="HX128" s="2552"/>
      <c r="HY128" s="2552"/>
      <c r="HZ128" s="2552"/>
      <c r="IA128" s="2552"/>
      <c r="IB128" s="2552"/>
      <c r="IC128" s="2552"/>
      <c r="ID128" s="2552"/>
      <c r="IE128" s="2552"/>
      <c r="IF128" s="2552"/>
      <c r="IG128" s="2552"/>
      <c r="IH128" s="2552"/>
      <c r="II128" s="2552"/>
      <c r="IJ128" s="2552"/>
      <c r="IK128" s="2552"/>
      <c r="IL128" s="2552"/>
      <c r="IM128" s="2552"/>
      <c r="IN128" s="2552"/>
      <c r="IO128" s="2552"/>
      <c r="IP128" s="2552"/>
      <c r="IQ128" s="2552"/>
      <c r="IR128" s="2552"/>
      <c r="IS128" s="2552"/>
      <c r="IT128" s="2552"/>
      <c r="IU128" s="2552"/>
      <c r="IV128" s="2552"/>
      <c r="IW128" s="2552"/>
      <c r="IX128" s="2552"/>
      <c r="IY128" s="2552"/>
      <c r="IZ128" s="2552"/>
      <c r="JA128" s="2552"/>
      <c r="JB128" s="2552"/>
      <c r="JC128" s="2552"/>
      <c r="JD128" s="2552"/>
      <c r="JE128" s="2552"/>
      <c r="JF128" s="2552"/>
      <c r="JG128" s="2553"/>
      <c r="JH128" s="1233"/>
      <c r="JI128" s="2248"/>
      <c r="JJ128" s="2248" t="s">
        <v>6108</v>
      </c>
    </row>
    <row r="129" spans="1:270" x14ac:dyDescent="0.2">
      <c r="A129" s="1128">
        <v>86</v>
      </c>
      <c r="B129" s="1347" t="str">
        <f si="5" t="shared"/>
        <v/>
      </c>
      <c r="C129" s="1278" t="s">
        <v>1867</v>
      </c>
      <c r="D129" s="1350" t="s">
        <v>5542</v>
      </c>
      <c r="E129" s="2546"/>
      <c r="F129" s="2546"/>
      <c r="G129" s="2546"/>
      <c r="H129" s="2546"/>
      <c r="I129" s="2546"/>
      <c r="J129" s="2545"/>
      <c r="K129" s="2546"/>
      <c r="L129" s="2546"/>
      <c r="M129" s="2546"/>
      <c r="N129" s="2546"/>
      <c r="O129" s="2547"/>
      <c r="P129" s="2547"/>
      <c r="Q129" s="2546"/>
      <c r="R129" s="2547"/>
      <c r="S129" s="2546"/>
      <c r="T129" s="2548"/>
      <c r="U129" s="2548"/>
      <c r="V129" s="2548"/>
      <c r="W129" s="2548"/>
      <c r="X129" s="2548"/>
      <c r="Y129" s="2548"/>
      <c r="Z129" s="2548"/>
      <c r="AA129" s="2548"/>
      <c r="AB129" s="2548"/>
      <c r="AC129" s="2546"/>
      <c r="AD129" s="3529"/>
      <c r="AE129" s="3529"/>
      <c r="AF129" s="3529"/>
      <c r="AG129" s="3529"/>
      <c r="AH129" s="3529"/>
      <c r="AI129" s="2548"/>
      <c r="AJ129" s="2546"/>
      <c r="AK129" s="2548"/>
      <c r="AL129" s="2546">
        <v>23400</v>
      </c>
      <c r="AM129" s="2548"/>
      <c r="AN129" s="2548"/>
      <c r="AO129" s="2548"/>
      <c r="AP129" s="2548"/>
      <c r="AQ129" s="2548"/>
      <c r="AR129" s="2548"/>
      <c r="AS129" s="2548"/>
      <c r="AT129" s="2548"/>
      <c r="AU129" s="2548"/>
      <c r="AV129" s="2546"/>
      <c r="AW129" s="2548"/>
      <c r="AX129" s="2548"/>
      <c r="AY129" s="2548"/>
      <c r="AZ129" s="2548"/>
      <c r="BA129" s="2548"/>
      <c r="BB129" s="2548"/>
      <c r="BC129" s="2548"/>
      <c r="BD129" s="2548"/>
      <c r="BE129" s="2548"/>
      <c r="BF129" s="2548"/>
      <c r="BG129" s="2548"/>
      <c r="BH129" s="3959"/>
      <c r="BI129" s="3959"/>
      <c r="BJ129" s="2546">
        <v>23400</v>
      </c>
      <c r="BK129" s="2548"/>
      <c r="BL129" s="2548"/>
      <c r="BM129" s="2548"/>
      <c r="BN129" s="2548"/>
      <c r="BO129" s="2548"/>
      <c r="BP129" s="2546"/>
      <c r="BQ129" s="2548"/>
      <c r="BR129" s="2548"/>
      <c r="BS129" s="2548"/>
      <c r="BT129" s="2548"/>
      <c r="BU129" s="2548"/>
      <c r="BV129" s="2548"/>
      <c r="BW129" s="2548"/>
      <c r="BX129" s="2548"/>
      <c r="BY129" s="2548"/>
      <c r="BZ129" s="2548"/>
      <c r="CA129" s="2548"/>
      <c r="CB129" s="2546"/>
      <c r="CC129" s="2548"/>
      <c r="CD129" s="2548"/>
      <c r="CE129" s="2548"/>
      <c r="CF129" s="2546"/>
      <c r="CG129" s="2548"/>
      <c r="CH129" s="2546"/>
      <c r="CI129" s="2548"/>
      <c r="CJ129" s="2548"/>
      <c r="CK129" s="2548"/>
      <c r="CL129" s="2546">
        <v>23400</v>
      </c>
      <c r="CM129" s="2548"/>
      <c r="CN129" s="2548"/>
      <c r="CO129" s="2548"/>
      <c r="CP129" s="2548"/>
      <c r="CQ129" s="2548"/>
      <c r="CR129" s="2546">
        <v>23400</v>
      </c>
      <c r="CS129" s="2546">
        <v>23400</v>
      </c>
      <c r="CT129" s="2548"/>
      <c r="CU129" s="2546"/>
      <c r="CV129" s="2546"/>
      <c r="CW129" s="2548"/>
      <c r="CX129" s="2548"/>
      <c r="CY129" s="2548"/>
      <c r="CZ129" s="2548"/>
      <c r="DA129" s="2548"/>
      <c r="DB129" s="2548"/>
      <c r="DC129" s="2546"/>
      <c r="DD129" s="2548"/>
      <c r="DE129" s="2548"/>
      <c r="DF129" s="2548"/>
      <c r="DG129" s="2548"/>
      <c r="DH129" s="2548"/>
      <c r="DI129" s="2548"/>
      <c r="DJ129" s="2546"/>
      <c r="DK129" s="2548"/>
      <c r="DL129" s="2548"/>
      <c r="DM129" s="2548"/>
      <c r="DN129" s="2548"/>
      <c r="DO129" s="2546"/>
      <c r="DP129" s="2548"/>
      <c r="DQ129" s="2548"/>
      <c r="DR129" s="2548"/>
      <c r="DS129" s="2548"/>
      <c r="DT129" s="2548"/>
      <c r="DU129" s="2548"/>
      <c r="DV129" s="2548"/>
      <c r="DW129" s="2548"/>
      <c r="DX129" s="2548"/>
      <c r="DY129" s="2548"/>
      <c r="DZ129" s="2548"/>
      <c r="EA129" s="2548"/>
      <c r="EB129" s="2548"/>
      <c r="EC129" s="2548"/>
      <c r="ED129" s="2548"/>
      <c r="EE129" s="2548"/>
      <c r="EF129" s="2546"/>
      <c r="EG129" s="2546"/>
      <c r="EH129" s="2548"/>
      <c r="EI129" s="2546"/>
      <c r="EJ129" s="2548"/>
      <c r="EK129" s="2548"/>
      <c r="EL129" s="2548"/>
      <c r="EM129" s="2546">
        <v>23400</v>
      </c>
      <c r="EN129" s="2548"/>
      <c r="EO129" s="2548"/>
      <c r="EP129" s="2548"/>
      <c r="EQ129" s="2548"/>
      <c r="ER129" s="2548"/>
      <c r="ES129" s="2548"/>
      <c r="ET129" s="2548"/>
      <c r="EU129" s="2548"/>
      <c r="EV129" s="2548"/>
      <c r="EW129" s="2548"/>
      <c r="EX129" s="2548"/>
      <c r="EY129" s="2546">
        <v>23400</v>
      </c>
      <c r="EZ129" s="2548"/>
      <c r="FA129" s="2548"/>
      <c r="FB129" s="2548"/>
      <c r="FC129" s="2548"/>
      <c r="FD129" s="2548"/>
      <c r="FE129" s="2548"/>
      <c r="FF129" s="2546"/>
      <c r="FG129" s="2548"/>
      <c r="FH129" s="2546"/>
      <c r="FI129" s="2548"/>
      <c r="FJ129" s="2548"/>
      <c r="FK129" s="2548"/>
      <c r="FL129" s="2548"/>
      <c r="FM129" s="2548"/>
      <c r="FN129" s="2548"/>
      <c r="FO129" s="2548"/>
      <c r="FP129" s="2548"/>
      <c r="FQ129" s="2548"/>
      <c r="FR129" s="2548"/>
      <c r="FS129" s="2548"/>
      <c r="FT129" s="2548"/>
      <c r="FU129" s="2548"/>
      <c r="FV129" s="2548"/>
      <c r="FW129" s="2548"/>
      <c r="FX129" s="2548"/>
      <c r="FY129" s="2548"/>
      <c r="FZ129" s="2548"/>
      <c r="GA129" s="2548"/>
      <c r="GB129" s="2548"/>
      <c r="GC129" s="2548"/>
      <c r="GD129" s="2548"/>
      <c r="GE129" s="2548"/>
      <c r="GF129" s="2548"/>
      <c r="GG129" s="2548"/>
      <c r="GH129" s="2548"/>
      <c r="GI129" s="2548"/>
      <c r="GJ129" s="2546"/>
      <c r="GK129" s="2548"/>
      <c r="GL129" s="2548"/>
      <c r="GM129" s="2548"/>
      <c r="GN129" s="2548"/>
      <c r="GO129" s="2548"/>
      <c r="GP129" s="2548"/>
      <c r="GQ129" s="2548"/>
      <c r="GR129" s="2548"/>
      <c r="GS129" s="2548"/>
      <c r="GT129" s="2548"/>
      <c r="GU129" s="2548"/>
      <c r="GV129" s="2548"/>
      <c r="GW129" s="2548"/>
      <c r="GX129" s="2546"/>
      <c r="GY129" s="2548"/>
      <c r="GZ129" s="2548"/>
      <c r="HA129" s="2548"/>
      <c r="HB129" s="2546"/>
      <c r="HC129" s="2546"/>
      <c r="HD129" s="2548"/>
      <c r="HE129" s="2548"/>
      <c r="HF129" s="2548"/>
      <c r="HG129" s="2548"/>
      <c r="HH129" s="2548"/>
      <c r="HI129" s="2548"/>
      <c r="HJ129" s="2548"/>
      <c r="HK129" s="2548"/>
      <c r="HL129" s="2548"/>
      <c r="HM129" s="2548"/>
      <c r="HN129" s="2548"/>
      <c r="HO129" s="2546"/>
      <c r="HP129" s="2548"/>
      <c r="HQ129" s="2548"/>
      <c r="HR129" s="2548"/>
      <c r="HS129" s="2548"/>
      <c r="HT129" s="2548"/>
      <c r="HU129" s="2548"/>
      <c r="HV129" s="2548"/>
      <c r="HW129" s="2548"/>
      <c r="HX129" s="2548"/>
      <c r="HY129" s="2548"/>
      <c r="HZ129" s="2548"/>
      <c r="IA129" s="2548"/>
      <c r="IB129" s="2548"/>
      <c r="IC129" s="2548"/>
      <c r="ID129" s="2548"/>
      <c r="IE129" s="2548"/>
      <c r="IF129" s="2548"/>
      <c r="IG129" s="2548"/>
      <c r="IH129" s="2548"/>
      <c r="II129" s="2548"/>
      <c r="IJ129" s="2548"/>
      <c r="IK129" s="2548"/>
      <c r="IL129" s="2548"/>
      <c r="IM129" s="2548"/>
      <c r="IN129" s="2548"/>
      <c r="IO129" s="2548"/>
      <c r="IP129" s="2548"/>
      <c r="IQ129" s="2548"/>
      <c r="IR129" s="2548"/>
      <c r="IS129" s="2548"/>
      <c r="IT129" s="2548"/>
      <c r="IU129" s="2548"/>
      <c r="IV129" s="2548"/>
      <c r="IW129" s="2548"/>
      <c r="IX129" s="2548"/>
      <c r="IY129" s="2548"/>
      <c r="IZ129" s="2548"/>
      <c r="JA129" s="2548"/>
      <c r="JB129" s="2548"/>
      <c r="JC129" s="2548"/>
      <c r="JD129" s="2548"/>
      <c r="JE129" s="2548"/>
      <c r="JF129" s="2548"/>
      <c r="JG129" s="2549"/>
      <c r="JH129" s="1233"/>
      <c r="JI129" s="2248"/>
      <c r="JJ129" s="2248" t="s">
        <v>6108</v>
      </c>
    </row>
    <row r="130" spans="1:270" x14ac:dyDescent="0.2">
      <c r="A130" s="1128">
        <v>87</v>
      </c>
      <c r="B130" s="1347" t="str">
        <f si="5" t="shared"/>
        <v/>
      </c>
      <c r="C130" s="1278" t="s">
        <v>1868</v>
      </c>
      <c r="D130" s="1350" t="s">
        <v>5543</v>
      </c>
      <c r="E130" s="2546"/>
      <c r="F130" s="2546"/>
      <c r="G130" s="2546"/>
      <c r="H130" s="2546"/>
      <c r="I130" s="2546"/>
      <c r="J130" s="2545"/>
      <c r="K130" s="2546"/>
      <c r="L130" s="2546"/>
      <c r="M130" s="2546"/>
      <c r="N130" s="2546"/>
      <c r="O130" s="2547"/>
      <c r="P130" s="2547"/>
      <c r="Q130" s="2546"/>
      <c r="R130" s="2547"/>
      <c r="S130" s="2546"/>
      <c r="T130" s="2548"/>
      <c r="U130" s="2548"/>
      <c r="V130" s="2548"/>
      <c r="W130" s="2548"/>
      <c r="X130" s="2548"/>
      <c r="Y130" s="2548"/>
      <c r="Z130" s="2548"/>
      <c r="AA130" s="2548"/>
      <c r="AB130" s="2548"/>
      <c r="AC130" s="2546"/>
      <c r="AD130" s="3529"/>
      <c r="AE130" s="3529"/>
      <c r="AF130" s="3529"/>
      <c r="AG130" s="3529"/>
      <c r="AH130" s="3529"/>
      <c r="AI130" s="2548"/>
      <c r="AJ130" s="2546"/>
      <c r="AK130" s="2548"/>
      <c r="AL130" s="2546">
        <v>269992</v>
      </c>
      <c r="AM130" s="2548"/>
      <c r="AN130" s="2548"/>
      <c r="AO130" s="2548"/>
      <c r="AP130" s="2548"/>
      <c r="AQ130" s="2548"/>
      <c r="AR130" s="2548"/>
      <c r="AS130" s="2548"/>
      <c r="AT130" s="2548"/>
      <c r="AU130" s="2548"/>
      <c r="AV130" s="2546"/>
      <c r="AW130" s="2548"/>
      <c r="AX130" s="2548"/>
      <c r="AY130" s="2548"/>
      <c r="AZ130" s="2548"/>
      <c r="BA130" s="2548"/>
      <c r="BB130" s="2548"/>
      <c r="BC130" s="2548"/>
      <c r="BD130" s="2548"/>
      <c r="BE130" s="2548"/>
      <c r="BF130" s="2548"/>
      <c r="BG130" s="2548"/>
      <c r="BH130" s="3959"/>
      <c r="BI130" s="3959"/>
      <c r="BJ130" s="2546">
        <v>269992</v>
      </c>
      <c r="BK130" s="2548"/>
      <c r="BL130" s="2548"/>
      <c r="BM130" s="2548"/>
      <c r="BN130" s="2548"/>
      <c r="BO130" s="2548"/>
      <c r="BP130" s="2546"/>
      <c r="BQ130" s="2548"/>
      <c r="BR130" s="2548"/>
      <c r="BS130" s="2548"/>
      <c r="BT130" s="2548"/>
      <c r="BU130" s="2548"/>
      <c r="BV130" s="2548"/>
      <c r="BW130" s="2548"/>
      <c r="BX130" s="2548"/>
      <c r="BY130" s="2548"/>
      <c r="BZ130" s="2548"/>
      <c r="CA130" s="2548"/>
      <c r="CB130" s="2546"/>
      <c r="CC130" s="2548"/>
      <c r="CD130" s="2548"/>
      <c r="CE130" s="2548"/>
      <c r="CF130" s="2546"/>
      <c r="CG130" s="2548"/>
      <c r="CH130" s="2546"/>
      <c r="CI130" s="2548"/>
      <c r="CJ130" s="2548"/>
      <c r="CK130" s="2548"/>
      <c r="CL130" s="2546">
        <v>269992</v>
      </c>
      <c r="CM130" s="2548"/>
      <c r="CN130" s="2548"/>
      <c r="CO130" s="2548"/>
      <c r="CP130" s="2548"/>
      <c r="CQ130" s="2548"/>
      <c r="CR130" s="2546">
        <v>269992</v>
      </c>
      <c r="CS130" s="2546">
        <v>269992</v>
      </c>
      <c r="CT130" s="2548"/>
      <c r="CU130" s="2546"/>
      <c r="CV130" s="2546"/>
      <c r="CW130" s="2548"/>
      <c r="CX130" s="2548"/>
      <c r="CY130" s="2548"/>
      <c r="CZ130" s="2548"/>
      <c r="DA130" s="2548"/>
      <c r="DB130" s="2548"/>
      <c r="DC130" s="2546"/>
      <c r="DD130" s="2548"/>
      <c r="DE130" s="2548"/>
      <c r="DF130" s="2548"/>
      <c r="DG130" s="2548"/>
      <c r="DH130" s="2548"/>
      <c r="DI130" s="2548"/>
      <c r="DJ130" s="2546"/>
      <c r="DK130" s="2548"/>
      <c r="DL130" s="2548"/>
      <c r="DM130" s="2548"/>
      <c r="DN130" s="2548"/>
      <c r="DO130" s="2546"/>
      <c r="DP130" s="2548"/>
      <c r="DQ130" s="2548"/>
      <c r="DR130" s="2548"/>
      <c r="DS130" s="2548"/>
      <c r="DT130" s="2548"/>
      <c r="DU130" s="2548"/>
      <c r="DV130" s="2548"/>
      <c r="DW130" s="2548"/>
      <c r="DX130" s="2548"/>
      <c r="DY130" s="2548"/>
      <c r="DZ130" s="2548"/>
      <c r="EA130" s="2548"/>
      <c r="EB130" s="2548"/>
      <c r="EC130" s="2548"/>
      <c r="ED130" s="2548"/>
      <c r="EE130" s="2548"/>
      <c r="EF130" s="2546"/>
      <c r="EG130" s="2546"/>
      <c r="EH130" s="2548"/>
      <c r="EI130" s="2546"/>
      <c r="EJ130" s="2548"/>
      <c r="EK130" s="2548"/>
      <c r="EL130" s="2548"/>
      <c r="EM130" s="2546">
        <v>269992</v>
      </c>
      <c r="EN130" s="2548"/>
      <c r="EO130" s="2548"/>
      <c r="EP130" s="2548"/>
      <c r="EQ130" s="2548"/>
      <c r="ER130" s="2548"/>
      <c r="ES130" s="2548"/>
      <c r="ET130" s="2548"/>
      <c r="EU130" s="2548"/>
      <c r="EV130" s="2548"/>
      <c r="EW130" s="2548"/>
      <c r="EX130" s="2548"/>
      <c r="EY130" s="2546">
        <v>269992</v>
      </c>
      <c r="EZ130" s="2548"/>
      <c r="FA130" s="2548"/>
      <c r="FB130" s="2548"/>
      <c r="FC130" s="2548"/>
      <c r="FD130" s="2548"/>
      <c r="FE130" s="2548"/>
      <c r="FF130" s="2546"/>
      <c r="FG130" s="2548"/>
      <c r="FH130" s="2546"/>
      <c r="FI130" s="2548"/>
      <c r="FJ130" s="2548"/>
      <c r="FK130" s="2548"/>
      <c r="FL130" s="2548"/>
      <c r="FM130" s="2548"/>
      <c r="FN130" s="2548"/>
      <c r="FO130" s="2548"/>
      <c r="FP130" s="2548"/>
      <c r="FQ130" s="2548"/>
      <c r="FR130" s="2548"/>
      <c r="FS130" s="2548"/>
      <c r="FT130" s="2548"/>
      <c r="FU130" s="2548"/>
      <c r="FV130" s="2548"/>
      <c r="FW130" s="2548"/>
      <c r="FX130" s="2548"/>
      <c r="FY130" s="2548"/>
      <c r="FZ130" s="2548"/>
      <c r="GA130" s="2548"/>
      <c r="GB130" s="2548"/>
      <c r="GC130" s="2548"/>
      <c r="GD130" s="2548"/>
      <c r="GE130" s="2548"/>
      <c r="GF130" s="2548"/>
      <c r="GG130" s="2548"/>
      <c r="GH130" s="2548"/>
      <c r="GI130" s="2548"/>
      <c r="GJ130" s="2546"/>
      <c r="GK130" s="2548"/>
      <c r="GL130" s="2548"/>
      <c r="GM130" s="2548"/>
      <c r="GN130" s="2548"/>
      <c r="GO130" s="2548"/>
      <c r="GP130" s="2548"/>
      <c r="GQ130" s="2548"/>
      <c r="GR130" s="2548"/>
      <c r="GS130" s="2548"/>
      <c r="GT130" s="2548"/>
      <c r="GU130" s="2548"/>
      <c r="GV130" s="2548"/>
      <c r="GW130" s="2548"/>
      <c r="GX130" s="2546"/>
      <c r="GY130" s="2548"/>
      <c r="GZ130" s="2548"/>
      <c r="HA130" s="2548"/>
      <c r="HB130" s="2546"/>
      <c r="HC130" s="2546"/>
      <c r="HD130" s="2548"/>
      <c r="HE130" s="2548"/>
      <c r="HF130" s="2548"/>
      <c r="HG130" s="2548"/>
      <c r="HH130" s="2548"/>
      <c r="HI130" s="2548"/>
      <c r="HJ130" s="2548"/>
      <c r="HK130" s="2548"/>
      <c r="HL130" s="2548"/>
      <c r="HM130" s="2548"/>
      <c r="HN130" s="2548"/>
      <c r="HO130" s="2546"/>
      <c r="HP130" s="2548"/>
      <c r="HQ130" s="2548"/>
      <c r="HR130" s="2548"/>
      <c r="HS130" s="2548"/>
      <c r="HT130" s="2548"/>
      <c r="HU130" s="2548"/>
      <c r="HV130" s="2548"/>
      <c r="HW130" s="2548"/>
      <c r="HX130" s="2548"/>
      <c r="HY130" s="2548"/>
      <c r="HZ130" s="2548"/>
      <c r="IA130" s="2548"/>
      <c r="IB130" s="2548"/>
      <c r="IC130" s="2548"/>
      <c r="ID130" s="2548"/>
      <c r="IE130" s="2548"/>
      <c r="IF130" s="2548"/>
      <c r="IG130" s="2548"/>
      <c r="IH130" s="2548"/>
      <c r="II130" s="2548"/>
      <c r="IJ130" s="2548"/>
      <c r="IK130" s="2548"/>
      <c r="IL130" s="2548"/>
      <c r="IM130" s="2548"/>
      <c r="IN130" s="2548"/>
      <c r="IO130" s="2548"/>
      <c r="IP130" s="2548"/>
      <c r="IQ130" s="2548"/>
      <c r="IR130" s="2548"/>
      <c r="IS130" s="2548"/>
      <c r="IT130" s="2548"/>
      <c r="IU130" s="2548"/>
      <c r="IV130" s="2548"/>
      <c r="IW130" s="2548"/>
      <c r="IX130" s="2548"/>
      <c r="IY130" s="2548"/>
      <c r="IZ130" s="2548"/>
      <c r="JA130" s="2548"/>
      <c r="JB130" s="2548"/>
      <c r="JC130" s="2548"/>
      <c r="JD130" s="2548"/>
      <c r="JE130" s="2548"/>
      <c r="JF130" s="2548"/>
      <c r="JG130" s="2549"/>
      <c r="JH130" s="1233"/>
      <c r="JI130" s="2248"/>
      <c r="JJ130" s="2248" t="s">
        <v>6108</v>
      </c>
    </row>
    <row r="131" spans="1:270" x14ac:dyDescent="0.2">
      <c r="A131" s="1128">
        <v>88</v>
      </c>
      <c r="B131" s="1347" t="str">
        <f si="5" t="shared"/>
        <v/>
      </c>
      <c r="C131" s="1278" t="s">
        <v>1869</v>
      </c>
      <c r="D131" s="1350" t="s">
        <v>5544</v>
      </c>
      <c r="E131" s="2546"/>
      <c r="F131" s="2546"/>
      <c r="G131" s="2546"/>
      <c r="H131" s="2546"/>
      <c r="I131" s="2546"/>
      <c r="J131" s="2545"/>
      <c r="K131" s="2546"/>
      <c r="L131" s="2546"/>
      <c r="M131" s="2546"/>
      <c r="N131" s="2546"/>
      <c r="O131" s="2547"/>
      <c r="P131" s="2547"/>
      <c r="Q131" s="2546"/>
      <c r="R131" s="2547"/>
      <c r="S131" s="2546"/>
      <c r="T131" s="2548"/>
      <c r="U131" s="2548"/>
      <c r="V131" s="2548"/>
      <c r="W131" s="2548"/>
      <c r="X131" s="2548"/>
      <c r="Y131" s="2548"/>
      <c r="Z131" s="2548"/>
      <c r="AA131" s="2548"/>
      <c r="AB131" s="2548"/>
      <c r="AC131" s="2546"/>
      <c r="AD131" s="3529"/>
      <c r="AE131" s="3529"/>
      <c r="AF131" s="3529"/>
      <c r="AG131" s="3529"/>
      <c r="AH131" s="3529"/>
      <c r="AI131" s="2548"/>
      <c r="AJ131" s="2546"/>
      <c r="AK131" s="2548"/>
      <c r="AL131" s="2546">
        <v>6464</v>
      </c>
      <c r="AM131" s="2548"/>
      <c r="AN131" s="2548"/>
      <c r="AO131" s="2548"/>
      <c r="AP131" s="2548"/>
      <c r="AQ131" s="2548"/>
      <c r="AR131" s="2548"/>
      <c r="AS131" s="2548"/>
      <c r="AT131" s="2548"/>
      <c r="AU131" s="2548"/>
      <c r="AV131" s="2546"/>
      <c r="AW131" s="2548"/>
      <c r="AX131" s="2548"/>
      <c r="AY131" s="2548"/>
      <c r="AZ131" s="2548"/>
      <c r="BA131" s="2548"/>
      <c r="BB131" s="2548"/>
      <c r="BC131" s="2548"/>
      <c r="BD131" s="2548"/>
      <c r="BE131" s="2548"/>
      <c r="BF131" s="2548"/>
      <c r="BG131" s="2548"/>
      <c r="BH131" s="3959"/>
      <c r="BI131" s="3959"/>
      <c r="BJ131" s="2546">
        <v>6464</v>
      </c>
      <c r="BK131" s="2548"/>
      <c r="BL131" s="2548"/>
      <c r="BM131" s="2548"/>
      <c r="BN131" s="2548"/>
      <c r="BO131" s="2548"/>
      <c r="BP131" s="2546"/>
      <c r="BQ131" s="2548"/>
      <c r="BR131" s="2548"/>
      <c r="BS131" s="2548"/>
      <c r="BT131" s="2548"/>
      <c r="BU131" s="2548"/>
      <c r="BV131" s="2548"/>
      <c r="BW131" s="2548"/>
      <c r="BX131" s="2548"/>
      <c r="BY131" s="2548"/>
      <c r="BZ131" s="2548"/>
      <c r="CA131" s="2548"/>
      <c r="CB131" s="2546"/>
      <c r="CC131" s="2548"/>
      <c r="CD131" s="2548"/>
      <c r="CE131" s="2548"/>
      <c r="CF131" s="2546"/>
      <c r="CG131" s="2548"/>
      <c r="CH131" s="2546"/>
      <c r="CI131" s="2548"/>
      <c r="CJ131" s="2548"/>
      <c r="CK131" s="2548"/>
      <c r="CL131" s="2546">
        <v>6464</v>
      </c>
      <c r="CM131" s="2548"/>
      <c r="CN131" s="2548"/>
      <c r="CO131" s="2548"/>
      <c r="CP131" s="2548"/>
      <c r="CQ131" s="2548"/>
      <c r="CR131" s="2546">
        <v>6464</v>
      </c>
      <c r="CS131" s="2546">
        <v>6464</v>
      </c>
      <c r="CT131" s="2548"/>
      <c r="CU131" s="2546"/>
      <c r="CV131" s="2546"/>
      <c r="CW131" s="2548"/>
      <c r="CX131" s="2548"/>
      <c r="CY131" s="2548"/>
      <c r="CZ131" s="2548"/>
      <c r="DA131" s="2548"/>
      <c r="DB131" s="2548"/>
      <c r="DC131" s="2546"/>
      <c r="DD131" s="2548"/>
      <c r="DE131" s="2548"/>
      <c r="DF131" s="2548"/>
      <c r="DG131" s="2548"/>
      <c r="DH131" s="2548"/>
      <c r="DI131" s="2548"/>
      <c r="DJ131" s="2546"/>
      <c r="DK131" s="2548"/>
      <c r="DL131" s="2548"/>
      <c r="DM131" s="2548"/>
      <c r="DN131" s="2548"/>
      <c r="DO131" s="2546"/>
      <c r="DP131" s="2548"/>
      <c r="DQ131" s="2548"/>
      <c r="DR131" s="2548"/>
      <c r="DS131" s="2548"/>
      <c r="DT131" s="2548"/>
      <c r="DU131" s="2548"/>
      <c r="DV131" s="2548"/>
      <c r="DW131" s="2548"/>
      <c r="DX131" s="2548"/>
      <c r="DY131" s="2548"/>
      <c r="DZ131" s="2548"/>
      <c r="EA131" s="2548"/>
      <c r="EB131" s="2548"/>
      <c r="EC131" s="2548"/>
      <c r="ED131" s="2548"/>
      <c r="EE131" s="2548"/>
      <c r="EF131" s="2546"/>
      <c r="EG131" s="2546"/>
      <c r="EH131" s="2548"/>
      <c r="EI131" s="2546">
        <v>3250</v>
      </c>
      <c r="EJ131" s="2548"/>
      <c r="EK131" s="2548"/>
      <c r="EL131" s="2548"/>
      <c r="EM131" s="2546">
        <v>6464</v>
      </c>
      <c r="EN131" s="2548"/>
      <c r="EO131" s="2548"/>
      <c r="EP131" s="2548"/>
      <c r="EQ131" s="2548"/>
      <c r="ER131" s="2548"/>
      <c r="ES131" s="2548"/>
      <c r="ET131" s="2548"/>
      <c r="EU131" s="2548"/>
      <c r="EV131" s="2548"/>
      <c r="EW131" s="2548"/>
      <c r="EX131" s="2548"/>
      <c r="EY131" s="2546">
        <v>6464</v>
      </c>
      <c r="EZ131" s="2548"/>
      <c r="FA131" s="2548"/>
      <c r="FB131" s="2548"/>
      <c r="FC131" s="2548"/>
      <c r="FD131" s="2548"/>
      <c r="FE131" s="2548"/>
      <c r="FF131" s="2546"/>
      <c r="FG131" s="2548"/>
      <c r="FH131" s="2546"/>
      <c r="FI131" s="2548"/>
      <c r="FJ131" s="2548"/>
      <c r="FK131" s="2548"/>
      <c r="FL131" s="2548"/>
      <c r="FM131" s="2548"/>
      <c r="FN131" s="2548"/>
      <c r="FO131" s="2548"/>
      <c r="FP131" s="2548"/>
      <c r="FQ131" s="2548"/>
      <c r="FR131" s="2548"/>
      <c r="FS131" s="2548"/>
      <c r="FT131" s="2548"/>
      <c r="FU131" s="2548"/>
      <c r="FV131" s="2548"/>
      <c r="FW131" s="2548"/>
      <c r="FX131" s="2548"/>
      <c r="FY131" s="2548"/>
      <c r="FZ131" s="2548"/>
      <c r="GA131" s="2548"/>
      <c r="GB131" s="2548"/>
      <c r="GC131" s="2548"/>
      <c r="GD131" s="2548"/>
      <c r="GE131" s="2548"/>
      <c r="GF131" s="2548"/>
      <c r="GG131" s="2548"/>
      <c r="GH131" s="2548"/>
      <c r="GI131" s="2548"/>
      <c r="GJ131" s="2546">
        <v>3250</v>
      </c>
      <c r="GK131" s="2548"/>
      <c r="GL131" s="2548"/>
      <c r="GM131" s="2548"/>
      <c r="GN131" s="2548"/>
      <c r="GO131" s="2548"/>
      <c r="GP131" s="2548"/>
      <c r="GQ131" s="2548"/>
      <c r="GR131" s="2548"/>
      <c r="GS131" s="2548"/>
      <c r="GT131" s="2548"/>
      <c r="GU131" s="2548"/>
      <c r="GV131" s="2548"/>
      <c r="GW131" s="2548"/>
      <c r="GX131" s="2546"/>
      <c r="GY131" s="2548"/>
      <c r="GZ131" s="2548"/>
      <c r="HA131" s="2548"/>
      <c r="HB131" s="2546"/>
      <c r="HC131" s="2546"/>
      <c r="HD131" s="2548"/>
      <c r="HE131" s="2548"/>
      <c r="HF131" s="2548"/>
      <c r="HG131" s="2548"/>
      <c r="HH131" s="2548"/>
      <c r="HI131" s="2548"/>
      <c r="HJ131" s="2548"/>
      <c r="HK131" s="2548"/>
      <c r="HL131" s="2548"/>
      <c r="HM131" s="2548"/>
      <c r="HN131" s="2548"/>
      <c r="HO131" s="2546"/>
      <c r="HP131" s="2548"/>
      <c r="HQ131" s="2548"/>
      <c r="HR131" s="2548"/>
      <c r="HS131" s="2548"/>
      <c r="HT131" s="2548"/>
      <c r="HU131" s="2548"/>
      <c r="HV131" s="2548"/>
      <c r="HW131" s="2548"/>
      <c r="HX131" s="2548"/>
      <c r="HY131" s="2548"/>
      <c r="HZ131" s="2548"/>
      <c r="IA131" s="2548"/>
      <c r="IB131" s="2548"/>
      <c r="IC131" s="2548"/>
      <c r="ID131" s="2548"/>
      <c r="IE131" s="2548"/>
      <c r="IF131" s="2548"/>
      <c r="IG131" s="2548"/>
      <c r="IH131" s="2548"/>
      <c r="II131" s="2548"/>
      <c r="IJ131" s="2548"/>
      <c r="IK131" s="2548"/>
      <c r="IL131" s="2548"/>
      <c r="IM131" s="2548"/>
      <c r="IN131" s="2548"/>
      <c r="IO131" s="2548"/>
      <c r="IP131" s="2548"/>
      <c r="IQ131" s="2548"/>
      <c r="IR131" s="2548"/>
      <c r="IS131" s="2548"/>
      <c r="IT131" s="2548"/>
      <c r="IU131" s="2548"/>
      <c r="IV131" s="2548"/>
      <c r="IW131" s="2548"/>
      <c r="IX131" s="2548"/>
      <c r="IY131" s="2548"/>
      <c r="IZ131" s="2548"/>
      <c r="JA131" s="2548"/>
      <c r="JB131" s="2548"/>
      <c r="JC131" s="2548"/>
      <c r="JD131" s="2548"/>
      <c r="JE131" s="2548"/>
      <c r="JF131" s="2548"/>
      <c r="JG131" s="2549"/>
      <c r="JH131" s="1233"/>
      <c r="JI131" s="2248"/>
      <c r="JJ131" s="2248" t="s">
        <v>6108</v>
      </c>
    </row>
    <row r="132" spans="1:270" x14ac:dyDescent="0.2">
      <c r="A132" s="1128">
        <v>89</v>
      </c>
      <c r="B132" s="1347" t="str">
        <f si="5" t="shared"/>
        <v/>
      </c>
      <c r="C132" s="1278" t="s">
        <v>1870</v>
      </c>
      <c r="D132" s="1350" t="s">
        <v>5545</v>
      </c>
      <c r="E132" s="2546"/>
      <c r="F132" s="2546"/>
      <c r="G132" s="2546"/>
      <c r="H132" s="2546"/>
      <c r="I132" s="2546"/>
      <c r="J132" s="2545"/>
      <c r="K132" s="2546"/>
      <c r="L132" s="2546"/>
      <c r="M132" s="2546"/>
      <c r="N132" s="2546"/>
      <c r="O132" s="2547"/>
      <c r="P132" s="2547"/>
      <c r="Q132" s="2546"/>
      <c r="R132" s="2547"/>
      <c r="S132" s="2546"/>
      <c r="T132" s="2548"/>
      <c r="U132" s="2548"/>
      <c r="V132" s="2548"/>
      <c r="W132" s="2548"/>
      <c r="X132" s="2548"/>
      <c r="Y132" s="2548"/>
      <c r="Z132" s="2548"/>
      <c r="AA132" s="2548"/>
      <c r="AB132" s="2548"/>
      <c r="AC132" s="2546"/>
      <c r="AD132" s="3529"/>
      <c r="AE132" s="3529"/>
      <c r="AF132" s="3529"/>
      <c r="AG132" s="3529"/>
      <c r="AH132" s="3529"/>
      <c r="AI132" s="2548"/>
      <c r="AJ132" s="2546"/>
      <c r="AK132" s="2548"/>
      <c r="AL132" s="2546">
        <v>2746</v>
      </c>
      <c r="AM132" s="2548"/>
      <c r="AN132" s="2548"/>
      <c r="AO132" s="2548"/>
      <c r="AP132" s="2548"/>
      <c r="AQ132" s="2548"/>
      <c r="AR132" s="2548"/>
      <c r="AS132" s="2548"/>
      <c r="AT132" s="2548"/>
      <c r="AU132" s="2548"/>
      <c r="AV132" s="2546"/>
      <c r="AW132" s="2548"/>
      <c r="AX132" s="2548"/>
      <c r="AY132" s="2548"/>
      <c r="AZ132" s="2548"/>
      <c r="BA132" s="2548"/>
      <c r="BB132" s="2548"/>
      <c r="BC132" s="2548"/>
      <c r="BD132" s="2548"/>
      <c r="BE132" s="2548"/>
      <c r="BF132" s="2548"/>
      <c r="BG132" s="2548"/>
      <c r="BH132" s="3959"/>
      <c r="BI132" s="3959"/>
      <c r="BJ132" s="2546">
        <v>2746</v>
      </c>
      <c r="BK132" s="2548"/>
      <c r="BL132" s="2548"/>
      <c r="BM132" s="2548"/>
      <c r="BN132" s="2548"/>
      <c r="BO132" s="2548"/>
      <c r="BP132" s="2546"/>
      <c r="BQ132" s="2548"/>
      <c r="BR132" s="2548"/>
      <c r="BS132" s="2548"/>
      <c r="BT132" s="2548"/>
      <c r="BU132" s="2548"/>
      <c r="BV132" s="2548"/>
      <c r="BW132" s="2548"/>
      <c r="BX132" s="2548"/>
      <c r="BY132" s="2548"/>
      <c r="BZ132" s="2548"/>
      <c r="CA132" s="2548"/>
      <c r="CB132" s="2546"/>
      <c r="CC132" s="2548"/>
      <c r="CD132" s="2548"/>
      <c r="CE132" s="2548"/>
      <c r="CF132" s="2546"/>
      <c r="CG132" s="2548"/>
      <c r="CH132" s="2546"/>
      <c r="CI132" s="2548"/>
      <c r="CJ132" s="2548"/>
      <c r="CK132" s="2548"/>
      <c r="CL132" s="2546">
        <v>2746</v>
      </c>
      <c r="CM132" s="2548"/>
      <c r="CN132" s="2548"/>
      <c r="CO132" s="2548"/>
      <c r="CP132" s="2548"/>
      <c r="CQ132" s="2548"/>
      <c r="CR132" s="2546">
        <v>2746</v>
      </c>
      <c r="CS132" s="2546">
        <v>2746</v>
      </c>
      <c r="CT132" s="2548"/>
      <c r="CU132" s="2546"/>
      <c r="CV132" s="2546"/>
      <c r="CW132" s="2548"/>
      <c r="CX132" s="2548"/>
      <c r="CY132" s="2548"/>
      <c r="CZ132" s="2548"/>
      <c r="DA132" s="2548"/>
      <c r="DB132" s="2548"/>
      <c r="DC132" s="2546"/>
      <c r="DD132" s="2548"/>
      <c r="DE132" s="2548"/>
      <c r="DF132" s="2548"/>
      <c r="DG132" s="2548"/>
      <c r="DH132" s="2548"/>
      <c r="DI132" s="2548"/>
      <c r="DJ132" s="2546"/>
      <c r="DK132" s="2548"/>
      <c r="DL132" s="2548"/>
      <c r="DM132" s="2548"/>
      <c r="DN132" s="2548"/>
      <c r="DO132" s="2546"/>
      <c r="DP132" s="2548"/>
      <c r="DQ132" s="2548"/>
      <c r="DR132" s="2548"/>
      <c r="DS132" s="2548"/>
      <c r="DT132" s="2548"/>
      <c r="DU132" s="2548"/>
      <c r="DV132" s="2548"/>
      <c r="DW132" s="2548"/>
      <c r="DX132" s="2548"/>
      <c r="DY132" s="2548"/>
      <c r="DZ132" s="2548"/>
      <c r="EA132" s="2548"/>
      <c r="EB132" s="2548"/>
      <c r="EC132" s="2548"/>
      <c r="ED132" s="2548"/>
      <c r="EE132" s="2548"/>
      <c r="EF132" s="2546"/>
      <c r="EG132" s="2546"/>
      <c r="EH132" s="2548"/>
      <c r="EI132" s="2546"/>
      <c r="EJ132" s="2548"/>
      <c r="EK132" s="2548"/>
      <c r="EL132" s="2548"/>
      <c r="EM132" s="2546">
        <v>2746</v>
      </c>
      <c r="EN132" s="2548"/>
      <c r="EO132" s="2548"/>
      <c r="EP132" s="2548"/>
      <c r="EQ132" s="2548"/>
      <c r="ER132" s="2548"/>
      <c r="ES132" s="2548"/>
      <c r="ET132" s="2548"/>
      <c r="EU132" s="2548"/>
      <c r="EV132" s="2548"/>
      <c r="EW132" s="2548"/>
      <c r="EX132" s="2548"/>
      <c r="EY132" s="2546">
        <v>2746</v>
      </c>
      <c r="EZ132" s="2548"/>
      <c r="FA132" s="2548"/>
      <c r="FB132" s="2548"/>
      <c r="FC132" s="2548"/>
      <c r="FD132" s="2548"/>
      <c r="FE132" s="2548"/>
      <c r="FF132" s="2546"/>
      <c r="FG132" s="2548"/>
      <c r="FH132" s="2546"/>
      <c r="FI132" s="2548"/>
      <c r="FJ132" s="2548"/>
      <c r="FK132" s="2548"/>
      <c r="FL132" s="2548"/>
      <c r="FM132" s="2548"/>
      <c r="FN132" s="2548"/>
      <c r="FO132" s="2548"/>
      <c r="FP132" s="2548"/>
      <c r="FQ132" s="2548"/>
      <c r="FR132" s="2548"/>
      <c r="FS132" s="2548"/>
      <c r="FT132" s="2548"/>
      <c r="FU132" s="2548"/>
      <c r="FV132" s="2548"/>
      <c r="FW132" s="2548"/>
      <c r="FX132" s="2548"/>
      <c r="FY132" s="2548"/>
      <c r="FZ132" s="2548"/>
      <c r="GA132" s="2548"/>
      <c r="GB132" s="2548"/>
      <c r="GC132" s="2548"/>
      <c r="GD132" s="2548"/>
      <c r="GE132" s="2548"/>
      <c r="GF132" s="2548"/>
      <c r="GG132" s="2548"/>
      <c r="GH132" s="2548"/>
      <c r="GI132" s="2548"/>
      <c r="GJ132" s="2546"/>
      <c r="GK132" s="2548"/>
      <c r="GL132" s="2548"/>
      <c r="GM132" s="2548"/>
      <c r="GN132" s="2548"/>
      <c r="GO132" s="2548"/>
      <c r="GP132" s="2548"/>
      <c r="GQ132" s="2548"/>
      <c r="GR132" s="2548"/>
      <c r="GS132" s="2548"/>
      <c r="GT132" s="2548"/>
      <c r="GU132" s="2548"/>
      <c r="GV132" s="2548"/>
      <c r="GW132" s="2548"/>
      <c r="GX132" s="2546"/>
      <c r="GY132" s="2548"/>
      <c r="GZ132" s="2548"/>
      <c r="HA132" s="2548"/>
      <c r="HB132" s="2546"/>
      <c r="HC132" s="2546"/>
      <c r="HD132" s="2548"/>
      <c r="HE132" s="2548"/>
      <c r="HF132" s="2548"/>
      <c r="HG132" s="2548"/>
      <c r="HH132" s="2548"/>
      <c r="HI132" s="2548"/>
      <c r="HJ132" s="2548"/>
      <c r="HK132" s="2548"/>
      <c r="HL132" s="2548"/>
      <c r="HM132" s="2548"/>
      <c r="HN132" s="2548"/>
      <c r="HO132" s="2546"/>
      <c r="HP132" s="2548"/>
      <c r="HQ132" s="2548"/>
      <c r="HR132" s="2548"/>
      <c r="HS132" s="2548"/>
      <c r="HT132" s="2548"/>
      <c r="HU132" s="2548"/>
      <c r="HV132" s="2548"/>
      <c r="HW132" s="2548"/>
      <c r="HX132" s="2548"/>
      <c r="HY132" s="2548"/>
      <c r="HZ132" s="2548"/>
      <c r="IA132" s="2548"/>
      <c r="IB132" s="2548"/>
      <c r="IC132" s="2548"/>
      <c r="ID132" s="2548"/>
      <c r="IE132" s="2548"/>
      <c r="IF132" s="2548"/>
      <c r="IG132" s="2548"/>
      <c r="IH132" s="2548"/>
      <c r="II132" s="2548"/>
      <c r="IJ132" s="2548"/>
      <c r="IK132" s="2548"/>
      <c r="IL132" s="2548"/>
      <c r="IM132" s="2548"/>
      <c r="IN132" s="2548"/>
      <c r="IO132" s="2548"/>
      <c r="IP132" s="2548"/>
      <c r="IQ132" s="2548"/>
      <c r="IR132" s="2548"/>
      <c r="IS132" s="2548"/>
      <c r="IT132" s="2548"/>
      <c r="IU132" s="2548"/>
      <c r="IV132" s="2548"/>
      <c r="IW132" s="2548"/>
      <c r="IX132" s="2548"/>
      <c r="IY132" s="2548"/>
      <c r="IZ132" s="2548"/>
      <c r="JA132" s="2548"/>
      <c r="JB132" s="2548"/>
      <c r="JC132" s="2548"/>
      <c r="JD132" s="2548"/>
      <c r="JE132" s="2548"/>
      <c r="JF132" s="2548"/>
      <c r="JG132" s="2549"/>
      <c r="JH132" s="1233"/>
      <c r="JI132" s="2248"/>
      <c r="JJ132" s="2248" t="s">
        <v>6108</v>
      </c>
    </row>
    <row r="133" spans="1:270" x14ac:dyDescent="0.2">
      <c r="A133" s="1128">
        <v>90</v>
      </c>
      <c r="B133" s="1347" t="str">
        <f si="5" t="shared"/>
        <v/>
      </c>
      <c r="C133" s="1278" t="s">
        <v>1871</v>
      </c>
      <c r="D133" s="1350" t="s">
        <v>5546</v>
      </c>
      <c r="E133" s="2546"/>
      <c r="F133" s="2546"/>
      <c r="G133" s="2546"/>
      <c r="H133" s="2546"/>
      <c r="I133" s="2546"/>
      <c r="J133" s="2545"/>
      <c r="K133" s="2546"/>
      <c r="L133" s="2546"/>
      <c r="M133" s="2546"/>
      <c r="N133" s="2546"/>
      <c r="O133" s="2547"/>
      <c r="P133" s="2547"/>
      <c r="Q133" s="2546"/>
      <c r="R133" s="2547"/>
      <c r="S133" s="2546"/>
      <c r="T133" s="2548"/>
      <c r="U133" s="2548"/>
      <c r="V133" s="2548"/>
      <c r="W133" s="2548"/>
      <c r="X133" s="2548"/>
      <c r="Y133" s="2548"/>
      <c r="Z133" s="2548"/>
      <c r="AA133" s="2548"/>
      <c r="AB133" s="2548"/>
      <c r="AC133" s="2546"/>
      <c r="AD133" s="3529"/>
      <c r="AE133" s="3529"/>
      <c r="AF133" s="3529"/>
      <c r="AG133" s="3529"/>
      <c r="AH133" s="3529"/>
      <c r="AI133" s="2548"/>
      <c r="AJ133" s="2546"/>
      <c r="AK133" s="2548"/>
      <c r="AL133" s="2546">
        <v>72645</v>
      </c>
      <c r="AM133" s="2548"/>
      <c r="AN133" s="2548"/>
      <c r="AO133" s="2548"/>
      <c r="AP133" s="2548"/>
      <c r="AQ133" s="2548"/>
      <c r="AR133" s="2548"/>
      <c r="AS133" s="2548"/>
      <c r="AT133" s="2548"/>
      <c r="AU133" s="2548"/>
      <c r="AV133" s="2546"/>
      <c r="AW133" s="2548"/>
      <c r="AX133" s="2548"/>
      <c r="AY133" s="2548"/>
      <c r="AZ133" s="2548"/>
      <c r="BA133" s="2548"/>
      <c r="BB133" s="2548"/>
      <c r="BC133" s="2548"/>
      <c r="BD133" s="2548"/>
      <c r="BE133" s="2548"/>
      <c r="BF133" s="2548"/>
      <c r="BG133" s="2548"/>
      <c r="BH133" s="3959"/>
      <c r="BI133" s="3959"/>
      <c r="BJ133" s="2546">
        <v>72645</v>
      </c>
      <c r="BK133" s="2548"/>
      <c r="BL133" s="2548"/>
      <c r="BM133" s="2548"/>
      <c r="BN133" s="2548"/>
      <c r="BO133" s="2548"/>
      <c r="BP133" s="2546"/>
      <c r="BQ133" s="2548"/>
      <c r="BR133" s="2548"/>
      <c r="BS133" s="2548"/>
      <c r="BT133" s="2548"/>
      <c r="BU133" s="2548"/>
      <c r="BV133" s="2548"/>
      <c r="BW133" s="2548"/>
      <c r="BX133" s="2548"/>
      <c r="BY133" s="2548"/>
      <c r="BZ133" s="2548"/>
      <c r="CA133" s="2548"/>
      <c r="CB133" s="2546"/>
      <c r="CC133" s="2548"/>
      <c r="CD133" s="2548"/>
      <c r="CE133" s="2548"/>
      <c r="CF133" s="2546"/>
      <c r="CG133" s="2548"/>
      <c r="CH133" s="2546"/>
      <c r="CI133" s="2548"/>
      <c r="CJ133" s="2548"/>
      <c r="CK133" s="2548"/>
      <c r="CL133" s="2546">
        <v>72645</v>
      </c>
      <c r="CM133" s="2548"/>
      <c r="CN133" s="2548"/>
      <c r="CO133" s="2548"/>
      <c r="CP133" s="2548"/>
      <c r="CQ133" s="2548"/>
      <c r="CR133" s="2546">
        <v>72645</v>
      </c>
      <c r="CS133" s="2546">
        <v>72645</v>
      </c>
      <c r="CT133" s="2548"/>
      <c r="CU133" s="2546"/>
      <c r="CV133" s="2546"/>
      <c r="CW133" s="2548"/>
      <c r="CX133" s="2548"/>
      <c r="CY133" s="2548"/>
      <c r="CZ133" s="2548"/>
      <c r="DA133" s="2548"/>
      <c r="DB133" s="2548"/>
      <c r="DC133" s="2546"/>
      <c r="DD133" s="2548"/>
      <c r="DE133" s="2548"/>
      <c r="DF133" s="2548"/>
      <c r="DG133" s="2548"/>
      <c r="DH133" s="2548"/>
      <c r="DI133" s="2548"/>
      <c r="DJ133" s="2546"/>
      <c r="DK133" s="2548"/>
      <c r="DL133" s="2548"/>
      <c r="DM133" s="2548"/>
      <c r="DN133" s="2548"/>
      <c r="DO133" s="2546"/>
      <c r="DP133" s="2548"/>
      <c r="DQ133" s="2548"/>
      <c r="DR133" s="2548"/>
      <c r="DS133" s="2548"/>
      <c r="DT133" s="2548"/>
      <c r="DU133" s="2548"/>
      <c r="DV133" s="2548"/>
      <c r="DW133" s="2548"/>
      <c r="DX133" s="2548"/>
      <c r="DY133" s="2548"/>
      <c r="DZ133" s="2548"/>
      <c r="EA133" s="2548"/>
      <c r="EB133" s="2548"/>
      <c r="EC133" s="2548"/>
      <c r="ED133" s="2548"/>
      <c r="EE133" s="2548"/>
      <c r="EF133" s="2546"/>
      <c r="EG133" s="2546"/>
      <c r="EH133" s="2548"/>
      <c r="EI133" s="2546">
        <v>12591</v>
      </c>
      <c r="EJ133" s="2548"/>
      <c r="EK133" s="2548"/>
      <c r="EL133" s="2548"/>
      <c r="EM133" s="2546">
        <v>72645</v>
      </c>
      <c r="EN133" s="2548"/>
      <c r="EO133" s="2548"/>
      <c r="EP133" s="2548"/>
      <c r="EQ133" s="2548"/>
      <c r="ER133" s="2548"/>
      <c r="ES133" s="2548"/>
      <c r="ET133" s="2548"/>
      <c r="EU133" s="2548"/>
      <c r="EV133" s="2548"/>
      <c r="EW133" s="2548"/>
      <c r="EX133" s="2548"/>
      <c r="EY133" s="2546">
        <v>72645</v>
      </c>
      <c r="EZ133" s="2548"/>
      <c r="FA133" s="2548"/>
      <c r="FB133" s="2548"/>
      <c r="FC133" s="2548"/>
      <c r="FD133" s="2548"/>
      <c r="FE133" s="2548"/>
      <c r="FF133" s="2546"/>
      <c r="FG133" s="2548"/>
      <c r="FH133" s="2546"/>
      <c r="FI133" s="2548"/>
      <c r="FJ133" s="2548"/>
      <c r="FK133" s="2548"/>
      <c r="FL133" s="2548"/>
      <c r="FM133" s="2548"/>
      <c r="FN133" s="2548"/>
      <c r="FO133" s="2548"/>
      <c r="FP133" s="2548"/>
      <c r="FQ133" s="2548"/>
      <c r="FR133" s="2548"/>
      <c r="FS133" s="2548"/>
      <c r="FT133" s="2548"/>
      <c r="FU133" s="2548"/>
      <c r="FV133" s="2548"/>
      <c r="FW133" s="2548"/>
      <c r="FX133" s="2548"/>
      <c r="FY133" s="2548"/>
      <c r="FZ133" s="2548"/>
      <c r="GA133" s="2548"/>
      <c r="GB133" s="2548"/>
      <c r="GC133" s="2548"/>
      <c r="GD133" s="2548"/>
      <c r="GE133" s="2548"/>
      <c r="GF133" s="2548"/>
      <c r="GG133" s="2548"/>
      <c r="GH133" s="2548"/>
      <c r="GI133" s="2548"/>
      <c r="GJ133" s="2546">
        <v>12591</v>
      </c>
      <c r="GK133" s="2548"/>
      <c r="GL133" s="2548"/>
      <c r="GM133" s="2548"/>
      <c r="GN133" s="2548"/>
      <c r="GO133" s="2548"/>
      <c r="GP133" s="2548"/>
      <c r="GQ133" s="2548"/>
      <c r="GR133" s="2548"/>
      <c r="GS133" s="2548"/>
      <c r="GT133" s="2548"/>
      <c r="GU133" s="2548"/>
      <c r="GV133" s="2548"/>
      <c r="GW133" s="2548"/>
      <c r="GX133" s="2546"/>
      <c r="GY133" s="2548"/>
      <c r="GZ133" s="2548"/>
      <c r="HA133" s="2548"/>
      <c r="HB133" s="2546"/>
      <c r="HC133" s="2546"/>
      <c r="HD133" s="2548"/>
      <c r="HE133" s="2548"/>
      <c r="HF133" s="2548"/>
      <c r="HG133" s="2548"/>
      <c r="HH133" s="2548"/>
      <c r="HI133" s="2548"/>
      <c r="HJ133" s="2548"/>
      <c r="HK133" s="2548"/>
      <c r="HL133" s="2548"/>
      <c r="HM133" s="2548"/>
      <c r="HN133" s="2548"/>
      <c r="HO133" s="2546"/>
      <c r="HP133" s="2548"/>
      <c r="HQ133" s="2548"/>
      <c r="HR133" s="2548"/>
      <c r="HS133" s="2548"/>
      <c r="HT133" s="2548"/>
      <c r="HU133" s="2548"/>
      <c r="HV133" s="2548"/>
      <c r="HW133" s="2548"/>
      <c r="HX133" s="2548"/>
      <c r="HY133" s="2548"/>
      <c r="HZ133" s="2548"/>
      <c r="IA133" s="2548"/>
      <c r="IB133" s="2548"/>
      <c r="IC133" s="2548"/>
      <c r="ID133" s="2548"/>
      <c r="IE133" s="2548"/>
      <c r="IF133" s="2548"/>
      <c r="IG133" s="2548"/>
      <c r="IH133" s="2548"/>
      <c r="II133" s="2548"/>
      <c r="IJ133" s="2548"/>
      <c r="IK133" s="2548"/>
      <c r="IL133" s="2548"/>
      <c r="IM133" s="2548"/>
      <c r="IN133" s="2548"/>
      <c r="IO133" s="2548"/>
      <c r="IP133" s="2548"/>
      <c r="IQ133" s="2548"/>
      <c r="IR133" s="2548"/>
      <c r="IS133" s="2548"/>
      <c r="IT133" s="2548"/>
      <c r="IU133" s="2548"/>
      <c r="IV133" s="2548"/>
      <c r="IW133" s="2548"/>
      <c r="IX133" s="2548"/>
      <c r="IY133" s="2548"/>
      <c r="IZ133" s="2548"/>
      <c r="JA133" s="2548"/>
      <c r="JB133" s="2548"/>
      <c r="JC133" s="2548"/>
      <c r="JD133" s="2548"/>
      <c r="JE133" s="2548"/>
      <c r="JF133" s="2548"/>
      <c r="JG133" s="2549"/>
      <c r="JH133" s="1233"/>
      <c r="JI133" s="2248"/>
      <c r="JJ133" s="2248" t="s">
        <v>6108</v>
      </c>
    </row>
    <row r="134" spans="1:270" x14ac:dyDescent="0.2">
      <c r="A134" s="1128">
        <v>91</v>
      </c>
      <c r="B134" s="1347" t="str">
        <f si="5" t="shared"/>
        <v/>
      </c>
      <c r="C134" s="1278" t="s">
        <v>1872</v>
      </c>
      <c r="D134" s="1350" t="s">
        <v>5547</v>
      </c>
      <c r="E134" s="2546"/>
      <c r="F134" s="2546"/>
      <c r="G134" s="2546"/>
      <c r="H134" s="2546"/>
      <c r="I134" s="2546"/>
      <c r="J134" s="2545"/>
      <c r="K134" s="2546"/>
      <c r="L134" s="2546"/>
      <c r="M134" s="2546"/>
      <c r="N134" s="2546"/>
      <c r="O134" s="2547"/>
      <c r="P134" s="2547"/>
      <c r="Q134" s="2546"/>
      <c r="R134" s="2547"/>
      <c r="S134" s="2546"/>
      <c r="T134" s="2548"/>
      <c r="U134" s="2548"/>
      <c r="V134" s="2548"/>
      <c r="W134" s="2548"/>
      <c r="X134" s="2548"/>
      <c r="Y134" s="2548"/>
      <c r="Z134" s="2548"/>
      <c r="AA134" s="2548"/>
      <c r="AB134" s="2548"/>
      <c r="AC134" s="2546"/>
      <c r="AD134" s="3529"/>
      <c r="AE134" s="3529"/>
      <c r="AF134" s="3529"/>
      <c r="AG134" s="3529"/>
      <c r="AH134" s="3529"/>
      <c r="AI134" s="2548"/>
      <c r="AJ134" s="2546"/>
      <c r="AK134" s="2548"/>
      <c r="AL134" s="2546">
        <v>2000</v>
      </c>
      <c r="AM134" s="2548"/>
      <c r="AN134" s="2548"/>
      <c r="AO134" s="2548"/>
      <c r="AP134" s="2548"/>
      <c r="AQ134" s="2548"/>
      <c r="AR134" s="2548"/>
      <c r="AS134" s="2548"/>
      <c r="AT134" s="2548"/>
      <c r="AU134" s="2548"/>
      <c r="AV134" s="2546"/>
      <c r="AW134" s="2548"/>
      <c r="AX134" s="2548"/>
      <c r="AY134" s="2548"/>
      <c r="AZ134" s="2548"/>
      <c r="BA134" s="2548"/>
      <c r="BB134" s="2548"/>
      <c r="BC134" s="2548"/>
      <c r="BD134" s="2548"/>
      <c r="BE134" s="2548"/>
      <c r="BF134" s="2548"/>
      <c r="BG134" s="2548"/>
      <c r="BH134" s="3959"/>
      <c r="BI134" s="3959"/>
      <c r="BJ134" s="2546">
        <v>2000</v>
      </c>
      <c r="BK134" s="2548"/>
      <c r="BL134" s="2548"/>
      <c r="BM134" s="2548"/>
      <c r="BN134" s="2548"/>
      <c r="BO134" s="2548"/>
      <c r="BP134" s="2546"/>
      <c r="BQ134" s="2548"/>
      <c r="BR134" s="2548"/>
      <c r="BS134" s="2548"/>
      <c r="BT134" s="2548"/>
      <c r="BU134" s="2548"/>
      <c r="BV134" s="2548"/>
      <c r="BW134" s="2548"/>
      <c r="BX134" s="2548"/>
      <c r="BY134" s="2548"/>
      <c r="BZ134" s="2548"/>
      <c r="CA134" s="2548"/>
      <c r="CB134" s="2546"/>
      <c r="CC134" s="2548"/>
      <c r="CD134" s="2548"/>
      <c r="CE134" s="2548"/>
      <c r="CF134" s="2546"/>
      <c r="CG134" s="2548"/>
      <c r="CH134" s="2546"/>
      <c r="CI134" s="2548"/>
      <c r="CJ134" s="2548"/>
      <c r="CK134" s="2548"/>
      <c r="CL134" s="2546">
        <v>2000</v>
      </c>
      <c r="CM134" s="2548"/>
      <c r="CN134" s="2548"/>
      <c r="CO134" s="2548"/>
      <c r="CP134" s="2548"/>
      <c r="CQ134" s="2548"/>
      <c r="CR134" s="2546">
        <v>2000</v>
      </c>
      <c r="CS134" s="2546">
        <v>2000</v>
      </c>
      <c r="CT134" s="2548"/>
      <c r="CU134" s="2546"/>
      <c r="CV134" s="2546"/>
      <c r="CW134" s="2548"/>
      <c r="CX134" s="2548"/>
      <c r="CY134" s="2548"/>
      <c r="CZ134" s="2548"/>
      <c r="DA134" s="2548"/>
      <c r="DB134" s="2548"/>
      <c r="DC134" s="2546"/>
      <c r="DD134" s="2548"/>
      <c r="DE134" s="2548"/>
      <c r="DF134" s="2548"/>
      <c r="DG134" s="2548"/>
      <c r="DH134" s="2548"/>
      <c r="DI134" s="2548"/>
      <c r="DJ134" s="2546"/>
      <c r="DK134" s="2548"/>
      <c r="DL134" s="2548"/>
      <c r="DM134" s="2548"/>
      <c r="DN134" s="2548"/>
      <c r="DO134" s="2546"/>
      <c r="DP134" s="2548"/>
      <c r="DQ134" s="2548"/>
      <c r="DR134" s="2548"/>
      <c r="DS134" s="2548"/>
      <c r="DT134" s="2548"/>
      <c r="DU134" s="2548"/>
      <c r="DV134" s="2548"/>
      <c r="DW134" s="2548"/>
      <c r="DX134" s="2548"/>
      <c r="DY134" s="2548"/>
      <c r="DZ134" s="2548"/>
      <c r="EA134" s="2548"/>
      <c r="EB134" s="2548"/>
      <c r="EC134" s="2548"/>
      <c r="ED134" s="2548"/>
      <c r="EE134" s="2548"/>
      <c r="EF134" s="2546"/>
      <c r="EG134" s="2546"/>
      <c r="EH134" s="2548"/>
      <c r="EI134" s="2546"/>
      <c r="EJ134" s="2548"/>
      <c r="EK134" s="2548"/>
      <c r="EL134" s="2548"/>
      <c r="EM134" s="2546">
        <v>2000</v>
      </c>
      <c r="EN134" s="2548"/>
      <c r="EO134" s="2548"/>
      <c r="EP134" s="2548"/>
      <c r="EQ134" s="2548"/>
      <c r="ER134" s="2548"/>
      <c r="ES134" s="2548"/>
      <c r="ET134" s="2548"/>
      <c r="EU134" s="2548"/>
      <c r="EV134" s="2548"/>
      <c r="EW134" s="2548"/>
      <c r="EX134" s="2548"/>
      <c r="EY134" s="2546">
        <v>2000</v>
      </c>
      <c r="EZ134" s="2548"/>
      <c r="FA134" s="2548"/>
      <c r="FB134" s="2548"/>
      <c r="FC134" s="2548"/>
      <c r="FD134" s="2548"/>
      <c r="FE134" s="2548"/>
      <c r="FF134" s="2546"/>
      <c r="FG134" s="2548"/>
      <c r="FH134" s="2546"/>
      <c r="FI134" s="2548"/>
      <c r="FJ134" s="2548"/>
      <c r="FK134" s="2548"/>
      <c r="FL134" s="2548"/>
      <c r="FM134" s="2548"/>
      <c r="FN134" s="2548"/>
      <c r="FO134" s="2548"/>
      <c r="FP134" s="2548"/>
      <c r="FQ134" s="2548"/>
      <c r="FR134" s="2548"/>
      <c r="FS134" s="2548"/>
      <c r="FT134" s="2548"/>
      <c r="FU134" s="2548"/>
      <c r="FV134" s="2548"/>
      <c r="FW134" s="2548"/>
      <c r="FX134" s="2548"/>
      <c r="FY134" s="2548"/>
      <c r="FZ134" s="2548"/>
      <c r="GA134" s="2548"/>
      <c r="GB134" s="2548"/>
      <c r="GC134" s="2548"/>
      <c r="GD134" s="2548"/>
      <c r="GE134" s="2548"/>
      <c r="GF134" s="2548"/>
      <c r="GG134" s="2548"/>
      <c r="GH134" s="2548"/>
      <c r="GI134" s="2548"/>
      <c r="GJ134" s="2546"/>
      <c r="GK134" s="2548"/>
      <c r="GL134" s="2548"/>
      <c r="GM134" s="2548"/>
      <c r="GN134" s="2548"/>
      <c r="GO134" s="2548"/>
      <c r="GP134" s="2548"/>
      <c r="GQ134" s="2548"/>
      <c r="GR134" s="2548"/>
      <c r="GS134" s="2548"/>
      <c r="GT134" s="2548"/>
      <c r="GU134" s="2548"/>
      <c r="GV134" s="2548"/>
      <c r="GW134" s="2548"/>
      <c r="GX134" s="2546"/>
      <c r="GY134" s="2548"/>
      <c r="GZ134" s="2548"/>
      <c r="HA134" s="2548"/>
      <c r="HB134" s="2546"/>
      <c r="HC134" s="2546"/>
      <c r="HD134" s="2548"/>
      <c r="HE134" s="2548"/>
      <c r="HF134" s="2548"/>
      <c r="HG134" s="2548"/>
      <c r="HH134" s="2548"/>
      <c r="HI134" s="2548"/>
      <c r="HJ134" s="2548"/>
      <c r="HK134" s="2548"/>
      <c r="HL134" s="2548"/>
      <c r="HM134" s="2548"/>
      <c r="HN134" s="2548"/>
      <c r="HO134" s="2546"/>
      <c r="HP134" s="2548"/>
      <c r="HQ134" s="2548"/>
      <c r="HR134" s="2548"/>
      <c r="HS134" s="2548"/>
      <c r="HT134" s="2548"/>
      <c r="HU134" s="2548"/>
      <c r="HV134" s="2548"/>
      <c r="HW134" s="2548"/>
      <c r="HX134" s="2548"/>
      <c r="HY134" s="2548"/>
      <c r="HZ134" s="2548"/>
      <c r="IA134" s="2548"/>
      <c r="IB134" s="2548"/>
      <c r="IC134" s="2548"/>
      <c r="ID134" s="2548"/>
      <c r="IE134" s="2548"/>
      <c r="IF134" s="2548"/>
      <c r="IG134" s="2548"/>
      <c r="IH134" s="2548"/>
      <c r="II134" s="2548"/>
      <c r="IJ134" s="2548"/>
      <c r="IK134" s="2548"/>
      <c r="IL134" s="2548"/>
      <c r="IM134" s="2548"/>
      <c r="IN134" s="2548"/>
      <c r="IO134" s="2548"/>
      <c r="IP134" s="2548"/>
      <c r="IQ134" s="2548"/>
      <c r="IR134" s="2548"/>
      <c r="IS134" s="2548"/>
      <c r="IT134" s="2548"/>
      <c r="IU134" s="2548"/>
      <c r="IV134" s="2548"/>
      <c r="IW134" s="2548"/>
      <c r="IX134" s="2548"/>
      <c r="IY134" s="2548"/>
      <c r="IZ134" s="2548"/>
      <c r="JA134" s="2548"/>
      <c r="JB134" s="2548"/>
      <c r="JC134" s="2548"/>
      <c r="JD134" s="2548"/>
      <c r="JE134" s="2548"/>
      <c r="JF134" s="2548"/>
      <c r="JG134" s="2549"/>
      <c r="JH134" s="1233"/>
      <c r="JI134" s="2248"/>
      <c r="JJ134" s="2248" t="s">
        <v>6108</v>
      </c>
    </row>
    <row r="135" spans="1:270" x14ac:dyDescent="0.2">
      <c r="A135" s="1128">
        <v>92</v>
      </c>
      <c r="B135" s="1347" t="str">
        <f si="5" t="shared"/>
        <v/>
      </c>
      <c r="C135" s="1278" t="s">
        <v>1873</v>
      </c>
      <c r="D135" s="1350" t="s">
        <v>5548</v>
      </c>
      <c r="E135" s="2546"/>
      <c r="F135" s="2546"/>
      <c r="G135" s="2546"/>
      <c r="H135" s="2546"/>
      <c r="I135" s="2546"/>
      <c r="J135" s="2545"/>
      <c r="K135" s="2546"/>
      <c r="L135" s="2546"/>
      <c r="M135" s="2546"/>
      <c r="N135" s="2546"/>
      <c r="O135" s="2547"/>
      <c r="P135" s="2547"/>
      <c r="Q135" s="2546"/>
      <c r="R135" s="2547"/>
      <c r="S135" s="2546"/>
      <c r="T135" s="2548"/>
      <c r="U135" s="2548"/>
      <c r="V135" s="2548"/>
      <c r="W135" s="2548"/>
      <c r="X135" s="2548"/>
      <c r="Y135" s="2548"/>
      <c r="Z135" s="2548"/>
      <c r="AA135" s="2548"/>
      <c r="AB135" s="2548"/>
      <c r="AC135" s="2546"/>
      <c r="AD135" s="3529"/>
      <c r="AE135" s="3529"/>
      <c r="AF135" s="3529"/>
      <c r="AG135" s="3529"/>
      <c r="AH135" s="3529"/>
      <c r="AI135" s="2548"/>
      <c r="AJ135" s="2546"/>
      <c r="AK135" s="2548"/>
      <c r="AL135" s="2546">
        <v>252</v>
      </c>
      <c r="AM135" s="2548"/>
      <c r="AN135" s="2548"/>
      <c r="AO135" s="2548"/>
      <c r="AP135" s="2548"/>
      <c r="AQ135" s="2548"/>
      <c r="AR135" s="2548"/>
      <c r="AS135" s="2548"/>
      <c r="AT135" s="2548"/>
      <c r="AU135" s="2548"/>
      <c r="AV135" s="2546"/>
      <c r="AW135" s="2548"/>
      <c r="AX135" s="2548"/>
      <c r="AY135" s="2548"/>
      <c r="AZ135" s="2548"/>
      <c r="BA135" s="2548"/>
      <c r="BB135" s="2548"/>
      <c r="BC135" s="2548"/>
      <c r="BD135" s="2548"/>
      <c r="BE135" s="2548"/>
      <c r="BF135" s="2548"/>
      <c r="BG135" s="2548"/>
      <c r="BH135" s="3959"/>
      <c r="BI135" s="3959"/>
      <c r="BJ135" s="2546">
        <v>252</v>
      </c>
      <c r="BK135" s="2548"/>
      <c r="BL135" s="2548"/>
      <c r="BM135" s="2548"/>
      <c r="BN135" s="2548"/>
      <c r="BO135" s="2548"/>
      <c r="BP135" s="2546"/>
      <c r="BQ135" s="2548"/>
      <c r="BR135" s="2548"/>
      <c r="BS135" s="2548"/>
      <c r="BT135" s="2548"/>
      <c r="BU135" s="2548"/>
      <c r="BV135" s="2548"/>
      <c r="BW135" s="2548"/>
      <c r="BX135" s="2548"/>
      <c r="BY135" s="2548"/>
      <c r="BZ135" s="2548"/>
      <c r="CA135" s="2548"/>
      <c r="CB135" s="2546"/>
      <c r="CC135" s="2548"/>
      <c r="CD135" s="2548"/>
      <c r="CE135" s="2548"/>
      <c r="CF135" s="2546"/>
      <c r="CG135" s="2548"/>
      <c r="CH135" s="2546"/>
      <c r="CI135" s="2548"/>
      <c r="CJ135" s="2548"/>
      <c r="CK135" s="2548"/>
      <c r="CL135" s="2546">
        <v>252</v>
      </c>
      <c r="CM135" s="2548"/>
      <c r="CN135" s="2548"/>
      <c r="CO135" s="2548"/>
      <c r="CP135" s="2548"/>
      <c r="CQ135" s="2548"/>
      <c r="CR135" s="2546">
        <v>252</v>
      </c>
      <c r="CS135" s="2546">
        <v>252</v>
      </c>
      <c r="CT135" s="2548"/>
      <c r="CU135" s="2546"/>
      <c r="CV135" s="2546"/>
      <c r="CW135" s="2548"/>
      <c r="CX135" s="2548"/>
      <c r="CY135" s="2548"/>
      <c r="CZ135" s="2548"/>
      <c r="DA135" s="2548"/>
      <c r="DB135" s="2548"/>
      <c r="DC135" s="2546"/>
      <c r="DD135" s="2548"/>
      <c r="DE135" s="2548"/>
      <c r="DF135" s="2548"/>
      <c r="DG135" s="2548"/>
      <c r="DH135" s="2548"/>
      <c r="DI135" s="2548"/>
      <c r="DJ135" s="2546"/>
      <c r="DK135" s="2548"/>
      <c r="DL135" s="2548"/>
      <c r="DM135" s="2548"/>
      <c r="DN135" s="2548"/>
      <c r="DO135" s="2546"/>
      <c r="DP135" s="2548"/>
      <c r="DQ135" s="2548"/>
      <c r="DR135" s="2548"/>
      <c r="DS135" s="2548"/>
      <c r="DT135" s="2548"/>
      <c r="DU135" s="2548"/>
      <c r="DV135" s="2548"/>
      <c r="DW135" s="2548"/>
      <c r="DX135" s="2548"/>
      <c r="DY135" s="2548"/>
      <c r="DZ135" s="2548"/>
      <c r="EA135" s="2548"/>
      <c r="EB135" s="2548"/>
      <c r="EC135" s="2548"/>
      <c r="ED135" s="2548"/>
      <c r="EE135" s="2548"/>
      <c r="EF135" s="2546"/>
      <c r="EG135" s="2546"/>
      <c r="EH135" s="2548"/>
      <c r="EI135" s="2546"/>
      <c r="EJ135" s="2548"/>
      <c r="EK135" s="2548"/>
      <c r="EL135" s="2548"/>
      <c r="EM135" s="2546">
        <v>252</v>
      </c>
      <c r="EN135" s="2548"/>
      <c r="EO135" s="2548"/>
      <c r="EP135" s="2548"/>
      <c r="EQ135" s="2548"/>
      <c r="ER135" s="2548"/>
      <c r="ES135" s="2548"/>
      <c r="ET135" s="2548"/>
      <c r="EU135" s="2548"/>
      <c r="EV135" s="2548"/>
      <c r="EW135" s="2548"/>
      <c r="EX135" s="2548"/>
      <c r="EY135" s="2546">
        <v>252</v>
      </c>
      <c r="EZ135" s="2548"/>
      <c r="FA135" s="2548"/>
      <c r="FB135" s="2548"/>
      <c r="FC135" s="2548"/>
      <c r="FD135" s="2548"/>
      <c r="FE135" s="2548"/>
      <c r="FF135" s="2546"/>
      <c r="FG135" s="2548"/>
      <c r="FH135" s="2546"/>
      <c r="FI135" s="2548"/>
      <c r="FJ135" s="2548"/>
      <c r="FK135" s="2548"/>
      <c r="FL135" s="2548"/>
      <c r="FM135" s="2548"/>
      <c r="FN135" s="2548"/>
      <c r="FO135" s="2548"/>
      <c r="FP135" s="2548"/>
      <c r="FQ135" s="2548"/>
      <c r="FR135" s="2548"/>
      <c r="FS135" s="2548"/>
      <c r="FT135" s="2548"/>
      <c r="FU135" s="2548"/>
      <c r="FV135" s="2548"/>
      <c r="FW135" s="2548"/>
      <c r="FX135" s="2548"/>
      <c r="FY135" s="2548"/>
      <c r="FZ135" s="2548"/>
      <c r="GA135" s="2548"/>
      <c r="GB135" s="2548"/>
      <c r="GC135" s="2548"/>
      <c r="GD135" s="2548"/>
      <c r="GE135" s="2548"/>
      <c r="GF135" s="2548"/>
      <c r="GG135" s="2548"/>
      <c r="GH135" s="2548"/>
      <c r="GI135" s="2548"/>
      <c r="GJ135" s="2546"/>
      <c r="GK135" s="2548"/>
      <c r="GL135" s="2548"/>
      <c r="GM135" s="2548"/>
      <c r="GN135" s="2548"/>
      <c r="GO135" s="2548"/>
      <c r="GP135" s="2548"/>
      <c r="GQ135" s="2548"/>
      <c r="GR135" s="2548"/>
      <c r="GS135" s="2548"/>
      <c r="GT135" s="2548"/>
      <c r="GU135" s="2548"/>
      <c r="GV135" s="2548"/>
      <c r="GW135" s="2548"/>
      <c r="GX135" s="2546"/>
      <c r="GY135" s="2548"/>
      <c r="GZ135" s="2548"/>
      <c r="HA135" s="2548"/>
      <c r="HB135" s="2546"/>
      <c r="HC135" s="2546"/>
      <c r="HD135" s="2548"/>
      <c r="HE135" s="2548"/>
      <c r="HF135" s="2548"/>
      <c r="HG135" s="2548"/>
      <c r="HH135" s="2548"/>
      <c r="HI135" s="2548"/>
      <c r="HJ135" s="2548"/>
      <c r="HK135" s="2548"/>
      <c r="HL135" s="2548"/>
      <c r="HM135" s="2548"/>
      <c r="HN135" s="2548"/>
      <c r="HO135" s="2546"/>
      <c r="HP135" s="2548"/>
      <c r="HQ135" s="2548"/>
      <c r="HR135" s="2548"/>
      <c r="HS135" s="2548"/>
      <c r="HT135" s="2548"/>
      <c r="HU135" s="2548"/>
      <c r="HV135" s="2548"/>
      <c r="HW135" s="2548"/>
      <c r="HX135" s="2548"/>
      <c r="HY135" s="2548"/>
      <c r="HZ135" s="2548"/>
      <c r="IA135" s="2548"/>
      <c r="IB135" s="2548"/>
      <c r="IC135" s="2548"/>
      <c r="ID135" s="2548"/>
      <c r="IE135" s="2548"/>
      <c r="IF135" s="2548"/>
      <c r="IG135" s="2548"/>
      <c r="IH135" s="2548"/>
      <c r="II135" s="2548"/>
      <c r="IJ135" s="2548"/>
      <c r="IK135" s="2548"/>
      <c r="IL135" s="2548"/>
      <c r="IM135" s="2548"/>
      <c r="IN135" s="2548"/>
      <c r="IO135" s="2548"/>
      <c r="IP135" s="2548"/>
      <c r="IQ135" s="2548"/>
      <c r="IR135" s="2548"/>
      <c r="IS135" s="2548"/>
      <c r="IT135" s="2548"/>
      <c r="IU135" s="2548"/>
      <c r="IV135" s="2548"/>
      <c r="IW135" s="2548"/>
      <c r="IX135" s="2548"/>
      <c r="IY135" s="2548"/>
      <c r="IZ135" s="2548"/>
      <c r="JA135" s="2548"/>
      <c r="JB135" s="2548"/>
      <c r="JC135" s="2548"/>
      <c r="JD135" s="2548"/>
      <c r="JE135" s="2548"/>
      <c r="JF135" s="2548"/>
      <c r="JG135" s="2549"/>
      <c r="JH135" s="1233"/>
      <c r="JI135" s="2248"/>
      <c r="JJ135" s="2248" t="s">
        <v>6108</v>
      </c>
    </row>
    <row ht="22.5" r="136" spans="1:270" x14ac:dyDescent="0.2">
      <c r="A136" s="1128">
        <v>93</v>
      </c>
      <c r="B136" s="1347" t="str">
        <f si="5" t="shared"/>
        <v/>
      </c>
      <c r="C136" s="1278" t="s">
        <v>2393</v>
      </c>
      <c r="D136" s="1350" t="s">
        <v>5549</v>
      </c>
      <c r="E136" s="2565"/>
      <c r="F136" s="2566"/>
      <c r="G136" s="2565"/>
      <c r="H136" s="2565"/>
      <c r="I136" s="2565"/>
      <c r="J136" s="2565"/>
      <c r="K136" s="2565"/>
      <c r="L136" s="2565"/>
      <c r="M136" s="2565"/>
      <c r="N136" s="2565"/>
      <c r="O136" s="2567"/>
      <c r="P136" s="2567"/>
      <c r="Q136" s="2565"/>
      <c r="R136" s="2567"/>
      <c r="S136" s="2565"/>
      <c r="T136" s="2568"/>
      <c r="U136" s="2568"/>
      <c r="V136" s="2568"/>
      <c r="W136" s="2568"/>
      <c r="X136" s="2568"/>
      <c r="Y136" s="2568"/>
      <c r="Z136" s="2568"/>
      <c r="AA136" s="2568"/>
      <c r="AB136" s="2568"/>
      <c r="AC136" s="2565"/>
      <c r="AD136" s="3533"/>
      <c r="AE136" s="3533"/>
      <c r="AF136" s="3533"/>
      <c r="AG136" s="3533"/>
      <c r="AH136" s="3533"/>
      <c r="AI136" s="2568"/>
      <c r="AJ136" s="2565"/>
      <c r="AK136" s="2568"/>
      <c r="AL136" s="2566">
        <f>AL129+AL130+AL131+AL132+AL133+AL134+AL135</f>
        <v>377499</v>
      </c>
      <c r="AM136" s="2568"/>
      <c r="AN136" s="2568"/>
      <c r="AO136" s="2568"/>
      <c r="AP136" s="2568"/>
      <c r="AQ136" s="2568"/>
      <c r="AR136" s="2568"/>
      <c r="AS136" s="2568"/>
      <c r="AT136" s="2568"/>
      <c r="AU136" s="2568"/>
      <c r="AV136" s="2565"/>
      <c r="AW136" s="2568"/>
      <c r="AX136" s="2568"/>
      <c r="AY136" s="2568"/>
      <c r="AZ136" s="2568"/>
      <c r="BA136" s="2568"/>
      <c r="BB136" s="2568"/>
      <c r="BC136" s="2568"/>
      <c r="BD136" s="2568"/>
      <c r="BE136" s="2568"/>
      <c r="BF136" s="2568"/>
      <c r="BG136" s="2568"/>
      <c r="BH136" s="3963"/>
      <c r="BI136" s="3963"/>
      <c r="BJ136" s="2566">
        <f>BJ129+BJ130+BJ131+BJ132+BJ133+BJ134+BJ135</f>
        <v>377499</v>
      </c>
      <c r="BK136" s="2568"/>
      <c r="BL136" s="2568"/>
      <c r="BM136" s="2568"/>
      <c r="BN136" s="2568"/>
      <c r="BO136" s="2568"/>
      <c r="BP136" s="2565"/>
      <c r="BQ136" s="2568"/>
      <c r="BR136" s="2568"/>
      <c r="BS136" s="2568"/>
      <c r="BT136" s="2568"/>
      <c r="BU136" s="2568"/>
      <c r="BV136" s="2568"/>
      <c r="BW136" s="2568"/>
      <c r="BX136" s="2568"/>
      <c r="BY136" s="2568"/>
      <c r="BZ136" s="2568"/>
      <c r="CA136" s="2568"/>
      <c r="CB136" s="2565"/>
      <c r="CC136" s="2568"/>
      <c r="CD136" s="2568"/>
      <c r="CE136" s="2568"/>
      <c r="CF136" s="2565"/>
      <c r="CG136" s="2568"/>
      <c r="CH136" s="2565"/>
      <c r="CI136" s="2568"/>
      <c r="CJ136" s="2568"/>
      <c r="CK136" s="2568"/>
      <c r="CL136" s="2566">
        <f>CL129+CL130+CL131+CL132+CL133+CL134+CL135</f>
        <v>377499</v>
      </c>
      <c r="CM136" s="2568"/>
      <c r="CN136" s="2568"/>
      <c r="CO136" s="2568"/>
      <c r="CP136" s="2568"/>
      <c r="CQ136" s="2568"/>
      <c r="CR136" s="2566">
        <f>CR129+CR130+CR131+CR132+CR133+CR134+CR135</f>
        <v>377499</v>
      </c>
      <c r="CS136" s="2566">
        <f>CS129+CS130+CS131+CS132+CS133+CS134+CS135</f>
        <v>377499</v>
      </c>
      <c r="CT136" s="2568"/>
      <c r="CU136" s="2565"/>
      <c r="CV136" s="2565"/>
      <c r="CW136" s="2568"/>
      <c r="CX136" s="2568"/>
      <c r="CY136" s="2568"/>
      <c r="CZ136" s="2568"/>
      <c r="DA136" s="2568"/>
      <c r="DB136" s="2568"/>
      <c r="DC136" s="2565"/>
      <c r="DD136" s="2568"/>
      <c r="DE136" s="2568"/>
      <c r="DF136" s="2568"/>
      <c r="DG136" s="2568"/>
      <c r="DH136" s="2568"/>
      <c r="DI136" s="2568"/>
      <c r="DJ136" s="2565"/>
      <c r="DK136" s="2568"/>
      <c r="DL136" s="2568"/>
      <c r="DM136" s="2568"/>
      <c r="DN136" s="2568"/>
      <c r="DO136" s="2565"/>
      <c r="DP136" s="2568"/>
      <c r="DQ136" s="2568"/>
      <c r="DR136" s="2568"/>
      <c r="DS136" s="2568"/>
      <c r="DT136" s="2568"/>
      <c r="DU136" s="2568"/>
      <c r="DV136" s="2568"/>
      <c r="DW136" s="2568"/>
      <c r="DX136" s="2568"/>
      <c r="DY136" s="2568"/>
      <c r="DZ136" s="2568"/>
      <c r="EA136" s="2568"/>
      <c r="EB136" s="2568"/>
      <c r="EC136" s="2568"/>
      <c r="ED136" s="2568"/>
      <c r="EE136" s="2568"/>
      <c r="EF136" s="2565"/>
      <c r="EG136" s="2565"/>
      <c r="EH136" s="2568"/>
      <c r="EI136" s="2566">
        <f>EI129+EI130+EI131+EI132+EI133+EI134+EI135</f>
        <v>15841</v>
      </c>
      <c r="EJ136" s="2568"/>
      <c r="EK136" s="2568"/>
      <c r="EL136" s="2568"/>
      <c r="EM136" s="2566">
        <f>EM129+EM130+EM131+EM132+EM133+EM134+EM135</f>
        <v>377499</v>
      </c>
      <c r="EN136" s="2568"/>
      <c r="EO136" s="2568"/>
      <c r="EP136" s="2568"/>
      <c r="EQ136" s="2568"/>
      <c r="ER136" s="2568"/>
      <c r="ES136" s="2568"/>
      <c r="ET136" s="2568"/>
      <c r="EU136" s="2568"/>
      <c r="EV136" s="2568"/>
      <c r="EW136" s="2568"/>
      <c r="EX136" s="2568"/>
      <c r="EY136" s="2566">
        <f>EY129+EY130+EY131+EY132+EY133+EY134+EY135</f>
        <v>377499</v>
      </c>
      <c r="EZ136" s="2568"/>
      <c r="FA136" s="2568"/>
      <c r="FB136" s="2568"/>
      <c r="FC136" s="2568"/>
      <c r="FD136" s="2568"/>
      <c r="FE136" s="2568"/>
      <c r="FF136" s="2565"/>
      <c r="FG136" s="2568"/>
      <c r="FH136" s="2565"/>
      <c r="FI136" s="2568"/>
      <c r="FJ136" s="2568"/>
      <c r="FK136" s="2568"/>
      <c r="FL136" s="2568"/>
      <c r="FM136" s="2568"/>
      <c r="FN136" s="2568"/>
      <c r="FO136" s="2568"/>
      <c r="FP136" s="2568"/>
      <c r="FQ136" s="2568"/>
      <c r="FR136" s="2568"/>
      <c r="FS136" s="2568"/>
      <c r="FT136" s="2568"/>
      <c r="FU136" s="2568"/>
      <c r="FV136" s="2568"/>
      <c r="FW136" s="2568"/>
      <c r="FX136" s="2568"/>
      <c r="FY136" s="2568"/>
      <c r="FZ136" s="2568"/>
      <c r="GA136" s="2568"/>
      <c r="GB136" s="2568"/>
      <c r="GC136" s="2568"/>
      <c r="GD136" s="2568"/>
      <c r="GE136" s="2568"/>
      <c r="GF136" s="2568"/>
      <c r="GG136" s="2568"/>
      <c r="GH136" s="2568"/>
      <c r="GI136" s="2568"/>
      <c r="GJ136" s="2566">
        <f>GJ129+GJ130+GJ131+GJ132+GJ133+GJ134+GJ135</f>
        <v>15841</v>
      </c>
      <c r="GK136" s="2568"/>
      <c r="GL136" s="2568"/>
      <c r="GM136" s="2568"/>
      <c r="GN136" s="2568"/>
      <c r="GO136" s="2568"/>
      <c r="GP136" s="2568"/>
      <c r="GQ136" s="2568"/>
      <c r="GR136" s="2568"/>
      <c r="GS136" s="2568"/>
      <c r="GT136" s="2568"/>
      <c r="GU136" s="2568"/>
      <c r="GV136" s="2568"/>
      <c r="GW136" s="2568"/>
      <c r="GX136" s="2565"/>
      <c r="GY136" s="2568"/>
      <c r="GZ136" s="2568"/>
      <c r="HA136" s="2568"/>
      <c r="HB136" s="2565"/>
      <c r="HC136" s="2565"/>
      <c r="HD136" s="2568"/>
      <c r="HE136" s="2568"/>
      <c r="HF136" s="2568"/>
      <c r="HG136" s="2568"/>
      <c r="HH136" s="2568"/>
      <c r="HI136" s="2568"/>
      <c r="HJ136" s="2568"/>
      <c r="HK136" s="2568"/>
      <c r="HL136" s="2568"/>
      <c r="HM136" s="2568"/>
      <c r="HN136" s="2568"/>
      <c r="HO136" s="2565"/>
      <c r="HP136" s="2568"/>
      <c r="HQ136" s="2568"/>
      <c r="HR136" s="2568"/>
      <c r="HS136" s="2568"/>
      <c r="HT136" s="2568"/>
      <c r="HU136" s="2568"/>
      <c r="HV136" s="2568"/>
      <c r="HW136" s="2568"/>
      <c r="HX136" s="2568"/>
      <c r="HY136" s="2568"/>
      <c r="HZ136" s="2568"/>
      <c r="IA136" s="2568"/>
      <c r="IB136" s="2568"/>
      <c r="IC136" s="2568"/>
      <c r="ID136" s="2568"/>
      <c r="IE136" s="2568"/>
      <c r="IF136" s="2568"/>
      <c r="IG136" s="2568"/>
      <c r="IH136" s="2568"/>
      <c r="II136" s="2568"/>
      <c r="IJ136" s="2568"/>
      <c r="IK136" s="2568"/>
      <c r="IL136" s="2568"/>
      <c r="IM136" s="2568"/>
      <c r="IN136" s="2568"/>
      <c r="IO136" s="2568"/>
      <c r="IP136" s="2568"/>
      <c r="IQ136" s="2568"/>
      <c r="IR136" s="2568"/>
      <c r="IS136" s="2568"/>
      <c r="IT136" s="2568"/>
      <c r="IU136" s="2568"/>
      <c r="IV136" s="2568"/>
      <c r="IW136" s="2568"/>
      <c r="IX136" s="2568"/>
      <c r="IY136" s="2568"/>
      <c r="IZ136" s="2568"/>
      <c r="JA136" s="2568"/>
      <c r="JB136" s="2568"/>
      <c r="JC136" s="2568"/>
      <c r="JD136" s="2568"/>
      <c r="JE136" s="2568"/>
      <c r="JF136" s="2568"/>
      <c r="JG136" s="2569"/>
      <c r="JH136" s="1233"/>
      <c r="JI136" s="4280" t="s">
        <v>5486</v>
      </c>
      <c r="JJ136" s="2248" t="s">
        <v>6108</v>
      </c>
    </row>
    <row r="137" spans="1:270" x14ac:dyDescent="0.2">
      <c r="A137" s="1128">
        <v>94</v>
      </c>
      <c r="B137" s="1347" t="str">
        <f si="5" t="shared"/>
        <v/>
      </c>
      <c r="C137" s="1278" t="s">
        <v>2394</v>
      </c>
      <c r="D137" s="1350" t="s">
        <v>5550</v>
      </c>
      <c r="E137" s="2546"/>
      <c r="F137" s="2546"/>
      <c r="G137" s="2546"/>
      <c r="H137" s="2546"/>
      <c r="I137" s="2546"/>
      <c r="J137" s="2545"/>
      <c r="K137" s="2546"/>
      <c r="L137" s="2546"/>
      <c r="M137" s="2546"/>
      <c r="N137" s="2546"/>
      <c r="O137" s="2547"/>
      <c r="P137" s="2547"/>
      <c r="Q137" s="2546"/>
      <c r="R137" s="2547"/>
      <c r="S137" s="2546"/>
      <c r="T137" s="2548"/>
      <c r="U137" s="2548"/>
      <c r="V137" s="2548"/>
      <c r="W137" s="2548"/>
      <c r="X137" s="2548"/>
      <c r="Y137" s="2548"/>
      <c r="Z137" s="2548"/>
      <c r="AA137" s="2548"/>
      <c r="AB137" s="2548"/>
      <c r="AC137" s="2546"/>
      <c r="AD137" s="3529"/>
      <c r="AE137" s="3529"/>
      <c r="AF137" s="3529"/>
      <c r="AG137" s="3529"/>
      <c r="AH137" s="3529"/>
      <c r="AI137" s="2548"/>
      <c r="AJ137" s="2546"/>
      <c r="AK137" s="2548"/>
      <c r="AL137" s="2546">
        <v>14864</v>
      </c>
      <c r="AM137" s="2548"/>
      <c r="AN137" s="2548"/>
      <c r="AO137" s="2548"/>
      <c r="AP137" s="2548"/>
      <c r="AQ137" s="2548"/>
      <c r="AR137" s="2548"/>
      <c r="AS137" s="2548"/>
      <c r="AT137" s="2548"/>
      <c r="AU137" s="2548"/>
      <c r="AV137" s="2546"/>
      <c r="AW137" s="2548"/>
      <c r="AX137" s="2548"/>
      <c r="AY137" s="2548"/>
      <c r="AZ137" s="2548"/>
      <c r="BA137" s="2548"/>
      <c r="BB137" s="2548"/>
      <c r="BC137" s="2548"/>
      <c r="BD137" s="2548"/>
      <c r="BE137" s="2548"/>
      <c r="BF137" s="2548"/>
      <c r="BG137" s="2548"/>
      <c r="BH137" s="3959"/>
      <c r="BI137" s="3959"/>
      <c r="BJ137" s="2546">
        <v>14864</v>
      </c>
      <c r="BK137" s="2548"/>
      <c r="BL137" s="2548"/>
      <c r="BM137" s="2548"/>
      <c r="BN137" s="2548"/>
      <c r="BO137" s="2548"/>
      <c r="BP137" s="2546"/>
      <c r="BQ137" s="2548"/>
      <c r="BR137" s="2548"/>
      <c r="BS137" s="2548"/>
      <c r="BT137" s="2548"/>
      <c r="BU137" s="2548"/>
      <c r="BV137" s="2548"/>
      <c r="BW137" s="2548"/>
      <c r="BX137" s="2548"/>
      <c r="BY137" s="2548"/>
      <c r="BZ137" s="2548"/>
      <c r="CA137" s="2548"/>
      <c r="CB137" s="2546"/>
      <c r="CC137" s="2548"/>
      <c r="CD137" s="2548"/>
      <c r="CE137" s="2548"/>
      <c r="CF137" s="2546"/>
      <c r="CG137" s="2548"/>
      <c r="CH137" s="2546"/>
      <c r="CI137" s="2548"/>
      <c r="CJ137" s="2548"/>
      <c r="CK137" s="2548"/>
      <c r="CL137" s="2546">
        <v>14864</v>
      </c>
      <c r="CM137" s="2548"/>
      <c r="CN137" s="2548"/>
      <c r="CO137" s="2548"/>
      <c r="CP137" s="2548"/>
      <c r="CQ137" s="2548"/>
      <c r="CR137" s="2546">
        <v>14864</v>
      </c>
      <c r="CS137" s="2546">
        <v>14864</v>
      </c>
      <c r="CT137" s="2548"/>
      <c r="CU137" s="2546"/>
      <c r="CV137" s="2546"/>
      <c r="CW137" s="2548"/>
      <c r="CX137" s="2548"/>
      <c r="CY137" s="2548"/>
      <c r="CZ137" s="2548"/>
      <c r="DA137" s="2548"/>
      <c r="DB137" s="2548"/>
      <c r="DC137" s="2546"/>
      <c r="DD137" s="2548"/>
      <c r="DE137" s="2548"/>
      <c r="DF137" s="2548"/>
      <c r="DG137" s="2548"/>
      <c r="DH137" s="2548"/>
      <c r="DI137" s="2548"/>
      <c r="DJ137" s="2546"/>
      <c r="DK137" s="2548"/>
      <c r="DL137" s="2548"/>
      <c r="DM137" s="2548"/>
      <c r="DN137" s="2548"/>
      <c r="DO137" s="2546"/>
      <c r="DP137" s="2548"/>
      <c r="DQ137" s="2548"/>
      <c r="DR137" s="2548"/>
      <c r="DS137" s="2548"/>
      <c r="DT137" s="2548"/>
      <c r="DU137" s="2548"/>
      <c r="DV137" s="2548"/>
      <c r="DW137" s="2548"/>
      <c r="DX137" s="2548"/>
      <c r="DY137" s="2548"/>
      <c r="DZ137" s="2548"/>
      <c r="EA137" s="2548"/>
      <c r="EB137" s="2548"/>
      <c r="EC137" s="2548"/>
      <c r="ED137" s="2548"/>
      <c r="EE137" s="2548"/>
      <c r="EF137" s="2546"/>
      <c r="EG137" s="2546"/>
      <c r="EH137" s="2548"/>
      <c r="EI137" s="2546"/>
      <c r="EJ137" s="2548"/>
      <c r="EK137" s="2548"/>
      <c r="EL137" s="2548"/>
      <c r="EM137" s="2546">
        <v>14864</v>
      </c>
      <c r="EN137" s="2548"/>
      <c r="EO137" s="2548"/>
      <c r="EP137" s="2548"/>
      <c r="EQ137" s="2548"/>
      <c r="ER137" s="2548"/>
      <c r="ES137" s="2548"/>
      <c r="ET137" s="2548"/>
      <c r="EU137" s="2548"/>
      <c r="EV137" s="2548"/>
      <c r="EW137" s="2548"/>
      <c r="EX137" s="2548"/>
      <c r="EY137" s="2546">
        <v>14864</v>
      </c>
      <c r="EZ137" s="2548"/>
      <c r="FA137" s="2548"/>
      <c r="FB137" s="2548"/>
      <c r="FC137" s="2548"/>
      <c r="FD137" s="2548"/>
      <c r="FE137" s="2548"/>
      <c r="FF137" s="2546"/>
      <c r="FG137" s="2548"/>
      <c r="FH137" s="2546"/>
      <c r="FI137" s="2548"/>
      <c r="FJ137" s="2548"/>
      <c r="FK137" s="2548"/>
      <c r="FL137" s="2548"/>
      <c r="FM137" s="2548"/>
      <c r="FN137" s="2548"/>
      <c r="FO137" s="2548"/>
      <c r="FP137" s="2548"/>
      <c r="FQ137" s="2548"/>
      <c r="FR137" s="2548"/>
      <c r="FS137" s="2548"/>
      <c r="FT137" s="2548"/>
      <c r="FU137" s="2548"/>
      <c r="FV137" s="2548"/>
      <c r="FW137" s="2548"/>
      <c r="FX137" s="2548"/>
      <c r="FY137" s="2548"/>
      <c r="FZ137" s="2548"/>
      <c r="GA137" s="2548"/>
      <c r="GB137" s="2548"/>
      <c r="GC137" s="2548"/>
      <c r="GD137" s="2548"/>
      <c r="GE137" s="2548"/>
      <c r="GF137" s="2548"/>
      <c r="GG137" s="2548"/>
      <c r="GH137" s="2548"/>
      <c r="GI137" s="2548"/>
      <c r="GJ137" s="2546"/>
      <c r="GK137" s="2548"/>
      <c r="GL137" s="2548"/>
      <c r="GM137" s="2548"/>
      <c r="GN137" s="2548"/>
      <c r="GO137" s="2548"/>
      <c r="GP137" s="2548"/>
      <c r="GQ137" s="2548"/>
      <c r="GR137" s="2548"/>
      <c r="GS137" s="2548"/>
      <c r="GT137" s="2548"/>
      <c r="GU137" s="2548"/>
      <c r="GV137" s="2548"/>
      <c r="GW137" s="2548"/>
      <c r="GX137" s="2546"/>
      <c r="GY137" s="2548"/>
      <c r="GZ137" s="2548"/>
      <c r="HA137" s="2548"/>
      <c r="HB137" s="2546"/>
      <c r="HC137" s="2546"/>
      <c r="HD137" s="2548"/>
      <c r="HE137" s="2548"/>
      <c r="HF137" s="2548"/>
      <c r="HG137" s="2548"/>
      <c r="HH137" s="2548"/>
      <c r="HI137" s="2548"/>
      <c r="HJ137" s="2548"/>
      <c r="HK137" s="2548"/>
      <c r="HL137" s="2548"/>
      <c r="HM137" s="2548"/>
      <c r="HN137" s="2548"/>
      <c r="HO137" s="2546"/>
      <c r="HP137" s="2548"/>
      <c r="HQ137" s="2548"/>
      <c r="HR137" s="2548"/>
      <c r="HS137" s="2548"/>
      <c r="HT137" s="2548"/>
      <c r="HU137" s="2548"/>
      <c r="HV137" s="2548"/>
      <c r="HW137" s="2548"/>
      <c r="HX137" s="2548"/>
      <c r="HY137" s="2548"/>
      <c r="HZ137" s="2548"/>
      <c r="IA137" s="2548"/>
      <c r="IB137" s="2548"/>
      <c r="IC137" s="2548"/>
      <c r="ID137" s="2548"/>
      <c r="IE137" s="2548"/>
      <c r="IF137" s="2548"/>
      <c r="IG137" s="2548"/>
      <c r="IH137" s="2548"/>
      <c r="II137" s="2548"/>
      <c r="IJ137" s="2548"/>
      <c r="IK137" s="2548"/>
      <c r="IL137" s="2548"/>
      <c r="IM137" s="2548"/>
      <c r="IN137" s="2548"/>
      <c r="IO137" s="2548"/>
      <c r="IP137" s="2548"/>
      <c r="IQ137" s="2548"/>
      <c r="IR137" s="2548"/>
      <c r="IS137" s="2548"/>
      <c r="IT137" s="2548"/>
      <c r="IU137" s="2548"/>
      <c r="IV137" s="2548"/>
      <c r="IW137" s="2548"/>
      <c r="IX137" s="2548"/>
      <c r="IY137" s="2548"/>
      <c r="IZ137" s="2548"/>
      <c r="JA137" s="2548"/>
      <c r="JB137" s="2548"/>
      <c r="JC137" s="2548"/>
      <c r="JD137" s="2548"/>
      <c r="JE137" s="2548"/>
      <c r="JF137" s="2548"/>
      <c r="JG137" s="2549"/>
      <c r="JH137" s="1233"/>
      <c r="JI137" s="2248"/>
      <c r="JJ137" s="2248" t="s">
        <v>6108</v>
      </c>
    </row>
    <row r="138" spans="1:270" x14ac:dyDescent="0.2">
      <c r="A138" s="1128">
        <v>95</v>
      </c>
      <c r="B138" s="1347" t="str">
        <f si="5" t="shared"/>
        <v/>
      </c>
      <c r="C138" s="1278" t="s">
        <v>2395</v>
      </c>
      <c r="D138" s="1350" t="s">
        <v>5551</v>
      </c>
      <c r="E138" s="2546"/>
      <c r="F138" s="2546"/>
      <c r="G138" s="2546"/>
      <c r="H138" s="2546"/>
      <c r="I138" s="2546"/>
      <c r="J138" s="2545"/>
      <c r="K138" s="2546"/>
      <c r="L138" s="2546"/>
      <c r="M138" s="2546"/>
      <c r="N138" s="2546"/>
      <c r="O138" s="2547"/>
      <c r="P138" s="2547"/>
      <c r="Q138" s="2546"/>
      <c r="R138" s="2547"/>
      <c r="S138" s="2546"/>
      <c r="T138" s="2548"/>
      <c r="U138" s="2548"/>
      <c r="V138" s="2548"/>
      <c r="W138" s="2548"/>
      <c r="X138" s="2548"/>
      <c r="Y138" s="2548"/>
      <c r="Z138" s="2548"/>
      <c r="AA138" s="2548"/>
      <c r="AB138" s="2548"/>
      <c r="AC138" s="2546"/>
      <c r="AD138" s="3529"/>
      <c r="AE138" s="3529"/>
      <c r="AF138" s="3529"/>
      <c r="AG138" s="3529"/>
      <c r="AH138" s="3529"/>
      <c r="AI138" s="2548"/>
      <c r="AJ138" s="2546"/>
      <c r="AK138" s="2548"/>
      <c r="AL138" s="2546">
        <v>93551</v>
      </c>
      <c r="AM138" s="2548"/>
      <c r="AN138" s="2548"/>
      <c r="AO138" s="2548"/>
      <c r="AP138" s="2548"/>
      <c r="AQ138" s="2548"/>
      <c r="AR138" s="2548"/>
      <c r="AS138" s="2548"/>
      <c r="AT138" s="2548"/>
      <c r="AU138" s="2548"/>
      <c r="AV138" s="2546"/>
      <c r="AW138" s="2548"/>
      <c r="AX138" s="2548"/>
      <c r="AY138" s="2548"/>
      <c r="AZ138" s="2548"/>
      <c r="BA138" s="2548"/>
      <c r="BB138" s="2548"/>
      <c r="BC138" s="2548"/>
      <c r="BD138" s="2548"/>
      <c r="BE138" s="2548"/>
      <c r="BF138" s="2548"/>
      <c r="BG138" s="2548"/>
      <c r="BH138" s="3959"/>
      <c r="BI138" s="3959"/>
      <c r="BJ138" s="2546">
        <v>93551</v>
      </c>
      <c r="BK138" s="2548"/>
      <c r="BL138" s="2548"/>
      <c r="BM138" s="2548"/>
      <c r="BN138" s="2548"/>
      <c r="BO138" s="2548"/>
      <c r="BP138" s="2546"/>
      <c r="BQ138" s="2548"/>
      <c r="BR138" s="2548"/>
      <c r="BS138" s="2548"/>
      <c r="BT138" s="2548"/>
      <c r="BU138" s="2548"/>
      <c r="BV138" s="2548"/>
      <c r="BW138" s="2548"/>
      <c r="BX138" s="2548"/>
      <c r="BY138" s="2548"/>
      <c r="BZ138" s="2548"/>
      <c r="CA138" s="2548"/>
      <c r="CB138" s="2546"/>
      <c r="CC138" s="2548"/>
      <c r="CD138" s="2548"/>
      <c r="CE138" s="2548"/>
      <c r="CF138" s="2546"/>
      <c r="CG138" s="2548"/>
      <c r="CH138" s="2546"/>
      <c r="CI138" s="2548"/>
      <c r="CJ138" s="2548"/>
      <c r="CK138" s="2548"/>
      <c r="CL138" s="2546">
        <v>93551</v>
      </c>
      <c r="CM138" s="2548"/>
      <c r="CN138" s="2548"/>
      <c r="CO138" s="2548"/>
      <c r="CP138" s="2548"/>
      <c r="CQ138" s="2548"/>
      <c r="CR138" s="2546">
        <v>93551</v>
      </c>
      <c r="CS138" s="2546">
        <v>93551</v>
      </c>
      <c r="CT138" s="2548"/>
      <c r="CU138" s="2546"/>
      <c r="CV138" s="2546"/>
      <c r="CW138" s="2548"/>
      <c r="CX138" s="2548"/>
      <c r="CY138" s="2548"/>
      <c r="CZ138" s="2548"/>
      <c r="DA138" s="2548"/>
      <c r="DB138" s="2548"/>
      <c r="DC138" s="2546"/>
      <c r="DD138" s="2548"/>
      <c r="DE138" s="2548"/>
      <c r="DF138" s="2548"/>
      <c r="DG138" s="2548"/>
      <c r="DH138" s="2548"/>
      <c r="DI138" s="2548"/>
      <c r="DJ138" s="2546"/>
      <c r="DK138" s="2548"/>
      <c r="DL138" s="2548"/>
      <c r="DM138" s="2548"/>
      <c r="DN138" s="2548"/>
      <c r="DO138" s="2546"/>
      <c r="DP138" s="2548"/>
      <c r="DQ138" s="2548"/>
      <c r="DR138" s="2548"/>
      <c r="DS138" s="2548"/>
      <c r="DT138" s="2548"/>
      <c r="DU138" s="2548"/>
      <c r="DV138" s="2548"/>
      <c r="DW138" s="2548"/>
      <c r="DX138" s="2548"/>
      <c r="DY138" s="2548"/>
      <c r="DZ138" s="2548"/>
      <c r="EA138" s="2548"/>
      <c r="EB138" s="2548"/>
      <c r="EC138" s="2548"/>
      <c r="ED138" s="2548"/>
      <c r="EE138" s="2548"/>
      <c r="EF138" s="2546"/>
      <c r="EG138" s="2546"/>
      <c r="EH138" s="2548"/>
      <c r="EI138" s="2546"/>
      <c r="EJ138" s="2548"/>
      <c r="EK138" s="2548"/>
      <c r="EL138" s="2548"/>
      <c r="EM138" s="2546">
        <v>93551</v>
      </c>
      <c r="EN138" s="2548"/>
      <c r="EO138" s="2548"/>
      <c r="EP138" s="2548"/>
      <c r="EQ138" s="2548"/>
      <c r="ER138" s="2548"/>
      <c r="ES138" s="2548"/>
      <c r="ET138" s="2548"/>
      <c r="EU138" s="2548"/>
      <c r="EV138" s="2548"/>
      <c r="EW138" s="2548"/>
      <c r="EX138" s="2548"/>
      <c r="EY138" s="2546">
        <v>93551</v>
      </c>
      <c r="EZ138" s="2548"/>
      <c r="FA138" s="2548"/>
      <c r="FB138" s="2548"/>
      <c r="FC138" s="2548"/>
      <c r="FD138" s="2548"/>
      <c r="FE138" s="2548"/>
      <c r="FF138" s="2546"/>
      <c r="FG138" s="2548"/>
      <c r="FH138" s="2546"/>
      <c r="FI138" s="2548"/>
      <c r="FJ138" s="2548"/>
      <c r="FK138" s="2548"/>
      <c r="FL138" s="2548"/>
      <c r="FM138" s="2548"/>
      <c r="FN138" s="2548"/>
      <c r="FO138" s="2548"/>
      <c r="FP138" s="2548"/>
      <c r="FQ138" s="2548"/>
      <c r="FR138" s="2548"/>
      <c r="FS138" s="2548"/>
      <c r="FT138" s="2548"/>
      <c r="FU138" s="2548"/>
      <c r="FV138" s="2548"/>
      <c r="FW138" s="2548"/>
      <c r="FX138" s="2548"/>
      <c r="FY138" s="2548"/>
      <c r="FZ138" s="2548"/>
      <c r="GA138" s="2548"/>
      <c r="GB138" s="2548"/>
      <c r="GC138" s="2548"/>
      <c r="GD138" s="2548"/>
      <c r="GE138" s="2548"/>
      <c r="GF138" s="2548"/>
      <c r="GG138" s="2548"/>
      <c r="GH138" s="2548"/>
      <c r="GI138" s="2548"/>
      <c r="GJ138" s="2546"/>
      <c r="GK138" s="2548"/>
      <c r="GL138" s="2548"/>
      <c r="GM138" s="2548"/>
      <c r="GN138" s="2548"/>
      <c r="GO138" s="2548"/>
      <c r="GP138" s="2548"/>
      <c r="GQ138" s="2548"/>
      <c r="GR138" s="2548"/>
      <c r="GS138" s="2548"/>
      <c r="GT138" s="2548"/>
      <c r="GU138" s="2548"/>
      <c r="GV138" s="2548"/>
      <c r="GW138" s="2548"/>
      <c r="GX138" s="2546"/>
      <c r="GY138" s="2548"/>
      <c r="GZ138" s="2548"/>
      <c r="HA138" s="2548"/>
      <c r="HB138" s="2546"/>
      <c r="HC138" s="2546"/>
      <c r="HD138" s="2548"/>
      <c r="HE138" s="2548"/>
      <c r="HF138" s="2548"/>
      <c r="HG138" s="2548"/>
      <c r="HH138" s="2548"/>
      <c r="HI138" s="2548"/>
      <c r="HJ138" s="2548"/>
      <c r="HK138" s="2548"/>
      <c r="HL138" s="2548"/>
      <c r="HM138" s="2548"/>
      <c r="HN138" s="2548"/>
      <c r="HO138" s="2546"/>
      <c r="HP138" s="2548"/>
      <c r="HQ138" s="2548"/>
      <c r="HR138" s="2548"/>
      <c r="HS138" s="2548"/>
      <c r="HT138" s="2548"/>
      <c r="HU138" s="2548"/>
      <c r="HV138" s="2548"/>
      <c r="HW138" s="2548"/>
      <c r="HX138" s="2548"/>
      <c r="HY138" s="2548"/>
      <c r="HZ138" s="2548"/>
      <c r="IA138" s="2548"/>
      <c r="IB138" s="2548"/>
      <c r="IC138" s="2548"/>
      <c r="ID138" s="2548"/>
      <c r="IE138" s="2548"/>
      <c r="IF138" s="2548"/>
      <c r="IG138" s="2548"/>
      <c r="IH138" s="2548"/>
      <c r="II138" s="2548"/>
      <c r="IJ138" s="2548"/>
      <c r="IK138" s="2548"/>
      <c r="IL138" s="2548"/>
      <c r="IM138" s="2548"/>
      <c r="IN138" s="2548"/>
      <c r="IO138" s="2548"/>
      <c r="IP138" s="2548"/>
      <c r="IQ138" s="2548"/>
      <c r="IR138" s="2548"/>
      <c r="IS138" s="2548"/>
      <c r="IT138" s="2548"/>
      <c r="IU138" s="2548"/>
      <c r="IV138" s="2548"/>
      <c r="IW138" s="2548"/>
      <c r="IX138" s="2548"/>
      <c r="IY138" s="2548"/>
      <c r="IZ138" s="2548"/>
      <c r="JA138" s="2548"/>
      <c r="JB138" s="2548"/>
      <c r="JC138" s="2548"/>
      <c r="JD138" s="2548"/>
      <c r="JE138" s="2548"/>
      <c r="JF138" s="2548"/>
      <c r="JG138" s="2549"/>
      <c r="JH138" s="1233"/>
      <c r="JI138" s="2248" t="s">
        <v>15</v>
      </c>
      <c r="JJ138" s="2248" t="s">
        <v>6108</v>
      </c>
    </row>
    <row r="139" spans="1:270" x14ac:dyDescent="0.2">
      <c r="A139" s="1128">
        <v>96</v>
      </c>
      <c r="B139" s="1347" t="str">
        <f si="5" t="shared"/>
        <v/>
      </c>
      <c r="C139" s="1278" t="s">
        <v>2396</v>
      </c>
      <c r="D139" s="1350" t="s">
        <v>5552</v>
      </c>
      <c r="E139" s="2546"/>
      <c r="F139" s="2546"/>
      <c r="G139" s="2546"/>
      <c r="H139" s="2546"/>
      <c r="I139" s="2546"/>
      <c r="J139" s="2545"/>
      <c r="K139" s="2546"/>
      <c r="L139" s="2546"/>
      <c r="M139" s="2546"/>
      <c r="N139" s="2546"/>
      <c r="O139" s="2547"/>
      <c r="P139" s="2547"/>
      <c r="Q139" s="2546"/>
      <c r="R139" s="2547"/>
      <c r="S139" s="2546"/>
      <c r="T139" s="2548"/>
      <c r="U139" s="2548"/>
      <c r="V139" s="2548"/>
      <c r="W139" s="2548"/>
      <c r="X139" s="2548"/>
      <c r="Y139" s="2548"/>
      <c r="Z139" s="2548"/>
      <c r="AA139" s="2548"/>
      <c r="AB139" s="2548"/>
      <c r="AC139" s="2546"/>
      <c r="AD139" s="3529"/>
      <c r="AE139" s="3529"/>
      <c r="AF139" s="3529"/>
      <c r="AG139" s="3529"/>
      <c r="AH139" s="3529"/>
      <c r="AI139" s="2548"/>
      <c r="AJ139" s="2546"/>
      <c r="AK139" s="2548"/>
      <c r="AL139" s="2546">
        <v>108416</v>
      </c>
      <c r="AM139" s="2548"/>
      <c r="AN139" s="2548"/>
      <c r="AO139" s="2548"/>
      <c r="AP139" s="2548"/>
      <c r="AQ139" s="2548"/>
      <c r="AR139" s="2548"/>
      <c r="AS139" s="2548"/>
      <c r="AT139" s="2548"/>
      <c r="AU139" s="2548"/>
      <c r="AV139" s="2546"/>
      <c r="AW139" s="2548"/>
      <c r="AX139" s="2548"/>
      <c r="AY139" s="2548"/>
      <c r="AZ139" s="2548"/>
      <c r="BA139" s="2548"/>
      <c r="BB139" s="2548"/>
      <c r="BC139" s="2548"/>
      <c r="BD139" s="2548"/>
      <c r="BE139" s="2548"/>
      <c r="BF139" s="2548"/>
      <c r="BG139" s="2548"/>
      <c r="BH139" s="3959"/>
      <c r="BI139" s="3959"/>
      <c r="BJ139" s="2546">
        <v>108416</v>
      </c>
      <c r="BK139" s="2548"/>
      <c r="BL139" s="2548"/>
      <c r="BM139" s="2548"/>
      <c r="BN139" s="2548"/>
      <c r="BO139" s="2548"/>
      <c r="BP139" s="2546"/>
      <c r="BQ139" s="2548"/>
      <c r="BR139" s="2548"/>
      <c r="BS139" s="2548"/>
      <c r="BT139" s="2548"/>
      <c r="BU139" s="2548"/>
      <c r="BV139" s="2548"/>
      <c r="BW139" s="2548"/>
      <c r="BX139" s="2548"/>
      <c r="BY139" s="2548"/>
      <c r="BZ139" s="2548"/>
      <c r="CA139" s="2548"/>
      <c r="CB139" s="2546"/>
      <c r="CC139" s="2548"/>
      <c r="CD139" s="2548"/>
      <c r="CE139" s="2548"/>
      <c r="CF139" s="2546"/>
      <c r="CG139" s="2548"/>
      <c r="CH139" s="2546"/>
      <c r="CI139" s="2548"/>
      <c r="CJ139" s="2548"/>
      <c r="CK139" s="2548"/>
      <c r="CL139" s="2546">
        <v>108416</v>
      </c>
      <c r="CM139" s="2548"/>
      <c r="CN139" s="2548"/>
      <c r="CO139" s="2548"/>
      <c r="CP139" s="2548"/>
      <c r="CQ139" s="2548"/>
      <c r="CR139" s="2546">
        <v>108416</v>
      </c>
      <c r="CS139" s="2546">
        <v>108416</v>
      </c>
      <c r="CT139" s="2548"/>
      <c r="CU139" s="2546"/>
      <c r="CV139" s="2546"/>
      <c r="CW139" s="2548"/>
      <c r="CX139" s="2548"/>
      <c r="CY139" s="2548"/>
      <c r="CZ139" s="2548"/>
      <c r="DA139" s="2548"/>
      <c r="DB139" s="2548"/>
      <c r="DC139" s="2546"/>
      <c r="DD139" s="2548"/>
      <c r="DE139" s="2548"/>
      <c r="DF139" s="2548"/>
      <c r="DG139" s="2548"/>
      <c r="DH139" s="2548"/>
      <c r="DI139" s="2548"/>
      <c r="DJ139" s="2546"/>
      <c r="DK139" s="2548"/>
      <c r="DL139" s="2548"/>
      <c r="DM139" s="2548"/>
      <c r="DN139" s="2548"/>
      <c r="DO139" s="2546"/>
      <c r="DP139" s="2548"/>
      <c r="DQ139" s="2548"/>
      <c r="DR139" s="2548"/>
      <c r="DS139" s="2548"/>
      <c r="DT139" s="2548"/>
      <c r="DU139" s="2548"/>
      <c r="DV139" s="2548"/>
      <c r="DW139" s="2548"/>
      <c r="DX139" s="2548"/>
      <c r="DY139" s="2548"/>
      <c r="DZ139" s="2548"/>
      <c r="EA139" s="2548"/>
      <c r="EB139" s="2548"/>
      <c r="EC139" s="2548"/>
      <c r="ED139" s="2548"/>
      <c r="EE139" s="2548"/>
      <c r="EF139" s="2546"/>
      <c r="EG139" s="2546"/>
      <c r="EH139" s="2548"/>
      <c r="EI139" s="2546"/>
      <c r="EJ139" s="2548"/>
      <c r="EK139" s="2548"/>
      <c r="EL139" s="2548"/>
      <c r="EM139" s="2546">
        <v>108416</v>
      </c>
      <c r="EN139" s="2548"/>
      <c r="EO139" s="2548"/>
      <c r="EP139" s="2548"/>
      <c r="EQ139" s="2548"/>
      <c r="ER139" s="2548"/>
      <c r="ES139" s="2548"/>
      <c r="ET139" s="2548"/>
      <c r="EU139" s="2548"/>
      <c r="EV139" s="2548"/>
      <c r="EW139" s="2548"/>
      <c r="EX139" s="2548"/>
      <c r="EY139" s="2546">
        <v>108416</v>
      </c>
      <c r="EZ139" s="2548"/>
      <c r="FA139" s="2548"/>
      <c r="FB139" s="2548"/>
      <c r="FC139" s="2548"/>
      <c r="FD139" s="2548"/>
      <c r="FE139" s="2548"/>
      <c r="FF139" s="2546"/>
      <c r="FG139" s="2548"/>
      <c r="FH139" s="2546"/>
      <c r="FI139" s="2548"/>
      <c r="FJ139" s="2548"/>
      <c r="FK139" s="2548"/>
      <c r="FL139" s="2548"/>
      <c r="FM139" s="2548"/>
      <c r="FN139" s="2548"/>
      <c r="FO139" s="2548"/>
      <c r="FP139" s="2548"/>
      <c r="FQ139" s="2548"/>
      <c r="FR139" s="2548"/>
      <c r="FS139" s="2548"/>
      <c r="FT139" s="2548"/>
      <c r="FU139" s="2548"/>
      <c r="FV139" s="2548"/>
      <c r="FW139" s="2548"/>
      <c r="FX139" s="2548"/>
      <c r="FY139" s="2548"/>
      <c r="FZ139" s="2548"/>
      <c r="GA139" s="2548"/>
      <c r="GB139" s="2548"/>
      <c r="GC139" s="2548"/>
      <c r="GD139" s="2548"/>
      <c r="GE139" s="2548"/>
      <c r="GF139" s="2548"/>
      <c r="GG139" s="2548"/>
      <c r="GH139" s="2548"/>
      <c r="GI139" s="2548"/>
      <c r="GJ139" s="2546"/>
      <c r="GK139" s="2548"/>
      <c r="GL139" s="2548"/>
      <c r="GM139" s="2548"/>
      <c r="GN139" s="2548"/>
      <c r="GO139" s="2548"/>
      <c r="GP139" s="2548"/>
      <c r="GQ139" s="2548"/>
      <c r="GR139" s="2548"/>
      <c r="GS139" s="2548"/>
      <c r="GT139" s="2548"/>
      <c r="GU139" s="2548"/>
      <c r="GV139" s="2548"/>
      <c r="GW139" s="2548"/>
      <c r="GX139" s="2546"/>
      <c r="GY139" s="2548"/>
      <c r="GZ139" s="2548"/>
      <c r="HA139" s="2548"/>
      <c r="HB139" s="2546"/>
      <c r="HC139" s="2546"/>
      <c r="HD139" s="2548"/>
      <c r="HE139" s="2548"/>
      <c r="HF139" s="2548"/>
      <c r="HG139" s="2548"/>
      <c r="HH139" s="2548"/>
      <c r="HI139" s="2548"/>
      <c r="HJ139" s="2548"/>
      <c r="HK139" s="2548"/>
      <c r="HL139" s="2548"/>
      <c r="HM139" s="2548"/>
      <c r="HN139" s="2548"/>
      <c r="HO139" s="2546"/>
      <c r="HP139" s="2548"/>
      <c r="HQ139" s="2548"/>
      <c r="HR139" s="2548"/>
      <c r="HS139" s="2548"/>
      <c r="HT139" s="2548"/>
      <c r="HU139" s="2548"/>
      <c r="HV139" s="2548"/>
      <c r="HW139" s="2548"/>
      <c r="HX139" s="2548"/>
      <c r="HY139" s="2548"/>
      <c r="HZ139" s="2548"/>
      <c r="IA139" s="2548"/>
      <c r="IB139" s="2548"/>
      <c r="IC139" s="2548"/>
      <c r="ID139" s="2548"/>
      <c r="IE139" s="2548"/>
      <c r="IF139" s="2548"/>
      <c r="IG139" s="2548"/>
      <c r="IH139" s="2548"/>
      <c r="II139" s="2548"/>
      <c r="IJ139" s="2548"/>
      <c r="IK139" s="2548"/>
      <c r="IL139" s="2548"/>
      <c r="IM139" s="2548"/>
      <c r="IN139" s="2548"/>
      <c r="IO139" s="2548"/>
      <c r="IP139" s="2548"/>
      <c r="IQ139" s="2548"/>
      <c r="IR139" s="2548"/>
      <c r="IS139" s="2548"/>
      <c r="IT139" s="2548"/>
      <c r="IU139" s="2548"/>
      <c r="IV139" s="2548"/>
      <c r="IW139" s="2548"/>
      <c r="IX139" s="2548"/>
      <c r="IY139" s="2548"/>
      <c r="IZ139" s="2548"/>
      <c r="JA139" s="2548"/>
      <c r="JB139" s="2548"/>
      <c r="JC139" s="2548"/>
      <c r="JD139" s="2548"/>
      <c r="JE139" s="2548"/>
      <c r="JF139" s="2548"/>
      <c r="JG139" s="2549"/>
      <c r="JH139" s="1233"/>
      <c r="JI139" s="2248"/>
      <c r="JJ139" s="2248" t="s">
        <v>6108</v>
      </c>
    </row>
    <row ht="22.5" r="140" spans="1:270" x14ac:dyDescent="0.2">
      <c r="A140" s="1128">
        <v>97</v>
      </c>
      <c r="B140" s="1347" t="str">
        <f si="5" t="shared"/>
        <v/>
      </c>
      <c r="C140" s="1278" t="s">
        <v>2397</v>
      </c>
      <c r="D140" s="1350" t="s">
        <v>5553</v>
      </c>
      <c r="E140" s="2565"/>
      <c r="F140" s="2566"/>
      <c r="G140" s="2565"/>
      <c r="H140" s="2565"/>
      <c r="I140" s="2565"/>
      <c r="J140" s="2565"/>
      <c r="K140" s="2565"/>
      <c r="L140" s="2565"/>
      <c r="M140" s="2565"/>
      <c r="N140" s="2565"/>
      <c r="O140" s="2567"/>
      <c r="P140" s="2567"/>
      <c r="Q140" s="2565"/>
      <c r="R140" s="2567"/>
      <c r="S140" s="2565"/>
      <c r="T140" s="2568"/>
      <c r="U140" s="2568"/>
      <c r="V140" s="2568"/>
      <c r="W140" s="2568"/>
      <c r="X140" s="2568"/>
      <c r="Y140" s="2568"/>
      <c r="Z140" s="2568"/>
      <c r="AA140" s="2568"/>
      <c r="AB140" s="2568"/>
      <c r="AC140" s="2565"/>
      <c r="AD140" s="3533"/>
      <c r="AE140" s="3533"/>
      <c r="AF140" s="3533"/>
      <c r="AG140" s="3533"/>
      <c r="AH140" s="3533"/>
      <c r="AI140" s="2568"/>
      <c r="AJ140" s="2565"/>
      <c r="AK140" s="2568"/>
      <c r="AL140" s="2566">
        <f>AL136-(AL137+AL138+AL139)</f>
        <v>160668</v>
      </c>
      <c r="AM140" s="2568"/>
      <c r="AN140" s="2568"/>
      <c r="AO140" s="2568"/>
      <c r="AP140" s="2568"/>
      <c r="AQ140" s="2568"/>
      <c r="AR140" s="2568"/>
      <c r="AS140" s="2568"/>
      <c r="AT140" s="2568"/>
      <c r="AU140" s="2568"/>
      <c r="AV140" s="2565"/>
      <c r="AW140" s="2568"/>
      <c r="AX140" s="2568"/>
      <c r="AY140" s="2568"/>
      <c r="AZ140" s="2568"/>
      <c r="BA140" s="2568"/>
      <c r="BB140" s="2568"/>
      <c r="BC140" s="2568"/>
      <c r="BD140" s="2568"/>
      <c r="BE140" s="2568"/>
      <c r="BF140" s="2568"/>
      <c r="BG140" s="2568"/>
      <c r="BH140" s="3963"/>
      <c r="BI140" s="3963"/>
      <c r="BJ140" s="2566">
        <f>BJ136-(BJ137+BJ138+BJ139)</f>
        <v>160668</v>
      </c>
      <c r="BK140" s="2568"/>
      <c r="BL140" s="2568"/>
      <c r="BM140" s="2568"/>
      <c r="BN140" s="2568"/>
      <c r="BO140" s="2568"/>
      <c r="BP140" s="2565"/>
      <c r="BQ140" s="2568"/>
      <c r="BR140" s="2568"/>
      <c r="BS140" s="2568"/>
      <c r="BT140" s="2568"/>
      <c r="BU140" s="2568"/>
      <c r="BV140" s="2568"/>
      <c r="BW140" s="2568"/>
      <c r="BX140" s="2568"/>
      <c r="BY140" s="2568"/>
      <c r="BZ140" s="2568"/>
      <c r="CA140" s="2568"/>
      <c r="CB140" s="2565"/>
      <c r="CC140" s="2568"/>
      <c r="CD140" s="2568"/>
      <c r="CE140" s="2568"/>
      <c r="CF140" s="2565"/>
      <c r="CG140" s="2568"/>
      <c r="CH140" s="2565"/>
      <c r="CI140" s="2568"/>
      <c r="CJ140" s="2568"/>
      <c r="CK140" s="2568"/>
      <c r="CL140" s="2566">
        <f>CL136-(CL137+CL138+CL139)</f>
        <v>160668</v>
      </c>
      <c r="CM140" s="2568"/>
      <c r="CN140" s="2568"/>
      <c r="CO140" s="2568"/>
      <c r="CP140" s="2568"/>
      <c r="CQ140" s="2568"/>
      <c r="CR140" s="2566">
        <f>CR136-(CR137+CR138+CR139)</f>
        <v>160668</v>
      </c>
      <c r="CS140" s="2566">
        <f>CS136-(CS137+CS138+CS139)</f>
        <v>160668</v>
      </c>
      <c r="CT140" s="2568"/>
      <c r="CU140" s="2565"/>
      <c r="CV140" s="2565"/>
      <c r="CW140" s="2568"/>
      <c r="CX140" s="2568"/>
      <c r="CY140" s="2568"/>
      <c r="CZ140" s="2568"/>
      <c r="DA140" s="2568"/>
      <c r="DB140" s="2568"/>
      <c r="DC140" s="2565"/>
      <c r="DD140" s="2568"/>
      <c r="DE140" s="2568"/>
      <c r="DF140" s="2568"/>
      <c r="DG140" s="2568"/>
      <c r="DH140" s="2568"/>
      <c r="DI140" s="2568"/>
      <c r="DJ140" s="2565"/>
      <c r="DK140" s="2568"/>
      <c r="DL140" s="2568"/>
      <c r="DM140" s="2568"/>
      <c r="DN140" s="2568"/>
      <c r="DO140" s="2565"/>
      <c r="DP140" s="2568"/>
      <c r="DQ140" s="2568"/>
      <c r="DR140" s="2568"/>
      <c r="DS140" s="2568"/>
      <c r="DT140" s="2568"/>
      <c r="DU140" s="2568"/>
      <c r="DV140" s="2568"/>
      <c r="DW140" s="2568"/>
      <c r="DX140" s="2568"/>
      <c r="DY140" s="2568"/>
      <c r="DZ140" s="2568"/>
      <c r="EA140" s="2568"/>
      <c r="EB140" s="2568"/>
      <c r="EC140" s="2568"/>
      <c r="ED140" s="2568"/>
      <c r="EE140" s="2568"/>
      <c r="EF140" s="2565"/>
      <c r="EG140" s="2565"/>
      <c r="EH140" s="2568"/>
      <c r="EI140" s="2566">
        <f>EI136-(EI137+EI138+EI139)</f>
        <v>15841</v>
      </c>
      <c r="EJ140" s="2568"/>
      <c r="EK140" s="2568"/>
      <c r="EL140" s="2568"/>
      <c r="EM140" s="2566">
        <f>EM136-(EM137+EM138+EM139)</f>
        <v>160668</v>
      </c>
      <c r="EN140" s="2568"/>
      <c r="EO140" s="2568"/>
      <c r="EP140" s="2568"/>
      <c r="EQ140" s="2568"/>
      <c r="ER140" s="2568"/>
      <c r="ES140" s="2568"/>
      <c r="ET140" s="2568"/>
      <c r="EU140" s="2568"/>
      <c r="EV140" s="2568"/>
      <c r="EW140" s="2568"/>
      <c r="EX140" s="2568"/>
      <c r="EY140" s="2566">
        <f>EY136-(EY137+EY138+EY139)</f>
        <v>160668</v>
      </c>
      <c r="EZ140" s="2568"/>
      <c r="FA140" s="2568"/>
      <c r="FB140" s="2568"/>
      <c r="FC140" s="2568"/>
      <c r="FD140" s="2568"/>
      <c r="FE140" s="2568"/>
      <c r="FF140" s="2565"/>
      <c r="FG140" s="2568"/>
      <c r="FH140" s="2565"/>
      <c r="FI140" s="2568"/>
      <c r="FJ140" s="2568"/>
      <c r="FK140" s="2568"/>
      <c r="FL140" s="2568"/>
      <c r="FM140" s="2568"/>
      <c r="FN140" s="2568"/>
      <c r="FO140" s="2568"/>
      <c r="FP140" s="2568"/>
      <c r="FQ140" s="2568"/>
      <c r="FR140" s="2568"/>
      <c r="FS140" s="2568"/>
      <c r="FT140" s="2568"/>
      <c r="FU140" s="2568"/>
      <c r="FV140" s="2568"/>
      <c r="FW140" s="2568"/>
      <c r="FX140" s="2568"/>
      <c r="FY140" s="2568"/>
      <c r="FZ140" s="2568"/>
      <c r="GA140" s="2568"/>
      <c r="GB140" s="2568"/>
      <c r="GC140" s="2568"/>
      <c r="GD140" s="2568"/>
      <c r="GE140" s="2568"/>
      <c r="GF140" s="2568"/>
      <c r="GG140" s="2568"/>
      <c r="GH140" s="2568"/>
      <c r="GI140" s="2568"/>
      <c r="GJ140" s="2566">
        <f>GJ136-(GJ137+GJ138+GJ139)</f>
        <v>15841</v>
      </c>
      <c r="GK140" s="2568"/>
      <c r="GL140" s="2568"/>
      <c r="GM140" s="2568"/>
      <c r="GN140" s="2568"/>
      <c r="GO140" s="2568"/>
      <c r="GP140" s="2568"/>
      <c r="GQ140" s="2568"/>
      <c r="GR140" s="2568"/>
      <c r="GS140" s="2568"/>
      <c r="GT140" s="2568"/>
      <c r="GU140" s="2568"/>
      <c r="GV140" s="2568"/>
      <c r="GW140" s="2568"/>
      <c r="GX140" s="2565"/>
      <c r="GY140" s="2568"/>
      <c r="GZ140" s="2568"/>
      <c r="HA140" s="2568"/>
      <c r="HB140" s="2565"/>
      <c r="HC140" s="2565"/>
      <c r="HD140" s="2568"/>
      <c r="HE140" s="2568"/>
      <c r="HF140" s="2568"/>
      <c r="HG140" s="2568"/>
      <c r="HH140" s="2568"/>
      <c r="HI140" s="2568"/>
      <c r="HJ140" s="2568"/>
      <c r="HK140" s="2568"/>
      <c r="HL140" s="2568"/>
      <c r="HM140" s="2568"/>
      <c r="HN140" s="2568"/>
      <c r="HO140" s="2565"/>
      <c r="HP140" s="2568"/>
      <c r="HQ140" s="2568"/>
      <c r="HR140" s="2568"/>
      <c r="HS140" s="2568"/>
      <c r="HT140" s="2568"/>
      <c r="HU140" s="2568"/>
      <c r="HV140" s="2568"/>
      <c r="HW140" s="2568"/>
      <c r="HX140" s="2568"/>
      <c r="HY140" s="2568"/>
      <c r="HZ140" s="2568"/>
      <c r="IA140" s="2568"/>
      <c r="IB140" s="2568"/>
      <c r="IC140" s="2568"/>
      <c r="ID140" s="2568"/>
      <c r="IE140" s="2568"/>
      <c r="IF140" s="2568"/>
      <c r="IG140" s="2568"/>
      <c r="IH140" s="2568"/>
      <c r="II140" s="2568"/>
      <c r="IJ140" s="2568"/>
      <c r="IK140" s="2568"/>
      <c r="IL140" s="2568"/>
      <c r="IM140" s="2568"/>
      <c r="IN140" s="2568"/>
      <c r="IO140" s="2568"/>
      <c r="IP140" s="2568"/>
      <c r="IQ140" s="2568"/>
      <c r="IR140" s="2568"/>
      <c r="IS140" s="2568"/>
      <c r="IT140" s="2568"/>
      <c r="IU140" s="2568"/>
      <c r="IV140" s="2568"/>
      <c r="IW140" s="2568"/>
      <c r="IX140" s="2568"/>
      <c r="IY140" s="2568"/>
      <c r="IZ140" s="2568"/>
      <c r="JA140" s="2568"/>
      <c r="JB140" s="2568"/>
      <c r="JC140" s="2568"/>
      <c r="JD140" s="2568"/>
      <c r="JE140" s="2568"/>
      <c r="JF140" s="2568"/>
      <c r="JG140" s="2569"/>
      <c r="JH140" s="1233"/>
      <c r="JI140" s="4280" t="s">
        <v>5487</v>
      </c>
      <c r="JJ140" s="2248" t="s">
        <v>6110</v>
      </c>
    </row>
    <row r="141" spans="1:270" x14ac:dyDescent="0.2">
      <c r="A141" s="1128">
        <v>98</v>
      </c>
      <c r="B141" s="1347">
        <f si="5" t="shared"/>
        <v>2600</v>
      </c>
      <c r="C141" s="1278" t="s">
        <v>2398</v>
      </c>
      <c r="D141" s="1350" t="s">
        <v>5554</v>
      </c>
      <c r="E141" s="2546"/>
      <c r="F141" s="2546"/>
      <c r="G141" s="2546">
        <v>2600</v>
      </c>
      <c r="H141" s="2546"/>
      <c r="I141" s="2546">
        <v>2600</v>
      </c>
      <c r="J141" s="2545"/>
      <c r="K141" s="2546"/>
      <c r="L141" s="2546">
        <v>2600</v>
      </c>
      <c r="M141" s="2546"/>
      <c r="N141" s="2546"/>
      <c r="O141" s="2547"/>
      <c r="P141" s="2547"/>
      <c r="Q141" s="2546">
        <v>2600</v>
      </c>
      <c r="R141" s="2547"/>
      <c r="S141" s="2546">
        <v>2600</v>
      </c>
      <c r="T141" s="2548"/>
      <c r="U141" s="2548"/>
      <c r="V141" s="2548"/>
      <c r="W141" s="2548"/>
      <c r="X141" s="2548"/>
      <c r="Y141" s="2548"/>
      <c r="Z141" s="2548"/>
      <c r="AA141" s="2548"/>
      <c r="AB141" s="2548"/>
      <c r="AC141" s="2546">
        <v>2600</v>
      </c>
      <c r="AD141" s="3529"/>
      <c r="AE141" s="3529"/>
      <c r="AF141" s="3529"/>
      <c r="AG141" s="3529"/>
      <c r="AH141" s="3529"/>
      <c r="AI141" s="2548"/>
      <c r="AJ141" s="2546">
        <v>-76900</v>
      </c>
      <c r="AK141" s="2548"/>
      <c r="AL141" s="2546">
        <v>132680</v>
      </c>
      <c r="AM141" s="2548"/>
      <c r="AN141" s="2548"/>
      <c r="AO141" s="2548"/>
      <c r="AP141" s="2548"/>
      <c r="AQ141" s="2548"/>
      <c r="AR141" s="2548"/>
      <c r="AS141" s="2548"/>
      <c r="AT141" s="2548"/>
      <c r="AU141" s="2548"/>
      <c r="AV141" s="2546"/>
      <c r="AW141" s="2548"/>
      <c r="AX141" s="2548"/>
      <c r="AY141" s="2548"/>
      <c r="AZ141" s="2548"/>
      <c r="BA141" s="2548"/>
      <c r="BB141" s="2548"/>
      <c r="BC141" s="2548"/>
      <c r="BD141" s="2548"/>
      <c r="BE141" s="2548"/>
      <c r="BF141" s="2548"/>
      <c r="BG141" s="2548"/>
      <c r="BH141" s="3959"/>
      <c r="BI141" s="3959"/>
      <c r="BJ141" s="2546">
        <v>132680</v>
      </c>
      <c r="BK141" s="2548"/>
      <c r="BL141" s="2548"/>
      <c r="BM141" s="2548"/>
      <c r="BN141" s="2548"/>
      <c r="BO141" s="2548"/>
      <c r="BP141" s="2546">
        <v>2600</v>
      </c>
      <c r="BQ141" s="2548"/>
      <c r="BR141" s="2548"/>
      <c r="BS141" s="2548"/>
      <c r="BT141" s="2548"/>
      <c r="BU141" s="2548"/>
      <c r="BV141" s="2548"/>
      <c r="BW141" s="2548"/>
      <c r="BX141" s="2548"/>
      <c r="BY141" s="2548"/>
      <c r="BZ141" s="2548"/>
      <c r="CA141" s="2548"/>
      <c r="CB141" s="2546">
        <v>-76900</v>
      </c>
      <c r="CC141" s="2548"/>
      <c r="CD141" s="2548"/>
      <c r="CE141" s="2548"/>
      <c r="CF141" s="2546">
        <v>-76900</v>
      </c>
      <c r="CG141" s="2548"/>
      <c r="CH141" s="2546">
        <v>2600</v>
      </c>
      <c r="CI141" s="2548"/>
      <c r="CJ141" s="2548"/>
      <c r="CK141" s="2548"/>
      <c r="CL141" s="2546">
        <v>132680</v>
      </c>
      <c r="CM141" s="2548"/>
      <c r="CN141" s="2548"/>
      <c r="CO141" s="2548"/>
      <c r="CP141" s="2548"/>
      <c r="CQ141" s="2548"/>
      <c r="CR141" s="2546">
        <v>132680</v>
      </c>
      <c r="CS141" s="2546">
        <v>132680</v>
      </c>
      <c r="CT141" s="2548"/>
      <c r="CU141" s="2546">
        <v>15000</v>
      </c>
      <c r="CV141" s="2546">
        <v>15000</v>
      </c>
      <c r="CW141" s="2548"/>
      <c r="CX141" s="2548"/>
      <c r="CY141" s="2548"/>
      <c r="CZ141" s="2548"/>
      <c r="DA141" s="2548"/>
      <c r="DB141" s="2548"/>
      <c r="DC141" s="2546">
        <v>15000</v>
      </c>
      <c r="DD141" s="2548"/>
      <c r="DE141" s="2548"/>
      <c r="DF141" s="2548"/>
      <c r="DG141" s="2548"/>
      <c r="DH141" s="2548"/>
      <c r="DI141" s="2548"/>
      <c r="DJ141" s="2546">
        <v>15000</v>
      </c>
      <c r="DK141" s="2548"/>
      <c r="DL141" s="2548"/>
      <c r="DM141" s="2548"/>
      <c r="DN141" s="2548"/>
      <c r="DO141" s="2546"/>
      <c r="DP141" s="2548"/>
      <c r="DQ141" s="2548"/>
      <c r="DR141" s="2548"/>
      <c r="DS141" s="2548"/>
      <c r="DT141" s="2548"/>
      <c r="DU141" s="2548"/>
      <c r="DV141" s="2548"/>
      <c r="DW141" s="2548"/>
      <c r="DX141" s="2548"/>
      <c r="DY141" s="2548"/>
      <c r="DZ141" s="2548"/>
      <c r="EA141" s="2548"/>
      <c r="EB141" s="2548"/>
      <c r="EC141" s="2548"/>
      <c r="ED141" s="2548"/>
      <c r="EE141" s="2548"/>
      <c r="EF141" s="2546">
        <v>-12908</v>
      </c>
      <c r="EG141" s="2546">
        <v>3782</v>
      </c>
      <c r="EH141" s="2548"/>
      <c r="EI141" s="2546">
        <v>2403</v>
      </c>
      <c r="EJ141" s="2548"/>
      <c r="EK141" s="2548"/>
      <c r="EL141" s="2548"/>
      <c r="EM141" s="2546">
        <v>132680</v>
      </c>
      <c r="EN141" s="2548"/>
      <c r="EO141" s="2548"/>
      <c r="EP141" s="2548"/>
      <c r="EQ141" s="2548"/>
      <c r="ER141" s="2548"/>
      <c r="ES141" s="2548"/>
      <c r="ET141" s="2548"/>
      <c r="EU141" s="2548"/>
      <c r="EV141" s="2548"/>
      <c r="EW141" s="2548"/>
      <c r="EX141" s="2548"/>
      <c r="EY141" s="2546">
        <v>132680</v>
      </c>
      <c r="EZ141" s="2548"/>
      <c r="FA141" s="2548"/>
      <c r="FB141" s="2548"/>
      <c r="FC141" s="2548"/>
      <c r="FD141" s="2548"/>
      <c r="FE141" s="2548"/>
      <c r="FF141" s="2546">
        <v>-76900</v>
      </c>
      <c r="FG141" s="2548"/>
      <c r="FH141" s="2546">
        <v>15000</v>
      </c>
      <c r="FI141" s="2548"/>
      <c r="FJ141" s="2548"/>
      <c r="FK141" s="2548"/>
      <c r="FL141" s="2548"/>
      <c r="FM141" s="2548"/>
      <c r="FN141" s="2548"/>
      <c r="FO141" s="2548"/>
      <c r="FP141" s="2548"/>
      <c r="FQ141" s="2548"/>
      <c r="FR141" s="2548"/>
      <c r="FS141" s="2548"/>
      <c r="FT141" s="2548"/>
      <c r="FU141" s="2548"/>
      <c r="FV141" s="2548"/>
      <c r="FW141" s="2548"/>
      <c r="FX141" s="2548"/>
      <c r="FY141" s="2548"/>
      <c r="FZ141" s="2548"/>
      <c r="GA141" s="2548"/>
      <c r="GB141" s="2548"/>
      <c r="GC141" s="2548"/>
      <c r="GD141" s="2548"/>
      <c r="GE141" s="2548"/>
      <c r="GF141" s="2548"/>
      <c r="GG141" s="2548"/>
      <c r="GH141" s="2548"/>
      <c r="GI141" s="2548"/>
      <c r="GJ141" s="2546">
        <v>2403</v>
      </c>
      <c r="GK141" s="2548"/>
      <c r="GL141" s="2548"/>
      <c r="GM141" s="2548"/>
      <c r="GN141" s="2548"/>
      <c r="GO141" s="2548"/>
      <c r="GP141" s="2548"/>
      <c r="GQ141" s="2548"/>
      <c r="GR141" s="2548"/>
      <c r="GS141" s="2548"/>
      <c r="GT141" s="2548"/>
      <c r="GU141" s="2548"/>
      <c r="GV141" s="2548"/>
      <c r="GW141" s="2548"/>
      <c r="GX141" s="2546"/>
      <c r="GY141" s="2548"/>
      <c r="GZ141" s="2548"/>
      <c r="HA141" s="2548"/>
      <c r="HB141" s="2546"/>
      <c r="HC141" s="2546">
        <v>15000</v>
      </c>
      <c r="HD141" s="2548"/>
      <c r="HE141" s="2548"/>
      <c r="HF141" s="2548"/>
      <c r="HG141" s="2548"/>
      <c r="HH141" s="2548"/>
      <c r="HI141" s="2548"/>
      <c r="HJ141" s="2548"/>
      <c r="HK141" s="2548"/>
      <c r="HL141" s="2548"/>
      <c r="HM141" s="2548"/>
      <c r="HN141" s="2548"/>
      <c r="HO141" s="2546">
        <v>2600</v>
      </c>
      <c r="HP141" s="2548"/>
      <c r="HQ141" s="2548"/>
      <c r="HR141" s="2548"/>
      <c r="HS141" s="2548"/>
      <c r="HT141" s="2548"/>
      <c r="HU141" s="2548"/>
      <c r="HV141" s="2548"/>
      <c r="HW141" s="2548"/>
      <c r="HX141" s="2548"/>
      <c r="HY141" s="2548"/>
      <c r="HZ141" s="2548"/>
      <c r="IA141" s="2548"/>
      <c r="IB141" s="2548"/>
      <c r="IC141" s="2548"/>
      <c r="ID141" s="2548"/>
      <c r="IE141" s="2548"/>
      <c r="IF141" s="2548"/>
      <c r="IG141" s="2548"/>
      <c r="IH141" s="2548"/>
      <c r="II141" s="2548"/>
      <c r="IJ141" s="2548"/>
      <c r="IK141" s="2548"/>
      <c r="IL141" s="2548"/>
      <c r="IM141" s="2548"/>
      <c r="IN141" s="2548"/>
      <c r="IO141" s="2548"/>
      <c r="IP141" s="2548"/>
      <c r="IQ141" s="2548"/>
      <c r="IR141" s="2548"/>
      <c r="IS141" s="2548"/>
      <c r="IT141" s="2548"/>
      <c r="IU141" s="2548"/>
      <c r="IV141" s="2548"/>
      <c r="IW141" s="2548"/>
      <c r="IX141" s="2548"/>
      <c r="IY141" s="2548"/>
      <c r="IZ141" s="2548"/>
      <c r="JA141" s="2548"/>
      <c r="JB141" s="2548"/>
      <c r="JC141" s="2548"/>
      <c r="JD141" s="2548"/>
      <c r="JE141" s="2548"/>
      <c r="JF141" s="2548"/>
      <c r="JG141" s="2549"/>
      <c r="JH141" s="1233"/>
      <c r="JI141" s="2248"/>
      <c r="JJ141" s="2248" t="s">
        <v>6127</v>
      </c>
    </row>
    <row ht="67.5" r="142" spans="1:270" x14ac:dyDescent="0.2">
      <c r="A142" s="1128">
        <v>99</v>
      </c>
      <c r="B142" s="1347">
        <f si="5" t="shared"/>
        <v>14900</v>
      </c>
      <c r="C142" s="1278" t="s">
        <v>2399</v>
      </c>
      <c r="D142" s="1350" t="s">
        <v>4940</v>
      </c>
      <c r="E142" s="2570"/>
      <c r="F142" s="2570"/>
      <c r="G142" s="2570">
        <f>IF(G92&gt;0,G92,(-1*G93))</f>
        <v>14900</v>
      </c>
      <c r="H142" s="2570"/>
      <c r="I142" s="2570">
        <f>IF(I92&gt;0,I92,(-1*I93))</f>
        <v>14900</v>
      </c>
      <c r="J142" s="2570"/>
      <c r="K142" s="2570"/>
      <c r="L142" s="2570">
        <f>IF(L92&gt;0,L92,(-1*L93))</f>
        <v>14900</v>
      </c>
      <c r="M142" s="2570"/>
      <c r="N142" s="2570"/>
      <c r="O142" s="2571"/>
      <c r="P142" s="2571"/>
      <c r="Q142" s="2570">
        <f>IF(Q92&gt;0,Q92,(-1*Q93))</f>
        <v>14900</v>
      </c>
      <c r="R142" s="2571"/>
      <c r="S142" s="2570">
        <f>IF(S92&gt;0,S92,(-1*S93))</f>
        <v>14900</v>
      </c>
      <c r="T142" s="2572"/>
      <c r="U142" s="2572"/>
      <c r="V142" s="2572"/>
      <c r="W142" s="2572"/>
      <c r="X142" s="2572"/>
      <c r="Y142" s="2572"/>
      <c r="Z142" s="2572"/>
      <c r="AA142" s="2572"/>
      <c r="AB142" s="2572"/>
      <c r="AC142" s="2570">
        <f>IF(AC92&gt;0,AC92,(-1*AC93))</f>
        <v>14900</v>
      </c>
      <c r="AD142" s="3534"/>
      <c r="AE142" s="3534"/>
      <c r="AF142" s="3534"/>
      <c r="AG142" s="3534"/>
      <c r="AH142" s="3534"/>
      <c r="AI142" s="2572"/>
      <c r="AJ142" s="2570">
        <f>IF(AJ92&gt;0,AJ92,(-1*AJ93))</f>
        <v>54299</v>
      </c>
      <c r="AK142" s="2572"/>
      <c r="AL142" s="2570">
        <f>IF(AL92&gt;0,AL92,(-1*AL93))</f>
        <v>98672</v>
      </c>
      <c r="AM142" s="2572"/>
      <c r="AN142" s="2572"/>
      <c r="AO142" s="2572"/>
      <c r="AP142" s="2572"/>
      <c r="AQ142" s="2572"/>
      <c r="AR142" s="2572"/>
      <c r="AS142" s="2572"/>
      <c r="AT142" s="2572"/>
      <c r="AU142" s="2572"/>
      <c r="AV142" s="2570">
        <f>IF(AV92&gt;0,AV92,(-1*AV93))</f>
        <v>-5001</v>
      </c>
      <c r="AW142" s="2572"/>
      <c r="AX142" s="2572"/>
      <c r="AY142" s="2572"/>
      <c r="AZ142" s="2572"/>
      <c r="BA142" s="2572"/>
      <c r="BB142" s="2572"/>
      <c r="BC142" s="2572"/>
      <c r="BD142" s="2572"/>
      <c r="BE142" s="2572"/>
      <c r="BF142" s="2572"/>
      <c r="BG142" s="2572"/>
      <c r="BH142" s="3964"/>
      <c r="BI142" s="3964"/>
      <c r="BJ142" s="2570">
        <f>IF(BJ92&gt;0,BJ92,(-1*BJ93))</f>
        <v>98672</v>
      </c>
      <c r="BK142" s="2572"/>
      <c r="BL142" s="2572"/>
      <c r="BM142" s="2572"/>
      <c r="BN142" s="2572"/>
      <c r="BO142" s="2572"/>
      <c r="BP142" s="2570">
        <f>IF(BP92&gt;0,BP92,(-1*BP93))</f>
        <v>14900</v>
      </c>
      <c r="BQ142" s="2572"/>
      <c r="BR142" s="2572"/>
      <c r="BS142" s="2572"/>
      <c r="BT142" s="2572"/>
      <c r="BU142" s="2572"/>
      <c r="BV142" s="2572"/>
      <c r="BW142" s="2572"/>
      <c r="BX142" s="2572"/>
      <c r="BY142" s="2572"/>
      <c r="BZ142" s="2572"/>
      <c r="CA142" s="2572"/>
      <c r="CB142" s="2570">
        <f>IF(CB92&gt;0,CB92,(-1*CB93))</f>
        <v>1393695</v>
      </c>
      <c r="CC142" s="2572"/>
      <c r="CD142" s="2572"/>
      <c r="CE142" s="2572"/>
      <c r="CF142" s="2570">
        <f>IF(CF92&gt;0,CF92,(-1*CF93))</f>
        <v>54299</v>
      </c>
      <c r="CG142" s="2572"/>
      <c r="CH142" s="2570">
        <f>IF(CH92&gt;0,CH92,(-1*CH93))</f>
        <v>14900</v>
      </c>
      <c r="CI142" s="2572"/>
      <c r="CJ142" s="2572"/>
      <c r="CK142" s="2572"/>
      <c r="CL142" s="2570">
        <f>IF(CL92&gt;0,CL92,(-1*CL93))</f>
        <v>98672</v>
      </c>
      <c r="CM142" s="2572"/>
      <c r="CN142" s="2572"/>
      <c r="CO142" s="2572"/>
      <c r="CP142" s="2572"/>
      <c r="CQ142" s="2572"/>
      <c r="CR142" s="2570">
        <f>IF(CR92&gt;0,CR92,(-1*CR93))</f>
        <v>98672</v>
      </c>
      <c r="CS142" s="2570">
        <f>IF(CS92&gt;0,CS92,(-1*CS93))</f>
        <v>98672</v>
      </c>
      <c r="CT142" s="2572"/>
      <c r="CU142" s="2570">
        <f>IF(CU92&gt;0,CU92,(-1*CU93))</f>
        <v>139838</v>
      </c>
      <c r="CV142" s="2570">
        <f>IF(CV92&gt;0,CV92,(-1*CV93))</f>
        <v>139838</v>
      </c>
      <c r="CW142" s="2572"/>
      <c r="CX142" s="2572"/>
      <c r="CY142" s="2572"/>
      <c r="CZ142" s="2572"/>
      <c r="DA142" s="2572"/>
      <c r="DB142" s="2572"/>
      <c r="DC142" s="2570">
        <f>IF(DC92&gt;0,DC92,(-1*DC93))</f>
        <v>139838</v>
      </c>
      <c r="DD142" s="2572"/>
      <c r="DE142" s="2572"/>
      <c r="DF142" s="2572"/>
      <c r="DG142" s="2572"/>
      <c r="DH142" s="2572"/>
      <c r="DI142" s="2572"/>
      <c r="DJ142" s="2570">
        <f>IF(DJ92&gt;0,DJ92,(-1*DJ93))</f>
        <v>139838</v>
      </c>
      <c r="DK142" s="2572"/>
      <c r="DL142" s="2572"/>
      <c r="DM142" s="2572"/>
      <c r="DN142" s="2572"/>
      <c r="DO142" s="2570">
        <f>IF(DO92&gt;0,DO92,(-1*DO93))</f>
        <v>-5001</v>
      </c>
      <c r="DP142" s="2572"/>
      <c r="DQ142" s="2572"/>
      <c r="DR142" s="2572"/>
      <c r="DS142" s="2572"/>
      <c r="DT142" s="2572"/>
      <c r="DU142" s="2572"/>
      <c r="DV142" s="2572"/>
      <c r="DW142" s="2572"/>
      <c r="DX142" s="2572"/>
      <c r="DY142" s="2572"/>
      <c r="DZ142" s="2572"/>
      <c r="EA142" s="2572"/>
      <c r="EB142" s="2572"/>
      <c r="EC142" s="2572"/>
      <c r="ED142" s="2572"/>
      <c r="EE142" s="2572"/>
      <c r="EF142" s="2570">
        <f>IF(EF92&gt;0,EF92,(-1*EF93))</f>
        <v>20023</v>
      </c>
      <c r="EG142" s="2570">
        <f>IF(EG92&gt;0,EG92,(-1*EG93))</f>
        <v>-5000</v>
      </c>
      <c r="EH142" s="2572"/>
      <c r="EI142" s="2570">
        <f>IF(EI92&gt;0,EI92,(-1*EI93))</f>
        <v>57188</v>
      </c>
      <c r="EJ142" s="2572"/>
      <c r="EK142" s="2572"/>
      <c r="EL142" s="2572"/>
      <c r="EM142" s="2570">
        <f>IF(EM92&gt;0,EM92,(-1*EM93))</f>
        <v>98672</v>
      </c>
      <c r="EN142" s="2572"/>
      <c r="EO142" s="2572"/>
      <c r="EP142" s="2572"/>
      <c r="EQ142" s="2572"/>
      <c r="ER142" s="2572"/>
      <c r="ES142" s="2572"/>
      <c r="ET142" s="2572"/>
      <c r="EU142" s="2572"/>
      <c r="EV142" s="2572"/>
      <c r="EW142" s="2572"/>
      <c r="EX142" s="2572"/>
      <c r="EY142" s="2570">
        <f>IF(EY92&gt;0,EY92,(-1*EY93))</f>
        <v>98672</v>
      </c>
      <c r="EZ142" s="2572"/>
      <c r="FA142" s="2572"/>
      <c r="FB142" s="2572"/>
      <c r="FC142" s="2572"/>
      <c r="FD142" s="2572"/>
      <c r="FE142" s="2572"/>
      <c r="FF142" s="2570">
        <f>IF(FF92&gt;0,FF92,(-1*FF93))</f>
        <v>54299</v>
      </c>
      <c r="FG142" s="2572"/>
      <c r="FH142" s="2570">
        <f>IF(FH92&gt;0,FH92,(-1*FH93))</f>
        <v>139838</v>
      </c>
      <c r="FI142" s="2572"/>
      <c r="FJ142" s="2572"/>
      <c r="FK142" s="2572"/>
      <c r="FL142" s="2572"/>
      <c r="FM142" s="2572"/>
      <c r="FN142" s="2572"/>
      <c r="FO142" s="2572"/>
      <c r="FP142" s="2572"/>
      <c r="FQ142" s="2572"/>
      <c r="FR142" s="2572"/>
      <c r="FS142" s="2572"/>
      <c r="FT142" s="2572"/>
      <c r="FU142" s="2572"/>
      <c r="FV142" s="2572"/>
      <c r="FW142" s="2572"/>
      <c r="FX142" s="2572"/>
      <c r="FY142" s="2572"/>
      <c r="FZ142" s="2572"/>
      <c r="GA142" s="2572"/>
      <c r="GB142" s="2572"/>
      <c r="GC142" s="2572"/>
      <c r="GD142" s="2572"/>
      <c r="GE142" s="2572"/>
      <c r="GF142" s="2572"/>
      <c r="GG142" s="2572"/>
      <c r="GH142" s="2572"/>
      <c r="GI142" s="2572"/>
      <c r="GJ142" s="2570">
        <f>IF(GJ92&gt;0,GJ92,(-1*GJ93))</f>
        <v>57188</v>
      </c>
      <c r="GK142" s="2572"/>
      <c r="GL142" s="2572"/>
      <c r="GM142" s="2572"/>
      <c r="GN142" s="2572"/>
      <c r="GO142" s="2572"/>
      <c r="GP142" s="2572"/>
      <c r="GQ142" s="2572"/>
      <c r="GR142" s="2572"/>
      <c r="GS142" s="2572"/>
      <c r="GT142" s="2572"/>
      <c r="GU142" s="2572"/>
      <c r="GV142" s="2572"/>
      <c r="GW142" s="2572"/>
      <c r="GX142" s="2570">
        <f>IF(GX92&gt;0,GX92,(-1*GX93))</f>
        <v>-52763</v>
      </c>
      <c r="GY142" s="2572"/>
      <c r="GZ142" s="2572"/>
      <c r="HA142" s="2572"/>
      <c r="HB142" s="2570">
        <f>IF(HB92&gt;0,HB92,(-1*HB93))</f>
        <v>-5001</v>
      </c>
      <c r="HC142" s="2570">
        <f>IF(HC92&gt;0,HC92,(-1*HC93))</f>
        <v>139838</v>
      </c>
      <c r="HD142" s="2572"/>
      <c r="HE142" s="2572"/>
      <c r="HF142" s="2572"/>
      <c r="HG142" s="2572"/>
      <c r="HH142" s="2572"/>
      <c r="HI142" s="2572"/>
      <c r="HJ142" s="2572"/>
      <c r="HK142" s="2572"/>
      <c r="HL142" s="2572"/>
      <c r="HM142" s="2572"/>
      <c r="HN142" s="2572"/>
      <c r="HO142" s="2570">
        <f>IF(HO92&gt;0,HO92,(-1*HO93))</f>
        <v>14900</v>
      </c>
      <c r="HP142" s="2572"/>
      <c r="HQ142" s="2572"/>
      <c r="HR142" s="2572"/>
      <c r="HS142" s="2572"/>
      <c r="HT142" s="2572"/>
      <c r="HU142" s="2572"/>
      <c r="HV142" s="2572"/>
      <c r="HW142" s="2572"/>
      <c r="HX142" s="2572"/>
      <c r="HY142" s="2572"/>
      <c r="HZ142" s="2572"/>
      <c r="IA142" s="2572"/>
      <c r="IB142" s="2572"/>
      <c r="IC142" s="2572"/>
      <c r="ID142" s="2572"/>
      <c r="IE142" s="2572"/>
      <c r="IF142" s="2572"/>
      <c r="IG142" s="2572"/>
      <c r="IH142" s="2572"/>
      <c r="II142" s="2572"/>
      <c r="IJ142" s="2572"/>
      <c r="IK142" s="2572"/>
      <c r="IL142" s="2572"/>
      <c r="IM142" s="2572"/>
      <c r="IN142" s="2572"/>
      <c r="IO142" s="2572"/>
      <c r="IP142" s="2572"/>
      <c r="IQ142" s="2572"/>
      <c r="IR142" s="2572"/>
      <c r="IS142" s="2572"/>
      <c r="IT142" s="2572"/>
      <c r="IU142" s="2572"/>
      <c r="IV142" s="2572"/>
      <c r="IW142" s="2572"/>
      <c r="IX142" s="2572"/>
      <c r="IY142" s="2572"/>
      <c r="IZ142" s="2572"/>
      <c r="JA142" s="2572"/>
      <c r="JB142" s="2572"/>
      <c r="JC142" s="2572"/>
      <c r="JD142" s="2572"/>
      <c r="JE142" s="2572"/>
      <c r="JF142" s="2572"/>
      <c r="JG142" s="2573"/>
      <c r="JH142" s="1233"/>
      <c r="JI142" s="2248" t="s">
        <v>5488</v>
      </c>
      <c r="JJ142" s="2248" t="s">
        <v>6110</v>
      </c>
    </row>
    <row r="143" spans="1:270" x14ac:dyDescent="0.2">
      <c r="A143" s="1128">
        <v>100</v>
      </c>
      <c r="B143" s="1347" t="str">
        <f si="5" t="shared"/>
        <v/>
      </c>
      <c r="C143" s="1278" t="s">
        <v>2400</v>
      </c>
      <c r="D143" s="1350" t="s">
        <v>5555</v>
      </c>
      <c r="E143" s="2546"/>
      <c r="F143" s="2546"/>
      <c r="G143" s="2546"/>
      <c r="H143" s="2546"/>
      <c r="I143" s="2546"/>
      <c r="J143" s="2545"/>
      <c r="K143" s="2546"/>
      <c r="L143" s="2546"/>
      <c r="M143" s="2546"/>
      <c r="N143" s="2546"/>
      <c r="O143" s="2547"/>
      <c r="P143" s="2547"/>
      <c r="Q143" s="2546"/>
      <c r="R143" s="2547"/>
      <c r="S143" s="2546"/>
      <c r="T143" s="2548"/>
      <c r="U143" s="2548"/>
      <c r="V143" s="2548"/>
      <c r="W143" s="2548"/>
      <c r="X143" s="2548"/>
      <c r="Y143" s="2548"/>
      <c r="Z143" s="2548"/>
      <c r="AA143" s="2548"/>
      <c r="AB143" s="2548"/>
      <c r="AC143" s="2546"/>
      <c r="AD143" s="3529"/>
      <c r="AE143" s="3529"/>
      <c r="AF143" s="3529"/>
      <c r="AG143" s="3529"/>
      <c r="AH143" s="3529"/>
      <c r="AI143" s="2548"/>
      <c r="AJ143" s="2546"/>
      <c r="AK143" s="2548"/>
      <c r="AL143" s="2546"/>
      <c r="AM143" s="2548"/>
      <c r="AN143" s="2548"/>
      <c r="AO143" s="2548"/>
      <c r="AP143" s="2548"/>
      <c r="AQ143" s="2548"/>
      <c r="AR143" s="2548"/>
      <c r="AS143" s="2548"/>
      <c r="AT143" s="2548"/>
      <c r="AU143" s="2548"/>
      <c r="AV143" s="2546"/>
      <c r="AW143" s="2548"/>
      <c r="AX143" s="2548"/>
      <c r="AY143" s="2548"/>
      <c r="AZ143" s="2548"/>
      <c r="BA143" s="2548"/>
      <c r="BB143" s="2548"/>
      <c r="BC143" s="2548"/>
      <c r="BD143" s="2548"/>
      <c r="BE143" s="2548"/>
      <c r="BF143" s="2548"/>
      <c r="BG143" s="2548"/>
      <c r="BH143" s="3959"/>
      <c r="BI143" s="3959"/>
      <c r="BJ143" s="2546"/>
      <c r="BK143" s="2548"/>
      <c r="BL143" s="2548"/>
      <c r="BM143" s="2548"/>
      <c r="BN143" s="2548"/>
      <c r="BO143" s="2548"/>
      <c r="BP143" s="2546"/>
      <c r="BQ143" s="2548"/>
      <c r="BR143" s="2548"/>
      <c r="BS143" s="2548"/>
      <c r="BT143" s="2548"/>
      <c r="BU143" s="2548"/>
      <c r="BV143" s="2548"/>
      <c r="BW143" s="2548"/>
      <c r="BX143" s="2548"/>
      <c r="BY143" s="2548"/>
      <c r="BZ143" s="2548"/>
      <c r="CA143" s="2548"/>
      <c r="CB143" s="2546"/>
      <c r="CC143" s="2548"/>
      <c r="CD143" s="2548"/>
      <c r="CE143" s="2548"/>
      <c r="CF143" s="2546"/>
      <c r="CG143" s="2548"/>
      <c r="CH143" s="2546"/>
      <c r="CI143" s="2548"/>
      <c r="CJ143" s="2548"/>
      <c r="CK143" s="2548"/>
      <c r="CL143" s="2546"/>
      <c r="CM143" s="2548"/>
      <c r="CN143" s="2548"/>
      <c r="CO143" s="2548"/>
      <c r="CP143" s="2548"/>
      <c r="CQ143" s="2548"/>
      <c r="CR143" s="2546"/>
      <c r="CS143" s="2546"/>
      <c r="CT143" s="2548"/>
      <c r="CU143" s="2546"/>
      <c r="CV143" s="2546"/>
      <c r="CW143" s="2548"/>
      <c r="CX143" s="2548"/>
      <c r="CY143" s="2548"/>
      <c r="CZ143" s="2548"/>
      <c r="DA143" s="2548"/>
      <c r="DB143" s="2548"/>
      <c r="DC143" s="2546"/>
      <c r="DD143" s="2548"/>
      <c r="DE143" s="2548"/>
      <c r="DF143" s="2548"/>
      <c r="DG143" s="2548"/>
      <c r="DH143" s="2548"/>
      <c r="DI143" s="2548"/>
      <c r="DJ143" s="2546"/>
      <c r="DK143" s="2548"/>
      <c r="DL143" s="2548"/>
      <c r="DM143" s="2548"/>
      <c r="DN143" s="2548"/>
      <c r="DO143" s="2546"/>
      <c r="DP143" s="2548"/>
      <c r="DQ143" s="2548"/>
      <c r="DR143" s="2548"/>
      <c r="DS143" s="2548"/>
      <c r="DT143" s="2548"/>
      <c r="DU143" s="2548"/>
      <c r="DV143" s="2548"/>
      <c r="DW143" s="2548"/>
      <c r="DX143" s="2548"/>
      <c r="DY143" s="2548"/>
      <c r="DZ143" s="2548"/>
      <c r="EA143" s="2548"/>
      <c r="EB143" s="2548"/>
      <c r="EC143" s="2548"/>
      <c r="ED143" s="2548"/>
      <c r="EE143" s="2548"/>
      <c r="EF143" s="2546"/>
      <c r="EG143" s="2546">
        <v>1000</v>
      </c>
      <c r="EH143" s="2548"/>
      <c r="EI143" s="2546"/>
      <c r="EJ143" s="2548"/>
      <c r="EK143" s="2548"/>
      <c r="EL143" s="2548"/>
      <c r="EM143" s="2546"/>
      <c r="EN143" s="2548"/>
      <c r="EO143" s="2548"/>
      <c r="EP143" s="2548"/>
      <c r="EQ143" s="2548"/>
      <c r="ER143" s="2548"/>
      <c r="ES143" s="2548"/>
      <c r="ET143" s="2548"/>
      <c r="EU143" s="2548"/>
      <c r="EV143" s="2548"/>
      <c r="EW143" s="2548"/>
      <c r="EX143" s="2548"/>
      <c r="EY143" s="2546"/>
      <c r="EZ143" s="2548"/>
      <c r="FA143" s="2548"/>
      <c r="FB143" s="2548"/>
      <c r="FC143" s="2548"/>
      <c r="FD143" s="2548"/>
      <c r="FE143" s="2548"/>
      <c r="FF143" s="2546"/>
      <c r="FG143" s="2548"/>
      <c r="FH143" s="2546"/>
      <c r="FI143" s="2548"/>
      <c r="FJ143" s="2548"/>
      <c r="FK143" s="2548"/>
      <c r="FL143" s="2548"/>
      <c r="FM143" s="2548"/>
      <c r="FN143" s="2548"/>
      <c r="FO143" s="2548"/>
      <c r="FP143" s="2548"/>
      <c r="FQ143" s="2548"/>
      <c r="FR143" s="2548"/>
      <c r="FS143" s="2548"/>
      <c r="FT143" s="2548"/>
      <c r="FU143" s="2548"/>
      <c r="FV143" s="2548"/>
      <c r="FW143" s="2548"/>
      <c r="FX143" s="2548"/>
      <c r="FY143" s="2548"/>
      <c r="FZ143" s="2548"/>
      <c r="GA143" s="2548"/>
      <c r="GB143" s="2548"/>
      <c r="GC143" s="2548"/>
      <c r="GD143" s="2548"/>
      <c r="GE143" s="2548"/>
      <c r="GF143" s="2548"/>
      <c r="GG143" s="2548"/>
      <c r="GH143" s="2548"/>
      <c r="GI143" s="2548"/>
      <c r="GJ143" s="2546"/>
      <c r="GK143" s="2548"/>
      <c r="GL143" s="2548"/>
      <c r="GM143" s="2548"/>
      <c r="GN143" s="2548"/>
      <c r="GO143" s="2548"/>
      <c r="GP143" s="2548"/>
      <c r="GQ143" s="2548"/>
      <c r="GR143" s="2548"/>
      <c r="GS143" s="2548"/>
      <c r="GT143" s="2548"/>
      <c r="GU143" s="2548"/>
      <c r="GV143" s="2548"/>
      <c r="GW143" s="2548"/>
      <c r="GX143" s="2546"/>
      <c r="GY143" s="2548"/>
      <c r="GZ143" s="2548"/>
      <c r="HA143" s="2548"/>
      <c r="HB143" s="2546"/>
      <c r="HC143" s="2546"/>
      <c r="HD143" s="2548"/>
      <c r="HE143" s="2548"/>
      <c r="HF143" s="2548"/>
      <c r="HG143" s="2548"/>
      <c r="HH143" s="2548"/>
      <c r="HI143" s="2548"/>
      <c r="HJ143" s="2548"/>
      <c r="HK143" s="2548"/>
      <c r="HL143" s="2548"/>
      <c r="HM143" s="2548"/>
      <c r="HN143" s="2548"/>
      <c r="HO143" s="2546"/>
      <c r="HP143" s="2548"/>
      <c r="HQ143" s="2548"/>
      <c r="HR143" s="2548"/>
      <c r="HS143" s="2548"/>
      <c r="HT143" s="2548"/>
      <c r="HU143" s="2548"/>
      <c r="HV143" s="2548"/>
      <c r="HW143" s="2548"/>
      <c r="HX143" s="2548"/>
      <c r="HY143" s="2548"/>
      <c r="HZ143" s="2548"/>
      <c r="IA143" s="2548"/>
      <c r="IB143" s="2548"/>
      <c r="IC143" s="2548"/>
      <c r="ID143" s="2548"/>
      <c r="IE143" s="2548"/>
      <c r="IF143" s="2548"/>
      <c r="IG143" s="2548"/>
      <c r="IH143" s="2548"/>
      <c r="II143" s="2548"/>
      <c r="IJ143" s="2548"/>
      <c r="IK143" s="2548"/>
      <c r="IL143" s="2548"/>
      <c r="IM143" s="2548"/>
      <c r="IN143" s="2548"/>
      <c r="IO143" s="2548"/>
      <c r="IP143" s="2548"/>
      <c r="IQ143" s="2548"/>
      <c r="IR143" s="2548"/>
      <c r="IS143" s="2548"/>
      <c r="IT143" s="2548"/>
      <c r="IU143" s="2548"/>
      <c r="IV143" s="2548"/>
      <c r="IW143" s="2548"/>
      <c r="IX143" s="2548"/>
      <c r="IY143" s="2548"/>
      <c r="IZ143" s="2548"/>
      <c r="JA143" s="2548"/>
      <c r="JB143" s="2548"/>
      <c r="JC143" s="2548"/>
      <c r="JD143" s="2548"/>
      <c r="JE143" s="2548"/>
      <c r="JF143" s="2548"/>
      <c r="JG143" s="2549"/>
      <c r="JH143" s="1233"/>
      <c r="JI143" s="2248"/>
      <c r="JJ143" s="2248" t="s">
        <v>6108</v>
      </c>
    </row>
    <row r="144" spans="1:270" x14ac:dyDescent="0.2">
      <c r="A144" s="1128">
        <v>101</v>
      </c>
      <c r="B144" s="1347" t="str">
        <f si="5" t="shared"/>
        <v/>
      </c>
      <c r="C144" s="1278" t="s">
        <v>2401</v>
      </c>
      <c r="D144" s="1350" t="s">
        <v>5556</v>
      </c>
      <c r="E144" s="2546"/>
      <c r="F144" s="2546"/>
      <c r="G144" s="2546"/>
      <c r="H144" s="2546"/>
      <c r="I144" s="2546"/>
      <c r="J144" s="2545"/>
      <c r="K144" s="2546"/>
      <c r="L144" s="2546"/>
      <c r="M144" s="2546"/>
      <c r="N144" s="2546"/>
      <c r="O144" s="2547"/>
      <c r="P144" s="2547"/>
      <c r="Q144" s="2546"/>
      <c r="R144" s="2547"/>
      <c r="S144" s="2546"/>
      <c r="T144" s="2548"/>
      <c r="U144" s="2548"/>
      <c r="V144" s="2548"/>
      <c r="W144" s="2548"/>
      <c r="X144" s="2548"/>
      <c r="Y144" s="2548"/>
      <c r="Z144" s="2548"/>
      <c r="AA144" s="2548"/>
      <c r="AB144" s="2548"/>
      <c r="AC144" s="2546"/>
      <c r="AD144" s="3529"/>
      <c r="AE144" s="3529"/>
      <c r="AF144" s="3529"/>
      <c r="AG144" s="3529"/>
      <c r="AH144" s="3529"/>
      <c r="AI144" s="2548"/>
      <c r="AJ144" s="2546"/>
      <c r="AK144" s="2548"/>
      <c r="AL144" s="2546">
        <v>71605</v>
      </c>
      <c r="AM144" s="2548"/>
      <c r="AN144" s="2548"/>
      <c r="AO144" s="2548"/>
      <c r="AP144" s="2548"/>
      <c r="AQ144" s="2548"/>
      <c r="AR144" s="2548"/>
      <c r="AS144" s="2548"/>
      <c r="AT144" s="2548"/>
      <c r="AU144" s="2548"/>
      <c r="AV144" s="2546"/>
      <c r="AW144" s="2548"/>
      <c r="AX144" s="2548"/>
      <c r="AY144" s="2548"/>
      <c r="AZ144" s="2548"/>
      <c r="BA144" s="2548"/>
      <c r="BB144" s="2548"/>
      <c r="BC144" s="2548"/>
      <c r="BD144" s="2548"/>
      <c r="BE144" s="2548"/>
      <c r="BF144" s="2548"/>
      <c r="BG144" s="2548"/>
      <c r="BH144" s="3959"/>
      <c r="BI144" s="3959"/>
      <c r="BJ144" s="2546">
        <v>71605</v>
      </c>
      <c r="BK144" s="2548"/>
      <c r="BL144" s="2548"/>
      <c r="BM144" s="2548"/>
      <c r="BN144" s="2548"/>
      <c r="BO144" s="2548"/>
      <c r="BP144" s="2546"/>
      <c r="BQ144" s="2548"/>
      <c r="BR144" s="2548"/>
      <c r="BS144" s="2548"/>
      <c r="BT144" s="2548"/>
      <c r="BU144" s="2548"/>
      <c r="BV144" s="2548"/>
      <c r="BW144" s="2548"/>
      <c r="BX144" s="2548"/>
      <c r="BY144" s="2548"/>
      <c r="BZ144" s="2548"/>
      <c r="CA144" s="2548"/>
      <c r="CB144" s="2546"/>
      <c r="CC144" s="2548"/>
      <c r="CD144" s="2548"/>
      <c r="CE144" s="2548"/>
      <c r="CF144" s="2546"/>
      <c r="CG144" s="2548"/>
      <c r="CH144" s="2546"/>
      <c r="CI144" s="2548"/>
      <c r="CJ144" s="2548"/>
      <c r="CK144" s="2548"/>
      <c r="CL144" s="2546">
        <v>71605</v>
      </c>
      <c r="CM144" s="2548"/>
      <c r="CN144" s="2548"/>
      <c r="CO144" s="2548"/>
      <c r="CP144" s="2548"/>
      <c r="CQ144" s="2548"/>
      <c r="CR144" s="2546">
        <v>71605</v>
      </c>
      <c r="CS144" s="2546">
        <v>71605</v>
      </c>
      <c r="CT144" s="2548"/>
      <c r="CU144" s="2546"/>
      <c r="CV144" s="2546"/>
      <c r="CW144" s="2548"/>
      <c r="CX144" s="2548"/>
      <c r="CY144" s="2548"/>
      <c r="CZ144" s="2548"/>
      <c r="DA144" s="2548"/>
      <c r="DB144" s="2548"/>
      <c r="DC144" s="2546"/>
      <c r="DD144" s="2548"/>
      <c r="DE144" s="2548"/>
      <c r="DF144" s="2548"/>
      <c r="DG144" s="2548"/>
      <c r="DH144" s="2548"/>
      <c r="DI144" s="2548"/>
      <c r="DJ144" s="2546"/>
      <c r="DK144" s="2548"/>
      <c r="DL144" s="2548"/>
      <c r="DM144" s="2548"/>
      <c r="DN144" s="2548"/>
      <c r="DO144" s="2546"/>
      <c r="DP144" s="2548"/>
      <c r="DQ144" s="2548"/>
      <c r="DR144" s="2548"/>
      <c r="DS144" s="2548"/>
      <c r="DT144" s="2548"/>
      <c r="DU144" s="2548"/>
      <c r="DV144" s="2548"/>
      <c r="DW144" s="2548"/>
      <c r="DX144" s="2548"/>
      <c r="DY144" s="2548"/>
      <c r="DZ144" s="2548"/>
      <c r="EA144" s="2548"/>
      <c r="EB144" s="2548"/>
      <c r="EC144" s="2548"/>
      <c r="ED144" s="2548"/>
      <c r="EE144" s="2548"/>
      <c r="EF144" s="2546"/>
      <c r="EG144" s="2546"/>
      <c r="EH144" s="2548"/>
      <c r="EI144" s="2546">
        <v>56750</v>
      </c>
      <c r="EJ144" s="2548"/>
      <c r="EK144" s="2548"/>
      <c r="EL144" s="2548"/>
      <c r="EM144" s="2546">
        <v>71605</v>
      </c>
      <c r="EN144" s="2548"/>
      <c r="EO144" s="2548"/>
      <c r="EP144" s="2548"/>
      <c r="EQ144" s="2548"/>
      <c r="ER144" s="2548"/>
      <c r="ES144" s="2548"/>
      <c r="ET144" s="2548"/>
      <c r="EU144" s="2548"/>
      <c r="EV144" s="2548"/>
      <c r="EW144" s="2548"/>
      <c r="EX144" s="2548"/>
      <c r="EY144" s="2546">
        <v>71605</v>
      </c>
      <c r="EZ144" s="2548"/>
      <c r="FA144" s="2548"/>
      <c r="FB144" s="2548"/>
      <c r="FC144" s="2548"/>
      <c r="FD144" s="2548"/>
      <c r="FE144" s="2548"/>
      <c r="FF144" s="2546"/>
      <c r="FG144" s="2548"/>
      <c r="FH144" s="2546"/>
      <c r="FI144" s="2548"/>
      <c r="FJ144" s="2548"/>
      <c r="FK144" s="2548"/>
      <c r="FL144" s="2548"/>
      <c r="FM144" s="2548"/>
      <c r="FN144" s="2548"/>
      <c r="FO144" s="2548"/>
      <c r="FP144" s="2548"/>
      <c r="FQ144" s="2548"/>
      <c r="FR144" s="2548"/>
      <c r="FS144" s="2548"/>
      <c r="FT144" s="2548"/>
      <c r="FU144" s="2548"/>
      <c r="FV144" s="2548"/>
      <c r="FW144" s="2548"/>
      <c r="FX144" s="2548"/>
      <c r="FY144" s="2548"/>
      <c r="FZ144" s="2548"/>
      <c r="GA144" s="2548"/>
      <c r="GB144" s="2548"/>
      <c r="GC144" s="2548"/>
      <c r="GD144" s="2548"/>
      <c r="GE144" s="2548"/>
      <c r="GF144" s="2548"/>
      <c r="GG144" s="2548"/>
      <c r="GH144" s="2548"/>
      <c r="GI144" s="2548"/>
      <c r="GJ144" s="2546">
        <v>56750</v>
      </c>
      <c r="GK144" s="2548"/>
      <c r="GL144" s="2548"/>
      <c r="GM144" s="2548"/>
      <c r="GN144" s="2548"/>
      <c r="GO144" s="2548"/>
      <c r="GP144" s="2548"/>
      <c r="GQ144" s="2548"/>
      <c r="GR144" s="2548"/>
      <c r="GS144" s="2548"/>
      <c r="GT144" s="2548"/>
      <c r="GU144" s="2548"/>
      <c r="GV144" s="2548"/>
      <c r="GW144" s="2548"/>
      <c r="GX144" s="2546"/>
      <c r="GY144" s="2548"/>
      <c r="GZ144" s="2548"/>
      <c r="HA144" s="2548"/>
      <c r="HB144" s="2546"/>
      <c r="HC144" s="2546"/>
      <c r="HD144" s="2548"/>
      <c r="HE144" s="2548"/>
      <c r="HF144" s="2548"/>
      <c r="HG144" s="2548"/>
      <c r="HH144" s="2548"/>
      <c r="HI144" s="2548"/>
      <c r="HJ144" s="2548"/>
      <c r="HK144" s="2548"/>
      <c r="HL144" s="2548"/>
      <c r="HM144" s="2548"/>
      <c r="HN144" s="2548"/>
      <c r="HO144" s="2546"/>
      <c r="HP144" s="2548"/>
      <c r="HQ144" s="2548"/>
      <c r="HR144" s="2548"/>
      <c r="HS144" s="2548"/>
      <c r="HT144" s="2548"/>
      <c r="HU144" s="2548"/>
      <c r="HV144" s="2548"/>
      <c r="HW144" s="2548"/>
      <c r="HX144" s="2548"/>
      <c r="HY144" s="2548"/>
      <c r="HZ144" s="2548"/>
      <c r="IA144" s="2548"/>
      <c r="IB144" s="2548"/>
      <c r="IC144" s="2548"/>
      <c r="ID144" s="2548"/>
      <c r="IE144" s="2548"/>
      <c r="IF144" s="2548"/>
      <c r="IG144" s="2548"/>
      <c r="IH144" s="2548"/>
      <c r="II144" s="2548"/>
      <c r="IJ144" s="2548"/>
      <c r="IK144" s="2548"/>
      <c r="IL144" s="2548"/>
      <c r="IM144" s="2548"/>
      <c r="IN144" s="2548"/>
      <c r="IO144" s="2548"/>
      <c r="IP144" s="2548"/>
      <c r="IQ144" s="2548"/>
      <c r="IR144" s="2548"/>
      <c r="IS144" s="2548"/>
      <c r="IT144" s="2548"/>
      <c r="IU144" s="2548"/>
      <c r="IV144" s="2548"/>
      <c r="IW144" s="2548"/>
      <c r="IX144" s="2548"/>
      <c r="IY144" s="2548"/>
      <c r="IZ144" s="2548"/>
      <c r="JA144" s="2548"/>
      <c r="JB144" s="2548"/>
      <c r="JC144" s="2548"/>
      <c r="JD144" s="2548"/>
      <c r="JE144" s="2548"/>
      <c r="JF144" s="2548"/>
      <c r="JG144" s="2549"/>
      <c r="JH144" s="1233"/>
      <c r="JI144" s="2248"/>
      <c r="JJ144" s="2248" t="s">
        <v>6108</v>
      </c>
    </row>
    <row r="145" spans="1:270" x14ac:dyDescent="0.2">
      <c r="A145" s="1128">
        <v>102</v>
      </c>
      <c r="B145" s="1347">
        <f si="5" t="shared"/>
        <v>17500</v>
      </c>
      <c r="C145" s="1278" t="s">
        <v>2402</v>
      </c>
      <c r="D145" s="1350" t="s">
        <v>5557</v>
      </c>
      <c r="E145" s="2570"/>
      <c r="F145" s="2570"/>
      <c r="G145" s="2570">
        <f>G141+G142+G143-G144</f>
        <v>17500</v>
      </c>
      <c r="H145" s="2570"/>
      <c r="I145" s="2570">
        <f>I141+I142+I143-I144</f>
        <v>17500</v>
      </c>
      <c r="J145" s="3091"/>
      <c r="K145" s="2570"/>
      <c r="L145" s="2570">
        <f>L141+L142+L143-L144</f>
        <v>17500</v>
      </c>
      <c r="M145" s="2570"/>
      <c r="N145" s="2570"/>
      <c r="O145" s="2571"/>
      <c r="P145" s="2571"/>
      <c r="Q145" s="2570">
        <f>Q141+Q142+Q143-Q144</f>
        <v>17500</v>
      </c>
      <c r="R145" s="2571"/>
      <c r="S145" s="2570">
        <f>S141+S142+S143-S144</f>
        <v>17500</v>
      </c>
      <c r="T145" s="2572"/>
      <c r="U145" s="2572"/>
      <c r="V145" s="2572"/>
      <c r="W145" s="2572"/>
      <c r="X145" s="2572"/>
      <c r="Y145" s="2572"/>
      <c r="Z145" s="2572"/>
      <c r="AA145" s="2572"/>
      <c r="AB145" s="2572"/>
      <c r="AC145" s="2570">
        <f>AC141+AC142+AC143-AC144</f>
        <v>17500</v>
      </c>
      <c r="AD145" s="3534"/>
      <c r="AE145" s="3534"/>
      <c r="AF145" s="3534"/>
      <c r="AG145" s="3534"/>
      <c r="AH145" s="3534"/>
      <c r="AI145" s="2572"/>
      <c r="AJ145" s="2570">
        <f>AJ141+AJ142+AJ143-AJ144</f>
        <v>-22601</v>
      </c>
      <c r="AK145" s="2572"/>
      <c r="AL145" s="2570">
        <f>AL141+AL142+AL143-AL144</f>
        <v>159747</v>
      </c>
      <c r="AM145" s="2572"/>
      <c r="AN145" s="2572"/>
      <c r="AO145" s="2572"/>
      <c r="AP145" s="2572"/>
      <c r="AQ145" s="2572"/>
      <c r="AR145" s="2572"/>
      <c r="AS145" s="2572"/>
      <c r="AT145" s="2572"/>
      <c r="AU145" s="2572"/>
      <c r="AV145" s="2570">
        <f>AV141+AV142+AV143-AV144</f>
        <v>-5001</v>
      </c>
      <c r="AW145" s="2572"/>
      <c r="AX145" s="2572"/>
      <c r="AY145" s="2572"/>
      <c r="AZ145" s="2572"/>
      <c r="BA145" s="2572"/>
      <c r="BB145" s="2572"/>
      <c r="BC145" s="2572"/>
      <c r="BD145" s="2572"/>
      <c r="BE145" s="2572"/>
      <c r="BF145" s="2572"/>
      <c r="BG145" s="2572"/>
      <c r="BH145" s="3964"/>
      <c r="BI145" s="3964"/>
      <c r="BJ145" s="2570">
        <f>BJ141+BJ142+BJ143-BJ144</f>
        <v>159747</v>
      </c>
      <c r="BK145" s="2572"/>
      <c r="BL145" s="2572"/>
      <c r="BM145" s="2572"/>
      <c r="BN145" s="2572"/>
      <c r="BO145" s="2572"/>
      <c r="BP145" s="2570">
        <f>BP141+BP142+BP143-BP144</f>
        <v>17500</v>
      </c>
      <c r="BQ145" s="2572"/>
      <c r="BR145" s="2572"/>
      <c r="BS145" s="2572"/>
      <c r="BT145" s="2572"/>
      <c r="BU145" s="2572"/>
      <c r="BV145" s="2572"/>
      <c r="BW145" s="2572"/>
      <c r="BX145" s="2572"/>
      <c r="BY145" s="2572"/>
      <c r="BZ145" s="2572"/>
      <c r="CA145" s="2572"/>
      <c r="CB145" s="2570">
        <f>CB141+CB142+CB143-CB144</f>
        <v>1316795</v>
      </c>
      <c r="CC145" s="2572"/>
      <c r="CD145" s="2572"/>
      <c r="CE145" s="2572"/>
      <c r="CF145" s="2570">
        <f>CF141+CF142+CF143-CF144</f>
        <v>-22601</v>
      </c>
      <c r="CG145" s="2572"/>
      <c r="CH145" s="2570">
        <f>CH141+CH142+CH143-CH144</f>
        <v>17500</v>
      </c>
      <c r="CI145" s="2572"/>
      <c r="CJ145" s="2572"/>
      <c r="CK145" s="2572"/>
      <c r="CL145" s="2570">
        <f>CL141+CL142+CL143-CL144</f>
        <v>159747</v>
      </c>
      <c r="CM145" s="2572"/>
      <c r="CN145" s="2572"/>
      <c r="CO145" s="2572"/>
      <c r="CP145" s="2572"/>
      <c r="CQ145" s="2572"/>
      <c r="CR145" s="2570">
        <f>CR141+CR142+CR143-CR144</f>
        <v>159747</v>
      </c>
      <c r="CS145" s="2570">
        <f>CS141+CS142+CS143-CS144</f>
        <v>159747</v>
      </c>
      <c r="CT145" s="2572"/>
      <c r="CU145" s="2570">
        <f>CU141+CU142+CU143-CU144</f>
        <v>154838</v>
      </c>
      <c r="CV145" s="2570">
        <f>CV141+CV142+CV143-CV144</f>
        <v>154838</v>
      </c>
      <c r="CW145" s="2572"/>
      <c r="CX145" s="2572"/>
      <c r="CY145" s="2572"/>
      <c r="CZ145" s="2572"/>
      <c r="DA145" s="2572"/>
      <c r="DB145" s="2572"/>
      <c r="DC145" s="2570">
        <f>DC141+DC142+DC143-DC144</f>
        <v>154838</v>
      </c>
      <c r="DD145" s="2572"/>
      <c r="DE145" s="2572"/>
      <c r="DF145" s="2572"/>
      <c r="DG145" s="2572"/>
      <c r="DH145" s="2572"/>
      <c r="DI145" s="2572"/>
      <c r="DJ145" s="2570">
        <f>DJ141+DJ142+DJ143-DJ144</f>
        <v>154838</v>
      </c>
      <c r="DK145" s="2572"/>
      <c r="DL145" s="2572"/>
      <c r="DM145" s="2572"/>
      <c r="DN145" s="2572"/>
      <c r="DO145" s="2570">
        <f>DO141+DO142+DO143-DO144</f>
        <v>-5001</v>
      </c>
      <c r="DP145" s="2572"/>
      <c r="DQ145" s="2572"/>
      <c r="DR145" s="2572"/>
      <c r="DS145" s="2572"/>
      <c r="DT145" s="2572"/>
      <c r="DU145" s="2572"/>
      <c r="DV145" s="2572"/>
      <c r="DW145" s="2572"/>
      <c r="DX145" s="2572"/>
      <c r="DY145" s="2572"/>
      <c r="DZ145" s="2572"/>
      <c r="EA145" s="2572"/>
      <c r="EB145" s="2572"/>
      <c r="EC145" s="2572"/>
      <c r="ED145" s="2572"/>
      <c r="EE145" s="2572"/>
      <c r="EF145" s="2570">
        <f>EF141+EF142+EF143-EF144</f>
        <v>7115</v>
      </c>
      <c r="EG145" s="2570">
        <f>EG141+EG142+EG143-EG144</f>
        <v>-218</v>
      </c>
      <c r="EH145" s="2572"/>
      <c r="EI145" s="2570">
        <f>EI141+EI142+EI143-EI144</f>
        <v>2841</v>
      </c>
      <c r="EJ145" s="2572"/>
      <c r="EK145" s="2572"/>
      <c r="EL145" s="2572"/>
      <c r="EM145" s="2570">
        <f>EM141+EM142+EM143-EM144</f>
        <v>159747</v>
      </c>
      <c r="EN145" s="2572"/>
      <c r="EO145" s="2572"/>
      <c r="EP145" s="2572"/>
      <c r="EQ145" s="2572"/>
      <c r="ER145" s="2572"/>
      <c r="ES145" s="2572"/>
      <c r="ET145" s="2572"/>
      <c r="EU145" s="2572"/>
      <c r="EV145" s="2572"/>
      <c r="EW145" s="2572"/>
      <c r="EX145" s="2572"/>
      <c r="EY145" s="2570">
        <f>EY141+EY142+EY143-EY144</f>
        <v>159747</v>
      </c>
      <c r="EZ145" s="2572"/>
      <c r="FA145" s="2572"/>
      <c r="FB145" s="2572"/>
      <c r="FC145" s="2572"/>
      <c r="FD145" s="2572"/>
      <c r="FE145" s="2572"/>
      <c r="FF145" s="2570">
        <f>FF141+FF142+FF143-FF144</f>
        <v>-22601</v>
      </c>
      <c r="FG145" s="2572"/>
      <c r="FH145" s="2570">
        <f>FH141+FH142+FH143-FH144</f>
        <v>154838</v>
      </c>
      <c r="FI145" s="2572"/>
      <c r="FJ145" s="2572"/>
      <c r="FK145" s="2572"/>
      <c r="FL145" s="2572"/>
      <c r="FM145" s="2572"/>
      <c r="FN145" s="2572"/>
      <c r="FO145" s="2572"/>
      <c r="FP145" s="2572"/>
      <c r="FQ145" s="2572"/>
      <c r="FR145" s="2572"/>
      <c r="FS145" s="2572"/>
      <c r="FT145" s="2572"/>
      <c r="FU145" s="2572"/>
      <c r="FV145" s="2572"/>
      <c r="FW145" s="2572"/>
      <c r="FX145" s="2572"/>
      <c r="FY145" s="2572"/>
      <c r="FZ145" s="2572"/>
      <c r="GA145" s="2572"/>
      <c r="GB145" s="2572"/>
      <c r="GC145" s="2572"/>
      <c r="GD145" s="2572"/>
      <c r="GE145" s="2572"/>
      <c r="GF145" s="2572"/>
      <c r="GG145" s="2572"/>
      <c r="GH145" s="2572"/>
      <c r="GI145" s="2572"/>
      <c r="GJ145" s="2570">
        <f>GJ141+GJ142+GJ143-GJ144</f>
        <v>2841</v>
      </c>
      <c r="GK145" s="2572"/>
      <c r="GL145" s="2572"/>
      <c r="GM145" s="2572"/>
      <c r="GN145" s="2572"/>
      <c r="GO145" s="2572"/>
      <c r="GP145" s="2572"/>
      <c r="GQ145" s="2572"/>
      <c r="GR145" s="2572"/>
      <c r="GS145" s="2572"/>
      <c r="GT145" s="2572"/>
      <c r="GU145" s="2572"/>
      <c r="GV145" s="2572"/>
      <c r="GW145" s="2572"/>
      <c r="GX145" s="2570">
        <f>GX141+GX142+GX143-GX144</f>
        <v>-52763</v>
      </c>
      <c r="GY145" s="2572"/>
      <c r="GZ145" s="2572"/>
      <c r="HA145" s="2572"/>
      <c r="HB145" s="2570">
        <f>HB141+HB142+HB143-HB144</f>
        <v>-5001</v>
      </c>
      <c r="HC145" s="2570">
        <f>HC141+HC142+HC143-HC144</f>
        <v>154838</v>
      </c>
      <c r="HD145" s="2572"/>
      <c r="HE145" s="2572"/>
      <c r="HF145" s="2572"/>
      <c r="HG145" s="2572"/>
      <c r="HH145" s="2572"/>
      <c r="HI145" s="2572"/>
      <c r="HJ145" s="2572"/>
      <c r="HK145" s="2572"/>
      <c r="HL145" s="2572"/>
      <c r="HM145" s="2572"/>
      <c r="HN145" s="2572"/>
      <c r="HO145" s="2570">
        <f>HO141+HO142+HO143-HO144</f>
        <v>17500</v>
      </c>
      <c r="HP145" s="2572"/>
      <c r="HQ145" s="2572"/>
      <c r="HR145" s="2572"/>
      <c r="HS145" s="2572"/>
      <c r="HT145" s="2572"/>
      <c r="HU145" s="2572"/>
      <c r="HV145" s="2572"/>
      <c r="HW145" s="2572"/>
      <c r="HX145" s="2572"/>
      <c r="HY145" s="2572"/>
      <c r="HZ145" s="2572"/>
      <c r="IA145" s="2572"/>
      <c r="IB145" s="2572"/>
      <c r="IC145" s="2572"/>
      <c r="ID145" s="2572"/>
      <c r="IE145" s="2572"/>
      <c r="IF145" s="2572"/>
      <c r="IG145" s="2572"/>
      <c r="IH145" s="2572"/>
      <c r="II145" s="2572"/>
      <c r="IJ145" s="2572"/>
      <c r="IK145" s="2572"/>
      <c r="IL145" s="2572"/>
      <c r="IM145" s="2572"/>
      <c r="IN145" s="2572"/>
      <c r="IO145" s="2572"/>
      <c r="IP145" s="2572"/>
      <c r="IQ145" s="2572"/>
      <c r="IR145" s="2572"/>
      <c r="IS145" s="2572"/>
      <c r="IT145" s="2572"/>
      <c r="IU145" s="2572"/>
      <c r="IV145" s="2572"/>
      <c r="IW145" s="2572"/>
      <c r="IX145" s="2572"/>
      <c r="IY145" s="2572"/>
      <c r="IZ145" s="2572"/>
      <c r="JA145" s="2572"/>
      <c r="JB145" s="2572"/>
      <c r="JC145" s="2572"/>
      <c r="JD145" s="2572"/>
      <c r="JE145" s="2572"/>
      <c r="JF145" s="2572"/>
      <c r="JG145" s="2573"/>
      <c r="JH145" s="1233"/>
      <c r="JI145" s="4280" t="s">
        <v>5489</v>
      </c>
      <c r="JJ145" s="2248" t="s">
        <v>6110</v>
      </c>
    </row>
    <row r="146" spans="1:270" x14ac:dyDescent="0.2">
      <c r="A146" s="1128">
        <v>103</v>
      </c>
      <c r="B146" s="1347" t="str">
        <f>IF(SE_B_IND&gt;1,IF(HLOOKUP(SE_B_IND-1,FSE_RANGE,A146)="","",HLOOKUP(SE_B_IND-1,FSE_RANGE,A146)),"")</f>
        <v>N</v>
      </c>
      <c r="C146" s="1278" t="s">
        <v>2403</v>
      </c>
      <c r="D146" s="1350" t="str">
        <f>"If your total profits for "&amp;tax_year&amp;" are less than "&amp;DOLLAR(NIC2_SPT,0)&amp;" and you choose to pay Class 2 NICs voluntarily, put 'X' in the box"</f>
        <v>If your total profits for 2019-20 are less than $6,365 and you choose to pay Class 2 NICs voluntarily, put 'X' in the box</v>
      </c>
      <c r="E146" s="2528"/>
      <c r="F146" s="2528"/>
      <c r="G146" s="2528" t="str">
        <f>IF(SE_B_IND&gt;1,IF(SE_A_IND&gt;1,"",IF(LUN_IND&gt;1,"",IF(PS_A_IND&gt;1,"",IF(PS_B_IND&gt;1,"",IF(AND(G122&lt;NIC2_SPT,NIC2_Vol,NIC_ex_set=FALSE),"Y","N"))))),"")</f>
        <v>N</v>
      </c>
      <c r="H146" s="2528"/>
      <c r="I146" s="2528" t="str">
        <f>IF(SE_B_IND&gt;1,IF(SE_A_IND&gt;1,"",IF(LUN_IND&gt;1,"",IF(PS_A_IND&gt;1,"",IF(PS_B_IND&gt;1,"",IF(AND(I122&lt;NIC2_SPT,NIC2_Vol,NIC_ex_set=FALSE),"Y","N"))))),"")</f>
        <v>N</v>
      </c>
      <c r="J146" s="3092"/>
      <c r="K146" s="2528"/>
      <c r="L146" s="2528" t="str">
        <f>IF(SE_B_IND&gt;1,IF(SE_A_IND&gt;1,"",IF(LUN_IND&gt;1,"",IF(PS_A_IND&gt;1,"",IF(PS_B_IND&gt;1,"",IF(AND(L122&lt;NIC2_SPT,NIC2_Vol,NIC_ex_set=FALSE),"Y","N"))))),"")</f>
        <v>N</v>
      </c>
      <c r="M146" s="2528"/>
      <c r="N146" s="2528"/>
      <c r="O146" s="2529"/>
      <c r="P146" s="2529"/>
      <c r="Q146" s="2528" t="str">
        <f>IF(SE_B_IND&gt;1,IF(SE_A_IND&gt;1,"",IF(LUN_IND&gt;1,"",IF(PS_A_IND&gt;1,"",IF(PS_B_IND&gt;1,"",IF(AND(Q122&lt;NIC2_SPT,NIC2_Vol,NIC_ex_set=FALSE),"Y","N"))))),"")</f>
        <v>N</v>
      </c>
      <c r="R146" s="2529"/>
      <c r="S146" s="2528" t="str">
        <f>IF(SE_B_IND&gt;1,IF(SE_A_IND&gt;1,"",IF(LUN_IND&gt;1,"",IF(PS_A_IND&gt;1,"",IF(PS_B_IND&gt;1,"",IF(AND(S122&lt;NIC2_SPT,NIC2_Vol,NIC_ex_set=FALSE),"Y","N"))))),"")</f>
        <v>N</v>
      </c>
      <c r="T146" s="2530"/>
      <c r="U146" s="2530"/>
      <c r="V146" s="2530"/>
      <c r="W146" s="2530"/>
      <c r="X146" s="2530"/>
      <c r="Y146" s="2530"/>
      <c r="Z146" s="2530"/>
      <c r="AA146" s="2530"/>
      <c r="AB146" s="2530"/>
      <c r="AC146" s="2528" t="str">
        <f>IF(SE_B_IND&gt;1,IF(SE_A_IND&gt;1,"",IF(LUN_IND&gt;1,"",IF(PS_A_IND&gt;1,"",IF(PS_B_IND&gt;1,"",IF(AND(AC122&lt;NIC2_SPT,NIC2_Vol,NIC_ex_set=FALSE),"Y","N"))))),"")</f>
        <v>N</v>
      </c>
      <c r="AD146" s="3525"/>
      <c r="AE146" s="3525"/>
      <c r="AF146" s="3525"/>
      <c r="AG146" s="3525"/>
      <c r="AH146" s="3525"/>
      <c r="AI146" s="2530"/>
      <c r="AJ146" s="2528" t="str">
        <f>IF(SE_B_IND&gt;1,IF(SE_A_IND&gt;1,"",IF(LUN_IND&gt;1,"",IF(PS_A_IND&gt;1,"",IF(PS_B_IND&gt;1,"",IF(AND(AJ122&lt;NIC2_SPT,NIC2_Vol,NIC_ex_set=FALSE),"Y","N"))))),"")</f>
        <v>N</v>
      </c>
      <c r="AK146" s="2530"/>
      <c r="AL146" s="2528" t="str">
        <f>IF(SE_B_IND&gt;1,IF(SE_A_IND&gt;1,"",IF(LUN_IND&gt;1,"",IF(PS_A_IND&gt;1,"",IF(PS_B_IND&gt;1,"",IF(AND(AL122&lt;NIC2_SPT,NIC2_Vol,NIC_ex_set=FALSE),"Y","N"))))),"")</f>
        <v>N</v>
      </c>
      <c r="AM146" s="2530"/>
      <c r="AN146" s="2530"/>
      <c r="AO146" s="2530"/>
      <c r="AP146" s="2530"/>
      <c r="AQ146" s="2530"/>
      <c r="AR146" s="2530"/>
      <c r="AS146" s="2530"/>
      <c r="AT146" s="2530"/>
      <c r="AU146" s="2530"/>
      <c r="AV146" s="2528" t="str">
        <f>IF(SE_B_IND&gt;1,IF(SE_A_IND&gt;1,"",IF(LUN_IND&gt;1,"",IF(PS_A_IND&gt;1,"",IF(PS_B_IND&gt;1,"",IF(AND(AV122&lt;NIC2_SPT,NIC2_Vol,NIC_ex_set=FALSE),"Y","N"))))),"")</f>
        <v>N</v>
      </c>
      <c r="AW146" s="2530"/>
      <c r="AX146" s="2530"/>
      <c r="AY146" s="2530"/>
      <c r="AZ146" s="2530"/>
      <c r="BA146" s="2530"/>
      <c r="BB146" s="2530"/>
      <c r="BC146" s="2530"/>
      <c r="BD146" s="2530"/>
      <c r="BE146" s="2530"/>
      <c r="BF146" s="2530"/>
      <c r="BG146" s="2530"/>
      <c r="BH146" s="3965"/>
      <c r="BI146" s="3965"/>
      <c r="BJ146" s="2528" t="str">
        <f>IF(SE_B_IND&gt;1,IF(SE_A_IND&gt;1,"",IF(LUN_IND&gt;1,"",IF(PS_A_IND&gt;1,"",IF(PS_B_IND&gt;1,"",IF(AND(BJ122&lt;NIC2_SPT,NIC2_Vol,NIC_ex_set=FALSE),"Y","N"))))),"")</f>
        <v>N</v>
      </c>
      <c r="BK146" s="2530"/>
      <c r="BL146" s="2530"/>
      <c r="BM146" s="2530"/>
      <c r="BN146" s="2530"/>
      <c r="BO146" s="2530"/>
      <c r="BP146" s="2528" t="str">
        <f>IF(SE_B_IND&gt;1,IF(SE_A_IND&gt;1,"",IF(LUN_IND&gt;1,"",IF(PS_A_IND&gt;1,"",IF(PS_B_IND&gt;1,"",IF(AND(BP122&lt;NIC2_SPT,NIC2_Vol,NIC_ex_set=FALSE),"Y","N"))))),"")</f>
        <v>N</v>
      </c>
      <c r="BQ146" s="2530"/>
      <c r="BR146" s="2530"/>
      <c r="BS146" s="2530"/>
      <c r="BT146" s="2530"/>
      <c r="BU146" s="2530"/>
      <c r="BV146" s="2530"/>
      <c r="BW146" s="2530"/>
      <c r="BX146" s="2530"/>
      <c r="BY146" s="2530"/>
      <c r="BZ146" s="2530"/>
      <c r="CA146" s="2530"/>
      <c r="CB146" s="2528" t="str">
        <f>IF(SE_B_IND&gt;1,IF(SE_A_IND&gt;1,"",IF(LUN_IND&gt;1,"",IF(PS_A_IND&gt;1,"",IF(PS_B_IND&gt;1,"",IF(AND(CB122&lt;NIC2_SPT,NIC2_Vol,NIC_ex_set=FALSE),"Y","N"))))),"")</f>
        <v>N</v>
      </c>
      <c r="CC146" s="2530"/>
      <c r="CD146" s="2530"/>
      <c r="CE146" s="2530"/>
      <c r="CF146" s="2528" t="str">
        <f>IF(SE_B_IND&gt;1,IF(SE_A_IND&gt;1,"",IF(LUN_IND&gt;1,"",IF(PS_A_IND&gt;1,"",IF(PS_B_IND&gt;1,"",IF(AND(CF122&lt;NIC2_SPT,NIC2_Vol,NIC_ex_set=FALSE),"Y","N"))))),"")</f>
        <v>N</v>
      </c>
      <c r="CG146" s="2530"/>
      <c r="CH146" s="2528" t="str">
        <f>IF(SE_B_IND&gt;1,IF(SE_A_IND&gt;1,"",IF(LUN_IND&gt;1,"",IF(PS_A_IND&gt;1,"",IF(PS_B_IND&gt;1,"",IF(AND(CH122&lt;NIC2_SPT,NIC2_Vol,NIC_ex_set=FALSE),"Y","N"))))),"")</f>
        <v>N</v>
      </c>
      <c r="CI146" s="2530"/>
      <c r="CJ146" s="2530"/>
      <c r="CK146" s="2530"/>
      <c r="CL146" s="2528" t="str">
        <f>IF(SE_B_IND&gt;1,IF(SE_A_IND&gt;1,"",IF(LUN_IND&gt;1,"",IF(PS_A_IND&gt;1,"",IF(PS_B_IND&gt;1,"",IF(AND(CL122&lt;NIC2_SPT,NIC2_Vol,NIC_ex_set=FALSE),"Y","N"))))),"")</f>
        <v>N</v>
      </c>
      <c r="CM146" s="2530"/>
      <c r="CN146" s="2530"/>
      <c r="CO146" s="2530"/>
      <c r="CP146" s="2530"/>
      <c r="CQ146" s="2530"/>
      <c r="CR146" s="2528" t="str">
        <f>IF(SE_B_IND&gt;1,IF(SE_A_IND&gt;1,"",IF(LUN_IND&gt;1,"",IF(PS_A_IND&gt;1,"",IF(PS_B_IND&gt;1,"",IF(AND(CR122&lt;NIC2_SPT,NIC2_Vol,NIC_ex_set=FALSE),"Y","N"))))),"")</f>
        <v>N</v>
      </c>
      <c r="CS146" s="2528" t="str">
        <f>IF(SE_B_IND&gt;1,IF(SE_A_IND&gt;1,"",IF(LUN_IND&gt;1,"",IF(PS_A_IND&gt;1,"",IF(PS_B_IND&gt;1,"",IF(AND(CS122&lt;NIC2_SPT,NIC2_Vol,NIC_ex_set=FALSE),"Y","N"))))),"")</f>
        <v>N</v>
      </c>
      <c r="CT146" s="2530"/>
      <c r="CU146" s="2528" t="str">
        <f>IF(SE_B_IND&gt;1,IF(SE_A_IND&gt;1,"",IF(LUN_IND&gt;1,"",IF(PS_A_IND&gt;1,"",IF(PS_B_IND&gt;1,"",IF(AND(CU122&lt;NIC2_SPT,NIC2_Vol,NIC_ex_set=FALSE),"Y","N"))))),"")</f>
        <v>N</v>
      </c>
      <c r="CV146" s="2528" t="str">
        <f>IF(SE_B_IND&gt;1,IF(SE_A_IND&gt;1,"",IF(LUN_IND&gt;1,"",IF(PS_A_IND&gt;1,"",IF(PS_B_IND&gt;1,"",IF(AND(CV122&lt;NIC2_SPT,NIC2_Vol,NIC_ex_set=FALSE),"Y","N"))))),"")</f>
        <v>N</v>
      </c>
      <c r="CW146" s="2530"/>
      <c r="CX146" s="2530"/>
      <c r="CY146" s="2530"/>
      <c r="CZ146" s="2530"/>
      <c r="DA146" s="2530"/>
      <c r="DB146" s="2530"/>
      <c r="DC146" s="2528" t="str">
        <f>IF(SE_B_IND&gt;1,IF(SE_A_IND&gt;1,"",IF(LUN_IND&gt;1,"",IF(PS_A_IND&gt;1,"",IF(PS_B_IND&gt;1,"",IF(AND(DC122&lt;NIC2_SPT,NIC2_Vol,NIC_ex_set=FALSE),"Y","N"))))),"")</f>
        <v>N</v>
      </c>
      <c r="DD146" s="2530"/>
      <c r="DE146" s="2530"/>
      <c r="DF146" s="2530"/>
      <c r="DG146" s="2530"/>
      <c r="DH146" s="2530"/>
      <c r="DI146" s="2530"/>
      <c r="DJ146" s="2528" t="str">
        <f>IF(SE_B_IND&gt;1,IF(SE_A_IND&gt;1,"",IF(LUN_IND&gt;1,"",IF(PS_A_IND&gt;1,"",IF(PS_B_IND&gt;1,"",IF(AND(DJ122&lt;NIC2_SPT,NIC2_Vol,NIC_ex_set=FALSE),"Y","N"))))),"")</f>
        <v>N</v>
      </c>
      <c r="DK146" s="2530"/>
      <c r="DL146" s="2530"/>
      <c r="DM146" s="2530"/>
      <c r="DN146" s="2530"/>
      <c r="DO146" s="2528" t="str">
        <f>IF(SE_B_IND&gt;1,IF(SE_A_IND&gt;1,"",IF(LUN_IND&gt;1,"",IF(PS_A_IND&gt;1,"",IF(PS_B_IND&gt;1,"",IF(AND(DO122&lt;NIC2_SPT,NIC2_Vol,NIC_ex_set=FALSE),"Y","N"))))),"")</f>
        <v>N</v>
      </c>
      <c r="DP146" s="2530"/>
      <c r="DQ146" s="2530"/>
      <c r="DR146" s="2530"/>
      <c r="DS146" s="2530"/>
      <c r="DT146" s="2530"/>
      <c r="DU146" s="2530"/>
      <c r="DV146" s="2530"/>
      <c r="DW146" s="2530"/>
      <c r="DX146" s="2530"/>
      <c r="DY146" s="2530"/>
      <c r="DZ146" s="2530"/>
      <c r="EA146" s="2530"/>
      <c r="EB146" s="2530"/>
      <c r="EC146" s="2530"/>
      <c r="ED146" s="2530"/>
      <c r="EE146" s="2530"/>
      <c r="EF146" s="2528" t="str">
        <f>IF(SE_B_IND&gt;1,IF(SE_A_IND&gt;1,"",IF(LUN_IND&gt;1,"",IF(PS_A_IND&gt;1,"",IF(PS_B_IND&gt;1,"",IF(AND(EF122&lt;NIC2_SPT,NIC2_Vol,NIC_ex_set=FALSE),"Y","N"))))),"")</f>
        <v>N</v>
      </c>
      <c r="EG146" s="2528" t="str">
        <f>IF(SE_B_IND&gt;1,IF(SE_A_IND&gt;1,"",IF(LUN_IND&gt;1,"",IF(PS_A_IND&gt;1,"",IF(PS_B_IND&gt;1,"",IF(AND(EG122&lt;NIC2_SPT,NIC2_Vol,NIC_ex_set=FALSE),"Y","N"))))),"")</f>
        <v>N</v>
      </c>
      <c r="EH146" s="2530"/>
      <c r="EI146" s="2528" t="str">
        <f>IF(SE_B_IND&gt;1,IF(SE_A_IND&gt;1,"",IF(LUN_IND&gt;1,"",IF(PS_A_IND&gt;1,"",IF(PS_B_IND&gt;1,"",IF(AND(EI122&lt;NIC2_SPT,NIC2_Vol,NIC_ex_set=FALSE),"Y","N"))))),"")</f>
        <v>N</v>
      </c>
      <c r="EJ146" s="2530"/>
      <c r="EK146" s="2530"/>
      <c r="EL146" s="2530"/>
      <c r="EM146" s="2528" t="str">
        <f>IF(SE_B_IND&gt;1,IF(SE_A_IND&gt;1,"",IF(LUN_IND&gt;1,"",IF(PS_A_IND&gt;1,"",IF(PS_B_IND&gt;1,"",IF(AND(EM122&lt;NIC2_SPT,NIC2_Vol,NIC_ex_set=FALSE),"Y","N"))))),"")</f>
        <v>N</v>
      </c>
      <c r="EN146" s="2530"/>
      <c r="EO146" s="2530"/>
      <c r="EP146" s="2530"/>
      <c r="EQ146" s="2530"/>
      <c r="ER146" s="2530"/>
      <c r="ES146" s="2530"/>
      <c r="ET146" s="2530"/>
      <c r="EU146" s="2530"/>
      <c r="EV146" s="2530"/>
      <c r="EW146" s="2530"/>
      <c r="EX146" s="2530"/>
      <c r="EY146" s="2528" t="str">
        <f>IF(SE_B_IND&gt;1,IF(SE_A_IND&gt;1,"",IF(LUN_IND&gt;1,"",IF(PS_A_IND&gt;1,"",IF(PS_B_IND&gt;1,"",IF(AND(EY122&lt;NIC2_SPT,NIC2_Vol,NIC_ex_set=FALSE),"Y","N"))))),"")</f>
        <v>N</v>
      </c>
      <c r="EZ146" s="2530"/>
      <c r="FA146" s="2530"/>
      <c r="FB146" s="2530"/>
      <c r="FC146" s="2530"/>
      <c r="FD146" s="2530"/>
      <c r="FE146" s="2530"/>
      <c r="FF146" s="2528" t="str">
        <f>IF(SE_B_IND&gt;1,IF(SE_A_IND&gt;1,"",IF(LUN_IND&gt;1,"",IF(PS_A_IND&gt;1,"",IF(PS_B_IND&gt;1,"",IF(AND(FF122&lt;NIC2_SPT,NIC2_Vol,NIC_ex_set=FALSE),"Y","N"))))),"")</f>
        <v>N</v>
      </c>
      <c r="FG146" s="2530"/>
      <c r="FH146" s="2528" t="str">
        <f>IF(SE_B_IND&gt;1,IF(SE_A_IND&gt;1,"",IF(LUN_IND&gt;1,"",IF(PS_A_IND&gt;1,"",IF(PS_B_IND&gt;1,"",IF(AND(FH122&lt;NIC2_SPT,NIC2_Vol,NIC_ex_set=FALSE),"Y","N"))))),"")</f>
        <v>N</v>
      </c>
      <c r="FI146" s="2530"/>
      <c r="FJ146" s="2530"/>
      <c r="FK146" s="2530"/>
      <c r="FL146" s="2530"/>
      <c r="FM146" s="2530"/>
      <c r="FN146" s="2530"/>
      <c r="FO146" s="2530"/>
      <c r="FP146" s="2530"/>
      <c r="FQ146" s="2530"/>
      <c r="FR146" s="2530"/>
      <c r="FS146" s="2530"/>
      <c r="FT146" s="2530"/>
      <c r="FU146" s="2530"/>
      <c r="FV146" s="2530"/>
      <c r="FW146" s="2530"/>
      <c r="FX146" s="2530"/>
      <c r="FY146" s="2530"/>
      <c r="FZ146" s="2530"/>
      <c r="GA146" s="2530"/>
      <c r="GB146" s="2530"/>
      <c r="GC146" s="2530"/>
      <c r="GD146" s="2530"/>
      <c r="GE146" s="2530"/>
      <c r="GF146" s="2530"/>
      <c r="GG146" s="2530"/>
      <c r="GH146" s="2530"/>
      <c r="GI146" s="2530"/>
      <c r="GJ146" s="2528" t="str">
        <f>IF(SE_B_IND&gt;1,IF(SE_A_IND&gt;1,"",IF(LUN_IND&gt;1,"",IF(PS_A_IND&gt;1,"",IF(PS_B_IND&gt;1,"",IF(AND(GJ122&lt;NIC2_SPT,NIC2_Vol,NIC_ex_set=FALSE),"Y","N"))))),"")</f>
        <v>N</v>
      </c>
      <c r="GK146" s="2530"/>
      <c r="GL146" s="2530"/>
      <c r="GM146" s="2530"/>
      <c r="GN146" s="2530"/>
      <c r="GO146" s="2530"/>
      <c r="GP146" s="2530"/>
      <c r="GQ146" s="2530"/>
      <c r="GR146" s="2530"/>
      <c r="GS146" s="2530"/>
      <c r="GT146" s="2530"/>
      <c r="GU146" s="2530"/>
      <c r="GV146" s="2530"/>
      <c r="GW146" s="2530"/>
      <c r="GX146" s="2528" t="str">
        <f>IF(SE_B_IND&gt;1,IF(SE_A_IND&gt;1,"",IF(LUN_IND&gt;1,"",IF(PS_A_IND&gt;1,"",IF(PS_B_IND&gt;1,"",IF(AND(GX122&lt;NIC2_SPT,NIC2_Vol,NIC_ex_set=FALSE),"Y","N"))))),"")</f>
        <v>N</v>
      </c>
      <c r="GY146" s="2530"/>
      <c r="GZ146" s="2530"/>
      <c r="HA146" s="2530"/>
      <c r="HB146" s="2528" t="str">
        <f>IF(SE_B_IND&gt;1,IF(SE_A_IND&gt;1,"",IF(LUN_IND&gt;1,"",IF(PS_A_IND&gt;1,"",IF(PS_B_IND&gt;1,"",IF(AND(HB122&lt;NIC2_SPT,NIC2_Vol,NIC_ex_set=FALSE),"Y","N"))))),"")</f>
        <v>N</v>
      </c>
      <c r="HC146" s="2528" t="str">
        <f>IF(SE_B_IND&gt;1,IF(SE_A_IND&gt;1,"",IF(LUN_IND&gt;1,"",IF(PS_A_IND&gt;1,"",IF(PS_B_IND&gt;1,"",IF(AND(HC122&lt;NIC2_SPT,NIC2_Vol,NIC_ex_set=FALSE),"Y","N"))))),"")</f>
        <v>N</v>
      </c>
      <c r="HD146" s="2530"/>
      <c r="HE146" s="2530"/>
      <c r="HF146" s="2530"/>
      <c r="HG146" s="2530"/>
      <c r="HH146" s="2530"/>
      <c r="HI146" s="2530"/>
      <c r="HJ146" s="2530"/>
      <c r="HK146" s="2530"/>
      <c r="HL146" s="2530"/>
      <c r="HM146" s="2530"/>
      <c r="HN146" s="2530"/>
      <c r="HO146" s="2528" t="str">
        <f>IF(SE_B_IND&gt;1,IF(SE_A_IND&gt;1,"",IF(LUN_IND&gt;1,"",IF(PS_A_IND&gt;1,"",IF(PS_B_IND&gt;1,"",IF(AND(HO122&lt;NIC2_SPT,NIC2_Vol,NIC_ex_set=FALSE),"Y","N"))))),"")</f>
        <v>N</v>
      </c>
      <c r="HP146" s="2530"/>
      <c r="HQ146" s="2530"/>
      <c r="HR146" s="2530"/>
      <c r="HS146" s="2530"/>
      <c r="HT146" s="2530"/>
      <c r="HU146" s="2530"/>
      <c r="HV146" s="2530"/>
      <c r="HW146" s="2530"/>
      <c r="HX146" s="2530"/>
      <c r="HY146" s="2530"/>
      <c r="HZ146" s="2530"/>
      <c r="IA146" s="2530"/>
      <c r="IB146" s="2530"/>
      <c r="IC146" s="2530"/>
      <c r="ID146" s="2530"/>
      <c r="IE146" s="2530"/>
      <c r="IF146" s="2530"/>
      <c r="IG146" s="2530"/>
      <c r="IH146" s="2530"/>
      <c r="II146" s="2530"/>
      <c r="IJ146" s="2530"/>
      <c r="IK146" s="2530"/>
      <c r="IL146" s="2530"/>
      <c r="IM146" s="2530"/>
      <c r="IN146" s="2530"/>
      <c r="IO146" s="2530"/>
      <c r="IP146" s="2530"/>
      <c r="IQ146" s="2530"/>
      <c r="IR146" s="2530"/>
      <c r="IS146" s="2530"/>
      <c r="IT146" s="2530"/>
      <c r="IU146" s="2530"/>
      <c r="IV146" s="2530"/>
      <c r="IW146" s="2530"/>
      <c r="IX146" s="2530"/>
      <c r="IY146" s="2530"/>
      <c r="IZ146" s="2530"/>
      <c r="JA146" s="2530"/>
      <c r="JB146" s="2530"/>
      <c r="JC146" s="2530"/>
      <c r="JD146" s="2530"/>
      <c r="JE146" s="2530"/>
      <c r="JF146" s="2530"/>
      <c r="JG146" s="2531"/>
      <c r="JH146" s="1233"/>
      <c r="JI146" s="4286"/>
      <c r="JJ146" s="2248" t="s">
        <v>6111</v>
      </c>
    </row>
    <row r="147" spans="1:270" x14ac:dyDescent="0.2">
      <c r="A147" s="1128">
        <v>104</v>
      </c>
      <c r="B147" s="1347" t="str">
        <f si="5" t="shared"/>
        <v>N</v>
      </c>
      <c r="C147" s="1278" t="s">
        <v>3798</v>
      </c>
      <c r="D147" s="1350" t="s">
        <v>4833</v>
      </c>
      <c r="E147" s="2528"/>
      <c r="F147" s="2528"/>
      <c r="G147" s="2528" t="str">
        <f>IF(SE_B_IND&gt;1,IF(SE_A_IND&gt;1,"",IF(NIC_ex_set,"Y","N")),"")</f>
        <v>N</v>
      </c>
      <c r="H147" s="2528"/>
      <c r="I147" s="2528" t="str">
        <f>IF(SE_B_IND&gt;1,IF(SE_A_IND&gt;1,"",IF(NIC_ex_set,"Y","N")),"")</f>
        <v>N</v>
      </c>
      <c r="J147" s="3092"/>
      <c r="K147" s="2528"/>
      <c r="L147" s="2528" t="str">
        <f>IF(SE_B_IND&gt;1,IF(SE_A_IND&gt;1,"",IF(NIC_ex_set,"Y","N")),"")</f>
        <v>N</v>
      </c>
      <c r="M147" s="2528"/>
      <c r="N147" s="2528"/>
      <c r="O147" s="2529"/>
      <c r="P147" s="2529"/>
      <c r="Q147" s="2528" t="str">
        <f>IF(SE_B_IND&gt;1,IF(SE_A_IND&gt;1,"",IF(NIC_ex_set,"Y","N")),"")</f>
        <v>N</v>
      </c>
      <c r="R147" s="2529"/>
      <c r="S147" s="2528" t="str">
        <f>IF(SE_B_IND&gt;1,IF(SE_A_IND&gt;1,"",IF(NIC_ex_set,"Y","N")),"")</f>
        <v>N</v>
      </c>
      <c r="T147" s="2530"/>
      <c r="U147" s="2530"/>
      <c r="V147" s="2530"/>
      <c r="W147" s="2530"/>
      <c r="X147" s="2530"/>
      <c r="Y147" s="2530"/>
      <c r="Z147" s="2530"/>
      <c r="AA147" s="2530"/>
      <c r="AB147" s="2530"/>
      <c r="AC147" s="2528" t="str">
        <f>IF(SE_B_IND&gt;1,IF(SE_A_IND&gt;1,"",IF(NIC_ex_set,"Y","N")),"")</f>
        <v>N</v>
      </c>
      <c r="AD147" s="3525"/>
      <c r="AE147" s="3525"/>
      <c r="AF147" s="3525"/>
      <c r="AG147" s="3525"/>
      <c r="AH147" s="3525"/>
      <c r="AI147" s="2530"/>
      <c r="AJ147" s="2528" t="str">
        <f>IF(SE_B_IND&gt;1,IF(SE_A_IND&gt;1,"",IF(NIC_ex_set,"Y","N")),"")</f>
        <v>N</v>
      </c>
      <c r="AK147" s="2530"/>
      <c r="AL147" s="2528" t="str">
        <f>IF(SE_B_IND&gt;1,IF(SE_A_IND&gt;1,"",IF(NIC_ex_set,"Y","N")),"")</f>
        <v>N</v>
      </c>
      <c r="AM147" s="2530"/>
      <c r="AN147" s="2530"/>
      <c r="AO147" s="2530"/>
      <c r="AP147" s="2530"/>
      <c r="AQ147" s="2530"/>
      <c r="AR147" s="2530"/>
      <c r="AS147" s="2530"/>
      <c r="AT147" s="2530"/>
      <c r="AU147" s="2530"/>
      <c r="AV147" s="2528" t="str">
        <f>IF(SE_B_IND&gt;1,IF(SE_A_IND&gt;1,"",IF(NIC_ex_set,"Y","N")),"")</f>
        <v>N</v>
      </c>
      <c r="AW147" s="2530"/>
      <c r="AX147" s="2530"/>
      <c r="AY147" s="2530"/>
      <c r="AZ147" s="2530"/>
      <c r="BA147" s="2530"/>
      <c r="BB147" s="2530"/>
      <c r="BC147" s="2530"/>
      <c r="BD147" s="2530"/>
      <c r="BE147" s="2530"/>
      <c r="BF147" s="2530"/>
      <c r="BG147" s="2530"/>
      <c r="BH147" s="3965"/>
      <c r="BI147" s="3965"/>
      <c r="BJ147" s="2528" t="str">
        <f>IF(SE_B_IND&gt;1,IF(SE_A_IND&gt;1,"",IF(NIC_ex_set,"Y","N")),"")</f>
        <v>N</v>
      </c>
      <c r="BK147" s="2530"/>
      <c r="BL147" s="2530"/>
      <c r="BM147" s="2530"/>
      <c r="BN147" s="2530"/>
      <c r="BO147" s="2530"/>
      <c r="BP147" s="2528" t="str">
        <f>IF(SE_B_IND&gt;1,IF(SE_A_IND&gt;1,"",IF(NIC_ex_set,"Y","N")),"")</f>
        <v>N</v>
      </c>
      <c r="BQ147" s="2530"/>
      <c r="BR147" s="2530"/>
      <c r="BS147" s="2530"/>
      <c r="BT147" s="2530"/>
      <c r="BU147" s="2530"/>
      <c r="BV147" s="2530"/>
      <c r="BW147" s="2530"/>
      <c r="BX147" s="2530"/>
      <c r="BY147" s="2530"/>
      <c r="BZ147" s="2530"/>
      <c r="CA147" s="2530"/>
      <c r="CB147" s="2528" t="str">
        <f>IF(SE_B_IND&gt;1,IF(SE_A_IND&gt;1,"",IF(NIC_ex_set,"Y","N")),"")</f>
        <v>N</v>
      </c>
      <c r="CC147" s="2530"/>
      <c r="CD147" s="2530"/>
      <c r="CE147" s="2530"/>
      <c r="CF147" s="2528" t="str">
        <f>IF(SE_B_IND&gt;1,IF(SE_A_IND&gt;1,"",IF(NIC_ex_set,"Y","N")),"")</f>
        <v>N</v>
      </c>
      <c r="CG147" s="2530"/>
      <c r="CH147" s="2528" t="str">
        <f>IF(SE_B_IND&gt;1,IF(SE_A_IND&gt;1,"",IF(NIC_ex_set,"Y","N")),"")</f>
        <v>N</v>
      </c>
      <c r="CI147" s="2530"/>
      <c r="CJ147" s="2530"/>
      <c r="CK147" s="2530"/>
      <c r="CL147" s="2528" t="str">
        <f>IF(SE_B_IND&gt;1,IF(SE_A_IND&gt;1,"",IF(NIC_ex_set,"Y","N")),"")</f>
        <v>N</v>
      </c>
      <c r="CM147" s="2530"/>
      <c r="CN147" s="2530"/>
      <c r="CO147" s="2530"/>
      <c r="CP147" s="2530"/>
      <c r="CQ147" s="2530"/>
      <c r="CR147" s="2528" t="str">
        <f>IF(SE_B_IND&gt;1,IF(SE_A_IND&gt;1,"",IF(NIC_ex_set,"Y","N")),"")</f>
        <v>N</v>
      </c>
      <c r="CS147" s="2528" t="str">
        <f>IF(SE_B_IND&gt;1,IF(SE_A_IND&gt;1,"",IF(NIC_ex_set,"Y","N")),"")</f>
        <v>N</v>
      </c>
      <c r="CT147" s="2530"/>
      <c r="CU147" s="2528" t="str">
        <f>IF(SE_B_IND&gt;1,IF(SE_A_IND&gt;1,"",IF(NIC_ex_set,"Y","N")),"")</f>
        <v>N</v>
      </c>
      <c r="CV147" s="2528" t="str">
        <f>IF(SE_B_IND&gt;1,IF(SE_A_IND&gt;1,"",IF(NIC_ex_set,"Y","N")),"")</f>
        <v>N</v>
      </c>
      <c r="CW147" s="2530"/>
      <c r="CX147" s="2530"/>
      <c r="CY147" s="2530"/>
      <c r="CZ147" s="2530"/>
      <c r="DA147" s="2530"/>
      <c r="DB147" s="2530"/>
      <c r="DC147" s="2528" t="str">
        <f>IF(SE_B_IND&gt;1,IF(SE_A_IND&gt;1,"",IF(NIC_ex_set,"Y","N")),"")</f>
        <v>N</v>
      </c>
      <c r="DD147" s="2530"/>
      <c r="DE147" s="2530"/>
      <c r="DF147" s="2530"/>
      <c r="DG147" s="2530"/>
      <c r="DH147" s="2530"/>
      <c r="DI147" s="2530"/>
      <c r="DJ147" s="2528" t="str">
        <f>IF(SE_B_IND&gt;1,IF(SE_A_IND&gt;1,"",IF(NIC_ex_set,"Y","N")),"")</f>
        <v>N</v>
      </c>
      <c r="DK147" s="2530"/>
      <c r="DL147" s="2530"/>
      <c r="DM147" s="2530"/>
      <c r="DN147" s="2530"/>
      <c r="DO147" s="2528" t="str">
        <f>IF(SE_B_IND&gt;1,IF(SE_A_IND&gt;1,"",IF(NIC_ex_set,"Y","N")),"")</f>
        <v>N</v>
      </c>
      <c r="DP147" s="2530"/>
      <c r="DQ147" s="2530"/>
      <c r="DR147" s="2530"/>
      <c r="DS147" s="2530"/>
      <c r="DT147" s="2530"/>
      <c r="DU147" s="2530"/>
      <c r="DV147" s="2530"/>
      <c r="DW147" s="2530"/>
      <c r="DX147" s="2530"/>
      <c r="DY147" s="2530"/>
      <c r="DZ147" s="2530"/>
      <c r="EA147" s="2530"/>
      <c r="EB147" s="2530"/>
      <c r="EC147" s="2530"/>
      <c r="ED147" s="2530"/>
      <c r="EE147" s="2530"/>
      <c r="EF147" s="2528" t="str">
        <f>IF(SE_B_IND&gt;1,IF(SE_A_IND&gt;1,"",IF(NIC_ex_set,"Y","N")),"")</f>
        <v>N</v>
      </c>
      <c r="EG147" s="2528" t="str">
        <f>IF(SE_B_IND&gt;1,IF(SE_A_IND&gt;1,"",IF(NIC_ex_set,"Y","N")),"")</f>
        <v>N</v>
      </c>
      <c r="EH147" s="2530"/>
      <c r="EI147" s="2528" t="str">
        <f>IF(SE_B_IND&gt;1,IF(SE_A_IND&gt;1,"",IF(NIC_ex_set,"Y","N")),"")</f>
        <v>N</v>
      </c>
      <c r="EJ147" s="2530"/>
      <c r="EK147" s="2530"/>
      <c r="EL147" s="2530"/>
      <c r="EM147" s="2528" t="str">
        <f>IF(SE_B_IND&gt;1,IF(SE_A_IND&gt;1,"",IF(NIC_ex_set,"Y","N")),"")</f>
        <v>N</v>
      </c>
      <c r="EN147" s="2530"/>
      <c r="EO147" s="2530"/>
      <c r="EP147" s="2530"/>
      <c r="EQ147" s="2530"/>
      <c r="ER147" s="2530"/>
      <c r="ES147" s="2530"/>
      <c r="ET147" s="2530"/>
      <c r="EU147" s="2530"/>
      <c r="EV147" s="2530"/>
      <c r="EW147" s="2530"/>
      <c r="EX147" s="2530"/>
      <c r="EY147" s="2528" t="str">
        <f>IF(SE_B_IND&gt;1,IF(SE_A_IND&gt;1,"",IF(NIC_ex_set,"Y","N")),"")</f>
        <v>N</v>
      </c>
      <c r="EZ147" s="2530"/>
      <c r="FA147" s="2530"/>
      <c r="FB147" s="2530"/>
      <c r="FC147" s="2530"/>
      <c r="FD147" s="2530"/>
      <c r="FE147" s="2530"/>
      <c r="FF147" s="2528" t="str">
        <f>IF(SE_B_IND&gt;1,IF(SE_A_IND&gt;1,"",IF(NIC_ex_set,"Y","N")),"")</f>
        <v>N</v>
      </c>
      <c r="FG147" s="2530"/>
      <c r="FH147" s="2528" t="str">
        <f>IF(SE_B_IND&gt;1,IF(SE_A_IND&gt;1,"",IF(NIC_ex_set,"Y","N")),"")</f>
        <v>N</v>
      </c>
      <c r="FI147" s="2530"/>
      <c r="FJ147" s="2530"/>
      <c r="FK147" s="2530"/>
      <c r="FL147" s="2530"/>
      <c r="FM147" s="2530"/>
      <c r="FN147" s="2530"/>
      <c r="FO147" s="2530"/>
      <c r="FP147" s="2530"/>
      <c r="FQ147" s="2530"/>
      <c r="FR147" s="2530"/>
      <c r="FS147" s="2530"/>
      <c r="FT147" s="2530"/>
      <c r="FU147" s="2530"/>
      <c r="FV147" s="2530"/>
      <c r="FW147" s="2530"/>
      <c r="FX147" s="2530"/>
      <c r="FY147" s="2530"/>
      <c r="FZ147" s="2530"/>
      <c r="GA147" s="2530"/>
      <c r="GB147" s="2530"/>
      <c r="GC147" s="2530"/>
      <c r="GD147" s="2530"/>
      <c r="GE147" s="2530"/>
      <c r="GF147" s="2530"/>
      <c r="GG147" s="2530"/>
      <c r="GH147" s="2530"/>
      <c r="GI147" s="2530"/>
      <c r="GJ147" s="2528" t="str">
        <f>IF(SE_B_IND&gt;1,IF(SE_A_IND&gt;1,"",IF(NIC_ex_set,"Y","N")),"")</f>
        <v>N</v>
      </c>
      <c r="GK147" s="2530"/>
      <c r="GL147" s="2530"/>
      <c r="GM147" s="2530"/>
      <c r="GN147" s="2530"/>
      <c r="GO147" s="2530"/>
      <c r="GP147" s="2530"/>
      <c r="GQ147" s="2530"/>
      <c r="GR147" s="2530"/>
      <c r="GS147" s="2530"/>
      <c r="GT147" s="2530"/>
      <c r="GU147" s="2530"/>
      <c r="GV147" s="2530"/>
      <c r="GW147" s="2530"/>
      <c r="GX147" s="2528" t="str">
        <f>IF(SE_B_IND&gt;1,IF(SE_A_IND&gt;1,"",IF(NIC_ex_set,"Y","N")),"")</f>
        <v>N</v>
      </c>
      <c r="GY147" s="2530"/>
      <c r="GZ147" s="2530"/>
      <c r="HA147" s="2530"/>
      <c r="HB147" s="2528" t="str">
        <f>IF(SE_B_IND&gt;1,IF(SE_A_IND&gt;1,"",IF(NIC_ex_set,"Y","N")),"")</f>
        <v>N</v>
      </c>
      <c r="HC147" s="2528" t="str">
        <f>IF(SE_B_IND&gt;1,IF(SE_A_IND&gt;1,"",IF(NIC_ex_set,"Y","N")),"")</f>
        <v>N</v>
      </c>
      <c r="HD147" s="2530"/>
      <c r="HE147" s="2530"/>
      <c r="HF147" s="2530"/>
      <c r="HG147" s="2530"/>
      <c r="HH147" s="2530"/>
      <c r="HI147" s="2530"/>
      <c r="HJ147" s="2530"/>
      <c r="HK147" s="2530"/>
      <c r="HL147" s="2530"/>
      <c r="HM147" s="2530"/>
      <c r="HN147" s="2530"/>
      <c r="HO147" s="2528" t="str">
        <f>IF(SE_B_IND&gt;1,IF(SE_A_IND&gt;1,"",IF(NIC_ex_set,"Y","N")),"")</f>
        <v>N</v>
      </c>
      <c r="HP147" s="2530"/>
      <c r="HQ147" s="2530"/>
      <c r="HR147" s="2530"/>
      <c r="HS147" s="2530"/>
      <c r="HT147" s="2530"/>
      <c r="HU147" s="2530"/>
      <c r="HV147" s="2530"/>
      <c r="HW147" s="2530"/>
      <c r="HX147" s="2530"/>
      <c r="HY147" s="2530"/>
      <c r="HZ147" s="2530"/>
      <c r="IA147" s="2530"/>
      <c r="IB147" s="2530"/>
      <c r="IC147" s="2530"/>
      <c r="ID147" s="2530"/>
      <c r="IE147" s="2530"/>
      <c r="IF147" s="2530"/>
      <c r="IG147" s="2530"/>
      <c r="IH147" s="2530"/>
      <c r="II147" s="2530"/>
      <c r="IJ147" s="2530"/>
      <c r="IK147" s="2530"/>
      <c r="IL147" s="2530"/>
      <c r="IM147" s="2530"/>
      <c r="IN147" s="2530"/>
      <c r="IO147" s="2530"/>
      <c r="IP147" s="2530"/>
      <c r="IQ147" s="2530"/>
      <c r="IR147" s="2530"/>
      <c r="IS147" s="2530"/>
      <c r="IT147" s="2530"/>
      <c r="IU147" s="2530"/>
      <c r="IV147" s="2530"/>
      <c r="IW147" s="2530"/>
      <c r="IX147" s="2530"/>
      <c r="IY147" s="2530"/>
      <c r="IZ147" s="2530"/>
      <c r="JA147" s="2530"/>
      <c r="JB147" s="2530"/>
      <c r="JC147" s="2530"/>
      <c r="JD147" s="2530"/>
      <c r="JE147" s="2530"/>
      <c r="JF147" s="2530"/>
      <c r="JG147" s="2531"/>
      <c r="JH147" s="1233"/>
      <c r="JI147" s="2248"/>
      <c r="JJ147" s="2248" t="s">
        <v>6111</v>
      </c>
    </row>
    <row r="148" spans="1:270" x14ac:dyDescent="0.2">
      <c r="A148" s="1128">
        <v>105</v>
      </c>
      <c r="B148" s="1347" t="str">
        <f si="5" t="shared"/>
        <v/>
      </c>
      <c r="C148" s="1278" t="s">
        <v>782</v>
      </c>
      <c r="D148" s="1350" t="s">
        <v>4834</v>
      </c>
      <c r="E148" s="2564"/>
      <c r="F148" s="2564"/>
      <c r="G148" s="2564"/>
      <c r="H148" s="2564"/>
      <c r="I148" s="2564"/>
      <c r="J148" s="2564"/>
      <c r="K148" s="2564"/>
      <c r="L148" s="2564"/>
      <c r="M148" s="2564"/>
      <c r="N148" s="2564"/>
      <c r="O148" s="2551"/>
      <c r="P148" s="2551"/>
      <c r="Q148" s="2564"/>
      <c r="R148" s="2551"/>
      <c r="S148" s="2564"/>
      <c r="T148" s="2552"/>
      <c r="U148" s="2552"/>
      <c r="V148" s="2552"/>
      <c r="W148" s="2552"/>
      <c r="X148" s="2552"/>
      <c r="Y148" s="2552"/>
      <c r="Z148" s="2552"/>
      <c r="AA148" s="2552"/>
      <c r="AB148" s="2552"/>
      <c r="AC148" s="2564"/>
      <c r="AD148" s="2882"/>
      <c r="AE148" s="2882"/>
      <c r="AF148" s="2882"/>
      <c r="AG148" s="2882"/>
      <c r="AH148" s="2882"/>
      <c r="AI148" s="2552"/>
      <c r="AJ148" s="2564"/>
      <c r="AK148" s="2552"/>
      <c r="AL148" s="2564"/>
      <c r="AM148" s="2552"/>
      <c r="AN148" s="2552"/>
      <c r="AO148" s="2552"/>
      <c r="AP148" s="2552"/>
      <c r="AQ148" s="2552"/>
      <c r="AR148" s="2552"/>
      <c r="AS148" s="2552"/>
      <c r="AT148" s="2552"/>
      <c r="AU148" s="2552"/>
      <c r="AV148" s="2564"/>
      <c r="AW148" s="2552"/>
      <c r="AX148" s="2552"/>
      <c r="AY148" s="2552"/>
      <c r="AZ148" s="2552"/>
      <c r="BA148" s="2552"/>
      <c r="BB148" s="2552"/>
      <c r="BC148" s="2552"/>
      <c r="BD148" s="2552"/>
      <c r="BE148" s="2552"/>
      <c r="BF148" s="2552"/>
      <c r="BG148" s="2552"/>
      <c r="BH148" s="3960"/>
      <c r="BI148" s="3960"/>
      <c r="BJ148" s="2564"/>
      <c r="BK148" s="2552"/>
      <c r="BL148" s="2552"/>
      <c r="BM148" s="2552"/>
      <c r="BN148" s="2552"/>
      <c r="BO148" s="2552"/>
      <c r="BP148" s="2564"/>
      <c r="BQ148" s="2552"/>
      <c r="BR148" s="2552"/>
      <c r="BS148" s="2552"/>
      <c r="BT148" s="2552"/>
      <c r="BU148" s="2552"/>
      <c r="BV148" s="2552"/>
      <c r="BW148" s="2552"/>
      <c r="BX148" s="2552"/>
      <c r="BY148" s="2552"/>
      <c r="BZ148" s="2552"/>
      <c r="CA148" s="2552"/>
      <c r="CB148" s="2564"/>
      <c r="CC148" s="2552"/>
      <c r="CD148" s="2552"/>
      <c r="CE148" s="2552"/>
      <c r="CF148" s="2564"/>
      <c r="CG148" s="2552"/>
      <c r="CH148" s="2564"/>
      <c r="CI148" s="2552"/>
      <c r="CJ148" s="2552"/>
      <c r="CK148" s="2552"/>
      <c r="CL148" s="2564"/>
      <c r="CM148" s="2552"/>
      <c r="CN148" s="2552"/>
      <c r="CO148" s="2552"/>
      <c r="CP148" s="2552"/>
      <c r="CQ148" s="2552"/>
      <c r="CR148" s="2564"/>
      <c r="CS148" s="2564"/>
      <c r="CT148" s="2552"/>
      <c r="CU148" s="2574">
        <f>CU116</f>
        <v>15200</v>
      </c>
      <c r="CV148" s="2574">
        <f>CV116</f>
        <v>15200</v>
      </c>
      <c r="CW148" s="2552"/>
      <c r="CX148" s="2552"/>
      <c r="CY148" s="2552"/>
      <c r="CZ148" s="2552"/>
      <c r="DA148" s="2552"/>
      <c r="DB148" s="2552"/>
      <c r="DC148" s="2574">
        <f>DC116</f>
        <v>15200</v>
      </c>
      <c r="DD148" s="2552"/>
      <c r="DE148" s="2552"/>
      <c r="DF148" s="2552"/>
      <c r="DG148" s="2552"/>
      <c r="DH148" s="2552"/>
      <c r="DI148" s="2552"/>
      <c r="DJ148" s="2574">
        <f>DJ116</f>
        <v>15200</v>
      </c>
      <c r="DK148" s="2552"/>
      <c r="DL148" s="2552"/>
      <c r="DM148" s="2552"/>
      <c r="DN148" s="2552"/>
      <c r="DO148" s="2564"/>
      <c r="DP148" s="2552"/>
      <c r="DQ148" s="2552"/>
      <c r="DR148" s="2552"/>
      <c r="DS148" s="2552"/>
      <c r="DT148" s="2552"/>
      <c r="DU148" s="2552"/>
      <c r="DV148" s="2552"/>
      <c r="DW148" s="2552"/>
      <c r="DX148" s="2552"/>
      <c r="DY148" s="2552"/>
      <c r="DZ148" s="2552"/>
      <c r="EA148" s="2552"/>
      <c r="EB148" s="2552"/>
      <c r="EC148" s="2552"/>
      <c r="ED148" s="2552"/>
      <c r="EE148" s="2552"/>
      <c r="EF148" s="2564"/>
      <c r="EG148" s="2564"/>
      <c r="EH148" s="2552"/>
      <c r="EI148" s="2564"/>
      <c r="EJ148" s="2552"/>
      <c r="EK148" s="2552"/>
      <c r="EL148" s="2552"/>
      <c r="EM148" s="2564"/>
      <c r="EN148" s="2552"/>
      <c r="EO148" s="2552"/>
      <c r="EP148" s="2552"/>
      <c r="EQ148" s="2552"/>
      <c r="ER148" s="2552"/>
      <c r="ES148" s="2552"/>
      <c r="ET148" s="2552"/>
      <c r="EU148" s="2552"/>
      <c r="EV148" s="2552"/>
      <c r="EW148" s="2552"/>
      <c r="EX148" s="2552"/>
      <c r="EY148" s="2564"/>
      <c r="EZ148" s="2552"/>
      <c r="FA148" s="2552"/>
      <c r="FB148" s="2552"/>
      <c r="FC148" s="2552"/>
      <c r="FD148" s="2552"/>
      <c r="FE148" s="2552"/>
      <c r="FF148" s="2564"/>
      <c r="FG148" s="2552"/>
      <c r="FH148" s="2574">
        <f>FH116</f>
        <v>15200</v>
      </c>
      <c r="FI148" s="2552"/>
      <c r="FJ148" s="2552"/>
      <c r="FK148" s="2552"/>
      <c r="FL148" s="2552"/>
      <c r="FM148" s="2552"/>
      <c r="FN148" s="2552"/>
      <c r="FO148" s="2552"/>
      <c r="FP148" s="2552"/>
      <c r="FQ148" s="2552"/>
      <c r="FR148" s="2552"/>
      <c r="FS148" s="2552"/>
      <c r="FT148" s="2552"/>
      <c r="FU148" s="2552"/>
      <c r="FV148" s="2552"/>
      <c r="FW148" s="2552"/>
      <c r="FX148" s="2552"/>
      <c r="FY148" s="2552"/>
      <c r="FZ148" s="2552"/>
      <c r="GA148" s="2552"/>
      <c r="GB148" s="2552"/>
      <c r="GC148" s="2552"/>
      <c r="GD148" s="2552"/>
      <c r="GE148" s="2552"/>
      <c r="GF148" s="2552"/>
      <c r="GG148" s="2552"/>
      <c r="GH148" s="2552"/>
      <c r="GI148" s="2552"/>
      <c r="GJ148" s="2564"/>
      <c r="GK148" s="2552"/>
      <c r="GL148" s="2552"/>
      <c r="GM148" s="2552"/>
      <c r="GN148" s="2552"/>
      <c r="GO148" s="2552"/>
      <c r="GP148" s="2552"/>
      <c r="GQ148" s="2552"/>
      <c r="GR148" s="2552"/>
      <c r="GS148" s="2552"/>
      <c r="GT148" s="2552"/>
      <c r="GU148" s="2552"/>
      <c r="GV148" s="2552"/>
      <c r="GW148" s="2552"/>
      <c r="GX148" s="2564"/>
      <c r="GY148" s="2552"/>
      <c r="GZ148" s="2552"/>
      <c r="HA148" s="2552"/>
      <c r="HB148" s="2564"/>
      <c r="HC148" s="2574">
        <f>HC116</f>
        <v>15200</v>
      </c>
      <c r="HD148" s="2552"/>
      <c r="HE148" s="2552"/>
      <c r="HF148" s="2552"/>
      <c r="HG148" s="2552"/>
      <c r="HH148" s="2552"/>
      <c r="HI148" s="2552"/>
      <c r="HJ148" s="2552"/>
      <c r="HK148" s="2552"/>
      <c r="HL148" s="2552"/>
      <c r="HM148" s="2552"/>
      <c r="HN148" s="2552"/>
      <c r="HO148" s="2564"/>
      <c r="HP148" s="2552"/>
      <c r="HQ148" s="2552"/>
      <c r="HR148" s="2552"/>
      <c r="HS148" s="2552"/>
      <c r="HT148" s="2552"/>
      <c r="HU148" s="2552"/>
      <c r="HV148" s="2552"/>
      <c r="HW148" s="2552"/>
      <c r="HX148" s="2552"/>
      <c r="HY148" s="2552"/>
      <c r="HZ148" s="2552"/>
      <c r="IA148" s="2552"/>
      <c r="IB148" s="2552"/>
      <c r="IC148" s="2552"/>
      <c r="ID148" s="2552"/>
      <c r="IE148" s="2552"/>
      <c r="IF148" s="2552"/>
      <c r="IG148" s="2552"/>
      <c r="IH148" s="2552"/>
      <c r="II148" s="2552"/>
      <c r="IJ148" s="2552"/>
      <c r="IK148" s="2552"/>
      <c r="IL148" s="2552"/>
      <c r="IM148" s="2552"/>
      <c r="IN148" s="2552"/>
      <c r="IO148" s="2552"/>
      <c r="IP148" s="2552"/>
      <c r="IQ148" s="2552"/>
      <c r="IR148" s="2552"/>
      <c r="IS148" s="2552"/>
      <c r="IT148" s="2552"/>
      <c r="IU148" s="2552"/>
      <c r="IV148" s="2552"/>
      <c r="IW148" s="2552"/>
      <c r="IX148" s="2552"/>
      <c r="IY148" s="2552"/>
      <c r="IZ148" s="2552"/>
      <c r="JA148" s="2552"/>
      <c r="JB148" s="2552"/>
      <c r="JC148" s="2552"/>
      <c r="JD148" s="2552"/>
      <c r="JE148" s="2552"/>
      <c r="JF148" s="2552"/>
      <c r="JG148" s="2553"/>
      <c r="JH148" s="1233"/>
      <c r="JI148" s="2248" t="s">
        <v>5497</v>
      </c>
      <c r="JJ148" s="2248" t="s">
        <v>6108</v>
      </c>
    </row>
    <row ht="12.75" r="149" spans="1:270" thickBot="1" x14ac:dyDescent="0.25">
      <c r="A149" s="1128">
        <v>106</v>
      </c>
      <c r="B149" s="1347" t="str">
        <f si="5" t="shared"/>
        <v/>
      </c>
      <c r="C149" s="1279" t="s">
        <v>765</v>
      </c>
      <c r="D149" s="1354" t="s">
        <v>4835</v>
      </c>
      <c r="E149" s="2575"/>
      <c r="F149" s="2575"/>
      <c r="G149" s="2575"/>
      <c r="H149" s="2575"/>
      <c r="I149" s="2575"/>
      <c r="J149" s="3093"/>
      <c r="K149" s="2575"/>
      <c r="L149" s="2575"/>
      <c r="M149" s="2575"/>
      <c r="N149" s="2575"/>
      <c r="O149" s="2576"/>
      <c r="P149" s="2576"/>
      <c r="Q149" s="2575"/>
      <c r="R149" s="2576"/>
      <c r="S149" s="2575"/>
      <c r="T149" s="2577"/>
      <c r="U149" s="2577"/>
      <c r="V149" s="2577"/>
      <c r="W149" s="2577"/>
      <c r="X149" s="2577"/>
      <c r="Y149" s="2577"/>
      <c r="Z149" s="2577"/>
      <c r="AA149" s="2577"/>
      <c r="AB149" s="2577"/>
      <c r="AC149" s="2575"/>
      <c r="AD149" s="3535"/>
      <c r="AE149" s="3535"/>
      <c r="AF149" s="3535"/>
      <c r="AG149" s="3535"/>
      <c r="AH149" s="3535"/>
      <c r="AI149" s="2577"/>
      <c r="AJ149" s="2575"/>
      <c r="AK149" s="2577"/>
      <c r="AL149" s="2575"/>
      <c r="AM149" s="2577"/>
      <c r="AN149" s="2577"/>
      <c r="AO149" s="2577"/>
      <c r="AP149" s="2577"/>
      <c r="AQ149" s="2577"/>
      <c r="AR149" s="2577"/>
      <c r="AS149" s="2577"/>
      <c r="AT149" s="2577"/>
      <c r="AU149" s="2577"/>
      <c r="AV149" s="2575"/>
      <c r="AW149" s="2577"/>
      <c r="AX149" s="2577"/>
      <c r="AY149" s="2577"/>
      <c r="AZ149" s="2577"/>
      <c r="BA149" s="2577"/>
      <c r="BB149" s="2577"/>
      <c r="BC149" s="2577"/>
      <c r="BD149" s="2577"/>
      <c r="BE149" s="2577"/>
      <c r="BF149" s="2577"/>
      <c r="BG149" s="2577"/>
      <c r="BH149" s="3966"/>
      <c r="BI149" s="3966"/>
      <c r="BJ149" s="2575"/>
      <c r="BK149" s="2577"/>
      <c r="BL149" s="2577"/>
      <c r="BM149" s="2577"/>
      <c r="BN149" s="2577"/>
      <c r="BO149" s="2577"/>
      <c r="BP149" s="2575"/>
      <c r="BQ149" s="2577"/>
      <c r="BR149" s="2577"/>
      <c r="BS149" s="2577"/>
      <c r="BT149" s="2577"/>
      <c r="BU149" s="2577"/>
      <c r="BV149" s="2577"/>
      <c r="BW149" s="2577"/>
      <c r="BX149" s="2577"/>
      <c r="BY149" s="2577"/>
      <c r="BZ149" s="2577"/>
      <c r="CA149" s="2577"/>
      <c r="CB149" s="2575"/>
      <c r="CC149" s="2577"/>
      <c r="CD149" s="2577"/>
      <c r="CE149" s="2577"/>
      <c r="CF149" s="2575"/>
      <c r="CG149" s="2577"/>
      <c r="CH149" s="2575"/>
      <c r="CI149" s="2577"/>
      <c r="CJ149" s="2577"/>
      <c r="CK149" s="2577"/>
      <c r="CL149" s="2575"/>
      <c r="CM149" s="2577"/>
      <c r="CN149" s="2577"/>
      <c r="CO149" s="2577"/>
      <c r="CP149" s="2577"/>
      <c r="CQ149" s="2577"/>
      <c r="CR149" s="2575"/>
      <c r="CS149" s="2575"/>
      <c r="CT149" s="2577"/>
      <c r="CU149" s="2575"/>
      <c r="CV149" s="2575"/>
      <c r="CW149" s="2577"/>
      <c r="CX149" s="2577"/>
      <c r="CY149" s="2577"/>
      <c r="CZ149" s="2577"/>
      <c r="DA149" s="2577"/>
      <c r="DB149" s="2577"/>
      <c r="DC149" s="2575"/>
      <c r="DD149" s="2577"/>
      <c r="DE149" s="2577"/>
      <c r="DF149" s="2577"/>
      <c r="DG149" s="2577"/>
      <c r="DH149" s="2577"/>
      <c r="DI149" s="2577"/>
      <c r="DJ149" s="2575"/>
      <c r="DK149" s="2577"/>
      <c r="DL149" s="2577"/>
      <c r="DM149" s="2577"/>
      <c r="DN149" s="2577"/>
      <c r="DO149" s="2575"/>
      <c r="DP149" s="2577"/>
      <c r="DQ149" s="2577"/>
      <c r="DR149" s="2577"/>
      <c r="DS149" s="2577"/>
      <c r="DT149" s="2577"/>
      <c r="DU149" s="2577"/>
      <c r="DV149" s="2577"/>
      <c r="DW149" s="2577"/>
      <c r="DX149" s="2577"/>
      <c r="DY149" s="2577"/>
      <c r="DZ149" s="2577"/>
      <c r="EA149" s="2577"/>
      <c r="EB149" s="2577"/>
      <c r="EC149" s="2577"/>
      <c r="ED149" s="2577"/>
      <c r="EE149" s="2577"/>
      <c r="EF149" s="2575"/>
      <c r="EG149" s="2575"/>
      <c r="EH149" s="2577"/>
      <c r="EI149" s="2575"/>
      <c r="EJ149" s="2577"/>
      <c r="EK149" s="2577"/>
      <c r="EL149" s="2577"/>
      <c r="EM149" s="2575"/>
      <c r="EN149" s="2577"/>
      <c r="EO149" s="2577"/>
      <c r="EP149" s="2577"/>
      <c r="EQ149" s="2577"/>
      <c r="ER149" s="2577"/>
      <c r="ES149" s="2577"/>
      <c r="ET149" s="2577"/>
      <c r="EU149" s="2577"/>
      <c r="EV149" s="2577"/>
      <c r="EW149" s="2577"/>
      <c r="EX149" s="2577"/>
      <c r="EY149" s="2575"/>
      <c r="EZ149" s="2577"/>
      <c r="FA149" s="2577"/>
      <c r="FB149" s="2577"/>
      <c r="FC149" s="2577"/>
      <c r="FD149" s="2577"/>
      <c r="FE149" s="2577"/>
      <c r="FF149" s="2575"/>
      <c r="FG149" s="2577"/>
      <c r="FH149" s="2575"/>
      <c r="FI149" s="2577"/>
      <c r="FJ149" s="2577"/>
      <c r="FK149" s="2577"/>
      <c r="FL149" s="2577"/>
      <c r="FM149" s="2577"/>
      <c r="FN149" s="2577"/>
      <c r="FO149" s="2577"/>
      <c r="FP149" s="2577"/>
      <c r="FQ149" s="2577"/>
      <c r="FR149" s="2577"/>
      <c r="FS149" s="2577"/>
      <c r="FT149" s="2577"/>
      <c r="FU149" s="2577"/>
      <c r="FV149" s="2577"/>
      <c r="FW149" s="2577"/>
      <c r="FX149" s="2577"/>
      <c r="FY149" s="2577"/>
      <c r="FZ149" s="2577"/>
      <c r="GA149" s="2577"/>
      <c r="GB149" s="2577"/>
      <c r="GC149" s="2577"/>
      <c r="GD149" s="2577"/>
      <c r="GE149" s="2577"/>
      <c r="GF149" s="2577"/>
      <c r="GG149" s="2577"/>
      <c r="GH149" s="2577"/>
      <c r="GI149" s="2577"/>
      <c r="GJ149" s="2575"/>
      <c r="GK149" s="2577"/>
      <c r="GL149" s="2577"/>
      <c r="GM149" s="2577"/>
      <c r="GN149" s="2577"/>
      <c r="GO149" s="2577"/>
      <c r="GP149" s="2577"/>
      <c r="GQ149" s="2577"/>
      <c r="GR149" s="2577"/>
      <c r="GS149" s="2577"/>
      <c r="GT149" s="2577"/>
      <c r="GU149" s="2577"/>
      <c r="GV149" s="2577"/>
      <c r="GW149" s="2577"/>
      <c r="GX149" s="2575"/>
      <c r="GY149" s="2577"/>
      <c r="GZ149" s="2577"/>
      <c r="HA149" s="2577"/>
      <c r="HB149" s="2575"/>
      <c r="HC149" s="2575"/>
      <c r="HD149" s="2577"/>
      <c r="HE149" s="2577"/>
      <c r="HF149" s="2577"/>
      <c r="HG149" s="2577"/>
      <c r="HH149" s="2577"/>
      <c r="HI149" s="2577"/>
      <c r="HJ149" s="2577"/>
      <c r="HK149" s="2577"/>
      <c r="HL149" s="2577"/>
      <c r="HM149" s="2577"/>
      <c r="HN149" s="2577"/>
      <c r="HO149" s="2575"/>
      <c r="HP149" s="2577"/>
      <c r="HQ149" s="2577"/>
      <c r="HR149" s="2577"/>
      <c r="HS149" s="2577"/>
      <c r="HT149" s="2577"/>
      <c r="HU149" s="2577"/>
      <c r="HV149" s="2577"/>
      <c r="HW149" s="2577"/>
      <c r="HX149" s="2577"/>
      <c r="HY149" s="2577"/>
      <c r="HZ149" s="2577"/>
      <c r="IA149" s="2577"/>
      <c r="IB149" s="2577"/>
      <c r="IC149" s="2577"/>
      <c r="ID149" s="2577"/>
      <c r="IE149" s="2577"/>
      <c r="IF149" s="2577"/>
      <c r="IG149" s="2577"/>
      <c r="IH149" s="2577"/>
      <c r="II149" s="2577"/>
      <c r="IJ149" s="2577"/>
      <c r="IK149" s="2577"/>
      <c r="IL149" s="2577"/>
      <c r="IM149" s="2577"/>
      <c r="IN149" s="2577"/>
      <c r="IO149" s="2577"/>
      <c r="IP149" s="2577"/>
      <c r="IQ149" s="2577"/>
      <c r="IR149" s="2577"/>
      <c r="IS149" s="2577"/>
      <c r="IT149" s="2577"/>
      <c r="IU149" s="2577"/>
      <c r="IV149" s="2577"/>
      <c r="IW149" s="2577"/>
      <c r="IX149" s="2577"/>
      <c r="IY149" s="2577"/>
      <c r="IZ149" s="2577"/>
      <c r="JA149" s="2577"/>
      <c r="JB149" s="2577"/>
      <c r="JC149" s="2577"/>
      <c r="JD149" s="2577"/>
      <c r="JE149" s="2577"/>
      <c r="JF149" s="2577"/>
      <c r="JG149" s="2578"/>
      <c r="JH149" s="1233"/>
      <c r="JI149" s="2248"/>
      <c r="JJ149" s="2248" t="s">
        <v>6112</v>
      </c>
    </row>
    <row ht="12.75" r="150" spans="1:270" thickBot="1" x14ac:dyDescent="0.25">
      <c r="E150" s="34"/>
      <c r="F150" s="34"/>
      <c r="G150" s="34"/>
      <c r="H150" s="34"/>
      <c r="I150" s="34"/>
      <c r="J150" s="34"/>
      <c r="K150" s="34"/>
      <c r="L150" s="34"/>
      <c r="M150" s="34"/>
      <c r="N150" s="34"/>
      <c r="O150" s="34"/>
      <c r="P150" s="34"/>
      <c r="Q150" s="34"/>
      <c r="R150" s="34"/>
      <c r="S150" s="34"/>
      <c r="T150" s="34"/>
      <c r="U150" s="34"/>
      <c r="V150" s="34"/>
      <c r="W150" s="34"/>
      <c r="X150" s="34"/>
      <c r="Y150" s="34"/>
      <c r="Z150" s="34"/>
      <c r="AA150" s="34"/>
      <c r="AB150" s="34"/>
      <c r="AC150" s="34"/>
      <c r="AI150" s="34"/>
      <c r="AJ150" s="34"/>
      <c r="AK150" s="34"/>
      <c r="AL150" s="34"/>
      <c r="AM150" s="34"/>
      <c r="AN150" s="34"/>
      <c r="AO150" s="34"/>
      <c r="AP150" s="34"/>
      <c r="AQ150" s="34"/>
      <c r="AR150" s="34"/>
      <c r="AS150" s="34"/>
      <c r="AT150" s="34"/>
      <c r="AU150" s="34"/>
      <c r="AV150" s="34"/>
      <c r="AW150" s="34"/>
      <c r="AX150" s="34"/>
      <c r="AY150" s="34"/>
      <c r="AZ150" s="34"/>
      <c r="BA150" s="34"/>
      <c r="BB150" s="34"/>
      <c r="BC150" s="34"/>
      <c r="BD150" s="34"/>
      <c r="BE150" s="34"/>
      <c r="BF150" s="34"/>
      <c r="BG150" s="34"/>
      <c r="BH150" s="34"/>
      <c r="BI150" s="34"/>
      <c r="BJ150" s="34"/>
      <c r="BK150" s="34"/>
      <c r="BL150" s="34"/>
      <c r="BM150" s="34"/>
      <c r="BN150" s="34"/>
      <c r="BO150" s="34"/>
      <c r="BP150" s="34"/>
      <c r="BQ150" s="34"/>
      <c r="BR150" s="34"/>
      <c r="BS150" s="34"/>
      <c r="BT150" s="34"/>
      <c r="BU150" s="34"/>
      <c r="BV150" s="34"/>
      <c r="BW150" s="34"/>
      <c r="BX150" s="34"/>
      <c r="BY150" s="34"/>
      <c r="BZ150" s="34"/>
      <c r="CA150" s="34"/>
      <c r="CB150" s="34"/>
      <c r="CC150" s="34"/>
      <c r="CD150" s="34"/>
      <c r="CE150" s="34"/>
      <c r="CF150" s="34"/>
      <c r="CG150" s="34"/>
      <c r="CH150" s="34"/>
      <c r="CI150" s="34"/>
      <c r="CJ150" s="34"/>
      <c r="CK150" s="34"/>
      <c r="CL150" s="34"/>
      <c r="CM150" s="34"/>
      <c r="CN150" s="34"/>
      <c r="CO150" s="34"/>
      <c r="CP150" s="34"/>
      <c r="CQ150" s="34"/>
      <c r="CR150" s="34"/>
      <c r="CS150" s="34"/>
      <c r="CT150" s="34"/>
      <c r="CU150" s="34"/>
      <c r="CV150" s="34"/>
      <c r="CW150" s="34"/>
      <c r="CX150" s="34"/>
      <c r="CY150" s="34"/>
      <c r="CZ150" s="34"/>
      <c r="DA150" s="34"/>
      <c r="DB150" s="34"/>
      <c r="DC150" s="34"/>
      <c r="DD150" s="34"/>
      <c r="DE150" s="34"/>
      <c r="DF150" s="34"/>
      <c r="DG150" s="34"/>
      <c r="DH150" s="34"/>
      <c r="DI150" s="34"/>
      <c r="DJ150" s="34"/>
      <c r="DK150" s="34"/>
      <c r="DL150" s="34"/>
      <c r="DM150" s="34"/>
      <c r="DN150" s="34"/>
      <c r="DO150" s="34"/>
      <c r="DP150" s="34"/>
      <c r="DQ150" s="34"/>
      <c r="DR150" s="34"/>
      <c r="DS150" s="34"/>
      <c r="DT150" s="34"/>
      <c r="DU150" s="34"/>
      <c r="DV150" s="34"/>
      <c r="DW150" s="34"/>
      <c r="DX150" s="34"/>
      <c r="DY150" s="34"/>
      <c r="DZ150" s="34"/>
      <c r="EA150" s="34"/>
      <c r="EB150" s="34"/>
      <c r="EC150" s="34"/>
      <c r="ED150" s="34"/>
      <c r="EE150" s="34"/>
      <c r="EF150" s="34"/>
      <c r="EG150" s="34"/>
      <c r="EH150" s="34"/>
      <c r="EI150" s="34"/>
      <c r="EJ150" s="34"/>
      <c r="EK150" s="34"/>
      <c r="EL150" s="34"/>
      <c r="EM150" s="34"/>
      <c r="EN150" s="34"/>
      <c r="EO150" s="34"/>
      <c r="EP150" s="34"/>
      <c r="EQ150" s="34"/>
      <c r="ER150" s="34"/>
      <c r="ES150" s="34"/>
      <c r="ET150" s="34"/>
      <c r="EU150" s="34"/>
      <c r="EV150" s="34"/>
      <c r="EW150" s="34"/>
      <c r="EX150" s="34"/>
      <c r="EY150" s="34"/>
      <c r="EZ150" s="34"/>
      <c r="FA150" s="34"/>
      <c r="FB150" s="34"/>
      <c r="FC150" s="34"/>
      <c r="FD150" s="34"/>
      <c r="FE150" s="34"/>
      <c r="FF150" s="34"/>
      <c r="FG150" s="34"/>
      <c r="FH150" s="34"/>
      <c r="FI150" s="34"/>
      <c r="FJ150" s="34"/>
      <c r="FK150" s="34"/>
      <c r="FL150" s="34"/>
      <c r="FM150" s="34"/>
      <c r="FN150" s="34"/>
      <c r="FO150" s="34"/>
      <c r="FP150" s="34"/>
      <c r="FQ150" s="34"/>
      <c r="FR150" s="34"/>
      <c r="FS150" s="34"/>
      <c r="FT150" s="34"/>
      <c r="FU150" s="34"/>
      <c r="FV150" s="34"/>
      <c r="FW150" s="34"/>
      <c r="FX150" s="34"/>
      <c r="FY150" s="34"/>
      <c r="FZ150" s="34"/>
      <c r="GA150" s="34"/>
      <c r="GB150" s="34"/>
      <c r="GC150" s="34"/>
      <c r="GD150" s="34"/>
      <c r="GE150" s="34"/>
      <c r="GF150" s="34"/>
      <c r="GG150" s="34"/>
      <c r="GH150" s="34"/>
      <c r="GI150" s="34"/>
      <c r="GJ150" s="34"/>
      <c r="GK150" s="34"/>
      <c r="GL150" s="34"/>
      <c r="GM150" s="34"/>
      <c r="GN150" s="34"/>
      <c r="GO150" s="34"/>
      <c r="GP150" s="34"/>
      <c r="GQ150" s="34"/>
      <c r="GR150" s="34"/>
      <c r="GS150" s="34"/>
      <c r="GT150" s="34"/>
      <c r="GU150" s="34"/>
      <c r="GV150" s="34"/>
      <c r="GW150" s="34"/>
      <c r="GX150" s="34"/>
      <c r="GY150" s="34"/>
      <c r="GZ150" s="34"/>
      <c r="HA150" s="34"/>
      <c r="HB150" s="34"/>
      <c r="HC150" s="34"/>
      <c r="HD150" s="34"/>
      <c r="HE150" s="34"/>
      <c r="HF150" s="34"/>
      <c r="HG150" s="34"/>
      <c r="HH150" s="34"/>
      <c r="HI150" s="34"/>
      <c r="HJ150" s="34"/>
      <c r="HK150" s="34"/>
      <c r="HL150" s="34"/>
      <c r="HM150" s="34"/>
      <c r="HN150" s="34"/>
      <c r="HO150" s="34"/>
      <c r="HP150" s="34"/>
      <c r="HQ150" s="34"/>
      <c r="HR150" s="34"/>
      <c r="HS150" s="34"/>
      <c r="HT150" s="34"/>
      <c r="HU150" s="34"/>
      <c r="HV150" s="34"/>
      <c r="HW150" s="34"/>
      <c r="HX150" s="34"/>
      <c r="HY150" s="34"/>
      <c r="HZ150" s="34"/>
      <c r="IA150" s="34"/>
      <c r="IB150" s="34"/>
      <c r="IC150" s="34"/>
      <c r="ID150" s="34"/>
      <c r="IE150" s="34"/>
      <c r="IF150" s="34"/>
      <c r="IG150" s="34"/>
      <c r="IH150" s="34"/>
      <c r="II150" s="34"/>
      <c r="IJ150" s="34"/>
      <c r="IK150" s="34"/>
      <c r="IL150" s="34"/>
      <c r="IM150" s="34"/>
      <c r="IN150" s="34"/>
      <c r="IO150" s="34"/>
      <c r="IP150" s="34"/>
      <c r="IQ150" s="34"/>
      <c r="IR150" s="34"/>
      <c r="IS150" s="34"/>
      <c r="IT150" s="34"/>
      <c r="IU150" s="34"/>
      <c r="IV150" s="34"/>
      <c r="IW150" s="34"/>
      <c r="IX150" s="34"/>
      <c r="IY150" s="34"/>
      <c r="IZ150" s="34"/>
      <c r="JA150" s="34"/>
      <c r="JB150" s="34"/>
      <c r="JC150" s="34"/>
      <c r="JD150" s="34"/>
      <c r="JE150" s="34"/>
      <c r="JF150" s="34"/>
      <c r="JG150" s="34"/>
    </row>
    <row r="151" spans="1:270" x14ac:dyDescent="0.2">
      <c r="A151" s="1128" t="s">
        <v>4479</v>
      </c>
      <c r="B151" s="2755" t="str">
        <f>"selected "&amp;LUN_IND-1</f>
        <v>selected 0</v>
      </c>
      <c r="C151" s="1382" t="s">
        <v>3665</v>
      </c>
      <c r="D151" s="1355"/>
      <c r="E151" s="2026">
        <v>1</v>
      </c>
      <c r="F151" s="2026">
        <v>2</v>
      </c>
      <c r="G151" s="2026">
        <v>3</v>
      </c>
      <c r="H151" s="2026">
        <v>4</v>
      </c>
      <c r="I151" s="2026">
        <v>5</v>
      </c>
      <c r="J151" s="2026">
        <v>6</v>
      </c>
      <c r="K151" s="2026">
        <v>7</v>
      </c>
      <c r="L151" s="2026">
        <v>8</v>
      </c>
      <c r="M151" s="2026">
        <v>9</v>
      </c>
      <c r="N151" s="2026">
        <v>10</v>
      </c>
      <c r="O151" s="2026">
        <v>11</v>
      </c>
      <c r="P151" s="2026">
        <v>12</v>
      </c>
      <c r="Q151" s="2026">
        <v>13</v>
      </c>
      <c r="R151" s="2026">
        <v>14</v>
      </c>
      <c r="S151" s="2026">
        <v>15</v>
      </c>
      <c r="T151" s="2026">
        <v>16</v>
      </c>
      <c r="U151" s="2026">
        <v>17</v>
      </c>
      <c r="V151" s="2026">
        <v>18</v>
      </c>
      <c r="W151" s="2026">
        <v>19</v>
      </c>
      <c r="X151" s="2026">
        <v>20</v>
      </c>
      <c r="Y151" s="2026">
        <v>21</v>
      </c>
      <c r="Z151" s="2026">
        <v>22</v>
      </c>
      <c r="AA151" s="2026">
        <v>23</v>
      </c>
      <c r="AB151" s="2026">
        <v>24</v>
      </c>
      <c r="AC151" s="2026">
        <v>25</v>
      </c>
      <c r="AD151" s="3517">
        <v>26</v>
      </c>
      <c r="AE151" s="3517">
        <v>27</v>
      </c>
      <c r="AF151" s="3517">
        <v>28</v>
      </c>
      <c r="AG151" s="3517">
        <v>29</v>
      </c>
      <c r="AH151" s="3517">
        <v>30</v>
      </c>
      <c r="AI151" s="2026">
        <v>31</v>
      </c>
      <c r="AJ151" s="2026">
        <v>32</v>
      </c>
      <c r="AK151" s="2026">
        <v>33</v>
      </c>
      <c r="AL151" s="2026">
        <v>34</v>
      </c>
      <c r="AM151" s="2026">
        <v>35</v>
      </c>
      <c r="AN151" s="2026">
        <v>36</v>
      </c>
      <c r="AO151" s="2026">
        <v>37</v>
      </c>
      <c r="AP151" s="2026">
        <v>38</v>
      </c>
      <c r="AQ151" s="2026">
        <v>39</v>
      </c>
      <c r="AR151" s="2026">
        <v>40</v>
      </c>
      <c r="AS151" s="2026">
        <v>41</v>
      </c>
      <c r="AT151" s="2026">
        <v>42</v>
      </c>
      <c r="AU151" s="2026">
        <v>43</v>
      </c>
      <c r="AV151" s="2026">
        <v>44</v>
      </c>
      <c r="AW151" s="2026">
        <v>45</v>
      </c>
      <c r="AX151" s="2026">
        <v>46</v>
      </c>
      <c r="AY151" s="2026">
        <v>47</v>
      </c>
      <c r="AZ151" s="2026">
        <v>48</v>
      </c>
      <c r="BA151" s="2026">
        <v>49</v>
      </c>
      <c r="BB151" s="2026">
        <v>50</v>
      </c>
      <c r="BC151" s="2026">
        <v>51</v>
      </c>
      <c r="BD151" s="2026">
        <v>52</v>
      </c>
      <c r="BE151" s="2026">
        <v>53</v>
      </c>
      <c r="BF151" s="2026">
        <v>53</v>
      </c>
      <c r="BG151" s="2026">
        <v>55</v>
      </c>
      <c r="BH151" s="2026">
        <v>56</v>
      </c>
      <c r="BI151" s="2026">
        <v>57</v>
      </c>
      <c r="BJ151" s="2026">
        <v>58</v>
      </c>
      <c r="BK151" s="2026">
        <v>59</v>
      </c>
      <c r="BL151" s="2026">
        <v>60</v>
      </c>
      <c r="BM151" s="2026">
        <v>61</v>
      </c>
      <c r="BN151" s="2026">
        <v>62</v>
      </c>
      <c r="BO151" s="2026">
        <v>63</v>
      </c>
      <c r="BP151" s="2026">
        <v>64</v>
      </c>
      <c r="BQ151" s="2026">
        <v>65</v>
      </c>
      <c r="BR151" s="2026">
        <v>66</v>
      </c>
      <c r="BS151" s="2026">
        <v>67</v>
      </c>
      <c r="BT151" s="2026">
        <v>68</v>
      </c>
      <c r="BU151" s="2026">
        <v>69</v>
      </c>
      <c r="BV151" s="2026">
        <v>70</v>
      </c>
      <c r="BW151" s="2026">
        <v>71</v>
      </c>
      <c r="BX151" s="2026">
        <v>72</v>
      </c>
      <c r="BY151" s="2026">
        <v>73</v>
      </c>
      <c r="BZ151" s="2026">
        <v>74</v>
      </c>
      <c r="CA151" s="2026">
        <v>75</v>
      </c>
      <c r="CB151" s="2026">
        <v>76</v>
      </c>
      <c r="CC151" s="2026">
        <v>77</v>
      </c>
      <c r="CD151" s="2026">
        <v>78</v>
      </c>
      <c r="CE151" s="2026">
        <v>79</v>
      </c>
      <c r="CF151" s="2026">
        <v>80</v>
      </c>
      <c r="CG151" s="2026">
        <v>81</v>
      </c>
      <c r="CH151" s="2026">
        <v>82</v>
      </c>
      <c r="CI151" s="2026">
        <v>83</v>
      </c>
      <c r="CJ151" s="2026">
        <v>84</v>
      </c>
      <c r="CK151" s="2026">
        <v>85</v>
      </c>
      <c r="CL151" s="2026">
        <v>86</v>
      </c>
      <c r="CM151" s="2026">
        <v>87</v>
      </c>
      <c r="CN151" s="2026">
        <v>88</v>
      </c>
      <c r="CO151" s="2026">
        <v>89</v>
      </c>
      <c r="CP151" s="2026">
        <v>90</v>
      </c>
      <c r="CQ151" s="2026">
        <v>91</v>
      </c>
      <c r="CR151" s="2026">
        <v>92</v>
      </c>
      <c r="CS151" s="2026">
        <v>93</v>
      </c>
      <c r="CT151" s="2026">
        <v>94</v>
      </c>
      <c r="CU151" s="2026">
        <v>95</v>
      </c>
      <c r="CV151" s="2026">
        <v>96</v>
      </c>
      <c r="CW151" s="2026">
        <v>97</v>
      </c>
      <c r="CX151" s="2026">
        <v>98</v>
      </c>
      <c r="CY151" s="2026">
        <v>99</v>
      </c>
      <c r="CZ151" s="2026">
        <v>100</v>
      </c>
      <c r="DA151" s="2026">
        <v>101</v>
      </c>
      <c r="DB151" s="2026">
        <v>102</v>
      </c>
      <c r="DC151" s="2026">
        <v>103</v>
      </c>
      <c r="DD151" s="2026">
        <v>104</v>
      </c>
      <c r="DE151" s="2026">
        <v>105</v>
      </c>
      <c r="DF151" s="2026">
        <v>106</v>
      </c>
      <c r="DG151" s="2026">
        <v>107</v>
      </c>
      <c r="DH151" s="2026">
        <v>108</v>
      </c>
      <c r="DI151" s="2026">
        <v>109</v>
      </c>
      <c r="DJ151" s="2026">
        <v>110</v>
      </c>
      <c r="DK151" s="2026">
        <v>111</v>
      </c>
      <c r="DL151" s="2026">
        <v>112</v>
      </c>
      <c r="DM151" s="2026">
        <v>113</v>
      </c>
      <c r="DN151" s="2026">
        <v>114</v>
      </c>
      <c r="DO151" s="2026">
        <v>115</v>
      </c>
      <c r="DP151" s="2026">
        <v>116</v>
      </c>
      <c r="DQ151" s="2026">
        <v>117</v>
      </c>
      <c r="DR151" s="2026">
        <v>118</v>
      </c>
      <c r="DS151" s="2026">
        <v>119</v>
      </c>
      <c r="DT151" s="2026">
        <v>120</v>
      </c>
      <c r="DU151" s="2026">
        <v>121</v>
      </c>
      <c r="DV151" s="2026">
        <v>122</v>
      </c>
      <c r="DW151" s="2026">
        <v>123</v>
      </c>
      <c r="DX151" s="2026">
        <v>124</v>
      </c>
      <c r="DY151" s="2026">
        <v>125</v>
      </c>
      <c r="DZ151" s="2026">
        <v>126</v>
      </c>
      <c r="EA151" s="2026">
        <v>127</v>
      </c>
      <c r="EB151" s="2026">
        <v>128</v>
      </c>
      <c r="EC151" s="2026">
        <v>129</v>
      </c>
      <c r="ED151" s="2026">
        <v>130</v>
      </c>
      <c r="EE151" s="2026">
        <v>131</v>
      </c>
      <c r="EF151" s="2026">
        <v>132</v>
      </c>
      <c r="EG151" s="2026">
        <v>133</v>
      </c>
      <c r="EH151" s="2026">
        <v>134</v>
      </c>
      <c r="EI151" s="2026">
        <v>135</v>
      </c>
      <c r="EJ151" s="2026">
        <v>136</v>
      </c>
      <c r="EK151" s="2026">
        <v>137</v>
      </c>
      <c r="EL151" s="2026">
        <v>138</v>
      </c>
      <c r="EM151" s="2026">
        <v>139</v>
      </c>
      <c r="EN151" s="2026">
        <v>140</v>
      </c>
      <c r="EO151" s="2026">
        <v>141</v>
      </c>
      <c r="EP151" s="2026">
        <v>142</v>
      </c>
      <c r="EQ151" s="2026">
        <v>143</v>
      </c>
      <c r="ER151" s="2026">
        <v>144</v>
      </c>
      <c r="ES151" s="2026">
        <v>145</v>
      </c>
      <c r="ET151" s="2026">
        <v>146</v>
      </c>
      <c r="EU151" s="2026">
        <v>147</v>
      </c>
      <c r="EV151" s="2026">
        <v>148</v>
      </c>
      <c r="EW151" s="2026">
        <v>149</v>
      </c>
      <c r="EX151" s="2026">
        <v>150</v>
      </c>
      <c r="EY151" s="2026">
        <v>151</v>
      </c>
      <c r="EZ151" s="2026">
        <v>152</v>
      </c>
      <c r="FA151" s="2026">
        <v>153</v>
      </c>
      <c r="FB151" s="2026">
        <v>154</v>
      </c>
      <c r="FC151" s="2026">
        <v>155</v>
      </c>
      <c r="FD151" s="2026">
        <v>156</v>
      </c>
      <c r="FE151" s="2026">
        <v>157</v>
      </c>
      <c r="FF151" s="2026">
        <v>158</v>
      </c>
      <c r="FG151" s="2026">
        <v>159</v>
      </c>
      <c r="FH151" s="2026">
        <v>160</v>
      </c>
      <c r="FI151" s="2026">
        <v>161</v>
      </c>
      <c r="FJ151" s="2026">
        <v>162</v>
      </c>
      <c r="FK151" s="2026">
        <v>163</v>
      </c>
      <c r="FL151" s="2026">
        <v>164</v>
      </c>
      <c r="FM151" s="2026">
        <v>165</v>
      </c>
      <c r="FN151" s="2026">
        <v>166</v>
      </c>
      <c r="FO151" s="2026">
        <v>167</v>
      </c>
      <c r="FP151" s="2026">
        <v>168</v>
      </c>
      <c r="FQ151" s="2026">
        <v>169</v>
      </c>
      <c r="FR151" s="2026">
        <v>170</v>
      </c>
      <c r="FS151" s="2026">
        <v>171</v>
      </c>
      <c r="FT151" s="2026">
        <v>172</v>
      </c>
      <c r="FU151" s="2026">
        <v>173</v>
      </c>
      <c r="FV151" s="2026">
        <v>174</v>
      </c>
      <c r="FW151" s="2026">
        <v>175</v>
      </c>
      <c r="FX151" s="2026">
        <v>176</v>
      </c>
      <c r="FY151" s="2026">
        <v>177</v>
      </c>
      <c r="FZ151" s="2026">
        <v>178</v>
      </c>
      <c r="GA151" s="2026">
        <v>179</v>
      </c>
      <c r="GB151" s="2026">
        <v>180</v>
      </c>
      <c r="GC151" s="2026">
        <v>181</v>
      </c>
      <c r="GD151" s="2026">
        <v>182</v>
      </c>
      <c r="GE151" s="2026">
        <v>183</v>
      </c>
      <c r="GF151" s="2026">
        <v>184</v>
      </c>
      <c r="GG151" s="2026">
        <v>185</v>
      </c>
      <c r="GH151" s="2026">
        <v>186</v>
      </c>
      <c r="GI151" s="2026">
        <v>187</v>
      </c>
      <c r="GJ151" s="2026">
        <v>188</v>
      </c>
      <c r="GK151" s="2026">
        <v>189</v>
      </c>
      <c r="GL151" s="2026">
        <v>190</v>
      </c>
      <c r="GM151" s="2026">
        <v>191</v>
      </c>
      <c r="GN151" s="2026">
        <v>192</v>
      </c>
      <c r="GO151" s="2026">
        <v>193</v>
      </c>
      <c r="GP151" s="2026">
        <v>194</v>
      </c>
      <c r="GQ151" s="2026">
        <v>195</v>
      </c>
      <c r="GR151" s="2026">
        <v>196</v>
      </c>
      <c r="GS151" s="2026">
        <v>197</v>
      </c>
      <c r="GT151" s="2026">
        <v>198</v>
      </c>
      <c r="GU151" s="2026">
        <v>199</v>
      </c>
      <c r="GV151" s="2026">
        <v>200</v>
      </c>
      <c r="GW151" s="2026">
        <v>201</v>
      </c>
      <c r="GX151" s="2026">
        <v>202</v>
      </c>
      <c r="GY151" s="2026">
        <v>203</v>
      </c>
      <c r="GZ151" s="2026">
        <v>204</v>
      </c>
      <c r="HA151" s="2026">
        <v>205</v>
      </c>
      <c r="HB151" s="2026">
        <v>206</v>
      </c>
      <c r="HC151" s="2026">
        <v>207</v>
      </c>
      <c r="HD151" s="2026">
        <v>208</v>
      </c>
      <c r="HE151" s="2026">
        <v>209</v>
      </c>
      <c r="HF151" s="2026">
        <v>210</v>
      </c>
      <c r="HG151" s="2026">
        <v>211</v>
      </c>
      <c r="HH151" s="2026">
        <v>212</v>
      </c>
      <c r="HI151" s="2026">
        <v>213</v>
      </c>
      <c r="HJ151" s="2026">
        <v>214</v>
      </c>
      <c r="HK151" s="2026">
        <v>215</v>
      </c>
      <c r="HL151" s="2026">
        <v>216</v>
      </c>
      <c r="HM151" s="2026">
        <v>217</v>
      </c>
      <c r="HN151" s="2026">
        <v>218</v>
      </c>
      <c r="HO151" s="2026">
        <v>219</v>
      </c>
      <c r="HP151" s="2026">
        <v>220</v>
      </c>
      <c r="HQ151" s="2026">
        <v>221</v>
      </c>
      <c r="HR151" s="2026">
        <v>222</v>
      </c>
      <c r="HS151" s="2026">
        <v>223</v>
      </c>
      <c r="HT151" s="2026">
        <v>224</v>
      </c>
      <c r="HU151" s="2026">
        <v>225</v>
      </c>
      <c r="HV151" s="2026">
        <v>226</v>
      </c>
      <c r="HW151" s="2026">
        <v>227</v>
      </c>
      <c r="HX151" s="2026">
        <v>228</v>
      </c>
      <c r="HY151" s="2026">
        <v>229</v>
      </c>
      <c r="HZ151" s="2026">
        <v>230</v>
      </c>
      <c r="IA151" s="2026">
        <v>231</v>
      </c>
      <c r="IB151" s="2026">
        <v>232</v>
      </c>
      <c r="IC151" s="2026">
        <v>233</v>
      </c>
      <c r="ID151" s="2026">
        <v>234</v>
      </c>
      <c r="IE151" s="2026">
        <v>235</v>
      </c>
      <c r="IF151" s="2026">
        <v>236</v>
      </c>
      <c r="IG151" s="2026">
        <v>237</v>
      </c>
      <c r="IH151" s="2026">
        <v>238</v>
      </c>
      <c r="II151" s="2026">
        <v>239</v>
      </c>
      <c r="IJ151" s="2026">
        <v>240</v>
      </c>
      <c r="IK151" s="2026">
        <v>241</v>
      </c>
      <c r="IL151" s="2026">
        <v>242</v>
      </c>
      <c r="IM151" s="2026">
        <v>243</v>
      </c>
      <c r="IN151" s="2026">
        <v>244</v>
      </c>
      <c r="IO151" s="2026">
        <v>245</v>
      </c>
      <c r="IP151" s="2026">
        <v>246</v>
      </c>
      <c r="IQ151" s="2026">
        <v>247</v>
      </c>
      <c r="IR151" s="2026">
        <v>248</v>
      </c>
      <c r="IS151" s="2026">
        <v>249</v>
      </c>
      <c r="IT151" s="2026">
        <v>250</v>
      </c>
      <c r="IU151" s="2026">
        <v>251</v>
      </c>
      <c r="IV151" s="2026">
        <v>252</v>
      </c>
      <c r="IW151" s="2026">
        <v>253</v>
      </c>
      <c r="IX151" s="2026">
        <v>254</v>
      </c>
      <c r="IY151" s="2026">
        <v>255</v>
      </c>
      <c r="IZ151" s="2026">
        <v>256</v>
      </c>
      <c r="JA151" s="2026">
        <v>257</v>
      </c>
      <c r="JB151" s="2026">
        <v>258</v>
      </c>
      <c r="JC151" s="2026">
        <v>259</v>
      </c>
      <c r="JD151" s="1134">
        <v>260</v>
      </c>
      <c r="JE151" s="1134">
        <v>261</v>
      </c>
      <c r="JF151" s="1134">
        <v>262</v>
      </c>
      <c r="JG151" s="2485">
        <v>263</v>
      </c>
      <c r="JH151" s="1233"/>
      <c r="JI151" s="4279" t="s">
        <v>5040</v>
      </c>
      <c r="JJ151" s="1688" t="s">
        <v>6104</v>
      </c>
    </row>
    <row r="152" spans="1:270" x14ac:dyDescent="0.2">
      <c r="A152" s="1128">
        <v>2</v>
      </c>
      <c r="B152" s="1347" t="str">
        <f ref="B152:B183" si="6" t="shared">IF(LUN_IND&gt;1,IF(HLOOKUP(LUN_IND-1,LUN_RANGE,A152)="","",HLOOKUP(LUN_IND-1,LUN_RANGE,A152)),"")</f>
        <v/>
      </c>
      <c r="C152" s="1278" t="s">
        <v>3174</v>
      </c>
      <c r="D152" s="1350" t="s">
        <v>5235</v>
      </c>
      <c r="E152" s="2472">
        <v>213</v>
      </c>
      <c r="F152" s="2472">
        <v>38</v>
      </c>
      <c r="G152" s="2472">
        <v>266</v>
      </c>
      <c r="H152" s="2512">
        <v>195</v>
      </c>
      <c r="I152" s="2512">
        <v>1520</v>
      </c>
      <c r="J152" s="2512">
        <v>780</v>
      </c>
      <c r="K152" s="2512">
        <v>64703</v>
      </c>
      <c r="L152" s="2579"/>
      <c r="M152" s="2579"/>
      <c r="N152" s="2579"/>
      <c r="O152" s="2579"/>
      <c r="P152" s="2579"/>
      <c r="Q152" s="2579"/>
      <c r="R152" s="2580"/>
      <c r="S152" s="2580"/>
      <c r="T152" s="2580"/>
      <c r="U152" s="2580"/>
      <c r="V152" s="2580"/>
      <c r="W152" s="2580"/>
      <c r="X152" s="2580"/>
      <c r="Y152" s="2580"/>
      <c r="Z152" s="2580"/>
      <c r="AA152" s="2580"/>
      <c r="AB152" s="2580"/>
      <c r="AC152" s="2580"/>
      <c r="AD152" s="2580"/>
      <c r="AE152" s="2580"/>
      <c r="AF152" s="2580"/>
      <c r="AG152" s="2580"/>
      <c r="AH152" s="2580"/>
      <c r="AI152" s="2580"/>
      <c r="AJ152" s="2580"/>
      <c r="AK152" s="2580"/>
      <c r="AL152" s="2580"/>
      <c r="AM152" s="2580"/>
      <c r="AN152" s="2580"/>
      <c r="AO152" s="2580"/>
      <c r="AP152" s="2580"/>
      <c r="AQ152" s="2580"/>
      <c r="AR152" s="2580"/>
      <c r="AS152" s="2580"/>
      <c r="AT152" s="2580"/>
      <c r="AU152" s="2580"/>
      <c r="AV152" s="2580"/>
      <c r="AW152" s="2580"/>
      <c r="AX152" s="2580"/>
      <c r="AY152" s="2580"/>
      <c r="AZ152" s="2580"/>
      <c r="BA152" s="2580"/>
      <c r="BB152" s="2580"/>
      <c r="BC152" s="2580"/>
      <c r="BD152" s="2580"/>
      <c r="BE152" s="2580"/>
      <c r="BF152" s="2580"/>
      <c r="BG152" s="2580"/>
      <c r="BH152" s="2580"/>
      <c r="BI152" s="2580"/>
      <c r="BJ152" s="2580"/>
      <c r="BK152" s="2580"/>
      <c r="BL152" s="2580"/>
      <c r="BM152" s="2580"/>
      <c r="BN152" s="2580"/>
      <c r="BO152" s="2580"/>
      <c r="BP152" s="2580"/>
      <c r="BQ152" s="2580"/>
      <c r="BR152" s="2580"/>
      <c r="BS152" s="2580"/>
      <c r="BT152" s="2580"/>
      <c r="BU152" s="2580"/>
      <c r="BV152" s="2580"/>
      <c r="BW152" s="2580"/>
      <c r="BX152" s="2580"/>
      <c r="BY152" s="2580"/>
      <c r="BZ152" s="2580"/>
      <c r="CA152" s="2580"/>
      <c r="CB152" s="2580"/>
      <c r="CC152" s="2580"/>
      <c r="CD152" s="2580"/>
      <c r="CE152" s="2580"/>
      <c r="CF152" s="2580"/>
      <c r="CG152" s="2580"/>
      <c r="CH152" s="2580"/>
      <c r="CI152" s="2580"/>
      <c r="CJ152" s="2580"/>
      <c r="CK152" s="2580"/>
      <c r="CL152" s="2580"/>
      <c r="CM152" s="2580"/>
      <c r="CN152" s="2580"/>
      <c r="CO152" s="2580"/>
      <c r="CP152" s="2580"/>
      <c r="CQ152" s="2580"/>
      <c r="CR152" s="2580"/>
      <c r="CS152" s="2580"/>
      <c r="CT152" s="2580"/>
      <c r="CU152" s="2580"/>
      <c r="CV152" s="2580"/>
      <c r="CW152" s="2580"/>
      <c r="CX152" s="2580"/>
      <c r="CY152" s="2580"/>
      <c r="CZ152" s="2580"/>
      <c r="DA152" s="2580"/>
      <c r="DB152" s="2580"/>
      <c r="DC152" s="2580"/>
      <c r="DD152" s="2580"/>
      <c r="DE152" s="2580"/>
      <c r="DF152" s="2580"/>
      <c r="DG152" s="2580"/>
      <c r="DH152" s="2580"/>
      <c r="DI152" s="2580"/>
      <c r="DJ152" s="2580"/>
      <c r="DK152" s="2580"/>
      <c r="DL152" s="2580"/>
      <c r="DM152" s="2580"/>
      <c r="DN152" s="2580"/>
      <c r="DO152" s="2580"/>
      <c r="DP152" s="2580"/>
      <c r="DQ152" s="2580"/>
      <c r="DR152" s="2580"/>
      <c r="DS152" s="2580"/>
      <c r="DT152" s="2580"/>
      <c r="DU152" s="2580"/>
      <c r="DV152" s="2580"/>
      <c r="DW152" s="2580"/>
      <c r="DX152" s="2580"/>
      <c r="DY152" s="2580"/>
      <c r="DZ152" s="2580"/>
      <c r="EA152" s="2580"/>
      <c r="EB152" s="2580"/>
      <c r="EC152" s="2580"/>
      <c r="ED152" s="2580"/>
      <c r="EE152" s="2580"/>
      <c r="EF152" s="2580"/>
      <c r="EG152" s="2580"/>
      <c r="EH152" s="2580"/>
      <c r="EI152" s="2580"/>
      <c r="EJ152" s="2580"/>
      <c r="EK152" s="2580"/>
      <c r="EL152" s="2580"/>
      <c r="EM152" s="2580"/>
      <c r="EN152" s="2580"/>
      <c r="EO152" s="2580"/>
      <c r="EP152" s="2580"/>
      <c r="EQ152" s="2580"/>
      <c r="ER152" s="2580"/>
      <c r="ES152" s="2580"/>
      <c r="ET152" s="2580"/>
      <c r="EU152" s="2580"/>
      <c r="EV152" s="2580"/>
      <c r="EW152" s="2580"/>
      <c r="EX152" s="2580"/>
      <c r="EY152" s="2580"/>
      <c r="EZ152" s="2580"/>
      <c r="FA152" s="2580"/>
      <c r="FB152" s="2580"/>
      <c r="FC152" s="2580"/>
      <c r="FD152" s="2580"/>
      <c r="FE152" s="2580"/>
      <c r="FF152" s="2580"/>
      <c r="FG152" s="2580"/>
      <c r="FH152" s="2580"/>
      <c r="FI152" s="2580"/>
      <c r="FJ152" s="2580"/>
      <c r="FK152" s="2580"/>
      <c r="FL152" s="2580"/>
      <c r="FM152" s="2580"/>
      <c r="FN152" s="2580"/>
      <c r="FO152" s="2580"/>
      <c r="FP152" s="2580"/>
      <c r="FQ152" s="2580"/>
      <c r="FR152" s="2580"/>
      <c r="FS152" s="2580"/>
      <c r="FT152" s="2580"/>
      <c r="FU152" s="2580"/>
      <c r="FV152" s="2580"/>
      <c r="FW152" s="2580"/>
      <c r="FX152" s="2580"/>
      <c r="FY152" s="2580"/>
      <c r="FZ152" s="2580"/>
      <c r="GA152" s="2580"/>
      <c r="GB152" s="2580"/>
      <c r="GC152" s="2580"/>
      <c r="GD152" s="2580"/>
      <c r="GE152" s="2580"/>
      <c r="GF152" s="2580"/>
      <c r="GG152" s="2580"/>
      <c r="GH152" s="2580"/>
      <c r="GI152" s="2580"/>
      <c r="GJ152" s="2580"/>
      <c r="GK152" s="2580"/>
      <c r="GL152" s="2580"/>
      <c r="GM152" s="2580"/>
      <c r="GN152" s="2580"/>
      <c r="GO152" s="2580"/>
      <c r="GP152" s="2580"/>
      <c r="GQ152" s="2580"/>
      <c r="GR152" s="2580"/>
      <c r="GS152" s="2580"/>
      <c r="GT152" s="2580"/>
      <c r="GU152" s="2580"/>
      <c r="GV152" s="2580"/>
      <c r="GW152" s="2580"/>
      <c r="GX152" s="2580"/>
      <c r="GY152" s="2580"/>
      <c r="GZ152" s="2580"/>
      <c r="HA152" s="2580"/>
      <c r="HB152" s="2580"/>
      <c r="HC152" s="2580"/>
      <c r="HD152" s="2580"/>
      <c r="HE152" s="2580"/>
      <c r="HF152" s="2580"/>
      <c r="HG152" s="2580"/>
      <c r="HH152" s="2580"/>
      <c r="HI152" s="2580"/>
      <c r="HJ152" s="2580"/>
      <c r="HK152" s="2580"/>
      <c r="HL152" s="2580"/>
      <c r="HM152" s="2580"/>
      <c r="HN152" s="2580"/>
      <c r="HO152" s="2580"/>
      <c r="HP152" s="2580"/>
      <c r="HQ152" s="2580"/>
      <c r="HR152" s="2580"/>
      <c r="HS152" s="2580"/>
      <c r="HT152" s="2580"/>
      <c r="HU152" s="2580"/>
      <c r="HV152" s="2580"/>
      <c r="HW152" s="2580"/>
      <c r="HX152" s="2580"/>
      <c r="HY152" s="2580"/>
      <c r="HZ152" s="2580"/>
      <c r="IA152" s="2580"/>
      <c r="IB152" s="2580"/>
      <c r="IC152" s="2580"/>
      <c r="ID152" s="2580"/>
      <c r="IE152" s="2580"/>
      <c r="IF152" s="2580"/>
      <c r="IG152" s="2580"/>
      <c r="IH152" s="2580"/>
      <c r="II152" s="2580"/>
      <c r="IJ152" s="2580"/>
      <c r="IK152" s="2580"/>
      <c r="IL152" s="2580"/>
      <c r="IM152" s="2580"/>
      <c r="IN152" s="2580"/>
      <c r="IO152" s="2580"/>
      <c r="IP152" s="2580"/>
      <c r="IQ152" s="2580"/>
      <c r="IR152" s="2580"/>
      <c r="IS152" s="2580"/>
      <c r="IT152" s="2580"/>
      <c r="IU152" s="2580"/>
      <c r="IV152" s="2580"/>
      <c r="IW152" s="2580"/>
      <c r="IX152" s="2580"/>
      <c r="IY152" s="2580"/>
      <c r="IZ152" s="2580"/>
      <c r="JA152" s="2580"/>
      <c r="JB152" s="2580"/>
      <c r="JC152" s="2580"/>
      <c r="JD152" s="2580"/>
      <c r="JE152" s="2580"/>
      <c r="JF152" s="2580"/>
      <c r="JG152" s="2581"/>
      <c r="JH152" s="1233"/>
      <c r="JI152" s="2248"/>
      <c r="JJ152" s="2248" t="s">
        <v>6124</v>
      </c>
    </row>
    <row r="153" spans="1:270" x14ac:dyDescent="0.2">
      <c r="A153" s="1128">
        <v>3</v>
      </c>
      <c r="B153" s="1347" t="str">
        <f si="6" t="shared"/>
        <v/>
      </c>
      <c r="C153" s="1278" t="s">
        <v>3920</v>
      </c>
      <c r="D153" s="1350" t="s">
        <v>5236</v>
      </c>
      <c r="E153" s="2472"/>
      <c r="F153" s="2472"/>
      <c r="G153" s="2472"/>
      <c r="H153" s="2512"/>
      <c r="I153" s="2512"/>
      <c r="J153" s="2512"/>
      <c r="K153" s="2512"/>
      <c r="L153" s="2579"/>
      <c r="M153" s="2579"/>
      <c r="N153" s="2579"/>
      <c r="O153" s="2579"/>
      <c r="P153" s="2579"/>
      <c r="Q153" s="2579"/>
      <c r="R153" s="2580"/>
      <c r="S153" s="2580"/>
      <c r="T153" s="2580"/>
      <c r="U153" s="2580"/>
      <c r="V153" s="2580"/>
      <c r="W153" s="2580"/>
      <c r="X153" s="2580"/>
      <c r="Y153" s="2580"/>
      <c r="Z153" s="2580"/>
      <c r="AA153" s="2580"/>
      <c r="AB153" s="2580"/>
      <c r="AC153" s="2580"/>
      <c r="AD153" s="2580"/>
      <c r="AE153" s="2580"/>
      <c r="AF153" s="2580"/>
      <c r="AG153" s="2580"/>
      <c r="AH153" s="2580"/>
      <c r="AI153" s="2580"/>
      <c r="AJ153" s="2580"/>
      <c r="AK153" s="2580"/>
      <c r="AL153" s="2580"/>
      <c r="AM153" s="2580"/>
      <c r="AN153" s="2580"/>
      <c r="AO153" s="2580"/>
      <c r="AP153" s="2580"/>
      <c r="AQ153" s="2580"/>
      <c r="AR153" s="2580"/>
      <c r="AS153" s="2580"/>
      <c r="AT153" s="2580"/>
      <c r="AU153" s="2580"/>
      <c r="AV153" s="2580"/>
      <c r="AW153" s="2580"/>
      <c r="AX153" s="2580"/>
      <c r="AY153" s="2580"/>
      <c r="AZ153" s="2580"/>
      <c r="BA153" s="2580"/>
      <c r="BB153" s="2580"/>
      <c r="BC153" s="2580"/>
      <c r="BD153" s="2580"/>
      <c r="BE153" s="2580"/>
      <c r="BF153" s="2580"/>
      <c r="BG153" s="2580"/>
      <c r="BH153" s="2580"/>
      <c r="BI153" s="2580"/>
      <c r="BJ153" s="2580"/>
      <c r="BK153" s="2580"/>
      <c r="BL153" s="2580"/>
      <c r="BM153" s="2580"/>
      <c r="BN153" s="2580"/>
      <c r="BO153" s="2580"/>
      <c r="BP153" s="2580"/>
      <c r="BQ153" s="2580"/>
      <c r="BR153" s="2580"/>
      <c r="BS153" s="2580"/>
      <c r="BT153" s="2580"/>
      <c r="BU153" s="2580"/>
      <c r="BV153" s="2580"/>
      <c r="BW153" s="2580"/>
      <c r="BX153" s="2580"/>
      <c r="BY153" s="2580"/>
      <c r="BZ153" s="2580"/>
      <c r="CA153" s="2580"/>
      <c r="CB153" s="2580"/>
      <c r="CC153" s="2580"/>
      <c r="CD153" s="2580"/>
      <c r="CE153" s="2580"/>
      <c r="CF153" s="2580"/>
      <c r="CG153" s="2580"/>
      <c r="CH153" s="2580"/>
      <c r="CI153" s="2580"/>
      <c r="CJ153" s="2580"/>
      <c r="CK153" s="2580"/>
      <c r="CL153" s="2580"/>
      <c r="CM153" s="2580"/>
      <c r="CN153" s="2580"/>
      <c r="CO153" s="2580"/>
      <c r="CP153" s="2580"/>
      <c r="CQ153" s="2580"/>
      <c r="CR153" s="2580"/>
      <c r="CS153" s="2580"/>
      <c r="CT153" s="2580"/>
      <c r="CU153" s="2580"/>
      <c r="CV153" s="2580"/>
      <c r="CW153" s="2580"/>
      <c r="CX153" s="2580"/>
      <c r="CY153" s="2580"/>
      <c r="CZ153" s="2580"/>
      <c r="DA153" s="2580"/>
      <c r="DB153" s="2580"/>
      <c r="DC153" s="2580"/>
      <c r="DD153" s="2580"/>
      <c r="DE153" s="2580"/>
      <c r="DF153" s="2580"/>
      <c r="DG153" s="2580"/>
      <c r="DH153" s="2580"/>
      <c r="DI153" s="2580"/>
      <c r="DJ153" s="2580"/>
      <c r="DK153" s="2580"/>
      <c r="DL153" s="2580"/>
      <c r="DM153" s="2580"/>
      <c r="DN153" s="2580"/>
      <c r="DO153" s="2580"/>
      <c r="DP153" s="2580"/>
      <c r="DQ153" s="2580"/>
      <c r="DR153" s="2580"/>
      <c r="DS153" s="2580"/>
      <c r="DT153" s="2580"/>
      <c r="DU153" s="2580"/>
      <c r="DV153" s="2580"/>
      <c r="DW153" s="2580"/>
      <c r="DX153" s="2580"/>
      <c r="DY153" s="2580"/>
      <c r="DZ153" s="2580"/>
      <c r="EA153" s="2580"/>
      <c r="EB153" s="2580"/>
      <c r="EC153" s="2580"/>
      <c r="ED153" s="2580"/>
      <c r="EE153" s="2580"/>
      <c r="EF153" s="2580"/>
      <c r="EG153" s="2580"/>
      <c r="EH153" s="2580"/>
      <c r="EI153" s="2580"/>
      <c r="EJ153" s="2580"/>
      <c r="EK153" s="2580"/>
      <c r="EL153" s="2580"/>
      <c r="EM153" s="2580"/>
      <c r="EN153" s="2580"/>
      <c r="EO153" s="2580"/>
      <c r="EP153" s="2580"/>
      <c r="EQ153" s="2580"/>
      <c r="ER153" s="2580"/>
      <c r="ES153" s="2580"/>
      <c r="ET153" s="2580"/>
      <c r="EU153" s="2580"/>
      <c r="EV153" s="2580"/>
      <c r="EW153" s="2580"/>
      <c r="EX153" s="2580"/>
      <c r="EY153" s="2580"/>
      <c r="EZ153" s="2580"/>
      <c r="FA153" s="2580"/>
      <c r="FB153" s="2580"/>
      <c r="FC153" s="2580"/>
      <c r="FD153" s="2580"/>
      <c r="FE153" s="2580"/>
      <c r="FF153" s="2580"/>
      <c r="FG153" s="2580"/>
      <c r="FH153" s="2580"/>
      <c r="FI153" s="2580"/>
      <c r="FJ153" s="2580"/>
      <c r="FK153" s="2580"/>
      <c r="FL153" s="2580"/>
      <c r="FM153" s="2580"/>
      <c r="FN153" s="2580"/>
      <c r="FO153" s="2580"/>
      <c r="FP153" s="2580"/>
      <c r="FQ153" s="2580"/>
      <c r="FR153" s="2580"/>
      <c r="FS153" s="2580"/>
      <c r="FT153" s="2580"/>
      <c r="FU153" s="2580"/>
      <c r="FV153" s="2580"/>
      <c r="FW153" s="2580"/>
      <c r="FX153" s="2580"/>
      <c r="FY153" s="2580"/>
      <c r="FZ153" s="2580"/>
      <c r="GA153" s="2580"/>
      <c r="GB153" s="2580"/>
      <c r="GC153" s="2580"/>
      <c r="GD153" s="2580"/>
      <c r="GE153" s="2580"/>
      <c r="GF153" s="2580"/>
      <c r="GG153" s="2580"/>
      <c r="GH153" s="2580"/>
      <c r="GI153" s="2580"/>
      <c r="GJ153" s="2580"/>
      <c r="GK153" s="2580"/>
      <c r="GL153" s="2580"/>
      <c r="GM153" s="2580"/>
      <c r="GN153" s="2580"/>
      <c r="GO153" s="2580"/>
      <c r="GP153" s="2580"/>
      <c r="GQ153" s="2580"/>
      <c r="GR153" s="2580"/>
      <c r="GS153" s="2580"/>
      <c r="GT153" s="2580"/>
      <c r="GU153" s="2580"/>
      <c r="GV153" s="2580"/>
      <c r="GW153" s="2580"/>
      <c r="GX153" s="2580"/>
      <c r="GY153" s="2580"/>
      <c r="GZ153" s="2580"/>
      <c r="HA153" s="2580"/>
      <c r="HB153" s="2580"/>
      <c r="HC153" s="2580"/>
      <c r="HD153" s="2580"/>
      <c r="HE153" s="2580"/>
      <c r="HF153" s="2580"/>
      <c r="HG153" s="2580"/>
      <c r="HH153" s="2580"/>
      <c r="HI153" s="2580"/>
      <c r="HJ153" s="2580"/>
      <c r="HK153" s="2580"/>
      <c r="HL153" s="2580"/>
      <c r="HM153" s="2580"/>
      <c r="HN153" s="2580"/>
      <c r="HO153" s="2580"/>
      <c r="HP153" s="2580"/>
      <c r="HQ153" s="2580"/>
      <c r="HR153" s="2580"/>
      <c r="HS153" s="2580"/>
      <c r="HT153" s="2580"/>
      <c r="HU153" s="2580"/>
      <c r="HV153" s="2580"/>
      <c r="HW153" s="2580"/>
      <c r="HX153" s="2580"/>
      <c r="HY153" s="2580"/>
      <c r="HZ153" s="2580"/>
      <c r="IA153" s="2580"/>
      <c r="IB153" s="2580"/>
      <c r="IC153" s="2580"/>
      <c r="ID153" s="2580"/>
      <c r="IE153" s="2580"/>
      <c r="IF153" s="2580"/>
      <c r="IG153" s="2580"/>
      <c r="IH153" s="2580"/>
      <c r="II153" s="2580"/>
      <c r="IJ153" s="2580"/>
      <c r="IK153" s="2580"/>
      <c r="IL153" s="2580"/>
      <c r="IM153" s="2580"/>
      <c r="IN153" s="2580"/>
      <c r="IO153" s="2580"/>
      <c r="IP153" s="2580"/>
      <c r="IQ153" s="2580"/>
      <c r="IR153" s="2580"/>
      <c r="IS153" s="2580"/>
      <c r="IT153" s="2580"/>
      <c r="IU153" s="2580"/>
      <c r="IV153" s="2580"/>
      <c r="IW153" s="2580"/>
      <c r="IX153" s="2580"/>
      <c r="IY153" s="2580"/>
      <c r="IZ153" s="2580"/>
      <c r="JA153" s="2580"/>
      <c r="JB153" s="2580"/>
      <c r="JC153" s="2580"/>
      <c r="JD153" s="2580"/>
      <c r="JE153" s="2580"/>
      <c r="JF153" s="2580"/>
      <c r="JG153" s="2581"/>
      <c r="JH153" s="1233"/>
      <c r="JI153" s="2248"/>
      <c r="JJ153" s="2248" t="s">
        <v>6124</v>
      </c>
    </row>
    <row r="154" spans="1:270" x14ac:dyDescent="0.2">
      <c r="A154" s="1128">
        <v>4</v>
      </c>
      <c r="B154" s="1347" t="str">
        <f si="6" t="shared"/>
        <v/>
      </c>
      <c r="C154" s="1278" t="s">
        <v>1185</v>
      </c>
      <c r="D154" s="1350" t="s">
        <v>5237</v>
      </c>
      <c r="E154" s="2472">
        <v>328</v>
      </c>
      <c r="F154" s="2472">
        <v>513</v>
      </c>
      <c r="G154" s="2472">
        <v>596</v>
      </c>
      <c r="H154" s="2512">
        <v>338</v>
      </c>
      <c r="I154" s="2512"/>
      <c r="J154" s="2512">
        <v>10</v>
      </c>
      <c r="K154" s="2512"/>
      <c r="L154" s="2579"/>
      <c r="M154" s="2579"/>
      <c r="N154" s="2579"/>
      <c r="O154" s="2579"/>
      <c r="P154" s="2579"/>
      <c r="Q154" s="2579"/>
      <c r="R154" s="2580"/>
      <c r="S154" s="2580"/>
      <c r="T154" s="2580"/>
      <c r="U154" s="2580"/>
      <c r="V154" s="2580"/>
      <c r="W154" s="2580"/>
      <c r="X154" s="2580"/>
      <c r="Y154" s="2580"/>
      <c r="Z154" s="2580"/>
      <c r="AA154" s="2580"/>
      <c r="AB154" s="2580"/>
      <c r="AC154" s="2580"/>
      <c r="AD154" s="2580"/>
      <c r="AE154" s="2580"/>
      <c r="AF154" s="2580"/>
      <c r="AG154" s="2580"/>
      <c r="AH154" s="2580"/>
      <c r="AI154" s="2580"/>
      <c r="AJ154" s="2580"/>
      <c r="AK154" s="2580"/>
      <c r="AL154" s="2580"/>
      <c r="AM154" s="2580"/>
      <c r="AN154" s="2580"/>
      <c r="AO154" s="2580"/>
      <c r="AP154" s="2580"/>
      <c r="AQ154" s="2580"/>
      <c r="AR154" s="2580"/>
      <c r="AS154" s="2580"/>
      <c r="AT154" s="2580"/>
      <c r="AU154" s="2580"/>
      <c r="AV154" s="2580"/>
      <c r="AW154" s="2580"/>
      <c r="AX154" s="2580"/>
      <c r="AY154" s="2580"/>
      <c r="AZ154" s="2580"/>
      <c r="BA154" s="2580"/>
      <c r="BB154" s="2580"/>
      <c r="BC154" s="2580"/>
      <c r="BD154" s="2580"/>
      <c r="BE154" s="2580"/>
      <c r="BF154" s="2580"/>
      <c r="BG154" s="2580"/>
      <c r="BH154" s="2580"/>
      <c r="BI154" s="2580"/>
      <c r="BJ154" s="2580"/>
      <c r="BK154" s="2580"/>
      <c r="BL154" s="2580"/>
      <c r="BM154" s="2580"/>
      <c r="BN154" s="2580"/>
      <c r="BO154" s="2580"/>
      <c r="BP154" s="2580"/>
      <c r="BQ154" s="2580"/>
      <c r="BR154" s="2580"/>
      <c r="BS154" s="2580"/>
      <c r="BT154" s="2580"/>
      <c r="BU154" s="2580"/>
      <c r="BV154" s="2580"/>
      <c r="BW154" s="2580"/>
      <c r="BX154" s="2580"/>
      <c r="BY154" s="2580"/>
      <c r="BZ154" s="2580"/>
      <c r="CA154" s="2580"/>
      <c r="CB154" s="2580"/>
      <c r="CC154" s="2580"/>
      <c r="CD154" s="2580"/>
      <c r="CE154" s="2580"/>
      <c r="CF154" s="2580"/>
      <c r="CG154" s="2580"/>
      <c r="CH154" s="2580"/>
      <c r="CI154" s="2580"/>
      <c r="CJ154" s="2580"/>
      <c r="CK154" s="2580"/>
      <c r="CL154" s="2580"/>
      <c r="CM154" s="2580"/>
      <c r="CN154" s="2580"/>
      <c r="CO154" s="2580"/>
      <c r="CP154" s="2580"/>
      <c r="CQ154" s="2580"/>
      <c r="CR154" s="2580"/>
      <c r="CS154" s="2580"/>
      <c r="CT154" s="2580"/>
      <c r="CU154" s="2580"/>
      <c r="CV154" s="2580"/>
      <c r="CW154" s="2580"/>
      <c r="CX154" s="2580"/>
      <c r="CY154" s="2580"/>
      <c r="CZ154" s="2580"/>
      <c r="DA154" s="2580"/>
      <c r="DB154" s="2580"/>
      <c r="DC154" s="2580"/>
      <c r="DD154" s="2580"/>
      <c r="DE154" s="2580"/>
      <c r="DF154" s="2580"/>
      <c r="DG154" s="2580"/>
      <c r="DH154" s="2580"/>
      <c r="DI154" s="2580"/>
      <c r="DJ154" s="2580"/>
      <c r="DK154" s="2580"/>
      <c r="DL154" s="2580"/>
      <c r="DM154" s="2580"/>
      <c r="DN154" s="2580"/>
      <c r="DO154" s="2580"/>
      <c r="DP154" s="2580"/>
      <c r="DQ154" s="2580"/>
      <c r="DR154" s="2580"/>
      <c r="DS154" s="2580"/>
      <c r="DT154" s="2580"/>
      <c r="DU154" s="2580"/>
      <c r="DV154" s="2580"/>
      <c r="DW154" s="2580"/>
      <c r="DX154" s="2580"/>
      <c r="DY154" s="2580"/>
      <c r="DZ154" s="2580"/>
      <c r="EA154" s="2580"/>
      <c r="EB154" s="2580"/>
      <c r="EC154" s="2580"/>
      <c r="ED154" s="2580"/>
      <c r="EE154" s="2580"/>
      <c r="EF154" s="2580"/>
      <c r="EG154" s="2580"/>
      <c r="EH154" s="2580"/>
      <c r="EI154" s="2580"/>
      <c r="EJ154" s="2580"/>
      <c r="EK154" s="2580"/>
      <c r="EL154" s="2580"/>
      <c r="EM154" s="2580"/>
      <c r="EN154" s="2580"/>
      <c r="EO154" s="2580"/>
      <c r="EP154" s="2580"/>
      <c r="EQ154" s="2580"/>
      <c r="ER154" s="2580"/>
      <c r="ES154" s="2580"/>
      <c r="ET154" s="2580"/>
      <c r="EU154" s="2580"/>
      <c r="EV154" s="2580"/>
      <c r="EW154" s="2580"/>
      <c r="EX154" s="2580"/>
      <c r="EY154" s="2580"/>
      <c r="EZ154" s="2580"/>
      <c r="FA154" s="2580"/>
      <c r="FB154" s="2580"/>
      <c r="FC154" s="2580"/>
      <c r="FD154" s="2580"/>
      <c r="FE154" s="2580"/>
      <c r="FF154" s="2580"/>
      <c r="FG154" s="2580"/>
      <c r="FH154" s="2580"/>
      <c r="FI154" s="2580"/>
      <c r="FJ154" s="2580"/>
      <c r="FK154" s="2580"/>
      <c r="FL154" s="2580"/>
      <c r="FM154" s="2580"/>
      <c r="FN154" s="2580"/>
      <c r="FO154" s="2580"/>
      <c r="FP154" s="2580"/>
      <c r="FQ154" s="2580"/>
      <c r="FR154" s="2580"/>
      <c r="FS154" s="2580"/>
      <c r="FT154" s="2580"/>
      <c r="FU154" s="2580"/>
      <c r="FV154" s="2580"/>
      <c r="FW154" s="2580"/>
      <c r="FX154" s="2580"/>
      <c r="FY154" s="2580"/>
      <c r="FZ154" s="2580"/>
      <c r="GA154" s="2580"/>
      <c r="GB154" s="2580"/>
      <c r="GC154" s="2580"/>
      <c r="GD154" s="2580"/>
      <c r="GE154" s="2580"/>
      <c r="GF154" s="2580"/>
      <c r="GG154" s="2580"/>
      <c r="GH154" s="2580"/>
      <c r="GI154" s="2580"/>
      <c r="GJ154" s="2580"/>
      <c r="GK154" s="2580"/>
      <c r="GL154" s="2580"/>
      <c r="GM154" s="2580"/>
      <c r="GN154" s="2580"/>
      <c r="GO154" s="2580"/>
      <c r="GP154" s="2580"/>
      <c r="GQ154" s="2580"/>
      <c r="GR154" s="2580"/>
      <c r="GS154" s="2580"/>
      <c r="GT154" s="2580"/>
      <c r="GU154" s="2580"/>
      <c r="GV154" s="2580"/>
      <c r="GW154" s="2580"/>
      <c r="GX154" s="2580"/>
      <c r="GY154" s="2580"/>
      <c r="GZ154" s="2580"/>
      <c r="HA154" s="2580"/>
      <c r="HB154" s="2580"/>
      <c r="HC154" s="2580"/>
      <c r="HD154" s="2580"/>
      <c r="HE154" s="2580"/>
      <c r="HF154" s="2580"/>
      <c r="HG154" s="2580"/>
      <c r="HH154" s="2580"/>
      <c r="HI154" s="2580"/>
      <c r="HJ154" s="2580"/>
      <c r="HK154" s="2580"/>
      <c r="HL154" s="2580"/>
      <c r="HM154" s="2580"/>
      <c r="HN154" s="2580"/>
      <c r="HO154" s="2580"/>
      <c r="HP154" s="2580"/>
      <c r="HQ154" s="2580"/>
      <c r="HR154" s="2580"/>
      <c r="HS154" s="2580"/>
      <c r="HT154" s="2580"/>
      <c r="HU154" s="2580"/>
      <c r="HV154" s="2580"/>
      <c r="HW154" s="2580"/>
      <c r="HX154" s="2580"/>
      <c r="HY154" s="2580"/>
      <c r="HZ154" s="2580"/>
      <c r="IA154" s="2580"/>
      <c r="IB154" s="2580"/>
      <c r="IC154" s="2580"/>
      <c r="ID154" s="2580"/>
      <c r="IE154" s="2580"/>
      <c r="IF154" s="2580"/>
      <c r="IG154" s="2580"/>
      <c r="IH154" s="2580"/>
      <c r="II154" s="2580"/>
      <c r="IJ154" s="2580"/>
      <c r="IK154" s="2580"/>
      <c r="IL154" s="2580"/>
      <c r="IM154" s="2580"/>
      <c r="IN154" s="2580"/>
      <c r="IO154" s="2580"/>
      <c r="IP154" s="2580"/>
      <c r="IQ154" s="2580"/>
      <c r="IR154" s="2580"/>
      <c r="IS154" s="2580"/>
      <c r="IT154" s="2580"/>
      <c r="IU154" s="2580"/>
      <c r="IV154" s="2580"/>
      <c r="IW154" s="2580"/>
      <c r="IX154" s="2580"/>
      <c r="IY154" s="2580"/>
      <c r="IZ154" s="2580"/>
      <c r="JA154" s="2580"/>
      <c r="JB154" s="2580"/>
      <c r="JC154" s="2580"/>
      <c r="JD154" s="2580"/>
      <c r="JE154" s="2580"/>
      <c r="JF154" s="2580"/>
      <c r="JG154" s="2581"/>
      <c r="JH154" s="1233"/>
      <c r="JI154" s="2248"/>
      <c r="JJ154" s="2248" t="s">
        <v>6124</v>
      </c>
    </row>
    <row r="155" spans="1:270" x14ac:dyDescent="0.2">
      <c r="A155" s="1128">
        <v>5</v>
      </c>
      <c r="B155" s="1347" t="str">
        <f si="6" t="shared"/>
        <v/>
      </c>
      <c r="C155" s="1524" t="s">
        <v>1186</v>
      </c>
      <c r="D155" s="1350" t="s">
        <v>1506</v>
      </c>
      <c r="E155" s="2523">
        <f>TRUNC((E154*savings_gross*BR_rate)+0.99,0)</f>
        <v>82</v>
      </c>
      <c r="F155" s="2523">
        <f>TRUNC((F154*savings_gross*BR_rate)+0.99,0)</f>
        <v>129</v>
      </c>
      <c r="G155" s="2523">
        <f>TRUNC((G154*savings_gross*BR_rate)+0.99,0)</f>
        <v>149</v>
      </c>
      <c r="H155" s="2523">
        <f>TRUNC((H154*savings_gross*BR_rate)+0.99,0)</f>
        <v>85</v>
      </c>
      <c r="I155" s="2582"/>
      <c r="J155" s="2582">
        <v>2</v>
      </c>
      <c r="K155" s="2582"/>
      <c r="L155" s="2524"/>
      <c r="M155" s="2524"/>
      <c r="N155" s="2524"/>
      <c r="O155" s="2524"/>
      <c r="P155" s="2524"/>
      <c r="Q155" s="2524"/>
      <c r="R155" s="2525"/>
      <c r="S155" s="2525"/>
      <c r="T155" s="2525"/>
      <c r="U155" s="2525"/>
      <c r="V155" s="2525"/>
      <c r="W155" s="2525"/>
      <c r="X155" s="2525"/>
      <c r="Y155" s="2525"/>
      <c r="Z155" s="2525"/>
      <c r="AA155" s="2525"/>
      <c r="AB155" s="2525"/>
      <c r="AC155" s="2525"/>
      <c r="AD155" s="2525"/>
      <c r="AE155" s="2525"/>
      <c r="AF155" s="2525"/>
      <c r="AG155" s="2525"/>
      <c r="AH155" s="2525"/>
      <c r="AI155" s="2525"/>
      <c r="AJ155" s="2525"/>
      <c r="AK155" s="2525"/>
      <c r="AL155" s="2525"/>
      <c r="AM155" s="2525"/>
      <c r="AN155" s="2525"/>
      <c r="AO155" s="2525"/>
      <c r="AP155" s="2525"/>
      <c r="AQ155" s="2525"/>
      <c r="AR155" s="2525"/>
      <c r="AS155" s="2525"/>
      <c r="AT155" s="2525"/>
      <c r="AU155" s="2525"/>
      <c r="AV155" s="2525"/>
      <c r="AW155" s="2525"/>
      <c r="AX155" s="2525"/>
      <c r="AY155" s="2525"/>
      <c r="AZ155" s="2525"/>
      <c r="BA155" s="2525"/>
      <c r="BB155" s="2525"/>
      <c r="BC155" s="2525"/>
      <c r="BD155" s="2525"/>
      <c r="BE155" s="2525"/>
      <c r="BF155" s="2525"/>
      <c r="BG155" s="2525"/>
      <c r="BH155" s="2525"/>
      <c r="BI155" s="2525"/>
      <c r="BJ155" s="2525"/>
      <c r="BK155" s="2525"/>
      <c r="BL155" s="2525"/>
      <c r="BM155" s="2525"/>
      <c r="BN155" s="2525"/>
      <c r="BO155" s="2525"/>
      <c r="BP155" s="2525"/>
      <c r="BQ155" s="2525"/>
      <c r="BR155" s="2525"/>
      <c r="BS155" s="2525"/>
      <c r="BT155" s="2525"/>
      <c r="BU155" s="2525"/>
      <c r="BV155" s="2525"/>
      <c r="BW155" s="2525"/>
      <c r="BX155" s="2525"/>
      <c r="BY155" s="2525"/>
      <c r="BZ155" s="2525"/>
      <c r="CA155" s="2525"/>
      <c r="CB155" s="2525"/>
      <c r="CC155" s="2525"/>
      <c r="CD155" s="2525"/>
      <c r="CE155" s="2525"/>
      <c r="CF155" s="2525"/>
      <c r="CG155" s="2525"/>
      <c r="CH155" s="2525"/>
      <c r="CI155" s="2525"/>
      <c r="CJ155" s="2525"/>
      <c r="CK155" s="2525"/>
      <c r="CL155" s="2525"/>
      <c r="CM155" s="2525"/>
      <c r="CN155" s="2525"/>
      <c r="CO155" s="2525"/>
      <c r="CP155" s="2525"/>
      <c r="CQ155" s="2525"/>
      <c r="CR155" s="2525"/>
      <c r="CS155" s="2525"/>
      <c r="CT155" s="2525"/>
      <c r="CU155" s="2525"/>
      <c r="CV155" s="2525"/>
      <c r="CW155" s="2525"/>
      <c r="CX155" s="2525"/>
      <c r="CY155" s="2525"/>
      <c r="CZ155" s="2525"/>
      <c r="DA155" s="2525"/>
      <c r="DB155" s="2525"/>
      <c r="DC155" s="2525"/>
      <c r="DD155" s="2525"/>
      <c r="DE155" s="2525"/>
      <c r="DF155" s="2525"/>
      <c r="DG155" s="2525"/>
      <c r="DH155" s="2525"/>
      <c r="DI155" s="2525"/>
      <c r="DJ155" s="2525"/>
      <c r="DK155" s="2525"/>
      <c r="DL155" s="2525"/>
      <c r="DM155" s="2525"/>
      <c r="DN155" s="2525"/>
      <c r="DO155" s="2525"/>
      <c r="DP155" s="2525"/>
      <c r="DQ155" s="2525"/>
      <c r="DR155" s="2525"/>
      <c r="DS155" s="2525"/>
      <c r="DT155" s="2525"/>
      <c r="DU155" s="2525"/>
      <c r="DV155" s="2525"/>
      <c r="DW155" s="2525"/>
      <c r="DX155" s="2525"/>
      <c r="DY155" s="2525"/>
      <c r="DZ155" s="2525"/>
      <c r="EA155" s="2525"/>
      <c r="EB155" s="2525"/>
      <c r="EC155" s="2525"/>
      <c r="ED155" s="2525"/>
      <c r="EE155" s="2525"/>
      <c r="EF155" s="2525"/>
      <c r="EG155" s="2525"/>
      <c r="EH155" s="2525"/>
      <c r="EI155" s="2525"/>
      <c r="EJ155" s="2525"/>
      <c r="EK155" s="2525"/>
      <c r="EL155" s="2525"/>
      <c r="EM155" s="2525"/>
      <c r="EN155" s="2525"/>
      <c r="EO155" s="2525"/>
      <c r="EP155" s="2525"/>
      <c r="EQ155" s="2525"/>
      <c r="ER155" s="2525"/>
      <c r="ES155" s="2525"/>
      <c r="ET155" s="2525"/>
      <c r="EU155" s="2525"/>
      <c r="EV155" s="2525"/>
      <c r="EW155" s="2525"/>
      <c r="EX155" s="2525"/>
      <c r="EY155" s="2525"/>
      <c r="EZ155" s="2525"/>
      <c r="FA155" s="2525"/>
      <c r="FB155" s="2525"/>
      <c r="FC155" s="2525"/>
      <c r="FD155" s="2525"/>
      <c r="FE155" s="2525"/>
      <c r="FF155" s="2525"/>
      <c r="FG155" s="2525"/>
      <c r="FH155" s="2525"/>
      <c r="FI155" s="2525"/>
      <c r="FJ155" s="2525"/>
      <c r="FK155" s="2525"/>
      <c r="FL155" s="2525"/>
      <c r="FM155" s="2525"/>
      <c r="FN155" s="2525"/>
      <c r="FO155" s="2525"/>
      <c r="FP155" s="2525"/>
      <c r="FQ155" s="2525"/>
      <c r="FR155" s="2525"/>
      <c r="FS155" s="2525"/>
      <c r="FT155" s="2525"/>
      <c r="FU155" s="2525"/>
      <c r="FV155" s="2525"/>
      <c r="FW155" s="2525"/>
      <c r="FX155" s="2525"/>
      <c r="FY155" s="2525"/>
      <c r="FZ155" s="2525"/>
      <c r="GA155" s="2525"/>
      <c r="GB155" s="2525"/>
      <c r="GC155" s="2525"/>
      <c r="GD155" s="2525"/>
      <c r="GE155" s="2525"/>
      <c r="GF155" s="2525"/>
      <c r="GG155" s="2525"/>
      <c r="GH155" s="2525"/>
      <c r="GI155" s="2525"/>
      <c r="GJ155" s="2525"/>
      <c r="GK155" s="2525"/>
      <c r="GL155" s="2525"/>
      <c r="GM155" s="2525"/>
      <c r="GN155" s="2525"/>
      <c r="GO155" s="2525"/>
      <c r="GP155" s="2525"/>
      <c r="GQ155" s="2525"/>
      <c r="GR155" s="2525"/>
      <c r="GS155" s="2525"/>
      <c r="GT155" s="2525"/>
      <c r="GU155" s="2525"/>
      <c r="GV155" s="2525"/>
      <c r="GW155" s="2525"/>
      <c r="GX155" s="2525"/>
      <c r="GY155" s="2525"/>
      <c r="GZ155" s="2525"/>
      <c r="HA155" s="2525"/>
      <c r="HB155" s="2525"/>
      <c r="HC155" s="2525"/>
      <c r="HD155" s="2525"/>
      <c r="HE155" s="2525"/>
      <c r="HF155" s="2525"/>
      <c r="HG155" s="2525"/>
      <c r="HH155" s="2525"/>
      <c r="HI155" s="2525"/>
      <c r="HJ155" s="2525"/>
      <c r="HK155" s="2525"/>
      <c r="HL155" s="2525"/>
      <c r="HM155" s="2525"/>
      <c r="HN155" s="2525"/>
      <c r="HO155" s="2525"/>
      <c r="HP155" s="2525"/>
      <c r="HQ155" s="2525"/>
      <c r="HR155" s="2525"/>
      <c r="HS155" s="2525"/>
      <c r="HT155" s="2525"/>
      <c r="HU155" s="2525"/>
      <c r="HV155" s="2525"/>
      <c r="HW155" s="2525"/>
      <c r="HX155" s="2525"/>
      <c r="HY155" s="2525"/>
      <c r="HZ155" s="2525"/>
      <c r="IA155" s="2525"/>
      <c r="IB155" s="2525"/>
      <c r="IC155" s="2525"/>
      <c r="ID155" s="2525"/>
      <c r="IE155" s="2525"/>
      <c r="IF155" s="2525"/>
      <c r="IG155" s="2525"/>
      <c r="IH155" s="2525"/>
      <c r="II155" s="2525"/>
      <c r="IJ155" s="2525"/>
      <c r="IK155" s="2525"/>
      <c r="IL155" s="2525"/>
      <c r="IM155" s="2525"/>
      <c r="IN155" s="2525"/>
      <c r="IO155" s="2525"/>
      <c r="IP155" s="2525"/>
      <c r="IQ155" s="2525"/>
      <c r="IR155" s="2525"/>
      <c r="IS155" s="2525"/>
      <c r="IT155" s="2525"/>
      <c r="IU155" s="2525"/>
      <c r="IV155" s="2525"/>
      <c r="IW155" s="2525"/>
      <c r="IX155" s="2525"/>
      <c r="IY155" s="2525"/>
      <c r="IZ155" s="2525"/>
      <c r="JA155" s="2525"/>
      <c r="JB155" s="2525"/>
      <c r="JC155" s="2525"/>
      <c r="JD155" s="2525"/>
      <c r="JE155" s="2525"/>
      <c r="JF155" s="2525"/>
      <c r="JG155" s="2526"/>
      <c r="JH155" s="1233"/>
      <c r="JI155" s="2248" t="s">
        <v>5558</v>
      </c>
      <c r="JJ155" s="2248" t="s">
        <v>6124</v>
      </c>
    </row>
    <row r="156" spans="1:270" x14ac:dyDescent="0.2">
      <c r="A156" s="1128">
        <v>6</v>
      </c>
      <c r="B156" s="1347" t="str">
        <f si="6" t="shared"/>
        <v/>
      </c>
      <c r="C156" s="1278" t="s">
        <v>1187</v>
      </c>
      <c r="D156" s="1350" t="s">
        <v>5238</v>
      </c>
      <c r="E156" s="2514">
        <f ref="E156:K156" si="7" t="shared">E152+E153+E154+E155</f>
        <v>623</v>
      </c>
      <c r="F156" s="2514">
        <f si="7" t="shared"/>
        <v>680</v>
      </c>
      <c r="G156" s="2514">
        <f si="7" t="shared"/>
        <v>1011</v>
      </c>
      <c r="H156" s="2514">
        <f si="7" t="shared"/>
        <v>618</v>
      </c>
      <c r="I156" s="2514">
        <f si="7" t="shared"/>
        <v>1520</v>
      </c>
      <c r="J156" s="2514">
        <f si="7" t="shared"/>
        <v>792</v>
      </c>
      <c r="K156" s="2514">
        <f si="7" t="shared"/>
        <v>64703</v>
      </c>
      <c r="L156" s="2515"/>
      <c r="M156" s="2515"/>
      <c r="N156" s="2515"/>
      <c r="O156" s="2515"/>
      <c r="P156" s="2515"/>
      <c r="Q156" s="2515"/>
      <c r="R156" s="2516"/>
      <c r="S156" s="2516"/>
      <c r="T156" s="2516"/>
      <c r="U156" s="2516"/>
      <c r="V156" s="2516"/>
      <c r="W156" s="2516"/>
      <c r="X156" s="2516"/>
      <c r="Y156" s="2516"/>
      <c r="Z156" s="2516"/>
      <c r="AA156" s="2516"/>
      <c r="AB156" s="2516"/>
      <c r="AC156" s="2516"/>
      <c r="AD156" s="2516"/>
      <c r="AE156" s="2516"/>
      <c r="AF156" s="2516"/>
      <c r="AG156" s="2516"/>
      <c r="AH156" s="2516"/>
      <c r="AI156" s="2516"/>
      <c r="AJ156" s="2516"/>
      <c r="AK156" s="2516"/>
      <c r="AL156" s="2516"/>
      <c r="AM156" s="2516"/>
      <c r="AN156" s="2516"/>
      <c r="AO156" s="2516"/>
      <c r="AP156" s="2516"/>
      <c r="AQ156" s="2516"/>
      <c r="AR156" s="2516"/>
      <c r="AS156" s="2516"/>
      <c r="AT156" s="2516"/>
      <c r="AU156" s="2516"/>
      <c r="AV156" s="2516"/>
      <c r="AW156" s="2516"/>
      <c r="AX156" s="2516"/>
      <c r="AY156" s="2516"/>
      <c r="AZ156" s="2516"/>
      <c r="BA156" s="2516"/>
      <c r="BB156" s="2516"/>
      <c r="BC156" s="2516"/>
      <c r="BD156" s="2516"/>
      <c r="BE156" s="2516"/>
      <c r="BF156" s="2516"/>
      <c r="BG156" s="2516"/>
      <c r="BH156" s="2516"/>
      <c r="BI156" s="2516"/>
      <c r="BJ156" s="2516"/>
      <c r="BK156" s="2516"/>
      <c r="BL156" s="2516"/>
      <c r="BM156" s="2516"/>
      <c r="BN156" s="2516"/>
      <c r="BO156" s="2516"/>
      <c r="BP156" s="2516"/>
      <c r="BQ156" s="2516"/>
      <c r="BR156" s="2516"/>
      <c r="BS156" s="2516"/>
      <c r="BT156" s="2516"/>
      <c r="BU156" s="2516"/>
      <c r="BV156" s="2516"/>
      <c r="BW156" s="2516"/>
      <c r="BX156" s="2516"/>
      <c r="BY156" s="2516"/>
      <c r="BZ156" s="2516"/>
      <c r="CA156" s="2516"/>
      <c r="CB156" s="2516"/>
      <c r="CC156" s="2516"/>
      <c r="CD156" s="2516"/>
      <c r="CE156" s="2516"/>
      <c r="CF156" s="2516"/>
      <c r="CG156" s="2516"/>
      <c r="CH156" s="2516"/>
      <c r="CI156" s="2516"/>
      <c r="CJ156" s="2516"/>
      <c r="CK156" s="2516"/>
      <c r="CL156" s="2516"/>
      <c r="CM156" s="2516"/>
      <c r="CN156" s="2516"/>
      <c r="CO156" s="2516"/>
      <c r="CP156" s="2516"/>
      <c r="CQ156" s="2516"/>
      <c r="CR156" s="2516"/>
      <c r="CS156" s="2516"/>
      <c r="CT156" s="2516"/>
      <c r="CU156" s="2516"/>
      <c r="CV156" s="2516"/>
      <c r="CW156" s="2516"/>
      <c r="CX156" s="2516"/>
      <c r="CY156" s="2516"/>
      <c r="CZ156" s="2516"/>
      <c r="DA156" s="2516"/>
      <c r="DB156" s="2516"/>
      <c r="DC156" s="2516"/>
      <c r="DD156" s="2516"/>
      <c r="DE156" s="2516"/>
      <c r="DF156" s="2516"/>
      <c r="DG156" s="2516"/>
      <c r="DH156" s="2516"/>
      <c r="DI156" s="2516"/>
      <c r="DJ156" s="2516"/>
      <c r="DK156" s="2516"/>
      <c r="DL156" s="2516"/>
      <c r="DM156" s="2516"/>
      <c r="DN156" s="2516"/>
      <c r="DO156" s="2516"/>
      <c r="DP156" s="2516"/>
      <c r="DQ156" s="2516"/>
      <c r="DR156" s="2516"/>
      <c r="DS156" s="2516"/>
      <c r="DT156" s="2516"/>
      <c r="DU156" s="2516"/>
      <c r="DV156" s="2516"/>
      <c r="DW156" s="2516"/>
      <c r="DX156" s="2516"/>
      <c r="DY156" s="2516"/>
      <c r="DZ156" s="2516"/>
      <c r="EA156" s="2516"/>
      <c r="EB156" s="2516"/>
      <c r="EC156" s="2516"/>
      <c r="ED156" s="2516"/>
      <c r="EE156" s="2516"/>
      <c r="EF156" s="2516"/>
      <c r="EG156" s="2516"/>
      <c r="EH156" s="2516"/>
      <c r="EI156" s="2516"/>
      <c r="EJ156" s="2516"/>
      <c r="EK156" s="2516"/>
      <c r="EL156" s="2516"/>
      <c r="EM156" s="2516"/>
      <c r="EN156" s="2516"/>
      <c r="EO156" s="2516"/>
      <c r="EP156" s="2516"/>
      <c r="EQ156" s="2516"/>
      <c r="ER156" s="2516"/>
      <c r="ES156" s="2516"/>
      <c r="ET156" s="2516"/>
      <c r="EU156" s="2516"/>
      <c r="EV156" s="2516"/>
      <c r="EW156" s="2516"/>
      <c r="EX156" s="2516"/>
      <c r="EY156" s="2516"/>
      <c r="EZ156" s="2516"/>
      <c r="FA156" s="2516"/>
      <c r="FB156" s="2516"/>
      <c r="FC156" s="2516"/>
      <c r="FD156" s="2516"/>
      <c r="FE156" s="2516"/>
      <c r="FF156" s="2516"/>
      <c r="FG156" s="2516"/>
      <c r="FH156" s="2516"/>
      <c r="FI156" s="2516"/>
      <c r="FJ156" s="2516"/>
      <c r="FK156" s="2516"/>
      <c r="FL156" s="2516"/>
      <c r="FM156" s="2516"/>
      <c r="FN156" s="2516"/>
      <c r="FO156" s="2516"/>
      <c r="FP156" s="2516"/>
      <c r="FQ156" s="2516"/>
      <c r="FR156" s="2516"/>
      <c r="FS156" s="2516"/>
      <c r="FT156" s="2516"/>
      <c r="FU156" s="2516"/>
      <c r="FV156" s="2516"/>
      <c r="FW156" s="2516"/>
      <c r="FX156" s="2516"/>
      <c r="FY156" s="2516"/>
      <c r="FZ156" s="2516"/>
      <c r="GA156" s="2516"/>
      <c r="GB156" s="2516"/>
      <c r="GC156" s="2516"/>
      <c r="GD156" s="2516"/>
      <c r="GE156" s="2516"/>
      <c r="GF156" s="2516"/>
      <c r="GG156" s="2516"/>
      <c r="GH156" s="2516"/>
      <c r="GI156" s="2516"/>
      <c r="GJ156" s="2516"/>
      <c r="GK156" s="2516"/>
      <c r="GL156" s="2516"/>
      <c r="GM156" s="2516"/>
      <c r="GN156" s="2516"/>
      <c r="GO156" s="2516"/>
      <c r="GP156" s="2516"/>
      <c r="GQ156" s="2516"/>
      <c r="GR156" s="2516"/>
      <c r="GS156" s="2516"/>
      <c r="GT156" s="2516"/>
      <c r="GU156" s="2516"/>
      <c r="GV156" s="2516"/>
      <c r="GW156" s="2516"/>
      <c r="GX156" s="2516"/>
      <c r="GY156" s="2516"/>
      <c r="GZ156" s="2516"/>
      <c r="HA156" s="2516"/>
      <c r="HB156" s="2516"/>
      <c r="HC156" s="2516"/>
      <c r="HD156" s="2516"/>
      <c r="HE156" s="2516"/>
      <c r="HF156" s="2516"/>
      <c r="HG156" s="2516"/>
      <c r="HH156" s="2516"/>
      <c r="HI156" s="2516"/>
      <c r="HJ156" s="2516"/>
      <c r="HK156" s="2516"/>
      <c r="HL156" s="2516"/>
      <c r="HM156" s="2516"/>
      <c r="HN156" s="2516"/>
      <c r="HO156" s="2516"/>
      <c r="HP156" s="2516"/>
      <c r="HQ156" s="2516"/>
      <c r="HR156" s="2516"/>
      <c r="HS156" s="2516"/>
      <c r="HT156" s="2516"/>
      <c r="HU156" s="2516"/>
      <c r="HV156" s="2516"/>
      <c r="HW156" s="2516"/>
      <c r="HX156" s="2516"/>
      <c r="HY156" s="2516"/>
      <c r="HZ156" s="2516"/>
      <c r="IA156" s="2516"/>
      <c r="IB156" s="2516"/>
      <c r="IC156" s="2516"/>
      <c r="ID156" s="2516"/>
      <c r="IE156" s="2516"/>
      <c r="IF156" s="2516"/>
      <c r="IG156" s="2516"/>
      <c r="IH156" s="2516"/>
      <c r="II156" s="2516"/>
      <c r="IJ156" s="2516"/>
      <c r="IK156" s="2516"/>
      <c r="IL156" s="2516"/>
      <c r="IM156" s="2516"/>
      <c r="IN156" s="2516"/>
      <c r="IO156" s="2516"/>
      <c r="IP156" s="2516"/>
      <c r="IQ156" s="2516"/>
      <c r="IR156" s="2516"/>
      <c r="IS156" s="2516"/>
      <c r="IT156" s="2516"/>
      <c r="IU156" s="2516"/>
      <c r="IV156" s="2516"/>
      <c r="IW156" s="2516"/>
      <c r="IX156" s="2516"/>
      <c r="IY156" s="2516"/>
      <c r="IZ156" s="2516"/>
      <c r="JA156" s="2516"/>
      <c r="JB156" s="2516"/>
      <c r="JC156" s="2516"/>
      <c r="JD156" s="2516"/>
      <c r="JE156" s="2516"/>
      <c r="JF156" s="2516"/>
      <c r="JG156" s="2517"/>
      <c r="JH156" s="1233"/>
      <c r="JI156" s="2248" t="s">
        <v>5559</v>
      </c>
      <c r="JJ156" s="2248" t="s">
        <v>6124</v>
      </c>
    </row>
    <row r="157" spans="1:270" x14ac:dyDescent="0.2">
      <c r="A157" s="1128">
        <v>7</v>
      </c>
      <c r="B157" s="1347" t="str">
        <f si="6" t="shared"/>
        <v/>
      </c>
      <c r="C157" s="1524" t="s">
        <v>3494</v>
      </c>
      <c r="D157" s="1350" t="s">
        <v>5239</v>
      </c>
      <c r="E157" s="2518"/>
      <c r="F157" s="2518">
        <v>1908</v>
      </c>
      <c r="G157" s="2518">
        <v>2986</v>
      </c>
      <c r="H157" s="2389"/>
      <c r="I157" s="2389"/>
      <c r="J157" s="2389"/>
      <c r="K157" s="2389"/>
      <c r="L157" s="2583"/>
      <c r="M157" s="2583"/>
      <c r="N157" s="2583"/>
      <c r="O157" s="2583"/>
      <c r="P157" s="2583"/>
      <c r="Q157" s="2583"/>
      <c r="R157" s="2584"/>
      <c r="S157" s="2584"/>
      <c r="T157" s="2584"/>
      <c r="U157" s="2584"/>
      <c r="V157" s="2584"/>
      <c r="W157" s="2584"/>
      <c r="X157" s="2584"/>
      <c r="Y157" s="2584"/>
      <c r="Z157" s="2584"/>
      <c r="AA157" s="2584"/>
      <c r="AB157" s="2584"/>
      <c r="AC157" s="2584"/>
      <c r="AD157" s="2584"/>
      <c r="AE157" s="2584"/>
      <c r="AF157" s="2584"/>
      <c r="AG157" s="2584"/>
      <c r="AH157" s="2584"/>
      <c r="AI157" s="2584"/>
      <c r="AJ157" s="2584"/>
      <c r="AK157" s="2584"/>
      <c r="AL157" s="2584"/>
      <c r="AM157" s="2584"/>
      <c r="AN157" s="2584"/>
      <c r="AO157" s="2584"/>
      <c r="AP157" s="2584"/>
      <c r="AQ157" s="2584"/>
      <c r="AR157" s="2584"/>
      <c r="AS157" s="2584"/>
      <c r="AT157" s="2584"/>
      <c r="AU157" s="2584"/>
      <c r="AV157" s="2584"/>
      <c r="AW157" s="2584"/>
      <c r="AX157" s="2584"/>
      <c r="AY157" s="2584"/>
      <c r="AZ157" s="2584"/>
      <c r="BA157" s="2584"/>
      <c r="BB157" s="2584"/>
      <c r="BC157" s="2584"/>
      <c r="BD157" s="2584"/>
      <c r="BE157" s="2584"/>
      <c r="BF157" s="2584"/>
      <c r="BG157" s="2584"/>
      <c r="BH157" s="2584"/>
      <c r="BI157" s="2584"/>
      <c r="BJ157" s="2584"/>
      <c r="BK157" s="2584"/>
      <c r="BL157" s="2584"/>
      <c r="BM157" s="2584"/>
      <c r="BN157" s="2584"/>
      <c r="BO157" s="2584"/>
      <c r="BP157" s="2584"/>
      <c r="BQ157" s="2584"/>
      <c r="BR157" s="2584"/>
      <c r="BS157" s="2584"/>
      <c r="BT157" s="2584"/>
      <c r="BU157" s="2584"/>
      <c r="BV157" s="2584"/>
      <c r="BW157" s="2584"/>
      <c r="BX157" s="2584"/>
      <c r="BY157" s="2584"/>
      <c r="BZ157" s="2584"/>
      <c r="CA157" s="2584"/>
      <c r="CB157" s="2584"/>
      <c r="CC157" s="2584"/>
      <c r="CD157" s="2584"/>
      <c r="CE157" s="2584"/>
      <c r="CF157" s="2584"/>
      <c r="CG157" s="2584"/>
      <c r="CH157" s="2584"/>
      <c r="CI157" s="2584"/>
      <c r="CJ157" s="2584"/>
      <c r="CK157" s="2584"/>
      <c r="CL157" s="2584"/>
      <c r="CM157" s="2584"/>
      <c r="CN157" s="2584"/>
      <c r="CO157" s="2584"/>
      <c r="CP157" s="2584"/>
      <c r="CQ157" s="2584"/>
      <c r="CR157" s="2584"/>
      <c r="CS157" s="2584"/>
      <c r="CT157" s="2584"/>
      <c r="CU157" s="2584"/>
      <c r="CV157" s="2584"/>
      <c r="CW157" s="2584"/>
      <c r="CX157" s="2584"/>
      <c r="CY157" s="2584"/>
      <c r="CZ157" s="2584"/>
      <c r="DA157" s="2584"/>
      <c r="DB157" s="2584"/>
      <c r="DC157" s="2584"/>
      <c r="DD157" s="2584"/>
      <c r="DE157" s="2584"/>
      <c r="DF157" s="2584"/>
      <c r="DG157" s="2584"/>
      <c r="DH157" s="2584"/>
      <c r="DI157" s="2584"/>
      <c r="DJ157" s="2584"/>
      <c r="DK157" s="2584"/>
      <c r="DL157" s="2584"/>
      <c r="DM157" s="2584"/>
      <c r="DN157" s="2584"/>
      <c r="DO157" s="2584"/>
      <c r="DP157" s="2584"/>
      <c r="DQ157" s="2584"/>
      <c r="DR157" s="2584"/>
      <c r="DS157" s="2584"/>
      <c r="DT157" s="2584"/>
      <c r="DU157" s="2584"/>
      <c r="DV157" s="2584"/>
      <c r="DW157" s="2584"/>
      <c r="DX157" s="2584"/>
      <c r="DY157" s="2584"/>
      <c r="DZ157" s="2584"/>
      <c r="EA157" s="2584"/>
      <c r="EB157" s="2584"/>
      <c r="EC157" s="2584"/>
      <c r="ED157" s="2584"/>
      <c r="EE157" s="2584"/>
      <c r="EF157" s="2584"/>
      <c r="EG157" s="2584"/>
      <c r="EH157" s="2584"/>
      <c r="EI157" s="2584"/>
      <c r="EJ157" s="2584"/>
      <c r="EK157" s="2584"/>
      <c r="EL157" s="2584"/>
      <c r="EM157" s="2584"/>
      <c r="EN157" s="2584"/>
      <c r="EO157" s="2584"/>
      <c r="EP157" s="2584"/>
      <c r="EQ157" s="2584"/>
      <c r="ER157" s="2584"/>
      <c r="ES157" s="2584"/>
      <c r="ET157" s="2584"/>
      <c r="EU157" s="2584"/>
      <c r="EV157" s="2584"/>
      <c r="EW157" s="2584"/>
      <c r="EX157" s="2584"/>
      <c r="EY157" s="2584"/>
      <c r="EZ157" s="2584"/>
      <c r="FA157" s="2584"/>
      <c r="FB157" s="2584"/>
      <c r="FC157" s="2584"/>
      <c r="FD157" s="2584"/>
      <c r="FE157" s="2584"/>
      <c r="FF157" s="2584"/>
      <c r="FG157" s="2584"/>
      <c r="FH157" s="2584"/>
      <c r="FI157" s="2584"/>
      <c r="FJ157" s="2584"/>
      <c r="FK157" s="2584"/>
      <c r="FL157" s="2584"/>
      <c r="FM157" s="2584"/>
      <c r="FN157" s="2584"/>
      <c r="FO157" s="2584"/>
      <c r="FP157" s="2584"/>
      <c r="FQ157" s="2584"/>
      <c r="FR157" s="2584"/>
      <c r="FS157" s="2584"/>
      <c r="FT157" s="2584"/>
      <c r="FU157" s="2584"/>
      <c r="FV157" s="2584"/>
      <c r="FW157" s="2584"/>
      <c r="FX157" s="2584"/>
      <c r="FY157" s="2584"/>
      <c r="FZ157" s="2584"/>
      <c r="GA157" s="2584"/>
      <c r="GB157" s="2584"/>
      <c r="GC157" s="2584"/>
      <c r="GD157" s="2584"/>
      <c r="GE157" s="2584"/>
      <c r="GF157" s="2584"/>
      <c r="GG157" s="2584"/>
      <c r="GH157" s="2584"/>
      <c r="GI157" s="2584"/>
      <c r="GJ157" s="2584"/>
      <c r="GK157" s="2584"/>
      <c r="GL157" s="2584"/>
      <c r="GM157" s="2584"/>
      <c r="GN157" s="2584"/>
      <c r="GO157" s="2584"/>
      <c r="GP157" s="2584"/>
      <c r="GQ157" s="2584"/>
      <c r="GR157" s="2584"/>
      <c r="GS157" s="2584"/>
      <c r="GT157" s="2584"/>
      <c r="GU157" s="2584"/>
      <c r="GV157" s="2584"/>
      <c r="GW157" s="2584"/>
      <c r="GX157" s="2584"/>
      <c r="GY157" s="2584"/>
      <c r="GZ157" s="2584"/>
      <c r="HA157" s="2584"/>
      <c r="HB157" s="2584"/>
      <c r="HC157" s="2584"/>
      <c r="HD157" s="2584"/>
      <c r="HE157" s="2584"/>
      <c r="HF157" s="2584"/>
      <c r="HG157" s="2584"/>
      <c r="HH157" s="2584"/>
      <c r="HI157" s="2584"/>
      <c r="HJ157" s="2584"/>
      <c r="HK157" s="2584"/>
      <c r="HL157" s="2584"/>
      <c r="HM157" s="2584"/>
      <c r="HN157" s="2584"/>
      <c r="HO157" s="2584"/>
      <c r="HP157" s="2584"/>
      <c r="HQ157" s="2584"/>
      <c r="HR157" s="2584"/>
      <c r="HS157" s="2584"/>
      <c r="HT157" s="2584"/>
      <c r="HU157" s="2584"/>
      <c r="HV157" s="2584"/>
      <c r="HW157" s="2584"/>
      <c r="HX157" s="2584"/>
      <c r="HY157" s="2584"/>
      <c r="HZ157" s="2584"/>
      <c r="IA157" s="2584"/>
      <c r="IB157" s="2584"/>
      <c r="IC157" s="2584"/>
      <c r="ID157" s="2584"/>
      <c r="IE157" s="2584"/>
      <c r="IF157" s="2584"/>
      <c r="IG157" s="2584"/>
      <c r="IH157" s="2584"/>
      <c r="II157" s="2584"/>
      <c r="IJ157" s="2584"/>
      <c r="IK157" s="2584"/>
      <c r="IL157" s="2584"/>
      <c r="IM157" s="2584"/>
      <c r="IN157" s="2584"/>
      <c r="IO157" s="2584"/>
      <c r="IP157" s="2584"/>
      <c r="IQ157" s="2584"/>
      <c r="IR157" s="2584"/>
      <c r="IS157" s="2584"/>
      <c r="IT157" s="2584"/>
      <c r="IU157" s="2584"/>
      <c r="IV157" s="2584"/>
      <c r="IW157" s="2584"/>
      <c r="IX157" s="2584"/>
      <c r="IY157" s="2584"/>
      <c r="IZ157" s="2584"/>
      <c r="JA157" s="2584"/>
      <c r="JB157" s="2584"/>
      <c r="JC157" s="2584"/>
      <c r="JD157" s="2584"/>
      <c r="JE157" s="2584"/>
      <c r="JF157" s="2584"/>
      <c r="JG157" s="2585"/>
      <c r="JH157" s="1233"/>
      <c r="JI157" s="2248"/>
      <c r="JJ157" s="2248" t="s">
        <v>6108</v>
      </c>
    </row>
    <row r="158" spans="1:270" x14ac:dyDescent="0.2">
      <c r="A158" s="2629">
        <v>8</v>
      </c>
      <c r="B158" s="2912"/>
      <c r="C158" s="2913" t="s">
        <v>3495</v>
      </c>
      <c r="D158" s="2910" t="s">
        <v>5240</v>
      </c>
      <c r="E158" s="2542"/>
      <c r="F158" s="2542"/>
      <c r="G158" s="2542"/>
      <c r="H158" s="2586"/>
      <c r="I158" s="2586"/>
      <c r="J158" s="2586"/>
      <c r="K158" s="2586"/>
      <c r="L158" s="2586"/>
      <c r="M158" s="2586"/>
      <c r="N158" s="2586"/>
      <c r="O158" s="2586"/>
      <c r="P158" s="2586"/>
      <c r="Q158" s="2586"/>
      <c r="R158" s="2587"/>
      <c r="S158" s="2587"/>
      <c r="T158" s="2587"/>
      <c r="U158" s="2587"/>
      <c r="V158" s="2587"/>
      <c r="W158" s="2587"/>
      <c r="X158" s="2587"/>
      <c r="Y158" s="2587"/>
      <c r="Z158" s="2587"/>
      <c r="AA158" s="2587"/>
      <c r="AB158" s="2587"/>
      <c r="AC158" s="2587"/>
      <c r="AD158" s="2587"/>
      <c r="AE158" s="2587"/>
      <c r="AF158" s="2587"/>
      <c r="AG158" s="2587"/>
      <c r="AH158" s="2587"/>
      <c r="AI158" s="2587"/>
      <c r="AJ158" s="2587"/>
      <c r="AK158" s="2587"/>
      <c r="AL158" s="2587"/>
      <c r="AM158" s="2587"/>
      <c r="AN158" s="2587"/>
      <c r="AO158" s="2587"/>
      <c r="AP158" s="2587"/>
      <c r="AQ158" s="2587"/>
      <c r="AR158" s="2587"/>
      <c r="AS158" s="2587"/>
      <c r="AT158" s="2587"/>
      <c r="AU158" s="2587"/>
      <c r="AV158" s="2587"/>
      <c r="AW158" s="2587"/>
      <c r="AX158" s="2587"/>
      <c r="AY158" s="2587"/>
      <c r="AZ158" s="2587"/>
      <c r="BA158" s="2587"/>
      <c r="BB158" s="2587"/>
      <c r="BC158" s="2587"/>
      <c r="BD158" s="2587"/>
      <c r="BE158" s="2587"/>
      <c r="BF158" s="2587"/>
      <c r="BG158" s="2587"/>
      <c r="BH158" s="2587"/>
      <c r="BI158" s="2587"/>
      <c r="BJ158" s="2587"/>
      <c r="BK158" s="2587"/>
      <c r="BL158" s="2587"/>
      <c r="BM158" s="2587"/>
      <c r="BN158" s="2587"/>
      <c r="BO158" s="2587"/>
      <c r="BP158" s="2587"/>
      <c r="BQ158" s="2587"/>
      <c r="BR158" s="2587"/>
      <c r="BS158" s="2587"/>
      <c r="BT158" s="2587"/>
      <c r="BU158" s="2587"/>
      <c r="BV158" s="2587"/>
      <c r="BW158" s="2587"/>
      <c r="BX158" s="2587"/>
      <c r="BY158" s="2587"/>
      <c r="BZ158" s="2587"/>
      <c r="CA158" s="2587"/>
      <c r="CB158" s="2587"/>
      <c r="CC158" s="2587"/>
      <c r="CD158" s="2587"/>
      <c r="CE158" s="2587"/>
      <c r="CF158" s="2587"/>
      <c r="CG158" s="2587"/>
      <c r="CH158" s="2587"/>
      <c r="CI158" s="2587"/>
      <c r="CJ158" s="2587"/>
      <c r="CK158" s="2587"/>
      <c r="CL158" s="2587"/>
      <c r="CM158" s="2587"/>
      <c r="CN158" s="2587"/>
      <c r="CO158" s="2587"/>
      <c r="CP158" s="2587"/>
      <c r="CQ158" s="2587"/>
      <c r="CR158" s="2587"/>
      <c r="CS158" s="2587"/>
      <c r="CT158" s="2587"/>
      <c r="CU158" s="2587"/>
      <c r="CV158" s="2587"/>
      <c r="CW158" s="2587"/>
      <c r="CX158" s="2587"/>
      <c r="CY158" s="2587"/>
      <c r="CZ158" s="2587"/>
      <c r="DA158" s="2587"/>
      <c r="DB158" s="2587"/>
      <c r="DC158" s="2587"/>
      <c r="DD158" s="2587"/>
      <c r="DE158" s="2587"/>
      <c r="DF158" s="2587"/>
      <c r="DG158" s="2587"/>
      <c r="DH158" s="2587"/>
      <c r="DI158" s="2587"/>
      <c r="DJ158" s="2587"/>
      <c r="DK158" s="2587"/>
      <c r="DL158" s="2587"/>
      <c r="DM158" s="2587"/>
      <c r="DN158" s="2587"/>
      <c r="DO158" s="2587"/>
      <c r="DP158" s="2587"/>
      <c r="DQ158" s="2587"/>
      <c r="DR158" s="2587"/>
      <c r="DS158" s="2587"/>
      <c r="DT158" s="2587"/>
      <c r="DU158" s="2587"/>
      <c r="DV158" s="2587"/>
      <c r="DW158" s="2587"/>
      <c r="DX158" s="2587"/>
      <c r="DY158" s="2587"/>
      <c r="DZ158" s="2587"/>
      <c r="EA158" s="2587"/>
      <c r="EB158" s="2587"/>
      <c r="EC158" s="2587"/>
      <c r="ED158" s="2587"/>
      <c r="EE158" s="2587"/>
      <c r="EF158" s="2587"/>
      <c r="EG158" s="2587"/>
      <c r="EH158" s="2587"/>
      <c r="EI158" s="2587"/>
      <c r="EJ158" s="2587"/>
      <c r="EK158" s="2587"/>
      <c r="EL158" s="2587"/>
      <c r="EM158" s="2587"/>
      <c r="EN158" s="2587"/>
      <c r="EO158" s="2587"/>
      <c r="EP158" s="2587"/>
      <c r="EQ158" s="2587"/>
      <c r="ER158" s="2587"/>
      <c r="ES158" s="2587"/>
      <c r="ET158" s="2587"/>
      <c r="EU158" s="2587"/>
      <c r="EV158" s="2587"/>
      <c r="EW158" s="2587"/>
      <c r="EX158" s="2587"/>
      <c r="EY158" s="2587"/>
      <c r="EZ158" s="2587"/>
      <c r="FA158" s="2587"/>
      <c r="FB158" s="2587"/>
      <c r="FC158" s="2587"/>
      <c r="FD158" s="2587"/>
      <c r="FE158" s="2587"/>
      <c r="FF158" s="2587"/>
      <c r="FG158" s="2587"/>
      <c r="FH158" s="2587"/>
      <c r="FI158" s="2587"/>
      <c r="FJ158" s="2587"/>
      <c r="FK158" s="2587"/>
      <c r="FL158" s="2587"/>
      <c r="FM158" s="2587"/>
      <c r="FN158" s="2587"/>
      <c r="FO158" s="2587"/>
      <c r="FP158" s="2587"/>
      <c r="FQ158" s="2587"/>
      <c r="FR158" s="2587"/>
      <c r="FS158" s="2587"/>
      <c r="FT158" s="2587"/>
      <c r="FU158" s="2587"/>
      <c r="FV158" s="2587"/>
      <c r="FW158" s="2587"/>
      <c r="FX158" s="2587"/>
      <c r="FY158" s="2587"/>
      <c r="FZ158" s="2587"/>
      <c r="GA158" s="2587"/>
      <c r="GB158" s="2587"/>
      <c r="GC158" s="2587"/>
      <c r="GD158" s="2587"/>
      <c r="GE158" s="2587"/>
      <c r="GF158" s="2587"/>
      <c r="GG158" s="2587"/>
      <c r="GH158" s="2587"/>
      <c r="GI158" s="2587"/>
      <c r="GJ158" s="2587"/>
      <c r="GK158" s="2587"/>
      <c r="GL158" s="2587"/>
      <c r="GM158" s="2587"/>
      <c r="GN158" s="2587"/>
      <c r="GO158" s="2587"/>
      <c r="GP158" s="2587"/>
      <c r="GQ158" s="2587"/>
      <c r="GR158" s="2587"/>
      <c r="GS158" s="2587"/>
      <c r="GT158" s="2587"/>
      <c r="GU158" s="2587"/>
      <c r="GV158" s="2587"/>
      <c r="GW158" s="2587"/>
      <c r="GX158" s="2587"/>
      <c r="GY158" s="2587"/>
      <c r="GZ158" s="2587"/>
      <c r="HA158" s="2587"/>
      <c r="HB158" s="2587"/>
      <c r="HC158" s="2587"/>
      <c r="HD158" s="2587"/>
      <c r="HE158" s="2587"/>
      <c r="HF158" s="2587"/>
      <c r="HG158" s="2587"/>
      <c r="HH158" s="2587"/>
      <c r="HI158" s="2587"/>
      <c r="HJ158" s="2587"/>
      <c r="HK158" s="2587"/>
      <c r="HL158" s="2587"/>
      <c r="HM158" s="2587"/>
      <c r="HN158" s="2587"/>
      <c r="HO158" s="2587"/>
      <c r="HP158" s="2587"/>
      <c r="HQ158" s="2587"/>
      <c r="HR158" s="2587"/>
      <c r="HS158" s="2587"/>
      <c r="HT158" s="2587"/>
      <c r="HU158" s="2587"/>
      <c r="HV158" s="2587"/>
      <c r="HW158" s="2587"/>
      <c r="HX158" s="2587"/>
      <c r="HY158" s="2587"/>
      <c r="HZ158" s="2587"/>
      <c r="IA158" s="2587"/>
      <c r="IB158" s="2587"/>
      <c r="IC158" s="2587"/>
      <c r="ID158" s="2587"/>
      <c r="IE158" s="2587"/>
      <c r="IF158" s="2587"/>
      <c r="IG158" s="2587"/>
      <c r="IH158" s="2587"/>
      <c r="II158" s="2587"/>
      <c r="IJ158" s="2587"/>
      <c r="IK158" s="2587"/>
      <c r="IL158" s="2587"/>
      <c r="IM158" s="2587"/>
      <c r="IN158" s="2587"/>
      <c r="IO158" s="2587"/>
      <c r="IP158" s="2587"/>
      <c r="IQ158" s="2587"/>
      <c r="IR158" s="2587"/>
      <c r="IS158" s="2587"/>
      <c r="IT158" s="2587"/>
      <c r="IU158" s="2587"/>
      <c r="IV158" s="2587"/>
      <c r="IW158" s="2587"/>
      <c r="IX158" s="2587"/>
      <c r="IY158" s="2587"/>
      <c r="IZ158" s="2587"/>
      <c r="JA158" s="2587"/>
      <c r="JB158" s="2587"/>
      <c r="JC158" s="2587"/>
      <c r="JD158" s="2587"/>
      <c r="JE158" s="2587"/>
      <c r="JF158" s="2587"/>
      <c r="JG158" s="2588"/>
      <c r="JH158" s="2633"/>
      <c r="JI158" s="4294" t="s">
        <v>8876</v>
      </c>
      <c r="JJ158" s="4294" t="s">
        <v>8876</v>
      </c>
    </row>
    <row r="159" spans="1:270" x14ac:dyDescent="0.2">
      <c r="A159" s="1128">
        <v>9</v>
      </c>
      <c r="B159" s="1347" t="str">
        <f si="6" t="shared"/>
        <v/>
      </c>
      <c r="C159" s="1524" t="s">
        <v>3283</v>
      </c>
      <c r="D159" s="1350" t="s">
        <v>5241</v>
      </c>
      <c r="E159" s="2518"/>
      <c r="F159" s="2518"/>
      <c r="G159" s="2518">
        <v>670</v>
      </c>
      <c r="H159" s="2389"/>
      <c r="I159" s="2389"/>
      <c r="J159" s="2389"/>
      <c r="K159" s="2389"/>
      <c r="L159" s="2583"/>
      <c r="M159" s="2583"/>
      <c r="N159" s="2583"/>
      <c r="O159" s="2583"/>
      <c r="P159" s="2583"/>
      <c r="Q159" s="2583"/>
      <c r="R159" s="2584"/>
      <c r="S159" s="2584"/>
      <c r="T159" s="2584"/>
      <c r="U159" s="2584"/>
      <c r="V159" s="2584"/>
      <c r="W159" s="2584"/>
      <c r="X159" s="2584"/>
      <c r="Y159" s="2584"/>
      <c r="Z159" s="2584"/>
      <c r="AA159" s="2584"/>
      <c r="AB159" s="2584"/>
      <c r="AC159" s="2584"/>
      <c r="AD159" s="2584"/>
      <c r="AE159" s="2584"/>
      <c r="AF159" s="2584"/>
      <c r="AG159" s="2584"/>
      <c r="AH159" s="2584"/>
      <c r="AI159" s="2584"/>
      <c r="AJ159" s="2584"/>
      <c r="AK159" s="2584"/>
      <c r="AL159" s="2584"/>
      <c r="AM159" s="2584"/>
      <c r="AN159" s="2584"/>
      <c r="AO159" s="2584"/>
      <c r="AP159" s="2584"/>
      <c r="AQ159" s="2584"/>
      <c r="AR159" s="2584"/>
      <c r="AS159" s="2584"/>
      <c r="AT159" s="2584"/>
      <c r="AU159" s="2584"/>
      <c r="AV159" s="2584"/>
      <c r="AW159" s="2584"/>
      <c r="AX159" s="2584"/>
      <c r="AY159" s="2584"/>
      <c r="AZ159" s="2584"/>
      <c r="BA159" s="2584"/>
      <c r="BB159" s="2584"/>
      <c r="BC159" s="2584"/>
      <c r="BD159" s="2584"/>
      <c r="BE159" s="2584"/>
      <c r="BF159" s="2584"/>
      <c r="BG159" s="2584"/>
      <c r="BH159" s="2584"/>
      <c r="BI159" s="2584"/>
      <c r="BJ159" s="2584"/>
      <c r="BK159" s="2584"/>
      <c r="BL159" s="2584"/>
      <c r="BM159" s="2584"/>
      <c r="BN159" s="2584"/>
      <c r="BO159" s="2584"/>
      <c r="BP159" s="2584"/>
      <c r="BQ159" s="2584"/>
      <c r="BR159" s="2584"/>
      <c r="BS159" s="2584"/>
      <c r="BT159" s="2584"/>
      <c r="BU159" s="2584"/>
      <c r="BV159" s="2584"/>
      <c r="BW159" s="2584"/>
      <c r="BX159" s="2584"/>
      <c r="BY159" s="2584"/>
      <c r="BZ159" s="2584"/>
      <c r="CA159" s="2584"/>
      <c r="CB159" s="2584"/>
      <c r="CC159" s="2584"/>
      <c r="CD159" s="2584"/>
      <c r="CE159" s="2584"/>
      <c r="CF159" s="2584"/>
      <c r="CG159" s="2584"/>
      <c r="CH159" s="2584"/>
      <c r="CI159" s="2584"/>
      <c r="CJ159" s="2584"/>
      <c r="CK159" s="2584"/>
      <c r="CL159" s="2584"/>
      <c r="CM159" s="2584"/>
      <c r="CN159" s="2584"/>
      <c r="CO159" s="2584"/>
      <c r="CP159" s="2584"/>
      <c r="CQ159" s="2584"/>
      <c r="CR159" s="2584"/>
      <c r="CS159" s="2584"/>
      <c r="CT159" s="2584"/>
      <c r="CU159" s="2584"/>
      <c r="CV159" s="2584"/>
      <c r="CW159" s="2584"/>
      <c r="CX159" s="2584"/>
      <c r="CY159" s="2584"/>
      <c r="CZ159" s="2584"/>
      <c r="DA159" s="2584"/>
      <c r="DB159" s="2584"/>
      <c r="DC159" s="2584"/>
      <c r="DD159" s="2584"/>
      <c r="DE159" s="2584"/>
      <c r="DF159" s="2584"/>
      <c r="DG159" s="2584"/>
      <c r="DH159" s="2584"/>
      <c r="DI159" s="2584"/>
      <c r="DJ159" s="2584"/>
      <c r="DK159" s="2584"/>
      <c r="DL159" s="2584"/>
      <c r="DM159" s="2584"/>
      <c r="DN159" s="2584"/>
      <c r="DO159" s="2584"/>
      <c r="DP159" s="2584"/>
      <c r="DQ159" s="2584"/>
      <c r="DR159" s="2584"/>
      <c r="DS159" s="2584"/>
      <c r="DT159" s="2584"/>
      <c r="DU159" s="2584"/>
      <c r="DV159" s="2584"/>
      <c r="DW159" s="2584"/>
      <c r="DX159" s="2584"/>
      <c r="DY159" s="2584"/>
      <c r="DZ159" s="2584"/>
      <c r="EA159" s="2584"/>
      <c r="EB159" s="2584"/>
      <c r="EC159" s="2584"/>
      <c r="ED159" s="2584"/>
      <c r="EE159" s="2584"/>
      <c r="EF159" s="2584"/>
      <c r="EG159" s="2584"/>
      <c r="EH159" s="2584"/>
      <c r="EI159" s="2584"/>
      <c r="EJ159" s="2584"/>
      <c r="EK159" s="2584"/>
      <c r="EL159" s="2584"/>
      <c r="EM159" s="2584"/>
      <c r="EN159" s="2584"/>
      <c r="EO159" s="2584"/>
      <c r="EP159" s="2584"/>
      <c r="EQ159" s="2584"/>
      <c r="ER159" s="2584"/>
      <c r="ES159" s="2584"/>
      <c r="ET159" s="2584"/>
      <c r="EU159" s="2584"/>
      <c r="EV159" s="2584"/>
      <c r="EW159" s="2584"/>
      <c r="EX159" s="2584"/>
      <c r="EY159" s="2584"/>
      <c r="EZ159" s="2584"/>
      <c r="FA159" s="2584"/>
      <c r="FB159" s="2584"/>
      <c r="FC159" s="2584"/>
      <c r="FD159" s="2584"/>
      <c r="FE159" s="2584"/>
      <c r="FF159" s="2584"/>
      <c r="FG159" s="2584"/>
      <c r="FH159" s="2584"/>
      <c r="FI159" s="2584"/>
      <c r="FJ159" s="2584"/>
      <c r="FK159" s="2584"/>
      <c r="FL159" s="2584"/>
      <c r="FM159" s="2584"/>
      <c r="FN159" s="2584"/>
      <c r="FO159" s="2584"/>
      <c r="FP159" s="2584"/>
      <c r="FQ159" s="2584"/>
      <c r="FR159" s="2584"/>
      <c r="FS159" s="2584"/>
      <c r="FT159" s="2584"/>
      <c r="FU159" s="2584"/>
      <c r="FV159" s="2584"/>
      <c r="FW159" s="2584"/>
      <c r="FX159" s="2584"/>
      <c r="FY159" s="2584"/>
      <c r="FZ159" s="2584"/>
      <c r="GA159" s="2584"/>
      <c r="GB159" s="2584"/>
      <c r="GC159" s="2584"/>
      <c r="GD159" s="2584"/>
      <c r="GE159" s="2584"/>
      <c r="GF159" s="2584"/>
      <c r="GG159" s="2584"/>
      <c r="GH159" s="2584"/>
      <c r="GI159" s="2584"/>
      <c r="GJ159" s="2584"/>
      <c r="GK159" s="2584"/>
      <c r="GL159" s="2584"/>
      <c r="GM159" s="2584"/>
      <c r="GN159" s="2584"/>
      <c r="GO159" s="2584"/>
      <c r="GP159" s="2584"/>
      <c r="GQ159" s="2584"/>
      <c r="GR159" s="2584"/>
      <c r="GS159" s="2584"/>
      <c r="GT159" s="2584"/>
      <c r="GU159" s="2584"/>
      <c r="GV159" s="2584"/>
      <c r="GW159" s="2584"/>
      <c r="GX159" s="2584"/>
      <c r="GY159" s="2584"/>
      <c r="GZ159" s="2584"/>
      <c r="HA159" s="2584"/>
      <c r="HB159" s="2584"/>
      <c r="HC159" s="2584"/>
      <c r="HD159" s="2584"/>
      <c r="HE159" s="2584"/>
      <c r="HF159" s="2584"/>
      <c r="HG159" s="2584"/>
      <c r="HH159" s="2584"/>
      <c r="HI159" s="2584"/>
      <c r="HJ159" s="2584"/>
      <c r="HK159" s="2584"/>
      <c r="HL159" s="2584"/>
      <c r="HM159" s="2584"/>
      <c r="HN159" s="2584"/>
      <c r="HO159" s="2584"/>
      <c r="HP159" s="2584"/>
      <c r="HQ159" s="2584"/>
      <c r="HR159" s="2584"/>
      <c r="HS159" s="2584"/>
      <c r="HT159" s="2584"/>
      <c r="HU159" s="2584"/>
      <c r="HV159" s="2584"/>
      <c r="HW159" s="2584"/>
      <c r="HX159" s="2584"/>
      <c r="HY159" s="2584"/>
      <c r="HZ159" s="2584"/>
      <c r="IA159" s="2584"/>
      <c r="IB159" s="2584"/>
      <c r="IC159" s="2584"/>
      <c r="ID159" s="2584"/>
      <c r="IE159" s="2584"/>
      <c r="IF159" s="2584"/>
      <c r="IG159" s="2584"/>
      <c r="IH159" s="2584"/>
      <c r="II159" s="2584"/>
      <c r="IJ159" s="2584"/>
      <c r="IK159" s="2584"/>
      <c r="IL159" s="2584"/>
      <c r="IM159" s="2584"/>
      <c r="IN159" s="2584"/>
      <c r="IO159" s="2584"/>
      <c r="IP159" s="2584"/>
      <c r="IQ159" s="2584"/>
      <c r="IR159" s="2584"/>
      <c r="IS159" s="2584"/>
      <c r="IT159" s="2584"/>
      <c r="IU159" s="2584"/>
      <c r="IV159" s="2584"/>
      <c r="IW159" s="2584"/>
      <c r="IX159" s="2584"/>
      <c r="IY159" s="2584"/>
      <c r="IZ159" s="2584"/>
      <c r="JA159" s="2584"/>
      <c r="JB159" s="2584"/>
      <c r="JC159" s="2584"/>
      <c r="JD159" s="2584"/>
      <c r="JE159" s="2584"/>
      <c r="JF159" s="2584"/>
      <c r="JG159" s="2585"/>
      <c r="JH159" s="1233"/>
      <c r="JI159" s="2248"/>
      <c r="JJ159" s="2248" t="s">
        <v>6108</v>
      </c>
    </row>
    <row r="160" spans="1:270" x14ac:dyDescent="0.2">
      <c r="A160" s="1128">
        <v>10</v>
      </c>
      <c r="B160" s="1347" t="str">
        <f si="6" t="shared"/>
        <v/>
      </c>
      <c r="C160" s="1524" t="s">
        <v>3284</v>
      </c>
      <c r="D160" s="1350" t="s">
        <v>5242</v>
      </c>
      <c r="E160" s="2518"/>
      <c r="F160" s="2518">
        <v>912</v>
      </c>
      <c r="G160" s="2518"/>
      <c r="H160" s="2389">
        <v>678</v>
      </c>
      <c r="I160" s="2389">
        <v>1264</v>
      </c>
      <c r="J160" s="2389">
        <v>5635</v>
      </c>
      <c r="K160" s="2389"/>
      <c r="L160" s="2583"/>
      <c r="M160" s="2583"/>
      <c r="N160" s="2583"/>
      <c r="O160" s="2583"/>
      <c r="P160" s="2583"/>
      <c r="Q160" s="2583"/>
      <c r="R160" s="2584"/>
      <c r="S160" s="2584"/>
      <c r="T160" s="2584"/>
      <c r="U160" s="2584"/>
      <c r="V160" s="2584"/>
      <c r="W160" s="2584"/>
      <c r="X160" s="2584"/>
      <c r="Y160" s="2584"/>
      <c r="Z160" s="2584"/>
      <c r="AA160" s="2584"/>
      <c r="AB160" s="2584"/>
      <c r="AC160" s="2584"/>
      <c r="AD160" s="2584"/>
      <c r="AE160" s="2584"/>
      <c r="AF160" s="2584"/>
      <c r="AG160" s="2584"/>
      <c r="AH160" s="2584"/>
      <c r="AI160" s="2584"/>
      <c r="AJ160" s="2584"/>
      <c r="AK160" s="2584"/>
      <c r="AL160" s="2584"/>
      <c r="AM160" s="2584"/>
      <c r="AN160" s="2584"/>
      <c r="AO160" s="2584"/>
      <c r="AP160" s="2584"/>
      <c r="AQ160" s="2584"/>
      <c r="AR160" s="2584"/>
      <c r="AS160" s="2584"/>
      <c r="AT160" s="2584"/>
      <c r="AU160" s="2584"/>
      <c r="AV160" s="2584"/>
      <c r="AW160" s="2584"/>
      <c r="AX160" s="2584"/>
      <c r="AY160" s="2584"/>
      <c r="AZ160" s="2584"/>
      <c r="BA160" s="2584"/>
      <c r="BB160" s="2584"/>
      <c r="BC160" s="2584"/>
      <c r="BD160" s="2584"/>
      <c r="BE160" s="2584"/>
      <c r="BF160" s="2584"/>
      <c r="BG160" s="2584"/>
      <c r="BH160" s="2584"/>
      <c r="BI160" s="2584"/>
      <c r="BJ160" s="2584"/>
      <c r="BK160" s="2584"/>
      <c r="BL160" s="2584"/>
      <c r="BM160" s="2584"/>
      <c r="BN160" s="2584"/>
      <c r="BO160" s="2584"/>
      <c r="BP160" s="2584"/>
      <c r="BQ160" s="2584"/>
      <c r="BR160" s="2584"/>
      <c r="BS160" s="2584"/>
      <c r="BT160" s="2584"/>
      <c r="BU160" s="2584"/>
      <c r="BV160" s="2584"/>
      <c r="BW160" s="2584"/>
      <c r="BX160" s="2584"/>
      <c r="BY160" s="2584"/>
      <c r="BZ160" s="2584"/>
      <c r="CA160" s="2584"/>
      <c r="CB160" s="2584"/>
      <c r="CC160" s="2584"/>
      <c r="CD160" s="2584"/>
      <c r="CE160" s="2584"/>
      <c r="CF160" s="2584"/>
      <c r="CG160" s="2584"/>
      <c r="CH160" s="2584"/>
      <c r="CI160" s="2584"/>
      <c r="CJ160" s="2584"/>
      <c r="CK160" s="2584"/>
      <c r="CL160" s="2584"/>
      <c r="CM160" s="2584"/>
      <c r="CN160" s="2584"/>
      <c r="CO160" s="2584"/>
      <c r="CP160" s="2584"/>
      <c r="CQ160" s="2584"/>
      <c r="CR160" s="2584"/>
      <c r="CS160" s="2584"/>
      <c r="CT160" s="2584"/>
      <c r="CU160" s="2584"/>
      <c r="CV160" s="2584"/>
      <c r="CW160" s="2584"/>
      <c r="CX160" s="2584"/>
      <c r="CY160" s="2584"/>
      <c r="CZ160" s="2584"/>
      <c r="DA160" s="2584"/>
      <c r="DB160" s="2584"/>
      <c r="DC160" s="2584"/>
      <c r="DD160" s="2584"/>
      <c r="DE160" s="2584"/>
      <c r="DF160" s="2584"/>
      <c r="DG160" s="2584"/>
      <c r="DH160" s="2584"/>
      <c r="DI160" s="2584"/>
      <c r="DJ160" s="2584"/>
      <c r="DK160" s="2584"/>
      <c r="DL160" s="2584"/>
      <c r="DM160" s="2584"/>
      <c r="DN160" s="2584"/>
      <c r="DO160" s="2584"/>
      <c r="DP160" s="2584"/>
      <c r="DQ160" s="2584"/>
      <c r="DR160" s="2584"/>
      <c r="DS160" s="2584"/>
      <c r="DT160" s="2584"/>
      <c r="DU160" s="2584"/>
      <c r="DV160" s="2584"/>
      <c r="DW160" s="2584"/>
      <c r="DX160" s="2584"/>
      <c r="DY160" s="2584"/>
      <c r="DZ160" s="2584"/>
      <c r="EA160" s="2584"/>
      <c r="EB160" s="2584"/>
      <c r="EC160" s="2584"/>
      <c r="ED160" s="2584"/>
      <c r="EE160" s="2584"/>
      <c r="EF160" s="2584"/>
      <c r="EG160" s="2584"/>
      <c r="EH160" s="2584"/>
      <c r="EI160" s="2584"/>
      <c r="EJ160" s="2584"/>
      <c r="EK160" s="2584"/>
      <c r="EL160" s="2584"/>
      <c r="EM160" s="2584"/>
      <c r="EN160" s="2584"/>
      <c r="EO160" s="2584"/>
      <c r="EP160" s="2584"/>
      <c r="EQ160" s="2584"/>
      <c r="ER160" s="2584"/>
      <c r="ES160" s="2584"/>
      <c r="ET160" s="2584"/>
      <c r="EU160" s="2584"/>
      <c r="EV160" s="2584"/>
      <c r="EW160" s="2584"/>
      <c r="EX160" s="2584"/>
      <c r="EY160" s="2584"/>
      <c r="EZ160" s="2584"/>
      <c r="FA160" s="2584"/>
      <c r="FB160" s="2584"/>
      <c r="FC160" s="2584"/>
      <c r="FD160" s="2584"/>
      <c r="FE160" s="2584"/>
      <c r="FF160" s="2584"/>
      <c r="FG160" s="2584"/>
      <c r="FH160" s="2584"/>
      <c r="FI160" s="2584"/>
      <c r="FJ160" s="2584"/>
      <c r="FK160" s="2584"/>
      <c r="FL160" s="2584"/>
      <c r="FM160" s="2584"/>
      <c r="FN160" s="2584"/>
      <c r="FO160" s="2584"/>
      <c r="FP160" s="2584"/>
      <c r="FQ160" s="2584"/>
      <c r="FR160" s="2584"/>
      <c r="FS160" s="2584"/>
      <c r="FT160" s="2584"/>
      <c r="FU160" s="2584"/>
      <c r="FV160" s="2584"/>
      <c r="FW160" s="2584"/>
      <c r="FX160" s="2584"/>
      <c r="FY160" s="2584"/>
      <c r="FZ160" s="2584"/>
      <c r="GA160" s="2584"/>
      <c r="GB160" s="2584"/>
      <c r="GC160" s="2584"/>
      <c r="GD160" s="2584"/>
      <c r="GE160" s="2584"/>
      <c r="GF160" s="2584"/>
      <c r="GG160" s="2584"/>
      <c r="GH160" s="2584"/>
      <c r="GI160" s="2584"/>
      <c r="GJ160" s="2584"/>
      <c r="GK160" s="2584"/>
      <c r="GL160" s="2584"/>
      <c r="GM160" s="2584"/>
      <c r="GN160" s="2584"/>
      <c r="GO160" s="2584"/>
      <c r="GP160" s="2584"/>
      <c r="GQ160" s="2584"/>
      <c r="GR160" s="2584"/>
      <c r="GS160" s="2584"/>
      <c r="GT160" s="2584"/>
      <c r="GU160" s="2584"/>
      <c r="GV160" s="2584"/>
      <c r="GW160" s="2584"/>
      <c r="GX160" s="2584"/>
      <c r="GY160" s="2584"/>
      <c r="GZ160" s="2584"/>
      <c r="HA160" s="2584"/>
      <c r="HB160" s="2584"/>
      <c r="HC160" s="2584"/>
      <c r="HD160" s="2584"/>
      <c r="HE160" s="2584"/>
      <c r="HF160" s="2584"/>
      <c r="HG160" s="2584"/>
      <c r="HH160" s="2584"/>
      <c r="HI160" s="2584"/>
      <c r="HJ160" s="2584"/>
      <c r="HK160" s="2584"/>
      <c r="HL160" s="2584"/>
      <c r="HM160" s="2584"/>
      <c r="HN160" s="2584"/>
      <c r="HO160" s="2584"/>
      <c r="HP160" s="2584"/>
      <c r="HQ160" s="2584"/>
      <c r="HR160" s="2584"/>
      <c r="HS160" s="2584"/>
      <c r="HT160" s="2584"/>
      <c r="HU160" s="2584"/>
      <c r="HV160" s="2584"/>
      <c r="HW160" s="2584"/>
      <c r="HX160" s="2584"/>
      <c r="HY160" s="2584"/>
      <c r="HZ160" s="2584"/>
      <c r="IA160" s="2584"/>
      <c r="IB160" s="2584"/>
      <c r="IC160" s="2584"/>
      <c r="ID160" s="2584"/>
      <c r="IE160" s="2584"/>
      <c r="IF160" s="2584"/>
      <c r="IG160" s="2584"/>
      <c r="IH160" s="2584"/>
      <c r="II160" s="2584"/>
      <c r="IJ160" s="2584"/>
      <c r="IK160" s="2584"/>
      <c r="IL160" s="2584"/>
      <c r="IM160" s="2584"/>
      <c r="IN160" s="2584"/>
      <c r="IO160" s="2584"/>
      <c r="IP160" s="2584"/>
      <c r="IQ160" s="2584"/>
      <c r="IR160" s="2584"/>
      <c r="IS160" s="2584"/>
      <c r="IT160" s="2584"/>
      <c r="IU160" s="2584"/>
      <c r="IV160" s="2584"/>
      <c r="IW160" s="2584"/>
      <c r="IX160" s="2584"/>
      <c r="IY160" s="2584"/>
      <c r="IZ160" s="2584"/>
      <c r="JA160" s="2584"/>
      <c r="JB160" s="2584"/>
      <c r="JC160" s="2584"/>
      <c r="JD160" s="2584"/>
      <c r="JE160" s="2584"/>
      <c r="JF160" s="2584"/>
      <c r="JG160" s="2585"/>
      <c r="JH160" s="1233"/>
      <c r="JI160" s="2248"/>
      <c r="JJ160" s="2248" t="s">
        <v>6108</v>
      </c>
    </row>
    <row r="161" spans="1:270" x14ac:dyDescent="0.2">
      <c r="A161" s="2629">
        <v>11</v>
      </c>
      <c r="B161" s="2912"/>
      <c r="C161" s="2913" t="s">
        <v>3285</v>
      </c>
      <c r="D161" s="2910" t="s">
        <v>5243</v>
      </c>
      <c r="E161" s="2542"/>
      <c r="F161" s="2542"/>
      <c r="G161" s="2542"/>
      <c r="H161" s="2586"/>
      <c r="I161" s="2586"/>
      <c r="J161" s="2586"/>
      <c r="K161" s="2586"/>
      <c r="L161" s="2586"/>
      <c r="M161" s="2586"/>
      <c r="N161" s="2586"/>
      <c r="O161" s="2586"/>
      <c r="P161" s="2586"/>
      <c r="Q161" s="2586"/>
      <c r="R161" s="2587"/>
      <c r="S161" s="2587"/>
      <c r="T161" s="2587"/>
      <c r="U161" s="2587"/>
      <c r="V161" s="2587"/>
      <c r="W161" s="2587"/>
      <c r="X161" s="2587"/>
      <c r="Y161" s="2587"/>
      <c r="Z161" s="2587"/>
      <c r="AA161" s="2587"/>
      <c r="AB161" s="2587"/>
      <c r="AC161" s="2587"/>
      <c r="AD161" s="2587"/>
      <c r="AE161" s="2587"/>
      <c r="AF161" s="2587"/>
      <c r="AG161" s="2587"/>
      <c r="AH161" s="2587"/>
      <c r="AI161" s="2587"/>
      <c r="AJ161" s="2587"/>
      <c r="AK161" s="2587"/>
      <c r="AL161" s="2587"/>
      <c r="AM161" s="2587"/>
      <c r="AN161" s="2587"/>
      <c r="AO161" s="2587"/>
      <c r="AP161" s="2587"/>
      <c r="AQ161" s="2587"/>
      <c r="AR161" s="2587"/>
      <c r="AS161" s="2587"/>
      <c r="AT161" s="2587"/>
      <c r="AU161" s="2587"/>
      <c r="AV161" s="2587"/>
      <c r="AW161" s="2587"/>
      <c r="AX161" s="2587"/>
      <c r="AY161" s="2587"/>
      <c r="AZ161" s="2587"/>
      <c r="BA161" s="2587"/>
      <c r="BB161" s="2587"/>
      <c r="BC161" s="2587"/>
      <c r="BD161" s="2587"/>
      <c r="BE161" s="2587"/>
      <c r="BF161" s="2587"/>
      <c r="BG161" s="2587"/>
      <c r="BH161" s="2587"/>
      <c r="BI161" s="2587"/>
      <c r="BJ161" s="2587"/>
      <c r="BK161" s="2587"/>
      <c r="BL161" s="2587"/>
      <c r="BM161" s="2587"/>
      <c r="BN161" s="2587"/>
      <c r="BO161" s="2587"/>
      <c r="BP161" s="2587"/>
      <c r="BQ161" s="2587"/>
      <c r="BR161" s="2587"/>
      <c r="BS161" s="2587"/>
      <c r="BT161" s="2587"/>
      <c r="BU161" s="2587"/>
      <c r="BV161" s="2587"/>
      <c r="BW161" s="2587"/>
      <c r="BX161" s="2587"/>
      <c r="BY161" s="2587"/>
      <c r="BZ161" s="2587"/>
      <c r="CA161" s="2587"/>
      <c r="CB161" s="2587"/>
      <c r="CC161" s="2587"/>
      <c r="CD161" s="2587"/>
      <c r="CE161" s="2587"/>
      <c r="CF161" s="2587"/>
      <c r="CG161" s="2587"/>
      <c r="CH161" s="2587"/>
      <c r="CI161" s="2587"/>
      <c r="CJ161" s="2587"/>
      <c r="CK161" s="2587"/>
      <c r="CL161" s="2587"/>
      <c r="CM161" s="2587"/>
      <c r="CN161" s="2587"/>
      <c r="CO161" s="2587"/>
      <c r="CP161" s="2587"/>
      <c r="CQ161" s="2587"/>
      <c r="CR161" s="2587"/>
      <c r="CS161" s="2587"/>
      <c r="CT161" s="2587"/>
      <c r="CU161" s="2587"/>
      <c r="CV161" s="2587"/>
      <c r="CW161" s="2587"/>
      <c r="CX161" s="2587"/>
      <c r="CY161" s="2587"/>
      <c r="CZ161" s="2587"/>
      <c r="DA161" s="2587"/>
      <c r="DB161" s="2587"/>
      <c r="DC161" s="2587"/>
      <c r="DD161" s="2587"/>
      <c r="DE161" s="2587"/>
      <c r="DF161" s="2587"/>
      <c r="DG161" s="2587"/>
      <c r="DH161" s="2587"/>
      <c r="DI161" s="2587"/>
      <c r="DJ161" s="2587"/>
      <c r="DK161" s="2587"/>
      <c r="DL161" s="2587"/>
      <c r="DM161" s="2587"/>
      <c r="DN161" s="2587"/>
      <c r="DO161" s="2587"/>
      <c r="DP161" s="2587"/>
      <c r="DQ161" s="2587"/>
      <c r="DR161" s="2587"/>
      <c r="DS161" s="2587"/>
      <c r="DT161" s="2587"/>
      <c r="DU161" s="2587"/>
      <c r="DV161" s="2587"/>
      <c r="DW161" s="2587"/>
      <c r="DX161" s="2587"/>
      <c r="DY161" s="2587"/>
      <c r="DZ161" s="2587"/>
      <c r="EA161" s="2587"/>
      <c r="EB161" s="2587"/>
      <c r="EC161" s="2587"/>
      <c r="ED161" s="2587"/>
      <c r="EE161" s="2587"/>
      <c r="EF161" s="2587"/>
      <c r="EG161" s="2587"/>
      <c r="EH161" s="2587"/>
      <c r="EI161" s="2587"/>
      <c r="EJ161" s="2587"/>
      <c r="EK161" s="2587"/>
      <c r="EL161" s="2587"/>
      <c r="EM161" s="2587"/>
      <c r="EN161" s="2587"/>
      <c r="EO161" s="2587"/>
      <c r="EP161" s="2587"/>
      <c r="EQ161" s="2587"/>
      <c r="ER161" s="2587"/>
      <c r="ES161" s="2587"/>
      <c r="ET161" s="2587"/>
      <c r="EU161" s="2587"/>
      <c r="EV161" s="2587"/>
      <c r="EW161" s="2587"/>
      <c r="EX161" s="2587"/>
      <c r="EY161" s="2587"/>
      <c r="EZ161" s="2587"/>
      <c r="FA161" s="2587"/>
      <c r="FB161" s="2587"/>
      <c r="FC161" s="2587"/>
      <c r="FD161" s="2587"/>
      <c r="FE161" s="2587"/>
      <c r="FF161" s="2587"/>
      <c r="FG161" s="2587"/>
      <c r="FH161" s="2587"/>
      <c r="FI161" s="2587"/>
      <c r="FJ161" s="2587"/>
      <c r="FK161" s="2587"/>
      <c r="FL161" s="2587"/>
      <c r="FM161" s="2587"/>
      <c r="FN161" s="2587"/>
      <c r="FO161" s="2587"/>
      <c r="FP161" s="2587"/>
      <c r="FQ161" s="2587"/>
      <c r="FR161" s="2587"/>
      <c r="FS161" s="2587"/>
      <c r="FT161" s="2587"/>
      <c r="FU161" s="2587"/>
      <c r="FV161" s="2587"/>
      <c r="FW161" s="2587"/>
      <c r="FX161" s="2587"/>
      <c r="FY161" s="2587"/>
      <c r="FZ161" s="2587"/>
      <c r="GA161" s="2587"/>
      <c r="GB161" s="2587"/>
      <c r="GC161" s="2587"/>
      <c r="GD161" s="2587"/>
      <c r="GE161" s="2587"/>
      <c r="GF161" s="2587"/>
      <c r="GG161" s="2587"/>
      <c r="GH161" s="2587"/>
      <c r="GI161" s="2587"/>
      <c r="GJ161" s="2587"/>
      <c r="GK161" s="2587"/>
      <c r="GL161" s="2587"/>
      <c r="GM161" s="2587"/>
      <c r="GN161" s="2587"/>
      <c r="GO161" s="2587"/>
      <c r="GP161" s="2587"/>
      <c r="GQ161" s="2587"/>
      <c r="GR161" s="2587"/>
      <c r="GS161" s="2587"/>
      <c r="GT161" s="2587"/>
      <c r="GU161" s="2587"/>
      <c r="GV161" s="2587"/>
      <c r="GW161" s="2587"/>
      <c r="GX161" s="2587"/>
      <c r="GY161" s="2587"/>
      <c r="GZ161" s="2587"/>
      <c r="HA161" s="2587"/>
      <c r="HB161" s="2587"/>
      <c r="HC161" s="2587"/>
      <c r="HD161" s="2587"/>
      <c r="HE161" s="2587"/>
      <c r="HF161" s="2587"/>
      <c r="HG161" s="2587"/>
      <c r="HH161" s="2587"/>
      <c r="HI161" s="2587"/>
      <c r="HJ161" s="2587"/>
      <c r="HK161" s="2587"/>
      <c r="HL161" s="2587"/>
      <c r="HM161" s="2587"/>
      <c r="HN161" s="2587"/>
      <c r="HO161" s="2587"/>
      <c r="HP161" s="2587"/>
      <c r="HQ161" s="2587"/>
      <c r="HR161" s="2587"/>
      <c r="HS161" s="2587"/>
      <c r="HT161" s="2587"/>
      <c r="HU161" s="2587"/>
      <c r="HV161" s="2587"/>
      <c r="HW161" s="2587"/>
      <c r="HX161" s="2587"/>
      <c r="HY161" s="2587"/>
      <c r="HZ161" s="2587"/>
      <c r="IA161" s="2587"/>
      <c r="IB161" s="2587"/>
      <c r="IC161" s="2587"/>
      <c r="ID161" s="2587"/>
      <c r="IE161" s="2587"/>
      <c r="IF161" s="2587"/>
      <c r="IG161" s="2587"/>
      <c r="IH161" s="2587"/>
      <c r="II161" s="2587"/>
      <c r="IJ161" s="2587"/>
      <c r="IK161" s="2587"/>
      <c r="IL161" s="2587"/>
      <c r="IM161" s="2587"/>
      <c r="IN161" s="2587"/>
      <c r="IO161" s="2587"/>
      <c r="IP161" s="2587"/>
      <c r="IQ161" s="2587"/>
      <c r="IR161" s="2587"/>
      <c r="IS161" s="2587"/>
      <c r="IT161" s="2587"/>
      <c r="IU161" s="2587"/>
      <c r="IV161" s="2587"/>
      <c r="IW161" s="2587"/>
      <c r="IX161" s="2587"/>
      <c r="IY161" s="2587"/>
      <c r="IZ161" s="2587"/>
      <c r="JA161" s="2587"/>
      <c r="JB161" s="2587"/>
      <c r="JC161" s="2587"/>
      <c r="JD161" s="2587"/>
      <c r="JE161" s="2587"/>
      <c r="JF161" s="2587"/>
      <c r="JG161" s="2588"/>
      <c r="JH161" s="2633"/>
      <c r="JI161" s="4294" t="s">
        <v>8876</v>
      </c>
      <c r="JJ161" s="4294" t="s">
        <v>8876</v>
      </c>
    </row>
    <row r="162" spans="1:270" x14ac:dyDescent="0.2">
      <c r="A162" s="1128">
        <v>12</v>
      </c>
      <c r="B162" s="1347" t="str">
        <f si="6" t="shared"/>
        <v/>
      </c>
      <c r="C162" s="1278" t="s">
        <v>3286</v>
      </c>
      <c r="D162" s="1350" t="s">
        <v>5244</v>
      </c>
      <c r="E162" s="2513"/>
      <c r="F162" s="2514">
        <f ref="F162:K162" si="8" t="shared">F157+F159+F160</f>
        <v>2820</v>
      </c>
      <c r="G162" s="2514">
        <f si="8" t="shared"/>
        <v>3656</v>
      </c>
      <c r="H162" s="2514">
        <f si="8" t="shared"/>
        <v>678</v>
      </c>
      <c r="I162" s="2514">
        <f si="8" t="shared"/>
        <v>1264</v>
      </c>
      <c r="J162" s="2514">
        <f si="8" t="shared"/>
        <v>5635</v>
      </c>
      <c r="K162" s="2514">
        <f si="8" t="shared"/>
        <v>0</v>
      </c>
      <c r="L162" s="2515"/>
      <c r="M162" s="2515"/>
      <c r="N162" s="2515"/>
      <c r="O162" s="2515"/>
      <c r="P162" s="2515"/>
      <c r="Q162" s="2515"/>
      <c r="R162" s="2516"/>
      <c r="S162" s="2516"/>
      <c r="T162" s="2516"/>
      <c r="U162" s="2516"/>
      <c r="V162" s="2516"/>
      <c r="W162" s="2516"/>
      <c r="X162" s="2516"/>
      <c r="Y162" s="2516"/>
      <c r="Z162" s="2516"/>
      <c r="AA162" s="2516"/>
      <c r="AB162" s="2516"/>
      <c r="AC162" s="2516"/>
      <c r="AD162" s="2516"/>
      <c r="AE162" s="2516"/>
      <c r="AF162" s="2516"/>
      <c r="AG162" s="2516"/>
      <c r="AH162" s="2516"/>
      <c r="AI162" s="2516"/>
      <c r="AJ162" s="2516"/>
      <c r="AK162" s="2516"/>
      <c r="AL162" s="2516"/>
      <c r="AM162" s="2516"/>
      <c r="AN162" s="2516"/>
      <c r="AO162" s="2516"/>
      <c r="AP162" s="2516"/>
      <c r="AQ162" s="2516"/>
      <c r="AR162" s="2516"/>
      <c r="AS162" s="2516"/>
      <c r="AT162" s="2516"/>
      <c r="AU162" s="2516"/>
      <c r="AV162" s="2516"/>
      <c r="AW162" s="2516"/>
      <c r="AX162" s="2516"/>
      <c r="AY162" s="2516"/>
      <c r="AZ162" s="2516"/>
      <c r="BA162" s="2516"/>
      <c r="BB162" s="2516"/>
      <c r="BC162" s="2516"/>
      <c r="BD162" s="2516"/>
      <c r="BE162" s="2516"/>
      <c r="BF162" s="2516"/>
      <c r="BG162" s="2516"/>
      <c r="BH162" s="2516"/>
      <c r="BI162" s="2516"/>
      <c r="BJ162" s="2516"/>
      <c r="BK162" s="2516"/>
      <c r="BL162" s="2516"/>
      <c r="BM162" s="2516"/>
      <c r="BN162" s="2516"/>
      <c r="BO162" s="2516"/>
      <c r="BP162" s="2516"/>
      <c r="BQ162" s="2516"/>
      <c r="BR162" s="2516"/>
      <c r="BS162" s="2516"/>
      <c r="BT162" s="2516"/>
      <c r="BU162" s="2516"/>
      <c r="BV162" s="2516"/>
      <c r="BW162" s="2516"/>
      <c r="BX162" s="2516"/>
      <c r="BY162" s="2516"/>
      <c r="BZ162" s="2516"/>
      <c r="CA162" s="2516"/>
      <c r="CB162" s="2516"/>
      <c r="CC162" s="2516"/>
      <c r="CD162" s="2516"/>
      <c r="CE162" s="2516"/>
      <c r="CF162" s="2516"/>
      <c r="CG162" s="2516"/>
      <c r="CH162" s="2516"/>
      <c r="CI162" s="2516"/>
      <c r="CJ162" s="2516"/>
      <c r="CK162" s="2516"/>
      <c r="CL162" s="2516"/>
      <c r="CM162" s="2516"/>
      <c r="CN162" s="2516"/>
      <c r="CO162" s="2516"/>
      <c r="CP162" s="2516"/>
      <c r="CQ162" s="2516"/>
      <c r="CR162" s="2516"/>
      <c r="CS162" s="2516"/>
      <c r="CT162" s="2516"/>
      <c r="CU162" s="2516"/>
      <c r="CV162" s="2516"/>
      <c r="CW162" s="2516"/>
      <c r="CX162" s="2516"/>
      <c r="CY162" s="2516"/>
      <c r="CZ162" s="2516"/>
      <c r="DA162" s="2516"/>
      <c r="DB162" s="2516"/>
      <c r="DC162" s="2516"/>
      <c r="DD162" s="2516"/>
      <c r="DE162" s="2516"/>
      <c r="DF162" s="2516"/>
      <c r="DG162" s="2516"/>
      <c r="DH162" s="2516"/>
      <c r="DI162" s="2516"/>
      <c r="DJ162" s="2516"/>
      <c r="DK162" s="2516"/>
      <c r="DL162" s="2516"/>
      <c r="DM162" s="2516"/>
      <c r="DN162" s="2516"/>
      <c r="DO162" s="2516"/>
      <c r="DP162" s="2516"/>
      <c r="DQ162" s="2516"/>
      <c r="DR162" s="2516"/>
      <c r="DS162" s="2516"/>
      <c r="DT162" s="2516"/>
      <c r="DU162" s="2516"/>
      <c r="DV162" s="2516"/>
      <c r="DW162" s="2516"/>
      <c r="DX162" s="2516"/>
      <c r="DY162" s="2516"/>
      <c r="DZ162" s="2516"/>
      <c r="EA162" s="2516"/>
      <c r="EB162" s="2516"/>
      <c r="EC162" s="2516"/>
      <c r="ED162" s="2516"/>
      <c r="EE162" s="2516"/>
      <c r="EF162" s="2516"/>
      <c r="EG162" s="2516"/>
      <c r="EH162" s="2516"/>
      <c r="EI162" s="2516"/>
      <c r="EJ162" s="2516"/>
      <c r="EK162" s="2516"/>
      <c r="EL162" s="2516"/>
      <c r="EM162" s="2516"/>
      <c r="EN162" s="2516"/>
      <c r="EO162" s="2516"/>
      <c r="EP162" s="2516"/>
      <c r="EQ162" s="2516"/>
      <c r="ER162" s="2516"/>
      <c r="ES162" s="2516"/>
      <c r="ET162" s="2516"/>
      <c r="EU162" s="2516"/>
      <c r="EV162" s="2516"/>
      <c r="EW162" s="2516"/>
      <c r="EX162" s="2516"/>
      <c r="EY162" s="2516"/>
      <c r="EZ162" s="2516"/>
      <c r="FA162" s="2516"/>
      <c r="FB162" s="2516"/>
      <c r="FC162" s="2516"/>
      <c r="FD162" s="2516"/>
      <c r="FE162" s="2516"/>
      <c r="FF162" s="2516"/>
      <c r="FG162" s="2516"/>
      <c r="FH162" s="2516"/>
      <c r="FI162" s="2516"/>
      <c r="FJ162" s="2516"/>
      <c r="FK162" s="2516"/>
      <c r="FL162" s="2516"/>
      <c r="FM162" s="2516"/>
      <c r="FN162" s="2516"/>
      <c r="FO162" s="2516"/>
      <c r="FP162" s="2516"/>
      <c r="FQ162" s="2516"/>
      <c r="FR162" s="2516"/>
      <c r="FS162" s="2516"/>
      <c r="FT162" s="2516"/>
      <c r="FU162" s="2516"/>
      <c r="FV162" s="2516"/>
      <c r="FW162" s="2516"/>
      <c r="FX162" s="2516"/>
      <c r="FY162" s="2516"/>
      <c r="FZ162" s="2516"/>
      <c r="GA162" s="2516"/>
      <c r="GB162" s="2516"/>
      <c r="GC162" s="2516"/>
      <c r="GD162" s="2516"/>
      <c r="GE162" s="2516"/>
      <c r="GF162" s="2516"/>
      <c r="GG162" s="2516"/>
      <c r="GH162" s="2516"/>
      <c r="GI162" s="2516"/>
      <c r="GJ162" s="2516"/>
      <c r="GK162" s="2516"/>
      <c r="GL162" s="2516"/>
      <c r="GM162" s="2516"/>
      <c r="GN162" s="2516"/>
      <c r="GO162" s="2516"/>
      <c r="GP162" s="2516"/>
      <c r="GQ162" s="2516"/>
      <c r="GR162" s="2516"/>
      <c r="GS162" s="2516"/>
      <c r="GT162" s="2516"/>
      <c r="GU162" s="2516"/>
      <c r="GV162" s="2516"/>
      <c r="GW162" s="2516"/>
      <c r="GX162" s="2516"/>
      <c r="GY162" s="2516"/>
      <c r="GZ162" s="2516"/>
      <c r="HA162" s="2516"/>
      <c r="HB162" s="2516"/>
      <c r="HC162" s="2516"/>
      <c r="HD162" s="2516"/>
      <c r="HE162" s="2516"/>
      <c r="HF162" s="2516"/>
      <c r="HG162" s="2516"/>
      <c r="HH162" s="2516"/>
      <c r="HI162" s="2516"/>
      <c r="HJ162" s="2516"/>
      <c r="HK162" s="2516"/>
      <c r="HL162" s="2516"/>
      <c r="HM162" s="2516"/>
      <c r="HN162" s="2516"/>
      <c r="HO162" s="2516"/>
      <c r="HP162" s="2516"/>
      <c r="HQ162" s="2516"/>
      <c r="HR162" s="2516"/>
      <c r="HS162" s="2516"/>
      <c r="HT162" s="2516"/>
      <c r="HU162" s="2516"/>
      <c r="HV162" s="2516"/>
      <c r="HW162" s="2516"/>
      <c r="HX162" s="2516"/>
      <c r="HY162" s="2516"/>
      <c r="HZ162" s="2516"/>
      <c r="IA162" s="2516"/>
      <c r="IB162" s="2516"/>
      <c r="IC162" s="2516"/>
      <c r="ID162" s="2516"/>
      <c r="IE162" s="2516"/>
      <c r="IF162" s="2516"/>
      <c r="IG162" s="2516"/>
      <c r="IH162" s="2516"/>
      <c r="II162" s="2516"/>
      <c r="IJ162" s="2516"/>
      <c r="IK162" s="2516"/>
      <c r="IL162" s="2516"/>
      <c r="IM162" s="2516"/>
      <c r="IN162" s="2516"/>
      <c r="IO162" s="2516"/>
      <c r="IP162" s="2516"/>
      <c r="IQ162" s="2516"/>
      <c r="IR162" s="2516"/>
      <c r="IS162" s="2516"/>
      <c r="IT162" s="2516"/>
      <c r="IU162" s="2516"/>
      <c r="IV162" s="2516"/>
      <c r="IW162" s="2516"/>
      <c r="IX162" s="2516"/>
      <c r="IY162" s="2516"/>
      <c r="IZ162" s="2516"/>
      <c r="JA162" s="2516"/>
      <c r="JB162" s="2516"/>
      <c r="JC162" s="2516"/>
      <c r="JD162" s="2516"/>
      <c r="JE162" s="2516"/>
      <c r="JF162" s="2516"/>
      <c r="JG162" s="2517"/>
      <c r="JH162" s="1233"/>
      <c r="JI162" s="2248" t="s">
        <v>6529</v>
      </c>
      <c r="JJ162" s="2248" t="s">
        <v>6124</v>
      </c>
    </row>
    <row r="163" spans="1:270" x14ac:dyDescent="0.2">
      <c r="A163" s="1128">
        <v>13</v>
      </c>
      <c r="B163" s="1347" t="str">
        <f si="6" t="shared"/>
        <v/>
      </c>
      <c r="C163" s="1278" t="s">
        <v>3287</v>
      </c>
      <c r="D163" s="1350" t="s">
        <v>5245</v>
      </c>
      <c r="E163" s="2472">
        <v>171</v>
      </c>
      <c r="F163" s="2472"/>
      <c r="G163" s="2472">
        <v>866</v>
      </c>
      <c r="H163" s="2512"/>
      <c r="I163" s="2512"/>
      <c r="J163" s="2512"/>
      <c r="K163" s="2512"/>
      <c r="L163" s="2579"/>
      <c r="M163" s="2579"/>
      <c r="N163" s="2579"/>
      <c r="O163" s="2579"/>
      <c r="P163" s="2579"/>
      <c r="Q163" s="2579"/>
      <c r="R163" s="2580"/>
      <c r="S163" s="2580"/>
      <c r="T163" s="2580"/>
      <c r="U163" s="2580"/>
      <c r="V163" s="2580"/>
      <c r="W163" s="2580"/>
      <c r="X163" s="2580"/>
      <c r="Y163" s="2580"/>
      <c r="Z163" s="2580"/>
      <c r="AA163" s="2580"/>
      <c r="AB163" s="2580"/>
      <c r="AC163" s="2580"/>
      <c r="AD163" s="2580"/>
      <c r="AE163" s="2580"/>
      <c r="AF163" s="2580"/>
      <c r="AG163" s="2580"/>
      <c r="AH163" s="2580"/>
      <c r="AI163" s="2580"/>
      <c r="AJ163" s="2580"/>
      <c r="AK163" s="2580"/>
      <c r="AL163" s="2580"/>
      <c r="AM163" s="2580"/>
      <c r="AN163" s="2580"/>
      <c r="AO163" s="2580"/>
      <c r="AP163" s="2580"/>
      <c r="AQ163" s="2580"/>
      <c r="AR163" s="2580"/>
      <c r="AS163" s="2580"/>
      <c r="AT163" s="2580"/>
      <c r="AU163" s="2580"/>
      <c r="AV163" s="2580"/>
      <c r="AW163" s="2580"/>
      <c r="AX163" s="2580"/>
      <c r="AY163" s="2580"/>
      <c r="AZ163" s="2580"/>
      <c r="BA163" s="2580"/>
      <c r="BB163" s="2580"/>
      <c r="BC163" s="2580"/>
      <c r="BD163" s="2580"/>
      <c r="BE163" s="2580"/>
      <c r="BF163" s="2580"/>
      <c r="BG163" s="2580"/>
      <c r="BH163" s="2580"/>
      <c r="BI163" s="2580"/>
      <c r="BJ163" s="2580"/>
      <c r="BK163" s="2580"/>
      <c r="BL163" s="2580"/>
      <c r="BM163" s="2580"/>
      <c r="BN163" s="2580"/>
      <c r="BO163" s="2580"/>
      <c r="BP163" s="2580"/>
      <c r="BQ163" s="2580"/>
      <c r="BR163" s="2580"/>
      <c r="BS163" s="2580"/>
      <c r="BT163" s="2580"/>
      <c r="BU163" s="2580"/>
      <c r="BV163" s="2580"/>
      <c r="BW163" s="2580"/>
      <c r="BX163" s="2580"/>
      <c r="BY163" s="2580"/>
      <c r="BZ163" s="2580"/>
      <c r="CA163" s="2580"/>
      <c r="CB163" s="2580"/>
      <c r="CC163" s="2580"/>
      <c r="CD163" s="2580"/>
      <c r="CE163" s="2580"/>
      <c r="CF163" s="2580"/>
      <c r="CG163" s="2580"/>
      <c r="CH163" s="2580"/>
      <c r="CI163" s="2580"/>
      <c r="CJ163" s="2580"/>
      <c r="CK163" s="2580"/>
      <c r="CL163" s="2580"/>
      <c r="CM163" s="2580"/>
      <c r="CN163" s="2580"/>
      <c r="CO163" s="2580"/>
      <c r="CP163" s="2580"/>
      <c r="CQ163" s="2580"/>
      <c r="CR163" s="2580"/>
      <c r="CS163" s="2580"/>
      <c r="CT163" s="2580"/>
      <c r="CU163" s="2580"/>
      <c r="CV163" s="2580"/>
      <c r="CW163" s="2580"/>
      <c r="CX163" s="2580"/>
      <c r="CY163" s="2580"/>
      <c r="CZ163" s="2580"/>
      <c r="DA163" s="2580"/>
      <c r="DB163" s="2580"/>
      <c r="DC163" s="2580"/>
      <c r="DD163" s="2580"/>
      <c r="DE163" s="2580"/>
      <c r="DF163" s="2580"/>
      <c r="DG163" s="2580"/>
      <c r="DH163" s="2580"/>
      <c r="DI163" s="2580"/>
      <c r="DJ163" s="2580"/>
      <c r="DK163" s="2580"/>
      <c r="DL163" s="2580"/>
      <c r="DM163" s="2580"/>
      <c r="DN163" s="2580"/>
      <c r="DO163" s="2580"/>
      <c r="DP163" s="2580"/>
      <c r="DQ163" s="2580"/>
      <c r="DR163" s="2580"/>
      <c r="DS163" s="2580"/>
      <c r="DT163" s="2580"/>
      <c r="DU163" s="2580"/>
      <c r="DV163" s="2580"/>
      <c r="DW163" s="2580"/>
      <c r="DX163" s="2580"/>
      <c r="DY163" s="2580"/>
      <c r="DZ163" s="2580"/>
      <c r="EA163" s="2580"/>
      <c r="EB163" s="2580"/>
      <c r="EC163" s="2580"/>
      <c r="ED163" s="2580"/>
      <c r="EE163" s="2580"/>
      <c r="EF163" s="2580"/>
      <c r="EG163" s="2580"/>
      <c r="EH163" s="2580"/>
      <c r="EI163" s="2580"/>
      <c r="EJ163" s="2580"/>
      <c r="EK163" s="2580"/>
      <c r="EL163" s="2580"/>
      <c r="EM163" s="2580"/>
      <c r="EN163" s="2580"/>
      <c r="EO163" s="2580"/>
      <c r="EP163" s="2580"/>
      <c r="EQ163" s="2580"/>
      <c r="ER163" s="2580"/>
      <c r="ES163" s="2580"/>
      <c r="ET163" s="2580"/>
      <c r="EU163" s="2580"/>
      <c r="EV163" s="2580"/>
      <c r="EW163" s="2580"/>
      <c r="EX163" s="2580"/>
      <c r="EY163" s="2580"/>
      <c r="EZ163" s="2580"/>
      <c r="FA163" s="2580"/>
      <c r="FB163" s="2580"/>
      <c r="FC163" s="2580"/>
      <c r="FD163" s="2580"/>
      <c r="FE163" s="2580"/>
      <c r="FF163" s="2580"/>
      <c r="FG163" s="2580"/>
      <c r="FH163" s="2580"/>
      <c r="FI163" s="2580"/>
      <c r="FJ163" s="2580"/>
      <c r="FK163" s="2580"/>
      <c r="FL163" s="2580"/>
      <c r="FM163" s="2580"/>
      <c r="FN163" s="2580"/>
      <c r="FO163" s="2580"/>
      <c r="FP163" s="2580"/>
      <c r="FQ163" s="2580"/>
      <c r="FR163" s="2580"/>
      <c r="FS163" s="2580"/>
      <c r="FT163" s="2580"/>
      <c r="FU163" s="2580"/>
      <c r="FV163" s="2580"/>
      <c r="FW163" s="2580"/>
      <c r="FX163" s="2580"/>
      <c r="FY163" s="2580"/>
      <c r="FZ163" s="2580"/>
      <c r="GA163" s="2580"/>
      <c r="GB163" s="2580"/>
      <c r="GC163" s="2580"/>
      <c r="GD163" s="2580"/>
      <c r="GE163" s="2580"/>
      <c r="GF163" s="2580"/>
      <c r="GG163" s="2580"/>
      <c r="GH163" s="2580"/>
      <c r="GI163" s="2580"/>
      <c r="GJ163" s="2580"/>
      <c r="GK163" s="2580"/>
      <c r="GL163" s="2580"/>
      <c r="GM163" s="2580"/>
      <c r="GN163" s="2580"/>
      <c r="GO163" s="2580"/>
      <c r="GP163" s="2580"/>
      <c r="GQ163" s="2580"/>
      <c r="GR163" s="2580"/>
      <c r="GS163" s="2580"/>
      <c r="GT163" s="2580"/>
      <c r="GU163" s="2580"/>
      <c r="GV163" s="2580"/>
      <c r="GW163" s="2580"/>
      <c r="GX163" s="2580"/>
      <c r="GY163" s="2580"/>
      <c r="GZ163" s="2580"/>
      <c r="HA163" s="2580"/>
      <c r="HB163" s="2580"/>
      <c r="HC163" s="2580"/>
      <c r="HD163" s="2580"/>
      <c r="HE163" s="2580"/>
      <c r="HF163" s="2580"/>
      <c r="HG163" s="2580"/>
      <c r="HH163" s="2580"/>
      <c r="HI163" s="2580"/>
      <c r="HJ163" s="2580"/>
      <c r="HK163" s="2580"/>
      <c r="HL163" s="2580"/>
      <c r="HM163" s="2580"/>
      <c r="HN163" s="2580"/>
      <c r="HO163" s="2580"/>
      <c r="HP163" s="2580"/>
      <c r="HQ163" s="2580"/>
      <c r="HR163" s="2580"/>
      <c r="HS163" s="2580"/>
      <c r="HT163" s="2580"/>
      <c r="HU163" s="2580"/>
      <c r="HV163" s="2580"/>
      <c r="HW163" s="2580"/>
      <c r="HX163" s="2580"/>
      <c r="HY163" s="2580"/>
      <c r="HZ163" s="2580"/>
      <c r="IA163" s="2580"/>
      <c r="IB163" s="2580"/>
      <c r="IC163" s="2580"/>
      <c r="ID163" s="2580"/>
      <c r="IE163" s="2580"/>
      <c r="IF163" s="2580"/>
      <c r="IG163" s="2580"/>
      <c r="IH163" s="2580"/>
      <c r="II163" s="2580"/>
      <c r="IJ163" s="2580"/>
      <c r="IK163" s="2580"/>
      <c r="IL163" s="2580"/>
      <c r="IM163" s="2580"/>
      <c r="IN163" s="2580"/>
      <c r="IO163" s="2580"/>
      <c r="IP163" s="2580"/>
      <c r="IQ163" s="2580"/>
      <c r="IR163" s="2580"/>
      <c r="IS163" s="2580"/>
      <c r="IT163" s="2580"/>
      <c r="IU163" s="2580"/>
      <c r="IV163" s="2580"/>
      <c r="IW163" s="2580"/>
      <c r="IX163" s="2580"/>
      <c r="IY163" s="2580"/>
      <c r="IZ163" s="2580"/>
      <c r="JA163" s="2580"/>
      <c r="JB163" s="2580"/>
      <c r="JC163" s="2580"/>
      <c r="JD163" s="2580"/>
      <c r="JE163" s="2580"/>
      <c r="JF163" s="2580"/>
      <c r="JG163" s="2581"/>
      <c r="JH163" s="1233"/>
      <c r="JI163" s="2248"/>
      <c r="JJ163" s="2248" t="s">
        <v>6124</v>
      </c>
    </row>
    <row r="164" spans="1:270" x14ac:dyDescent="0.2">
      <c r="A164" s="1128">
        <v>14</v>
      </c>
      <c r="B164" s="1347" t="str">
        <f si="6" t="shared"/>
        <v/>
      </c>
      <c r="C164" s="1278" t="s">
        <v>1467</v>
      </c>
      <c r="D164" s="1350" t="s">
        <v>5246</v>
      </c>
      <c r="E164" s="2472"/>
      <c r="F164" s="2472"/>
      <c r="G164" s="2472">
        <v>233</v>
      </c>
      <c r="H164" s="2512"/>
      <c r="I164" s="2512"/>
      <c r="J164" s="2512"/>
      <c r="K164" s="2512"/>
      <c r="L164" s="2579"/>
      <c r="M164" s="2579"/>
      <c r="N164" s="2579"/>
      <c r="O164" s="2579"/>
      <c r="P164" s="2579"/>
      <c r="Q164" s="2579"/>
      <c r="R164" s="2580"/>
      <c r="S164" s="2580"/>
      <c r="T164" s="2580"/>
      <c r="U164" s="2580"/>
      <c r="V164" s="2580"/>
      <c r="W164" s="2580"/>
      <c r="X164" s="2580"/>
      <c r="Y164" s="2580"/>
      <c r="Z164" s="2580"/>
      <c r="AA164" s="2580"/>
      <c r="AB164" s="2580"/>
      <c r="AC164" s="2580"/>
      <c r="AD164" s="2580"/>
      <c r="AE164" s="2580"/>
      <c r="AF164" s="2580"/>
      <c r="AG164" s="2580"/>
      <c r="AH164" s="2580"/>
      <c r="AI164" s="2580"/>
      <c r="AJ164" s="2580"/>
      <c r="AK164" s="2580"/>
      <c r="AL164" s="2580"/>
      <c r="AM164" s="2580"/>
      <c r="AN164" s="2580"/>
      <c r="AO164" s="2580"/>
      <c r="AP164" s="2580"/>
      <c r="AQ164" s="2580"/>
      <c r="AR164" s="2580"/>
      <c r="AS164" s="2580"/>
      <c r="AT164" s="2580"/>
      <c r="AU164" s="2580"/>
      <c r="AV164" s="2580"/>
      <c r="AW164" s="2580"/>
      <c r="AX164" s="2580"/>
      <c r="AY164" s="2580"/>
      <c r="AZ164" s="2580"/>
      <c r="BA164" s="2580"/>
      <c r="BB164" s="2580"/>
      <c r="BC164" s="2580"/>
      <c r="BD164" s="2580"/>
      <c r="BE164" s="2580"/>
      <c r="BF164" s="2580"/>
      <c r="BG164" s="2580"/>
      <c r="BH164" s="2580"/>
      <c r="BI164" s="2580"/>
      <c r="BJ164" s="2580"/>
      <c r="BK164" s="2580"/>
      <c r="BL164" s="2580"/>
      <c r="BM164" s="2580"/>
      <c r="BN164" s="2580"/>
      <c r="BO164" s="2580"/>
      <c r="BP164" s="2580"/>
      <c r="BQ164" s="2580"/>
      <c r="BR164" s="2580"/>
      <c r="BS164" s="2580"/>
      <c r="BT164" s="2580"/>
      <c r="BU164" s="2580"/>
      <c r="BV164" s="2580"/>
      <c r="BW164" s="2580"/>
      <c r="BX164" s="2580"/>
      <c r="BY164" s="2580"/>
      <c r="BZ164" s="2580"/>
      <c r="CA164" s="2580"/>
      <c r="CB164" s="2580"/>
      <c r="CC164" s="2580"/>
      <c r="CD164" s="2580"/>
      <c r="CE164" s="2580"/>
      <c r="CF164" s="2580"/>
      <c r="CG164" s="2580"/>
      <c r="CH164" s="2580"/>
      <c r="CI164" s="2580"/>
      <c r="CJ164" s="2580"/>
      <c r="CK164" s="2580"/>
      <c r="CL164" s="2580"/>
      <c r="CM164" s="2580"/>
      <c r="CN164" s="2580"/>
      <c r="CO164" s="2580"/>
      <c r="CP164" s="2580"/>
      <c r="CQ164" s="2580"/>
      <c r="CR164" s="2580"/>
      <c r="CS164" s="2580"/>
      <c r="CT164" s="2580"/>
      <c r="CU164" s="2580"/>
      <c r="CV164" s="2580"/>
      <c r="CW164" s="2580"/>
      <c r="CX164" s="2580"/>
      <c r="CY164" s="2580"/>
      <c r="CZ164" s="2580"/>
      <c r="DA164" s="2580"/>
      <c r="DB164" s="2580"/>
      <c r="DC164" s="2580"/>
      <c r="DD164" s="2580"/>
      <c r="DE164" s="2580"/>
      <c r="DF164" s="2580"/>
      <c r="DG164" s="2580"/>
      <c r="DH164" s="2580"/>
      <c r="DI164" s="2580"/>
      <c r="DJ164" s="2580"/>
      <c r="DK164" s="2580"/>
      <c r="DL164" s="2580"/>
      <c r="DM164" s="2580"/>
      <c r="DN164" s="2580"/>
      <c r="DO164" s="2580"/>
      <c r="DP164" s="2580"/>
      <c r="DQ164" s="2580"/>
      <c r="DR164" s="2580"/>
      <c r="DS164" s="2580"/>
      <c r="DT164" s="2580"/>
      <c r="DU164" s="2580"/>
      <c r="DV164" s="2580"/>
      <c r="DW164" s="2580"/>
      <c r="DX164" s="2580"/>
      <c r="DY164" s="2580"/>
      <c r="DZ164" s="2580"/>
      <c r="EA164" s="2580"/>
      <c r="EB164" s="2580"/>
      <c r="EC164" s="2580"/>
      <c r="ED164" s="2580"/>
      <c r="EE164" s="2580"/>
      <c r="EF164" s="2580"/>
      <c r="EG164" s="2580"/>
      <c r="EH164" s="2580"/>
      <c r="EI164" s="2580"/>
      <c r="EJ164" s="2580"/>
      <c r="EK164" s="2580"/>
      <c r="EL164" s="2580"/>
      <c r="EM164" s="2580"/>
      <c r="EN164" s="2580"/>
      <c r="EO164" s="2580"/>
      <c r="EP164" s="2580"/>
      <c r="EQ164" s="2580"/>
      <c r="ER164" s="2580"/>
      <c r="ES164" s="2580"/>
      <c r="ET164" s="2580"/>
      <c r="EU164" s="2580"/>
      <c r="EV164" s="2580"/>
      <c r="EW164" s="2580"/>
      <c r="EX164" s="2580"/>
      <c r="EY164" s="2580"/>
      <c r="EZ164" s="2580"/>
      <c r="FA164" s="2580"/>
      <c r="FB164" s="2580"/>
      <c r="FC164" s="2580"/>
      <c r="FD164" s="2580"/>
      <c r="FE164" s="2580"/>
      <c r="FF164" s="2580"/>
      <c r="FG164" s="2580"/>
      <c r="FH164" s="2580"/>
      <c r="FI164" s="2580"/>
      <c r="FJ164" s="2580"/>
      <c r="FK164" s="2580"/>
      <c r="FL164" s="2580"/>
      <c r="FM164" s="2580"/>
      <c r="FN164" s="2580"/>
      <c r="FO164" s="2580"/>
      <c r="FP164" s="2580"/>
      <c r="FQ164" s="2580"/>
      <c r="FR164" s="2580"/>
      <c r="FS164" s="2580"/>
      <c r="FT164" s="2580"/>
      <c r="FU164" s="2580"/>
      <c r="FV164" s="2580"/>
      <c r="FW164" s="2580"/>
      <c r="FX164" s="2580"/>
      <c r="FY164" s="2580"/>
      <c r="FZ164" s="2580"/>
      <c r="GA164" s="2580"/>
      <c r="GB164" s="2580"/>
      <c r="GC164" s="2580"/>
      <c r="GD164" s="2580"/>
      <c r="GE164" s="2580"/>
      <c r="GF164" s="2580"/>
      <c r="GG164" s="2580"/>
      <c r="GH164" s="2580"/>
      <c r="GI164" s="2580"/>
      <c r="GJ164" s="2580"/>
      <c r="GK164" s="2580"/>
      <c r="GL164" s="2580"/>
      <c r="GM164" s="2580"/>
      <c r="GN164" s="2580"/>
      <c r="GO164" s="2580"/>
      <c r="GP164" s="2580"/>
      <c r="GQ164" s="2580"/>
      <c r="GR164" s="2580"/>
      <c r="GS164" s="2580"/>
      <c r="GT164" s="2580"/>
      <c r="GU164" s="2580"/>
      <c r="GV164" s="2580"/>
      <c r="GW164" s="2580"/>
      <c r="GX164" s="2580"/>
      <c r="GY164" s="2580"/>
      <c r="GZ164" s="2580"/>
      <c r="HA164" s="2580"/>
      <c r="HB164" s="2580"/>
      <c r="HC164" s="2580"/>
      <c r="HD164" s="2580"/>
      <c r="HE164" s="2580"/>
      <c r="HF164" s="2580"/>
      <c r="HG164" s="2580"/>
      <c r="HH164" s="2580"/>
      <c r="HI164" s="2580"/>
      <c r="HJ164" s="2580"/>
      <c r="HK164" s="2580"/>
      <c r="HL164" s="2580"/>
      <c r="HM164" s="2580"/>
      <c r="HN164" s="2580"/>
      <c r="HO164" s="2580"/>
      <c r="HP164" s="2580"/>
      <c r="HQ164" s="2580"/>
      <c r="HR164" s="2580"/>
      <c r="HS164" s="2580"/>
      <c r="HT164" s="2580"/>
      <c r="HU164" s="2580"/>
      <c r="HV164" s="2580"/>
      <c r="HW164" s="2580"/>
      <c r="HX164" s="2580"/>
      <c r="HY164" s="2580"/>
      <c r="HZ164" s="2580"/>
      <c r="IA164" s="2580"/>
      <c r="IB164" s="2580"/>
      <c r="IC164" s="2580"/>
      <c r="ID164" s="2580"/>
      <c r="IE164" s="2580"/>
      <c r="IF164" s="2580"/>
      <c r="IG164" s="2580"/>
      <c r="IH164" s="2580"/>
      <c r="II164" s="2580"/>
      <c r="IJ164" s="2580"/>
      <c r="IK164" s="2580"/>
      <c r="IL164" s="2580"/>
      <c r="IM164" s="2580"/>
      <c r="IN164" s="2580"/>
      <c r="IO164" s="2580"/>
      <c r="IP164" s="2580"/>
      <c r="IQ164" s="2580"/>
      <c r="IR164" s="2580"/>
      <c r="IS164" s="2580"/>
      <c r="IT164" s="2580"/>
      <c r="IU164" s="2580"/>
      <c r="IV164" s="2580"/>
      <c r="IW164" s="2580"/>
      <c r="IX164" s="2580"/>
      <c r="IY164" s="2580"/>
      <c r="IZ164" s="2580"/>
      <c r="JA164" s="2580"/>
      <c r="JB164" s="2580"/>
      <c r="JC164" s="2580"/>
      <c r="JD164" s="2580"/>
      <c r="JE164" s="2580"/>
      <c r="JF164" s="2580"/>
      <c r="JG164" s="2581"/>
      <c r="JH164" s="1233"/>
      <c r="JI164" s="2248"/>
      <c r="JJ164" s="2248" t="s">
        <v>6124</v>
      </c>
    </row>
    <row r="165" spans="1:270" x14ac:dyDescent="0.2">
      <c r="A165" s="1128">
        <v>15</v>
      </c>
      <c r="B165" s="1347" t="str">
        <f si="6" t="shared"/>
        <v/>
      </c>
      <c r="C165" s="1524" t="s">
        <v>1468</v>
      </c>
      <c r="D165" s="1350" t="s">
        <v>5247</v>
      </c>
      <c r="E165" s="2518">
        <v>49</v>
      </c>
      <c r="F165" s="2518"/>
      <c r="G165" s="2518">
        <v>103</v>
      </c>
      <c r="H165" s="2389"/>
      <c r="I165" s="2389"/>
      <c r="J165" s="2389"/>
      <c r="K165" s="2389"/>
      <c r="L165" s="2583"/>
      <c r="M165" s="2583"/>
      <c r="N165" s="2583"/>
      <c r="O165" s="2583"/>
      <c r="P165" s="2583"/>
      <c r="Q165" s="2583"/>
      <c r="R165" s="2584"/>
      <c r="S165" s="2584"/>
      <c r="T165" s="2584"/>
      <c r="U165" s="2584"/>
      <c r="V165" s="2584"/>
      <c r="W165" s="2584"/>
      <c r="X165" s="2584"/>
      <c r="Y165" s="2584"/>
      <c r="Z165" s="2584"/>
      <c r="AA165" s="2584"/>
      <c r="AB165" s="2584"/>
      <c r="AC165" s="2584"/>
      <c r="AD165" s="2584"/>
      <c r="AE165" s="2584"/>
      <c r="AF165" s="2584"/>
      <c r="AG165" s="2584"/>
      <c r="AH165" s="2584"/>
      <c r="AI165" s="2584"/>
      <c r="AJ165" s="2584"/>
      <c r="AK165" s="2584"/>
      <c r="AL165" s="2584"/>
      <c r="AM165" s="2584"/>
      <c r="AN165" s="2584"/>
      <c r="AO165" s="2584"/>
      <c r="AP165" s="2584"/>
      <c r="AQ165" s="2584"/>
      <c r="AR165" s="2584"/>
      <c r="AS165" s="2584"/>
      <c r="AT165" s="2584"/>
      <c r="AU165" s="2584"/>
      <c r="AV165" s="2584"/>
      <c r="AW165" s="2584"/>
      <c r="AX165" s="2584"/>
      <c r="AY165" s="2584"/>
      <c r="AZ165" s="2584"/>
      <c r="BA165" s="2584"/>
      <c r="BB165" s="2584"/>
      <c r="BC165" s="2584"/>
      <c r="BD165" s="2584"/>
      <c r="BE165" s="2584"/>
      <c r="BF165" s="2584"/>
      <c r="BG165" s="2584"/>
      <c r="BH165" s="2584"/>
      <c r="BI165" s="2584"/>
      <c r="BJ165" s="2584"/>
      <c r="BK165" s="2584"/>
      <c r="BL165" s="2584"/>
      <c r="BM165" s="2584"/>
      <c r="BN165" s="2584"/>
      <c r="BO165" s="2584"/>
      <c r="BP165" s="2584"/>
      <c r="BQ165" s="2584"/>
      <c r="BR165" s="2584"/>
      <c r="BS165" s="2584"/>
      <c r="BT165" s="2584"/>
      <c r="BU165" s="2584"/>
      <c r="BV165" s="2584"/>
      <c r="BW165" s="2584"/>
      <c r="BX165" s="2584"/>
      <c r="BY165" s="2584"/>
      <c r="BZ165" s="2584"/>
      <c r="CA165" s="2584"/>
      <c r="CB165" s="2584"/>
      <c r="CC165" s="2584"/>
      <c r="CD165" s="2584"/>
      <c r="CE165" s="2584"/>
      <c r="CF165" s="2584"/>
      <c r="CG165" s="2584"/>
      <c r="CH165" s="2584"/>
      <c r="CI165" s="2584"/>
      <c r="CJ165" s="2584"/>
      <c r="CK165" s="2584"/>
      <c r="CL165" s="2584"/>
      <c r="CM165" s="2584"/>
      <c r="CN165" s="2584"/>
      <c r="CO165" s="2584"/>
      <c r="CP165" s="2584"/>
      <c r="CQ165" s="2584"/>
      <c r="CR165" s="2584"/>
      <c r="CS165" s="2584"/>
      <c r="CT165" s="2584"/>
      <c r="CU165" s="2584"/>
      <c r="CV165" s="2584"/>
      <c r="CW165" s="2584"/>
      <c r="CX165" s="2584"/>
      <c r="CY165" s="2584"/>
      <c r="CZ165" s="2584"/>
      <c r="DA165" s="2584"/>
      <c r="DB165" s="2584"/>
      <c r="DC165" s="2584"/>
      <c r="DD165" s="2584"/>
      <c r="DE165" s="2584"/>
      <c r="DF165" s="2584"/>
      <c r="DG165" s="2584"/>
      <c r="DH165" s="2584"/>
      <c r="DI165" s="2584"/>
      <c r="DJ165" s="2584"/>
      <c r="DK165" s="2584"/>
      <c r="DL165" s="2584"/>
      <c r="DM165" s="2584"/>
      <c r="DN165" s="2584"/>
      <c r="DO165" s="2584"/>
      <c r="DP165" s="2584"/>
      <c r="DQ165" s="2584"/>
      <c r="DR165" s="2584"/>
      <c r="DS165" s="2584"/>
      <c r="DT165" s="2584"/>
      <c r="DU165" s="2584"/>
      <c r="DV165" s="2584"/>
      <c r="DW165" s="2584"/>
      <c r="DX165" s="2584"/>
      <c r="DY165" s="2584"/>
      <c r="DZ165" s="2584"/>
      <c r="EA165" s="2584"/>
      <c r="EB165" s="2584"/>
      <c r="EC165" s="2584"/>
      <c r="ED165" s="2584"/>
      <c r="EE165" s="2584"/>
      <c r="EF165" s="2584"/>
      <c r="EG165" s="2584"/>
      <c r="EH165" s="2584"/>
      <c r="EI165" s="2584"/>
      <c r="EJ165" s="2584"/>
      <c r="EK165" s="2584"/>
      <c r="EL165" s="2584"/>
      <c r="EM165" s="2584"/>
      <c r="EN165" s="2584"/>
      <c r="EO165" s="2584"/>
      <c r="EP165" s="2584"/>
      <c r="EQ165" s="2584"/>
      <c r="ER165" s="2584"/>
      <c r="ES165" s="2584"/>
      <c r="ET165" s="2584"/>
      <c r="EU165" s="2584"/>
      <c r="EV165" s="2584"/>
      <c r="EW165" s="2584"/>
      <c r="EX165" s="2584"/>
      <c r="EY165" s="2584"/>
      <c r="EZ165" s="2584"/>
      <c r="FA165" s="2584"/>
      <c r="FB165" s="2584"/>
      <c r="FC165" s="2584"/>
      <c r="FD165" s="2584"/>
      <c r="FE165" s="2584"/>
      <c r="FF165" s="2584"/>
      <c r="FG165" s="2584"/>
      <c r="FH165" s="2584"/>
      <c r="FI165" s="2584"/>
      <c r="FJ165" s="2584"/>
      <c r="FK165" s="2584"/>
      <c r="FL165" s="2584"/>
      <c r="FM165" s="2584"/>
      <c r="FN165" s="2584"/>
      <c r="FO165" s="2584"/>
      <c r="FP165" s="2584"/>
      <c r="FQ165" s="2584"/>
      <c r="FR165" s="2584"/>
      <c r="FS165" s="2584"/>
      <c r="FT165" s="2584"/>
      <c r="FU165" s="2584"/>
      <c r="FV165" s="2584"/>
      <c r="FW165" s="2584"/>
      <c r="FX165" s="2584"/>
      <c r="FY165" s="2584"/>
      <c r="FZ165" s="2584"/>
      <c r="GA165" s="2584"/>
      <c r="GB165" s="2584"/>
      <c r="GC165" s="2584"/>
      <c r="GD165" s="2584"/>
      <c r="GE165" s="2584"/>
      <c r="GF165" s="2584"/>
      <c r="GG165" s="2584"/>
      <c r="GH165" s="2584"/>
      <c r="GI165" s="2584"/>
      <c r="GJ165" s="2584"/>
      <c r="GK165" s="2584"/>
      <c r="GL165" s="2584"/>
      <c r="GM165" s="2584"/>
      <c r="GN165" s="2584"/>
      <c r="GO165" s="2584"/>
      <c r="GP165" s="2584"/>
      <c r="GQ165" s="2584"/>
      <c r="GR165" s="2584"/>
      <c r="GS165" s="2584"/>
      <c r="GT165" s="2584"/>
      <c r="GU165" s="2584"/>
      <c r="GV165" s="2584"/>
      <c r="GW165" s="2584"/>
      <c r="GX165" s="2584"/>
      <c r="GY165" s="2584"/>
      <c r="GZ165" s="2584"/>
      <c r="HA165" s="2584"/>
      <c r="HB165" s="2584"/>
      <c r="HC165" s="2584"/>
      <c r="HD165" s="2584"/>
      <c r="HE165" s="2584"/>
      <c r="HF165" s="2584"/>
      <c r="HG165" s="2584"/>
      <c r="HH165" s="2584"/>
      <c r="HI165" s="2584"/>
      <c r="HJ165" s="2584"/>
      <c r="HK165" s="2584"/>
      <c r="HL165" s="2584"/>
      <c r="HM165" s="2584"/>
      <c r="HN165" s="2584"/>
      <c r="HO165" s="2584"/>
      <c r="HP165" s="2584"/>
      <c r="HQ165" s="2584"/>
      <c r="HR165" s="2584"/>
      <c r="HS165" s="2584"/>
      <c r="HT165" s="2584"/>
      <c r="HU165" s="2584"/>
      <c r="HV165" s="2584"/>
      <c r="HW165" s="2584"/>
      <c r="HX165" s="2584"/>
      <c r="HY165" s="2584"/>
      <c r="HZ165" s="2584"/>
      <c r="IA165" s="2584"/>
      <c r="IB165" s="2584"/>
      <c r="IC165" s="2584"/>
      <c r="ID165" s="2584"/>
      <c r="IE165" s="2584"/>
      <c r="IF165" s="2584"/>
      <c r="IG165" s="2584"/>
      <c r="IH165" s="2584"/>
      <c r="II165" s="2584"/>
      <c r="IJ165" s="2584"/>
      <c r="IK165" s="2584"/>
      <c r="IL165" s="2584"/>
      <c r="IM165" s="2584"/>
      <c r="IN165" s="2584"/>
      <c r="IO165" s="2584"/>
      <c r="IP165" s="2584"/>
      <c r="IQ165" s="2584"/>
      <c r="IR165" s="2584"/>
      <c r="IS165" s="2584"/>
      <c r="IT165" s="2584"/>
      <c r="IU165" s="2584"/>
      <c r="IV165" s="2584"/>
      <c r="IW165" s="2584"/>
      <c r="IX165" s="2584"/>
      <c r="IY165" s="2584"/>
      <c r="IZ165" s="2584"/>
      <c r="JA165" s="2584"/>
      <c r="JB165" s="2584"/>
      <c r="JC165" s="2584"/>
      <c r="JD165" s="2584"/>
      <c r="JE165" s="2584"/>
      <c r="JF165" s="2584"/>
      <c r="JG165" s="2585"/>
      <c r="JH165" s="1233"/>
      <c r="JI165" s="2248"/>
      <c r="JJ165" s="2248" t="s">
        <v>6124</v>
      </c>
    </row>
    <row r="166" spans="1:270" x14ac:dyDescent="0.2">
      <c r="A166" s="1128">
        <v>16</v>
      </c>
      <c r="B166" s="1347" t="str">
        <f si="6" t="shared"/>
        <v/>
      </c>
      <c r="C166" s="1524" t="s">
        <v>1469</v>
      </c>
      <c r="D166" s="1350" t="s">
        <v>5248</v>
      </c>
      <c r="E166" s="2518">
        <v>293</v>
      </c>
      <c r="F166" s="2518"/>
      <c r="G166" s="2518">
        <v>405</v>
      </c>
      <c r="H166" s="2389">
        <v>678</v>
      </c>
      <c r="I166" s="2389">
        <v>1264</v>
      </c>
      <c r="J166" s="2389">
        <v>5635</v>
      </c>
      <c r="K166" s="2389"/>
      <c r="L166" s="2583"/>
      <c r="M166" s="2583"/>
      <c r="N166" s="2583"/>
      <c r="O166" s="2583"/>
      <c r="P166" s="2583"/>
      <c r="Q166" s="2583"/>
      <c r="R166" s="2584"/>
      <c r="S166" s="2584"/>
      <c r="T166" s="2584"/>
      <c r="U166" s="2584"/>
      <c r="V166" s="2584"/>
      <c r="W166" s="2584"/>
      <c r="X166" s="2584"/>
      <c r="Y166" s="2584"/>
      <c r="Z166" s="2584"/>
      <c r="AA166" s="2584"/>
      <c r="AB166" s="2584"/>
      <c r="AC166" s="2584"/>
      <c r="AD166" s="2584"/>
      <c r="AE166" s="2584"/>
      <c r="AF166" s="2584"/>
      <c r="AG166" s="2584"/>
      <c r="AH166" s="2584"/>
      <c r="AI166" s="2584"/>
      <c r="AJ166" s="2584"/>
      <c r="AK166" s="2584"/>
      <c r="AL166" s="2584"/>
      <c r="AM166" s="2584"/>
      <c r="AN166" s="2584"/>
      <c r="AO166" s="2584"/>
      <c r="AP166" s="2584"/>
      <c r="AQ166" s="2584"/>
      <c r="AR166" s="2584"/>
      <c r="AS166" s="2584"/>
      <c r="AT166" s="2584"/>
      <c r="AU166" s="2584"/>
      <c r="AV166" s="2584"/>
      <c r="AW166" s="2584"/>
      <c r="AX166" s="2584"/>
      <c r="AY166" s="2584"/>
      <c r="AZ166" s="2584"/>
      <c r="BA166" s="2584"/>
      <c r="BB166" s="2584"/>
      <c r="BC166" s="2584"/>
      <c r="BD166" s="2584"/>
      <c r="BE166" s="2584"/>
      <c r="BF166" s="2584"/>
      <c r="BG166" s="2584"/>
      <c r="BH166" s="2584"/>
      <c r="BI166" s="2584"/>
      <c r="BJ166" s="2584"/>
      <c r="BK166" s="2584"/>
      <c r="BL166" s="2584"/>
      <c r="BM166" s="2584"/>
      <c r="BN166" s="2584"/>
      <c r="BO166" s="2584"/>
      <c r="BP166" s="2584"/>
      <c r="BQ166" s="2584"/>
      <c r="BR166" s="2584"/>
      <c r="BS166" s="2584"/>
      <c r="BT166" s="2584"/>
      <c r="BU166" s="2584"/>
      <c r="BV166" s="2584"/>
      <c r="BW166" s="2584"/>
      <c r="BX166" s="2584"/>
      <c r="BY166" s="2584"/>
      <c r="BZ166" s="2584"/>
      <c r="CA166" s="2584"/>
      <c r="CB166" s="2584"/>
      <c r="CC166" s="2584"/>
      <c r="CD166" s="2584"/>
      <c r="CE166" s="2584"/>
      <c r="CF166" s="2584"/>
      <c r="CG166" s="2584"/>
      <c r="CH166" s="2584"/>
      <c r="CI166" s="2584"/>
      <c r="CJ166" s="2584"/>
      <c r="CK166" s="2584"/>
      <c r="CL166" s="2584"/>
      <c r="CM166" s="2584"/>
      <c r="CN166" s="2584"/>
      <c r="CO166" s="2584"/>
      <c r="CP166" s="2584"/>
      <c r="CQ166" s="2584"/>
      <c r="CR166" s="2584"/>
      <c r="CS166" s="2584"/>
      <c r="CT166" s="2584"/>
      <c r="CU166" s="2584"/>
      <c r="CV166" s="2584"/>
      <c r="CW166" s="2584"/>
      <c r="CX166" s="2584"/>
      <c r="CY166" s="2584"/>
      <c r="CZ166" s="2584"/>
      <c r="DA166" s="2584"/>
      <c r="DB166" s="2584"/>
      <c r="DC166" s="2584"/>
      <c r="DD166" s="2584"/>
      <c r="DE166" s="2584"/>
      <c r="DF166" s="2584"/>
      <c r="DG166" s="2584"/>
      <c r="DH166" s="2584"/>
      <c r="DI166" s="2584"/>
      <c r="DJ166" s="2584"/>
      <c r="DK166" s="2584"/>
      <c r="DL166" s="2584"/>
      <c r="DM166" s="2584"/>
      <c r="DN166" s="2584"/>
      <c r="DO166" s="2584"/>
      <c r="DP166" s="2584"/>
      <c r="DQ166" s="2584"/>
      <c r="DR166" s="2584"/>
      <c r="DS166" s="2584"/>
      <c r="DT166" s="2584"/>
      <c r="DU166" s="2584"/>
      <c r="DV166" s="2584"/>
      <c r="DW166" s="2584"/>
      <c r="DX166" s="2584"/>
      <c r="DY166" s="2584"/>
      <c r="DZ166" s="2584"/>
      <c r="EA166" s="2584"/>
      <c r="EB166" s="2584"/>
      <c r="EC166" s="2584"/>
      <c r="ED166" s="2584"/>
      <c r="EE166" s="2584"/>
      <c r="EF166" s="2584"/>
      <c r="EG166" s="2584"/>
      <c r="EH166" s="2584"/>
      <c r="EI166" s="2584"/>
      <c r="EJ166" s="2584"/>
      <c r="EK166" s="2584"/>
      <c r="EL166" s="2584"/>
      <c r="EM166" s="2584"/>
      <c r="EN166" s="2584"/>
      <c r="EO166" s="2584"/>
      <c r="EP166" s="2584"/>
      <c r="EQ166" s="2584"/>
      <c r="ER166" s="2584"/>
      <c r="ES166" s="2584"/>
      <c r="ET166" s="2584"/>
      <c r="EU166" s="2584"/>
      <c r="EV166" s="2584"/>
      <c r="EW166" s="2584"/>
      <c r="EX166" s="2584"/>
      <c r="EY166" s="2584"/>
      <c r="EZ166" s="2584"/>
      <c r="FA166" s="2584"/>
      <c r="FB166" s="2584"/>
      <c r="FC166" s="2584"/>
      <c r="FD166" s="2584"/>
      <c r="FE166" s="2584"/>
      <c r="FF166" s="2584"/>
      <c r="FG166" s="2584"/>
      <c r="FH166" s="2584"/>
      <c r="FI166" s="2584"/>
      <c r="FJ166" s="2584"/>
      <c r="FK166" s="2584"/>
      <c r="FL166" s="2584"/>
      <c r="FM166" s="2584"/>
      <c r="FN166" s="2584"/>
      <c r="FO166" s="2584"/>
      <c r="FP166" s="2584"/>
      <c r="FQ166" s="2584"/>
      <c r="FR166" s="2584"/>
      <c r="FS166" s="2584"/>
      <c r="FT166" s="2584"/>
      <c r="FU166" s="2584"/>
      <c r="FV166" s="2584"/>
      <c r="FW166" s="2584"/>
      <c r="FX166" s="2584"/>
      <c r="FY166" s="2584"/>
      <c r="FZ166" s="2584"/>
      <c r="GA166" s="2584"/>
      <c r="GB166" s="2584"/>
      <c r="GC166" s="2584"/>
      <c r="GD166" s="2584"/>
      <c r="GE166" s="2584"/>
      <c r="GF166" s="2584"/>
      <c r="GG166" s="2584"/>
      <c r="GH166" s="2584"/>
      <c r="GI166" s="2584"/>
      <c r="GJ166" s="2584"/>
      <c r="GK166" s="2584"/>
      <c r="GL166" s="2584"/>
      <c r="GM166" s="2584"/>
      <c r="GN166" s="2584"/>
      <c r="GO166" s="2584"/>
      <c r="GP166" s="2584"/>
      <c r="GQ166" s="2584"/>
      <c r="GR166" s="2584"/>
      <c r="GS166" s="2584"/>
      <c r="GT166" s="2584"/>
      <c r="GU166" s="2584"/>
      <c r="GV166" s="2584"/>
      <c r="GW166" s="2584"/>
      <c r="GX166" s="2584"/>
      <c r="GY166" s="2584"/>
      <c r="GZ166" s="2584"/>
      <c r="HA166" s="2584"/>
      <c r="HB166" s="2584"/>
      <c r="HC166" s="2584"/>
      <c r="HD166" s="2584"/>
      <c r="HE166" s="2584"/>
      <c r="HF166" s="2584"/>
      <c r="HG166" s="2584"/>
      <c r="HH166" s="2584"/>
      <c r="HI166" s="2584"/>
      <c r="HJ166" s="2584"/>
      <c r="HK166" s="2584"/>
      <c r="HL166" s="2584"/>
      <c r="HM166" s="2584"/>
      <c r="HN166" s="2584"/>
      <c r="HO166" s="2584"/>
      <c r="HP166" s="2584"/>
      <c r="HQ166" s="2584"/>
      <c r="HR166" s="2584"/>
      <c r="HS166" s="2584"/>
      <c r="HT166" s="2584"/>
      <c r="HU166" s="2584"/>
      <c r="HV166" s="2584"/>
      <c r="HW166" s="2584"/>
      <c r="HX166" s="2584"/>
      <c r="HY166" s="2584"/>
      <c r="HZ166" s="2584"/>
      <c r="IA166" s="2584"/>
      <c r="IB166" s="2584"/>
      <c r="IC166" s="2584"/>
      <c r="ID166" s="2584"/>
      <c r="IE166" s="2584"/>
      <c r="IF166" s="2584"/>
      <c r="IG166" s="2584"/>
      <c r="IH166" s="2584"/>
      <c r="II166" s="2584"/>
      <c r="IJ166" s="2584"/>
      <c r="IK166" s="2584"/>
      <c r="IL166" s="2584"/>
      <c r="IM166" s="2584"/>
      <c r="IN166" s="2584"/>
      <c r="IO166" s="2584"/>
      <c r="IP166" s="2584"/>
      <c r="IQ166" s="2584"/>
      <c r="IR166" s="2584"/>
      <c r="IS166" s="2584"/>
      <c r="IT166" s="2584"/>
      <c r="IU166" s="2584"/>
      <c r="IV166" s="2584"/>
      <c r="IW166" s="2584"/>
      <c r="IX166" s="2584"/>
      <c r="IY166" s="2584"/>
      <c r="IZ166" s="2584"/>
      <c r="JA166" s="2584"/>
      <c r="JB166" s="2584"/>
      <c r="JC166" s="2584"/>
      <c r="JD166" s="2584"/>
      <c r="JE166" s="2584"/>
      <c r="JF166" s="2584"/>
      <c r="JG166" s="2585"/>
      <c r="JH166" s="1233"/>
      <c r="JI166" s="2248"/>
      <c r="JJ166" s="2248" t="s">
        <v>6124</v>
      </c>
    </row>
    <row r="167" spans="1:270" x14ac:dyDescent="0.2">
      <c r="A167" s="1128">
        <v>17</v>
      </c>
      <c r="B167" s="1347" t="str">
        <f si="6" t="shared"/>
        <v/>
      </c>
      <c r="C167" s="1524" t="s">
        <v>1470</v>
      </c>
      <c r="D167" s="1350" t="s">
        <v>5246</v>
      </c>
      <c r="E167" s="2518">
        <v>22</v>
      </c>
      <c r="F167" s="2518"/>
      <c r="G167" s="2518"/>
      <c r="H167" s="2389">
        <v>76</v>
      </c>
      <c r="I167" s="2389">
        <v>141</v>
      </c>
      <c r="J167" s="2389">
        <v>626</v>
      </c>
      <c r="K167" s="2389"/>
      <c r="L167" s="2583"/>
      <c r="M167" s="2583"/>
      <c r="N167" s="2583"/>
      <c r="O167" s="2583"/>
      <c r="P167" s="2583"/>
      <c r="Q167" s="2583"/>
      <c r="R167" s="2584"/>
      <c r="S167" s="2584"/>
      <c r="T167" s="2584"/>
      <c r="U167" s="2584"/>
      <c r="V167" s="2584"/>
      <c r="W167" s="2584"/>
      <c r="X167" s="2584"/>
      <c r="Y167" s="2584"/>
      <c r="Z167" s="2584"/>
      <c r="AA167" s="2584"/>
      <c r="AB167" s="2584"/>
      <c r="AC167" s="2584"/>
      <c r="AD167" s="2584"/>
      <c r="AE167" s="2584"/>
      <c r="AF167" s="2584"/>
      <c r="AG167" s="2584"/>
      <c r="AH167" s="2584"/>
      <c r="AI167" s="2584"/>
      <c r="AJ167" s="2584"/>
      <c r="AK167" s="2584"/>
      <c r="AL167" s="2584"/>
      <c r="AM167" s="2584"/>
      <c r="AN167" s="2584"/>
      <c r="AO167" s="2584"/>
      <c r="AP167" s="2584"/>
      <c r="AQ167" s="2584"/>
      <c r="AR167" s="2584"/>
      <c r="AS167" s="2584"/>
      <c r="AT167" s="2584"/>
      <c r="AU167" s="2584"/>
      <c r="AV167" s="2584"/>
      <c r="AW167" s="2584"/>
      <c r="AX167" s="2584"/>
      <c r="AY167" s="2584"/>
      <c r="AZ167" s="2584"/>
      <c r="BA167" s="2584"/>
      <c r="BB167" s="2584"/>
      <c r="BC167" s="2584"/>
      <c r="BD167" s="2584"/>
      <c r="BE167" s="2584"/>
      <c r="BF167" s="2584"/>
      <c r="BG167" s="2584"/>
      <c r="BH167" s="2584"/>
      <c r="BI167" s="2584"/>
      <c r="BJ167" s="2584"/>
      <c r="BK167" s="2584"/>
      <c r="BL167" s="2584"/>
      <c r="BM167" s="2584"/>
      <c r="BN167" s="2584"/>
      <c r="BO167" s="2584"/>
      <c r="BP167" s="2584"/>
      <c r="BQ167" s="2584"/>
      <c r="BR167" s="2584"/>
      <c r="BS167" s="2584"/>
      <c r="BT167" s="2584"/>
      <c r="BU167" s="2584"/>
      <c r="BV167" s="2584"/>
      <c r="BW167" s="2584"/>
      <c r="BX167" s="2584"/>
      <c r="BY167" s="2584"/>
      <c r="BZ167" s="2584"/>
      <c r="CA167" s="2584"/>
      <c r="CB167" s="2584"/>
      <c r="CC167" s="2584"/>
      <c r="CD167" s="2584"/>
      <c r="CE167" s="2584"/>
      <c r="CF167" s="2584"/>
      <c r="CG167" s="2584"/>
      <c r="CH167" s="2584"/>
      <c r="CI167" s="2584"/>
      <c r="CJ167" s="2584"/>
      <c r="CK167" s="2584"/>
      <c r="CL167" s="2584"/>
      <c r="CM167" s="2584"/>
      <c r="CN167" s="2584"/>
      <c r="CO167" s="2584"/>
      <c r="CP167" s="2584"/>
      <c r="CQ167" s="2584"/>
      <c r="CR167" s="2584"/>
      <c r="CS167" s="2584"/>
      <c r="CT167" s="2584"/>
      <c r="CU167" s="2584"/>
      <c r="CV167" s="2584"/>
      <c r="CW167" s="2584"/>
      <c r="CX167" s="2584"/>
      <c r="CY167" s="2584"/>
      <c r="CZ167" s="2584"/>
      <c r="DA167" s="2584"/>
      <c r="DB167" s="2584"/>
      <c r="DC167" s="2584"/>
      <c r="DD167" s="2584"/>
      <c r="DE167" s="2584"/>
      <c r="DF167" s="2584"/>
      <c r="DG167" s="2584"/>
      <c r="DH167" s="2584"/>
      <c r="DI167" s="2584"/>
      <c r="DJ167" s="2584"/>
      <c r="DK167" s="2584"/>
      <c r="DL167" s="2584"/>
      <c r="DM167" s="2584"/>
      <c r="DN167" s="2584"/>
      <c r="DO167" s="2584"/>
      <c r="DP167" s="2584"/>
      <c r="DQ167" s="2584"/>
      <c r="DR167" s="2584"/>
      <c r="DS167" s="2584"/>
      <c r="DT167" s="2584"/>
      <c r="DU167" s="2584"/>
      <c r="DV167" s="2584"/>
      <c r="DW167" s="2584"/>
      <c r="DX167" s="2584"/>
      <c r="DY167" s="2584"/>
      <c r="DZ167" s="2584"/>
      <c r="EA167" s="2584"/>
      <c r="EB167" s="2584"/>
      <c r="EC167" s="2584"/>
      <c r="ED167" s="2584"/>
      <c r="EE167" s="2584"/>
      <c r="EF167" s="2584"/>
      <c r="EG167" s="2584"/>
      <c r="EH167" s="2584"/>
      <c r="EI167" s="2584"/>
      <c r="EJ167" s="2584"/>
      <c r="EK167" s="2584"/>
      <c r="EL167" s="2584"/>
      <c r="EM167" s="2584"/>
      <c r="EN167" s="2584"/>
      <c r="EO167" s="2584"/>
      <c r="EP167" s="2584"/>
      <c r="EQ167" s="2584"/>
      <c r="ER167" s="2584"/>
      <c r="ES167" s="2584"/>
      <c r="ET167" s="2584"/>
      <c r="EU167" s="2584"/>
      <c r="EV167" s="2584"/>
      <c r="EW167" s="2584"/>
      <c r="EX167" s="2584"/>
      <c r="EY167" s="2584"/>
      <c r="EZ167" s="2584"/>
      <c r="FA167" s="2584"/>
      <c r="FB167" s="2584"/>
      <c r="FC167" s="2584"/>
      <c r="FD167" s="2584"/>
      <c r="FE167" s="2584"/>
      <c r="FF167" s="2584"/>
      <c r="FG167" s="2584"/>
      <c r="FH167" s="2584"/>
      <c r="FI167" s="2584"/>
      <c r="FJ167" s="2584"/>
      <c r="FK167" s="2584"/>
      <c r="FL167" s="2584"/>
      <c r="FM167" s="2584"/>
      <c r="FN167" s="2584"/>
      <c r="FO167" s="2584"/>
      <c r="FP167" s="2584"/>
      <c r="FQ167" s="2584"/>
      <c r="FR167" s="2584"/>
      <c r="FS167" s="2584"/>
      <c r="FT167" s="2584"/>
      <c r="FU167" s="2584"/>
      <c r="FV167" s="2584"/>
      <c r="FW167" s="2584"/>
      <c r="FX167" s="2584"/>
      <c r="FY167" s="2584"/>
      <c r="FZ167" s="2584"/>
      <c r="GA167" s="2584"/>
      <c r="GB167" s="2584"/>
      <c r="GC167" s="2584"/>
      <c r="GD167" s="2584"/>
      <c r="GE167" s="2584"/>
      <c r="GF167" s="2584"/>
      <c r="GG167" s="2584"/>
      <c r="GH167" s="2584"/>
      <c r="GI167" s="2584"/>
      <c r="GJ167" s="2584"/>
      <c r="GK167" s="2584"/>
      <c r="GL167" s="2584"/>
      <c r="GM167" s="2584"/>
      <c r="GN167" s="2584"/>
      <c r="GO167" s="2584"/>
      <c r="GP167" s="2584"/>
      <c r="GQ167" s="2584"/>
      <c r="GR167" s="2584"/>
      <c r="GS167" s="2584"/>
      <c r="GT167" s="2584"/>
      <c r="GU167" s="2584"/>
      <c r="GV167" s="2584"/>
      <c r="GW167" s="2584"/>
      <c r="GX167" s="2584"/>
      <c r="GY167" s="2584"/>
      <c r="GZ167" s="2584"/>
      <c r="HA167" s="2584"/>
      <c r="HB167" s="2584"/>
      <c r="HC167" s="2584"/>
      <c r="HD167" s="2584"/>
      <c r="HE167" s="2584"/>
      <c r="HF167" s="2584"/>
      <c r="HG167" s="2584"/>
      <c r="HH167" s="2584"/>
      <c r="HI167" s="2584"/>
      <c r="HJ167" s="2584"/>
      <c r="HK167" s="2584"/>
      <c r="HL167" s="2584"/>
      <c r="HM167" s="2584"/>
      <c r="HN167" s="2584"/>
      <c r="HO167" s="2584"/>
      <c r="HP167" s="2584"/>
      <c r="HQ167" s="2584"/>
      <c r="HR167" s="2584"/>
      <c r="HS167" s="2584"/>
      <c r="HT167" s="2584"/>
      <c r="HU167" s="2584"/>
      <c r="HV167" s="2584"/>
      <c r="HW167" s="2584"/>
      <c r="HX167" s="2584"/>
      <c r="HY167" s="2584"/>
      <c r="HZ167" s="2584"/>
      <c r="IA167" s="2584"/>
      <c r="IB167" s="2584"/>
      <c r="IC167" s="2584"/>
      <c r="ID167" s="2584"/>
      <c r="IE167" s="2584"/>
      <c r="IF167" s="2584"/>
      <c r="IG167" s="2584"/>
      <c r="IH167" s="2584"/>
      <c r="II167" s="2584"/>
      <c r="IJ167" s="2584"/>
      <c r="IK167" s="2584"/>
      <c r="IL167" s="2584"/>
      <c r="IM167" s="2584"/>
      <c r="IN167" s="2584"/>
      <c r="IO167" s="2584"/>
      <c r="IP167" s="2584"/>
      <c r="IQ167" s="2584"/>
      <c r="IR167" s="2584"/>
      <c r="IS167" s="2584"/>
      <c r="IT167" s="2584"/>
      <c r="IU167" s="2584"/>
      <c r="IV167" s="2584"/>
      <c r="IW167" s="2584"/>
      <c r="IX167" s="2584"/>
      <c r="IY167" s="2584"/>
      <c r="IZ167" s="2584"/>
      <c r="JA167" s="2584"/>
      <c r="JB167" s="2584"/>
      <c r="JC167" s="2584"/>
      <c r="JD167" s="2584"/>
      <c r="JE167" s="2584"/>
      <c r="JF167" s="2584"/>
      <c r="JG167" s="2585"/>
      <c r="JH167" s="1233"/>
      <c r="JI167" s="2248"/>
      <c r="JJ167" s="2248" t="s">
        <v>6124</v>
      </c>
    </row>
    <row r="168" spans="1:270" x14ac:dyDescent="0.2">
      <c r="A168" s="1128">
        <v>18</v>
      </c>
      <c r="B168" s="1347" t="str">
        <f si="6" t="shared"/>
        <v/>
      </c>
      <c r="C168" s="1524" t="s">
        <v>1471</v>
      </c>
      <c r="D168" s="1350" t="s">
        <v>5247</v>
      </c>
      <c r="E168" s="2518">
        <v>35</v>
      </c>
      <c r="F168" s="2518"/>
      <c r="G168" s="2518">
        <v>101</v>
      </c>
      <c r="H168" s="2518"/>
      <c r="I168" s="2518"/>
      <c r="J168" s="2518"/>
      <c r="K168" s="2518"/>
      <c r="L168" s="2520"/>
      <c r="M168" s="2520"/>
      <c r="N168" s="2520"/>
      <c r="O168" s="2520"/>
      <c r="P168" s="2520"/>
      <c r="Q168" s="2520"/>
      <c r="R168" s="2521"/>
      <c r="S168" s="2521"/>
      <c r="T168" s="2521"/>
      <c r="U168" s="2521"/>
      <c r="V168" s="2521"/>
      <c r="W168" s="2521"/>
      <c r="X168" s="2521"/>
      <c r="Y168" s="2521"/>
      <c r="Z168" s="2521"/>
      <c r="AA168" s="2521"/>
      <c r="AB168" s="2521"/>
      <c r="AC168" s="2521"/>
      <c r="AD168" s="2521"/>
      <c r="AE168" s="2521"/>
      <c r="AF168" s="2521"/>
      <c r="AG168" s="2521"/>
      <c r="AH168" s="2521"/>
      <c r="AI168" s="2521"/>
      <c r="AJ168" s="2521"/>
      <c r="AK168" s="2521"/>
      <c r="AL168" s="2521"/>
      <c r="AM168" s="2521"/>
      <c r="AN168" s="2521"/>
      <c r="AO168" s="2521"/>
      <c r="AP168" s="2521"/>
      <c r="AQ168" s="2521"/>
      <c r="AR168" s="2521"/>
      <c r="AS168" s="2521"/>
      <c r="AT168" s="2521"/>
      <c r="AU168" s="2521"/>
      <c r="AV168" s="2521"/>
      <c r="AW168" s="2521"/>
      <c r="AX168" s="2521"/>
      <c r="AY168" s="2521"/>
      <c r="AZ168" s="2521"/>
      <c r="BA168" s="2521"/>
      <c r="BB168" s="2521"/>
      <c r="BC168" s="2521"/>
      <c r="BD168" s="2521"/>
      <c r="BE168" s="2521"/>
      <c r="BF168" s="2521"/>
      <c r="BG168" s="2521"/>
      <c r="BH168" s="2521"/>
      <c r="BI168" s="2521"/>
      <c r="BJ168" s="2521"/>
      <c r="BK168" s="2521"/>
      <c r="BL168" s="2521"/>
      <c r="BM168" s="2521"/>
      <c r="BN168" s="2521"/>
      <c r="BO168" s="2521"/>
      <c r="BP168" s="2521"/>
      <c r="BQ168" s="2521"/>
      <c r="BR168" s="2521"/>
      <c r="BS168" s="2521"/>
      <c r="BT168" s="2521"/>
      <c r="BU168" s="2521"/>
      <c r="BV168" s="2521"/>
      <c r="BW168" s="2521"/>
      <c r="BX168" s="2521"/>
      <c r="BY168" s="2521"/>
      <c r="BZ168" s="2521"/>
      <c r="CA168" s="2521"/>
      <c r="CB168" s="2521"/>
      <c r="CC168" s="2521"/>
      <c r="CD168" s="2521"/>
      <c r="CE168" s="2521"/>
      <c r="CF168" s="2521"/>
      <c r="CG168" s="2521"/>
      <c r="CH168" s="2521"/>
      <c r="CI168" s="2521"/>
      <c r="CJ168" s="2521"/>
      <c r="CK168" s="2521"/>
      <c r="CL168" s="2521"/>
      <c r="CM168" s="2521"/>
      <c r="CN168" s="2521"/>
      <c r="CO168" s="2521"/>
      <c r="CP168" s="2521"/>
      <c r="CQ168" s="2521"/>
      <c r="CR168" s="2521"/>
      <c r="CS168" s="2521"/>
      <c r="CT168" s="2521"/>
      <c r="CU168" s="2521"/>
      <c r="CV168" s="2521"/>
      <c r="CW168" s="2521"/>
      <c r="CX168" s="2521"/>
      <c r="CY168" s="2521"/>
      <c r="CZ168" s="2521"/>
      <c r="DA168" s="2521"/>
      <c r="DB168" s="2521"/>
      <c r="DC168" s="2521"/>
      <c r="DD168" s="2521"/>
      <c r="DE168" s="2521"/>
      <c r="DF168" s="2521"/>
      <c r="DG168" s="2521"/>
      <c r="DH168" s="2521"/>
      <c r="DI168" s="2521"/>
      <c r="DJ168" s="2521"/>
      <c r="DK168" s="2521"/>
      <c r="DL168" s="2521"/>
      <c r="DM168" s="2521"/>
      <c r="DN168" s="2521"/>
      <c r="DO168" s="2521"/>
      <c r="DP168" s="2521"/>
      <c r="DQ168" s="2521"/>
      <c r="DR168" s="2521"/>
      <c r="DS168" s="2521"/>
      <c r="DT168" s="2521"/>
      <c r="DU168" s="2521"/>
      <c r="DV168" s="2521"/>
      <c r="DW168" s="2521"/>
      <c r="DX168" s="2521"/>
      <c r="DY168" s="2521"/>
      <c r="DZ168" s="2521"/>
      <c r="EA168" s="2521"/>
      <c r="EB168" s="2521"/>
      <c r="EC168" s="2521"/>
      <c r="ED168" s="2521"/>
      <c r="EE168" s="2521"/>
      <c r="EF168" s="2521"/>
      <c r="EG168" s="2521"/>
      <c r="EH168" s="2521"/>
      <c r="EI168" s="2521"/>
      <c r="EJ168" s="2521"/>
      <c r="EK168" s="2521"/>
      <c r="EL168" s="2521"/>
      <c r="EM168" s="2521"/>
      <c r="EN168" s="2521"/>
      <c r="EO168" s="2521"/>
      <c r="EP168" s="2521"/>
      <c r="EQ168" s="2521"/>
      <c r="ER168" s="2521"/>
      <c r="ES168" s="2521"/>
      <c r="ET168" s="2521"/>
      <c r="EU168" s="2521"/>
      <c r="EV168" s="2521"/>
      <c r="EW168" s="2521"/>
      <c r="EX168" s="2521"/>
      <c r="EY168" s="2521"/>
      <c r="EZ168" s="2521"/>
      <c r="FA168" s="2521"/>
      <c r="FB168" s="2521"/>
      <c r="FC168" s="2521"/>
      <c r="FD168" s="2521"/>
      <c r="FE168" s="2521"/>
      <c r="FF168" s="2521"/>
      <c r="FG168" s="2521"/>
      <c r="FH168" s="2521"/>
      <c r="FI168" s="2521"/>
      <c r="FJ168" s="2521"/>
      <c r="FK168" s="2521"/>
      <c r="FL168" s="2521"/>
      <c r="FM168" s="2521"/>
      <c r="FN168" s="2521"/>
      <c r="FO168" s="2521"/>
      <c r="FP168" s="2521"/>
      <c r="FQ168" s="2521"/>
      <c r="FR168" s="2521"/>
      <c r="FS168" s="2521"/>
      <c r="FT168" s="2521"/>
      <c r="FU168" s="2521"/>
      <c r="FV168" s="2521"/>
      <c r="FW168" s="2521"/>
      <c r="FX168" s="2521"/>
      <c r="FY168" s="2521"/>
      <c r="FZ168" s="2521"/>
      <c r="GA168" s="2521"/>
      <c r="GB168" s="2521"/>
      <c r="GC168" s="2521"/>
      <c r="GD168" s="2521"/>
      <c r="GE168" s="2521"/>
      <c r="GF168" s="2521"/>
      <c r="GG168" s="2521"/>
      <c r="GH168" s="2521"/>
      <c r="GI168" s="2521"/>
      <c r="GJ168" s="2521"/>
      <c r="GK168" s="2521"/>
      <c r="GL168" s="2521"/>
      <c r="GM168" s="2521"/>
      <c r="GN168" s="2521"/>
      <c r="GO168" s="2521"/>
      <c r="GP168" s="2521"/>
      <c r="GQ168" s="2521"/>
      <c r="GR168" s="2521"/>
      <c r="GS168" s="2521"/>
      <c r="GT168" s="2521"/>
      <c r="GU168" s="2521"/>
      <c r="GV168" s="2521"/>
      <c r="GW168" s="2521"/>
      <c r="GX168" s="2521"/>
      <c r="GY168" s="2521"/>
      <c r="GZ168" s="2521"/>
      <c r="HA168" s="2521"/>
      <c r="HB168" s="2521"/>
      <c r="HC168" s="2521"/>
      <c r="HD168" s="2521"/>
      <c r="HE168" s="2521"/>
      <c r="HF168" s="2521"/>
      <c r="HG168" s="2521"/>
      <c r="HH168" s="2521"/>
      <c r="HI168" s="2521"/>
      <c r="HJ168" s="2521"/>
      <c r="HK168" s="2521"/>
      <c r="HL168" s="2521"/>
      <c r="HM168" s="2521"/>
      <c r="HN168" s="2521"/>
      <c r="HO168" s="2521"/>
      <c r="HP168" s="2521"/>
      <c r="HQ168" s="2521"/>
      <c r="HR168" s="2521"/>
      <c r="HS168" s="2521"/>
      <c r="HT168" s="2521"/>
      <c r="HU168" s="2521"/>
      <c r="HV168" s="2521"/>
      <c r="HW168" s="2521"/>
      <c r="HX168" s="2521"/>
      <c r="HY168" s="2521"/>
      <c r="HZ168" s="2521"/>
      <c r="IA168" s="2521"/>
      <c r="IB168" s="2521"/>
      <c r="IC168" s="2521"/>
      <c r="ID168" s="2521"/>
      <c r="IE168" s="2521"/>
      <c r="IF168" s="2521"/>
      <c r="IG168" s="2521"/>
      <c r="IH168" s="2521"/>
      <c r="II168" s="2521"/>
      <c r="IJ168" s="2521"/>
      <c r="IK168" s="2521"/>
      <c r="IL168" s="2521"/>
      <c r="IM168" s="2521"/>
      <c r="IN168" s="2521"/>
      <c r="IO168" s="2521"/>
      <c r="IP168" s="2521"/>
      <c r="IQ168" s="2521"/>
      <c r="IR168" s="2521"/>
      <c r="IS168" s="2521"/>
      <c r="IT168" s="2521"/>
      <c r="IU168" s="2521"/>
      <c r="IV168" s="2521"/>
      <c r="IW168" s="2521"/>
      <c r="IX168" s="2521"/>
      <c r="IY168" s="2521"/>
      <c r="IZ168" s="2521"/>
      <c r="JA168" s="2521"/>
      <c r="JB168" s="2521"/>
      <c r="JC168" s="2521"/>
      <c r="JD168" s="2521"/>
      <c r="JE168" s="2521"/>
      <c r="JF168" s="2521"/>
      <c r="JG168" s="2522"/>
      <c r="JH168" s="1233"/>
      <c r="JI168" s="2248"/>
      <c r="JJ168" s="2248" t="s">
        <v>6124</v>
      </c>
    </row>
    <row ht="22.5" r="169" spans="1:270" x14ac:dyDescent="0.2">
      <c r="A169" s="1128">
        <v>19</v>
      </c>
      <c r="B169" s="1347" t="str">
        <f si="6" t="shared"/>
        <v/>
      </c>
      <c r="C169" s="1278" t="s">
        <v>1472</v>
      </c>
      <c r="D169" s="1350" t="s">
        <v>5249</v>
      </c>
      <c r="E169" s="2514">
        <f ref="E169:J169" si="9" t="shared">E163+E164+E165+E166+E167+E168</f>
        <v>570</v>
      </c>
      <c r="F169" s="2514">
        <f si="9" t="shared"/>
        <v>0</v>
      </c>
      <c r="G169" s="2514">
        <f si="9" t="shared"/>
        <v>1708</v>
      </c>
      <c r="H169" s="2514">
        <f si="9" t="shared"/>
        <v>754</v>
      </c>
      <c r="I169" s="2514">
        <f si="9" t="shared"/>
        <v>1405</v>
      </c>
      <c r="J169" s="2514">
        <f si="9" t="shared"/>
        <v>6261</v>
      </c>
      <c r="K169" s="2514">
        <f>K163+K164+K165+K166+K167+K168</f>
        <v>0</v>
      </c>
      <c r="L169" s="2515"/>
      <c r="M169" s="2515"/>
      <c r="N169" s="2515"/>
      <c r="O169" s="2515"/>
      <c r="P169" s="2515"/>
      <c r="Q169" s="2515"/>
      <c r="R169" s="2516"/>
      <c r="S169" s="2516"/>
      <c r="T169" s="2516"/>
      <c r="U169" s="2516"/>
      <c r="V169" s="2516"/>
      <c r="W169" s="2516"/>
      <c r="X169" s="2516"/>
      <c r="Y169" s="2516"/>
      <c r="Z169" s="2516"/>
      <c r="AA169" s="2516"/>
      <c r="AB169" s="2516"/>
      <c r="AC169" s="2516"/>
      <c r="AD169" s="2516"/>
      <c r="AE169" s="2516"/>
      <c r="AF169" s="2516"/>
      <c r="AG169" s="2516"/>
      <c r="AH169" s="2516"/>
      <c r="AI169" s="2516"/>
      <c r="AJ169" s="2516"/>
      <c r="AK169" s="2516"/>
      <c r="AL169" s="2516"/>
      <c r="AM169" s="2516"/>
      <c r="AN169" s="2516"/>
      <c r="AO169" s="2516"/>
      <c r="AP169" s="2516"/>
      <c r="AQ169" s="2516"/>
      <c r="AR169" s="2516"/>
      <c r="AS169" s="2516"/>
      <c r="AT169" s="2516"/>
      <c r="AU169" s="2516"/>
      <c r="AV169" s="2516"/>
      <c r="AW169" s="2516"/>
      <c r="AX169" s="2516"/>
      <c r="AY169" s="2516"/>
      <c r="AZ169" s="2516"/>
      <c r="BA169" s="2516"/>
      <c r="BB169" s="2516"/>
      <c r="BC169" s="2516"/>
      <c r="BD169" s="2516"/>
      <c r="BE169" s="2516"/>
      <c r="BF169" s="2516"/>
      <c r="BG169" s="2516"/>
      <c r="BH169" s="2516"/>
      <c r="BI169" s="2516"/>
      <c r="BJ169" s="2516"/>
      <c r="BK169" s="2516"/>
      <c r="BL169" s="2516"/>
      <c r="BM169" s="2516"/>
      <c r="BN169" s="2516"/>
      <c r="BO169" s="2516"/>
      <c r="BP169" s="2516"/>
      <c r="BQ169" s="2516"/>
      <c r="BR169" s="2516"/>
      <c r="BS169" s="2516"/>
      <c r="BT169" s="2516"/>
      <c r="BU169" s="2516"/>
      <c r="BV169" s="2516"/>
      <c r="BW169" s="2516"/>
      <c r="BX169" s="2516"/>
      <c r="BY169" s="2516"/>
      <c r="BZ169" s="2516"/>
      <c r="CA169" s="2516"/>
      <c r="CB169" s="2516"/>
      <c r="CC169" s="2516"/>
      <c r="CD169" s="2516"/>
      <c r="CE169" s="2516"/>
      <c r="CF169" s="2516"/>
      <c r="CG169" s="2516"/>
      <c r="CH169" s="2516"/>
      <c r="CI169" s="2516"/>
      <c r="CJ169" s="2516"/>
      <c r="CK169" s="2516"/>
      <c r="CL169" s="2516"/>
      <c r="CM169" s="2516"/>
      <c r="CN169" s="2516"/>
      <c r="CO169" s="2516"/>
      <c r="CP169" s="2516"/>
      <c r="CQ169" s="2516"/>
      <c r="CR169" s="2516"/>
      <c r="CS169" s="2516"/>
      <c r="CT169" s="2516"/>
      <c r="CU169" s="2516"/>
      <c r="CV169" s="2516"/>
      <c r="CW169" s="2516"/>
      <c r="CX169" s="2516"/>
      <c r="CY169" s="2516"/>
      <c r="CZ169" s="2516"/>
      <c r="DA169" s="2516"/>
      <c r="DB169" s="2516"/>
      <c r="DC169" s="2516"/>
      <c r="DD169" s="2516"/>
      <c r="DE169" s="2516"/>
      <c r="DF169" s="2516"/>
      <c r="DG169" s="2516"/>
      <c r="DH169" s="2516"/>
      <c r="DI169" s="2516"/>
      <c r="DJ169" s="2516"/>
      <c r="DK169" s="2516"/>
      <c r="DL169" s="2516"/>
      <c r="DM169" s="2516"/>
      <c r="DN169" s="2516"/>
      <c r="DO169" s="2516"/>
      <c r="DP169" s="2516"/>
      <c r="DQ169" s="2516"/>
      <c r="DR169" s="2516"/>
      <c r="DS169" s="2516"/>
      <c r="DT169" s="2516"/>
      <c r="DU169" s="2516"/>
      <c r="DV169" s="2516"/>
      <c r="DW169" s="2516"/>
      <c r="DX169" s="2516"/>
      <c r="DY169" s="2516"/>
      <c r="DZ169" s="2516"/>
      <c r="EA169" s="2516"/>
      <c r="EB169" s="2516"/>
      <c r="EC169" s="2516"/>
      <c r="ED169" s="2516"/>
      <c r="EE169" s="2516"/>
      <c r="EF169" s="2516"/>
      <c r="EG169" s="2516"/>
      <c r="EH169" s="2516"/>
      <c r="EI169" s="2516"/>
      <c r="EJ169" s="2516"/>
      <c r="EK169" s="2516"/>
      <c r="EL169" s="2516"/>
      <c r="EM169" s="2516"/>
      <c r="EN169" s="2516"/>
      <c r="EO169" s="2516"/>
      <c r="EP169" s="2516"/>
      <c r="EQ169" s="2516"/>
      <c r="ER169" s="2516"/>
      <c r="ES169" s="2516"/>
      <c r="ET169" s="2516"/>
      <c r="EU169" s="2516"/>
      <c r="EV169" s="2516"/>
      <c r="EW169" s="2516"/>
      <c r="EX169" s="2516"/>
      <c r="EY169" s="2516"/>
      <c r="EZ169" s="2516"/>
      <c r="FA169" s="2516"/>
      <c r="FB169" s="2516"/>
      <c r="FC169" s="2516"/>
      <c r="FD169" s="2516"/>
      <c r="FE169" s="2516"/>
      <c r="FF169" s="2516"/>
      <c r="FG169" s="2516"/>
      <c r="FH169" s="2516"/>
      <c r="FI169" s="2516"/>
      <c r="FJ169" s="2516"/>
      <c r="FK169" s="2516"/>
      <c r="FL169" s="2516"/>
      <c r="FM169" s="2516"/>
      <c r="FN169" s="2516"/>
      <c r="FO169" s="2516"/>
      <c r="FP169" s="2516"/>
      <c r="FQ169" s="2516"/>
      <c r="FR169" s="2516"/>
      <c r="FS169" s="2516"/>
      <c r="FT169" s="2516"/>
      <c r="FU169" s="2516"/>
      <c r="FV169" s="2516"/>
      <c r="FW169" s="2516"/>
      <c r="FX169" s="2516"/>
      <c r="FY169" s="2516"/>
      <c r="FZ169" s="2516"/>
      <c r="GA169" s="2516"/>
      <c r="GB169" s="2516"/>
      <c r="GC169" s="2516"/>
      <c r="GD169" s="2516"/>
      <c r="GE169" s="2516"/>
      <c r="GF169" s="2516"/>
      <c r="GG169" s="2516"/>
      <c r="GH169" s="2516"/>
      <c r="GI169" s="2516"/>
      <c r="GJ169" s="2516"/>
      <c r="GK169" s="2516"/>
      <c r="GL169" s="2516"/>
      <c r="GM169" s="2516"/>
      <c r="GN169" s="2516"/>
      <c r="GO169" s="2516"/>
      <c r="GP169" s="2516"/>
      <c r="GQ169" s="2516"/>
      <c r="GR169" s="2516"/>
      <c r="GS169" s="2516"/>
      <c r="GT169" s="2516"/>
      <c r="GU169" s="2516"/>
      <c r="GV169" s="2516"/>
      <c r="GW169" s="2516"/>
      <c r="GX169" s="2516"/>
      <c r="GY169" s="2516"/>
      <c r="GZ169" s="2516"/>
      <c r="HA169" s="2516"/>
      <c r="HB169" s="2516"/>
      <c r="HC169" s="2516"/>
      <c r="HD169" s="2516"/>
      <c r="HE169" s="2516"/>
      <c r="HF169" s="2516"/>
      <c r="HG169" s="2516"/>
      <c r="HH169" s="2516"/>
      <c r="HI169" s="2516"/>
      <c r="HJ169" s="2516"/>
      <c r="HK169" s="2516"/>
      <c r="HL169" s="2516"/>
      <c r="HM169" s="2516"/>
      <c r="HN169" s="2516"/>
      <c r="HO169" s="2516"/>
      <c r="HP169" s="2516"/>
      <c r="HQ169" s="2516"/>
      <c r="HR169" s="2516"/>
      <c r="HS169" s="2516"/>
      <c r="HT169" s="2516"/>
      <c r="HU169" s="2516"/>
      <c r="HV169" s="2516"/>
      <c r="HW169" s="2516"/>
      <c r="HX169" s="2516"/>
      <c r="HY169" s="2516"/>
      <c r="HZ169" s="2516"/>
      <c r="IA169" s="2516"/>
      <c r="IB169" s="2516"/>
      <c r="IC169" s="2516"/>
      <c r="ID169" s="2516"/>
      <c r="IE169" s="2516"/>
      <c r="IF169" s="2516"/>
      <c r="IG169" s="2516"/>
      <c r="IH169" s="2516"/>
      <c r="II169" s="2516"/>
      <c r="IJ169" s="2516"/>
      <c r="IK169" s="2516"/>
      <c r="IL169" s="2516"/>
      <c r="IM169" s="2516"/>
      <c r="IN169" s="2516"/>
      <c r="IO169" s="2516"/>
      <c r="IP169" s="2516"/>
      <c r="IQ169" s="2516"/>
      <c r="IR169" s="2516"/>
      <c r="IS169" s="2516"/>
      <c r="IT169" s="2516"/>
      <c r="IU169" s="2516"/>
      <c r="IV169" s="2516"/>
      <c r="IW169" s="2516"/>
      <c r="IX169" s="2516"/>
      <c r="IY169" s="2516"/>
      <c r="IZ169" s="2516"/>
      <c r="JA169" s="2516"/>
      <c r="JB169" s="2516"/>
      <c r="JC169" s="2516"/>
      <c r="JD169" s="2516"/>
      <c r="JE169" s="2516"/>
      <c r="JF169" s="2516"/>
      <c r="JG169" s="2517"/>
      <c r="JH169" s="1233"/>
      <c r="JI169" s="2248" t="s">
        <v>5560</v>
      </c>
      <c r="JJ169" s="2248" t="s">
        <v>6124</v>
      </c>
    </row>
    <row r="170" spans="1:270" x14ac:dyDescent="0.2">
      <c r="A170" s="2629">
        <v>20</v>
      </c>
      <c r="B170" s="2912"/>
      <c r="C170" s="2913" t="s">
        <v>3196</v>
      </c>
      <c r="D170" s="2910" t="s">
        <v>5250</v>
      </c>
      <c r="E170" s="2542"/>
      <c r="F170" s="2542"/>
      <c r="G170" s="2542"/>
      <c r="H170" s="2586"/>
      <c r="I170" s="2586"/>
      <c r="J170" s="2586"/>
      <c r="K170" s="2586"/>
      <c r="L170" s="2586"/>
      <c r="M170" s="2586"/>
      <c r="N170" s="2586"/>
      <c r="O170" s="2586"/>
      <c r="P170" s="2586"/>
      <c r="Q170" s="2586"/>
      <c r="R170" s="2587"/>
      <c r="S170" s="2587"/>
      <c r="T170" s="2587"/>
      <c r="U170" s="2587"/>
      <c r="V170" s="2587"/>
      <c r="W170" s="2587"/>
      <c r="X170" s="2587"/>
      <c r="Y170" s="2587"/>
      <c r="Z170" s="2587"/>
      <c r="AA170" s="2587"/>
      <c r="AB170" s="2587"/>
      <c r="AC170" s="2587"/>
      <c r="AD170" s="2587"/>
      <c r="AE170" s="2587"/>
      <c r="AF170" s="2587"/>
      <c r="AG170" s="2587"/>
      <c r="AH170" s="2587"/>
      <c r="AI170" s="2587"/>
      <c r="AJ170" s="2587"/>
      <c r="AK170" s="2587"/>
      <c r="AL170" s="2587"/>
      <c r="AM170" s="2587"/>
      <c r="AN170" s="2587"/>
      <c r="AO170" s="2587"/>
      <c r="AP170" s="2587"/>
      <c r="AQ170" s="2587"/>
      <c r="AR170" s="2587"/>
      <c r="AS170" s="2587"/>
      <c r="AT170" s="2587"/>
      <c r="AU170" s="2587"/>
      <c r="AV170" s="2587"/>
      <c r="AW170" s="2587"/>
      <c r="AX170" s="2587"/>
      <c r="AY170" s="2587"/>
      <c r="AZ170" s="2587"/>
      <c r="BA170" s="2587"/>
      <c r="BB170" s="2587"/>
      <c r="BC170" s="2587"/>
      <c r="BD170" s="2587"/>
      <c r="BE170" s="2587"/>
      <c r="BF170" s="2587"/>
      <c r="BG170" s="2587"/>
      <c r="BH170" s="2587"/>
      <c r="BI170" s="2587"/>
      <c r="BJ170" s="2587"/>
      <c r="BK170" s="2587"/>
      <c r="BL170" s="2587"/>
      <c r="BM170" s="2587"/>
      <c r="BN170" s="2587"/>
      <c r="BO170" s="2587"/>
      <c r="BP170" s="2587"/>
      <c r="BQ170" s="2587"/>
      <c r="BR170" s="2587"/>
      <c r="BS170" s="2587"/>
      <c r="BT170" s="2587"/>
      <c r="BU170" s="2587"/>
      <c r="BV170" s="2587"/>
      <c r="BW170" s="2587"/>
      <c r="BX170" s="2587"/>
      <c r="BY170" s="2587"/>
      <c r="BZ170" s="2587"/>
      <c r="CA170" s="2587"/>
      <c r="CB170" s="2587"/>
      <c r="CC170" s="2587"/>
      <c r="CD170" s="2587"/>
      <c r="CE170" s="2587"/>
      <c r="CF170" s="2587"/>
      <c r="CG170" s="2587"/>
      <c r="CH170" s="2587"/>
      <c r="CI170" s="2587"/>
      <c r="CJ170" s="2587"/>
      <c r="CK170" s="2587"/>
      <c r="CL170" s="2587"/>
      <c r="CM170" s="2587"/>
      <c r="CN170" s="2587"/>
      <c r="CO170" s="2587"/>
      <c r="CP170" s="2587"/>
      <c r="CQ170" s="2587"/>
      <c r="CR170" s="2587"/>
      <c r="CS170" s="2587"/>
      <c r="CT170" s="2587"/>
      <c r="CU170" s="2587"/>
      <c r="CV170" s="2587"/>
      <c r="CW170" s="2587"/>
      <c r="CX170" s="2587"/>
      <c r="CY170" s="2587"/>
      <c r="CZ170" s="2587"/>
      <c r="DA170" s="2587"/>
      <c r="DB170" s="2587"/>
      <c r="DC170" s="2587"/>
      <c r="DD170" s="2587"/>
      <c r="DE170" s="2587"/>
      <c r="DF170" s="2587"/>
      <c r="DG170" s="2587"/>
      <c r="DH170" s="2587"/>
      <c r="DI170" s="2587"/>
      <c r="DJ170" s="2587"/>
      <c r="DK170" s="2587"/>
      <c r="DL170" s="2587"/>
      <c r="DM170" s="2587"/>
      <c r="DN170" s="2587"/>
      <c r="DO170" s="2587"/>
      <c r="DP170" s="2587"/>
      <c r="DQ170" s="2587"/>
      <c r="DR170" s="2587"/>
      <c r="DS170" s="2587"/>
      <c r="DT170" s="2587"/>
      <c r="DU170" s="2587"/>
      <c r="DV170" s="2587"/>
      <c r="DW170" s="2587"/>
      <c r="DX170" s="2587"/>
      <c r="DY170" s="2587"/>
      <c r="DZ170" s="2587"/>
      <c r="EA170" s="2587"/>
      <c r="EB170" s="2587"/>
      <c r="EC170" s="2587"/>
      <c r="ED170" s="2587"/>
      <c r="EE170" s="2587"/>
      <c r="EF170" s="2587"/>
      <c r="EG170" s="2587"/>
      <c r="EH170" s="2587"/>
      <c r="EI170" s="2587"/>
      <c r="EJ170" s="2587"/>
      <c r="EK170" s="2587"/>
      <c r="EL170" s="2587"/>
      <c r="EM170" s="2587"/>
      <c r="EN170" s="2587"/>
      <c r="EO170" s="2587"/>
      <c r="EP170" s="2587"/>
      <c r="EQ170" s="2587"/>
      <c r="ER170" s="2587"/>
      <c r="ES170" s="2587"/>
      <c r="ET170" s="2587"/>
      <c r="EU170" s="2587"/>
      <c r="EV170" s="2587"/>
      <c r="EW170" s="2587"/>
      <c r="EX170" s="2587"/>
      <c r="EY170" s="2587"/>
      <c r="EZ170" s="2587"/>
      <c r="FA170" s="2587"/>
      <c r="FB170" s="2587"/>
      <c r="FC170" s="2587"/>
      <c r="FD170" s="2587"/>
      <c r="FE170" s="2587"/>
      <c r="FF170" s="2587"/>
      <c r="FG170" s="2587"/>
      <c r="FH170" s="2587"/>
      <c r="FI170" s="2587"/>
      <c r="FJ170" s="2587"/>
      <c r="FK170" s="2587"/>
      <c r="FL170" s="2587"/>
      <c r="FM170" s="2587"/>
      <c r="FN170" s="2587"/>
      <c r="FO170" s="2587"/>
      <c r="FP170" s="2587"/>
      <c r="FQ170" s="2587"/>
      <c r="FR170" s="2587"/>
      <c r="FS170" s="2587"/>
      <c r="FT170" s="2587"/>
      <c r="FU170" s="2587"/>
      <c r="FV170" s="2587"/>
      <c r="FW170" s="2587"/>
      <c r="FX170" s="2587"/>
      <c r="FY170" s="2587"/>
      <c r="FZ170" s="2587"/>
      <c r="GA170" s="2587"/>
      <c r="GB170" s="2587"/>
      <c r="GC170" s="2587"/>
      <c r="GD170" s="2587"/>
      <c r="GE170" s="2587"/>
      <c r="GF170" s="2587"/>
      <c r="GG170" s="2587"/>
      <c r="GH170" s="2587"/>
      <c r="GI170" s="2587"/>
      <c r="GJ170" s="2587"/>
      <c r="GK170" s="2587"/>
      <c r="GL170" s="2587"/>
      <c r="GM170" s="2587"/>
      <c r="GN170" s="2587"/>
      <c r="GO170" s="2587"/>
      <c r="GP170" s="2587"/>
      <c r="GQ170" s="2587"/>
      <c r="GR170" s="2587"/>
      <c r="GS170" s="2587"/>
      <c r="GT170" s="2587"/>
      <c r="GU170" s="2587"/>
      <c r="GV170" s="2587"/>
      <c r="GW170" s="2587"/>
      <c r="GX170" s="2587"/>
      <c r="GY170" s="2587"/>
      <c r="GZ170" s="2587"/>
      <c r="HA170" s="2587"/>
      <c r="HB170" s="2587"/>
      <c r="HC170" s="2587"/>
      <c r="HD170" s="2587"/>
      <c r="HE170" s="2587"/>
      <c r="HF170" s="2587"/>
      <c r="HG170" s="2587"/>
      <c r="HH170" s="2587"/>
      <c r="HI170" s="2587"/>
      <c r="HJ170" s="2587"/>
      <c r="HK170" s="2587"/>
      <c r="HL170" s="2587"/>
      <c r="HM170" s="2587"/>
      <c r="HN170" s="2587"/>
      <c r="HO170" s="2587"/>
      <c r="HP170" s="2587"/>
      <c r="HQ170" s="2587"/>
      <c r="HR170" s="2587"/>
      <c r="HS170" s="2587"/>
      <c r="HT170" s="2587"/>
      <c r="HU170" s="2587"/>
      <c r="HV170" s="2587"/>
      <c r="HW170" s="2587"/>
      <c r="HX170" s="2587"/>
      <c r="HY170" s="2587"/>
      <c r="HZ170" s="2587"/>
      <c r="IA170" s="2587"/>
      <c r="IB170" s="2587"/>
      <c r="IC170" s="2587"/>
      <c r="ID170" s="2587"/>
      <c r="IE170" s="2587"/>
      <c r="IF170" s="2587"/>
      <c r="IG170" s="2587"/>
      <c r="IH170" s="2587"/>
      <c r="II170" s="2587"/>
      <c r="IJ170" s="2587"/>
      <c r="IK170" s="2587"/>
      <c r="IL170" s="2587"/>
      <c r="IM170" s="2587"/>
      <c r="IN170" s="2587"/>
      <c r="IO170" s="2587"/>
      <c r="IP170" s="2587"/>
      <c r="IQ170" s="2587"/>
      <c r="IR170" s="2587"/>
      <c r="IS170" s="2587"/>
      <c r="IT170" s="2587"/>
      <c r="IU170" s="2587"/>
      <c r="IV170" s="2587"/>
      <c r="IW170" s="2587"/>
      <c r="IX170" s="2587"/>
      <c r="IY170" s="2587"/>
      <c r="IZ170" s="2587"/>
      <c r="JA170" s="2587"/>
      <c r="JB170" s="2587"/>
      <c r="JC170" s="2587"/>
      <c r="JD170" s="2587"/>
      <c r="JE170" s="2587"/>
      <c r="JF170" s="2587"/>
      <c r="JG170" s="2588"/>
      <c r="JH170" s="2633"/>
      <c r="JI170" s="4294" t="s">
        <v>8876</v>
      </c>
      <c r="JJ170" s="4294" t="s">
        <v>8876</v>
      </c>
    </row>
    <row r="171" spans="1:270" x14ac:dyDescent="0.2">
      <c r="A171" s="1128">
        <v>21</v>
      </c>
      <c r="B171" s="1347" t="str">
        <f si="6" t="shared"/>
        <v/>
      </c>
      <c r="C171" s="1278" t="s">
        <v>3197</v>
      </c>
      <c r="D171" s="1350" t="s">
        <v>5251</v>
      </c>
      <c r="E171" s="2472"/>
      <c r="F171" s="2472">
        <v>3203</v>
      </c>
      <c r="G171" s="2472"/>
      <c r="H171" s="2512">
        <v>19463</v>
      </c>
      <c r="I171" s="2512">
        <v>2860</v>
      </c>
      <c r="J171" s="2512">
        <v>79251</v>
      </c>
      <c r="K171" s="2512">
        <v>1288984</v>
      </c>
      <c r="L171" s="2579"/>
      <c r="M171" s="2579"/>
      <c r="N171" s="2579"/>
      <c r="O171" s="2579"/>
      <c r="P171" s="2579"/>
      <c r="Q171" s="2579"/>
      <c r="R171" s="2580"/>
      <c r="S171" s="2580"/>
      <c r="T171" s="2580"/>
      <c r="U171" s="2580"/>
      <c r="V171" s="2580"/>
      <c r="W171" s="2580"/>
      <c r="X171" s="2580"/>
      <c r="Y171" s="2580"/>
      <c r="Z171" s="2580"/>
      <c r="AA171" s="2580"/>
      <c r="AB171" s="2580"/>
      <c r="AC171" s="2580"/>
      <c r="AD171" s="2580"/>
      <c r="AE171" s="2580"/>
      <c r="AF171" s="2580"/>
      <c r="AG171" s="2580"/>
      <c r="AH171" s="2580"/>
      <c r="AI171" s="2580"/>
      <c r="AJ171" s="2580"/>
      <c r="AK171" s="2580"/>
      <c r="AL171" s="2580"/>
      <c r="AM171" s="2580"/>
      <c r="AN171" s="2580"/>
      <c r="AO171" s="2580"/>
      <c r="AP171" s="2580"/>
      <c r="AQ171" s="2580"/>
      <c r="AR171" s="2580"/>
      <c r="AS171" s="2580"/>
      <c r="AT171" s="2580"/>
      <c r="AU171" s="2580"/>
      <c r="AV171" s="2580"/>
      <c r="AW171" s="2580"/>
      <c r="AX171" s="2580"/>
      <c r="AY171" s="2580"/>
      <c r="AZ171" s="2580"/>
      <c r="BA171" s="2580"/>
      <c r="BB171" s="2580"/>
      <c r="BC171" s="2580"/>
      <c r="BD171" s="2580"/>
      <c r="BE171" s="2580"/>
      <c r="BF171" s="2580"/>
      <c r="BG171" s="2580"/>
      <c r="BH171" s="2580"/>
      <c r="BI171" s="2580"/>
      <c r="BJ171" s="2580"/>
      <c r="BK171" s="2580"/>
      <c r="BL171" s="2580"/>
      <c r="BM171" s="2580"/>
      <c r="BN171" s="2580"/>
      <c r="BO171" s="2580"/>
      <c r="BP171" s="2580"/>
      <c r="BQ171" s="2580"/>
      <c r="BR171" s="2580"/>
      <c r="BS171" s="2580"/>
      <c r="BT171" s="2580"/>
      <c r="BU171" s="2580"/>
      <c r="BV171" s="2580"/>
      <c r="BW171" s="2580"/>
      <c r="BX171" s="2580"/>
      <c r="BY171" s="2580"/>
      <c r="BZ171" s="2580"/>
      <c r="CA171" s="2580"/>
      <c r="CB171" s="2580"/>
      <c r="CC171" s="2580"/>
      <c r="CD171" s="2580"/>
      <c r="CE171" s="2580"/>
      <c r="CF171" s="2580"/>
      <c r="CG171" s="2580"/>
      <c r="CH171" s="2580"/>
      <c r="CI171" s="2580"/>
      <c r="CJ171" s="2580"/>
      <c r="CK171" s="2580"/>
      <c r="CL171" s="2580"/>
      <c r="CM171" s="2580"/>
      <c r="CN171" s="2580"/>
      <c r="CO171" s="2580"/>
      <c r="CP171" s="2580"/>
      <c r="CQ171" s="2580"/>
      <c r="CR171" s="2580"/>
      <c r="CS171" s="2580"/>
      <c r="CT171" s="2580"/>
      <c r="CU171" s="2580"/>
      <c r="CV171" s="2580"/>
      <c r="CW171" s="2580"/>
      <c r="CX171" s="2580"/>
      <c r="CY171" s="2580"/>
      <c r="CZ171" s="2580"/>
      <c r="DA171" s="2580"/>
      <c r="DB171" s="2580"/>
      <c r="DC171" s="2580"/>
      <c r="DD171" s="2580"/>
      <c r="DE171" s="2580"/>
      <c r="DF171" s="2580"/>
      <c r="DG171" s="2580"/>
      <c r="DH171" s="2580"/>
      <c r="DI171" s="2580"/>
      <c r="DJ171" s="2580"/>
      <c r="DK171" s="2580"/>
      <c r="DL171" s="2580"/>
      <c r="DM171" s="2580"/>
      <c r="DN171" s="2580"/>
      <c r="DO171" s="2580"/>
      <c r="DP171" s="2580"/>
      <c r="DQ171" s="2580"/>
      <c r="DR171" s="2580"/>
      <c r="DS171" s="2580"/>
      <c r="DT171" s="2580"/>
      <c r="DU171" s="2580"/>
      <c r="DV171" s="2580"/>
      <c r="DW171" s="2580"/>
      <c r="DX171" s="2580"/>
      <c r="DY171" s="2580"/>
      <c r="DZ171" s="2580"/>
      <c r="EA171" s="2580"/>
      <c r="EB171" s="2580"/>
      <c r="EC171" s="2580"/>
      <c r="ED171" s="2580"/>
      <c r="EE171" s="2580"/>
      <c r="EF171" s="2580"/>
      <c r="EG171" s="2580"/>
      <c r="EH171" s="2580"/>
      <c r="EI171" s="2580"/>
      <c r="EJ171" s="2580"/>
      <c r="EK171" s="2580"/>
      <c r="EL171" s="2580"/>
      <c r="EM171" s="2580"/>
      <c r="EN171" s="2580"/>
      <c r="EO171" s="2580"/>
      <c r="EP171" s="2580"/>
      <c r="EQ171" s="2580"/>
      <c r="ER171" s="2580"/>
      <c r="ES171" s="2580"/>
      <c r="ET171" s="2580"/>
      <c r="EU171" s="2580"/>
      <c r="EV171" s="2580"/>
      <c r="EW171" s="2580"/>
      <c r="EX171" s="2580"/>
      <c r="EY171" s="2580"/>
      <c r="EZ171" s="2580"/>
      <c r="FA171" s="2580"/>
      <c r="FB171" s="2580"/>
      <c r="FC171" s="2580"/>
      <c r="FD171" s="2580"/>
      <c r="FE171" s="2580"/>
      <c r="FF171" s="2580"/>
      <c r="FG171" s="2580"/>
      <c r="FH171" s="2580"/>
      <c r="FI171" s="2580"/>
      <c r="FJ171" s="2580"/>
      <c r="FK171" s="2580"/>
      <c r="FL171" s="2580"/>
      <c r="FM171" s="2580"/>
      <c r="FN171" s="2580"/>
      <c r="FO171" s="2580"/>
      <c r="FP171" s="2580"/>
      <c r="FQ171" s="2580"/>
      <c r="FR171" s="2580"/>
      <c r="FS171" s="2580"/>
      <c r="FT171" s="2580"/>
      <c r="FU171" s="2580"/>
      <c r="FV171" s="2580"/>
      <c r="FW171" s="2580"/>
      <c r="FX171" s="2580"/>
      <c r="FY171" s="2580"/>
      <c r="FZ171" s="2580"/>
      <c r="GA171" s="2580"/>
      <c r="GB171" s="2580"/>
      <c r="GC171" s="2580"/>
      <c r="GD171" s="2580"/>
      <c r="GE171" s="2580"/>
      <c r="GF171" s="2580"/>
      <c r="GG171" s="2580"/>
      <c r="GH171" s="2580"/>
      <c r="GI171" s="2580"/>
      <c r="GJ171" s="2580"/>
      <c r="GK171" s="2580"/>
      <c r="GL171" s="2580"/>
      <c r="GM171" s="2580"/>
      <c r="GN171" s="2580"/>
      <c r="GO171" s="2580"/>
      <c r="GP171" s="2580"/>
      <c r="GQ171" s="2580"/>
      <c r="GR171" s="2580"/>
      <c r="GS171" s="2580"/>
      <c r="GT171" s="2580"/>
      <c r="GU171" s="2580"/>
      <c r="GV171" s="2580"/>
      <c r="GW171" s="2580"/>
      <c r="GX171" s="2580"/>
      <c r="GY171" s="2580"/>
      <c r="GZ171" s="2580"/>
      <c r="HA171" s="2580"/>
      <c r="HB171" s="2580"/>
      <c r="HC171" s="2580"/>
      <c r="HD171" s="2580"/>
      <c r="HE171" s="2580"/>
      <c r="HF171" s="2580"/>
      <c r="HG171" s="2580"/>
      <c r="HH171" s="2580"/>
      <c r="HI171" s="2580"/>
      <c r="HJ171" s="2580"/>
      <c r="HK171" s="2580"/>
      <c r="HL171" s="2580"/>
      <c r="HM171" s="2580"/>
      <c r="HN171" s="2580"/>
      <c r="HO171" s="2580"/>
      <c r="HP171" s="2580"/>
      <c r="HQ171" s="2580"/>
      <c r="HR171" s="2580"/>
      <c r="HS171" s="2580"/>
      <c r="HT171" s="2580"/>
      <c r="HU171" s="2580"/>
      <c r="HV171" s="2580"/>
      <c r="HW171" s="2580"/>
      <c r="HX171" s="2580"/>
      <c r="HY171" s="2580"/>
      <c r="HZ171" s="2580"/>
      <c r="IA171" s="2580"/>
      <c r="IB171" s="2580"/>
      <c r="IC171" s="2580"/>
      <c r="ID171" s="2580"/>
      <c r="IE171" s="2580"/>
      <c r="IF171" s="2580"/>
      <c r="IG171" s="2580"/>
      <c r="IH171" s="2580"/>
      <c r="II171" s="2580"/>
      <c r="IJ171" s="2580"/>
      <c r="IK171" s="2580"/>
      <c r="IL171" s="2580"/>
      <c r="IM171" s="2580"/>
      <c r="IN171" s="2580"/>
      <c r="IO171" s="2580"/>
      <c r="IP171" s="2580"/>
      <c r="IQ171" s="2580"/>
      <c r="IR171" s="2580"/>
      <c r="IS171" s="2580"/>
      <c r="IT171" s="2580"/>
      <c r="IU171" s="2580"/>
      <c r="IV171" s="2580"/>
      <c r="IW171" s="2580"/>
      <c r="IX171" s="2580"/>
      <c r="IY171" s="2580"/>
      <c r="IZ171" s="2580"/>
      <c r="JA171" s="2580"/>
      <c r="JB171" s="2580"/>
      <c r="JC171" s="2580"/>
      <c r="JD171" s="2580"/>
      <c r="JE171" s="2580"/>
      <c r="JF171" s="2580"/>
      <c r="JG171" s="2581"/>
      <c r="JH171" s="1233"/>
      <c r="JI171" s="2248"/>
      <c r="JJ171" s="2248" t="s">
        <v>6108</v>
      </c>
    </row>
    <row r="172" spans="1:270" x14ac:dyDescent="0.2">
      <c r="A172" s="1128">
        <v>22</v>
      </c>
      <c r="B172" s="1347" t="str">
        <f si="6" t="shared"/>
        <v/>
      </c>
      <c r="C172" s="1278" t="s">
        <v>3198</v>
      </c>
      <c r="D172" s="1350" t="s">
        <v>5252</v>
      </c>
      <c r="E172" s="2472"/>
      <c r="F172" s="2472"/>
      <c r="G172" s="2472"/>
      <c r="H172" s="2512"/>
      <c r="I172" s="2512"/>
      <c r="J172" s="2512"/>
      <c r="K172" s="2512"/>
      <c r="L172" s="2579"/>
      <c r="M172" s="2579"/>
      <c r="N172" s="2579"/>
      <c r="O172" s="2579"/>
      <c r="P172" s="2579"/>
      <c r="Q172" s="2579"/>
      <c r="R172" s="2580"/>
      <c r="S172" s="2580"/>
      <c r="T172" s="2580"/>
      <c r="U172" s="2580"/>
      <c r="V172" s="2580"/>
      <c r="W172" s="2580"/>
      <c r="X172" s="2580"/>
      <c r="Y172" s="2580"/>
      <c r="Z172" s="2580"/>
      <c r="AA172" s="2580"/>
      <c r="AB172" s="2580"/>
      <c r="AC172" s="2580"/>
      <c r="AD172" s="2580"/>
      <c r="AE172" s="2580"/>
      <c r="AF172" s="2580"/>
      <c r="AG172" s="2580"/>
      <c r="AH172" s="2580"/>
      <c r="AI172" s="2580"/>
      <c r="AJ172" s="2580"/>
      <c r="AK172" s="2580"/>
      <c r="AL172" s="2580"/>
      <c r="AM172" s="2580"/>
      <c r="AN172" s="2580"/>
      <c r="AO172" s="2580"/>
      <c r="AP172" s="2580"/>
      <c r="AQ172" s="2580"/>
      <c r="AR172" s="2580"/>
      <c r="AS172" s="2580"/>
      <c r="AT172" s="2580"/>
      <c r="AU172" s="2580"/>
      <c r="AV172" s="2580"/>
      <c r="AW172" s="2580"/>
      <c r="AX172" s="2580"/>
      <c r="AY172" s="2580"/>
      <c r="AZ172" s="2580"/>
      <c r="BA172" s="2580"/>
      <c r="BB172" s="2580"/>
      <c r="BC172" s="2580"/>
      <c r="BD172" s="2580"/>
      <c r="BE172" s="2580"/>
      <c r="BF172" s="2580"/>
      <c r="BG172" s="2580"/>
      <c r="BH172" s="2580"/>
      <c r="BI172" s="2580"/>
      <c r="BJ172" s="2580"/>
      <c r="BK172" s="2580"/>
      <c r="BL172" s="2580"/>
      <c r="BM172" s="2580"/>
      <c r="BN172" s="2580"/>
      <c r="BO172" s="2580"/>
      <c r="BP172" s="2580"/>
      <c r="BQ172" s="2580"/>
      <c r="BR172" s="2580"/>
      <c r="BS172" s="2580"/>
      <c r="BT172" s="2580"/>
      <c r="BU172" s="2580"/>
      <c r="BV172" s="2580"/>
      <c r="BW172" s="2580"/>
      <c r="BX172" s="2580"/>
      <c r="BY172" s="2580"/>
      <c r="BZ172" s="2580"/>
      <c r="CA172" s="2580"/>
      <c r="CB172" s="2580"/>
      <c r="CC172" s="2580"/>
      <c r="CD172" s="2580"/>
      <c r="CE172" s="2580"/>
      <c r="CF172" s="2580"/>
      <c r="CG172" s="2580"/>
      <c r="CH172" s="2580"/>
      <c r="CI172" s="2580"/>
      <c r="CJ172" s="2580"/>
      <c r="CK172" s="2580"/>
      <c r="CL172" s="2580"/>
      <c r="CM172" s="2580"/>
      <c r="CN172" s="2580"/>
      <c r="CO172" s="2580"/>
      <c r="CP172" s="2580"/>
      <c r="CQ172" s="2580"/>
      <c r="CR172" s="2580"/>
      <c r="CS172" s="2580"/>
      <c r="CT172" s="2580"/>
      <c r="CU172" s="2580"/>
      <c r="CV172" s="2580"/>
      <c r="CW172" s="2580"/>
      <c r="CX172" s="2580"/>
      <c r="CY172" s="2580"/>
      <c r="CZ172" s="2580"/>
      <c r="DA172" s="2580"/>
      <c r="DB172" s="2580"/>
      <c r="DC172" s="2580"/>
      <c r="DD172" s="2580"/>
      <c r="DE172" s="2580"/>
      <c r="DF172" s="2580"/>
      <c r="DG172" s="2580"/>
      <c r="DH172" s="2580"/>
      <c r="DI172" s="2580"/>
      <c r="DJ172" s="2580"/>
      <c r="DK172" s="2580"/>
      <c r="DL172" s="2580"/>
      <c r="DM172" s="2580"/>
      <c r="DN172" s="2580"/>
      <c r="DO172" s="2580"/>
      <c r="DP172" s="2580"/>
      <c r="DQ172" s="2580"/>
      <c r="DR172" s="2580"/>
      <c r="DS172" s="2580"/>
      <c r="DT172" s="2580"/>
      <c r="DU172" s="2580"/>
      <c r="DV172" s="2580"/>
      <c r="DW172" s="2580"/>
      <c r="DX172" s="2580"/>
      <c r="DY172" s="2580"/>
      <c r="DZ172" s="2580"/>
      <c r="EA172" s="2580"/>
      <c r="EB172" s="2580"/>
      <c r="EC172" s="2580"/>
      <c r="ED172" s="2580"/>
      <c r="EE172" s="2580"/>
      <c r="EF172" s="2580"/>
      <c r="EG172" s="2580"/>
      <c r="EH172" s="2580"/>
      <c r="EI172" s="2580"/>
      <c r="EJ172" s="2580"/>
      <c r="EK172" s="2580"/>
      <c r="EL172" s="2580"/>
      <c r="EM172" s="2580"/>
      <c r="EN172" s="2580"/>
      <c r="EO172" s="2580"/>
      <c r="EP172" s="2580"/>
      <c r="EQ172" s="2580"/>
      <c r="ER172" s="2580"/>
      <c r="ES172" s="2580"/>
      <c r="ET172" s="2580"/>
      <c r="EU172" s="2580"/>
      <c r="EV172" s="2580"/>
      <c r="EW172" s="2580"/>
      <c r="EX172" s="2580"/>
      <c r="EY172" s="2580"/>
      <c r="EZ172" s="2580"/>
      <c r="FA172" s="2580"/>
      <c r="FB172" s="2580"/>
      <c r="FC172" s="2580"/>
      <c r="FD172" s="2580"/>
      <c r="FE172" s="2580"/>
      <c r="FF172" s="2580"/>
      <c r="FG172" s="2580"/>
      <c r="FH172" s="2580"/>
      <c r="FI172" s="2580"/>
      <c r="FJ172" s="2580"/>
      <c r="FK172" s="2580"/>
      <c r="FL172" s="2580"/>
      <c r="FM172" s="2580"/>
      <c r="FN172" s="2580"/>
      <c r="FO172" s="2580"/>
      <c r="FP172" s="2580"/>
      <c r="FQ172" s="2580"/>
      <c r="FR172" s="2580"/>
      <c r="FS172" s="2580"/>
      <c r="FT172" s="2580"/>
      <c r="FU172" s="2580"/>
      <c r="FV172" s="2580"/>
      <c r="FW172" s="2580"/>
      <c r="FX172" s="2580"/>
      <c r="FY172" s="2580"/>
      <c r="FZ172" s="2580"/>
      <c r="GA172" s="2580"/>
      <c r="GB172" s="2580"/>
      <c r="GC172" s="2580"/>
      <c r="GD172" s="2580"/>
      <c r="GE172" s="2580"/>
      <c r="GF172" s="2580"/>
      <c r="GG172" s="2580"/>
      <c r="GH172" s="2580"/>
      <c r="GI172" s="2580"/>
      <c r="GJ172" s="2580"/>
      <c r="GK172" s="2580"/>
      <c r="GL172" s="2580"/>
      <c r="GM172" s="2580"/>
      <c r="GN172" s="2580"/>
      <c r="GO172" s="2580"/>
      <c r="GP172" s="2580"/>
      <c r="GQ172" s="2580"/>
      <c r="GR172" s="2580"/>
      <c r="GS172" s="2580"/>
      <c r="GT172" s="2580"/>
      <c r="GU172" s="2580"/>
      <c r="GV172" s="2580"/>
      <c r="GW172" s="2580"/>
      <c r="GX172" s="2580"/>
      <c r="GY172" s="2580"/>
      <c r="GZ172" s="2580"/>
      <c r="HA172" s="2580"/>
      <c r="HB172" s="2580"/>
      <c r="HC172" s="2580"/>
      <c r="HD172" s="2580"/>
      <c r="HE172" s="2580"/>
      <c r="HF172" s="2580"/>
      <c r="HG172" s="2580"/>
      <c r="HH172" s="2580"/>
      <c r="HI172" s="2580"/>
      <c r="HJ172" s="2580"/>
      <c r="HK172" s="2580"/>
      <c r="HL172" s="2580"/>
      <c r="HM172" s="2580"/>
      <c r="HN172" s="2580"/>
      <c r="HO172" s="2580"/>
      <c r="HP172" s="2580"/>
      <c r="HQ172" s="2580"/>
      <c r="HR172" s="2580"/>
      <c r="HS172" s="2580"/>
      <c r="HT172" s="2580"/>
      <c r="HU172" s="2580"/>
      <c r="HV172" s="2580"/>
      <c r="HW172" s="2580"/>
      <c r="HX172" s="2580"/>
      <c r="HY172" s="2580"/>
      <c r="HZ172" s="2580"/>
      <c r="IA172" s="2580"/>
      <c r="IB172" s="2580"/>
      <c r="IC172" s="2580"/>
      <c r="ID172" s="2580"/>
      <c r="IE172" s="2580"/>
      <c r="IF172" s="2580"/>
      <c r="IG172" s="2580"/>
      <c r="IH172" s="2580"/>
      <c r="II172" s="2580"/>
      <c r="IJ172" s="2580"/>
      <c r="IK172" s="2580"/>
      <c r="IL172" s="2580"/>
      <c r="IM172" s="2580"/>
      <c r="IN172" s="2580"/>
      <c r="IO172" s="2580"/>
      <c r="IP172" s="2580"/>
      <c r="IQ172" s="2580"/>
      <c r="IR172" s="2580"/>
      <c r="IS172" s="2580"/>
      <c r="IT172" s="2580"/>
      <c r="IU172" s="2580"/>
      <c r="IV172" s="2580"/>
      <c r="IW172" s="2580"/>
      <c r="IX172" s="2580"/>
      <c r="IY172" s="2580"/>
      <c r="IZ172" s="2580"/>
      <c r="JA172" s="2580"/>
      <c r="JB172" s="2580"/>
      <c r="JC172" s="2580"/>
      <c r="JD172" s="2580"/>
      <c r="JE172" s="2580"/>
      <c r="JF172" s="2580"/>
      <c r="JG172" s="2581"/>
      <c r="JH172" s="1233"/>
      <c r="JI172" s="2248"/>
      <c r="JJ172" s="2248" t="s">
        <v>6108</v>
      </c>
    </row>
    <row r="173" spans="1:270" x14ac:dyDescent="0.2">
      <c r="A173" s="1128">
        <v>23</v>
      </c>
      <c r="B173" s="1347" t="str">
        <f si="6" t="shared"/>
        <v/>
      </c>
      <c r="C173" s="1278" t="s">
        <v>3199</v>
      </c>
      <c r="D173" s="1350" t="s">
        <v>5253</v>
      </c>
      <c r="E173" s="2472"/>
      <c r="F173" s="2472"/>
      <c r="G173" s="2472"/>
      <c r="H173" s="2512">
        <v>945</v>
      </c>
      <c r="I173" s="2512"/>
      <c r="J173" s="2512"/>
      <c r="K173" s="2512"/>
      <c r="L173" s="2579"/>
      <c r="M173" s="2579"/>
      <c r="N173" s="2579"/>
      <c r="O173" s="2579"/>
      <c r="P173" s="2579"/>
      <c r="Q173" s="2579"/>
      <c r="R173" s="2580"/>
      <c r="S173" s="2580"/>
      <c r="T173" s="2580"/>
      <c r="U173" s="2580"/>
      <c r="V173" s="2580"/>
      <c r="W173" s="2580"/>
      <c r="X173" s="2580"/>
      <c r="Y173" s="2580"/>
      <c r="Z173" s="2580"/>
      <c r="AA173" s="2580"/>
      <c r="AB173" s="2580"/>
      <c r="AC173" s="2580"/>
      <c r="AD173" s="2580"/>
      <c r="AE173" s="2580"/>
      <c r="AF173" s="2580"/>
      <c r="AG173" s="2580"/>
      <c r="AH173" s="2580"/>
      <c r="AI173" s="2580"/>
      <c r="AJ173" s="2580"/>
      <c r="AK173" s="2580"/>
      <c r="AL173" s="2580"/>
      <c r="AM173" s="2580"/>
      <c r="AN173" s="2580"/>
      <c r="AO173" s="2580"/>
      <c r="AP173" s="2580"/>
      <c r="AQ173" s="2580"/>
      <c r="AR173" s="2580"/>
      <c r="AS173" s="2580"/>
      <c r="AT173" s="2580"/>
      <c r="AU173" s="2580"/>
      <c r="AV173" s="2580"/>
      <c r="AW173" s="2580"/>
      <c r="AX173" s="2580"/>
      <c r="AY173" s="2580"/>
      <c r="AZ173" s="2580"/>
      <c r="BA173" s="2580"/>
      <c r="BB173" s="2580"/>
      <c r="BC173" s="2580"/>
      <c r="BD173" s="2580"/>
      <c r="BE173" s="2580"/>
      <c r="BF173" s="2580"/>
      <c r="BG173" s="2580"/>
      <c r="BH173" s="2580"/>
      <c r="BI173" s="2580"/>
      <c r="BJ173" s="2580"/>
      <c r="BK173" s="2580"/>
      <c r="BL173" s="2580"/>
      <c r="BM173" s="2580"/>
      <c r="BN173" s="2580"/>
      <c r="BO173" s="2580"/>
      <c r="BP173" s="2580"/>
      <c r="BQ173" s="2580"/>
      <c r="BR173" s="2580"/>
      <c r="BS173" s="2580"/>
      <c r="BT173" s="2580"/>
      <c r="BU173" s="2580"/>
      <c r="BV173" s="2580"/>
      <c r="BW173" s="2580"/>
      <c r="BX173" s="2580"/>
      <c r="BY173" s="2580"/>
      <c r="BZ173" s="2580"/>
      <c r="CA173" s="2580"/>
      <c r="CB173" s="2580"/>
      <c r="CC173" s="2580"/>
      <c r="CD173" s="2580"/>
      <c r="CE173" s="2580"/>
      <c r="CF173" s="2580"/>
      <c r="CG173" s="2580"/>
      <c r="CH173" s="2580"/>
      <c r="CI173" s="2580"/>
      <c r="CJ173" s="2580"/>
      <c r="CK173" s="2580"/>
      <c r="CL173" s="2580"/>
      <c r="CM173" s="2580"/>
      <c r="CN173" s="2580"/>
      <c r="CO173" s="2580"/>
      <c r="CP173" s="2580"/>
      <c r="CQ173" s="2580"/>
      <c r="CR173" s="2580"/>
      <c r="CS173" s="2580"/>
      <c r="CT173" s="2580"/>
      <c r="CU173" s="2580"/>
      <c r="CV173" s="2580"/>
      <c r="CW173" s="2580"/>
      <c r="CX173" s="2580"/>
      <c r="CY173" s="2580"/>
      <c r="CZ173" s="2580"/>
      <c r="DA173" s="2580"/>
      <c r="DB173" s="2580"/>
      <c r="DC173" s="2580"/>
      <c r="DD173" s="2580"/>
      <c r="DE173" s="2580"/>
      <c r="DF173" s="2580"/>
      <c r="DG173" s="2580"/>
      <c r="DH173" s="2580"/>
      <c r="DI173" s="2580"/>
      <c r="DJ173" s="2580"/>
      <c r="DK173" s="2580"/>
      <c r="DL173" s="2580"/>
      <c r="DM173" s="2580"/>
      <c r="DN173" s="2580"/>
      <c r="DO173" s="2580"/>
      <c r="DP173" s="2580"/>
      <c r="DQ173" s="2580"/>
      <c r="DR173" s="2580"/>
      <c r="DS173" s="2580"/>
      <c r="DT173" s="2580"/>
      <c r="DU173" s="2580"/>
      <c r="DV173" s="2580"/>
      <c r="DW173" s="2580"/>
      <c r="DX173" s="2580"/>
      <c r="DY173" s="2580"/>
      <c r="DZ173" s="2580"/>
      <c r="EA173" s="2580"/>
      <c r="EB173" s="2580"/>
      <c r="EC173" s="2580"/>
      <c r="ED173" s="2580"/>
      <c r="EE173" s="2580"/>
      <c r="EF173" s="2580"/>
      <c r="EG173" s="2580"/>
      <c r="EH173" s="2580"/>
      <c r="EI173" s="2580"/>
      <c r="EJ173" s="2580"/>
      <c r="EK173" s="2580"/>
      <c r="EL173" s="2580"/>
      <c r="EM173" s="2580"/>
      <c r="EN173" s="2580"/>
      <c r="EO173" s="2580"/>
      <c r="EP173" s="2580"/>
      <c r="EQ173" s="2580"/>
      <c r="ER173" s="2580"/>
      <c r="ES173" s="2580"/>
      <c r="ET173" s="2580"/>
      <c r="EU173" s="2580"/>
      <c r="EV173" s="2580"/>
      <c r="EW173" s="2580"/>
      <c r="EX173" s="2580"/>
      <c r="EY173" s="2580"/>
      <c r="EZ173" s="2580"/>
      <c r="FA173" s="2580"/>
      <c r="FB173" s="2580"/>
      <c r="FC173" s="2580"/>
      <c r="FD173" s="2580"/>
      <c r="FE173" s="2580"/>
      <c r="FF173" s="2580"/>
      <c r="FG173" s="2580"/>
      <c r="FH173" s="2580"/>
      <c r="FI173" s="2580"/>
      <c r="FJ173" s="2580"/>
      <c r="FK173" s="2580"/>
      <c r="FL173" s="2580"/>
      <c r="FM173" s="2580"/>
      <c r="FN173" s="2580"/>
      <c r="FO173" s="2580"/>
      <c r="FP173" s="2580"/>
      <c r="FQ173" s="2580"/>
      <c r="FR173" s="2580"/>
      <c r="FS173" s="2580"/>
      <c r="FT173" s="2580"/>
      <c r="FU173" s="2580"/>
      <c r="FV173" s="2580"/>
      <c r="FW173" s="2580"/>
      <c r="FX173" s="2580"/>
      <c r="FY173" s="2580"/>
      <c r="FZ173" s="2580"/>
      <c r="GA173" s="2580"/>
      <c r="GB173" s="2580"/>
      <c r="GC173" s="2580"/>
      <c r="GD173" s="2580"/>
      <c r="GE173" s="2580"/>
      <c r="GF173" s="2580"/>
      <c r="GG173" s="2580"/>
      <c r="GH173" s="2580"/>
      <c r="GI173" s="2580"/>
      <c r="GJ173" s="2580"/>
      <c r="GK173" s="2580"/>
      <c r="GL173" s="2580"/>
      <c r="GM173" s="2580"/>
      <c r="GN173" s="2580"/>
      <c r="GO173" s="2580"/>
      <c r="GP173" s="2580"/>
      <c r="GQ173" s="2580"/>
      <c r="GR173" s="2580"/>
      <c r="GS173" s="2580"/>
      <c r="GT173" s="2580"/>
      <c r="GU173" s="2580"/>
      <c r="GV173" s="2580"/>
      <c r="GW173" s="2580"/>
      <c r="GX173" s="2580"/>
      <c r="GY173" s="2580"/>
      <c r="GZ173" s="2580"/>
      <c r="HA173" s="2580"/>
      <c r="HB173" s="2580"/>
      <c r="HC173" s="2580"/>
      <c r="HD173" s="2580"/>
      <c r="HE173" s="2580"/>
      <c r="HF173" s="2580"/>
      <c r="HG173" s="2580"/>
      <c r="HH173" s="2580"/>
      <c r="HI173" s="2580"/>
      <c r="HJ173" s="2580"/>
      <c r="HK173" s="2580"/>
      <c r="HL173" s="2580"/>
      <c r="HM173" s="2580"/>
      <c r="HN173" s="2580"/>
      <c r="HO173" s="2580"/>
      <c r="HP173" s="2580"/>
      <c r="HQ173" s="2580"/>
      <c r="HR173" s="2580"/>
      <c r="HS173" s="2580"/>
      <c r="HT173" s="2580"/>
      <c r="HU173" s="2580"/>
      <c r="HV173" s="2580"/>
      <c r="HW173" s="2580"/>
      <c r="HX173" s="2580"/>
      <c r="HY173" s="2580"/>
      <c r="HZ173" s="2580"/>
      <c r="IA173" s="2580"/>
      <c r="IB173" s="2580"/>
      <c r="IC173" s="2580"/>
      <c r="ID173" s="2580"/>
      <c r="IE173" s="2580"/>
      <c r="IF173" s="2580"/>
      <c r="IG173" s="2580"/>
      <c r="IH173" s="2580"/>
      <c r="II173" s="2580"/>
      <c r="IJ173" s="2580"/>
      <c r="IK173" s="2580"/>
      <c r="IL173" s="2580"/>
      <c r="IM173" s="2580"/>
      <c r="IN173" s="2580"/>
      <c r="IO173" s="2580"/>
      <c r="IP173" s="2580"/>
      <c r="IQ173" s="2580"/>
      <c r="IR173" s="2580"/>
      <c r="IS173" s="2580"/>
      <c r="IT173" s="2580"/>
      <c r="IU173" s="2580"/>
      <c r="IV173" s="2580"/>
      <c r="IW173" s="2580"/>
      <c r="IX173" s="2580"/>
      <c r="IY173" s="2580"/>
      <c r="IZ173" s="2580"/>
      <c r="JA173" s="2580"/>
      <c r="JB173" s="2580"/>
      <c r="JC173" s="2580"/>
      <c r="JD173" s="2580"/>
      <c r="JE173" s="2580"/>
      <c r="JF173" s="2580"/>
      <c r="JG173" s="2581"/>
      <c r="JH173" s="1233"/>
      <c r="JI173" s="2248"/>
      <c r="JJ173" s="2248" t="s">
        <v>6108</v>
      </c>
    </row>
    <row r="174" spans="1:270" x14ac:dyDescent="0.2">
      <c r="A174" s="1128">
        <v>24</v>
      </c>
      <c r="B174" s="1347" t="str">
        <f si="6" t="shared"/>
        <v/>
      </c>
      <c r="C174" s="1278" t="s">
        <v>3200</v>
      </c>
      <c r="D174" s="1350" t="s">
        <v>5254</v>
      </c>
      <c r="E174" s="2472">
        <v>521</v>
      </c>
      <c r="F174" s="2472">
        <v>2691</v>
      </c>
      <c r="G174" s="2472"/>
      <c r="H174" s="2512"/>
      <c r="I174" s="2512"/>
      <c r="J174" s="2512"/>
      <c r="K174" s="2512"/>
      <c r="L174" s="2579"/>
      <c r="M174" s="2579"/>
      <c r="N174" s="2579"/>
      <c r="O174" s="2579"/>
      <c r="P174" s="2579"/>
      <c r="Q174" s="2579"/>
      <c r="R174" s="2580"/>
      <c r="S174" s="2580"/>
      <c r="T174" s="2580"/>
      <c r="U174" s="2580"/>
      <c r="V174" s="2580"/>
      <c r="W174" s="2580"/>
      <c r="X174" s="2580"/>
      <c r="Y174" s="2580"/>
      <c r="Z174" s="2580"/>
      <c r="AA174" s="2580"/>
      <c r="AB174" s="2580"/>
      <c r="AC174" s="2580"/>
      <c r="AD174" s="2580"/>
      <c r="AE174" s="2580"/>
      <c r="AF174" s="2580"/>
      <c r="AG174" s="2580"/>
      <c r="AH174" s="2580"/>
      <c r="AI174" s="2580"/>
      <c r="AJ174" s="2580"/>
      <c r="AK174" s="2580"/>
      <c r="AL174" s="2580"/>
      <c r="AM174" s="2580"/>
      <c r="AN174" s="2580"/>
      <c r="AO174" s="2580"/>
      <c r="AP174" s="2580"/>
      <c r="AQ174" s="2580"/>
      <c r="AR174" s="2580"/>
      <c r="AS174" s="2580"/>
      <c r="AT174" s="2580"/>
      <c r="AU174" s="2580"/>
      <c r="AV174" s="2580"/>
      <c r="AW174" s="2580"/>
      <c r="AX174" s="2580"/>
      <c r="AY174" s="2580"/>
      <c r="AZ174" s="2580"/>
      <c r="BA174" s="2580"/>
      <c r="BB174" s="2580"/>
      <c r="BC174" s="2580"/>
      <c r="BD174" s="2580"/>
      <c r="BE174" s="2580"/>
      <c r="BF174" s="2580"/>
      <c r="BG174" s="2580"/>
      <c r="BH174" s="2580"/>
      <c r="BI174" s="2580"/>
      <c r="BJ174" s="2580"/>
      <c r="BK174" s="2580"/>
      <c r="BL174" s="2580"/>
      <c r="BM174" s="2580"/>
      <c r="BN174" s="2580"/>
      <c r="BO174" s="2580"/>
      <c r="BP174" s="2580"/>
      <c r="BQ174" s="2580"/>
      <c r="BR174" s="2580"/>
      <c r="BS174" s="2580"/>
      <c r="BT174" s="2580"/>
      <c r="BU174" s="2580"/>
      <c r="BV174" s="2580"/>
      <c r="BW174" s="2580"/>
      <c r="BX174" s="2580"/>
      <c r="BY174" s="2580"/>
      <c r="BZ174" s="2580"/>
      <c r="CA174" s="2580"/>
      <c r="CB174" s="2580"/>
      <c r="CC174" s="2580"/>
      <c r="CD174" s="2580"/>
      <c r="CE174" s="2580"/>
      <c r="CF174" s="2580"/>
      <c r="CG174" s="2580"/>
      <c r="CH174" s="2580"/>
      <c r="CI174" s="2580"/>
      <c r="CJ174" s="2580"/>
      <c r="CK174" s="2580"/>
      <c r="CL174" s="2580"/>
      <c r="CM174" s="2580"/>
      <c r="CN174" s="2580"/>
      <c r="CO174" s="2580"/>
      <c r="CP174" s="2580"/>
      <c r="CQ174" s="2580"/>
      <c r="CR174" s="2580"/>
      <c r="CS174" s="2580"/>
      <c r="CT174" s="2580"/>
      <c r="CU174" s="2580"/>
      <c r="CV174" s="2580"/>
      <c r="CW174" s="2580"/>
      <c r="CX174" s="2580"/>
      <c r="CY174" s="2580"/>
      <c r="CZ174" s="2580"/>
      <c r="DA174" s="2580"/>
      <c r="DB174" s="2580"/>
      <c r="DC174" s="2580"/>
      <c r="DD174" s="2580"/>
      <c r="DE174" s="2580"/>
      <c r="DF174" s="2580"/>
      <c r="DG174" s="2580"/>
      <c r="DH174" s="2580"/>
      <c r="DI174" s="2580"/>
      <c r="DJ174" s="2580"/>
      <c r="DK174" s="2580"/>
      <c r="DL174" s="2580"/>
      <c r="DM174" s="2580"/>
      <c r="DN174" s="2580"/>
      <c r="DO174" s="2580"/>
      <c r="DP174" s="2580"/>
      <c r="DQ174" s="2580"/>
      <c r="DR174" s="2580"/>
      <c r="DS174" s="2580"/>
      <c r="DT174" s="2580"/>
      <c r="DU174" s="2580"/>
      <c r="DV174" s="2580"/>
      <c r="DW174" s="2580"/>
      <c r="DX174" s="2580"/>
      <c r="DY174" s="2580"/>
      <c r="DZ174" s="2580"/>
      <c r="EA174" s="2580"/>
      <c r="EB174" s="2580"/>
      <c r="EC174" s="2580"/>
      <c r="ED174" s="2580"/>
      <c r="EE174" s="2580"/>
      <c r="EF174" s="2580"/>
      <c r="EG174" s="2580"/>
      <c r="EH174" s="2580"/>
      <c r="EI174" s="2580"/>
      <c r="EJ174" s="2580"/>
      <c r="EK174" s="2580"/>
      <c r="EL174" s="2580"/>
      <c r="EM174" s="2580"/>
      <c r="EN174" s="2580"/>
      <c r="EO174" s="2580"/>
      <c r="EP174" s="2580"/>
      <c r="EQ174" s="2580"/>
      <c r="ER174" s="2580"/>
      <c r="ES174" s="2580"/>
      <c r="ET174" s="2580"/>
      <c r="EU174" s="2580"/>
      <c r="EV174" s="2580"/>
      <c r="EW174" s="2580"/>
      <c r="EX174" s="2580"/>
      <c r="EY174" s="2580"/>
      <c r="EZ174" s="2580"/>
      <c r="FA174" s="2580"/>
      <c r="FB174" s="2580"/>
      <c r="FC174" s="2580"/>
      <c r="FD174" s="2580"/>
      <c r="FE174" s="2580"/>
      <c r="FF174" s="2580"/>
      <c r="FG174" s="2580"/>
      <c r="FH174" s="2580"/>
      <c r="FI174" s="2580"/>
      <c r="FJ174" s="2580"/>
      <c r="FK174" s="2580"/>
      <c r="FL174" s="2580"/>
      <c r="FM174" s="2580"/>
      <c r="FN174" s="2580"/>
      <c r="FO174" s="2580"/>
      <c r="FP174" s="2580"/>
      <c r="FQ174" s="2580"/>
      <c r="FR174" s="2580"/>
      <c r="FS174" s="2580"/>
      <c r="FT174" s="2580"/>
      <c r="FU174" s="2580"/>
      <c r="FV174" s="2580"/>
      <c r="FW174" s="2580"/>
      <c r="FX174" s="2580"/>
      <c r="FY174" s="2580"/>
      <c r="FZ174" s="2580"/>
      <c r="GA174" s="2580"/>
      <c r="GB174" s="2580"/>
      <c r="GC174" s="2580"/>
      <c r="GD174" s="2580"/>
      <c r="GE174" s="2580"/>
      <c r="GF174" s="2580"/>
      <c r="GG174" s="2580"/>
      <c r="GH174" s="2580"/>
      <c r="GI174" s="2580"/>
      <c r="GJ174" s="2580"/>
      <c r="GK174" s="2580"/>
      <c r="GL174" s="2580"/>
      <c r="GM174" s="2580"/>
      <c r="GN174" s="2580"/>
      <c r="GO174" s="2580"/>
      <c r="GP174" s="2580"/>
      <c r="GQ174" s="2580"/>
      <c r="GR174" s="2580"/>
      <c r="GS174" s="2580"/>
      <c r="GT174" s="2580"/>
      <c r="GU174" s="2580"/>
      <c r="GV174" s="2580"/>
      <c r="GW174" s="2580"/>
      <c r="GX174" s="2580"/>
      <c r="GY174" s="2580"/>
      <c r="GZ174" s="2580"/>
      <c r="HA174" s="2580"/>
      <c r="HB174" s="2580"/>
      <c r="HC174" s="2580"/>
      <c r="HD174" s="2580"/>
      <c r="HE174" s="2580"/>
      <c r="HF174" s="2580"/>
      <c r="HG174" s="2580"/>
      <c r="HH174" s="2580"/>
      <c r="HI174" s="2580"/>
      <c r="HJ174" s="2580"/>
      <c r="HK174" s="2580"/>
      <c r="HL174" s="2580"/>
      <c r="HM174" s="2580"/>
      <c r="HN174" s="2580"/>
      <c r="HO174" s="2580"/>
      <c r="HP174" s="2580"/>
      <c r="HQ174" s="2580"/>
      <c r="HR174" s="2580"/>
      <c r="HS174" s="2580"/>
      <c r="HT174" s="2580"/>
      <c r="HU174" s="2580"/>
      <c r="HV174" s="2580"/>
      <c r="HW174" s="2580"/>
      <c r="HX174" s="2580"/>
      <c r="HY174" s="2580"/>
      <c r="HZ174" s="2580"/>
      <c r="IA174" s="2580"/>
      <c r="IB174" s="2580"/>
      <c r="IC174" s="2580"/>
      <c r="ID174" s="2580"/>
      <c r="IE174" s="2580"/>
      <c r="IF174" s="2580"/>
      <c r="IG174" s="2580"/>
      <c r="IH174" s="2580"/>
      <c r="II174" s="2580"/>
      <c r="IJ174" s="2580"/>
      <c r="IK174" s="2580"/>
      <c r="IL174" s="2580"/>
      <c r="IM174" s="2580"/>
      <c r="IN174" s="2580"/>
      <c r="IO174" s="2580"/>
      <c r="IP174" s="2580"/>
      <c r="IQ174" s="2580"/>
      <c r="IR174" s="2580"/>
      <c r="IS174" s="2580"/>
      <c r="IT174" s="2580"/>
      <c r="IU174" s="2580"/>
      <c r="IV174" s="2580"/>
      <c r="IW174" s="2580"/>
      <c r="IX174" s="2580"/>
      <c r="IY174" s="2580"/>
      <c r="IZ174" s="2580"/>
      <c r="JA174" s="2580"/>
      <c r="JB174" s="2580"/>
      <c r="JC174" s="2580"/>
      <c r="JD174" s="2580"/>
      <c r="JE174" s="2580"/>
      <c r="JF174" s="2580"/>
      <c r="JG174" s="2581"/>
      <c r="JH174" s="1233"/>
      <c r="JI174" s="2248"/>
      <c r="JJ174" s="2248" t="s">
        <v>6108</v>
      </c>
    </row>
    <row r="175" spans="1:270" x14ac:dyDescent="0.2">
      <c r="A175" s="1128">
        <v>25</v>
      </c>
      <c r="B175" s="1347" t="str">
        <f si="6" t="shared"/>
        <v/>
      </c>
      <c r="C175" s="1278" t="s">
        <v>3201</v>
      </c>
      <c r="D175" s="1350" t="s">
        <v>5255</v>
      </c>
      <c r="E175" s="2472"/>
      <c r="F175" s="2472"/>
      <c r="G175" s="2472"/>
      <c r="H175" s="2512"/>
      <c r="I175" s="2512"/>
      <c r="J175" s="2512"/>
      <c r="K175" s="2512"/>
      <c r="L175" s="2579"/>
      <c r="M175" s="2579"/>
      <c r="N175" s="2579"/>
      <c r="O175" s="2579"/>
      <c r="P175" s="2579"/>
      <c r="Q175" s="2579"/>
      <c r="R175" s="2580"/>
      <c r="S175" s="2580"/>
      <c r="T175" s="2580"/>
      <c r="U175" s="2580"/>
      <c r="V175" s="2580"/>
      <c r="W175" s="2580"/>
      <c r="X175" s="2580"/>
      <c r="Y175" s="2580"/>
      <c r="Z175" s="2580"/>
      <c r="AA175" s="2580"/>
      <c r="AB175" s="2580"/>
      <c r="AC175" s="2580"/>
      <c r="AD175" s="2580"/>
      <c r="AE175" s="2580"/>
      <c r="AF175" s="2580"/>
      <c r="AG175" s="2580"/>
      <c r="AH175" s="2580"/>
      <c r="AI175" s="2580"/>
      <c r="AJ175" s="2580"/>
      <c r="AK175" s="2580"/>
      <c r="AL175" s="2580"/>
      <c r="AM175" s="2580"/>
      <c r="AN175" s="2580"/>
      <c r="AO175" s="2580"/>
      <c r="AP175" s="2580"/>
      <c r="AQ175" s="2580"/>
      <c r="AR175" s="2580"/>
      <c r="AS175" s="2580"/>
      <c r="AT175" s="2580"/>
      <c r="AU175" s="2580"/>
      <c r="AV175" s="2580"/>
      <c r="AW175" s="2580"/>
      <c r="AX175" s="2580"/>
      <c r="AY175" s="2580"/>
      <c r="AZ175" s="2580"/>
      <c r="BA175" s="2580"/>
      <c r="BB175" s="2580"/>
      <c r="BC175" s="2580"/>
      <c r="BD175" s="2580"/>
      <c r="BE175" s="2580"/>
      <c r="BF175" s="2580"/>
      <c r="BG175" s="2580"/>
      <c r="BH175" s="2580"/>
      <c r="BI175" s="2580"/>
      <c r="BJ175" s="2580"/>
      <c r="BK175" s="2580"/>
      <c r="BL175" s="2580"/>
      <c r="BM175" s="2580"/>
      <c r="BN175" s="2580"/>
      <c r="BO175" s="2580"/>
      <c r="BP175" s="2580"/>
      <c r="BQ175" s="2580"/>
      <c r="BR175" s="2580"/>
      <c r="BS175" s="2580"/>
      <c r="BT175" s="2580"/>
      <c r="BU175" s="2580"/>
      <c r="BV175" s="2580"/>
      <c r="BW175" s="2580"/>
      <c r="BX175" s="2580"/>
      <c r="BY175" s="2580"/>
      <c r="BZ175" s="2580"/>
      <c r="CA175" s="2580"/>
      <c r="CB175" s="2580"/>
      <c r="CC175" s="2580"/>
      <c r="CD175" s="2580"/>
      <c r="CE175" s="2580"/>
      <c r="CF175" s="2580"/>
      <c r="CG175" s="2580"/>
      <c r="CH175" s="2580"/>
      <c r="CI175" s="2580"/>
      <c r="CJ175" s="2580"/>
      <c r="CK175" s="2580"/>
      <c r="CL175" s="2580"/>
      <c r="CM175" s="2580"/>
      <c r="CN175" s="2580"/>
      <c r="CO175" s="2580"/>
      <c r="CP175" s="2580"/>
      <c r="CQ175" s="2580"/>
      <c r="CR175" s="2580"/>
      <c r="CS175" s="2580"/>
      <c r="CT175" s="2580"/>
      <c r="CU175" s="2580"/>
      <c r="CV175" s="2580"/>
      <c r="CW175" s="2580"/>
      <c r="CX175" s="2580"/>
      <c r="CY175" s="2580"/>
      <c r="CZ175" s="2580"/>
      <c r="DA175" s="2580"/>
      <c r="DB175" s="2580"/>
      <c r="DC175" s="2580"/>
      <c r="DD175" s="2580"/>
      <c r="DE175" s="2580"/>
      <c r="DF175" s="2580"/>
      <c r="DG175" s="2580"/>
      <c r="DH175" s="2580"/>
      <c r="DI175" s="2580"/>
      <c r="DJ175" s="2580"/>
      <c r="DK175" s="2580"/>
      <c r="DL175" s="2580"/>
      <c r="DM175" s="2580"/>
      <c r="DN175" s="2580"/>
      <c r="DO175" s="2580"/>
      <c r="DP175" s="2580"/>
      <c r="DQ175" s="2580"/>
      <c r="DR175" s="2580"/>
      <c r="DS175" s="2580"/>
      <c r="DT175" s="2580"/>
      <c r="DU175" s="2580"/>
      <c r="DV175" s="2580"/>
      <c r="DW175" s="2580"/>
      <c r="DX175" s="2580"/>
      <c r="DY175" s="2580"/>
      <c r="DZ175" s="2580"/>
      <c r="EA175" s="2580"/>
      <c r="EB175" s="2580"/>
      <c r="EC175" s="2580"/>
      <c r="ED175" s="2580"/>
      <c r="EE175" s="2580"/>
      <c r="EF175" s="2580"/>
      <c r="EG175" s="2580"/>
      <c r="EH175" s="2580"/>
      <c r="EI175" s="2580"/>
      <c r="EJ175" s="2580"/>
      <c r="EK175" s="2580"/>
      <c r="EL175" s="2580"/>
      <c r="EM175" s="2580"/>
      <c r="EN175" s="2580"/>
      <c r="EO175" s="2580"/>
      <c r="EP175" s="2580"/>
      <c r="EQ175" s="2580"/>
      <c r="ER175" s="2580"/>
      <c r="ES175" s="2580"/>
      <c r="ET175" s="2580"/>
      <c r="EU175" s="2580"/>
      <c r="EV175" s="2580"/>
      <c r="EW175" s="2580"/>
      <c r="EX175" s="2580"/>
      <c r="EY175" s="2580"/>
      <c r="EZ175" s="2580"/>
      <c r="FA175" s="2580"/>
      <c r="FB175" s="2580"/>
      <c r="FC175" s="2580"/>
      <c r="FD175" s="2580"/>
      <c r="FE175" s="2580"/>
      <c r="FF175" s="2580"/>
      <c r="FG175" s="2580"/>
      <c r="FH175" s="2580"/>
      <c r="FI175" s="2580"/>
      <c r="FJ175" s="2580"/>
      <c r="FK175" s="2580"/>
      <c r="FL175" s="2580"/>
      <c r="FM175" s="2580"/>
      <c r="FN175" s="2580"/>
      <c r="FO175" s="2580"/>
      <c r="FP175" s="2580"/>
      <c r="FQ175" s="2580"/>
      <c r="FR175" s="2580"/>
      <c r="FS175" s="2580"/>
      <c r="FT175" s="2580"/>
      <c r="FU175" s="2580"/>
      <c r="FV175" s="2580"/>
      <c r="FW175" s="2580"/>
      <c r="FX175" s="2580"/>
      <c r="FY175" s="2580"/>
      <c r="FZ175" s="2580"/>
      <c r="GA175" s="2580"/>
      <c r="GB175" s="2580"/>
      <c r="GC175" s="2580"/>
      <c r="GD175" s="2580"/>
      <c r="GE175" s="2580"/>
      <c r="GF175" s="2580"/>
      <c r="GG175" s="2580"/>
      <c r="GH175" s="2580"/>
      <c r="GI175" s="2580"/>
      <c r="GJ175" s="2580"/>
      <c r="GK175" s="2580"/>
      <c r="GL175" s="2580"/>
      <c r="GM175" s="2580"/>
      <c r="GN175" s="2580"/>
      <c r="GO175" s="2580"/>
      <c r="GP175" s="2580"/>
      <c r="GQ175" s="2580"/>
      <c r="GR175" s="2580"/>
      <c r="GS175" s="2580"/>
      <c r="GT175" s="2580"/>
      <c r="GU175" s="2580"/>
      <c r="GV175" s="2580"/>
      <c r="GW175" s="2580"/>
      <c r="GX175" s="2580"/>
      <c r="GY175" s="2580"/>
      <c r="GZ175" s="2580"/>
      <c r="HA175" s="2580"/>
      <c r="HB175" s="2580"/>
      <c r="HC175" s="2580"/>
      <c r="HD175" s="2580"/>
      <c r="HE175" s="2580"/>
      <c r="HF175" s="2580"/>
      <c r="HG175" s="2580"/>
      <c r="HH175" s="2580"/>
      <c r="HI175" s="2580"/>
      <c r="HJ175" s="2580"/>
      <c r="HK175" s="2580"/>
      <c r="HL175" s="2580"/>
      <c r="HM175" s="2580"/>
      <c r="HN175" s="2580"/>
      <c r="HO175" s="2580"/>
      <c r="HP175" s="2580"/>
      <c r="HQ175" s="2580"/>
      <c r="HR175" s="2580"/>
      <c r="HS175" s="2580"/>
      <c r="HT175" s="2580"/>
      <c r="HU175" s="2580"/>
      <c r="HV175" s="2580"/>
      <c r="HW175" s="2580"/>
      <c r="HX175" s="2580"/>
      <c r="HY175" s="2580"/>
      <c r="HZ175" s="2580"/>
      <c r="IA175" s="2580"/>
      <c r="IB175" s="2580"/>
      <c r="IC175" s="2580"/>
      <c r="ID175" s="2580"/>
      <c r="IE175" s="2580"/>
      <c r="IF175" s="2580"/>
      <c r="IG175" s="2580"/>
      <c r="IH175" s="2580"/>
      <c r="II175" s="2580"/>
      <c r="IJ175" s="2580"/>
      <c r="IK175" s="2580"/>
      <c r="IL175" s="2580"/>
      <c r="IM175" s="2580"/>
      <c r="IN175" s="2580"/>
      <c r="IO175" s="2580"/>
      <c r="IP175" s="2580"/>
      <c r="IQ175" s="2580"/>
      <c r="IR175" s="2580"/>
      <c r="IS175" s="2580"/>
      <c r="IT175" s="2580"/>
      <c r="IU175" s="2580"/>
      <c r="IV175" s="2580"/>
      <c r="IW175" s="2580"/>
      <c r="IX175" s="2580"/>
      <c r="IY175" s="2580"/>
      <c r="IZ175" s="2580"/>
      <c r="JA175" s="2580"/>
      <c r="JB175" s="2580"/>
      <c r="JC175" s="2580"/>
      <c r="JD175" s="2580"/>
      <c r="JE175" s="2580"/>
      <c r="JF175" s="2580"/>
      <c r="JG175" s="2581"/>
      <c r="JH175" s="1233"/>
      <c r="JI175" s="2248"/>
      <c r="JJ175" s="2248" t="s">
        <v>6108</v>
      </c>
    </row>
    <row r="176" spans="1:270" x14ac:dyDescent="0.2">
      <c r="A176" s="1128">
        <v>26</v>
      </c>
      <c r="B176" s="1347" t="str">
        <f si="6" t="shared"/>
        <v/>
      </c>
      <c r="C176" s="1278" t="s">
        <v>3202</v>
      </c>
      <c r="D176" s="1350" t="s">
        <v>5256</v>
      </c>
      <c r="E176" s="2472"/>
      <c r="F176" s="2472"/>
      <c r="G176" s="2472"/>
      <c r="H176" s="2512"/>
      <c r="I176" s="2512"/>
      <c r="J176" s="2512"/>
      <c r="K176" s="2512"/>
      <c r="L176" s="2579"/>
      <c r="M176" s="2579"/>
      <c r="N176" s="2579"/>
      <c r="O176" s="2579"/>
      <c r="P176" s="2579"/>
      <c r="Q176" s="2579"/>
      <c r="R176" s="2580"/>
      <c r="S176" s="2580"/>
      <c r="T176" s="2580"/>
      <c r="U176" s="2580"/>
      <c r="V176" s="2580"/>
      <c r="W176" s="2580"/>
      <c r="X176" s="2580"/>
      <c r="Y176" s="2580"/>
      <c r="Z176" s="2580"/>
      <c r="AA176" s="2580"/>
      <c r="AB176" s="2580"/>
      <c r="AC176" s="2580"/>
      <c r="AD176" s="2580"/>
      <c r="AE176" s="2580"/>
      <c r="AF176" s="2580"/>
      <c r="AG176" s="2580"/>
      <c r="AH176" s="2580"/>
      <c r="AI176" s="2580"/>
      <c r="AJ176" s="2580"/>
      <c r="AK176" s="2580"/>
      <c r="AL176" s="2580"/>
      <c r="AM176" s="2580"/>
      <c r="AN176" s="2580"/>
      <c r="AO176" s="2580"/>
      <c r="AP176" s="2580"/>
      <c r="AQ176" s="2580"/>
      <c r="AR176" s="2580"/>
      <c r="AS176" s="2580"/>
      <c r="AT176" s="2580"/>
      <c r="AU176" s="2580"/>
      <c r="AV176" s="2580"/>
      <c r="AW176" s="2580"/>
      <c r="AX176" s="2580"/>
      <c r="AY176" s="2580"/>
      <c r="AZ176" s="2580"/>
      <c r="BA176" s="2580"/>
      <c r="BB176" s="2580"/>
      <c r="BC176" s="2580"/>
      <c r="BD176" s="2580"/>
      <c r="BE176" s="2580"/>
      <c r="BF176" s="2580"/>
      <c r="BG176" s="2580"/>
      <c r="BH176" s="2580"/>
      <c r="BI176" s="2580"/>
      <c r="BJ176" s="2580"/>
      <c r="BK176" s="2580"/>
      <c r="BL176" s="2580"/>
      <c r="BM176" s="2580"/>
      <c r="BN176" s="2580"/>
      <c r="BO176" s="2580"/>
      <c r="BP176" s="2580"/>
      <c r="BQ176" s="2580"/>
      <c r="BR176" s="2580"/>
      <c r="BS176" s="2580"/>
      <c r="BT176" s="2580"/>
      <c r="BU176" s="2580"/>
      <c r="BV176" s="2580"/>
      <c r="BW176" s="2580"/>
      <c r="BX176" s="2580"/>
      <c r="BY176" s="2580"/>
      <c r="BZ176" s="2580"/>
      <c r="CA176" s="2580"/>
      <c r="CB176" s="2580"/>
      <c r="CC176" s="2580"/>
      <c r="CD176" s="2580"/>
      <c r="CE176" s="2580"/>
      <c r="CF176" s="2580"/>
      <c r="CG176" s="2580"/>
      <c r="CH176" s="2580"/>
      <c r="CI176" s="2580"/>
      <c r="CJ176" s="2580"/>
      <c r="CK176" s="2580"/>
      <c r="CL176" s="2580"/>
      <c r="CM176" s="2580"/>
      <c r="CN176" s="2580"/>
      <c r="CO176" s="2580"/>
      <c r="CP176" s="2580"/>
      <c r="CQ176" s="2580"/>
      <c r="CR176" s="2580"/>
      <c r="CS176" s="2580"/>
      <c r="CT176" s="2580"/>
      <c r="CU176" s="2580"/>
      <c r="CV176" s="2580"/>
      <c r="CW176" s="2580"/>
      <c r="CX176" s="2580"/>
      <c r="CY176" s="2580"/>
      <c r="CZ176" s="2580"/>
      <c r="DA176" s="2580"/>
      <c r="DB176" s="2580"/>
      <c r="DC176" s="2580"/>
      <c r="DD176" s="2580"/>
      <c r="DE176" s="2580"/>
      <c r="DF176" s="2580"/>
      <c r="DG176" s="2580"/>
      <c r="DH176" s="2580"/>
      <c r="DI176" s="2580"/>
      <c r="DJ176" s="2580"/>
      <c r="DK176" s="2580"/>
      <c r="DL176" s="2580"/>
      <c r="DM176" s="2580"/>
      <c r="DN176" s="2580"/>
      <c r="DO176" s="2580"/>
      <c r="DP176" s="2580"/>
      <c r="DQ176" s="2580"/>
      <c r="DR176" s="2580"/>
      <c r="DS176" s="2580"/>
      <c r="DT176" s="2580"/>
      <c r="DU176" s="2580"/>
      <c r="DV176" s="2580"/>
      <c r="DW176" s="2580"/>
      <c r="DX176" s="2580"/>
      <c r="DY176" s="2580"/>
      <c r="DZ176" s="2580"/>
      <c r="EA176" s="2580"/>
      <c r="EB176" s="2580"/>
      <c r="EC176" s="2580"/>
      <c r="ED176" s="2580"/>
      <c r="EE176" s="2580"/>
      <c r="EF176" s="2580"/>
      <c r="EG176" s="2580"/>
      <c r="EH176" s="2580"/>
      <c r="EI176" s="2580"/>
      <c r="EJ176" s="2580"/>
      <c r="EK176" s="2580"/>
      <c r="EL176" s="2580"/>
      <c r="EM176" s="2580"/>
      <c r="EN176" s="2580"/>
      <c r="EO176" s="2580"/>
      <c r="EP176" s="2580"/>
      <c r="EQ176" s="2580"/>
      <c r="ER176" s="2580"/>
      <c r="ES176" s="2580"/>
      <c r="ET176" s="2580"/>
      <c r="EU176" s="2580"/>
      <c r="EV176" s="2580"/>
      <c r="EW176" s="2580"/>
      <c r="EX176" s="2580"/>
      <c r="EY176" s="2580"/>
      <c r="EZ176" s="2580"/>
      <c r="FA176" s="2580"/>
      <c r="FB176" s="2580"/>
      <c r="FC176" s="2580"/>
      <c r="FD176" s="2580"/>
      <c r="FE176" s="2580"/>
      <c r="FF176" s="2580"/>
      <c r="FG176" s="2580"/>
      <c r="FH176" s="2580"/>
      <c r="FI176" s="2580"/>
      <c r="FJ176" s="2580"/>
      <c r="FK176" s="2580"/>
      <c r="FL176" s="2580"/>
      <c r="FM176" s="2580"/>
      <c r="FN176" s="2580"/>
      <c r="FO176" s="2580"/>
      <c r="FP176" s="2580"/>
      <c r="FQ176" s="2580"/>
      <c r="FR176" s="2580"/>
      <c r="FS176" s="2580"/>
      <c r="FT176" s="2580"/>
      <c r="FU176" s="2580"/>
      <c r="FV176" s="2580"/>
      <c r="FW176" s="2580"/>
      <c r="FX176" s="2580"/>
      <c r="FY176" s="2580"/>
      <c r="FZ176" s="2580"/>
      <c r="GA176" s="2580"/>
      <c r="GB176" s="2580"/>
      <c r="GC176" s="2580"/>
      <c r="GD176" s="2580"/>
      <c r="GE176" s="2580"/>
      <c r="GF176" s="2580"/>
      <c r="GG176" s="2580"/>
      <c r="GH176" s="2580"/>
      <c r="GI176" s="2580"/>
      <c r="GJ176" s="2580"/>
      <c r="GK176" s="2580"/>
      <c r="GL176" s="2580"/>
      <c r="GM176" s="2580"/>
      <c r="GN176" s="2580"/>
      <c r="GO176" s="2580"/>
      <c r="GP176" s="2580"/>
      <c r="GQ176" s="2580"/>
      <c r="GR176" s="2580"/>
      <c r="GS176" s="2580"/>
      <c r="GT176" s="2580"/>
      <c r="GU176" s="2580"/>
      <c r="GV176" s="2580"/>
      <c r="GW176" s="2580"/>
      <c r="GX176" s="2580"/>
      <c r="GY176" s="2580"/>
      <c r="GZ176" s="2580"/>
      <c r="HA176" s="2580"/>
      <c r="HB176" s="2580"/>
      <c r="HC176" s="2580"/>
      <c r="HD176" s="2580"/>
      <c r="HE176" s="2580"/>
      <c r="HF176" s="2580"/>
      <c r="HG176" s="2580"/>
      <c r="HH176" s="2580"/>
      <c r="HI176" s="2580"/>
      <c r="HJ176" s="2580"/>
      <c r="HK176" s="2580"/>
      <c r="HL176" s="2580"/>
      <c r="HM176" s="2580"/>
      <c r="HN176" s="2580"/>
      <c r="HO176" s="2580"/>
      <c r="HP176" s="2580"/>
      <c r="HQ176" s="2580"/>
      <c r="HR176" s="2580"/>
      <c r="HS176" s="2580"/>
      <c r="HT176" s="2580"/>
      <c r="HU176" s="2580"/>
      <c r="HV176" s="2580"/>
      <c r="HW176" s="2580"/>
      <c r="HX176" s="2580"/>
      <c r="HY176" s="2580"/>
      <c r="HZ176" s="2580"/>
      <c r="IA176" s="2580"/>
      <c r="IB176" s="2580"/>
      <c r="IC176" s="2580"/>
      <c r="ID176" s="2580"/>
      <c r="IE176" s="2580"/>
      <c r="IF176" s="2580"/>
      <c r="IG176" s="2580"/>
      <c r="IH176" s="2580"/>
      <c r="II176" s="2580"/>
      <c r="IJ176" s="2580"/>
      <c r="IK176" s="2580"/>
      <c r="IL176" s="2580"/>
      <c r="IM176" s="2580"/>
      <c r="IN176" s="2580"/>
      <c r="IO176" s="2580"/>
      <c r="IP176" s="2580"/>
      <c r="IQ176" s="2580"/>
      <c r="IR176" s="2580"/>
      <c r="IS176" s="2580"/>
      <c r="IT176" s="2580"/>
      <c r="IU176" s="2580"/>
      <c r="IV176" s="2580"/>
      <c r="IW176" s="2580"/>
      <c r="IX176" s="2580"/>
      <c r="IY176" s="2580"/>
      <c r="IZ176" s="2580"/>
      <c r="JA176" s="2580"/>
      <c r="JB176" s="2580"/>
      <c r="JC176" s="2580"/>
      <c r="JD176" s="2580"/>
      <c r="JE176" s="2580"/>
      <c r="JF176" s="2580"/>
      <c r="JG176" s="2581"/>
      <c r="JH176" s="1233"/>
      <c r="JI176" s="2248"/>
      <c r="JJ176" s="2248" t="s">
        <v>6108</v>
      </c>
    </row>
    <row ht="22.5" r="177" spans="1:270" x14ac:dyDescent="0.2">
      <c r="A177" s="1128">
        <v>27</v>
      </c>
      <c r="B177" s="1347" t="str">
        <f si="6" t="shared"/>
        <v/>
      </c>
      <c r="C177" s="1278" t="s">
        <v>3203</v>
      </c>
      <c r="D177" s="1350" t="s">
        <v>5257</v>
      </c>
      <c r="E177" s="2514">
        <f ref="E177:K177" si="10" t="shared">E171+E172+E173+E174+E175+E176</f>
        <v>521</v>
      </c>
      <c r="F177" s="2514">
        <f si="10" t="shared"/>
        <v>5894</v>
      </c>
      <c r="G177" s="2513"/>
      <c r="H177" s="2514">
        <f si="10" t="shared"/>
        <v>20408</v>
      </c>
      <c r="I177" s="2514">
        <f si="10" t="shared"/>
        <v>2860</v>
      </c>
      <c r="J177" s="2514">
        <f si="10" t="shared"/>
        <v>79251</v>
      </c>
      <c r="K177" s="2514">
        <f si="10" t="shared"/>
        <v>1288984</v>
      </c>
      <c r="L177" s="2515"/>
      <c r="M177" s="2515"/>
      <c r="N177" s="2515"/>
      <c r="O177" s="2515"/>
      <c r="P177" s="2515"/>
      <c r="Q177" s="2515"/>
      <c r="R177" s="2516"/>
      <c r="S177" s="2516"/>
      <c r="T177" s="2516"/>
      <c r="U177" s="2516"/>
      <c r="V177" s="2516"/>
      <c r="W177" s="2516"/>
      <c r="X177" s="2516"/>
      <c r="Y177" s="2516"/>
      <c r="Z177" s="2516"/>
      <c r="AA177" s="2516"/>
      <c r="AB177" s="2516"/>
      <c r="AC177" s="2516"/>
      <c r="AD177" s="2516"/>
      <c r="AE177" s="2516"/>
      <c r="AF177" s="2516"/>
      <c r="AG177" s="2516"/>
      <c r="AH177" s="2516"/>
      <c r="AI177" s="2516"/>
      <c r="AJ177" s="2516"/>
      <c r="AK177" s="2516"/>
      <c r="AL177" s="2516"/>
      <c r="AM177" s="2516"/>
      <c r="AN177" s="2516"/>
      <c r="AO177" s="2516"/>
      <c r="AP177" s="2516"/>
      <c r="AQ177" s="2516"/>
      <c r="AR177" s="2516"/>
      <c r="AS177" s="2516"/>
      <c r="AT177" s="2516"/>
      <c r="AU177" s="2516"/>
      <c r="AV177" s="2516"/>
      <c r="AW177" s="2516"/>
      <c r="AX177" s="2516"/>
      <c r="AY177" s="2516"/>
      <c r="AZ177" s="2516"/>
      <c r="BA177" s="2516"/>
      <c r="BB177" s="2516"/>
      <c r="BC177" s="2516"/>
      <c r="BD177" s="2516"/>
      <c r="BE177" s="2516"/>
      <c r="BF177" s="2516"/>
      <c r="BG177" s="2516"/>
      <c r="BH177" s="2516"/>
      <c r="BI177" s="2516"/>
      <c r="BJ177" s="2516"/>
      <c r="BK177" s="2516"/>
      <c r="BL177" s="2516"/>
      <c r="BM177" s="2516"/>
      <c r="BN177" s="2516"/>
      <c r="BO177" s="2516"/>
      <c r="BP177" s="2516"/>
      <c r="BQ177" s="2516"/>
      <c r="BR177" s="2516"/>
      <c r="BS177" s="2516"/>
      <c r="BT177" s="2516"/>
      <c r="BU177" s="2516"/>
      <c r="BV177" s="2516"/>
      <c r="BW177" s="2516"/>
      <c r="BX177" s="2516"/>
      <c r="BY177" s="2516"/>
      <c r="BZ177" s="2516"/>
      <c r="CA177" s="2516"/>
      <c r="CB177" s="2516"/>
      <c r="CC177" s="2516"/>
      <c r="CD177" s="2516"/>
      <c r="CE177" s="2516"/>
      <c r="CF177" s="2516"/>
      <c r="CG177" s="2516"/>
      <c r="CH177" s="2516"/>
      <c r="CI177" s="2516"/>
      <c r="CJ177" s="2516"/>
      <c r="CK177" s="2516"/>
      <c r="CL177" s="2516"/>
      <c r="CM177" s="2516"/>
      <c r="CN177" s="2516"/>
      <c r="CO177" s="2516"/>
      <c r="CP177" s="2516"/>
      <c r="CQ177" s="2516"/>
      <c r="CR177" s="2516"/>
      <c r="CS177" s="2516"/>
      <c r="CT177" s="2516"/>
      <c r="CU177" s="2516"/>
      <c r="CV177" s="2516"/>
      <c r="CW177" s="2516"/>
      <c r="CX177" s="2516"/>
      <c r="CY177" s="2516"/>
      <c r="CZ177" s="2516"/>
      <c r="DA177" s="2516"/>
      <c r="DB177" s="2516"/>
      <c r="DC177" s="2516"/>
      <c r="DD177" s="2516"/>
      <c r="DE177" s="2516"/>
      <c r="DF177" s="2516"/>
      <c r="DG177" s="2516"/>
      <c r="DH177" s="2516"/>
      <c r="DI177" s="2516"/>
      <c r="DJ177" s="2516"/>
      <c r="DK177" s="2516"/>
      <c r="DL177" s="2516"/>
      <c r="DM177" s="2516"/>
      <c r="DN177" s="2516"/>
      <c r="DO177" s="2516"/>
      <c r="DP177" s="2516"/>
      <c r="DQ177" s="2516"/>
      <c r="DR177" s="2516"/>
      <c r="DS177" s="2516"/>
      <c r="DT177" s="2516"/>
      <c r="DU177" s="2516"/>
      <c r="DV177" s="2516"/>
      <c r="DW177" s="2516"/>
      <c r="DX177" s="2516"/>
      <c r="DY177" s="2516"/>
      <c r="DZ177" s="2516"/>
      <c r="EA177" s="2516"/>
      <c r="EB177" s="2516"/>
      <c r="EC177" s="2516"/>
      <c r="ED177" s="2516"/>
      <c r="EE177" s="2516"/>
      <c r="EF177" s="2516"/>
      <c r="EG177" s="2516"/>
      <c r="EH177" s="2516"/>
      <c r="EI177" s="2516"/>
      <c r="EJ177" s="2516"/>
      <c r="EK177" s="2516"/>
      <c r="EL177" s="2516"/>
      <c r="EM177" s="2516"/>
      <c r="EN177" s="2516"/>
      <c r="EO177" s="2516"/>
      <c r="EP177" s="2516"/>
      <c r="EQ177" s="2516"/>
      <c r="ER177" s="2516"/>
      <c r="ES177" s="2516"/>
      <c r="ET177" s="2516"/>
      <c r="EU177" s="2516"/>
      <c r="EV177" s="2516"/>
      <c r="EW177" s="2516"/>
      <c r="EX177" s="2516"/>
      <c r="EY177" s="2516"/>
      <c r="EZ177" s="2516"/>
      <c r="FA177" s="2516"/>
      <c r="FB177" s="2516"/>
      <c r="FC177" s="2516"/>
      <c r="FD177" s="2516"/>
      <c r="FE177" s="2516"/>
      <c r="FF177" s="2516"/>
      <c r="FG177" s="2516"/>
      <c r="FH177" s="2516"/>
      <c r="FI177" s="2516"/>
      <c r="FJ177" s="2516"/>
      <c r="FK177" s="2516"/>
      <c r="FL177" s="2516"/>
      <c r="FM177" s="2516"/>
      <c r="FN177" s="2516"/>
      <c r="FO177" s="2516"/>
      <c r="FP177" s="2516"/>
      <c r="FQ177" s="2516"/>
      <c r="FR177" s="2516"/>
      <c r="FS177" s="2516"/>
      <c r="FT177" s="2516"/>
      <c r="FU177" s="2516"/>
      <c r="FV177" s="2516"/>
      <c r="FW177" s="2516"/>
      <c r="FX177" s="2516"/>
      <c r="FY177" s="2516"/>
      <c r="FZ177" s="2516"/>
      <c r="GA177" s="2516"/>
      <c r="GB177" s="2516"/>
      <c r="GC177" s="2516"/>
      <c r="GD177" s="2516"/>
      <c r="GE177" s="2516"/>
      <c r="GF177" s="2516"/>
      <c r="GG177" s="2516"/>
      <c r="GH177" s="2516"/>
      <c r="GI177" s="2516"/>
      <c r="GJ177" s="2516"/>
      <c r="GK177" s="2516"/>
      <c r="GL177" s="2516"/>
      <c r="GM177" s="2516"/>
      <c r="GN177" s="2516"/>
      <c r="GO177" s="2516"/>
      <c r="GP177" s="2516"/>
      <c r="GQ177" s="2516"/>
      <c r="GR177" s="2516"/>
      <c r="GS177" s="2516"/>
      <c r="GT177" s="2516"/>
      <c r="GU177" s="2516"/>
      <c r="GV177" s="2516"/>
      <c r="GW177" s="2516"/>
      <c r="GX177" s="2516"/>
      <c r="GY177" s="2516"/>
      <c r="GZ177" s="2516"/>
      <c r="HA177" s="2516"/>
      <c r="HB177" s="2516"/>
      <c r="HC177" s="2516"/>
      <c r="HD177" s="2516"/>
      <c r="HE177" s="2516"/>
      <c r="HF177" s="2516"/>
      <c r="HG177" s="2516"/>
      <c r="HH177" s="2516"/>
      <c r="HI177" s="2516"/>
      <c r="HJ177" s="2516"/>
      <c r="HK177" s="2516"/>
      <c r="HL177" s="2516"/>
      <c r="HM177" s="2516"/>
      <c r="HN177" s="2516"/>
      <c r="HO177" s="2516"/>
      <c r="HP177" s="2516"/>
      <c r="HQ177" s="2516"/>
      <c r="HR177" s="2516"/>
      <c r="HS177" s="2516"/>
      <c r="HT177" s="2516"/>
      <c r="HU177" s="2516"/>
      <c r="HV177" s="2516"/>
      <c r="HW177" s="2516"/>
      <c r="HX177" s="2516"/>
      <c r="HY177" s="2516"/>
      <c r="HZ177" s="2516"/>
      <c r="IA177" s="2516"/>
      <c r="IB177" s="2516"/>
      <c r="IC177" s="2516"/>
      <c r="ID177" s="2516"/>
      <c r="IE177" s="2516"/>
      <c r="IF177" s="2516"/>
      <c r="IG177" s="2516"/>
      <c r="IH177" s="2516"/>
      <c r="II177" s="2516"/>
      <c r="IJ177" s="2516"/>
      <c r="IK177" s="2516"/>
      <c r="IL177" s="2516"/>
      <c r="IM177" s="2516"/>
      <c r="IN177" s="2516"/>
      <c r="IO177" s="2516"/>
      <c r="IP177" s="2516"/>
      <c r="IQ177" s="2516"/>
      <c r="IR177" s="2516"/>
      <c r="IS177" s="2516"/>
      <c r="IT177" s="2516"/>
      <c r="IU177" s="2516"/>
      <c r="IV177" s="2516"/>
      <c r="IW177" s="2516"/>
      <c r="IX177" s="2516"/>
      <c r="IY177" s="2516"/>
      <c r="IZ177" s="2516"/>
      <c r="JA177" s="2516"/>
      <c r="JB177" s="2516"/>
      <c r="JC177" s="2516"/>
      <c r="JD177" s="2516"/>
      <c r="JE177" s="2516"/>
      <c r="JF177" s="2516"/>
      <c r="JG177" s="2517"/>
      <c r="JH177" s="1233"/>
      <c r="JI177" s="2248" t="s">
        <v>5561</v>
      </c>
      <c r="JJ177" s="2248" t="s">
        <v>6108</v>
      </c>
    </row>
    <row r="178" spans="1:270" x14ac:dyDescent="0.2">
      <c r="A178" s="1128">
        <v>28</v>
      </c>
      <c r="B178" s="1347" t="str">
        <f si="6" t="shared"/>
        <v/>
      </c>
      <c r="C178" s="1278" t="s">
        <v>3204</v>
      </c>
      <c r="D178" s="1350" t="s">
        <v>5258</v>
      </c>
      <c r="E178" s="2514">
        <f ref="E178:K178" si="11" t="shared">E156+E162+E169+E177</f>
        <v>1714</v>
      </c>
      <c r="F178" s="2514">
        <f si="11" t="shared"/>
        <v>9394</v>
      </c>
      <c r="G178" s="2514">
        <f si="11" t="shared"/>
        <v>6375</v>
      </c>
      <c r="H178" s="2514">
        <f si="11" t="shared"/>
        <v>22458</v>
      </c>
      <c r="I178" s="2514">
        <f si="11" t="shared"/>
        <v>7049</v>
      </c>
      <c r="J178" s="2514">
        <f si="11" t="shared"/>
        <v>91939</v>
      </c>
      <c r="K178" s="2514">
        <f si="11" t="shared"/>
        <v>1353687</v>
      </c>
      <c r="L178" s="2515"/>
      <c r="M178" s="2515"/>
      <c r="N178" s="2515"/>
      <c r="O178" s="2515"/>
      <c r="P178" s="2515"/>
      <c r="Q178" s="2515"/>
      <c r="R178" s="2516"/>
      <c r="S178" s="2516"/>
      <c r="T178" s="2516"/>
      <c r="U178" s="2516"/>
      <c r="V178" s="2516"/>
      <c r="W178" s="2516"/>
      <c r="X178" s="2516"/>
      <c r="Y178" s="2516"/>
      <c r="Z178" s="2516"/>
      <c r="AA178" s="2516"/>
      <c r="AB178" s="2516"/>
      <c r="AC178" s="2516"/>
      <c r="AD178" s="2516"/>
      <c r="AE178" s="2516"/>
      <c r="AF178" s="2516"/>
      <c r="AG178" s="2516"/>
      <c r="AH178" s="2516"/>
      <c r="AI178" s="2516"/>
      <c r="AJ178" s="2516"/>
      <c r="AK178" s="2516"/>
      <c r="AL178" s="2516"/>
      <c r="AM178" s="2516"/>
      <c r="AN178" s="2516"/>
      <c r="AO178" s="2516"/>
      <c r="AP178" s="2516"/>
      <c r="AQ178" s="2516"/>
      <c r="AR178" s="2516"/>
      <c r="AS178" s="2516"/>
      <c r="AT178" s="2516"/>
      <c r="AU178" s="2516"/>
      <c r="AV178" s="2516"/>
      <c r="AW178" s="2516"/>
      <c r="AX178" s="2516"/>
      <c r="AY178" s="2516"/>
      <c r="AZ178" s="2516"/>
      <c r="BA178" s="2516"/>
      <c r="BB178" s="2516"/>
      <c r="BC178" s="2516"/>
      <c r="BD178" s="2516"/>
      <c r="BE178" s="2516"/>
      <c r="BF178" s="2516"/>
      <c r="BG178" s="2516"/>
      <c r="BH178" s="2516"/>
      <c r="BI178" s="2516"/>
      <c r="BJ178" s="2516"/>
      <c r="BK178" s="2516"/>
      <c r="BL178" s="2516"/>
      <c r="BM178" s="2516"/>
      <c r="BN178" s="2516"/>
      <c r="BO178" s="2516"/>
      <c r="BP178" s="2516"/>
      <c r="BQ178" s="2516"/>
      <c r="BR178" s="2516"/>
      <c r="BS178" s="2516"/>
      <c r="BT178" s="2516"/>
      <c r="BU178" s="2516"/>
      <c r="BV178" s="2516"/>
      <c r="BW178" s="2516"/>
      <c r="BX178" s="2516"/>
      <c r="BY178" s="2516"/>
      <c r="BZ178" s="2516"/>
      <c r="CA178" s="2516"/>
      <c r="CB178" s="2516"/>
      <c r="CC178" s="2516"/>
      <c r="CD178" s="2516"/>
      <c r="CE178" s="2516"/>
      <c r="CF178" s="2516"/>
      <c r="CG178" s="2516"/>
      <c r="CH178" s="2516"/>
      <c r="CI178" s="2516"/>
      <c r="CJ178" s="2516"/>
      <c r="CK178" s="2516"/>
      <c r="CL178" s="2516"/>
      <c r="CM178" s="2516"/>
      <c r="CN178" s="2516"/>
      <c r="CO178" s="2516"/>
      <c r="CP178" s="2516"/>
      <c r="CQ178" s="2516"/>
      <c r="CR178" s="2516"/>
      <c r="CS178" s="2516"/>
      <c r="CT178" s="2516"/>
      <c r="CU178" s="2516"/>
      <c r="CV178" s="2516"/>
      <c r="CW178" s="2516"/>
      <c r="CX178" s="2516"/>
      <c r="CY178" s="2516"/>
      <c r="CZ178" s="2516"/>
      <c r="DA178" s="2516"/>
      <c r="DB178" s="2516"/>
      <c r="DC178" s="2516"/>
      <c r="DD178" s="2516"/>
      <c r="DE178" s="2516"/>
      <c r="DF178" s="2516"/>
      <c r="DG178" s="2516"/>
      <c r="DH178" s="2516"/>
      <c r="DI178" s="2516"/>
      <c r="DJ178" s="2516"/>
      <c r="DK178" s="2516"/>
      <c r="DL178" s="2516"/>
      <c r="DM178" s="2516"/>
      <c r="DN178" s="2516"/>
      <c r="DO178" s="2516"/>
      <c r="DP178" s="2516"/>
      <c r="DQ178" s="2516"/>
      <c r="DR178" s="2516"/>
      <c r="DS178" s="2516"/>
      <c r="DT178" s="2516"/>
      <c r="DU178" s="2516"/>
      <c r="DV178" s="2516"/>
      <c r="DW178" s="2516"/>
      <c r="DX178" s="2516"/>
      <c r="DY178" s="2516"/>
      <c r="DZ178" s="2516"/>
      <c r="EA178" s="2516"/>
      <c r="EB178" s="2516"/>
      <c r="EC178" s="2516"/>
      <c r="ED178" s="2516"/>
      <c r="EE178" s="2516"/>
      <c r="EF178" s="2516"/>
      <c r="EG178" s="2516"/>
      <c r="EH178" s="2516"/>
      <c r="EI178" s="2516"/>
      <c r="EJ178" s="2516"/>
      <c r="EK178" s="2516"/>
      <c r="EL178" s="2516"/>
      <c r="EM178" s="2516"/>
      <c r="EN178" s="2516"/>
      <c r="EO178" s="2516"/>
      <c r="EP178" s="2516"/>
      <c r="EQ178" s="2516"/>
      <c r="ER178" s="2516"/>
      <c r="ES178" s="2516"/>
      <c r="ET178" s="2516"/>
      <c r="EU178" s="2516"/>
      <c r="EV178" s="2516"/>
      <c r="EW178" s="2516"/>
      <c r="EX178" s="2516"/>
      <c r="EY178" s="2516"/>
      <c r="EZ178" s="2516"/>
      <c r="FA178" s="2516"/>
      <c r="FB178" s="2516"/>
      <c r="FC178" s="2516"/>
      <c r="FD178" s="2516"/>
      <c r="FE178" s="2516"/>
      <c r="FF178" s="2516"/>
      <c r="FG178" s="2516"/>
      <c r="FH178" s="2516"/>
      <c r="FI178" s="2516"/>
      <c r="FJ178" s="2516"/>
      <c r="FK178" s="2516"/>
      <c r="FL178" s="2516"/>
      <c r="FM178" s="2516"/>
      <c r="FN178" s="2516"/>
      <c r="FO178" s="2516"/>
      <c r="FP178" s="2516"/>
      <c r="FQ178" s="2516"/>
      <c r="FR178" s="2516"/>
      <c r="FS178" s="2516"/>
      <c r="FT178" s="2516"/>
      <c r="FU178" s="2516"/>
      <c r="FV178" s="2516"/>
      <c r="FW178" s="2516"/>
      <c r="FX178" s="2516"/>
      <c r="FY178" s="2516"/>
      <c r="FZ178" s="2516"/>
      <c r="GA178" s="2516"/>
      <c r="GB178" s="2516"/>
      <c r="GC178" s="2516"/>
      <c r="GD178" s="2516"/>
      <c r="GE178" s="2516"/>
      <c r="GF178" s="2516"/>
      <c r="GG178" s="2516"/>
      <c r="GH178" s="2516"/>
      <c r="GI178" s="2516"/>
      <c r="GJ178" s="2516"/>
      <c r="GK178" s="2516"/>
      <c r="GL178" s="2516"/>
      <c r="GM178" s="2516"/>
      <c r="GN178" s="2516"/>
      <c r="GO178" s="2516"/>
      <c r="GP178" s="2516"/>
      <c r="GQ178" s="2516"/>
      <c r="GR178" s="2516"/>
      <c r="GS178" s="2516"/>
      <c r="GT178" s="2516"/>
      <c r="GU178" s="2516"/>
      <c r="GV178" s="2516"/>
      <c r="GW178" s="2516"/>
      <c r="GX178" s="2516"/>
      <c r="GY178" s="2516"/>
      <c r="GZ178" s="2516"/>
      <c r="HA178" s="2516"/>
      <c r="HB178" s="2516"/>
      <c r="HC178" s="2516"/>
      <c r="HD178" s="2516"/>
      <c r="HE178" s="2516"/>
      <c r="HF178" s="2516"/>
      <c r="HG178" s="2516"/>
      <c r="HH178" s="2516"/>
      <c r="HI178" s="2516"/>
      <c r="HJ178" s="2516"/>
      <c r="HK178" s="2516"/>
      <c r="HL178" s="2516"/>
      <c r="HM178" s="2516"/>
      <c r="HN178" s="2516"/>
      <c r="HO178" s="2516"/>
      <c r="HP178" s="2516"/>
      <c r="HQ178" s="2516"/>
      <c r="HR178" s="2516"/>
      <c r="HS178" s="2516"/>
      <c r="HT178" s="2516"/>
      <c r="HU178" s="2516"/>
      <c r="HV178" s="2516"/>
      <c r="HW178" s="2516"/>
      <c r="HX178" s="2516"/>
      <c r="HY178" s="2516"/>
      <c r="HZ178" s="2516"/>
      <c r="IA178" s="2516"/>
      <c r="IB178" s="2516"/>
      <c r="IC178" s="2516"/>
      <c r="ID178" s="2516"/>
      <c r="IE178" s="2516"/>
      <c r="IF178" s="2516"/>
      <c r="IG178" s="2516"/>
      <c r="IH178" s="2516"/>
      <c r="II178" s="2516"/>
      <c r="IJ178" s="2516"/>
      <c r="IK178" s="2516"/>
      <c r="IL178" s="2516"/>
      <c r="IM178" s="2516"/>
      <c r="IN178" s="2516"/>
      <c r="IO178" s="2516"/>
      <c r="IP178" s="2516"/>
      <c r="IQ178" s="2516"/>
      <c r="IR178" s="2516"/>
      <c r="IS178" s="2516"/>
      <c r="IT178" s="2516"/>
      <c r="IU178" s="2516"/>
      <c r="IV178" s="2516"/>
      <c r="IW178" s="2516"/>
      <c r="IX178" s="2516"/>
      <c r="IY178" s="2516"/>
      <c r="IZ178" s="2516"/>
      <c r="JA178" s="2516"/>
      <c r="JB178" s="2516"/>
      <c r="JC178" s="2516"/>
      <c r="JD178" s="2516"/>
      <c r="JE178" s="2516"/>
      <c r="JF178" s="2516"/>
      <c r="JG178" s="2517"/>
      <c r="JH178" s="1233"/>
      <c r="JI178" s="2248" t="s">
        <v>5562</v>
      </c>
      <c r="JJ178" s="2248" t="s">
        <v>6108</v>
      </c>
    </row>
    <row r="179" spans="1:270" x14ac:dyDescent="0.2">
      <c r="A179" s="1128">
        <v>29</v>
      </c>
      <c r="B179" s="1347" t="str">
        <f si="6" t="shared"/>
        <v/>
      </c>
      <c r="C179" s="1278" t="s">
        <v>3205</v>
      </c>
      <c r="D179" s="1350" t="s">
        <v>5259</v>
      </c>
      <c r="E179" s="2472"/>
      <c r="F179" s="2472"/>
      <c r="G179" s="2472"/>
      <c r="H179" s="2512"/>
      <c r="I179" s="2512"/>
      <c r="J179" s="2512"/>
      <c r="K179" s="2512">
        <v>5820</v>
      </c>
      <c r="L179" s="2579"/>
      <c r="M179" s="2579"/>
      <c r="N179" s="2579"/>
      <c r="O179" s="2579"/>
      <c r="P179" s="2579"/>
      <c r="Q179" s="2579"/>
      <c r="R179" s="2580"/>
      <c r="S179" s="2580"/>
      <c r="T179" s="2580"/>
      <c r="U179" s="2580"/>
      <c r="V179" s="2580"/>
      <c r="W179" s="2580"/>
      <c r="X179" s="2580"/>
      <c r="Y179" s="2580"/>
      <c r="Z179" s="2580"/>
      <c r="AA179" s="2580"/>
      <c r="AB179" s="2580"/>
      <c r="AC179" s="2580"/>
      <c r="AD179" s="2580"/>
      <c r="AE179" s="2580"/>
      <c r="AF179" s="2580"/>
      <c r="AG179" s="2580"/>
      <c r="AH179" s="2580"/>
      <c r="AI179" s="2580"/>
      <c r="AJ179" s="2580"/>
      <c r="AK179" s="2580"/>
      <c r="AL179" s="2580"/>
      <c r="AM179" s="2580"/>
      <c r="AN179" s="2580"/>
      <c r="AO179" s="2580"/>
      <c r="AP179" s="2580"/>
      <c r="AQ179" s="2580"/>
      <c r="AR179" s="2580"/>
      <c r="AS179" s="2580"/>
      <c r="AT179" s="2580"/>
      <c r="AU179" s="2580"/>
      <c r="AV179" s="2580"/>
      <c r="AW179" s="2580"/>
      <c r="AX179" s="2580"/>
      <c r="AY179" s="2580"/>
      <c r="AZ179" s="2580"/>
      <c r="BA179" s="2580"/>
      <c r="BB179" s="2580"/>
      <c r="BC179" s="2580"/>
      <c r="BD179" s="2580"/>
      <c r="BE179" s="2580"/>
      <c r="BF179" s="2580"/>
      <c r="BG179" s="2580"/>
      <c r="BH179" s="2580"/>
      <c r="BI179" s="2580"/>
      <c r="BJ179" s="2580"/>
      <c r="BK179" s="2580"/>
      <c r="BL179" s="2580"/>
      <c r="BM179" s="2580"/>
      <c r="BN179" s="2580"/>
      <c r="BO179" s="2580"/>
      <c r="BP179" s="2580"/>
      <c r="BQ179" s="2580"/>
      <c r="BR179" s="2580"/>
      <c r="BS179" s="2580"/>
      <c r="BT179" s="2580"/>
      <c r="BU179" s="2580"/>
      <c r="BV179" s="2580"/>
      <c r="BW179" s="2580"/>
      <c r="BX179" s="2580"/>
      <c r="BY179" s="2580"/>
      <c r="BZ179" s="2580"/>
      <c r="CA179" s="2580"/>
      <c r="CB179" s="2580"/>
      <c r="CC179" s="2580"/>
      <c r="CD179" s="2580"/>
      <c r="CE179" s="2580"/>
      <c r="CF179" s="2580"/>
      <c r="CG179" s="2580"/>
      <c r="CH179" s="2580"/>
      <c r="CI179" s="2580"/>
      <c r="CJ179" s="2580"/>
      <c r="CK179" s="2580"/>
      <c r="CL179" s="2580"/>
      <c r="CM179" s="2580"/>
      <c r="CN179" s="2580"/>
      <c r="CO179" s="2580"/>
      <c r="CP179" s="2580"/>
      <c r="CQ179" s="2580"/>
      <c r="CR179" s="2580"/>
      <c r="CS179" s="2580"/>
      <c r="CT179" s="2580"/>
      <c r="CU179" s="2580"/>
      <c r="CV179" s="2580"/>
      <c r="CW179" s="2580"/>
      <c r="CX179" s="2580"/>
      <c r="CY179" s="2580"/>
      <c r="CZ179" s="2580"/>
      <c r="DA179" s="2580"/>
      <c r="DB179" s="2580"/>
      <c r="DC179" s="2580"/>
      <c r="DD179" s="2580"/>
      <c r="DE179" s="2580"/>
      <c r="DF179" s="2580"/>
      <c r="DG179" s="2580"/>
      <c r="DH179" s="2580"/>
      <c r="DI179" s="2580"/>
      <c r="DJ179" s="2580"/>
      <c r="DK179" s="2580"/>
      <c r="DL179" s="2580"/>
      <c r="DM179" s="2580"/>
      <c r="DN179" s="2580"/>
      <c r="DO179" s="2580"/>
      <c r="DP179" s="2580"/>
      <c r="DQ179" s="2580"/>
      <c r="DR179" s="2580"/>
      <c r="DS179" s="2580"/>
      <c r="DT179" s="2580"/>
      <c r="DU179" s="2580"/>
      <c r="DV179" s="2580"/>
      <c r="DW179" s="2580"/>
      <c r="DX179" s="2580"/>
      <c r="DY179" s="2580"/>
      <c r="DZ179" s="2580"/>
      <c r="EA179" s="2580"/>
      <c r="EB179" s="2580"/>
      <c r="EC179" s="2580"/>
      <c r="ED179" s="2580"/>
      <c r="EE179" s="2580"/>
      <c r="EF179" s="2580"/>
      <c r="EG179" s="2580"/>
      <c r="EH179" s="2580"/>
      <c r="EI179" s="2580"/>
      <c r="EJ179" s="2580"/>
      <c r="EK179" s="2580"/>
      <c r="EL179" s="2580"/>
      <c r="EM179" s="2580"/>
      <c r="EN179" s="2580"/>
      <c r="EO179" s="2580"/>
      <c r="EP179" s="2580"/>
      <c r="EQ179" s="2580"/>
      <c r="ER179" s="2580"/>
      <c r="ES179" s="2580"/>
      <c r="ET179" s="2580"/>
      <c r="EU179" s="2580"/>
      <c r="EV179" s="2580"/>
      <c r="EW179" s="2580"/>
      <c r="EX179" s="2580"/>
      <c r="EY179" s="2580"/>
      <c r="EZ179" s="2580"/>
      <c r="FA179" s="2580"/>
      <c r="FB179" s="2580"/>
      <c r="FC179" s="2580"/>
      <c r="FD179" s="2580"/>
      <c r="FE179" s="2580"/>
      <c r="FF179" s="2580"/>
      <c r="FG179" s="2580"/>
      <c r="FH179" s="2580"/>
      <c r="FI179" s="2580"/>
      <c r="FJ179" s="2580"/>
      <c r="FK179" s="2580"/>
      <c r="FL179" s="2580"/>
      <c r="FM179" s="2580"/>
      <c r="FN179" s="2580"/>
      <c r="FO179" s="2580"/>
      <c r="FP179" s="2580"/>
      <c r="FQ179" s="2580"/>
      <c r="FR179" s="2580"/>
      <c r="FS179" s="2580"/>
      <c r="FT179" s="2580"/>
      <c r="FU179" s="2580"/>
      <c r="FV179" s="2580"/>
      <c r="FW179" s="2580"/>
      <c r="FX179" s="2580"/>
      <c r="FY179" s="2580"/>
      <c r="FZ179" s="2580"/>
      <c r="GA179" s="2580"/>
      <c r="GB179" s="2580"/>
      <c r="GC179" s="2580"/>
      <c r="GD179" s="2580"/>
      <c r="GE179" s="2580"/>
      <c r="GF179" s="2580"/>
      <c r="GG179" s="2580"/>
      <c r="GH179" s="2580"/>
      <c r="GI179" s="2580"/>
      <c r="GJ179" s="2580"/>
      <c r="GK179" s="2580"/>
      <c r="GL179" s="2580"/>
      <c r="GM179" s="2580"/>
      <c r="GN179" s="2580"/>
      <c r="GO179" s="2580"/>
      <c r="GP179" s="2580"/>
      <c r="GQ179" s="2580"/>
      <c r="GR179" s="2580"/>
      <c r="GS179" s="2580"/>
      <c r="GT179" s="2580"/>
      <c r="GU179" s="2580"/>
      <c r="GV179" s="2580"/>
      <c r="GW179" s="2580"/>
      <c r="GX179" s="2580"/>
      <c r="GY179" s="2580"/>
      <c r="GZ179" s="2580"/>
      <c r="HA179" s="2580"/>
      <c r="HB179" s="2580"/>
      <c r="HC179" s="2580"/>
      <c r="HD179" s="2580"/>
      <c r="HE179" s="2580"/>
      <c r="HF179" s="2580"/>
      <c r="HG179" s="2580"/>
      <c r="HH179" s="2580"/>
      <c r="HI179" s="2580"/>
      <c r="HJ179" s="2580"/>
      <c r="HK179" s="2580"/>
      <c r="HL179" s="2580"/>
      <c r="HM179" s="2580"/>
      <c r="HN179" s="2580"/>
      <c r="HO179" s="2580"/>
      <c r="HP179" s="2580"/>
      <c r="HQ179" s="2580"/>
      <c r="HR179" s="2580"/>
      <c r="HS179" s="2580"/>
      <c r="HT179" s="2580"/>
      <c r="HU179" s="2580"/>
      <c r="HV179" s="2580"/>
      <c r="HW179" s="2580"/>
      <c r="HX179" s="2580"/>
      <c r="HY179" s="2580"/>
      <c r="HZ179" s="2580"/>
      <c r="IA179" s="2580"/>
      <c r="IB179" s="2580"/>
      <c r="IC179" s="2580"/>
      <c r="ID179" s="2580"/>
      <c r="IE179" s="2580"/>
      <c r="IF179" s="2580"/>
      <c r="IG179" s="2580"/>
      <c r="IH179" s="2580"/>
      <c r="II179" s="2580"/>
      <c r="IJ179" s="2580"/>
      <c r="IK179" s="2580"/>
      <c r="IL179" s="2580"/>
      <c r="IM179" s="2580"/>
      <c r="IN179" s="2580"/>
      <c r="IO179" s="2580"/>
      <c r="IP179" s="2580"/>
      <c r="IQ179" s="2580"/>
      <c r="IR179" s="2580"/>
      <c r="IS179" s="2580"/>
      <c r="IT179" s="2580"/>
      <c r="IU179" s="2580"/>
      <c r="IV179" s="2580"/>
      <c r="IW179" s="2580"/>
      <c r="IX179" s="2580"/>
      <c r="IY179" s="2580"/>
      <c r="IZ179" s="2580"/>
      <c r="JA179" s="2580"/>
      <c r="JB179" s="2580"/>
      <c r="JC179" s="2580"/>
      <c r="JD179" s="2580"/>
      <c r="JE179" s="2580"/>
      <c r="JF179" s="2580"/>
      <c r="JG179" s="2581"/>
      <c r="JH179" s="1233"/>
      <c r="JI179" s="2248"/>
      <c r="JJ179" s="2248" t="s">
        <v>6108</v>
      </c>
    </row>
    <row ht="22.5" r="180" spans="1:270" x14ac:dyDescent="0.2">
      <c r="A180" s="1128">
        <v>30</v>
      </c>
      <c r="B180" s="1347" t="str">
        <f si="6" t="shared"/>
        <v/>
      </c>
      <c r="C180" s="1278" t="s">
        <v>3206</v>
      </c>
      <c r="D180" s="1350" t="s">
        <v>5260</v>
      </c>
      <c r="E180" s="2472">
        <v>13816</v>
      </c>
      <c r="F180" s="2472"/>
      <c r="G180" s="2472"/>
      <c r="H180" s="2512"/>
      <c r="I180" s="2512"/>
      <c r="J180" s="2512"/>
      <c r="K180" s="2512"/>
      <c r="L180" s="2579"/>
      <c r="M180" s="2579"/>
      <c r="N180" s="2579"/>
      <c r="O180" s="2579"/>
      <c r="P180" s="2579"/>
      <c r="Q180" s="2579"/>
      <c r="R180" s="2580"/>
      <c r="S180" s="2580"/>
      <c r="T180" s="2580"/>
      <c r="U180" s="2580"/>
      <c r="V180" s="2580"/>
      <c r="W180" s="2580"/>
      <c r="X180" s="2580"/>
      <c r="Y180" s="2580"/>
      <c r="Z180" s="2580"/>
      <c r="AA180" s="2580"/>
      <c r="AB180" s="2580"/>
      <c r="AC180" s="2580"/>
      <c r="AD180" s="2580"/>
      <c r="AE180" s="2580"/>
      <c r="AF180" s="2580"/>
      <c r="AG180" s="2580"/>
      <c r="AH180" s="2580"/>
      <c r="AI180" s="2580"/>
      <c r="AJ180" s="2580"/>
      <c r="AK180" s="2580"/>
      <c r="AL180" s="2580"/>
      <c r="AM180" s="2580"/>
      <c r="AN180" s="2580"/>
      <c r="AO180" s="2580"/>
      <c r="AP180" s="2580"/>
      <c r="AQ180" s="2580"/>
      <c r="AR180" s="2580"/>
      <c r="AS180" s="2580"/>
      <c r="AT180" s="2580"/>
      <c r="AU180" s="2580"/>
      <c r="AV180" s="2580"/>
      <c r="AW180" s="2580"/>
      <c r="AX180" s="2580"/>
      <c r="AY180" s="2580"/>
      <c r="AZ180" s="2580"/>
      <c r="BA180" s="2580"/>
      <c r="BB180" s="2580"/>
      <c r="BC180" s="2580"/>
      <c r="BD180" s="2580"/>
      <c r="BE180" s="2580"/>
      <c r="BF180" s="2580"/>
      <c r="BG180" s="2580"/>
      <c r="BH180" s="2580"/>
      <c r="BI180" s="2580"/>
      <c r="BJ180" s="2580"/>
      <c r="BK180" s="2580"/>
      <c r="BL180" s="2580"/>
      <c r="BM180" s="2580"/>
      <c r="BN180" s="2580"/>
      <c r="BO180" s="2580"/>
      <c r="BP180" s="2580"/>
      <c r="BQ180" s="2580"/>
      <c r="BR180" s="2580"/>
      <c r="BS180" s="2580"/>
      <c r="BT180" s="2580"/>
      <c r="BU180" s="2580"/>
      <c r="BV180" s="2580"/>
      <c r="BW180" s="2580"/>
      <c r="BX180" s="2580"/>
      <c r="BY180" s="2580"/>
      <c r="BZ180" s="2580"/>
      <c r="CA180" s="2580"/>
      <c r="CB180" s="2580"/>
      <c r="CC180" s="2580"/>
      <c r="CD180" s="2580"/>
      <c r="CE180" s="2580"/>
      <c r="CF180" s="2580"/>
      <c r="CG180" s="2580"/>
      <c r="CH180" s="2580"/>
      <c r="CI180" s="2580"/>
      <c r="CJ180" s="2580"/>
      <c r="CK180" s="2580"/>
      <c r="CL180" s="2580"/>
      <c r="CM180" s="2580"/>
      <c r="CN180" s="2580"/>
      <c r="CO180" s="2580"/>
      <c r="CP180" s="2580"/>
      <c r="CQ180" s="2580"/>
      <c r="CR180" s="2580"/>
      <c r="CS180" s="2580"/>
      <c r="CT180" s="2580"/>
      <c r="CU180" s="2580"/>
      <c r="CV180" s="2580"/>
      <c r="CW180" s="2580"/>
      <c r="CX180" s="2580"/>
      <c r="CY180" s="2580"/>
      <c r="CZ180" s="2580"/>
      <c r="DA180" s="2580"/>
      <c r="DB180" s="2580"/>
      <c r="DC180" s="2580"/>
      <c r="DD180" s="2580"/>
      <c r="DE180" s="2580"/>
      <c r="DF180" s="2580"/>
      <c r="DG180" s="2580"/>
      <c r="DH180" s="2580"/>
      <c r="DI180" s="2580"/>
      <c r="DJ180" s="2580"/>
      <c r="DK180" s="2580"/>
      <c r="DL180" s="2580"/>
      <c r="DM180" s="2580"/>
      <c r="DN180" s="2580"/>
      <c r="DO180" s="2580"/>
      <c r="DP180" s="2580"/>
      <c r="DQ180" s="2580"/>
      <c r="DR180" s="2580"/>
      <c r="DS180" s="2580"/>
      <c r="DT180" s="2580"/>
      <c r="DU180" s="2580"/>
      <c r="DV180" s="2580"/>
      <c r="DW180" s="2580"/>
      <c r="DX180" s="2580"/>
      <c r="DY180" s="2580"/>
      <c r="DZ180" s="2580"/>
      <c r="EA180" s="2580"/>
      <c r="EB180" s="2580"/>
      <c r="EC180" s="2580"/>
      <c r="ED180" s="2580"/>
      <c r="EE180" s="2580"/>
      <c r="EF180" s="2580"/>
      <c r="EG180" s="2580"/>
      <c r="EH180" s="2580"/>
      <c r="EI180" s="2580"/>
      <c r="EJ180" s="2580"/>
      <c r="EK180" s="2580"/>
      <c r="EL180" s="2580"/>
      <c r="EM180" s="2580"/>
      <c r="EN180" s="2580"/>
      <c r="EO180" s="2580"/>
      <c r="EP180" s="2580"/>
      <c r="EQ180" s="2580"/>
      <c r="ER180" s="2580"/>
      <c r="ES180" s="2580"/>
      <c r="ET180" s="2580"/>
      <c r="EU180" s="2580"/>
      <c r="EV180" s="2580"/>
      <c r="EW180" s="2580"/>
      <c r="EX180" s="2580"/>
      <c r="EY180" s="2580"/>
      <c r="EZ180" s="2580"/>
      <c r="FA180" s="2580"/>
      <c r="FB180" s="2580"/>
      <c r="FC180" s="2580"/>
      <c r="FD180" s="2580"/>
      <c r="FE180" s="2580"/>
      <c r="FF180" s="2580"/>
      <c r="FG180" s="2580"/>
      <c r="FH180" s="2580"/>
      <c r="FI180" s="2580"/>
      <c r="FJ180" s="2580"/>
      <c r="FK180" s="2580"/>
      <c r="FL180" s="2580"/>
      <c r="FM180" s="2580"/>
      <c r="FN180" s="2580"/>
      <c r="FO180" s="2580"/>
      <c r="FP180" s="2580"/>
      <c r="FQ180" s="2580"/>
      <c r="FR180" s="2580"/>
      <c r="FS180" s="2580"/>
      <c r="FT180" s="2580"/>
      <c r="FU180" s="2580"/>
      <c r="FV180" s="2580"/>
      <c r="FW180" s="2580"/>
      <c r="FX180" s="2580"/>
      <c r="FY180" s="2580"/>
      <c r="FZ180" s="2580"/>
      <c r="GA180" s="2580"/>
      <c r="GB180" s="2580"/>
      <c r="GC180" s="2580"/>
      <c r="GD180" s="2580"/>
      <c r="GE180" s="2580"/>
      <c r="GF180" s="2580"/>
      <c r="GG180" s="2580"/>
      <c r="GH180" s="2580"/>
      <c r="GI180" s="2580"/>
      <c r="GJ180" s="2580"/>
      <c r="GK180" s="2580"/>
      <c r="GL180" s="2580"/>
      <c r="GM180" s="2580"/>
      <c r="GN180" s="2580"/>
      <c r="GO180" s="2580"/>
      <c r="GP180" s="2580"/>
      <c r="GQ180" s="2580"/>
      <c r="GR180" s="2580"/>
      <c r="GS180" s="2580"/>
      <c r="GT180" s="2580"/>
      <c r="GU180" s="2580"/>
      <c r="GV180" s="2580"/>
      <c r="GW180" s="2580"/>
      <c r="GX180" s="2580"/>
      <c r="GY180" s="2580"/>
      <c r="GZ180" s="2580"/>
      <c r="HA180" s="2580"/>
      <c r="HB180" s="2580"/>
      <c r="HC180" s="2580"/>
      <c r="HD180" s="2580"/>
      <c r="HE180" s="2580"/>
      <c r="HF180" s="2580"/>
      <c r="HG180" s="2580"/>
      <c r="HH180" s="2580"/>
      <c r="HI180" s="2580"/>
      <c r="HJ180" s="2580"/>
      <c r="HK180" s="2580"/>
      <c r="HL180" s="2580"/>
      <c r="HM180" s="2580"/>
      <c r="HN180" s="2580"/>
      <c r="HO180" s="2580"/>
      <c r="HP180" s="2580"/>
      <c r="HQ180" s="2580"/>
      <c r="HR180" s="2580"/>
      <c r="HS180" s="2580"/>
      <c r="HT180" s="2580"/>
      <c r="HU180" s="2580"/>
      <c r="HV180" s="2580"/>
      <c r="HW180" s="2580"/>
      <c r="HX180" s="2580"/>
      <c r="HY180" s="2580"/>
      <c r="HZ180" s="2580"/>
      <c r="IA180" s="2580"/>
      <c r="IB180" s="2580"/>
      <c r="IC180" s="2580"/>
      <c r="ID180" s="2580"/>
      <c r="IE180" s="2580"/>
      <c r="IF180" s="2580"/>
      <c r="IG180" s="2580"/>
      <c r="IH180" s="2580"/>
      <c r="II180" s="2580"/>
      <c r="IJ180" s="2580"/>
      <c r="IK180" s="2580"/>
      <c r="IL180" s="2580"/>
      <c r="IM180" s="2580"/>
      <c r="IN180" s="2580"/>
      <c r="IO180" s="2580"/>
      <c r="IP180" s="2580"/>
      <c r="IQ180" s="2580"/>
      <c r="IR180" s="2580"/>
      <c r="IS180" s="2580"/>
      <c r="IT180" s="2580"/>
      <c r="IU180" s="2580"/>
      <c r="IV180" s="2580"/>
      <c r="IW180" s="2580"/>
      <c r="IX180" s="2580"/>
      <c r="IY180" s="2580"/>
      <c r="IZ180" s="2580"/>
      <c r="JA180" s="2580"/>
      <c r="JB180" s="2580"/>
      <c r="JC180" s="2580"/>
      <c r="JD180" s="2580"/>
      <c r="JE180" s="2580"/>
      <c r="JF180" s="2580"/>
      <c r="JG180" s="2581"/>
      <c r="JH180" s="1233"/>
      <c r="JI180" s="2248" t="s">
        <v>5563</v>
      </c>
      <c r="JJ180" s="2248" t="s">
        <v>6108</v>
      </c>
    </row>
    <row r="181" spans="1:270" x14ac:dyDescent="0.2">
      <c r="A181" s="1128">
        <v>31</v>
      </c>
      <c r="B181" s="1347" t="str">
        <f si="6" t="shared"/>
        <v/>
      </c>
      <c r="C181" s="1278" t="s">
        <v>3207</v>
      </c>
      <c r="D181" s="1350" t="s">
        <v>5261</v>
      </c>
      <c r="E181" s="2472"/>
      <c r="F181" s="2472"/>
      <c r="G181" s="2472"/>
      <c r="H181" s="2512"/>
      <c r="I181" s="2512"/>
      <c r="J181" s="2512">
        <v>35452</v>
      </c>
      <c r="K181" s="2512"/>
      <c r="L181" s="2579"/>
      <c r="M181" s="2579"/>
      <c r="N181" s="2579"/>
      <c r="O181" s="2579"/>
      <c r="P181" s="2579"/>
      <c r="Q181" s="2579"/>
      <c r="R181" s="2580"/>
      <c r="S181" s="2580"/>
      <c r="T181" s="2580"/>
      <c r="U181" s="2580"/>
      <c r="V181" s="2580"/>
      <c r="W181" s="2580"/>
      <c r="X181" s="2580"/>
      <c r="Y181" s="2580"/>
      <c r="Z181" s="2580"/>
      <c r="AA181" s="2580"/>
      <c r="AB181" s="2580"/>
      <c r="AC181" s="2580"/>
      <c r="AD181" s="2580"/>
      <c r="AE181" s="2580"/>
      <c r="AF181" s="2580"/>
      <c r="AG181" s="2580"/>
      <c r="AH181" s="2580"/>
      <c r="AI181" s="2580"/>
      <c r="AJ181" s="2580"/>
      <c r="AK181" s="2580"/>
      <c r="AL181" s="2580"/>
      <c r="AM181" s="2580"/>
      <c r="AN181" s="2580"/>
      <c r="AO181" s="2580"/>
      <c r="AP181" s="2580"/>
      <c r="AQ181" s="2580"/>
      <c r="AR181" s="2580"/>
      <c r="AS181" s="2580"/>
      <c r="AT181" s="2580"/>
      <c r="AU181" s="2580"/>
      <c r="AV181" s="2580"/>
      <c r="AW181" s="2580"/>
      <c r="AX181" s="2580"/>
      <c r="AY181" s="2580"/>
      <c r="AZ181" s="2580"/>
      <c r="BA181" s="2580"/>
      <c r="BB181" s="2580"/>
      <c r="BC181" s="2580"/>
      <c r="BD181" s="2580"/>
      <c r="BE181" s="2580"/>
      <c r="BF181" s="2580"/>
      <c r="BG181" s="2580"/>
      <c r="BH181" s="2580"/>
      <c r="BI181" s="2580"/>
      <c r="BJ181" s="2580"/>
      <c r="BK181" s="2580"/>
      <c r="BL181" s="2580"/>
      <c r="BM181" s="2580"/>
      <c r="BN181" s="2580"/>
      <c r="BO181" s="2580"/>
      <c r="BP181" s="2580"/>
      <c r="BQ181" s="2580"/>
      <c r="BR181" s="2580"/>
      <c r="BS181" s="2580"/>
      <c r="BT181" s="2580"/>
      <c r="BU181" s="2580"/>
      <c r="BV181" s="2580"/>
      <c r="BW181" s="2580"/>
      <c r="BX181" s="2580"/>
      <c r="BY181" s="2580"/>
      <c r="BZ181" s="2580"/>
      <c r="CA181" s="2580"/>
      <c r="CB181" s="2580"/>
      <c r="CC181" s="2580"/>
      <c r="CD181" s="2580"/>
      <c r="CE181" s="2580"/>
      <c r="CF181" s="2580"/>
      <c r="CG181" s="2580"/>
      <c r="CH181" s="2580"/>
      <c r="CI181" s="2580"/>
      <c r="CJ181" s="2580"/>
      <c r="CK181" s="2580"/>
      <c r="CL181" s="2580"/>
      <c r="CM181" s="2580"/>
      <c r="CN181" s="2580"/>
      <c r="CO181" s="2580"/>
      <c r="CP181" s="2580"/>
      <c r="CQ181" s="2580"/>
      <c r="CR181" s="2580"/>
      <c r="CS181" s="2580"/>
      <c r="CT181" s="2580"/>
      <c r="CU181" s="2580"/>
      <c r="CV181" s="2580"/>
      <c r="CW181" s="2580"/>
      <c r="CX181" s="2580"/>
      <c r="CY181" s="2580"/>
      <c r="CZ181" s="2580"/>
      <c r="DA181" s="2580"/>
      <c r="DB181" s="2580"/>
      <c r="DC181" s="2580"/>
      <c r="DD181" s="2580"/>
      <c r="DE181" s="2580"/>
      <c r="DF181" s="2580"/>
      <c r="DG181" s="2580"/>
      <c r="DH181" s="2580"/>
      <c r="DI181" s="2580"/>
      <c r="DJ181" s="2580"/>
      <c r="DK181" s="2580"/>
      <c r="DL181" s="2580"/>
      <c r="DM181" s="2580"/>
      <c r="DN181" s="2580"/>
      <c r="DO181" s="2580"/>
      <c r="DP181" s="2580"/>
      <c r="DQ181" s="2580"/>
      <c r="DR181" s="2580"/>
      <c r="DS181" s="2580"/>
      <c r="DT181" s="2580"/>
      <c r="DU181" s="2580"/>
      <c r="DV181" s="2580"/>
      <c r="DW181" s="2580"/>
      <c r="DX181" s="2580"/>
      <c r="DY181" s="2580"/>
      <c r="DZ181" s="2580"/>
      <c r="EA181" s="2580"/>
      <c r="EB181" s="2580"/>
      <c r="EC181" s="2580"/>
      <c r="ED181" s="2580"/>
      <c r="EE181" s="2580"/>
      <c r="EF181" s="2580"/>
      <c r="EG181" s="2580"/>
      <c r="EH181" s="2580"/>
      <c r="EI181" s="2580"/>
      <c r="EJ181" s="2580"/>
      <c r="EK181" s="2580"/>
      <c r="EL181" s="2580"/>
      <c r="EM181" s="2580"/>
      <c r="EN181" s="2580"/>
      <c r="EO181" s="2580"/>
      <c r="EP181" s="2580"/>
      <c r="EQ181" s="2580"/>
      <c r="ER181" s="2580"/>
      <c r="ES181" s="2580"/>
      <c r="ET181" s="2580"/>
      <c r="EU181" s="2580"/>
      <c r="EV181" s="2580"/>
      <c r="EW181" s="2580"/>
      <c r="EX181" s="2580"/>
      <c r="EY181" s="2580"/>
      <c r="EZ181" s="2580"/>
      <c r="FA181" s="2580"/>
      <c r="FB181" s="2580"/>
      <c r="FC181" s="2580"/>
      <c r="FD181" s="2580"/>
      <c r="FE181" s="2580"/>
      <c r="FF181" s="2580"/>
      <c r="FG181" s="2580"/>
      <c r="FH181" s="2580"/>
      <c r="FI181" s="2580"/>
      <c r="FJ181" s="2580"/>
      <c r="FK181" s="2580"/>
      <c r="FL181" s="2580"/>
      <c r="FM181" s="2580"/>
      <c r="FN181" s="2580"/>
      <c r="FO181" s="2580"/>
      <c r="FP181" s="2580"/>
      <c r="FQ181" s="2580"/>
      <c r="FR181" s="2580"/>
      <c r="FS181" s="2580"/>
      <c r="FT181" s="2580"/>
      <c r="FU181" s="2580"/>
      <c r="FV181" s="2580"/>
      <c r="FW181" s="2580"/>
      <c r="FX181" s="2580"/>
      <c r="FY181" s="2580"/>
      <c r="FZ181" s="2580"/>
      <c r="GA181" s="2580"/>
      <c r="GB181" s="2580"/>
      <c r="GC181" s="2580"/>
      <c r="GD181" s="2580"/>
      <c r="GE181" s="2580"/>
      <c r="GF181" s="2580"/>
      <c r="GG181" s="2580"/>
      <c r="GH181" s="2580"/>
      <c r="GI181" s="2580"/>
      <c r="GJ181" s="2580"/>
      <c r="GK181" s="2580"/>
      <c r="GL181" s="2580"/>
      <c r="GM181" s="2580"/>
      <c r="GN181" s="2580"/>
      <c r="GO181" s="2580"/>
      <c r="GP181" s="2580"/>
      <c r="GQ181" s="2580"/>
      <c r="GR181" s="2580"/>
      <c r="GS181" s="2580"/>
      <c r="GT181" s="2580"/>
      <c r="GU181" s="2580"/>
      <c r="GV181" s="2580"/>
      <c r="GW181" s="2580"/>
      <c r="GX181" s="2580"/>
      <c r="GY181" s="2580"/>
      <c r="GZ181" s="2580"/>
      <c r="HA181" s="2580"/>
      <c r="HB181" s="2580"/>
      <c r="HC181" s="2580"/>
      <c r="HD181" s="2580"/>
      <c r="HE181" s="2580"/>
      <c r="HF181" s="2580"/>
      <c r="HG181" s="2580"/>
      <c r="HH181" s="2580"/>
      <c r="HI181" s="2580"/>
      <c r="HJ181" s="2580"/>
      <c r="HK181" s="2580"/>
      <c r="HL181" s="2580"/>
      <c r="HM181" s="2580"/>
      <c r="HN181" s="2580"/>
      <c r="HO181" s="2580"/>
      <c r="HP181" s="2580"/>
      <c r="HQ181" s="2580"/>
      <c r="HR181" s="2580"/>
      <c r="HS181" s="2580"/>
      <c r="HT181" s="2580"/>
      <c r="HU181" s="2580"/>
      <c r="HV181" s="2580"/>
      <c r="HW181" s="2580"/>
      <c r="HX181" s="2580"/>
      <c r="HY181" s="2580"/>
      <c r="HZ181" s="2580"/>
      <c r="IA181" s="2580"/>
      <c r="IB181" s="2580"/>
      <c r="IC181" s="2580"/>
      <c r="ID181" s="2580"/>
      <c r="IE181" s="2580"/>
      <c r="IF181" s="2580"/>
      <c r="IG181" s="2580"/>
      <c r="IH181" s="2580"/>
      <c r="II181" s="2580"/>
      <c r="IJ181" s="2580"/>
      <c r="IK181" s="2580"/>
      <c r="IL181" s="2580"/>
      <c r="IM181" s="2580"/>
      <c r="IN181" s="2580"/>
      <c r="IO181" s="2580"/>
      <c r="IP181" s="2580"/>
      <c r="IQ181" s="2580"/>
      <c r="IR181" s="2580"/>
      <c r="IS181" s="2580"/>
      <c r="IT181" s="2580"/>
      <c r="IU181" s="2580"/>
      <c r="IV181" s="2580"/>
      <c r="IW181" s="2580"/>
      <c r="IX181" s="2580"/>
      <c r="IY181" s="2580"/>
      <c r="IZ181" s="2580"/>
      <c r="JA181" s="2580"/>
      <c r="JB181" s="2580"/>
      <c r="JC181" s="2580"/>
      <c r="JD181" s="2580"/>
      <c r="JE181" s="2580"/>
      <c r="JF181" s="2580"/>
      <c r="JG181" s="2581"/>
      <c r="JH181" s="1233"/>
      <c r="JI181" s="2248"/>
      <c r="JJ181" s="2248" t="s">
        <v>6108</v>
      </c>
    </row>
    <row r="182" spans="1:270" x14ac:dyDescent="0.2">
      <c r="A182" s="1128">
        <v>32</v>
      </c>
      <c r="B182" s="1347" t="str">
        <f si="6" t="shared"/>
        <v/>
      </c>
      <c r="C182" s="1278" t="s">
        <v>3208</v>
      </c>
      <c r="D182" s="1350" t="s">
        <v>5262</v>
      </c>
      <c r="E182" s="2472"/>
      <c r="F182" s="2472"/>
      <c r="G182" s="2472"/>
      <c r="H182" s="2512">
        <v>7580</v>
      </c>
      <c r="I182" s="2512"/>
      <c r="J182" s="2512"/>
      <c r="K182" s="2512"/>
      <c r="L182" s="2579"/>
      <c r="M182" s="2579"/>
      <c r="N182" s="2579"/>
      <c r="O182" s="2579"/>
      <c r="P182" s="2579"/>
      <c r="Q182" s="2579"/>
      <c r="R182" s="2580"/>
      <c r="S182" s="2580"/>
      <c r="T182" s="2580"/>
      <c r="U182" s="2580"/>
      <c r="V182" s="2580"/>
      <c r="W182" s="2580"/>
      <c r="X182" s="2580"/>
      <c r="Y182" s="2580"/>
      <c r="Z182" s="2580"/>
      <c r="AA182" s="2580"/>
      <c r="AB182" s="2580"/>
      <c r="AC182" s="2580"/>
      <c r="AD182" s="2580"/>
      <c r="AE182" s="2580"/>
      <c r="AF182" s="2580"/>
      <c r="AG182" s="2580"/>
      <c r="AH182" s="2580"/>
      <c r="AI182" s="2580"/>
      <c r="AJ182" s="2580"/>
      <c r="AK182" s="2580"/>
      <c r="AL182" s="2580"/>
      <c r="AM182" s="2580"/>
      <c r="AN182" s="2580"/>
      <c r="AO182" s="2580"/>
      <c r="AP182" s="2580"/>
      <c r="AQ182" s="2580"/>
      <c r="AR182" s="2580"/>
      <c r="AS182" s="2580"/>
      <c r="AT182" s="2580"/>
      <c r="AU182" s="2580"/>
      <c r="AV182" s="2580"/>
      <c r="AW182" s="2580"/>
      <c r="AX182" s="2580"/>
      <c r="AY182" s="2580"/>
      <c r="AZ182" s="2580"/>
      <c r="BA182" s="2580"/>
      <c r="BB182" s="2580"/>
      <c r="BC182" s="2580"/>
      <c r="BD182" s="2580"/>
      <c r="BE182" s="2580"/>
      <c r="BF182" s="2580"/>
      <c r="BG182" s="2580"/>
      <c r="BH182" s="2580"/>
      <c r="BI182" s="2580"/>
      <c r="BJ182" s="2580"/>
      <c r="BK182" s="2580"/>
      <c r="BL182" s="2580"/>
      <c r="BM182" s="2580"/>
      <c r="BN182" s="2580"/>
      <c r="BO182" s="2580"/>
      <c r="BP182" s="2580"/>
      <c r="BQ182" s="2580"/>
      <c r="BR182" s="2580"/>
      <c r="BS182" s="2580"/>
      <c r="BT182" s="2580"/>
      <c r="BU182" s="2580"/>
      <c r="BV182" s="2580"/>
      <c r="BW182" s="2580"/>
      <c r="BX182" s="2580"/>
      <c r="BY182" s="2580"/>
      <c r="BZ182" s="2580"/>
      <c r="CA182" s="2580"/>
      <c r="CB182" s="2580"/>
      <c r="CC182" s="2580"/>
      <c r="CD182" s="2580"/>
      <c r="CE182" s="2580"/>
      <c r="CF182" s="2580"/>
      <c r="CG182" s="2580"/>
      <c r="CH182" s="2580"/>
      <c r="CI182" s="2580"/>
      <c r="CJ182" s="2580"/>
      <c r="CK182" s="2580"/>
      <c r="CL182" s="2580"/>
      <c r="CM182" s="2580"/>
      <c r="CN182" s="2580"/>
      <c r="CO182" s="2580"/>
      <c r="CP182" s="2580"/>
      <c r="CQ182" s="2580"/>
      <c r="CR182" s="2580"/>
      <c r="CS182" s="2580"/>
      <c r="CT182" s="2580"/>
      <c r="CU182" s="2580"/>
      <c r="CV182" s="2580"/>
      <c r="CW182" s="2580"/>
      <c r="CX182" s="2580"/>
      <c r="CY182" s="2580"/>
      <c r="CZ182" s="2580"/>
      <c r="DA182" s="2580"/>
      <c r="DB182" s="2580"/>
      <c r="DC182" s="2580"/>
      <c r="DD182" s="2580"/>
      <c r="DE182" s="2580"/>
      <c r="DF182" s="2580"/>
      <c r="DG182" s="2580"/>
      <c r="DH182" s="2580"/>
      <c r="DI182" s="2580"/>
      <c r="DJ182" s="2580"/>
      <c r="DK182" s="2580"/>
      <c r="DL182" s="2580"/>
      <c r="DM182" s="2580"/>
      <c r="DN182" s="2580"/>
      <c r="DO182" s="2580"/>
      <c r="DP182" s="2580"/>
      <c r="DQ182" s="2580"/>
      <c r="DR182" s="2580"/>
      <c r="DS182" s="2580"/>
      <c r="DT182" s="2580"/>
      <c r="DU182" s="2580"/>
      <c r="DV182" s="2580"/>
      <c r="DW182" s="2580"/>
      <c r="DX182" s="2580"/>
      <c r="DY182" s="2580"/>
      <c r="DZ182" s="2580"/>
      <c r="EA182" s="2580"/>
      <c r="EB182" s="2580"/>
      <c r="EC182" s="2580"/>
      <c r="ED182" s="2580"/>
      <c r="EE182" s="2580"/>
      <c r="EF182" s="2580"/>
      <c r="EG182" s="2580"/>
      <c r="EH182" s="2580"/>
      <c r="EI182" s="2580"/>
      <c r="EJ182" s="2580"/>
      <c r="EK182" s="2580"/>
      <c r="EL182" s="2580"/>
      <c r="EM182" s="2580"/>
      <c r="EN182" s="2580"/>
      <c r="EO182" s="2580"/>
      <c r="EP182" s="2580"/>
      <c r="EQ182" s="2580"/>
      <c r="ER182" s="2580"/>
      <c r="ES182" s="2580"/>
      <c r="ET182" s="2580"/>
      <c r="EU182" s="2580"/>
      <c r="EV182" s="2580"/>
      <c r="EW182" s="2580"/>
      <c r="EX182" s="2580"/>
      <c r="EY182" s="2580"/>
      <c r="EZ182" s="2580"/>
      <c r="FA182" s="2580"/>
      <c r="FB182" s="2580"/>
      <c r="FC182" s="2580"/>
      <c r="FD182" s="2580"/>
      <c r="FE182" s="2580"/>
      <c r="FF182" s="2580"/>
      <c r="FG182" s="2580"/>
      <c r="FH182" s="2580"/>
      <c r="FI182" s="2580"/>
      <c r="FJ182" s="2580"/>
      <c r="FK182" s="2580"/>
      <c r="FL182" s="2580"/>
      <c r="FM182" s="2580"/>
      <c r="FN182" s="2580"/>
      <c r="FO182" s="2580"/>
      <c r="FP182" s="2580"/>
      <c r="FQ182" s="2580"/>
      <c r="FR182" s="2580"/>
      <c r="FS182" s="2580"/>
      <c r="FT182" s="2580"/>
      <c r="FU182" s="2580"/>
      <c r="FV182" s="2580"/>
      <c r="FW182" s="2580"/>
      <c r="FX182" s="2580"/>
      <c r="FY182" s="2580"/>
      <c r="FZ182" s="2580"/>
      <c r="GA182" s="2580"/>
      <c r="GB182" s="2580"/>
      <c r="GC182" s="2580"/>
      <c r="GD182" s="2580"/>
      <c r="GE182" s="2580"/>
      <c r="GF182" s="2580"/>
      <c r="GG182" s="2580"/>
      <c r="GH182" s="2580"/>
      <c r="GI182" s="2580"/>
      <c r="GJ182" s="2580"/>
      <c r="GK182" s="2580"/>
      <c r="GL182" s="2580"/>
      <c r="GM182" s="2580"/>
      <c r="GN182" s="2580"/>
      <c r="GO182" s="2580"/>
      <c r="GP182" s="2580"/>
      <c r="GQ182" s="2580"/>
      <c r="GR182" s="2580"/>
      <c r="GS182" s="2580"/>
      <c r="GT182" s="2580"/>
      <c r="GU182" s="2580"/>
      <c r="GV182" s="2580"/>
      <c r="GW182" s="2580"/>
      <c r="GX182" s="2580"/>
      <c r="GY182" s="2580"/>
      <c r="GZ182" s="2580"/>
      <c r="HA182" s="2580"/>
      <c r="HB182" s="2580"/>
      <c r="HC182" s="2580"/>
      <c r="HD182" s="2580"/>
      <c r="HE182" s="2580"/>
      <c r="HF182" s="2580"/>
      <c r="HG182" s="2580"/>
      <c r="HH182" s="2580"/>
      <c r="HI182" s="2580"/>
      <c r="HJ182" s="2580"/>
      <c r="HK182" s="2580"/>
      <c r="HL182" s="2580"/>
      <c r="HM182" s="2580"/>
      <c r="HN182" s="2580"/>
      <c r="HO182" s="2580"/>
      <c r="HP182" s="2580"/>
      <c r="HQ182" s="2580"/>
      <c r="HR182" s="2580"/>
      <c r="HS182" s="2580"/>
      <c r="HT182" s="2580"/>
      <c r="HU182" s="2580"/>
      <c r="HV182" s="2580"/>
      <c r="HW182" s="2580"/>
      <c r="HX182" s="2580"/>
      <c r="HY182" s="2580"/>
      <c r="HZ182" s="2580"/>
      <c r="IA182" s="2580"/>
      <c r="IB182" s="2580"/>
      <c r="IC182" s="2580"/>
      <c r="ID182" s="2580"/>
      <c r="IE182" s="2580"/>
      <c r="IF182" s="2580"/>
      <c r="IG182" s="2580"/>
      <c r="IH182" s="2580"/>
      <c r="II182" s="2580"/>
      <c r="IJ182" s="2580"/>
      <c r="IK182" s="2580"/>
      <c r="IL182" s="2580"/>
      <c r="IM182" s="2580"/>
      <c r="IN182" s="2580"/>
      <c r="IO182" s="2580"/>
      <c r="IP182" s="2580"/>
      <c r="IQ182" s="2580"/>
      <c r="IR182" s="2580"/>
      <c r="IS182" s="2580"/>
      <c r="IT182" s="2580"/>
      <c r="IU182" s="2580"/>
      <c r="IV182" s="2580"/>
      <c r="IW182" s="2580"/>
      <c r="IX182" s="2580"/>
      <c r="IY182" s="2580"/>
      <c r="IZ182" s="2580"/>
      <c r="JA182" s="2580"/>
      <c r="JB182" s="2580"/>
      <c r="JC182" s="2580"/>
      <c r="JD182" s="2580"/>
      <c r="JE182" s="2580"/>
      <c r="JF182" s="2580"/>
      <c r="JG182" s="2581"/>
      <c r="JH182" s="1233"/>
      <c r="JI182" s="2248"/>
      <c r="JJ182" s="2248" t="s">
        <v>6108</v>
      </c>
    </row>
    <row r="183" spans="1:270" x14ac:dyDescent="0.2">
      <c r="A183" s="1128">
        <v>33</v>
      </c>
      <c r="B183" s="1347" t="str">
        <f si="6" t="shared"/>
        <v/>
      </c>
      <c r="C183" s="1278" t="s">
        <v>3209</v>
      </c>
      <c r="D183" s="1350" t="s">
        <v>5263</v>
      </c>
      <c r="E183" s="2472"/>
      <c r="F183" s="2472"/>
      <c r="G183" s="2472"/>
      <c r="H183" s="2512"/>
      <c r="I183" s="2512"/>
      <c r="J183" s="2512"/>
      <c r="K183" s="2512"/>
      <c r="L183" s="2579"/>
      <c r="M183" s="2579"/>
      <c r="N183" s="2579"/>
      <c r="O183" s="2579"/>
      <c r="P183" s="2579"/>
      <c r="Q183" s="2579"/>
      <c r="R183" s="2580"/>
      <c r="S183" s="2580"/>
      <c r="T183" s="2580"/>
      <c r="U183" s="2580"/>
      <c r="V183" s="2580"/>
      <c r="W183" s="2580"/>
      <c r="X183" s="2580"/>
      <c r="Y183" s="2580"/>
      <c r="Z183" s="2580"/>
      <c r="AA183" s="2580"/>
      <c r="AB183" s="2580"/>
      <c r="AC183" s="2580"/>
      <c r="AD183" s="2580"/>
      <c r="AE183" s="2580"/>
      <c r="AF183" s="2580"/>
      <c r="AG183" s="2580"/>
      <c r="AH183" s="2580"/>
      <c r="AI183" s="2580"/>
      <c r="AJ183" s="2580"/>
      <c r="AK183" s="2580"/>
      <c r="AL183" s="2580"/>
      <c r="AM183" s="2580"/>
      <c r="AN183" s="2580"/>
      <c r="AO183" s="2580"/>
      <c r="AP183" s="2580"/>
      <c r="AQ183" s="2580"/>
      <c r="AR183" s="2580"/>
      <c r="AS183" s="2580"/>
      <c r="AT183" s="2580"/>
      <c r="AU183" s="2580"/>
      <c r="AV183" s="2580"/>
      <c r="AW183" s="2580"/>
      <c r="AX183" s="2580"/>
      <c r="AY183" s="2580"/>
      <c r="AZ183" s="2580"/>
      <c r="BA183" s="2580"/>
      <c r="BB183" s="2580"/>
      <c r="BC183" s="2580"/>
      <c r="BD183" s="2580"/>
      <c r="BE183" s="2580"/>
      <c r="BF183" s="2580"/>
      <c r="BG183" s="2580"/>
      <c r="BH183" s="2580"/>
      <c r="BI183" s="2580"/>
      <c r="BJ183" s="2580"/>
      <c r="BK183" s="2580"/>
      <c r="BL183" s="2580"/>
      <c r="BM183" s="2580"/>
      <c r="BN183" s="2580"/>
      <c r="BO183" s="2580"/>
      <c r="BP183" s="2580"/>
      <c r="BQ183" s="2580"/>
      <c r="BR183" s="2580"/>
      <c r="BS183" s="2580"/>
      <c r="BT183" s="2580"/>
      <c r="BU183" s="2580"/>
      <c r="BV183" s="2580"/>
      <c r="BW183" s="2580"/>
      <c r="BX183" s="2580"/>
      <c r="BY183" s="2580"/>
      <c r="BZ183" s="2580"/>
      <c r="CA183" s="2580"/>
      <c r="CB183" s="2580"/>
      <c r="CC183" s="2580"/>
      <c r="CD183" s="2580"/>
      <c r="CE183" s="2580"/>
      <c r="CF183" s="2580"/>
      <c r="CG183" s="2580"/>
      <c r="CH183" s="2580"/>
      <c r="CI183" s="2580"/>
      <c r="CJ183" s="2580"/>
      <c r="CK183" s="2580"/>
      <c r="CL183" s="2580"/>
      <c r="CM183" s="2580"/>
      <c r="CN183" s="2580"/>
      <c r="CO183" s="2580"/>
      <c r="CP183" s="2580"/>
      <c r="CQ183" s="2580"/>
      <c r="CR183" s="2580"/>
      <c r="CS183" s="2580"/>
      <c r="CT183" s="2580"/>
      <c r="CU183" s="2580"/>
      <c r="CV183" s="2580"/>
      <c r="CW183" s="2580"/>
      <c r="CX183" s="2580"/>
      <c r="CY183" s="2580"/>
      <c r="CZ183" s="2580"/>
      <c r="DA183" s="2580"/>
      <c r="DB183" s="2580"/>
      <c r="DC183" s="2580"/>
      <c r="DD183" s="2580"/>
      <c r="DE183" s="2580"/>
      <c r="DF183" s="2580"/>
      <c r="DG183" s="2580"/>
      <c r="DH183" s="2580"/>
      <c r="DI183" s="2580"/>
      <c r="DJ183" s="2580"/>
      <c r="DK183" s="2580"/>
      <c r="DL183" s="2580"/>
      <c r="DM183" s="2580"/>
      <c r="DN183" s="2580"/>
      <c r="DO183" s="2580"/>
      <c r="DP183" s="2580"/>
      <c r="DQ183" s="2580"/>
      <c r="DR183" s="2580"/>
      <c r="DS183" s="2580"/>
      <c r="DT183" s="2580"/>
      <c r="DU183" s="2580"/>
      <c r="DV183" s="2580"/>
      <c r="DW183" s="2580"/>
      <c r="DX183" s="2580"/>
      <c r="DY183" s="2580"/>
      <c r="DZ183" s="2580"/>
      <c r="EA183" s="2580"/>
      <c r="EB183" s="2580"/>
      <c r="EC183" s="2580"/>
      <c r="ED183" s="2580"/>
      <c r="EE183" s="2580"/>
      <c r="EF183" s="2580"/>
      <c r="EG183" s="2580"/>
      <c r="EH183" s="2580"/>
      <c r="EI183" s="2580"/>
      <c r="EJ183" s="2580"/>
      <c r="EK183" s="2580"/>
      <c r="EL183" s="2580"/>
      <c r="EM183" s="2580"/>
      <c r="EN183" s="2580"/>
      <c r="EO183" s="2580"/>
      <c r="EP183" s="2580"/>
      <c r="EQ183" s="2580"/>
      <c r="ER183" s="2580"/>
      <c r="ES183" s="2580"/>
      <c r="ET183" s="2580"/>
      <c r="EU183" s="2580"/>
      <c r="EV183" s="2580"/>
      <c r="EW183" s="2580"/>
      <c r="EX183" s="2580"/>
      <c r="EY183" s="2580"/>
      <c r="EZ183" s="2580"/>
      <c r="FA183" s="2580"/>
      <c r="FB183" s="2580"/>
      <c r="FC183" s="2580"/>
      <c r="FD183" s="2580"/>
      <c r="FE183" s="2580"/>
      <c r="FF183" s="2580"/>
      <c r="FG183" s="2580"/>
      <c r="FH183" s="2580"/>
      <c r="FI183" s="2580"/>
      <c r="FJ183" s="2580"/>
      <c r="FK183" s="2580"/>
      <c r="FL183" s="2580"/>
      <c r="FM183" s="2580"/>
      <c r="FN183" s="2580"/>
      <c r="FO183" s="2580"/>
      <c r="FP183" s="2580"/>
      <c r="FQ183" s="2580"/>
      <c r="FR183" s="2580"/>
      <c r="FS183" s="2580"/>
      <c r="FT183" s="2580"/>
      <c r="FU183" s="2580"/>
      <c r="FV183" s="2580"/>
      <c r="FW183" s="2580"/>
      <c r="FX183" s="2580"/>
      <c r="FY183" s="2580"/>
      <c r="FZ183" s="2580"/>
      <c r="GA183" s="2580"/>
      <c r="GB183" s="2580"/>
      <c r="GC183" s="2580"/>
      <c r="GD183" s="2580"/>
      <c r="GE183" s="2580"/>
      <c r="GF183" s="2580"/>
      <c r="GG183" s="2580"/>
      <c r="GH183" s="2580"/>
      <c r="GI183" s="2580"/>
      <c r="GJ183" s="2580"/>
      <c r="GK183" s="2580"/>
      <c r="GL183" s="2580"/>
      <c r="GM183" s="2580"/>
      <c r="GN183" s="2580"/>
      <c r="GO183" s="2580"/>
      <c r="GP183" s="2580"/>
      <c r="GQ183" s="2580"/>
      <c r="GR183" s="2580"/>
      <c r="GS183" s="2580"/>
      <c r="GT183" s="2580"/>
      <c r="GU183" s="2580"/>
      <c r="GV183" s="2580"/>
      <c r="GW183" s="2580"/>
      <c r="GX183" s="2580"/>
      <c r="GY183" s="2580"/>
      <c r="GZ183" s="2580"/>
      <c r="HA183" s="2580"/>
      <c r="HB183" s="2580"/>
      <c r="HC183" s="2580"/>
      <c r="HD183" s="2580"/>
      <c r="HE183" s="2580"/>
      <c r="HF183" s="2580"/>
      <c r="HG183" s="2580"/>
      <c r="HH183" s="2580"/>
      <c r="HI183" s="2580"/>
      <c r="HJ183" s="2580"/>
      <c r="HK183" s="2580"/>
      <c r="HL183" s="2580"/>
      <c r="HM183" s="2580"/>
      <c r="HN183" s="2580"/>
      <c r="HO183" s="2580"/>
      <c r="HP183" s="2580"/>
      <c r="HQ183" s="2580"/>
      <c r="HR183" s="2580"/>
      <c r="HS183" s="2580"/>
      <c r="HT183" s="2580"/>
      <c r="HU183" s="2580"/>
      <c r="HV183" s="2580"/>
      <c r="HW183" s="2580"/>
      <c r="HX183" s="2580"/>
      <c r="HY183" s="2580"/>
      <c r="HZ183" s="2580"/>
      <c r="IA183" s="2580"/>
      <c r="IB183" s="2580"/>
      <c r="IC183" s="2580"/>
      <c r="ID183" s="2580"/>
      <c r="IE183" s="2580"/>
      <c r="IF183" s="2580"/>
      <c r="IG183" s="2580"/>
      <c r="IH183" s="2580"/>
      <c r="II183" s="2580"/>
      <c r="IJ183" s="2580"/>
      <c r="IK183" s="2580"/>
      <c r="IL183" s="2580"/>
      <c r="IM183" s="2580"/>
      <c r="IN183" s="2580"/>
      <c r="IO183" s="2580"/>
      <c r="IP183" s="2580"/>
      <c r="IQ183" s="2580"/>
      <c r="IR183" s="2580"/>
      <c r="IS183" s="2580"/>
      <c r="IT183" s="2580"/>
      <c r="IU183" s="2580"/>
      <c r="IV183" s="2580"/>
      <c r="IW183" s="2580"/>
      <c r="IX183" s="2580"/>
      <c r="IY183" s="2580"/>
      <c r="IZ183" s="2580"/>
      <c r="JA183" s="2580"/>
      <c r="JB183" s="2580"/>
      <c r="JC183" s="2580"/>
      <c r="JD183" s="2580"/>
      <c r="JE183" s="2580"/>
      <c r="JF183" s="2580"/>
      <c r="JG183" s="2581"/>
      <c r="JH183" s="1233"/>
      <c r="JI183" s="2248"/>
      <c r="JJ183" s="2248" t="s">
        <v>6108</v>
      </c>
    </row>
    <row r="184" spans="1:270" x14ac:dyDescent="0.2">
      <c r="A184" s="1128">
        <v>34</v>
      </c>
      <c r="B184" s="1347" t="str">
        <f ref="B184:B214" si="12" t="shared">IF(LUN_IND&gt;1,IF(HLOOKUP(LUN_IND-1,LUN_RANGE,A184)="","",HLOOKUP(LUN_IND-1,LUN_RANGE,A184)),"")</f>
        <v/>
      </c>
      <c r="C184" s="1278" t="s">
        <v>3210</v>
      </c>
      <c r="D184" s="1350" t="s">
        <v>5264</v>
      </c>
      <c r="E184" s="2472"/>
      <c r="F184" s="2472"/>
      <c r="G184" s="2472"/>
      <c r="H184" s="2512"/>
      <c r="I184" s="2512">
        <v>600</v>
      </c>
      <c r="J184" s="2512"/>
      <c r="K184" s="2512"/>
      <c r="L184" s="2579"/>
      <c r="M184" s="2579"/>
      <c r="N184" s="2579"/>
      <c r="O184" s="2579"/>
      <c r="P184" s="2579"/>
      <c r="Q184" s="2579"/>
      <c r="R184" s="2580"/>
      <c r="S184" s="2580"/>
      <c r="T184" s="2580"/>
      <c r="U184" s="2580"/>
      <c r="V184" s="2580"/>
      <c r="W184" s="2580"/>
      <c r="X184" s="2580"/>
      <c r="Y184" s="2580"/>
      <c r="Z184" s="2580"/>
      <c r="AA184" s="2580"/>
      <c r="AB184" s="2580"/>
      <c r="AC184" s="2580"/>
      <c r="AD184" s="2580"/>
      <c r="AE184" s="2580"/>
      <c r="AF184" s="2580"/>
      <c r="AG184" s="2580"/>
      <c r="AH184" s="2580"/>
      <c r="AI184" s="2580"/>
      <c r="AJ184" s="2580"/>
      <c r="AK184" s="2580"/>
      <c r="AL184" s="2580"/>
      <c r="AM184" s="2580"/>
      <c r="AN184" s="2580"/>
      <c r="AO184" s="2580"/>
      <c r="AP184" s="2580"/>
      <c r="AQ184" s="2580"/>
      <c r="AR184" s="2580"/>
      <c r="AS184" s="2580"/>
      <c r="AT184" s="2580"/>
      <c r="AU184" s="2580"/>
      <c r="AV184" s="2580"/>
      <c r="AW184" s="2580"/>
      <c r="AX184" s="2580"/>
      <c r="AY184" s="2580"/>
      <c r="AZ184" s="2580"/>
      <c r="BA184" s="2580"/>
      <c r="BB184" s="2580"/>
      <c r="BC184" s="2580"/>
      <c r="BD184" s="2580"/>
      <c r="BE184" s="2580"/>
      <c r="BF184" s="2580"/>
      <c r="BG184" s="2580"/>
      <c r="BH184" s="2580"/>
      <c r="BI184" s="2580"/>
      <c r="BJ184" s="2580"/>
      <c r="BK184" s="2580"/>
      <c r="BL184" s="2580"/>
      <c r="BM184" s="2580"/>
      <c r="BN184" s="2580"/>
      <c r="BO184" s="2580"/>
      <c r="BP184" s="2580"/>
      <c r="BQ184" s="2580"/>
      <c r="BR184" s="2580"/>
      <c r="BS184" s="2580"/>
      <c r="BT184" s="2580"/>
      <c r="BU184" s="2580"/>
      <c r="BV184" s="2580"/>
      <c r="BW184" s="2580"/>
      <c r="BX184" s="2580"/>
      <c r="BY184" s="2580"/>
      <c r="BZ184" s="2580"/>
      <c r="CA184" s="2580"/>
      <c r="CB184" s="2580"/>
      <c r="CC184" s="2580"/>
      <c r="CD184" s="2580"/>
      <c r="CE184" s="2580"/>
      <c r="CF184" s="2580"/>
      <c r="CG184" s="2580"/>
      <c r="CH184" s="2580"/>
      <c r="CI184" s="2580"/>
      <c r="CJ184" s="2580"/>
      <c r="CK184" s="2580"/>
      <c r="CL184" s="2580"/>
      <c r="CM184" s="2580"/>
      <c r="CN184" s="2580"/>
      <c r="CO184" s="2580"/>
      <c r="CP184" s="2580"/>
      <c r="CQ184" s="2580"/>
      <c r="CR184" s="2580"/>
      <c r="CS184" s="2580"/>
      <c r="CT184" s="2580"/>
      <c r="CU184" s="2580"/>
      <c r="CV184" s="2580"/>
      <c r="CW184" s="2580"/>
      <c r="CX184" s="2580"/>
      <c r="CY184" s="2580"/>
      <c r="CZ184" s="2580"/>
      <c r="DA184" s="2580"/>
      <c r="DB184" s="2580"/>
      <c r="DC184" s="2580"/>
      <c r="DD184" s="2580"/>
      <c r="DE184" s="2580"/>
      <c r="DF184" s="2580"/>
      <c r="DG184" s="2580"/>
      <c r="DH184" s="2580"/>
      <c r="DI184" s="2580"/>
      <c r="DJ184" s="2580"/>
      <c r="DK184" s="2580"/>
      <c r="DL184" s="2580"/>
      <c r="DM184" s="2580"/>
      <c r="DN184" s="2580"/>
      <c r="DO184" s="2580"/>
      <c r="DP184" s="2580"/>
      <c r="DQ184" s="2580"/>
      <c r="DR184" s="2580"/>
      <c r="DS184" s="2580"/>
      <c r="DT184" s="2580"/>
      <c r="DU184" s="2580"/>
      <c r="DV184" s="2580"/>
      <c r="DW184" s="2580"/>
      <c r="DX184" s="2580"/>
      <c r="DY184" s="2580"/>
      <c r="DZ184" s="2580"/>
      <c r="EA184" s="2580"/>
      <c r="EB184" s="2580"/>
      <c r="EC184" s="2580"/>
      <c r="ED184" s="2580"/>
      <c r="EE184" s="2580"/>
      <c r="EF184" s="2580"/>
      <c r="EG184" s="2580"/>
      <c r="EH184" s="2580"/>
      <c r="EI184" s="2580"/>
      <c r="EJ184" s="2580"/>
      <c r="EK184" s="2580"/>
      <c r="EL184" s="2580"/>
      <c r="EM184" s="2580"/>
      <c r="EN184" s="2580"/>
      <c r="EO184" s="2580"/>
      <c r="EP184" s="2580"/>
      <c r="EQ184" s="2580"/>
      <c r="ER184" s="2580"/>
      <c r="ES184" s="2580"/>
      <c r="ET184" s="2580"/>
      <c r="EU184" s="2580"/>
      <c r="EV184" s="2580"/>
      <c r="EW184" s="2580"/>
      <c r="EX184" s="2580"/>
      <c r="EY184" s="2580"/>
      <c r="EZ184" s="2580"/>
      <c r="FA184" s="2580"/>
      <c r="FB184" s="2580"/>
      <c r="FC184" s="2580"/>
      <c r="FD184" s="2580"/>
      <c r="FE184" s="2580"/>
      <c r="FF184" s="2580"/>
      <c r="FG184" s="2580"/>
      <c r="FH184" s="2580"/>
      <c r="FI184" s="2580"/>
      <c r="FJ184" s="2580"/>
      <c r="FK184" s="2580"/>
      <c r="FL184" s="2580"/>
      <c r="FM184" s="2580"/>
      <c r="FN184" s="2580"/>
      <c r="FO184" s="2580"/>
      <c r="FP184" s="2580"/>
      <c r="FQ184" s="2580"/>
      <c r="FR184" s="2580"/>
      <c r="FS184" s="2580"/>
      <c r="FT184" s="2580"/>
      <c r="FU184" s="2580"/>
      <c r="FV184" s="2580"/>
      <c r="FW184" s="2580"/>
      <c r="FX184" s="2580"/>
      <c r="FY184" s="2580"/>
      <c r="FZ184" s="2580"/>
      <c r="GA184" s="2580"/>
      <c r="GB184" s="2580"/>
      <c r="GC184" s="2580"/>
      <c r="GD184" s="2580"/>
      <c r="GE184" s="2580"/>
      <c r="GF184" s="2580"/>
      <c r="GG184" s="2580"/>
      <c r="GH184" s="2580"/>
      <c r="GI184" s="2580"/>
      <c r="GJ184" s="2580"/>
      <c r="GK184" s="2580"/>
      <c r="GL184" s="2580"/>
      <c r="GM184" s="2580"/>
      <c r="GN184" s="2580"/>
      <c r="GO184" s="2580"/>
      <c r="GP184" s="2580"/>
      <c r="GQ184" s="2580"/>
      <c r="GR184" s="2580"/>
      <c r="GS184" s="2580"/>
      <c r="GT184" s="2580"/>
      <c r="GU184" s="2580"/>
      <c r="GV184" s="2580"/>
      <c r="GW184" s="2580"/>
      <c r="GX184" s="2580"/>
      <c r="GY184" s="2580"/>
      <c r="GZ184" s="2580"/>
      <c r="HA184" s="2580"/>
      <c r="HB184" s="2580"/>
      <c r="HC184" s="2580"/>
      <c r="HD184" s="2580"/>
      <c r="HE184" s="2580"/>
      <c r="HF184" s="2580"/>
      <c r="HG184" s="2580"/>
      <c r="HH184" s="2580"/>
      <c r="HI184" s="2580"/>
      <c r="HJ184" s="2580"/>
      <c r="HK184" s="2580"/>
      <c r="HL184" s="2580"/>
      <c r="HM184" s="2580"/>
      <c r="HN184" s="2580"/>
      <c r="HO184" s="2580"/>
      <c r="HP184" s="2580"/>
      <c r="HQ184" s="2580"/>
      <c r="HR184" s="2580"/>
      <c r="HS184" s="2580"/>
      <c r="HT184" s="2580"/>
      <c r="HU184" s="2580"/>
      <c r="HV184" s="2580"/>
      <c r="HW184" s="2580"/>
      <c r="HX184" s="2580"/>
      <c r="HY184" s="2580"/>
      <c r="HZ184" s="2580"/>
      <c r="IA184" s="2580"/>
      <c r="IB184" s="2580"/>
      <c r="IC184" s="2580"/>
      <c r="ID184" s="2580"/>
      <c r="IE184" s="2580"/>
      <c r="IF184" s="2580"/>
      <c r="IG184" s="2580"/>
      <c r="IH184" s="2580"/>
      <c r="II184" s="2580"/>
      <c r="IJ184" s="2580"/>
      <c r="IK184" s="2580"/>
      <c r="IL184" s="2580"/>
      <c r="IM184" s="2580"/>
      <c r="IN184" s="2580"/>
      <c r="IO184" s="2580"/>
      <c r="IP184" s="2580"/>
      <c r="IQ184" s="2580"/>
      <c r="IR184" s="2580"/>
      <c r="IS184" s="2580"/>
      <c r="IT184" s="2580"/>
      <c r="IU184" s="2580"/>
      <c r="IV184" s="2580"/>
      <c r="IW184" s="2580"/>
      <c r="IX184" s="2580"/>
      <c r="IY184" s="2580"/>
      <c r="IZ184" s="2580"/>
      <c r="JA184" s="2580"/>
      <c r="JB184" s="2580"/>
      <c r="JC184" s="2580"/>
      <c r="JD184" s="2580"/>
      <c r="JE184" s="2580"/>
      <c r="JF184" s="2580"/>
      <c r="JG184" s="2581"/>
      <c r="JH184" s="1233"/>
      <c r="JI184" s="2248"/>
      <c r="JJ184" s="2248" t="s">
        <v>6108</v>
      </c>
    </row>
    <row r="185" spans="1:270" x14ac:dyDescent="0.2">
      <c r="A185" s="1128">
        <v>35</v>
      </c>
      <c r="B185" s="1347" t="str">
        <f si="12" t="shared"/>
        <v/>
      </c>
      <c r="C185" s="1278" t="s">
        <v>2039</v>
      </c>
      <c r="D185" s="1350" t="s">
        <v>5265</v>
      </c>
      <c r="E185" s="2472"/>
      <c r="F185" s="2472"/>
      <c r="G185" s="2472"/>
      <c r="H185" s="2512"/>
      <c r="I185" s="2512">
        <v>805</v>
      </c>
      <c r="J185" s="2512"/>
      <c r="K185" s="2512">
        <v>106686</v>
      </c>
      <c r="L185" s="2579"/>
      <c r="M185" s="2579"/>
      <c r="N185" s="2579"/>
      <c r="O185" s="2579"/>
      <c r="P185" s="2579"/>
      <c r="Q185" s="2579"/>
      <c r="R185" s="2580"/>
      <c r="S185" s="2580"/>
      <c r="T185" s="2580"/>
      <c r="U185" s="2580"/>
      <c r="V185" s="2580"/>
      <c r="W185" s="2580"/>
      <c r="X185" s="2580"/>
      <c r="Y185" s="2580"/>
      <c r="Z185" s="2580"/>
      <c r="AA185" s="2580"/>
      <c r="AB185" s="2580"/>
      <c r="AC185" s="2580"/>
      <c r="AD185" s="2580"/>
      <c r="AE185" s="2580"/>
      <c r="AF185" s="2580"/>
      <c r="AG185" s="2580"/>
      <c r="AH185" s="2580"/>
      <c r="AI185" s="2580"/>
      <c r="AJ185" s="2580"/>
      <c r="AK185" s="2580"/>
      <c r="AL185" s="2580"/>
      <c r="AM185" s="2580"/>
      <c r="AN185" s="2580"/>
      <c r="AO185" s="2580"/>
      <c r="AP185" s="2580"/>
      <c r="AQ185" s="2580"/>
      <c r="AR185" s="2580"/>
      <c r="AS185" s="2580"/>
      <c r="AT185" s="2580"/>
      <c r="AU185" s="2580"/>
      <c r="AV185" s="2580"/>
      <c r="AW185" s="2580"/>
      <c r="AX185" s="2580"/>
      <c r="AY185" s="2580"/>
      <c r="AZ185" s="2580"/>
      <c r="BA185" s="2580"/>
      <c r="BB185" s="2580"/>
      <c r="BC185" s="2580"/>
      <c r="BD185" s="2580"/>
      <c r="BE185" s="2580"/>
      <c r="BF185" s="2580"/>
      <c r="BG185" s="2580"/>
      <c r="BH185" s="2580"/>
      <c r="BI185" s="2580"/>
      <c r="BJ185" s="2580"/>
      <c r="BK185" s="2580"/>
      <c r="BL185" s="2580"/>
      <c r="BM185" s="2580"/>
      <c r="BN185" s="2580"/>
      <c r="BO185" s="2580"/>
      <c r="BP185" s="2580"/>
      <c r="BQ185" s="2580"/>
      <c r="BR185" s="2580"/>
      <c r="BS185" s="2580"/>
      <c r="BT185" s="2580"/>
      <c r="BU185" s="2580"/>
      <c r="BV185" s="2580"/>
      <c r="BW185" s="2580"/>
      <c r="BX185" s="2580"/>
      <c r="BY185" s="2580"/>
      <c r="BZ185" s="2580"/>
      <c r="CA185" s="2580"/>
      <c r="CB185" s="2580"/>
      <c r="CC185" s="2580"/>
      <c r="CD185" s="2580"/>
      <c r="CE185" s="2580"/>
      <c r="CF185" s="2580"/>
      <c r="CG185" s="2580"/>
      <c r="CH185" s="2580"/>
      <c r="CI185" s="2580"/>
      <c r="CJ185" s="2580"/>
      <c r="CK185" s="2580"/>
      <c r="CL185" s="2580"/>
      <c r="CM185" s="2580"/>
      <c r="CN185" s="2580"/>
      <c r="CO185" s="2580"/>
      <c r="CP185" s="2580"/>
      <c r="CQ185" s="2580"/>
      <c r="CR185" s="2580"/>
      <c r="CS185" s="2580"/>
      <c r="CT185" s="2580"/>
      <c r="CU185" s="2580"/>
      <c r="CV185" s="2580"/>
      <c r="CW185" s="2580"/>
      <c r="CX185" s="2580"/>
      <c r="CY185" s="2580"/>
      <c r="CZ185" s="2580"/>
      <c r="DA185" s="2580"/>
      <c r="DB185" s="2580"/>
      <c r="DC185" s="2580"/>
      <c r="DD185" s="2580"/>
      <c r="DE185" s="2580"/>
      <c r="DF185" s="2580"/>
      <c r="DG185" s="2580"/>
      <c r="DH185" s="2580"/>
      <c r="DI185" s="2580"/>
      <c r="DJ185" s="2580"/>
      <c r="DK185" s="2580"/>
      <c r="DL185" s="2580"/>
      <c r="DM185" s="2580"/>
      <c r="DN185" s="2580"/>
      <c r="DO185" s="2580"/>
      <c r="DP185" s="2580"/>
      <c r="DQ185" s="2580"/>
      <c r="DR185" s="2580"/>
      <c r="DS185" s="2580"/>
      <c r="DT185" s="2580"/>
      <c r="DU185" s="2580"/>
      <c r="DV185" s="2580"/>
      <c r="DW185" s="2580"/>
      <c r="DX185" s="2580"/>
      <c r="DY185" s="2580"/>
      <c r="DZ185" s="2580"/>
      <c r="EA185" s="2580"/>
      <c r="EB185" s="2580"/>
      <c r="EC185" s="2580"/>
      <c r="ED185" s="2580"/>
      <c r="EE185" s="2580"/>
      <c r="EF185" s="2580"/>
      <c r="EG185" s="2580"/>
      <c r="EH185" s="2580"/>
      <c r="EI185" s="2580"/>
      <c r="EJ185" s="2580"/>
      <c r="EK185" s="2580"/>
      <c r="EL185" s="2580"/>
      <c r="EM185" s="2580"/>
      <c r="EN185" s="2580"/>
      <c r="EO185" s="2580"/>
      <c r="EP185" s="2580"/>
      <c r="EQ185" s="2580"/>
      <c r="ER185" s="2580"/>
      <c r="ES185" s="2580"/>
      <c r="ET185" s="2580"/>
      <c r="EU185" s="2580"/>
      <c r="EV185" s="2580"/>
      <c r="EW185" s="2580"/>
      <c r="EX185" s="2580"/>
      <c r="EY185" s="2580"/>
      <c r="EZ185" s="2580"/>
      <c r="FA185" s="2580"/>
      <c r="FB185" s="2580"/>
      <c r="FC185" s="2580"/>
      <c r="FD185" s="2580"/>
      <c r="FE185" s="2580"/>
      <c r="FF185" s="2580"/>
      <c r="FG185" s="2580"/>
      <c r="FH185" s="2580"/>
      <c r="FI185" s="2580"/>
      <c r="FJ185" s="2580"/>
      <c r="FK185" s="2580"/>
      <c r="FL185" s="2580"/>
      <c r="FM185" s="2580"/>
      <c r="FN185" s="2580"/>
      <c r="FO185" s="2580"/>
      <c r="FP185" s="2580"/>
      <c r="FQ185" s="2580"/>
      <c r="FR185" s="2580"/>
      <c r="FS185" s="2580"/>
      <c r="FT185" s="2580"/>
      <c r="FU185" s="2580"/>
      <c r="FV185" s="2580"/>
      <c r="FW185" s="2580"/>
      <c r="FX185" s="2580"/>
      <c r="FY185" s="2580"/>
      <c r="FZ185" s="2580"/>
      <c r="GA185" s="2580"/>
      <c r="GB185" s="2580"/>
      <c r="GC185" s="2580"/>
      <c r="GD185" s="2580"/>
      <c r="GE185" s="2580"/>
      <c r="GF185" s="2580"/>
      <c r="GG185" s="2580"/>
      <c r="GH185" s="2580"/>
      <c r="GI185" s="2580"/>
      <c r="GJ185" s="2580"/>
      <c r="GK185" s="2580"/>
      <c r="GL185" s="2580"/>
      <c r="GM185" s="2580"/>
      <c r="GN185" s="2580"/>
      <c r="GO185" s="2580"/>
      <c r="GP185" s="2580"/>
      <c r="GQ185" s="2580"/>
      <c r="GR185" s="2580"/>
      <c r="GS185" s="2580"/>
      <c r="GT185" s="2580"/>
      <c r="GU185" s="2580"/>
      <c r="GV185" s="2580"/>
      <c r="GW185" s="2580"/>
      <c r="GX185" s="2580"/>
      <c r="GY185" s="2580"/>
      <c r="GZ185" s="2580"/>
      <c r="HA185" s="2580"/>
      <c r="HB185" s="2580"/>
      <c r="HC185" s="2580"/>
      <c r="HD185" s="2580"/>
      <c r="HE185" s="2580"/>
      <c r="HF185" s="2580"/>
      <c r="HG185" s="2580"/>
      <c r="HH185" s="2580"/>
      <c r="HI185" s="2580"/>
      <c r="HJ185" s="2580"/>
      <c r="HK185" s="2580"/>
      <c r="HL185" s="2580"/>
      <c r="HM185" s="2580"/>
      <c r="HN185" s="2580"/>
      <c r="HO185" s="2580"/>
      <c r="HP185" s="2580"/>
      <c r="HQ185" s="2580"/>
      <c r="HR185" s="2580"/>
      <c r="HS185" s="2580"/>
      <c r="HT185" s="2580"/>
      <c r="HU185" s="2580"/>
      <c r="HV185" s="2580"/>
      <c r="HW185" s="2580"/>
      <c r="HX185" s="2580"/>
      <c r="HY185" s="2580"/>
      <c r="HZ185" s="2580"/>
      <c r="IA185" s="2580"/>
      <c r="IB185" s="2580"/>
      <c r="IC185" s="2580"/>
      <c r="ID185" s="2580"/>
      <c r="IE185" s="2580"/>
      <c r="IF185" s="2580"/>
      <c r="IG185" s="2580"/>
      <c r="IH185" s="2580"/>
      <c r="II185" s="2580"/>
      <c r="IJ185" s="2580"/>
      <c r="IK185" s="2580"/>
      <c r="IL185" s="2580"/>
      <c r="IM185" s="2580"/>
      <c r="IN185" s="2580"/>
      <c r="IO185" s="2580"/>
      <c r="IP185" s="2580"/>
      <c r="IQ185" s="2580"/>
      <c r="IR185" s="2580"/>
      <c r="IS185" s="2580"/>
      <c r="IT185" s="2580"/>
      <c r="IU185" s="2580"/>
      <c r="IV185" s="2580"/>
      <c r="IW185" s="2580"/>
      <c r="IX185" s="2580"/>
      <c r="IY185" s="2580"/>
      <c r="IZ185" s="2580"/>
      <c r="JA185" s="2580"/>
      <c r="JB185" s="2580"/>
      <c r="JC185" s="2580"/>
      <c r="JD185" s="2580"/>
      <c r="JE185" s="2580"/>
      <c r="JF185" s="2580"/>
      <c r="JG185" s="2581"/>
      <c r="JH185" s="1233"/>
      <c r="JI185" s="2248"/>
      <c r="JJ185" s="2248" t="s">
        <v>6108</v>
      </c>
    </row>
    <row r="186" spans="1:270" x14ac:dyDescent="0.2">
      <c r="A186" s="1128">
        <v>36</v>
      </c>
      <c r="B186" s="1347" t="str">
        <f si="12" t="shared"/>
        <v/>
      </c>
      <c r="C186" s="1278" t="s">
        <v>2040</v>
      </c>
      <c r="D186" s="1350" t="s">
        <v>5266</v>
      </c>
      <c r="E186" s="2472"/>
      <c r="F186" s="2472"/>
      <c r="G186" s="2472"/>
      <c r="H186" s="2512"/>
      <c r="I186" s="2512"/>
      <c r="J186" s="2512">
        <v>2718</v>
      </c>
      <c r="K186" s="2512"/>
      <c r="L186" s="2579"/>
      <c r="M186" s="2579"/>
      <c r="N186" s="2579"/>
      <c r="O186" s="2579"/>
      <c r="P186" s="2579"/>
      <c r="Q186" s="2579"/>
      <c r="R186" s="2580"/>
      <c r="S186" s="2580"/>
      <c r="T186" s="2580"/>
      <c r="U186" s="2580"/>
      <c r="V186" s="2580"/>
      <c r="W186" s="2580"/>
      <c r="X186" s="2580"/>
      <c r="Y186" s="2580"/>
      <c r="Z186" s="2580"/>
      <c r="AA186" s="2580"/>
      <c r="AB186" s="2580"/>
      <c r="AC186" s="2580"/>
      <c r="AD186" s="2580"/>
      <c r="AE186" s="2580"/>
      <c r="AF186" s="2580"/>
      <c r="AG186" s="2580"/>
      <c r="AH186" s="2580"/>
      <c r="AI186" s="2580"/>
      <c r="AJ186" s="2580"/>
      <c r="AK186" s="2580"/>
      <c r="AL186" s="2580"/>
      <c r="AM186" s="2580"/>
      <c r="AN186" s="2580"/>
      <c r="AO186" s="2580"/>
      <c r="AP186" s="2580"/>
      <c r="AQ186" s="2580"/>
      <c r="AR186" s="2580"/>
      <c r="AS186" s="2580"/>
      <c r="AT186" s="2580"/>
      <c r="AU186" s="2580"/>
      <c r="AV186" s="2580"/>
      <c r="AW186" s="2580"/>
      <c r="AX186" s="2580"/>
      <c r="AY186" s="2580"/>
      <c r="AZ186" s="2580"/>
      <c r="BA186" s="2580"/>
      <c r="BB186" s="2580"/>
      <c r="BC186" s="2580"/>
      <c r="BD186" s="2580"/>
      <c r="BE186" s="2580"/>
      <c r="BF186" s="2580"/>
      <c r="BG186" s="2580"/>
      <c r="BH186" s="2580"/>
      <c r="BI186" s="2580"/>
      <c r="BJ186" s="2580"/>
      <c r="BK186" s="2580"/>
      <c r="BL186" s="2580"/>
      <c r="BM186" s="2580"/>
      <c r="BN186" s="2580"/>
      <c r="BO186" s="2580"/>
      <c r="BP186" s="2580"/>
      <c r="BQ186" s="2580"/>
      <c r="BR186" s="2580"/>
      <c r="BS186" s="2580"/>
      <c r="BT186" s="2580"/>
      <c r="BU186" s="2580"/>
      <c r="BV186" s="2580"/>
      <c r="BW186" s="2580"/>
      <c r="BX186" s="2580"/>
      <c r="BY186" s="2580"/>
      <c r="BZ186" s="2580"/>
      <c r="CA186" s="2580"/>
      <c r="CB186" s="2580"/>
      <c r="CC186" s="2580"/>
      <c r="CD186" s="2580"/>
      <c r="CE186" s="2580"/>
      <c r="CF186" s="2580"/>
      <c r="CG186" s="2580"/>
      <c r="CH186" s="2580"/>
      <c r="CI186" s="2580"/>
      <c r="CJ186" s="2580"/>
      <c r="CK186" s="2580"/>
      <c r="CL186" s="2580"/>
      <c r="CM186" s="2580"/>
      <c r="CN186" s="2580"/>
      <c r="CO186" s="2580"/>
      <c r="CP186" s="2580"/>
      <c r="CQ186" s="2580"/>
      <c r="CR186" s="2580"/>
      <c r="CS186" s="2580"/>
      <c r="CT186" s="2580"/>
      <c r="CU186" s="2580"/>
      <c r="CV186" s="2580"/>
      <c r="CW186" s="2580"/>
      <c r="CX186" s="2580"/>
      <c r="CY186" s="2580"/>
      <c r="CZ186" s="2580"/>
      <c r="DA186" s="2580"/>
      <c r="DB186" s="2580"/>
      <c r="DC186" s="2580"/>
      <c r="DD186" s="2580"/>
      <c r="DE186" s="2580"/>
      <c r="DF186" s="2580"/>
      <c r="DG186" s="2580"/>
      <c r="DH186" s="2580"/>
      <c r="DI186" s="2580"/>
      <c r="DJ186" s="2580"/>
      <c r="DK186" s="2580"/>
      <c r="DL186" s="2580"/>
      <c r="DM186" s="2580"/>
      <c r="DN186" s="2580"/>
      <c r="DO186" s="2580"/>
      <c r="DP186" s="2580"/>
      <c r="DQ186" s="2580"/>
      <c r="DR186" s="2580"/>
      <c r="DS186" s="2580"/>
      <c r="DT186" s="2580"/>
      <c r="DU186" s="2580"/>
      <c r="DV186" s="2580"/>
      <c r="DW186" s="2580"/>
      <c r="DX186" s="2580"/>
      <c r="DY186" s="2580"/>
      <c r="DZ186" s="2580"/>
      <c r="EA186" s="2580"/>
      <c r="EB186" s="2580"/>
      <c r="EC186" s="2580"/>
      <c r="ED186" s="2580"/>
      <c r="EE186" s="2580"/>
      <c r="EF186" s="2580"/>
      <c r="EG186" s="2580"/>
      <c r="EH186" s="2580"/>
      <c r="EI186" s="2580"/>
      <c r="EJ186" s="2580"/>
      <c r="EK186" s="2580"/>
      <c r="EL186" s="2580"/>
      <c r="EM186" s="2580"/>
      <c r="EN186" s="2580"/>
      <c r="EO186" s="2580"/>
      <c r="EP186" s="2580"/>
      <c r="EQ186" s="2580"/>
      <c r="ER186" s="2580"/>
      <c r="ES186" s="2580"/>
      <c r="ET186" s="2580"/>
      <c r="EU186" s="2580"/>
      <c r="EV186" s="2580"/>
      <c r="EW186" s="2580"/>
      <c r="EX186" s="2580"/>
      <c r="EY186" s="2580"/>
      <c r="EZ186" s="2580"/>
      <c r="FA186" s="2580"/>
      <c r="FB186" s="2580"/>
      <c r="FC186" s="2580"/>
      <c r="FD186" s="2580"/>
      <c r="FE186" s="2580"/>
      <c r="FF186" s="2580"/>
      <c r="FG186" s="2580"/>
      <c r="FH186" s="2580"/>
      <c r="FI186" s="2580"/>
      <c r="FJ186" s="2580"/>
      <c r="FK186" s="2580"/>
      <c r="FL186" s="2580"/>
      <c r="FM186" s="2580"/>
      <c r="FN186" s="2580"/>
      <c r="FO186" s="2580"/>
      <c r="FP186" s="2580"/>
      <c r="FQ186" s="2580"/>
      <c r="FR186" s="2580"/>
      <c r="FS186" s="2580"/>
      <c r="FT186" s="2580"/>
      <c r="FU186" s="2580"/>
      <c r="FV186" s="2580"/>
      <c r="FW186" s="2580"/>
      <c r="FX186" s="2580"/>
      <c r="FY186" s="2580"/>
      <c r="FZ186" s="2580"/>
      <c r="GA186" s="2580"/>
      <c r="GB186" s="2580"/>
      <c r="GC186" s="2580"/>
      <c r="GD186" s="2580"/>
      <c r="GE186" s="2580"/>
      <c r="GF186" s="2580"/>
      <c r="GG186" s="2580"/>
      <c r="GH186" s="2580"/>
      <c r="GI186" s="2580"/>
      <c r="GJ186" s="2580"/>
      <c r="GK186" s="2580"/>
      <c r="GL186" s="2580"/>
      <c r="GM186" s="2580"/>
      <c r="GN186" s="2580"/>
      <c r="GO186" s="2580"/>
      <c r="GP186" s="2580"/>
      <c r="GQ186" s="2580"/>
      <c r="GR186" s="2580"/>
      <c r="GS186" s="2580"/>
      <c r="GT186" s="2580"/>
      <c r="GU186" s="2580"/>
      <c r="GV186" s="2580"/>
      <c r="GW186" s="2580"/>
      <c r="GX186" s="2580"/>
      <c r="GY186" s="2580"/>
      <c r="GZ186" s="2580"/>
      <c r="HA186" s="2580"/>
      <c r="HB186" s="2580"/>
      <c r="HC186" s="2580"/>
      <c r="HD186" s="2580"/>
      <c r="HE186" s="2580"/>
      <c r="HF186" s="2580"/>
      <c r="HG186" s="2580"/>
      <c r="HH186" s="2580"/>
      <c r="HI186" s="2580"/>
      <c r="HJ186" s="2580"/>
      <c r="HK186" s="2580"/>
      <c r="HL186" s="2580"/>
      <c r="HM186" s="2580"/>
      <c r="HN186" s="2580"/>
      <c r="HO186" s="2580"/>
      <c r="HP186" s="2580"/>
      <c r="HQ186" s="2580"/>
      <c r="HR186" s="2580"/>
      <c r="HS186" s="2580"/>
      <c r="HT186" s="2580"/>
      <c r="HU186" s="2580"/>
      <c r="HV186" s="2580"/>
      <c r="HW186" s="2580"/>
      <c r="HX186" s="2580"/>
      <c r="HY186" s="2580"/>
      <c r="HZ186" s="2580"/>
      <c r="IA186" s="2580"/>
      <c r="IB186" s="2580"/>
      <c r="IC186" s="2580"/>
      <c r="ID186" s="2580"/>
      <c r="IE186" s="2580"/>
      <c r="IF186" s="2580"/>
      <c r="IG186" s="2580"/>
      <c r="IH186" s="2580"/>
      <c r="II186" s="2580"/>
      <c r="IJ186" s="2580"/>
      <c r="IK186" s="2580"/>
      <c r="IL186" s="2580"/>
      <c r="IM186" s="2580"/>
      <c r="IN186" s="2580"/>
      <c r="IO186" s="2580"/>
      <c r="IP186" s="2580"/>
      <c r="IQ186" s="2580"/>
      <c r="IR186" s="2580"/>
      <c r="IS186" s="2580"/>
      <c r="IT186" s="2580"/>
      <c r="IU186" s="2580"/>
      <c r="IV186" s="2580"/>
      <c r="IW186" s="2580"/>
      <c r="IX186" s="2580"/>
      <c r="IY186" s="2580"/>
      <c r="IZ186" s="2580"/>
      <c r="JA186" s="2580"/>
      <c r="JB186" s="2580"/>
      <c r="JC186" s="2580"/>
      <c r="JD186" s="2580"/>
      <c r="JE186" s="2580"/>
      <c r="JF186" s="2580"/>
      <c r="JG186" s="2581"/>
      <c r="JH186" s="1233"/>
      <c r="JI186" s="2248"/>
      <c r="JJ186" s="2248" t="s">
        <v>6108</v>
      </c>
    </row>
    <row r="187" spans="1:270" x14ac:dyDescent="0.2">
      <c r="A187" s="1128">
        <v>37</v>
      </c>
      <c r="B187" s="1347" t="str">
        <f si="12" t="shared"/>
        <v/>
      </c>
      <c r="C187" s="1278" t="s">
        <v>644</v>
      </c>
      <c r="D187" s="1350" t="s">
        <v>5267</v>
      </c>
      <c r="E187" s="2472"/>
      <c r="F187" s="2472"/>
      <c r="G187" s="2472"/>
      <c r="H187" s="2512">
        <v>4912</v>
      </c>
      <c r="I187" s="2512"/>
      <c r="J187" s="2512">
        <v>9064</v>
      </c>
      <c r="K187" s="2512"/>
      <c r="L187" s="2579"/>
      <c r="M187" s="2579"/>
      <c r="N187" s="2579"/>
      <c r="O187" s="2579"/>
      <c r="P187" s="2579"/>
      <c r="Q187" s="2579"/>
      <c r="R187" s="2580"/>
      <c r="S187" s="2580"/>
      <c r="T187" s="2580"/>
      <c r="U187" s="2580"/>
      <c r="V187" s="2580"/>
      <c r="W187" s="2580"/>
      <c r="X187" s="2580"/>
      <c r="Y187" s="2580"/>
      <c r="Z187" s="2580"/>
      <c r="AA187" s="2580"/>
      <c r="AB187" s="2580"/>
      <c r="AC187" s="2580"/>
      <c r="AD187" s="2580"/>
      <c r="AE187" s="2580"/>
      <c r="AF187" s="2580"/>
      <c r="AG187" s="2580"/>
      <c r="AH187" s="2580"/>
      <c r="AI187" s="2580"/>
      <c r="AJ187" s="2580"/>
      <c r="AK187" s="2580"/>
      <c r="AL187" s="2580"/>
      <c r="AM187" s="2580"/>
      <c r="AN187" s="2580"/>
      <c r="AO187" s="2580"/>
      <c r="AP187" s="2580"/>
      <c r="AQ187" s="2580"/>
      <c r="AR187" s="2580"/>
      <c r="AS187" s="2580"/>
      <c r="AT187" s="2580"/>
      <c r="AU187" s="2580"/>
      <c r="AV187" s="2580"/>
      <c r="AW187" s="2580"/>
      <c r="AX187" s="2580"/>
      <c r="AY187" s="2580"/>
      <c r="AZ187" s="2580"/>
      <c r="BA187" s="2580"/>
      <c r="BB187" s="2580"/>
      <c r="BC187" s="2580"/>
      <c r="BD187" s="2580"/>
      <c r="BE187" s="2580"/>
      <c r="BF187" s="2580"/>
      <c r="BG187" s="2580"/>
      <c r="BH187" s="2580"/>
      <c r="BI187" s="2580"/>
      <c r="BJ187" s="2580"/>
      <c r="BK187" s="2580"/>
      <c r="BL187" s="2580"/>
      <c r="BM187" s="2580"/>
      <c r="BN187" s="2580"/>
      <c r="BO187" s="2580"/>
      <c r="BP187" s="2580"/>
      <c r="BQ187" s="2580"/>
      <c r="BR187" s="2580"/>
      <c r="BS187" s="2580"/>
      <c r="BT187" s="2580"/>
      <c r="BU187" s="2580"/>
      <c r="BV187" s="2580"/>
      <c r="BW187" s="2580"/>
      <c r="BX187" s="2580"/>
      <c r="BY187" s="2580"/>
      <c r="BZ187" s="2580"/>
      <c r="CA187" s="2580"/>
      <c r="CB187" s="2580"/>
      <c r="CC187" s="2580"/>
      <c r="CD187" s="2580"/>
      <c r="CE187" s="2580"/>
      <c r="CF187" s="2580"/>
      <c r="CG187" s="2580"/>
      <c r="CH187" s="2580"/>
      <c r="CI187" s="2580"/>
      <c r="CJ187" s="2580"/>
      <c r="CK187" s="2580"/>
      <c r="CL187" s="2580"/>
      <c r="CM187" s="2580"/>
      <c r="CN187" s="2580"/>
      <c r="CO187" s="2580"/>
      <c r="CP187" s="2580"/>
      <c r="CQ187" s="2580"/>
      <c r="CR187" s="2580"/>
      <c r="CS187" s="2580"/>
      <c r="CT187" s="2580"/>
      <c r="CU187" s="2580"/>
      <c r="CV187" s="2580"/>
      <c r="CW187" s="2580"/>
      <c r="CX187" s="2580"/>
      <c r="CY187" s="2580"/>
      <c r="CZ187" s="2580"/>
      <c r="DA187" s="2580"/>
      <c r="DB187" s="2580"/>
      <c r="DC187" s="2580"/>
      <c r="DD187" s="2580"/>
      <c r="DE187" s="2580"/>
      <c r="DF187" s="2580"/>
      <c r="DG187" s="2580"/>
      <c r="DH187" s="2580"/>
      <c r="DI187" s="2580"/>
      <c r="DJ187" s="2580"/>
      <c r="DK187" s="2580"/>
      <c r="DL187" s="2580"/>
      <c r="DM187" s="2580"/>
      <c r="DN187" s="2580"/>
      <c r="DO187" s="2580"/>
      <c r="DP187" s="2580"/>
      <c r="DQ187" s="2580"/>
      <c r="DR187" s="2580"/>
      <c r="DS187" s="2580"/>
      <c r="DT187" s="2580"/>
      <c r="DU187" s="2580"/>
      <c r="DV187" s="2580"/>
      <c r="DW187" s="2580"/>
      <c r="DX187" s="2580"/>
      <c r="DY187" s="2580"/>
      <c r="DZ187" s="2580"/>
      <c r="EA187" s="2580"/>
      <c r="EB187" s="2580"/>
      <c r="EC187" s="2580"/>
      <c r="ED187" s="2580"/>
      <c r="EE187" s="2580"/>
      <c r="EF187" s="2580"/>
      <c r="EG187" s="2580"/>
      <c r="EH187" s="2580"/>
      <c r="EI187" s="2580"/>
      <c r="EJ187" s="2580"/>
      <c r="EK187" s="2580"/>
      <c r="EL187" s="2580"/>
      <c r="EM187" s="2580"/>
      <c r="EN187" s="2580"/>
      <c r="EO187" s="2580"/>
      <c r="EP187" s="2580"/>
      <c r="EQ187" s="2580"/>
      <c r="ER187" s="2580"/>
      <c r="ES187" s="2580"/>
      <c r="ET187" s="2580"/>
      <c r="EU187" s="2580"/>
      <c r="EV187" s="2580"/>
      <c r="EW187" s="2580"/>
      <c r="EX187" s="2580"/>
      <c r="EY187" s="2580"/>
      <c r="EZ187" s="2580"/>
      <c r="FA187" s="2580"/>
      <c r="FB187" s="2580"/>
      <c r="FC187" s="2580"/>
      <c r="FD187" s="2580"/>
      <c r="FE187" s="2580"/>
      <c r="FF187" s="2580"/>
      <c r="FG187" s="2580"/>
      <c r="FH187" s="2580"/>
      <c r="FI187" s="2580"/>
      <c r="FJ187" s="2580"/>
      <c r="FK187" s="2580"/>
      <c r="FL187" s="2580"/>
      <c r="FM187" s="2580"/>
      <c r="FN187" s="2580"/>
      <c r="FO187" s="2580"/>
      <c r="FP187" s="2580"/>
      <c r="FQ187" s="2580"/>
      <c r="FR187" s="2580"/>
      <c r="FS187" s="2580"/>
      <c r="FT187" s="2580"/>
      <c r="FU187" s="2580"/>
      <c r="FV187" s="2580"/>
      <c r="FW187" s="2580"/>
      <c r="FX187" s="2580"/>
      <c r="FY187" s="2580"/>
      <c r="FZ187" s="2580"/>
      <c r="GA187" s="2580"/>
      <c r="GB187" s="2580"/>
      <c r="GC187" s="2580"/>
      <c r="GD187" s="2580"/>
      <c r="GE187" s="2580"/>
      <c r="GF187" s="2580"/>
      <c r="GG187" s="2580"/>
      <c r="GH187" s="2580"/>
      <c r="GI187" s="2580"/>
      <c r="GJ187" s="2580"/>
      <c r="GK187" s="2580"/>
      <c r="GL187" s="2580"/>
      <c r="GM187" s="2580"/>
      <c r="GN187" s="2580"/>
      <c r="GO187" s="2580"/>
      <c r="GP187" s="2580"/>
      <c r="GQ187" s="2580"/>
      <c r="GR187" s="2580"/>
      <c r="GS187" s="2580"/>
      <c r="GT187" s="2580"/>
      <c r="GU187" s="2580"/>
      <c r="GV187" s="2580"/>
      <c r="GW187" s="2580"/>
      <c r="GX187" s="2580"/>
      <c r="GY187" s="2580"/>
      <c r="GZ187" s="2580"/>
      <c r="HA187" s="2580"/>
      <c r="HB187" s="2580"/>
      <c r="HC187" s="2580"/>
      <c r="HD187" s="2580"/>
      <c r="HE187" s="2580"/>
      <c r="HF187" s="2580"/>
      <c r="HG187" s="2580"/>
      <c r="HH187" s="2580"/>
      <c r="HI187" s="2580"/>
      <c r="HJ187" s="2580"/>
      <c r="HK187" s="2580"/>
      <c r="HL187" s="2580"/>
      <c r="HM187" s="2580"/>
      <c r="HN187" s="2580"/>
      <c r="HO187" s="2580"/>
      <c r="HP187" s="2580"/>
      <c r="HQ187" s="2580"/>
      <c r="HR187" s="2580"/>
      <c r="HS187" s="2580"/>
      <c r="HT187" s="2580"/>
      <c r="HU187" s="2580"/>
      <c r="HV187" s="2580"/>
      <c r="HW187" s="2580"/>
      <c r="HX187" s="2580"/>
      <c r="HY187" s="2580"/>
      <c r="HZ187" s="2580"/>
      <c r="IA187" s="2580"/>
      <c r="IB187" s="2580"/>
      <c r="IC187" s="2580"/>
      <c r="ID187" s="2580"/>
      <c r="IE187" s="2580"/>
      <c r="IF187" s="2580"/>
      <c r="IG187" s="2580"/>
      <c r="IH187" s="2580"/>
      <c r="II187" s="2580"/>
      <c r="IJ187" s="2580"/>
      <c r="IK187" s="2580"/>
      <c r="IL187" s="2580"/>
      <c r="IM187" s="2580"/>
      <c r="IN187" s="2580"/>
      <c r="IO187" s="2580"/>
      <c r="IP187" s="2580"/>
      <c r="IQ187" s="2580"/>
      <c r="IR187" s="2580"/>
      <c r="IS187" s="2580"/>
      <c r="IT187" s="2580"/>
      <c r="IU187" s="2580"/>
      <c r="IV187" s="2580"/>
      <c r="IW187" s="2580"/>
      <c r="IX187" s="2580"/>
      <c r="IY187" s="2580"/>
      <c r="IZ187" s="2580"/>
      <c r="JA187" s="2580"/>
      <c r="JB187" s="2580"/>
      <c r="JC187" s="2580"/>
      <c r="JD187" s="2580"/>
      <c r="JE187" s="2580"/>
      <c r="JF187" s="2580"/>
      <c r="JG187" s="2581"/>
      <c r="JH187" s="1233"/>
      <c r="JI187" s="2248"/>
      <c r="JJ187" s="2248" t="s">
        <v>6108</v>
      </c>
    </row>
    <row r="188" spans="1:270" x14ac:dyDescent="0.2">
      <c r="A188" s="1128">
        <v>38</v>
      </c>
      <c r="B188" s="1347" t="str">
        <f si="12" t="shared"/>
        <v/>
      </c>
      <c r="C188" s="1278" t="s">
        <v>645</v>
      </c>
      <c r="D188" s="1350" t="s">
        <v>5268</v>
      </c>
      <c r="E188" s="2472"/>
      <c r="F188" s="2472">
        <v>268</v>
      </c>
      <c r="G188" s="2472"/>
      <c r="H188" s="2512"/>
      <c r="I188" s="2512"/>
      <c r="J188" s="2512">
        <v>3750</v>
      </c>
      <c r="K188" s="2512"/>
      <c r="L188" s="2579"/>
      <c r="M188" s="2579"/>
      <c r="N188" s="2579"/>
      <c r="O188" s="2579"/>
      <c r="P188" s="2579"/>
      <c r="Q188" s="2579"/>
      <c r="R188" s="2580"/>
      <c r="S188" s="2580"/>
      <c r="T188" s="2580"/>
      <c r="U188" s="2580"/>
      <c r="V188" s="2580"/>
      <c r="W188" s="2580"/>
      <c r="X188" s="2580"/>
      <c r="Y188" s="2580"/>
      <c r="Z188" s="2580"/>
      <c r="AA188" s="2580"/>
      <c r="AB188" s="2580"/>
      <c r="AC188" s="2580"/>
      <c r="AD188" s="2580"/>
      <c r="AE188" s="2580"/>
      <c r="AF188" s="2580"/>
      <c r="AG188" s="2580"/>
      <c r="AH188" s="2580"/>
      <c r="AI188" s="2580"/>
      <c r="AJ188" s="2580"/>
      <c r="AK188" s="2580"/>
      <c r="AL188" s="2580"/>
      <c r="AM188" s="2580"/>
      <c r="AN188" s="2580"/>
      <c r="AO188" s="2580"/>
      <c r="AP188" s="2580"/>
      <c r="AQ188" s="2580"/>
      <c r="AR188" s="2580"/>
      <c r="AS188" s="2580"/>
      <c r="AT188" s="2580"/>
      <c r="AU188" s="2580"/>
      <c r="AV188" s="2580"/>
      <c r="AW188" s="2580"/>
      <c r="AX188" s="2580"/>
      <c r="AY188" s="2580"/>
      <c r="AZ188" s="2580"/>
      <c r="BA188" s="2580"/>
      <c r="BB188" s="2580"/>
      <c r="BC188" s="2580"/>
      <c r="BD188" s="2580"/>
      <c r="BE188" s="2580"/>
      <c r="BF188" s="2580"/>
      <c r="BG188" s="2580"/>
      <c r="BH188" s="2580"/>
      <c r="BI188" s="2580"/>
      <c r="BJ188" s="2580"/>
      <c r="BK188" s="2580"/>
      <c r="BL188" s="2580"/>
      <c r="BM188" s="2580"/>
      <c r="BN188" s="2580"/>
      <c r="BO188" s="2580"/>
      <c r="BP188" s="2580"/>
      <c r="BQ188" s="2580"/>
      <c r="BR188" s="2580"/>
      <c r="BS188" s="2580"/>
      <c r="BT188" s="2580"/>
      <c r="BU188" s="2580"/>
      <c r="BV188" s="2580"/>
      <c r="BW188" s="2580"/>
      <c r="BX188" s="2580"/>
      <c r="BY188" s="2580"/>
      <c r="BZ188" s="2580"/>
      <c r="CA188" s="2580"/>
      <c r="CB188" s="2580"/>
      <c r="CC188" s="2580"/>
      <c r="CD188" s="2580"/>
      <c r="CE188" s="2580"/>
      <c r="CF188" s="2580"/>
      <c r="CG188" s="2580"/>
      <c r="CH188" s="2580"/>
      <c r="CI188" s="2580"/>
      <c r="CJ188" s="2580"/>
      <c r="CK188" s="2580"/>
      <c r="CL188" s="2580"/>
      <c r="CM188" s="2580"/>
      <c r="CN188" s="2580"/>
      <c r="CO188" s="2580"/>
      <c r="CP188" s="2580"/>
      <c r="CQ188" s="2580"/>
      <c r="CR188" s="2580"/>
      <c r="CS188" s="2580"/>
      <c r="CT188" s="2580"/>
      <c r="CU188" s="2580"/>
      <c r="CV188" s="2580"/>
      <c r="CW188" s="2580"/>
      <c r="CX188" s="2580"/>
      <c r="CY188" s="2580"/>
      <c r="CZ188" s="2580"/>
      <c r="DA188" s="2580"/>
      <c r="DB188" s="2580"/>
      <c r="DC188" s="2580"/>
      <c r="DD188" s="2580"/>
      <c r="DE188" s="2580"/>
      <c r="DF188" s="2580"/>
      <c r="DG188" s="2580"/>
      <c r="DH188" s="2580"/>
      <c r="DI188" s="2580"/>
      <c r="DJ188" s="2580"/>
      <c r="DK188" s="2580"/>
      <c r="DL188" s="2580"/>
      <c r="DM188" s="2580"/>
      <c r="DN188" s="2580"/>
      <c r="DO188" s="2580"/>
      <c r="DP188" s="2580"/>
      <c r="DQ188" s="2580"/>
      <c r="DR188" s="2580"/>
      <c r="DS188" s="2580"/>
      <c r="DT188" s="2580"/>
      <c r="DU188" s="2580"/>
      <c r="DV188" s="2580"/>
      <c r="DW188" s="2580"/>
      <c r="DX188" s="2580"/>
      <c r="DY188" s="2580"/>
      <c r="DZ188" s="2580"/>
      <c r="EA188" s="2580"/>
      <c r="EB188" s="2580"/>
      <c r="EC188" s="2580"/>
      <c r="ED188" s="2580"/>
      <c r="EE188" s="2580"/>
      <c r="EF188" s="2580"/>
      <c r="EG188" s="2580"/>
      <c r="EH188" s="2580"/>
      <c r="EI188" s="2580"/>
      <c r="EJ188" s="2580"/>
      <c r="EK188" s="2580"/>
      <c r="EL188" s="2580"/>
      <c r="EM188" s="2580"/>
      <c r="EN188" s="2580"/>
      <c r="EO188" s="2580"/>
      <c r="EP188" s="2580"/>
      <c r="EQ188" s="2580"/>
      <c r="ER188" s="2580"/>
      <c r="ES188" s="2580"/>
      <c r="ET188" s="2580"/>
      <c r="EU188" s="2580"/>
      <c r="EV188" s="2580"/>
      <c r="EW188" s="2580"/>
      <c r="EX188" s="2580"/>
      <c r="EY188" s="2580"/>
      <c r="EZ188" s="2580"/>
      <c r="FA188" s="2580"/>
      <c r="FB188" s="2580"/>
      <c r="FC188" s="2580"/>
      <c r="FD188" s="2580"/>
      <c r="FE188" s="2580"/>
      <c r="FF188" s="2580"/>
      <c r="FG188" s="2580"/>
      <c r="FH188" s="2580"/>
      <c r="FI188" s="2580"/>
      <c r="FJ188" s="2580"/>
      <c r="FK188" s="2580"/>
      <c r="FL188" s="2580"/>
      <c r="FM188" s="2580"/>
      <c r="FN188" s="2580"/>
      <c r="FO188" s="2580"/>
      <c r="FP188" s="2580"/>
      <c r="FQ188" s="2580"/>
      <c r="FR188" s="2580"/>
      <c r="FS188" s="2580"/>
      <c r="FT188" s="2580"/>
      <c r="FU188" s="2580"/>
      <c r="FV188" s="2580"/>
      <c r="FW188" s="2580"/>
      <c r="FX188" s="2580"/>
      <c r="FY188" s="2580"/>
      <c r="FZ188" s="2580"/>
      <c r="GA188" s="2580"/>
      <c r="GB188" s="2580"/>
      <c r="GC188" s="2580"/>
      <c r="GD188" s="2580"/>
      <c r="GE188" s="2580"/>
      <c r="GF188" s="2580"/>
      <c r="GG188" s="2580"/>
      <c r="GH188" s="2580"/>
      <c r="GI188" s="2580"/>
      <c r="GJ188" s="2580"/>
      <c r="GK188" s="2580"/>
      <c r="GL188" s="2580"/>
      <c r="GM188" s="2580"/>
      <c r="GN188" s="2580"/>
      <c r="GO188" s="2580"/>
      <c r="GP188" s="2580"/>
      <c r="GQ188" s="2580"/>
      <c r="GR188" s="2580"/>
      <c r="GS188" s="2580"/>
      <c r="GT188" s="2580"/>
      <c r="GU188" s="2580"/>
      <c r="GV188" s="2580"/>
      <c r="GW188" s="2580"/>
      <c r="GX188" s="2580"/>
      <c r="GY188" s="2580"/>
      <c r="GZ188" s="2580"/>
      <c r="HA188" s="2580"/>
      <c r="HB188" s="2580"/>
      <c r="HC188" s="2580"/>
      <c r="HD188" s="2580"/>
      <c r="HE188" s="2580"/>
      <c r="HF188" s="2580"/>
      <c r="HG188" s="2580"/>
      <c r="HH188" s="2580"/>
      <c r="HI188" s="2580"/>
      <c r="HJ188" s="2580"/>
      <c r="HK188" s="2580"/>
      <c r="HL188" s="2580"/>
      <c r="HM188" s="2580"/>
      <c r="HN188" s="2580"/>
      <c r="HO188" s="2580"/>
      <c r="HP188" s="2580"/>
      <c r="HQ188" s="2580"/>
      <c r="HR188" s="2580"/>
      <c r="HS188" s="2580"/>
      <c r="HT188" s="2580"/>
      <c r="HU188" s="2580"/>
      <c r="HV188" s="2580"/>
      <c r="HW188" s="2580"/>
      <c r="HX188" s="2580"/>
      <c r="HY188" s="2580"/>
      <c r="HZ188" s="2580"/>
      <c r="IA188" s="2580"/>
      <c r="IB188" s="2580"/>
      <c r="IC188" s="2580"/>
      <c r="ID188" s="2580"/>
      <c r="IE188" s="2580"/>
      <c r="IF188" s="2580"/>
      <c r="IG188" s="2580"/>
      <c r="IH188" s="2580"/>
      <c r="II188" s="2580"/>
      <c r="IJ188" s="2580"/>
      <c r="IK188" s="2580"/>
      <c r="IL188" s="2580"/>
      <c r="IM188" s="2580"/>
      <c r="IN188" s="2580"/>
      <c r="IO188" s="2580"/>
      <c r="IP188" s="2580"/>
      <c r="IQ188" s="2580"/>
      <c r="IR188" s="2580"/>
      <c r="IS188" s="2580"/>
      <c r="IT188" s="2580"/>
      <c r="IU188" s="2580"/>
      <c r="IV188" s="2580"/>
      <c r="IW188" s="2580"/>
      <c r="IX188" s="2580"/>
      <c r="IY188" s="2580"/>
      <c r="IZ188" s="2580"/>
      <c r="JA188" s="2580"/>
      <c r="JB188" s="2580"/>
      <c r="JC188" s="2580"/>
      <c r="JD188" s="2580"/>
      <c r="JE188" s="2580"/>
      <c r="JF188" s="2580"/>
      <c r="JG188" s="2581"/>
      <c r="JH188" s="1233"/>
      <c r="JI188" s="2248"/>
      <c r="JJ188" s="2248" t="s">
        <v>6108</v>
      </c>
    </row>
    <row r="189" spans="1:270" x14ac:dyDescent="0.2">
      <c r="A189" s="1128">
        <v>39</v>
      </c>
      <c r="B189" s="1347" t="str">
        <f si="12" t="shared"/>
        <v/>
      </c>
      <c r="C189" s="1278" t="s">
        <v>646</v>
      </c>
      <c r="D189" s="1350" t="s">
        <v>5269</v>
      </c>
      <c r="E189" s="2472">
        <v>235</v>
      </c>
      <c r="F189" s="2472">
        <v>321</v>
      </c>
      <c r="G189" s="2472"/>
      <c r="H189" s="2512">
        <v>613</v>
      </c>
      <c r="I189" s="2512"/>
      <c r="J189" s="2512"/>
      <c r="K189" s="2512">
        <v>1175</v>
      </c>
      <c r="L189" s="2579"/>
      <c r="M189" s="2579"/>
      <c r="N189" s="2579"/>
      <c r="O189" s="2579"/>
      <c r="P189" s="2579"/>
      <c r="Q189" s="2579"/>
      <c r="R189" s="2580"/>
      <c r="S189" s="2580"/>
      <c r="T189" s="2580"/>
      <c r="U189" s="2580"/>
      <c r="V189" s="2580"/>
      <c r="W189" s="2580"/>
      <c r="X189" s="2580"/>
      <c r="Y189" s="2580"/>
      <c r="Z189" s="2580"/>
      <c r="AA189" s="2580"/>
      <c r="AB189" s="2580"/>
      <c r="AC189" s="2580"/>
      <c r="AD189" s="2580"/>
      <c r="AE189" s="2580"/>
      <c r="AF189" s="2580"/>
      <c r="AG189" s="2580"/>
      <c r="AH189" s="2580"/>
      <c r="AI189" s="2580"/>
      <c r="AJ189" s="2580"/>
      <c r="AK189" s="2580"/>
      <c r="AL189" s="2580"/>
      <c r="AM189" s="2580"/>
      <c r="AN189" s="2580"/>
      <c r="AO189" s="2580"/>
      <c r="AP189" s="2580"/>
      <c r="AQ189" s="2580"/>
      <c r="AR189" s="2580"/>
      <c r="AS189" s="2580"/>
      <c r="AT189" s="2580"/>
      <c r="AU189" s="2580"/>
      <c r="AV189" s="2580"/>
      <c r="AW189" s="2580"/>
      <c r="AX189" s="2580"/>
      <c r="AY189" s="2580"/>
      <c r="AZ189" s="2580"/>
      <c r="BA189" s="2580"/>
      <c r="BB189" s="2580"/>
      <c r="BC189" s="2580"/>
      <c r="BD189" s="2580"/>
      <c r="BE189" s="2580"/>
      <c r="BF189" s="2580"/>
      <c r="BG189" s="2580"/>
      <c r="BH189" s="2580"/>
      <c r="BI189" s="2580"/>
      <c r="BJ189" s="2580"/>
      <c r="BK189" s="2580"/>
      <c r="BL189" s="2580"/>
      <c r="BM189" s="2580"/>
      <c r="BN189" s="2580"/>
      <c r="BO189" s="2580"/>
      <c r="BP189" s="2580"/>
      <c r="BQ189" s="2580"/>
      <c r="BR189" s="2580"/>
      <c r="BS189" s="2580"/>
      <c r="BT189" s="2580"/>
      <c r="BU189" s="2580"/>
      <c r="BV189" s="2580"/>
      <c r="BW189" s="2580"/>
      <c r="BX189" s="2580"/>
      <c r="BY189" s="2580"/>
      <c r="BZ189" s="2580"/>
      <c r="CA189" s="2580"/>
      <c r="CB189" s="2580"/>
      <c r="CC189" s="2580"/>
      <c r="CD189" s="2580"/>
      <c r="CE189" s="2580"/>
      <c r="CF189" s="2580"/>
      <c r="CG189" s="2580"/>
      <c r="CH189" s="2580"/>
      <c r="CI189" s="2580"/>
      <c r="CJ189" s="2580"/>
      <c r="CK189" s="2580"/>
      <c r="CL189" s="2580"/>
      <c r="CM189" s="2580"/>
      <c r="CN189" s="2580"/>
      <c r="CO189" s="2580"/>
      <c r="CP189" s="2580"/>
      <c r="CQ189" s="2580"/>
      <c r="CR189" s="2580"/>
      <c r="CS189" s="2580"/>
      <c r="CT189" s="2580"/>
      <c r="CU189" s="2580"/>
      <c r="CV189" s="2580"/>
      <c r="CW189" s="2580"/>
      <c r="CX189" s="2580"/>
      <c r="CY189" s="2580"/>
      <c r="CZ189" s="2580"/>
      <c r="DA189" s="2580"/>
      <c r="DB189" s="2580"/>
      <c r="DC189" s="2580"/>
      <c r="DD189" s="2580"/>
      <c r="DE189" s="2580"/>
      <c r="DF189" s="2580"/>
      <c r="DG189" s="2580"/>
      <c r="DH189" s="2580"/>
      <c r="DI189" s="2580"/>
      <c r="DJ189" s="2580"/>
      <c r="DK189" s="2580"/>
      <c r="DL189" s="2580"/>
      <c r="DM189" s="2580"/>
      <c r="DN189" s="2580"/>
      <c r="DO189" s="2580"/>
      <c r="DP189" s="2580"/>
      <c r="DQ189" s="2580"/>
      <c r="DR189" s="2580"/>
      <c r="DS189" s="2580"/>
      <c r="DT189" s="2580"/>
      <c r="DU189" s="2580"/>
      <c r="DV189" s="2580"/>
      <c r="DW189" s="2580"/>
      <c r="DX189" s="2580"/>
      <c r="DY189" s="2580"/>
      <c r="DZ189" s="2580"/>
      <c r="EA189" s="2580"/>
      <c r="EB189" s="2580"/>
      <c r="EC189" s="2580"/>
      <c r="ED189" s="2580"/>
      <c r="EE189" s="2580"/>
      <c r="EF189" s="2580"/>
      <c r="EG189" s="2580"/>
      <c r="EH189" s="2580"/>
      <c r="EI189" s="2580"/>
      <c r="EJ189" s="2580"/>
      <c r="EK189" s="2580"/>
      <c r="EL189" s="2580"/>
      <c r="EM189" s="2580"/>
      <c r="EN189" s="2580"/>
      <c r="EO189" s="2580"/>
      <c r="EP189" s="2580"/>
      <c r="EQ189" s="2580"/>
      <c r="ER189" s="2580"/>
      <c r="ES189" s="2580"/>
      <c r="ET189" s="2580"/>
      <c r="EU189" s="2580"/>
      <c r="EV189" s="2580"/>
      <c r="EW189" s="2580"/>
      <c r="EX189" s="2580"/>
      <c r="EY189" s="2580"/>
      <c r="EZ189" s="2580"/>
      <c r="FA189" s="2580"/>
      <c r="FB189" s="2580"/>
      <c r="FC189" s="2580"/>
      <c r="FD189" s="2580"/>
      <c r="FE189" s="2580"/>
      <c r="FF189" s="2580"/>
      <c r="FG189" s="2580"/>
      <c r="FH189" s="2580"/>
      <c r="FI189" s="2580"/>
      <c r="FJ189" s="2580"/>
      <c r="FK189" s="2580"/>
      <c r="FL189" s="2580"/>
      <c r="FM189" s="2580"/>
      <c r="FN189" s="2580"/>
      <c r="FO189" s="2580"/>
      <c r="FP189" s="2580"/>
      <c r="FQ189" s="2580"/>
      <c r="FR189" s="2580"/>
      <c r="FS189" s="2580"/>
      <c r="FT189" s="2580"/>
      <c r="FU189" s="2580"/>
      <c r="FV189" s="2580"/>
      <c r="FW189" s="2580"/>
      <c r="FX189" s="2580"/>
      <c r="FY189" s="2580"/>
      <c r="FZ189" s="2580"/>
      <c r="GA189" s="2580"/>
      <c r="GB189" s="2580"/>
      <c r="GC189" s="2580"/>
      <c r="GD189" s="2580"/>
      <c r="GE189" s="2580"/>
      <c r="GF189" s="2580"/>
      <c r="GG189" s="2580"/>
      <c r="GH189" s="2580"/>
      <c r="GI189" s="2580"/>
      <c r="GJ189" s="2580"/>
      <c r="GK189" s="2580"/>
      <c r="GL189" s="2580"/>
      <c r="GM189" s="2580"/>
      <c r="GN189" s="2580"/>
      <c r="GO189" s="2580"/>
      <c r="GP189" s="2580"/>
      <c r="GQ189" s="2580"/>
      <c r="GR189" s="2580"/>
      <c r="GS189" s="2580"/>
      <c r="GT189" s="2580"/>
      <c r="GU189" s="2580"/>
      <c r="GV189" s="2580"/>
      <c r="GW189" s="2580"/>
      <c r="GX189" s="2580"/>
      <c r="GY189" s="2580"/>
      <c r="GZ189" s="2580"/>
      <c r="HA189" s="2580"/>
      <c r="HB189" s="2580"/>
      <c r="HC189" s="2580"/>
      <c r="HD189" s="2580"/>
      <c r="HE189" s="2580"/>
      <c r="HF189" s="2580"/>
      <c r="HG189" s="2580"/>
      <c r="HH189" s="2580"/>
      <c r="HI189" s="2580"/>
      <c r="HJ189" s="2580"/>
      <c r="HK189" s="2580"/>
      <c r="HL189" s="2580"/>
      <c r="HM189" s="2580"/>
      <c r="HN189" s="2580"/>
      <c r="HO189" s="2580"/>
      <c r="HP189" s="2580"/>
      <c r="HQ189" s="2580"/>
      <c r="HR189" s="2580"/>
      <c r="HS189" s="2580"/>
      <c r="HT189" s="2580"/>
      <c r="HU189" s="2580"/>
      <c r="HV189" s="2580"/>
      <c r="HW189" s="2580"/>
      <c r="HX189" s="2580"/>
      <c r="HY189" s="2580"/>
      <c r="HZ189" s="2580"/>
      <c r="IA189" s="2580"/>
      <c r="IB189" s="2580"/>
      <c r="IC189" s="2580"/>
      <c r="ID189" s="2580"/>
      <c r="IE189" s="2580"/>
      <c r="IF189" s="2580"/>
      <c r="IG189" s="2580"/>
      <c r="IH189" s="2580"/>
      <c r="II189" s="2580"/>
      <c r="IJ189" s="2580"/>
      <c r="IK189" s="2580"/>
      <c r="IL189" s="2580"/>
      <c r="IM189" s="2580"/>
      <c r="IN189" s="2580"/>
      <c r="IO189" s="2580"/>
      <c r="IP189" s="2580"/>
      <c r="IQ189" s="2580"/>
      <c r="IR189" s="2580"/>
      <c r="IS189" s="2580"/>
      <c r="IT189" s="2580"/>
      <c r="IU189" s="2580"/>
      <c r="IV189" s="2580"/>
      <c r="IW189" s="2580"/>
      <c r="IX189" s="2580"/>
      <c r="IY189" s="2580"/>
      <c r="IZ189" s="2580"/>
      <c r="JA189" s="2580"/>
      <c r="JB189" s="2580"/>
      <c r="JC189" s="2580"/>
      <c r="JD189" s="2580"/>
      <c r="JE189" s="2580"/>
      <c r="JF189" s="2580"/>
      <c r="JG189" s="2581"/>
      <c r="JH189" s="1233"/>
      <c r="JI189" s="2248"/>
      <c r="JJ189" s="2248" t="s">
        <v>6108</v>
      </c>
    </row>
    <row r="190" spans="1:270" x14ac:dyDescent="0.2">
      <c r="A190" s="1128">
        <v>40</v>
      </c>
      <c r="B190" s="1347" t="str">
        <f si="12" t="shared"/>
        <v/>
      </c>
      <c r="C190" s="1278" t="s">
        <v>3911</v>
      </c>
      <c r="D190" s="1350" t="s">
        <v>5270</v>
      </c>
      <c r="E190" s="2472">
        <v>128</v>
      </c>
      <c r="F190" s="2472">
        <v>402</v>
      </c>
      <c r="G190" s="2472"/>
      <c r="H190" s="2512"/>
      <c r="I190" s="2512">
        <v>657</v>
      </c>
      <c r="J190" s="2512">
        <v>1179</v>
      </c>
      <c r="K190" s="2512">
        <v>1330</v>
      </c>
      <c r="L190" s="2579"/>
      <c r="M190" s="2579"/>
      <c r="N190" s="2579"/>
      <c r="O190" s="2579"/>
      <c r="P190" s="2579"/>
      <c r="Q190" s="2579"/>
      <c r="R190" s="2580"/>
      <c r="S190" s="2580"/>
      <c r="T190" s="2580"/>
      <c r="U190" s="2580"/>
      <c r="V190" s="2580"/>
      <c r="W190" s="2580"/>
      <c r="X190" s="2580"/>
      <c r="Y190" s="2580"/>
      <c r="Z190" s="2580"/>
      <c r="AA190" s="2580"/>
      <c r="AB190" s="2580"/>
      <c r="AC190" s="2580"/>
      <c r="AD190" s="2580"/>
      <c r="AE190" s="2580"/>
      <c r="AF190" s="2580"/>
      <c r="AG190" s="2580"/>
      <c r="AH190" s="2580"/>
      <c r="AI190" s="2580"/>
      <c r="AJ190" s="2580"/>
      <c r="AK190" s="2580"/>
      <c r="AL190" s="2580"/>
      <c r="AM190" s="2580"/>
      <c r="AN190" s="2580"/>
      <c r="AO190" s="2580"/>
      <c r="AP190" s="2580"/>
      <c r="AQ190" s="2580"/>
      <c r="AR190" s="2580"/>
      <c r="AS190" s="2580"/>
      <c r="AT190" s="2580"/>
      <c r="AU190" s="2580"/>
      <c r="AV190" s="2580"/>
      <c r="AW190" s="2580"/>
      <c r="AX190" s="2580"/>
      <c r="AY190" s="2580"/>
      <c r="AZ190" s="2580"/>
      <c r="BA190" s="2580"/>
      <c r="BB190" s="2580"/>
      <c r="BC190" s="2580"/>
      <c r="BD190" s="2580"/>
      <c r="BE190" s="2580"/>
      <c r="BF190" s="2580"/>
      <c r="BG190" s="2580"/>
      <c r="BH190" s="2580"/>
      <c r="BI190" s="2580"/>
      <c r="BJ190" s="2580"/>
      <c r="BK190" s="2580"/>
      <c r="BL190" s="2580"/>
      <c r="BM190" s="2580"/>
      <c r="BN190" s="2580"/>
      <c r="BO190" s="2580"/>
      <c r="BP190" s="2580"/>
      <c r="BQ190" s="2580"/>
      <c r="BR190" s="2580"/>
      <c r="BS190" s="2580"/>
      <c r="BT190" s="2580"/>
      <c r="BU190" s="2580"/>
      <c r="BV190" s="2580"/>
      <c r="BW190" s="2580"/>
      <c r="BX190" s="2580"/>
      <c r="BY190" s="2580"/>
      <c r="BZ190" s="2580"/>
      <c r="CA190" s="2580"/>
      <c r="CB190" s="2580"/>
      <c r="CC190" s="2580"/>
      <c r="CD190" s="2580"/>
      <c r="CE190" s="2580"/>
      <c r="CF190" s="2580"/>
      <c r="CG190" s="2580"/>
      <c r="CH190" s="2580"/>
      <c r="CI190" s="2580"/>
      <c r="CJ190" s="2580"/>
      <c r="CK190" s="2580"/>
      <c r="CL190" s="2580"/>
      <c r="CM190" s="2580"/>
      <c r="CN190" s="2580"/>
      <c r="CO190" s="2580"/>
      <c r="CP190" s="2580"/>
      <c r="CQ190" s="2580"/>
      <c r="CR190" s="2580"/>
      <c r="CS190" s="2580"/>
      <c r="CT190" s="2580"/>
      <c r="CU190" s="2580"/>
      <c r="CV190" s="2580"/>
      <c r="CW190" s="2580"/>
      <c r="CX190" s="2580"/>
      <c r="CY190" s="2580"/>
      <c r="CZ190" s="2580"/>
      <c r="DA190" s="2580"/>
      <c r="DB190" s="2580"/>
      <c r="DC190" s="2580"/>
      <c r="DD190" s="2580"/>
      <c r="DE190" s="2580"/>
      <c r="DF190" s="2580"/>
      <c r="DG190" s="2580"/>
      <c r="DH190" s="2580"/>
      <c r="DI190" s="2580"/>
      <c r="DJ190" s="2580"/>
      <c r="DK190" s="2580"/>
      <c r="DL190" s="2580"/>
      <c r="DM190" s="2580"/>
      <c r="DN190" s="2580"/>
      <c r="DO190" s="2580"/>
      <c r="DP190" s="2580"/>
      <c r="DQ190" s="2580"/>
      <c r="DR190" s="2580"/>
      <c r="DS190" s="2580"/>
      <c r="DT190" s="2580"/>
      <c r="DU190" s="2580"/>
      <c r="DV190" s="2580"/>
      <c r="DW190" s="2580"/>
      <c r="DX190" s="2580"/>
      <c r="DY190" s="2580"/>
      <c r="DZ190" s="2580"/>
      <c r="EA190" s="2580"/>
      <c r="EB190" s="2580"/>
      <c r="EC190" s="2580"/>
      <c r="ED190" s="2580"/>
      <c r="EE190" s="2580"/>
      <c r="EF190" s="2580"/>
      <c r="EG190" s="2580"/>
      <c r="EH190" s="2580"/>
      <c r="EI190" s="2580"/>
      <c r="EJ190" s="2580"/>
      <c r="EK190" s="2580"/>
      <c r="EL190" s="2580"/>
      <c r="EM190" s="2580"/>
      <c r="EN190" s="2580"/>
      <c r="EO190" s="2580"/>
      <c r="EP190" s="2580"/>
      <c r="EQ190" s="2580"/>
      <c r="ER190" s="2580"/>
      <c r="ES190" s="2580"/>
      <c r="ET190" s="2580"/>
      <c r="EU190" s="2580"/>
      <c r="EV190" s="2580"/>
      <c r="EW190" s="2580"/>
      <c r="EX190" s="2580"/>
      <c r="EY190" s="2580"/>
      <c r="EZ190" s="2580"/>
      <c r="FA190" s="2580"/>
      <c r="FB190" s="2580"/>
      <c r="FC190" s="2580"/>
      <c r="FD190" s="2580"/>
      <c r="FE190" s="2580"/>
      <c r="FF190" s="2580"/>
      <c r="FG190" s="2580"/>
      <c r="FH190" s="2580"/>
      <c r="FI190" s="2580"/>
      <c r="FJ190" s="2580"/>
      <c r="FK190" s="2580"/>
      <c r="FL190" s="2580"/>
      <c r="FM190" s="2580"/>
      <c r="FN190" s="2580"/>
      <c r="FO190" s="2580"/>
      <c r="FP190" s="2580"/>
      <c r="FQ190" s="2580"/>
      <c r="FR190" s="2580"/>
      <c r="FS190" s="2580"/>
      <c r="FT190" s="2580"/>
      <c r="FU190" s="2580"/>
      <c r="FV190" s="2580"/>
      <c r="FW190" s="2580"/>
      <c r="FX190" s="2580"/>
      <c r="FY190" s="2580"/>
      <c r="FZ190" s="2580"/>
      <c r="GA190" s="2580"/>
      <c r="GB190" s="2580"/>
      <c r="GC190" s="2580"/>
      <c r="GD190" s="2580"/>
      <c r="GE190" s="2580"/>
      <c r="GF190" s="2580"/>
      <c r="GG190" s="2580"/>
      <c r="GH190" s="2580"/>
      <c r="GI190" s="2580"/>
      <c r="GJ190" s="2580"/>
      <c r="GK190" s="2580"/>
      <c r="GL190" s="2580"/>
      <c r="GM190" s="2580"/>
      <c r="GN190" s="2580"/>
      <c r="GO190" s="2580"/>
      <c r="GP190" s="2580"/>
      <c r="GQ190" s="2580"/>
      <c r="GR190" s="2580"/>
      <c r="GS190" s="2580"/>
      <c r="GT190" s="2580"/>
      <c r="GU190" s="2580"/>
      <c r="GV190" s="2580"/>
      <c r="GW190" s="2580"/>
      <c r="GX190" s="2580"/>
      <c r="GY190" s="2580"/>
      <c r="GZ190" s="2580"/>
      <c r="HA190" s="2580"/>
      <c r="HB190" s="2580"/>
      <c r="HC190" s="2580"/>
      <c r="HD190" s="2580"/>
      <c r="HE190" s="2580"/>
      <c r="HF190" s="2580"/>
      <c r="HG190" s="2580"/>
      <c r="HH190" s="2580"/>
      <c r="HI190" s="2580"/>
      <c r="HJ190" s="2580"/>
      <c r="HK190" s="2580"/>
      <c r="HL190" s="2580"/>
      <c r="HM190" s="2580"/>
      <c r="HN190" s="2580"/>
      <c r="HO190" s="2580"/>
      <c r="HP190" s="2580"/>
      <c r="HQ190" s="2580"/>
      <c r="HR190" s="2580"/>
      <c r="HS190" s="2580"/>
      <c r="HT190" s="2580"/>
      <c r="HU190" s="2580"/>
      <c r="HV190" s="2580"/>
      <c r="HW190" s="2580"/>
      <c r="HX190" s="2580"/>
      <c r="HY190" s="2580"/>
      <c r="HZ190" s="2580"/>
      <c r="IA190" s="2580"/>
      <c r="IB190" s="2580"/>
      <c r="IC190" s="2580"/>
      <c r="ID190" s="2580"/>
      <c r="IE190" s="2580"/>
      <c r="IF190" s="2580"/>
      <c r="IG190" s="2580"/>
      <c r="IH190" s="2580"/>
      <c r="II190" s="2580"/>
      <c r="IJ190" s="2580"/>
      <c r="IK190" s="2580"/>
      <c r="IL190" s="2580"/>
      <c r="IM190" s="2580"/>
      <c r="IN190" s="2580"/>
      <c r="IO190" s="2580"/>
      <c r="IP190" s="2580"/>
      <c r="IQ190" s="2580"/>
      <c r="IR190" s="2580"/>
      <c r="IS190" s="2580"/>
      <c r="IT190" s="2580"/>
      <c r="IU190" s="2580"/>
      <c r="IV190" s="2580"/>
      <c r="IW190" s="2580"/>
      <c r="IX190" s="2580"/>
      <c r="IY190" s="2580"/>
      <c r="IZ190" s="2580"/>
      <c r="JA190" s="2580"/>
      <c r="JB190" s="2580"/>
      <c r="JC190" s="2580"/>
      <c r="JD190" s="2580"/>
      <c r="JE190" s="2580"/>
      <c r="JF190" s="2580"/>
      <c r="JG190" s="2581"/>
      <c r="JH190" s="1233"/>
      <c r="JI190" s="2248"/>
      <c r="JJ190" s="2248" t="s">
        <v>6108</v>
      </c>
    </row>
    <row ht="33.75" r="191" spans="1:270" x14ac:dyDescent="0.2">
      <c r="A191" s="1128">
        <v>41</v>
      </c>
      <c r="B191" s="1347" t="str">
        <f si="12" t="shared"/>
        <v/>
      </c>
      <c r="C191" s="1278" t="s">
        <v>3912</v>
      </c>
      <c r="D191" s="1350" t="s">
        <v>5271</v>
      </c>
      <c r="E191" s="2514">
        <f ref="E191:K191" si="13" t="shared">E180+E181+E182+E183+E184+E185+E186+E187+E188+E189+E190</f>
        <v>14179</v>
      </c>
      <c r="F191" s="2514">
        <f si="13" t="shared"/>
        <v>991</v>
      </c>
      <c r="G191" s="2513"/>
      <c r="H191" s="2514">
        <f si="13" t="shared"/>
        <v>13105</v>
      </c>
      <c r="I191" s="2514">
        <f si="13" t="shared"/>
        <v>2062</v>
      </c>
      <c r="J191" s="2514">
        <f si="13" t="shared"/>
        <v>52163</v>
      </c>
      <c r="K191" s="2514">
        <f si="13" t="shared"/>
        <v>109191</v>
      </c>
      <c r="L191" s="2515"/>
      <c r="M191" s="2515"/>
      <c r="N191" s="2515"/>
      <c r="O191" s="2515"/>
      <c r="P191" s="2515"/>
      <c r="Q191" s="2515"/>
      <c r="R191" s="2516"/>
      <c r="S191" s="2516"/>
      <c r="T191" s="2516"/>
      <c r="U191" s="2516"/>
      <c r="V191" s="2516"/>
      <c r="W191" s="2516"/>
      <c r="X191" s="2516"/>
      <c r="Y191" s="2516"/>
      <c r="Z191" s="2516"/>
      <c r="AA191" s="2516"/>
      <c r="AB191" s="2516"/>
      <c r="AC191" s="2516"/>
      <c r="AD191" s="2516"/>
      <c r="AE191" s="2516"/>
      <c r="AF191" s="2516"/>
      <c r="AG191" s="2516"/>
      <c r="AH191" s="2516"/>
      <c r="AI191" s="2516"/>
      <c r="AJ191" s="2516"/>
      <c r="AK191" s="2516"/>
      <c r="AL191" s="2516"/>
      <c r="AM191" s="2516"/>
      <c r="AN191" s="2516"/>
      <c r="AO191" s="2516"/>
      <c r="AP191" s="2516"/>
      <c r="AQ191" s="2516"/>
      <c r="AR191" s="2516"/>
      <c r="AS191" s="2516"/>
      <c r="AT191" s="2516"/>
      <c r="AU191" s="2516"/>
      <c r="AV191" s="2516"/>
      <c r="AW191" s="2516"/>
      <c r="AX191" s="2516"/>
      <c r="AY191" s="2516"/>
      <c r="AZ191" s="2516"/>
      <c r="BA191" s="2516"/>
      <c r="BB191" s="2516"/>
      <c r="BC191" s="2516"/>
      <c r="BD191" s="2516"/>
      <c r="BE191" s="2516"/>
      <c r="BF191" s="2516"/>
      <c r="BG191" s="2516"/>
      <c r="BH191" s="2516"/>
      <c r="BI191" s="2516"/>
      <c r="BJ191" s="2516"/>
      <c r="BK191" s="2516"/>
      <c r="BL191" s="2516"/>
      <c r="BM191" s="2516"/>
      <c r="BN191" s="2516"/>
      <c r="BO191" s="2516"/>
      <c r="BP191" s="2516"/>
      <c r="BQ191" s="2516"/>
      <c r="BR191" s="2516"/>
      <c r="BS191" s="2516"/>
      <c r="BT191" s="2516"/>
      <c r="BU191" s="2516"/>
      <c r="BV191" s="2516"/>
      <c r="BW191" s="2516"/>
      <c r="BX191" s="2516"/>
      <c r="BY191" s="2516"/>
      <c r="BZ191" s="2516"/>
      <c r="CA191" s="2516"/>
      <c r="CB191" s="2516"/>
      <c r="CC191" s="2516"/>
      <c r="CD191" s="2516"/>
      <c r="CE191" s="2516"/>
      <c r="CF191" s="2516"/>
      <c r="CG191" s="2516"/>
      <c r="CH191" s="2516"/>
      <c r="CI191" s="2516"/>
      <c r="CJ191" s="2516"/>
      <c r="CK191" s="2516"/>
      <c r="CL191" s="2516"/>
      <c r="CM191" s="2516"/>
      <c r="CN191" s="2516"/>
      <c r="CO191" s="2516"/>
      <c r="CP191" s="2516"/>
      <c r="CQ191" s="2516"/>
      <c r="CR191" s="2516"/>
      <c r="CS191" s="2516"/>
      <c r="CT191" s="2516"/>
      <c r="CU191" s="2516"/>
      <c r="CV191" s="2516"/>
      <c r="CW191" s="2516"/>
      <c r="CX191" s="2516"/>
      <c r="CY191" s="2516"/>
      <c r="CZ191" s="2516"/>
      <c r="DA191" s="2516"/>
      <c r="DB191" s="2516"/>
      <c r="DC191" s="2516"/>
      <c r="DD191" s="2516"/>
      <c r="DE191" s="2516"/>
      <c r="DF191" s="2516"/>
      <c r="DG191" s="2516"/>
      <c r="DH191" s="2516"/>
      <c r="DI191" s="2516"/>
      <c r="DJ191" s="2516"/>
      <c r="DK191" s="2516"/>
      <c r="DL191" s="2516"/>
      <c r="DM191" s="2516"/>
      <c r="DN191" s="2516"/>
      <c r="DO191" s="2516"/>
      <c r="DP191" s="2516"/>
      <c r="DQ191" s="2516"/>
      <c r="DR191" s="2516"/>
      <c r="DS191" s="2516"/>
      <c r="DT191" s="2516"/>
      <c r="DU191" s="2516"/>
      <c r="DV191" s="2516"/>
      <c r="DW191" s="2516"/>
      <c r="DX191" s="2516"/>
      <c r="DY191" s="2516"/>
      <c r="DZ191" s="2516"/>
      <c r="EA191" s="2516"/>
      <c r="EB191" s="2516"/>
      <c r="EC191" s="2516"/>
      <c r="ED191" s="2516"/>
      <c r="EE191" s="2516"/>
      <c r="EF191" s="2516"/>
      <c r="EG191" s="2516"/>
      <c r="EH191" s="2516"/>
      <c r="EI191" s="2516"/>
      <c r="EJ191" s="2516"/>
      <c r="EK191" s="2516"/>
      <c r="EL191" s="2516"/>
      <c r="EM191" s="2516"/>
      <c r="EN191" s="2516"/>
      <c r="EO191" s="2516"/>
      <c r="EP191" s="2516"/>
      <c r="EQ191" s="2516"/>
      <c r="ER191" s="2516"/>
      <c r="ES191" s="2516"/>
      <c r="ET191" s="2516"/>
      <c r="EU191" s="2516"/>
      <c r="EV191" s="2516"/>
      <c r="EW191" s="2516"/>
      <c r="EX191" s="2516"/>
      <c r="EY191" s="2516"/>
      <c r="EZ191" s="2516"/>
      <c r="FA191" s="2516"/>
      <c r="FB191" s="2516"/>
      <c r="FC191" s="2516"/>
      <c r="FD191" s="2516"/>
      <c r="FE191" s="2516"/>
      <c r="FF191" s="2516"/>
      <c r="FG191" s="2516"/>
      <c r="FH191" s="2516"/>
      <c r="FI191" s="2516"/>
      <c r="FJ191" s="2516"/>
      <c r="FK191" s="2516"/>
      <c r="FL191" s="2516"/>
      <c r="FM191" s="2516"/>
      <c r="FN191" s="2516"/>
      <c r="FO191" s="2516"/>
      <c r="FP191" s="2516"/>
      <c r="FQ191" s="2516"/>
      <c r="FR191" s="2516"/>
      <c r="FS191" s="2516"/>
      <c r="FT191" s="2516"/>
      <c r="FU191" s="2516"/>
      <c r="FV191" s="2516"/>
      <c r="FW191" s="2516"/>
      <c r="FX191" s="2516"/>
      <c r="FY191" s="2516"/>
      <c r="FZ191" s="2516"/>
      <c r="GA191" s="2516"/>
      <c r="GB191" s="2516"/>
      <c r="GC191" s="2516"/>
      <c r="GD191" s="2516"/>
      <c r="GE191" s="2516"/>
      <c r="GF191" s="2516"/>
      <c r="GG191" s="2516"/>
      <c r="GH191" s="2516"/>
      <c r="GI191" s="2516"/>
      <c r="GJ191" s="2516"/>
      <c r="GK191" s="2516"/>
      <c r="GL191" s="2516"/>
      <c r="GM191" s="2516"/>
      <c r="GN191" s="2516"/>
      <c r="GO191" s="2516"/>
      <c r="GP191" s="2516"/>
      <c r="GQ191" s="2516"/>
      <c r="GR191" s="2516"/>
      <c r="GS191" s="2516"/>
      <c r="GT191" s="2516"/>
      <c r="GU191" s="2516"/>
      <c r="GV191" s="2516"/>
      <c r="GW191" s="2516"/>
      <c r="GX191" s="2516"/>
      <c r="GY191" s="2516"/>
      <c r="GZ191" s="2516"/>
      <c r="HA191" s="2516"/>
      <c r="HB191" s="2516"/>
      <c r="HC191" s="2516"/>
      <c r="HD191" s="2516"/>
      <c r="HE191" s="2516"/>
      <c r="HF191" s="2516"/>
      <c r="HG191" s="2516"/>
      <c r="HH191" s="2516"/>
      <c r="HI191" s="2516"/>
      <c r="HJ191" s="2516"/>
      <c r="HK191" s="2516"/>
      <c r="HL191" s="2516"/>
      <c r="HM191" s="2516"/>
      <c r="HN191" s="2516"/>
      <c r="HO191" s="2516"/>
      <c r="HP191" s="2516"/>
      <c r="HQ191" s="2516"/>
      <c r="HR191" s="2516"/>
      <c r="HS191" s="2516"/>
      <c r="HT191" s="2516"/>
      <c r="HU191" s="2516"/>
      <c r="HV191" s="2516"/>
      <c r="HW191" s="2516"/>
      <c r="HX191" s="2516"/>
      <c r="HY191" s="2516"/>
      <c r="HZ191" s="2516"/>
      <c r="IA191" s="2516"/>
      <c r="IB191" s="2516"/>
      <c r="IC191" s="2516"/>
      <c r="ID191" s="2516"/>
      <c r="IE191" s="2516"/>
      <c r="IF191" s="2516"/>
      <c r="IG191" s="2516"/>
      <c r="IH191" s="2516"/>
      <c r="II191" s="2516"/>
      <c r="IJ191" s="2516"/>
      <c r="IK191" s="2516"/>
      <c r="IL191" s="2516"/>
      <c r="IM191" s="2516"/>
      <c r="IN191" s="2516"/>
      <c r="IO191" s="2516"/>
      <c r="IP191" s="2516"/>
      <c r="IQ191" s="2516"/>
      <c r="IR191" s="2516"/>
      <c r="IS191" s="2516"/>
      <c r="IT191" s="2516"/>
      <c r="IU191" s="2516"/>
      <c r="IV191" s="2516"/>
      <c r="IW191" s="2516"/>
      <c r="IX191" s="2516"/>
      <c r="IY191" s="2516"/>
      <c r="IZ191" s="2516"/>
      <c r="JA191" s="2516"/>
      <c r="JB191" s="2516"/>
      <c r="JC191" s="2516"/>
      <c r="JD191" s="2516"/>
      <c r="JE191" s="2516"/>
      <c r="JF191" s="2516"/>
      <c r="JG191" s="2517"/>
      <c r="JH191" s="1233"/>
      <c r="JI191" s="2248" t="s">
        <v>5564</v>
      </c>
      <c r="JJ191" s="2248" t="s">
        <v>6108</v>
      </c>
    </row>
    <row ht="33.75" r="192" spans="1:270" x14ac:dyDescent="0.2">
      <c r="A192" s="1128">
        <v>42</v>
      </c>
      <c r="B192" s="1347" t="str">
        <f si="12" t="shared"/>
        <v/>
      </c>
      <c r="C192" s="1278" t="s">
        <v>3913</v>
      </c>
      <c r="D192" s="1350" t="s">
        <v>5272</v>
      </c>
      <c r="E192" s="2589">
        <f ref="E192:K192" si="14" t="shared">MAX(0,E178-E191)</f>
        <v>0</v>
      </c>
      <c r="F192" s="2589">
        <f si="14" t="shared"/>
        <v>8403</v>
      </c>
      <c r="G192" s="2589">
        <f si="14" t="shared"/>
        <v>6375</v>
      </c>
      <c r="H192" s="2589">
        <f si="14" t="shared"/>
        <v>9353</v>
      </c>
      <c r="I192" s="2589">
        <f si="14" t="shared"/>
        <v>4987</v>
      </c>
      <c r="J192" s="2589">
        <f si="14" t="shared"/>
        <v>39776</v>
      </c>
      <c r="K192" s="2589">
        <f si="14" t="shared"/>
        <v>1244496</v>
      </c>
      <c r="L192" s="2509"/>
      <c r="M192" s="2509"/>
      <c r="N192" s="2509"/>
      <c r="O192" s="2509"/>
      <c r="P192" s="2509"/>
      <c r="Q192" s="2509"/>
      <c r="R192" s="2510"/>
      <c r="S192" s="2510"/>
      <c r="T192" s="2510"/>
      <c r="U192" s="2510"/>
      <c r="V192" s="2510"/>
      <c r="W192" s="2510"/>
      <c r="X192" s="2510"/>
      <c r="Y192" s="2510"/>
      <c r="Z192" s="2510"/>
      <c r="AA192" s="2510"/>
      <c r="AB192" s="2510"/>
      <c r="AC192" s="2510"/>
      <c r="AD192" s="2510"/>
      <c r="AE192" s="2510"/>
      <c r="AF192" s="2510"/>
      <c r="AG192" s="2510"/>
      <c r="AH192" s="2510"/>
      <c r="AI192" s="2510"/>
      <c r="AJ192" s="2510"/>
      <c r="AK192" s="2510"/>
      <c r="AL192" s="2510"/>
      <c r="AM192" s="2510"/>
      <c r="AN192" s="2510"/>
      <c r="AO192" s="2510"/>
      <c r="AP192" s="2510"/>
      <c r="AQ192" s="2510"/>
      <c r="AR192" s="2510"/>
      <c r="AS192" s="2510"/>
      <c r="AT192" s="2510"/>
      <c r="AU192" s="2510"/>
      <c r="AV192" s="2510"/>
      <c r="AW192" s="2510"/>
      <c r="AX192" s="2510"/>
      <c r="AY192" s="2510"/>
      <c r="AZ192" s="2510"/>
      <c r="BA192" s="2510"/>
      <c r="BB192" s="2510"/>
      <c r="BC192" s="2510"/>
      <c r="BD192" s="2510"/>
      <c r="BE192" s="2510"/>
      <c r="BF192" s="2510"/>
      <c r="BG192" s="2510"/>
      <c r="BH192" s="2510"/>
      <c r="BI192" s="2510"/>
      <c r="BJ192" s="2510"/>
      <c r="BK192" s="2510"/>
      <c r="BL192" s="2510"/>
      <c r="BM192" s="2510"/>
      <c r="BN192" s="2510"/>
      <c r="BO192" s="2510"/>
      <c r="BP192" s="2510"/>
      <c r="BQ192" s="2510"/>
      <c r="BR192" s="2510"/>
      <c r="BS192" s="2510"/>
      <c r="BT192" s="2510"/>
      <c r="BU192" s="2510"/>
      <c r="BV192" s="2510"/>
      <c r="BW192" s="2510"/>
      <c r="BX192" s="2510"/>
      <c r="BY192" s="2510"/>
      <c r="BZ192" s="2510"/>
      <c r="CA192" s="2510"/>
      <c r="CB192" s="2510"/>
      <c r="CC192" s="2510"/>
      <c r="CD192" s="2510"/>
      <c r="CE192" s="2510"/>
      <c r="CF192" s="2510"/>
      <c r="CG192" s="2510"/>
      <c r="CH192" s="2510"/>
      <c r="CI192" s="2510"/>
      <c r="CJ192" s="2510"/>
      <c r="CK192" s="2510"/>
      <c r="CL192" s="2510"/>
      <c r="CM192" s="2510"/>
      <c r="CN192" s="2510"/>
      <c r="CO192" s="2510"/>
      <c r="CP192" s="2510"/>
      <c r="CQ192" s="2510"/>
      <c r="CR192" s="2510"/>
      <c r="CS192" s="2510"/>
      <c r="CT192" s="2510"/>
      <c r="CU192" s="2510"/>
      <c r="CV192" s="2510"/>
      <c r="CW192" s="2510"/>
      <c r="CX192" s="2510"/>
      <c r="CY192" s="2510"/>
      <c r="CZ192" s="2510"/>
      <c r="DA192" s="2510"/>
      <c r="DB192" s="2510"/>
      <c r="DC192" s="2510"/>
      <c r="DD192" s="2510"/>
      <c r="DE192" s="2510"/>
      <c r="DF192" s="2510"/>
      <c r="DG192" s="2510"/>
      <c r="DH192" s="2510"/>
      <c r="DI192" s="2510"/>
      <c r="DJ192" s="2510"/>
      <c r="DK192" s="2510"/>
      <c r="DL192" s="2510"/>
      <c r="DM192" s="2510"/>
      <c r="DN192" s="2510"/>
      <c r="DO192" s="2510"/>
      <c r="DP192" s="2510"/>
      <c r="DQ192" s="2510"/>
      <c r="DR192" s="2510"/>
      <c r="DS192" s="2510"/>
      <c r="DT192" s="2510"/>
      <c r="DU192" s="2510"/>
      <c r="DV192" s="2510"/>
      <c r="DW192" s="2510"/>
      <c r="DX192" s="2510"/>
      <c r="DY192" s="2510"/>
      <c r="DZ192" s="2510"/>
      <c r="EA192" s="2510"/>
      <c r="EB192" s="2510"/>
      <c r="EC192" s="2510"/>
      <c r="ED192" s="2510"/>
      <c r="EE192" s="2510"/>
      <c r="EF192" s="2510"/>
      <c r="EG192" s="2510"/>
      <c r="EH192" s="2510"/>
      <c r="EI192" s="2510"/>
      <c r="EJ192" s="2510"/>
      <c r="EK192" s="2510"/>
      <c r="EL192" s="2510"/>
      <c r="EM192" s="2510"/>
      <c r="EN192" s="2510"/>
      <c r="EO192" s="2510"/>
      <c r="EP192" s="2510"/>
      <c r="EQ192" s="2510"/>
      <c r="ER192" s="2510"/>
      <c r="ES192" s="2510"/>
      <c r="ET192" s="2510"/>
      <c r="EU192" s="2510"/>
      <c r="EV192" s="2510"/>
      <c r="EW192" s="2510"/>
      <c r="EX192" s="2510"/>
      <c r="EY192" s="2510"/>
      <c r="EZ192" s="2510"/>
      <c r="FA192" s="2510"/>
      <c r="FB192" s="2510"/>
      <c r="FC192" s="2510"/>
      <c r="FD192" s="2510"/>
      <c r="FE192" s="2510"/>
      <c r="FF192" s="2510"/>
      <c r="FG192" s="2510"/>
      <c r="FH192" s="2510"/>
      <c r="FI192" s="2510"/>
      <c r="FJ192" s="2510"/>
      <c r="FK192" s="2510"/>
      <c r="FL192" s="2510"/>
      <c r="FM192" s="2510"/>
      <c r="FN192" s="2510"/>
      <c r="FO192" s="2510"/>
      <c r="FP192" s="2510"/>
      <c r="FQ192" s="2510"/>
      <c r="FR192" s="2510"/>
      <c r="FS192" s="2510"/>
      <c r="FT192" s="2510"/>
      <c r="FU192" s="2510"/>
      <c r="FV192" s="2510"/>
      <c r="FW192" s="2510"/>
      <c r="FX192" s="2510"/>
      <c r="FY192" s="2510"/>
      <c r="FZ192" s="2510"/>
      <c r="GA192" s="2510"/>
      <c r="GB192" s="2510"/>
      <c r="GC192" s="2510"/>
      <c r="GD192" s="2510"/>
      <c r="GE192" s="2510"/>
      <c r="GF192" s="2510"/>
      <c r="GG192" s="2510"/>
      <c r="GH192" s="2510"/>
      <c r="GI192" s="2510"/>
      <c r="GJ192" s="2510"/>
      <c r="GK192" s="2510"/>
      <c r="GL192" s="2510"/>
      <c r="GM192" s="2510"/>
      <c r="GN192" s="2510"/>
      <c r="GO192" s="2510"/>
      <c r="GP192" s="2510"/>
      <c r="GQ192" s="2510"/>
      <c r="GR192" s="2510"/>
      <c r="GS192" s="2510"/>
      <c r="GT192" s="2510"/>
      <c r="GU192" s="2510"/>
      <c r="GV192" s="2510"/>
      <c r="GW192" s="2510"/>
      <c r="GX192" s="2510"/>
      <c r="GY192" s="2510"/>
      <c r="GZ192" s="2510"/>
      <c r="HA192" s="2510"/>
      <c r="HB192" s="2510"/>
      <c r="HC192" s="2510"/>
      <c r="HD192" s="2510"/>
      <c r="HE192" s="2510"/>
      <c r="HF192" s="2510"/>
      <c r="HG192" s="2510"/>
      <c r="HH192" s="2510"/>
      <c r="HI192" s="2510"/>
      <c r="HJ192" s="2510"/>
      <c r="HK192" s="2510"/>
      <c r="HL192" s="2510"/>
      <c r="HM192" s="2510"/>
      <c r="HN192" s="2510"/>
      <c r="HO192" s="2510"/>
      <c r="HP192" s="2510"/>
      <c r="HQ192" s="2510"/>
      <c r="HR192" s="2510"/>
      <c r="HS192" s="2510"/>
      <c r="HT192" s="2510"/>
      <c r="HU192" s="2510"/>
      <c r="HV192" s="2510"/>
      <c r="HW192" s="2510"/>
      <c r="HX192" s="2510"/>
      <c r="HY192" s="2510"/>
      <c r="HZ192" s="2510"/>
      <c r="IA192" s="2510"/>
      <c r="IB192" s="2510"/>
      <c r="IC192" s="2510"/>
      <c r="ID192" s="2510"/>
      <c r="IE192" s="2510"/>
      <c r="IF192" s="2510"/>
      <c r="IG192" s="2510"/>
      <c r="IH192" s="2510"/>
      <c r="II192" s="2510"/>
      <c r="IJ192" s="2510"/>
      <c r="IK192" s="2510"/>
      <c r="IL192" s="2510"/>
      <c r="IM192" s="2510"/>
      <c r="IN192" s="2510"/>
      <c r="IO192" s="2510"/>
      <c r="IP192" s="2510"/>
      <c r="IQ192" s="2510"/>
      <c r="IR192" s="2510"/>
      <c r="IS192" s="2510"/>
      <c r="IT192" s="2510"/>
      <c r="IU192" s="2510"/>
      <c r="IV192" s="2510"/>
      <c r="IW192" s="2510"/>
      <c r="IX192" s="2510"/>
      <c r="IY192" s="2510"/>
      <c r="IZ192" s="2510"/>
      <c r="JA192" s="2510"/>
      <c r="JB192" s="2510"/>
      <c r="JC192" s="2510"/>
      <c r="JD192" s="2510"/>
      <c r="JE192" s="2510"/>
      <c r="JF192" s="2510"/>
      <c r="JG192" s="2479"/>
      <c r="JH192" s="1233"/>
      <c r="JI192" s="2248" t="s">
        <v>5565</v>
      </c>
      <c r="JJ192" s="2248" t="s">
        <v>6124</v>
      </c>
    </row>
    <row ht="33.75" r="193" spans="1:270" x14ac:dyDescent="0.2">
      <c r="A193" s="1128">
        <v>43</v>
      </c>
      <c r="B193" s="1347" t="str">
        <f si="12" t="shared"/>
        <v/>
      </c>
      <c r="C193" s="1278" t="s">
        <v>3914</v>
      </c>
      <c r="D193" s="1350" t="s">
        <v>5273</v>
      </c>
      <c r="E193" s="2514">
        <f>MAX(0,E191-E178)</f>
        <v>12465</v>
      </c>
      <c r="F193" s="2513"/>
      <c r="G193" s="2513"/>
      <c r="H193" s="2513"/>
      <c r="I193" s="2513"/>
      <c r="J193" s="2513"/>
      <c r="K193" s="2513"/>
      <c r="L193" s="2515"/>
      <c r="M193" s="2515"/>
      <c r="N193" s="2515"/>
      <c r="O193" s="2515"/>
      <c r="P193" s="2515"/>
      <c r="Q193" s="2515"/>
      <c r="R193" s="2516"/>
      <c r="S193" s="2516"/>
      <c r="T193" s="2516"/>
      <c r="U193" s="2516"/>
      <c r="V193" s="2516"/>
      <c r="W193" s="2516"/>
      <c r="X193" s="2516"/>
      <c r="Y193" s="2516"/>
      <c r="Z193" s="2516"/>
      <c r="AA193" s="2516"/>
      <c r="AB193" s="2516"/>
      <c r="AC193" s="2516"/>
      <c r="AD193" s="2516"/>
      <c r="AE193" s="2516"/>
      <c r="AF193" s="2516"/>
      <c r="AG193" s="2516"/>
      <c r="AH193" s="2516"/>
      <c r="AI193" s="2516"/>
      <c r="AJ193" s="2516"/>
      <c r="AK193" s="2516"/>
      <c r="AL193" s="2516"/>
      <c r="AM193" s="2516"/>
      <c r="AN193" s="2516"/>
      <c r="AO193" s="2516"/>
      <c r="AP193" s="2516"/>
      <c r="AQ193" s="2516"/>
      <c r="AR193" s="2516"/>
      <c r="AS193" s="2516"/>
      <c r="AT193" s="2516"/>
      <c r="AU193" s="2516"/>
      <c r="AV193" s="2516"/>
      <c r="AW193" s="2516"/>
      <c r="AX193" s="2516"/>
      <c r="AY193" s="2516"/>
      <c r="AZ193" s="2516"/>
      <c r="BA193" s="2516"/>
      <c r="BB193" s="2516"/>
      <c r="BC193" s="2516"/>
      <c r="BD193" s="2516"/>
      <c r="BE193" s="2516"/>
      <c r="BF193" s="2516"/>
      <c r="BG193" s="2516"/>
      <c r="BH193" s="2516"/>
      <c r="BI193" s="2516"/>
      <c r="BJ193" s="2516"/>
      <c r="BK193" s="2516"/>
      <c r="BL193" s="2516"/>
      <c r="BM193" s="2516"/>
      <c r="BN193" s="2516"/>
      <c r="BO193" s="2516"/>
      <c r="BP193" s="2516"/>
      <c r="BQ193" s="2516"/>
      <c r="BR193" s="2516"/>
      <c r="BS193" s="2516"/>
      <c r="BT193" s="2516"/>
      <c r="BU193" s="2516"/>
      <c r="BV193" s="2516"/>
      <c r="BW193" s="2516"/>
      <c r="BX193" s="2516"/>
      <c r="BY193" s="2516"/>
      <c r="BZ193" s="2516"/>
      <c r="CA193" s="2516"/>
      <c r="CB193" s="2516"/>
      <c r="CC193" s="2516"/>
      <c r="CD193" s="2516"/>
      <c r="CE193" s="2516"/>
      <c r="CF193" s="2516"/>
      <c r="CG193" s="2516"/>
      <c r="CH193" s="2516"/>
      <c r="CI193" s="2516"/>
      <c r="CJ193" s="2516"/>
      <c r="CK193" s="2516"/>
      <c r="CL193" s="2516"/>
      <c r="CM193" s="2516"/>
      <c r="CN193" s="2516"/>
      <c r="CO193" s="2516"/>
      <c r="CP193" s="2516"/>
      <c r="CQ193" s="2516"/>
      <c r="CR193" s="2516"/>
      <c r="CS193" s="2516"/>
      <c r="CT193" s="2516"/>
      <c r="CU193" s="2516"/>
      <c r="CV193" s="2516"/>
      <c r="CW193" s="2516"/>
      <c r="CX193" s="2516"/>
      <c r="CY193" s="2516"/>
      <c r="CZ193" s="2516"/>
      <c r="DA193" s="2516"/>
      <c r="DB193" s="2516"/>
      <c r="DC193" s="2516"/>
      <c r="DD193" s="2516"/>
      <c r="DE193" s="2516"/>
      <c r="DF193" s="2516"/>
      <c r="DG193" s="2516"/>
      <c r="DH193" s="2516"/>
      <c r="DI193" s="2516"/>
      <c r="DJ193" s="2516"/>
      <c r="DK193" s="2516"/>
      <c r="DL193" s="2516"/>
      <c r="DM193" s="2516"/>
      <c r="DN193" s="2516"/>
      <c r="DO193" s="2516"/>
      <c r="DP193" s="2516"/>
      <c r="DQ193" s="2516"/>
      <c r="DR193" s="2516"/>
      <c r="DS193" s="2516"/>
      <c r="DT193" s="2516"/>
      <c r="DU193" s="2516"/>
      <c r="DV193" s="2516"/>
      <c r="DW193" s="2516"/>
      <c r="DX193" s="2516"/>
      <c r="DY193" s="2516"/>
      <c r="DZ193" s="2516"/>
      <c r="EA193" s="2516"/>
      <c r="EB193" s="2516"/>
      <c r="EC193" s="2516"/>
      <c r="ED193" s="2516"/>
      <c r="EE193" s="2516"/>
      <c r="EF193" s="2516"/>
      <c r="EG193" s="2516"/>
      <c r="EH193" s="2516"/>
      <c r="EI193" s="2516"/>
      <c r="EJ193" s="2516"/>
      <c r="EK193" s="2516"/>
      <c r="EL193" s="2516"/>
      <c r="EM193" s="2516"/>
      <c r="EN193" s="2516"/>
      <c r="EO193" s="2516"/>
      <c r="EP193" s="2516"/>
      <c r="EQ193" s="2516"/>
      <c r="ER193" s="2516"/>
      <c r="ES193" s="2516"/>
      <c r="ET193" s="2516"/>
      <c r="EU193" s="2516"/>
      <c r="EV193" s="2516"/>
      <c r="EW193" s="2516"/>
      <c r="EX193" s="2516"/>
      <c r="EY193" s="2516"/>
      <c r="EZ193" s="2516"/>
      <c r="FA193" s="2516"/>
      <c r="FB193" s="2516"/>
      <c r="FC193" s="2516"/>
      <c r="FD193" s="2516"/>
      <c r="FE193" s="2516"/>
      <c r="FF193" s="2516"/>
      <c r="FG193" s="2516"/>
      <c r="FH193" s="2516"/>
      <c r="FI193" s="2516"/>
      <c r="FJ193" s="2516"/>
      <c r="FK193" s="2516"/>
      <c r="FL193" s="2516"/>
      <c r="FM193" s="2516"/>
      <c r="FN193" s="2516"/>
      <c r="FO193" s="2516"/>
      <c r="FP193" s="2516"/>
      <c r="FQ193" s="2516"/>
      <c r="FR193" s="2516"/>
      <c r="FS193" s="2516"/>
      <c r="FT193" s="2516"/>
      <c r="FU193" s="2516"/>
      <c r="FV193" s="2516"/>
      <c r="FW193" s="2516"/>
      <c r="FX193" s="2516"/>
      <c r="FY193" s="2516"/>
      <c r="FZ193" s="2516"/>
      <c r="GA193" s="2516"/>
      <c r="GB193" s="2516"/>
      <c r="GC193" s="2516"/>
      <c r="GD193" s="2516"/>
      <c r="GE193" s="2516"/>
      <c r="GF193" s="2516"/>
      <c r="GG193" s="2516"/>
      <c r="GH193" s="2516"/>
      <c r="GI193" s="2516"/>
      <c r="GJ193" s="2516"/>
      <c r="GK193" s="2516"/>
      <c r="GL193" s="2516"/>
      <c r="GM193" s="2516"/>
      <c r="GN193" s="2516"/>
      <c r="GO193" s="2516"/>
      <c r="GP193" s="2516"/>
      <c r="GQ193" s="2516"/>
      <c r="GR193" s="2516"/>
      <c r="GS193" s="2516"/>
      <c r="GT193" s="2516"/>
      <c r="GU193" s="2516"/>
      <c r="GV193" s="2516"/>
      <c r="GW193" s="2516"/>
      <c r="GX193" s="2516"/>
      <c r="GY193" s="2516"/>
      <c r="GZ193" s="2516"/>
      <c r="HA193" s="2516"/>
      <c r="HB193" s="2516"/>
      <c r="HC193" s="2516"/>
      <c r="HD193" s="2516"/>
      <c r="HE193" s="2516"/>
      <c r="HF193" s="2516"/>
      <c r="HG193" s="2516"/>
      <c r="HH193" s="2516"/>
      <c r="HI193" s="2516"/>
      <c r="HJ193" s="2516"/>
      <c r="HK193" s="2516"/>
      <c r="HL193" s="2516"/>
      <c r="HM193" s="2516"/>
      <c r="HN193" s="2516"/>
      <c r="HO193" s="2516"/>
      <c r="HP193" s="2516"/>
      <c r="HQ193" s="2516"/>
      <c r="HR193" s="2516"/>
      <c r="HS193" s="2516"/>
      <c r="HT193" s="2516"/>
      <c r="HU193" s="2516"/>
      <c r="HV193" s="2516"/>
      <c r="HW193" s="2516"/>
      <c r="HX193" s="2516"/>
      <c r="HY193" s="2516"/>
      <c r="HZ193" s="2516"/>
      <c r="IA193" s="2516"/>
      <c r="IB193" s="2516"/>
      <c r="IC193" s="2516"/>
      <c r="ID193" s="2516"/>
      <c r="IE193" s="2516"/>
      <c r="IF193" s="2516"/>
      <c r="IG193" s="2516"/>
      <c r="IH193" s="2516"/>
      <c r="II193" s="2516"/>
      <c r="IJ193" s="2516"/>
      <c r="IK193" s="2516"/>
      <c r="IL193" s="2516"/>
      <c r="IM193" s="2516"/>
      <c r="IN193" s="2516"/>
      <c r="IO193" s="2516"/>
      <c r="IP193" s="2516"/>
      <c r="IQ193" s="2516"/>
      <c r="IR193" s="2516"/>
      <c r="IS193" s="2516"/>
      <c r="IT193" s="2516"/>
      <c r="IU193" s="2516"/>
      <c r="IV193" s="2516"/>
      <c r="IW193" s="2516"/>
      <c r="IX193" s="2516"/>
      <c r="IY193" s="2516"/>
      <c r="IZ193" s="2516"/>
      <c r="JA193" s="2516"/>
      <c r="JB193" s="2516"/>
      <c r="JC193" s="2516"/>
      <c r="JD193" s="2516"/>
      <c r="JE193" s="2516"/>
      <c r="JF193" s="2516"/>
      <c r="JG193" s="2517"/>
      <c r="JH193" s="1233"/>
      <c r="JI193" s="2248" t="s">
        <v>5566</v>
      </c>
      <c r="JJ193" s="2248" t="s">
        <v>6124</v>
      </c>
    </row>
    <row r="194" spans="1:270" x14ac:dyDescent="0.2">
      <c r="A194" s="1128">
        <v>44</v>
      </c>
      <c r="B194" s="1347" t="str">
        <f si="12" t="shared"/>
        <v/>
      </c>
      <c r="C194" s="1278" t="s">
        <v>3915</v>
      </c>
      <c r="D194" s="1350" t="s">
        <v>5274</v>
      </c>
      <c r="E194" s="2514">
        <f ref="E194:J194" si="15" t="shared">E164+E167</f>
        <v>22</v>
      </c>
      <c r="F194" s="2513"/>
      <c r="G194" s="2514">
        <f si="15" t="shared"/>
        <v>233</v>
      </c>
      <c r="H194" s="2514">
        <f si="15" t="shared"/>
        <v>76</v>
      </c>
      <c r="I194" s="2514">
        <f si="15" t="shared"/>
        <v>141</v>
      </c>
      <c r="J194" s="2514">
        <f si="15" t="shared"/>
        <v>626</v>
      </c>
      <c r="K194" s="2513"/>
      <c r="L194" s="2515"/>
      <c r="M194" s="2515"/>
      <c r="N194" s="2515"/>
      <c r="O194" s="2515"/>
      <c r="P194" s="2515"/>
      <c r="Q194" s="2515"/>
      <c r="R194" s="2516"/>
      <c r="S194" s="2516"/>
      <c r="T194" s="2516"/>
      <c r="U194" s="2516"/>
      <c r="V194" s="2516"/>
      <c r="W194" s="2516"/>
      <c r="X194" s="2516"/>
      <c r="Y194" s="2516"/>
      <c r="Z194" s="2516"/>
      <c r="AA194" s="2516"/>
      <c r="AB194" s="2516"/>
      <c r="AC194" s="2516"/>
      <c r="AD194" s="2516"/>
      <c r="AE194" s="2516"/>
      <c r="AF194" s="2516"/>
      <c r="AG194" s="2516"/>
      <c r="AH194" s="2516"/>
      <c r="AI194" s="2516"/>
      <c r="AJ194" s="2516"/>
      <c r="AK194" s="2516"/>
      <c r="AL194" s="2516"/>
      <c r="AM194" s="2516"/>
      <c r="AN194" s="2516"/>
      <c r="AO194" s="2516"/>
      <c r="AP194" s="2516"/>
      <c r="AQ194" s="2516"/>
      <c r="AR194" s="2516"/>
      <c r="AS194" s="2516"/>
      <c r="AT194" s="2516"/>
      <c r="AU194" s="2516"/>
      <c r="AV194" s="2516"/>
      <c r="AW194" s="2516"/>
      <c r="AX194" s="2516"/>
      <c r="AY194" s="2516"/>
      <c r="AZ194" s="2516"/>
      <c r="BA194" s="2516"/>
      <c r="BB194" s="2516"/>
      <c r="BC194" s="2516"/>
      <c r="BD194" s="2516"/>
      <c r="BE194" s="2516"/>
      <c r="BF194" s="2516"/>
      <c r="BG194" s="2516"/>
      <c r="BH194" s="2516"/>
      <c r="BI194" s="2516"/>
      <c r="BJ194" s="2516"/>
      <c r="BK194" s="2516"/>
      <c r="BL194" s="2516"/>
      <c r="BM194" s="2516"/>
      <c r="BN194" s="2516"/>
      <c r="BO194" s="2516"/>
      <c r="BP194" s="2516"/>
      <c r="BQ194" s="2516"/>
      <c r="BR194" s="2516"/>
      <c r="BS194" s="2516"/>
      <c r="BT194" s="2516"/>
      <c r="BU194" s="2516"/>
      <c r="BV194" s="2516"/>
      <c r="BW194" s="2516"/>
      <c r="BX194" s="2516"/>
      <c r="BY194" s="2516"/>
      <c r="BZ194" s="2516"/>
      <c r="CA194" s="2516"/>
      <c r="CB194" s="2516"/>
      <c r="CC194" s="2516"/>
      <c r="CD194" s="2516"/>
      <c r="CE194" s="2516"/>
      <c r="CF194" s="2516"/>
      <c r="CG194" s="2516"/>
      <c r="CH194" s="2516"/>
      <c r="CI194" s="2516"/>
      <c r="CJ194" s="2516"/>
      <c r="CK194" s="2516"/>
      <c r="CL194" s="2516"/>
      <c r="CM194" s="2516"/>
      <c r="CN194" s="2516"/>
      <c r="CO194" s="2516"/>
      <c r="CP194" s="2516"/>
      <c r="CQ194" s="2516"/>
      <c r="CR194" s="2516"/>
      <c r="CS194" s="2516"/>
      <c r="CT194" s="2516"/>
      <c r="CU194" s="2516"/>
      <c r="CV194" s="2516"/>
      <c r="CW194" s="2516"/>
      <c r="CX194" s="2516"/>
      <c r="CY194" s="2516"/>
      <c r="CZ194" s="2516"/>
      <c r="DA194" s="2516"/>
      <c r="DB194" s="2516"/>
      <c r="DC194" s="2516"/>
      <c r="DD194" s="2516"/>
      <c r="DE194" s="2516"/>
      <c r="DF194" s="2516"/>
      <c r="DG194" s="2516"/>
      <c r="DH194" s="2516"/>
      <c r="DI194" s="2516"/>
      <c r="DJ194" s="2516"/>
      <c r="DK194" s="2516"/>
      <c r="DL194" s="2516"/>
      <c r="DM194" s="2516"/>
      <c r="DN194" s="2516"/>
      <c r="DO194" s="2516"/>
      <c r="DP194" s="2516"/>
      <c r="DQ194" s="2516"/>
      <c r="DR194" s="2516"/>
      <c r="DS194" s="2516"/>
      <c r="DT194" s="2516"/>
      <c r="DU194" s="2516"/>
      <c r="DV194" s="2516"/>
      <c r="DW194" s="2516"/>
      <c r="DX194" s="2516"/>
      <c r="DY194" s="2516"/>
      <c r="DZ194" s="2516"/>
      <c r="EA194" s="2516"/>
      <c r="EB194" s="2516"/>
      <c r="EC194" s="2516"/>
      <c r="ED194" s="2516"/>
      <c r="EE194" s="2516"/>
      <c r="EF194" s="2516"/>
      <c r="EG194" s="2516"/>
      <c r="EH194" s="2516"/>
      <c r="EI194" s="2516"/>
      <c r="EJ194" s="2516"/>
      <c r="EK194" s="2516"/>
      <c r="EL194" s="2516"/>
      <c r="EM194" s="2516"/>
      <c r="EN194" s="2516"/>
      <c r="EO194" s="2516"/>
      <c r="EP194" s="2516"/>
      <c r="EQ194" s="2516"/>
      <c r="ER194" s="2516"/>
      <c r="ES194" s="2516"/>
      <c r="ET194" s="2516"/>
      <c r="EU194" s="2516"/>
      <c r="EV194" s="2516"/>
      <c r="EW194" s="2516"/>
      <c r="EX194" s="2516"/>
      <c r="EY194" s="2516"/>
      <c r="EZ194" s="2516"/>
      <c r="FA194" s="2516"/>
      <c r="FB194" s="2516"/>
      <c r="FC194" s="2516"/>
      <c r="FD194" s="2516"/>
      <c r="FE194" s="2516"/>
      <c r="FF194" s="2516"/>
      <c r="FG194" s="2516"/>
      <c r="FH194" s="2516"/>
      <c r="FI194" s="2516"/>
      <c r="FJ194" s="2516"/>
      <c r="FK194" s="2516"/>
      <c r="FL194" s="2516"/>
      <c r="FM194" s="2516"/>
      <c r="FN194" s="2516"/>
      <c r="FO194" s="2516"/>
      <c r="FP194" s="2516"/>
      <c r="FQ194" s="2516"/>
      <c r="FR194" s="2516"/>
      <c r="FS194" s="2516"/>
      <c r="FT194" s="2516"/>
      <c r="FU194" s="2516"/>
      <c r="FV194" s="2516"/>
      <c r="FW194" s="2516"/>
      <c r="FX194" s="2516"/>
      <c r="FY194" s="2516"/>
      <c r="FZ194" s="2516"/>
      <c r="GA194" s="2516"/>
      <c r="GB194" s="2516"/>
      <c r="GC194" s="2516"/>
      <c r="GD194" s="2516"/>
      <c r="GE194" s="2516"/>
      <c r="GF194" s="2516"/>
      <c r="GG194" s="2516"/>
      <c r="GH194" s="2516"/>
      <c r="GI194" s="2516"/>
      <c r="GJ194" s="2516"/>
      <c r="GK194" s="2516"/>
      <c r="GL194" s="2516"/>
      <c r="GM194" s="2516"/>
      <c r="GN194" s="2516"/>
      <c r="GO194" s="2516"/>
      <c r="GP194" s="2516"/>
      <c r="GQ194" s="2516"/>
      <c r="GR194" s="2516"/>
      <c r="GS194" s="2516"/>
      <c r="GT194" s="2516"/>
      <c r="GU194" s="2516"/>
      <c r="GV194" s="2516"/>
      <c r="GW194" s="2516"/>
      <c r="GX194" s="2516"/>
      <c r="GY194" s="2516"/>
      <c r="GZ194" s="2516"/>
      <c r="HA194" s="2516"/>
      <c r="HB194" s="2516"/>
      <c r="HC194" s="2516"/>
      <c r="HD194" s="2516"/>
      <c r="HE194" s="2516"/>
      <c r="HF194" s="2516"/>
      <c r="HG194" s="2516"/>
      <c r="HH194" s="2516"/>
      <c r="HI194" s="2516"/>
      <c r="HJ194" s="2516"/>
      <c r="HK194" s="2516"/>
      <c r="HL194" s="2516"/>
      <c r="HM194" s="2516"/>
      <c r="HN194" s="2516"/>
      <c r="HO194" s="2516"/>
      <c r="HP194" s="2516"/>
      <c r="HQ194" s="2516"/>
      <c r="HR194" s="2516"/>
      <c r="HS194" s="2516"/>
      <c r="HT194" s="2516"/>
      <c r="HU194" s="2516"/>
      <c r="HV194" s="2516"/>
      <c r="HW194" s="2516"/>
      <c r="HX194" s="2516"/>
      <c r="HY194" s="2516"/>
      <c r="HZ194" s="2516"/>
      <c r="IA194" s="2516"/>
      <c r="IB194" s="2516"/>
      <c r="IC194" s="2516"/>
      <c r="ID194" s="2516"/>
      <c r="IE194" s="2516"/>
      <c r="IF194" s="2516"/>
      <c r="IG194" s="2516"/>
      <c r="IH194" s="2516"/>
      <c r="II194" s="2516"/>
      <c r="IJ194" s="2516"/>
      <c r="IK194" s="2516"/>
      <c r="IL194" s="2516"/>
      <c r="IM194" s="2516"/>
      <c r="IN194" s="2516"/>
      <c r="IO194" s="2516"/>
      <c r="IP194" s="2516"/>
      <c r="IQ194" s="2516"/>
      <c r="IR194" s="2516"/>
      <c r="IS194" s="2516"/>
      <c r="IT194" s="2516"/>
      <c r="IU194" s="2516"/>
      <c r="IV194" s="2516"/>
      <c r="IW194" s="2516"/>
      <c r="IX194" s="2516"/>
      <c r="IY194" s="2516"/>
      <c r="IZ194" s="2516"/>
      <c r="JA194" s="2516"/>
      <c r="JB194" s="2516"/>
      <c r="JC194" s="2516"/>
      <c r="JD194" s="2516"/>
      <c r="JE194" s="2516"/>
      <c r="JF194" s="2516"/>
      <c r="JG194" s="2517"/>
      <c r="JH194" s="1233"/>
      <c r="JI194" s="2248" t="s">
        <v>5567</v>
      </c>
      <c r="JJ194" s="2248" t="s">
        <v>6108</v>
      </c>
    </row>
    <row r="195" spans="1:270" x14ac:dyDescent="0.2">
      <c r="A195" s="1128">
        <v>45</v>
      </c>
      <c r="B195" s="1347" t="str">
        <f si="12" t="shared"/>
        <v/>
      </c>
      <c r="C195" s="1278" t="s">
        <v>3222</v>
      </c>
      <c r="D195" s="1350" t="s">
        <v>5275</v>
      </c>
      <c r="E195" s="2472"/>
      <c r="F195" s="2472"/>
      <c r="G195" s="2472"/>
      <c r="H195" s="2512">
        <v>17</v>
      </c>
      <c r="I195" s="2512">
        <v>33</v>
      </c>
      <c r="J195" s="2512">
        <v>51</v>
      </c>
      <c r="K195" s="2512"/>
      <c r="L195" s="2579"/>
      <c r="M195" s="2579"/>
      <c r="N195" s="2579"/>
      <c r="O195" s="2579"/>
      <c r="P195" s="2579"/>
      <c r="Q195" s="2579"/>
      <c r="R195" s="2580"/>
      <c r="S195" s="2580"/>
      <c r="T195" s="2580"/>
      <c r="U195" s="2580"/>
      <c r="V195" s="2580"/>
      <c r="W195" s="2580"/>
      <c r="X195" s="2580"/>
      <c r="Y195" s="2580"/>
      <c r="Z195" s="2580"/>
      <c r="AA195" s="2580"/>
      <c r="AB195" s="2580"/>
      <c r="AC195" s="2580"/>
      <c r="AD195" s="2580"/>
      <c r="AE195" s="2580"/>
      <c r="AF195" s="2580"/>
      <c r="AG195" s="2580"/>
      <c r="AH195" s="2580"/>
      <c r="AI195" s="2580"/>
      <c r="AJ195" s="2580"/>
      <c r="AK195" s="2580"/>
      <c r="AL195" s="2580"/>
      <c r="AM195" s="2580"/>
      <c r="AN195" s="2580"/>
      <c r="AO195" s="2580"/>
      <c r="AP195" s="2580"/>
      <c r="AQ195" s="2580"/>
      <c r="AR195" s="2580"/>
      <c r="AS195" s="2580"/>
      <c r="AT195" s="2580"/>
      <c r="AU195" s="2580"/>
      <c r="AV195" s="2580"/>
      <c r="AW195" s="2580"/>
      <c r="AX195" s="2580"/>
      <c r="AY195" s="2580"/>
      <c r="AZ195" s="2580"/>
      <c r="BA195" s="2580"/>
      <c r="BB195" s="2580"/>
      <c r="BC195" s="2580"/>
      <c r="BD195" s="2580"/>
      <c r="BE195" s="2580"/>
      <c r="BF195" s="2580"/>
      <c r="BG195" s="2580"/>
      <c r="BH195" s="2580"/>
      <c r="BI195" s="2580"/>
      <c r="BJ195" s="2580"/>
      <c r="BK195" s="2580"/>
      <c r="BL195" s="2580"/>
      <c r="BM195" s="2580"/>
      <c r="BN195" s="2580"/>
      <c r="BO195" s="2580"/>
      <c r="BP195" s="2580"/>
      <c r="BQ195" s="2580"/>
      <c r="BR195" s="2580"/>
      <c r="BS195" s="2580"/>
      <c r="BT195" s="2580"/>
      <c r="BU195" s="2580"/>
      <c r="BV195" s="2580"/>
      <c r="BW195" s="2580"/>
      <c r="BX195" s="2580"/>
      <c r="BY195" s="2580"/>
      <c r="BZ195" s="2580"/>
      <c r="CA195" s="2580"/>
      <c r="CB195" s="2580"/>
      <c r="CC195" s="2580"/>
      <c r="CD195" s="2580"/>
      <c r="CE195" s="2580"/>
      <c r="CF195" s="2580"/>
      <c r="CG195" s="2580"/>
      <c r="CH195" s="2580"/>
      <c r="CI195" s="2580"/>
      <c r="CJ195" s="2580"/>
      <c r="CK195" s="2580"/>
      <c r="CL195" s="2580"/>
      <c r="CM195" s="2580"/>
      <c r="CN195" s="2580"/>
      <c r="CO195" s="2580"/>
      <c r="CP195" s="2580"/>
      <c r="CQ195" s="2580"/>
      <c r="CR195" s="2580"/>
      <c r="CS195" s="2580"/>
      <c r="CT195" s="2580"/>
      <c r="CU195" s="2580"/>
      <c r="CV195" s="2580"/>
      <c r="CW195" s="2580"/>
      <c r="CX195" s="2580"/>
      <c r="CY195" s="2580"/>
      <c r="CZ195" s="2580"/>
      <c r="DA195" s="2580"/>
      <c r="DB195" s="2580"/>
      <c r="DC195" s="2580"/>
      <c r="DD195" s="2580"/>
      <c r="DE195" s="2580"/>
      <c r="DF195" s="2580"/>
      <c r="DG195" s="2580"/>
      <c r="DH195" s="2580"/>
      <c r="DI195" s="2580"/>
      <c r="DJ195" s="2580"/>
      <c r="DK195" s="2580"/>
      <c r="DL195" s="2580"/>
      <c r="DM195" s="2580"/>
      <c r="DN195" s="2580"/>
      <c r="DO195" s="2580"/>
      <c r="DP195" s="2580"/>
      <c r="DQ195" s="2580"/>
      <c r="DR195" s="2580"/>
      <c r="DS195" s="2580"/>
      <c r="DT195" s="2580"/>
      <c r="DU195" s="2580"/>
      <c r="DV195" s="2580"/>
      <c r="DW195" s="2580"/>
      <c r="DX195" s="2580"/>
      <c r="DY195" s="2580"/>
      <c r="DZ195" s="2580"/>
      <c r="EA195" s="2580"/>
      <c r="EB195" s="2580"/>
      <c r="EC195" s="2580"/>
      <c r="ED195" s="2580"/>
      <c r="EE195" s="2580"/>
      <c r="EF195" s="2580"/>
      <c r="EG195" s="2580"/>
      <c r="EH195" s="2580"/>
      <c r="EI195" s="2580"/>
      <c r="EJ195" s="2580"/>
      <c r="EK195" s="2580"/>
      <c r="EL195" s="2580"/>
      <c r="EM195" s="2580"/>
      <c r="EN195" s="2580"/>
      <c r="EO195" s="2580"/>
      <c r="EP195" s="2580"/>
      <c r="EQ195" s="2580"/>
      <c r="ER195" s="2580"/>
      <c r="ES195" s="2580"/>
      <c r="ET195" s="2580"/>
      <c r="EU195" s="2580"/>
      <c r="EV195" s="2580"/>
      <c r="EW195" s="2580"/>
      <c r="EX195" s="2580"/>
      <c r="EY195" s="2580"/>
      <c r="EZ195" s="2580"/>
      <c r="FA195" s="2580"/>
      <c r="FB195" s="2580"/>
      <c r="FC195" s="2580"/>
      <c r="FD195" s="2580"/>
      <c r="FE195" s="2580"/>
      <c r="FF195" s="2580"/>
      <c r="FG195" s="2580"/>
      <c r="FH195" s="2580"/>
      <c r="FI195" s="2580"/>
      <c r="FJ195" s="2580"/>
      <c r="FK195" s="2580"/>
      <c r="FL195" s="2580"/>
      <c r="FM195" s="2580"/>
      <c r="FN195" s="2580"/>
      <c r="FO195" s="2580"/>
      <c r="FP195" s="2580"/>
      <c r="FQ195" s="2580"/>
      <c r="FR195" s="2580"/>
      <c r="FS195" s="2580"/>
      <c r="FT195" s="2580"/>
      <c r="FU195" s="2580"/>
      <c r="FV195" s="2580"/>
      <c r="FW195" s="2580"/>
      <c r="FX195" s="2580"/>
      <c r="FY195" s="2580"/>
      <c r="FZ195" s="2580"/>
      <c r="GA195" s="2580"/>
      <c r="GB195" s="2580"/>
      <c r="GC195" s="2580"/>
      <c r="GD195" s="2580"/>
      <c r="GE195" s="2580"/>
      <c r="GF195" s="2580"/>
      <c r="GG195" s="2580"/>
      <c r="GH195" s="2580"/>
      <c r="GI195" s="2580"/>
      <c r="GJ195" s="2580"/>
      <c r="GK195" s="2580"/>
      <c r="GL195" s="2580"/>
      <c r="GM195" s="2580"/>
      <c r="GN195" s="2580"/>
      <c r="GO195" s="2580"/>
      <c r="GP195" s="2580"/>
      <c r="GQ195" s="2580"/>
      <c r="GR195" s="2580"/>
      <c r="GS195" s="2580"/>
      <c r="GT195" s="2580"/>
      <c r="GU195" s="2580"/>
      <c r="GV195" s="2580"/>
      <c r="GW195" s="2580"/>
      <c r="GX195" s="2580"/>
      <c r="GY195" s="2580"/>
      <c r="GZ195" s="2580"/>
      <c r="HA195" s="2580"/>
      <c r="HB195" s="2580"/>
      <c r="HC195" s="2580"/>
      <c r="HD195" s="2580"/>
      <c r="HE195" s="2580"/>
      <c r="HF195" s="2580"/>
      <c r="HG195" s="2580"/>
      <c r="HH195" s="2580"/>
      <c r="HI195" s="2580"/>
      <c r="HJ195" s="2580"/>
      <c r="HK195" s="2580"/>
      <c r="HL195" s="2580"/>
      <c r="HM195" s="2580"/>
      <c r="HN195" s="2580"/>
      <c r="HO195" s="2580"/>
      <c r="HP195" s="2580"/>
      <c r="HQ195" s="2580"/>
      <c r="HR195" s="2580"/>
      <c r="HS195" s="2580"/>
      <c r="HT195" s="2580"/>
      <c r="HU195" s="2580"/>
      <c r="HV195" s="2580"/>
      <c r="HW195" s="2580"/>
      <c r="HX195" s="2580"/>
      <c r="HY195" s="2580"/>
      <c r="HZ195" s="2580"/>
      <c r="IA195" s="2580"/>
      <c r="IB195" s="2580"/>
      <c r="IC195" s="2580"/>
      <c r="ID195" s="2580"/>
      <c r="IE195" s="2580"/>
      <c r="IF195" s="2580"/>
      <c r="IG195" s="2580"/>
      <c r="IH195" s="2580"/>
      <c r="II195" s="2580"/>
      <c r="IJ195" s="2580"/>
      <c r="IK195" s="2580"/>
      <c r="IL195" s="2580"/>
      <c r="IM195" s="2580"/>
      <c r="IN195" s="2580"/>
      <c r="IO195" s="2580"/>
      <c r="IP195" s="2580"/>
      <c r="IQ195" s="2580"/>
      <c r="IR195" s="2580"/>
      <c r="IS195" s="2580"/>
      <c r="IT195" s="2580"/>
      <c r="IU195" s="2580"/>
      <c r="IV195" s="2580"/>
      <c r="IW195" s="2580"/>
      <c r="IX195" s="2580"/>
      <c r="IY195" s="2580"/>
      <c r="IZ195" s="2580"/>
      <c r="JA195" s="2580"/>
      <c r="JB195" s="2580"/>
      <c r="JC195" s="2580"/>
      <c r="JD195" s="2580"/>
      <c r="JE195" s="2580"/>
      <c r="JF195" s="2580"/>
      <c r="JG195" s="2581"/>
      <c r="JH195" s="1233"/>
      <c r="JI195" s="2248"/>
      <c r="JJ195" s="2248" t="s">
        <v>6108</v>
      </c>
    </row>
    <row r="196" spans="1:270" x14ac:dyDescent="0.2">
      <c r="A196" s="1128">
        <v>46</v>
      </c>
      <c r="B196" s="1347" t="str">
        <f si="12" t="shared"/>
        <v/>
      </c>
      <c r="C196" s="1278" t="s">
        <v>3223</v>
      </c>
      <c r="D196" s="1350" t="s">
        <v>5276</v>
      </c>
      <c r="E196" s="2472"/>
      <c r="F196" s="2472"/>
      <c r="G196" s="2472"/>
      <c r="H196" s="2512"/>
      <c r="I196" s="2512"/>
      <c r="J196" s="2512"/>
      <c r="K196" s="2512"/>
      <c r="L196" s="2579"/>
      <c r="M196" s="2579"/>
      <c r="N196" s="2579"/>
      <c r="O196" s="2579"/>
      <c r="P196" s="2579"/>
      <c r="Q196" s="2579"/>
      <c r="R196" s="2580"/>
      <c r="S196" s="2580"/>
      <c r="T196" s="2580"/>
      <c r="U196" s="2580"/>
      <c r="V196" s="2580"/>
      <c r="W196" s="2580"/>
      <c r="X196" s="2580"/>
      <c r="Y196" s="2580"/>
      <c r="Z196" s="2580"/>
      <c r="AA196" s="2580"/>
      <c r="AB196" s="2580"/>
      <c r="AC196" s="2580"/>
      <c r="AD196" s="2580"/>
      <c r="AE196" s="2580"/>
      <c r="AF196" s="2580"/>
      <c r="AG196" s="2580"/>
      <c r="AH196" s="2580"/>
      <c r="AI196" s="2580"/>
      <c r="AJ196" s="2580"/>
      <c r="AK196" s="2580"/>
      <c r="AL196" s="2580"/>
      <c r="AM196" s="2580"/>
      <c r="AN196" s="2580"/>
      <c r="AO196" s="2580"/>
      <c r="AP196" s="2580"/>
      <c r="AQ196" s="2580"/>
      <c r="AR196" s="2580"/>
      <c r="AS196" s="2580"/>
      <c r="AT196" s="2580"/>
      <c r="AU196" s="2580"/>
      <c r="AV196" s="2580"/>
      <c r="AW196" s="2580"/>
      <c r="AX196" s="2580"/>
      <c r="AY196" s="2580"/>
      <c r="AZ196" s="2580"/>
      <c r="BA196" s="2580"/>
      <c r="BB196" s="2580"/>
      <c r="BC196" s="2580"/>
      <c r="BD196" s="2580"/>
      <c r="BE196" s="2580"/>
      <c r="BF196" s="2580"/>
      <c r="BG196" s="2580"/>
      <c r="BH196" s="2580"/>
      <c r="BI196" s="2580"/>
      <c r="BJ196" s="2580"/>
      <c r="BK196" s="2580"/>
      <c r="BL196" s="2580"/>
      <c r="BM196" s="2580"/>
      <c r="BN196" s="2580"/>
      <c r="BO196" s="2580"/>
      <c r="BP196" s="2580"/>
      <c r="BQ196" s="2580"/>
      <c r="BR196" s="2580"/>
      <c r="BS196" s="2580"/>
      <c r="BT196" s="2580"/>
      <c r="BU196" s="2580"/>
      <c r="BV196" s="2580"/>
      <c r="BW196" s="2580"/>
      <c r="BX196" s="2580"/>
      <c r="BY196" s="2580"/>
      <c r="BZ196" s="2580"/>
      <c r="CA196" s="2580"/>
      <c r="CB196" s="2580"/>
      <c r="CC196" s="2580"/>
      <c r="CD196" s="2580"/>
      <c r="CE196" s="2580"/>
      <c r="CF196" s="2580"/>
      <c r="CG196" s="2580"/>
      <c r="CH196" s="2580"/>
      <c r="CI196" s="2580"/>
      <c r="CJ196" s="2580"/>
      <c r="CK196" s="2580"/>
      <c r="CL196" s="2580"/>
      <c r="CM196" s="2580"/>
      <c r="CN196" s="2580"/>
      <c r="CO196" s="2580"/>
      <c r="CP196" s="2580"/>
      <c r="CQ196" s="2580"/>
      <c r="CR196" s="2580"/>
      <c r="CS196" s="2580"/>
      <c r="CT196" s="2580"/>
      <c r="CU196" s="2580"/>
      <c r="CV196" s="2580"/>
      <c r="CW196" s="2580"/>
      <c r="CX196" s="2580"/>
      <c r="CY196" s="2580"/>
      <c r="CZ196" s="2580"/>
      <c r="DA196" s="2580"/>
      <c r="DB196" s="2580"/>
      <c r="DC196" s="2580"/>
      <c r="DD196" s="2580"/>
      <c r="DE196" s="2580"/>
      <c r="DF196" s="2580"/>
      <c r="DG196" s="2580"/>
      <c r="DH196" s="2580"/>
      <c r="DI196" s="2580"/>
      <c r="DJ196" s="2580"/>
      <c r="DK196" s="2580"/>
      <c r="DL196" s="2580"/>
      <c r="DM196" s="2580"/>
      <c r="DN196" s="2580"/>
      <c r="DO196" s="2580"/>
      <c r="DP196" s="2580"/>
      <c r="DQ196" s="2580"/>
      <c r="DR196" s="2580"/>
      <c r="DS196" s="2580"/>
      <c r="DT196" s="2580"/>
      <c r="DU196" s="2580"/>
      <c r="DV196" s="2580"/>
      <c r="DW196" s="2580"/>
      <c r="DX196" s="2580"/>
      <c r="DY196" s="2580"/>
      <c r="DZ196" s="2580"/>
      <c r="EA196" s="2580"/>
      <c r="EB196" s="2580"/>
      <c r="EC196" s="2580"/>
      <c r="ED196" s="2580"/>
      <c r="EE196" s="2580"/>
      <c r="EF196" s="2580"/>
      <c r="EG196" s="2580"/>
      <c r="EH196" s="2580"/>
      <c r="EI196" s="2580"/>
      <c r="EJ196" s="2580"/>
      <c r="EK196" s="2580"/>
      <c r="EL196" s="2580"/>
      <c r="EM196" s="2580"/>
      <c r="EN196" s="2580"/>
      <c r="EO196" s="2580"/>
      <c r="EP196" s="2580"/>
      <c r="EQ196" s="2580"/>
      <c r="ER196" s="2580"/>
      <c r="ES196" s="2580"/>
      <c r="ET196" s="2580"/>
      <c r="EU196" s="2580"/>
      <c r="EV196" s="2580"/>
      <c r="EW196" s="2580"/>
      <c r="EX196" s="2580"/>
      <c r="EY196" s="2580"/>
      <c r="EZ196" s="2580"/>
      <c r="FA196" s="2580"/>
      <c r="FB196" s="2580"/>
      <c r="FC196" s="2580"/>
      <c r="FD196" s="2580"/>
      <c r="FE196" s="2580"/>
      <c r="FF196" s="2580"/>
      <c r="FG196" s="2580"/>
      <c r="FH196" s="2580"/>
      <c r="FI196" s="2580"/>
      <c r="FJ196" s="2580"/>
      <c r="FK196" s="2580"/>
      <c r="FL196" s="2580"/>
      <c r="FM196" s="2580"/>
      <c r="FN196" s="2580"/>
      <c r="FO196" s="2580"/>
      <c r="FP196" s="2580"/>
      <c r="FQ196" s="2580"/>
      <c r="FR196" s="2580"/>
      <c r="FS196" s="2580"/>
      <c r="FT196" s="2580"/>
      <c r="FU196" s="2580"/>
      <c r="FV196" s="2580"/>
      <c r="FW196" s="2580"/>
      <c r="FX196" s="2580"/>
      <c r="FY196" s="2580"/>
      <c r="FZ196" s="2580"/>
      <c r="GA196" s="2580"/>
      <c r="GB196" s="2580"/>
      <c r="GC196" s="2580"/>
      <c r="GD196" s="2580"/>
      <c r="GE196" s="2580"/>
      <c r="GF196" s="2580"/>
      <c r="GG196" s="2580"/>
      <c r="GH196" s="2580"/>
      <c r="GI196" s="2580"/>
      <c r="GJ196" s="2580"/>
      <c r="GK196" s="2580"/>
      <c r="GL196" s="2580"/>
      <c r="GM196" s="2580"/>
      <c r="GN196" s="2580"/>
      <c r="GO196" s="2580"/>
      <c r="GP196" s="2580"/>
      <c r="GQ196" s="2580"/>
      <c r="GR196" s="2580"/>
      <c r="GS196" s="2580"/>
      <c r="GT196" s="2580"/>
      <c r="GU196" s="2580"/>
      <c r="GV196" s="2580"/>
      <c r="GW196" s="2580"/>
      <c r="GX196" s="2580"/>
      <c r="GY196" s="2580"/>
      <c r="GZ196" s="2580"/>
      <c r="HA196" s="2580"/>
      <c r="HB196" s="2580"/>
      <c r="HC196" s="2580"/>
      <c r="HD196" s="2580"/>
      <c r="HE196" s="2580"/>
      <c r="HF196" s="2580"/>
      <c r="HG196" s="2580"/>
      <c r="HH196" s="2580"/>
      <c r="HI196" s="2580"/>
      <c r="HJ196" s="2580"/>
      <c r="HK196" s="2580"/>
      <c r="HL196" s="2580"/>
      <c r="HM196" s="2580"/>
      <c r="HN196" s="2580"/>
      <c r="HO196" s="2580"/>
      <c r="HP196" s="2580"/>
      <c r="HQ196" s="2580"/>
      <c r="HR196" s="2580"/>
      <c r="HS196" s="2580"/>
      <c r="HT196" s="2580"/>
      <c r="HU196" s="2580"/>
      <c r="HV196" s="2580"/>
      <c r="HW196" s="2580"/>
      <c r="HX196" s="2580"/>
      <c r="HY196" s="2580"/>
      <c r="HZ196" s="2580"/>
      <c r="IA196" s="2580"/>
      <c r="IB196" s="2580"/>
      <c r="IC196" s="2580"/>
      <c r="ID196" s="2580"/>
      <c r="IE196" s="2580"/>
      <c r="IF196" s="2580"/>
      <c r="IG196" s="2580"/>
      <c r="IH196" s="2580"/>
      <c r="II196" s="2580"/>
      <c r="IJ196" s="2580"/>
      <c r="IK196" s="2580"/>
      <c r="IL196" s="2580"/>
      <c r="IM196" s="2580"/>
      <c r="IN196" s="2580"/>
      <c r="IO196" s="2580"/>
      <c r="IP196" s="2580"/>
      <c r="IQ196" s="2580"/>
      <c r="IR196" s="2580"/>
      <c r="IS196" s="2580"/>
      <c r="IT196" s="2580"/>
      <c r="IU196" s="2580"/>
      <c r="IV196" s="2580"/>
      <c r="IW196" s="2580"/>
      <c r="IX196" s="2580"/>
      <c r="IY196" s="2580"/>
      <c r="IZ196" s="2580"/>
      <c r="JA196" s="2580"/>
      <c r="JB196" s="2580"/>
      <c r="JC196" s="2580"/>
      <c r="JD196" s="2580"/>
      <c r="JE196" s="2580"/>
      <c r="JF196" s="2580"/>
      <c r="JG196" s="2581"/>
      <c r="JH196" s="1233"/>
      <c r="JI196" s="2248"/>
      <c r="JJ196" s="2248" t="s">
        <v>6108</v>
      </c>
    </row>
    <row r="197" spans="1:270" x14ac:dyDescent="0.2">
      <c r="A197" s="1128">
        <v>47</v>
      </c>
      <c r="B197" s="1347" t="str">
        <f si="12" t="shared"/>
        <v/>
      </c>
      <c r="C197" s="1278" t="s">
        <v>3224</v>
      </c>
      <c r="D197" s="1350" t="s">
        <v>5277</v>
      </c>
      <c r="E197" s="2472"/>
      <c r="F197" s="2472"/>
      <c r="G197" s="2472"/>
      <c r="H197" s="2512">
        <v>294</v>
      </c>
      <c r="I197" s="2512">
        <v>309</v>
      </c>
      <c r="J197" s="2512">
        <v>1023</v>
      </c>
      <c r="K197" s="2512"/>
      <c r="L197" s="2579"/>
      <c r="M197" s="2579"/>
      <c r="N197" s="2579"/>
      <c r="O197" s="2579"/>
      <c r="P197" s="2579"/>
      <c r="Q197" s="2579"/>
      <c r="R197" s="2580"/>
      <c r="S197" s="2580"/>
      <c r="T197" s="2580"/>
      <c r="U197" s="2580"/>
      <c r="V197" s="2580"/>
      <c r="W197" s="2580"/>
      <c r="X197" s="2580"/>
      <c r="Y197" s="2580"/>
      <c r="Z197" s="2580"/>
      <c r="AA197" s="2580"/>
      <c r="AB197" s="2580"/>
      <c r="AC197" s="2580"/>
      <c r="AD197" s="2580"/>
      <c r="AE197" s="2580"/>
      <c r="AF197" s="2580"/>
      <c r="AG197" s="2580"/>
      <c r="AH197" s="2580"/>
      <c r="AI197" s="2580"/>
      <c r="AJ197" s="2580"/>
      <c r="AK197" s="2580"/>
      <c r="AL197" s="2580"/>
      <c r="AM197" s="2580"/>
      <c r="AN197" s="2580"/>
      <c r="AO197" s="2580"/>
      <c r="AP197" s="2580"/>
      <c r="AQ197" s="2580"/>
      <c r="AR197" s="2580"/>
      <c r="AS197" s="2580"/>
      <c r="AT197" s="2580"/>
      <c r="AU197" s="2580"/>
      <c r="AV197" s="2580"/>
      <c r="AW197" s="2580"/>
      <c r="AX197" s="2580"/>
      <c r="AY197" s="2580"/>
      <c r="AZ197" s="2580"/>
      <c r="BA197" s="2580"/>
      <c r="BB197" s="2580"/>
      <c r="BC197" s="2580"/>
      <c r="BD197" s="2580"/>
      <c r="BE197" s="2580"/>
      <c r="BF197" s="2580"/>
      <c r="BG197" s="2580"/>
      <c r="BH197" s="2580"/>
      <c r="BI197" s="2580"/>
      <c r="BJ197" s="2580"/>
      <c r="BK197" s="2580"/>
      <c r="BL197" s="2580"/>
      <c r="BM197" s="2580"/>
      <c r="BN197" s="2580"/>
      <c r="BO197" s="2580"/>
      <c r="BP197" s="2580"/>
      <c r="BQ197" s="2580"/>
      <c r="BR197" s="2580"/>
      <c r="BS197" s="2580"/>
      <c r="BT197" s="2580"/>
      <c r="BU197" s="2580"/>
      <c r="BV197" s="2580"/>
      <c r="BW197" s="2580"/>
      <c r="BX197" s="2580"/>
      <c r="BY197" s="2580"/>
      <c r="BZ197" s="2580"/>
      <c r="CA197" s="2580"/>
      <c r="CB197" s="2580"/>
      <c r="CC197" s="2580"/>
      <c r="CD197" s="2580"/>
      <c r="CE197" s="2580"/>
      <c r="CF197" s="2580"/>
      <c r="CG197" s="2580"/>
      <c r="CH197" s="2580"/>
      <c r="CI197" s="2580"/>
      <c r="CJ197" s="2580"/>
      <c r="CK197" s="2580"/>
      <c r="CL197" s="2580"/>
      <c r="CM197" s="2580"/>
      <c r="CN197" s="2580"/>
      <c r="CO197" s="2580"/>
      <c r="CP197" s="2580"/>
      <c r="CQ197" s="2580"/>
      <c r="CR197" s="2580"/>
      <c r="CS197" s="2580"/>
      <c r="CT197" s="2580"/>
      <c r="CU197" s="2580"/>
      <c r="CV197" s="2580"/>
      <c r="CW197" s="2580"/>
      <c r="CX197" s="2580"/>
      <c r="CY197" s="2580"/>
      <c r="CZ197" s="2580"/>
      <c r="DA197" s="2580"/>
      <c r="DB197" s="2580"/>
      <c r="DC197" s="2580"/>
      <c r="DD197" s="2580"/>
      <c r="DE197" s="2580"/>
      <c r="DF197" s="2580"/>
      <c r="DG197" s="2580"/>
      <c r="DH197" s="2580"/>
      <c r="DI197" s="2580"/>
      <c r="DJ197" s="2580"/>
      <c r="DK197" s="2580"/>
      <c r="DL197" s="2580"/>
      <c r="DM197" s="2580"/>
      <c r="DN197" s="2580"/>
      <c r="DO197" s="2580"/>
      <c r="DP197" s="2580"/>
      <c r="DQ197" s="2580"/>
      <c r="DR197" s="2580"/>
      <c r="DS197" s="2580"/>
      <c r="DT197" s="2580"/>
      <c r="DU197" s="2580"/>
      <c r="DV197" s="2580"/>
      <c r="DW197" s="2580"/>
      <c r="DX197" s="2580"/>
      <c r="DY197" s="2580"/>
      <c r="DZ197" s="2580"/>
      <c r="EA197" s="2580"/>
      <c r="EB197" s="2580"/>
      <c r="EC197" s="2580"/>
      <c r="ED197" s="2580"/>
      <c r="EE197" s="2580"/>
      <c r="EF197" s="2580"/>
      <c r="EG197" s="2580"/>
      <c r="EH197" s="2580"/>
      <c r="EI197" s="2580"/>
      <c r="EJ197" s="2580"/>
      <c r="EK197" s="2580"/>
      <c r="EL197" s="2580"/>
      <c r="EM197" s="2580"/>
      <c r="EN197" s="2580"/>
      <c r="EO197" s="2580"/>
      <c r="EP197" s="2580"/>
      <c r="EQ197" s="2580"/>
      <c r="ER197" s="2580"/>
      <c r="ES197" s="2580"/>
      <c r="ET197" s="2580"/>
      <c r="EU197" s="2580"/>
      <c r="EV197" s="2580"/>
      <c r="EW197" s="2580"/>
      <c r="EX197" s="2580"/>
      <c r="EY197" s="2580"/>
      <c r="EZ197" s="2580"/>
      <c r="FA197" s="2580"/>
      <c r="FB197" s="2580"/>
      <c r="FC197" s="2580"/>
      <c r="FD197" s="2580"/>
      <c r="FE197" s="2580"/>
      <c r="FF197" s="2580"/>
      <c r="FG197" s="2580"/>
      <c r="FH197" s="2580"/>
      <c r="FI197" s="2580"/>
      <c r="FJ197" s="2580"/>
      <c r="FK197" s="2580"/>
      <c r="FL197" s="2580"/>
      <c r="FM197" s="2580"/>
      <c r="FN197" s="2580"/>
      <c r="FO197" s="2580"/>
      <c r="FP197" s="2580"/>
      <c r="FQ197" s="2580"/>
      <c r="FR197" s="2580"/>
      <c r="FS197" s="2580"/>
      <c r="FT197" s="2580"/>
      <c r="FU197" s="2580"/>
      <c r="FV197" s="2580"/>
      <c r="FW197" s="2580"/>
      <c r="FX197" s="2580"/>
      <c r="FY197" s="2580"/>
      <c r="FZ197" s="2580"/>
      <c r="GA197" s="2580"/>
      <c r="GB197" s="2580"/>
      <c r="GC197" s="2580"/>
      <c r="GD197" s="2580"/>
      <c r="GE197" s="2580"/>
      <c r="GF197" s="2580"/>
      <c r="GG197" s="2580"/>
      <c r="GH197" s="2580"/>
      <c r="GI197" s="2580"/>
      <c r="GJ197" s="2580"/>
      <c r="GK197" s="2580"/>
      <c r="GL197" s="2580"/>
      <c r="GM197" s="2580"/>
      <c r="GN197" s="2580"/>
      <c r="GO197" s="2580"/>
      <c r="GP197" s="2580"/>
      <c r="GQ197" s="2580"/>
      <c r="GR197" s="2580"/>
      <c r="GS197" s="2580"/>
      <c r="GT197" s="2580"/>
      <c r="GU197" s="2580"/>
      <c r="GV197" s="2580"/>
      <c r="GW197" s="2580"/>
      <c r="GX197" s="2580"/>
      <c r="GY197" s="2580"/>
      <c r="GZ197" s="2580"/>
      <c r="HA197" s="2580"/>
      <c r="HB197" s="2580"/>
      <c r="HC197" s="2580"/>
      <c r="HD197" s="2580"/>
      <c r="HE197" s="2580"/>
      <c r="HF197" s="2580"/>
      <c r="HG197" s="2580"/>
      <c r="HH197" s="2580"/>
      <c r="HI197" s="2580"/>
      <c r="HJ197" s="2580"/>
      <c r="HK197" s="2580"/>
      <c r="HL197" s="2580"/>
      <c r="HM197" s="2580"/>
      <c r="HN197" s="2580"/>
      <c r="HO197" s="2580"/>
      <c r="HP197" s="2580"/>
      <c r="HQ197" s="2580"/>
      <c r="HR197" s="2580"/>
      <c r="HS197" s="2580"/>
      <c r="HT197" s="2580"/>
      <c r="HU197" s="2580"/>
      <c r="HV197" s="2580"/>
      <c r="HW197" s="2580"/>
      <c r="HX197" s="2580"/>
      <c r="HY197" s="2580"/>
      <c r="HZ197" s="2580"/>
      <c r="IA197" s="2580"/>
      <c r="IB197" s="2580"/>
      <c r="IC197" s="2580"/>
      <c r="ID197" s="2580"/>
      <c r="IE197" s="2580"/>
      <c r="IF197" s="2580"/>
      <c r="IG197" s="2580"/>
      <c r="IH197" s="2580"/>
      <c r="II197" s="2580"/>
      <c r="IJ197" s="2580"/>
      <c r="IK197" s="2580"/>
      <c r="IL197" s="2580"/>
      <c r="IM197" s="2580"/>
      <c r="IN197" s="2580"/>
      <c r="IO197" s="2580"/>
      <c r="IP197" s="2580"/>
      <c r="IQ197" s="2580"/>
      <c r="IR197" s="2580"/>
      <c r="IS197" s="2580"/>
      <c r="IT197" s="2580"/>
      <c r="IU197" s="2580"/>
      <c r="IV197" s="2580"/>
      <c r="IW197" s="2580"/>
      <c r="IX197" s="2580"/>
      <c r="IY197" s="2580"/>
      <c r="IZ197" s="2580"/>
      <c r="JA197" s="2580"/>
      <c r="JB197" s="2580"/>
      <c r="JC197" s="2580"/>
      <c r="JD197" s="2580"/>
      <c r="JE197" s="2580"/>
      <c r="JF197" s="2580"/>
      <c r="JG197" s="2581"/>
      <c r="JH197" s="1233"/>
      <c r="JI197" s="2248"/>
      <c r="JJ197" s="2248" t="s">
        <v>6108</v>
      </c>
    </row>
    <row r="198" spans="1:270" x14ac:dyDescent="0.2">
      <c r="A198" s="1128">
        <v>48</v>
      </c>
      <c r="B198" s="1347" t="str">
        <f si="12" t="shared"/>
        <v/>
      </c>
      <c r="C198" s="1278" t="s">
        <v>3225</v>
      </c>
      <c r="D198" s="1350" t="s">
        <v>5278</v>
      </c>
      <c r="E198" s="2472"/>
      <c r="F198" s="2472"/>
      <c r="G198" s="2472"/>
      <c r="H198" s="2512"/>
      <c r="I198" s="2512"/>
      <c r="J198" s="2512"/>
      <c r="K198" s="2512"/>
      <c r="L198" s="2579"/>
      <c r="M198" s="2579"/>
      <c r="N198" s="2579"/>
      <c r="O198" s="2579"/>
      <c r="P198" s="2579"/>
      <c r="Q198" s="2579"/>
      <c r="R198" s="2580"/>
      <c r="S198" s="2580"/>
      <c r="T198" s="2580"/>
      <c r="U198" s="2580"/>
      <c r="V198" s="2580"/>
      <c r="W198" s="2580"/>
      <c r="X198" s="2580"/>
      <c r="Y198" s="2580"/>
      <c r="Z198" s="2580"/>
      <c r="AA198" s="2580"/>
      <c r="AB198" s="2580"/>
      <c r="AC198" s="2580"/>
      <c r="AD198" s="2580"/>
      <c r="AE198" s="2580"/>
      <c r="AF198" s="2580"/>
      <c r="AG198" s="2580"/>
      <c r="AH198" s="2580"/>
      <c r="AI198" s="2580"/>
      <c r="AJ198" s="2580"/>
      <c r="AK198" s="2580"/>
      <c r="AL198" s="2580"/>
      <c r="AM198" s="2580"/>
      <c r="AN198" s="2580"/>
      <c r="AO198" s="2580"/>
      <c r="AP198" s="2580"/>
      <c r="AQ198" s="2580"/>
      <c r="AR198" s="2580"/>
      <c r="AS198" s="2580"/>
      <c r="AT198" s="2580"/>
      <c r="AU198" s="2580"/>
      <c r="AV198" s="2580"/>
      <c r="AW198" s="2580"/>
      <c r="AX198" s="2580"/>
      <c r="AY198" s="2580"/>
      <c r="AZ198" s="2580"/>
      <c r="BA198" s="2580"/>
      <c r="BB198" s="2580"/>
      <c r="BC198" s="2580"/>
      <c r="BD198" s="2580"/>
      <c r="BE198" s="2580"/>
      <c r="BF198" s="2580"/>
      <c r="BG198" s="2580"/>
      <c r="BH198" s="2580"/>
      <c r="BI198" s="2580"/>
      <c r="BJ198" s="2580"/>
      <c r="BK198" s="2580"/>
      <c r="BL198" s="2580"/>
      <c r="BM198" s="2580"/>
      <c r="BN198" s="2580"/>
      <c r="BO198" s="2580"/>
      <c r="BP198" s="2580"/>
      <c r="BQ198" s="2580"/>
      <c r="BR198" s="2580"/>
      <c r="BS198" s="2580"/>
      <c r="BT198" s="2580"/>
      <c r="BU198" s="2580"/>
      <c r="BV198" s="2580"/>
      <c r="BW198" s="2580"/>
      <c r="BX198" s="2580"/>
      <c r="BY198" s="2580"/>
      <c r="BZ198" s="2580"/>
      <c r="CA198" s="2580"/>
      <c r="CB198" s="2580"/>
      <c r="CC198" s="2580"/>
      <c r="CD198" s="2580"/>
      <c r="CE198" s="2580"/>
      <c r="CF198" s="2580"/>
      <c r="CG198" s="2580"/>
      <c r="CH198" s="2580"/>
      <c r="CI198" s="2580"/>
      <c r="CJ198" s="2580"/>
      <c r="CK198" s="2580"/>
      <c r="CL198" s="2580"/>
      <c r="CM198" s="2580"/>
      <c r="CN198" s="2580"/>
      <c r="CO198" s="2580"/>
      <c r="CP198" s="2580"/>
      <c r="CQ198" s="2580"/>
      <c r="CR198" s="2580"/>
      <c r="CS198" s="2580"/>
      <c r="CT198" s="2580"/>
      <c r="CU198" s="2580"/>
      <c r="CV198" s="2580"/>
      <c r="CW198" s="2580"/>
      <c r="CX198" s="2580"/>
      <c r="CY198" s="2580"/>
      <c r="CZ198" s="2580"/>
      <c r="DA198" s="2580"/>
      <c r="DB198" s="2580"/>
      <c r="DC198" s="2580"/>
      <c r="DD198" s="2580"/>
      <c r="DE198" s="2580"/>
      <c r="DF198" s="2580"/>
      <c r="DG198" s="2580"/>
      <c r="DH198" s="2580"/>
      <c r="DI198" s="2580"/>
      <c r="DJ198" s="2580"/>
      <c r="DK198" s="2580"/>
      <c r="DL198" s="2580"/>
      <c r="DM198" s="2580"/>
      <c r="DN198" s="2580"/>
      <c r="DO198" s="2580"/>
      <c r="DP198" s="2580"/>
      <c r="DQ198" s="2580"/>
      <c r="DR198" s="2580"/>
      <c r="DS198" s="2580"/>
      <c r="DT198" s="2580"/>
      <c r="DU198" s="2580"/>
      <c r="DV198" s="2580"/>
      <c r="DW198" s="2580"/>
      <c r="DX198" s="2580"/>
      <c r="DY198" s="2580"/>
      <c r="DZ198" s="2580"/>
      <c r="EA198" s="2580"/>
      <c r="EB198" s="2580"/>
      <c r="EC198" s="2580"/>
      <c r="ED198" s="2580"/>
      <c r="EE198" s="2580"/>
      <c r="EF198" s="2580"/>
      <c r="EG198" s="2580"/>
      <c r="EH198" s="2580"/>
      <c r="EI198" s="2580"/>
      <c r="EJ198" s="2580"/>
      <c r="EK198" s="2580"/>
      <c r="EL198" s="2580"/>
      <c r="EM198" s="2580"/>
      <c r="EN198" s="2580"/>
      <c r="EO198" s="2580"/>
      <c r="EP198" s="2580"/>
      <c r="EQ198" s="2580"/>
      <c r="ER198" s="2580"/>
      <c r="ES198" s="2580"/>
      <c r="ET198" s="2580"/>
      <c r="EU198" s="2580"/>
      <c r="EV198" s="2580"/>
      <c r="EW198" s="2580"/>
      <c r="EX198" s="2580"/>
      <c r="EY198" s="2580"/>
      <c r="EZ198" s="2580"/>
      <c r="FA198" s="2580"/>
      <c r="FB198" s="2580"/>
      <c r="FC198" s="2580"/>
      <c r="FD198" s="2580"/>
      <c r="FE198" s="2580"/>
      <c r="FF198" s="2580"/>
      <c r="FG198" s="2580"/>
      <c r="FH198" s="2580"/>
      <c r="FI198" s="2580"/>
      <c r="FJ198" s="2580"/>
      <c r="FK198" s="2580"/>
      <c r="FL198" s="2580"/>
      <c r="FM198" s="2580"/>
      <c r="FN198" s="2580"/>
      <c r="FO198" s="2580"/>
      <c r="FP198" s="2580"/>
      <c r="FQ198" s="2580"/>
      <c r="FR198" s="2580"/>
      <c r="FS198" s="2580"/>
      <c r="FT198" s="2580"/>
      <c r="FU198" s="2580"/>
      <c r="FV198" s="2580"/>
      <c r="FW198" s="2580"/>
      <c r="FX198" s="2580"/>
      <c r="FY198" s="2580"/>
      <c r="FZ198" s="2580"/>
      <c r="GA198" s="2580"/>
      <c r="GB198" s="2580"/>
      <c r="GC198" s="2580"/>
      <c r="GD198" s="2580"/>
      <c r="GE198" s="2580"/>
      <c r="GF198" s="2580"/>
      <c r="GG198" s="2580"/>
      <c r="GH198" s="2580"/>
      <c r="GI198" s="2580"/>
      <c r="GJ198" s="2580"/>
      <c r="GK198" s="2580"/>
      <c r="GL198" s="2580"/>
      <c r="GM198" s="2580"/>
      <c r="GN198" s="2580"/>
      <c r="GO198" s="2580"/>
      <c r="GP198" s="2580"/>
      <c r="GQ198" s="2580"/>
      <c r="GR198" s="2580"/>
      <c r="GS198" s="2580"/>
      <c r="GT198" s="2580"/>
      <c r="GU198" s="2580"/>
      <c r="GV198" s="2580"/>
      <c r="GW198" s="2580"/>
      <c r="GX198" s="2580"/>
      <c r="GY198" s="2580"/>
      <c r="GZ198" s="2580"/>
      <c r="HA198" s="2580"/>
      <c r="HB198" s="2580"/>
      <c r="HC198" s="2580"/>
      <c r="HD198" s="2580"/>
      <c r="HE198" s="2580"/>
      <c r="HF198" s="2580"/>
      <c r="HG198" s="2580"/>
      <c r="HH198" s="2580"/>
      <c r="HI198" s="2580"/>
      <c r="HJ198" s="2580"/>
      <c r="HK198" s="2580"/>
      <c r="HL198" s="2580"/>
      <c r="HM198" s="2580"/>
      <c r="HN198" s="2580"/>
      <c r="HO198" s="2580"/>
      <c r="HP198" s="2580"/>
      <c r="HQ198" s="2580"/>
      <c r="HR198" s="2580"/>
      <c r="HS198" s="2580"/>
      <c r="HT198" s="2580"/>
      <c r="HU198" s="2580"/>
      <c r="HV198" s="2580"/>
      <c r="HW198" s="2580"/>
      <c r="HX198" s="2580"/>
      <c r="HY198" s="2580"/>
      <c r="HZ198" s="2580"/>
      <c r="IA198" s="2580"/>
      <c r="IB198" s="2580"/>
      <c r="IC198" s="2580"/>
      <c r="ID198" s="2580"/>
      <c r="IE198" s="2580"/>
      <c r="IF198" s="2580"/>
      <c r="IG198" s="2580"/>
      <c r="IH198" s="2580"/>
      <c r="II198" s="2580"/>
      <c r="IJ198" s="2580"/>
      <c r="IK198" s="2580"/>
      <c r="IL198" s="2580"/>
      <c r="IM198" s="2580"/>
      <c r="IN198" s="2580"/>
      <c r="IO198" s="2580"/>
      <c r="IP198" s="2580"/>
      <c r="IQ198" s="2580"/>
      <c r="IR198" s="2580"/>
      <c r="IS198" s="2580"/>
      <c r="IT198" s="2580"/>
      <c r="IU198" s="2580"/>
      <c r="IV198" s="2580"/>
      <c r="IW198" s="2580"/>
      <c r="IX198" s="2580"/>
      <c r="IY198" s="2580"/>
      <c r="IZ198" s="2580"/>
      <c r="JA198" s="2580"/>
      <c r="JB198" s="2580"/>
      <c r="JC198" s="2580"/>
      <c r="JD198" s="2580"/>
      <c r="JE198" s="2580"/>
      <c r="JF198" s="2580"/>
      <c r="JG198" s="2581"/>
      <c r="JH198" s="1233"/>
      <c r="JI198" s="2248"/>
      <c r="JJ198" s="2248" t="s">
        <v>6108</v>
      </c>
    </row>
    <row ht="22.5" r="199" spans="1:270" x14ac:dyDescent="0.2">
      <c r="A199" s="1128">
        <v>49</v>
      </c>
      <c r="B199" s="1347" t="str">
        <f si="12" t="shared"/>
        <v/>
      </c>
      <c r="C199" s="1278" t="s">
        <v>3226</v>
      </c>
      <c r="D199" s="1350" t="s">
        <v>5279</v>
      </c>
      <c r="E199" s="2514">
        <f ref="E199:J199" si="16" t="shared">E194+E195+E196+E197+E198</f>
        <v>22</v>
      </c>
      <c r="F199" s="2513"/>
      <c r="G199" s="2514">
        <f si="16" t="shared"/>
        <v>233</v>
      </c>
      <c r="H199" s="2514">
        <f si="16" t="shared"/>
        <v>387</v>
      </c>
      <c r="I199" s="2514">
        <f si="16" t="shared"/>
        <v>483</v>
      </c>
      <c r="J199" s="2514">
        <f si="16" t="shared"/>
        <v>1700</v>
      </c>
      <c r="K199" s="2513"/>
      <c r="L199" s="2515"/>
      <c r="M199" s="2515"/>
      <c r="N199" s="2515"/>
      <c r="O199" s="2515"/>
      <c r="P199" s="2515"/>
      <c r="Q199" s="2515"/>
      <c r="R199" s="2516"/>
      <c r="S199" s="2516"/>
      <c r="T199" s="2516"/>
      <c r="U199" s="2516"/>
      <c r="V199" s="2516"/>
      <c r="W199" s="2516"/>
      <c r="X199" s="2516"/>
      <c r="Y199" s="2516"/>
      <c r="Z199" s="2516"/>
      <c r="AA199" s="2516"/>
      <c r="AB199" s="2516"/>
      <c r="AC199" s="2516"/>
      <c r="AD199" s="2516"/>
      <c r="AE199" s="2516"/>
      <c r="AF199" s="2516"/>
      <c r="AG199" s="2516"/>
      <c r="AH199" s="2516"/>
      <c r="AI199" s="2516"/>
      <c r="AJ199" s="2516"/>
      <c r="AK199" s="2516"/>
      <c r="AL199" s="2516"/>
      <c r="AM199" s="2516"/>
      <c r="AN199" s="2516"/>
      <c r="AO199" s="2516"/>
      <c r="AP199" s="2516"/>
      <c r="AQ199" s="2516"/>
      <c r="AR199" s="2516"/>
      <c r="AS199" s="2516"/>
      <c r="AT199" s="2516"/>
      <c r="AU199" s="2516"/>
      <c r="AV199" s="2516"/>
      <c r="AW199" s="2516"/>
      <c r="AX199" s="2516"/>
      <c r="AY199" s="2516"/>
      <c r="AZ199" s="2516"/>
      <c r="BA199" s="2516"/>
      <c r="BB199" s="2516"/>
      <c r="BC199" s="2516"/>
      <c r="BD199" s="2516"/>
      <c r="BE199" s="2516"/>
      <c r="BF199" s="2516"/>
      <c r="BG199" s="2516"/>
      <c r="BH199" s="2516"/>
      <c r="BI199" s="2516"/>
      <c r="BJ199" s="2516"/>
      <c r="BK199" s="2516"/>
      <c r="BL199" s="2516"/>
      <c r="BM199" s="2516"/>
      <c r="BN199" s="2516"/>
      <c r="BO199" s="2516"/>
      <c r="BP199" s="2516"/>
      <c r="BQ199" s="2516"/>
      <c r="BR199" s="2516"/>
      <c r="BS199" s="2516"/>
      <c r="BT199" s="2516"/>
      <c r="BU199" s="2516"/>
      <c r="BV199" s="2516"/>
      <c r="BW199" s="2516"/>
      <c r="BX199" s="2516"/>
      <c r="BY199" s="2516"/>
      <c r="BZ199" s="2516"/>
      <c r="CA199" s="2516"/>
      <c r="CB199" s="2516"/>
      <c r="CC199" s="2516"/>
      <c r="CD199" s="2516"/>
      <c r="CE199" s="2516"/>
      <c r="CF199" s="2516"/>
      <c r="CG199" s="2516"/>
      <c r="CH199" s="2516"/>
      <c r="CI199" s="2516"/>
      <c r="CJ199" s="2516"/>
      <c r="CK199" s="2516"/>
      <c r="CL199" s="2516"/>
      <c r="CM199" s="2516"/>
      <c r="CN199" s="2516"/>
      <c r="CO199" s="2516"/>
      <c r="CP199" s="2516"/>
      <c r="CQ199" s="2516"/>
      <c r="CR199" s="2516"/>
      <c r="CS199" s="2516"/>
      <c r="CT199" s="2516"/>
      <c r="CU199" s="2516"/>
      <c r="CV199" s="2516"/>
      <c r="CW199" s="2516"/>
      <c r="CX199" s="2516"/>
      <c r="CY199" s="2516"/>
      <c r="CZ199" s="2516"/>
      <c r="DA199" s="2516"/>
      <c r="DB199" s="2516"/>
      <c r="DC199" s="2516"/>
      <c r="DD199" s="2516"/>
      <c r="DE199" s="2516"/>
      <c r="DF199" s="2516"/>
      <c r="DG199" s="2516"/>
      <c r="DH199" s="2516"/>
      <c r="DI199" s="2516"/>
      <c r="DJ199" s="2516"/>
      <c r="DK199" s="2516"/>
      <c r="DL199" s="2516"/>
      <c r="DM199" s="2516"/>
      <c r="DN199" s="2516"/>
      <c r="DO199" s="2516"/>
      <c r="DP199" s="2516"/>
      <c r="DQ199" s="2516"/>
      <c r="DR199" s="2516"/>
      <c r="DS199" s="2516"/>
      <c r="DT199" s="2516"/>
      <c r="DU199" s="2516"/>
      <c r="DV199" s="2516"/>
      <c r="DW199" s="2516"/>
      <c r="DX199" s="2516"/>
      <c r="DY199" s="2516"/>
      <c r="DZ199" s="2516"/>
      <c r="EA199" s="2516"/>
      <c r="EB199" s="2516"/>
      <c r="EC199" s="2516"/>
      <c r="ED199" s="2516"/>
      <c r="EE199" s="2516"/>
      <c r="EF199" s="2516"/>
      <c r="EG199" s="2516"/>
      <c r="EH199" s="2516"/>
      <c r="EI199" s="2516"/>
      <c r="EJ199" s="2516"/>
      <c r="EK199" s="2516"/>
      <c r="EL199" s="2516"/>
      <c r="EM199" s="2516"/>
      <c r="EN199" s="2516"/>
      <c r="EO199" s="2516"/>
      <c r="EP199" s="2516"/>
      <c r="EQ199" s="2516"/>
      <c r="ER199" s="2516"/>
      <c r="ES199" s="2516"/>
      <c r="ET199" s="2516"/>
      <c r="EU199" s="2516"/>
      <c r="EV199" s="2516"/>
      <c r="EW199" s="2516"/>
      <c r="EX199" s="2516"/>
      <c r="EY199" s="2516"/>
      <c r="EZ199" s="2516"/>
      <c r="FA199" s="2516"/>
      <c r="FB199" s="2516"/>
      <c r="FC199" s="2516"/>
      <c r="FD199" s="2516"/>
      <c r="FE199" s="2516"/>
      <c r="FF199" s="2516"/>
      <c r="FG199" s="2516"/>
      <c r="FH199" s="2516"/>
      <c r="FI199" s="2516"/>
      <c r="FJ199" s="2516"/>
      <c r="FK199" s="2516"/>
      <c r="FL199" s="2516"/>
      <c r="FM199" s="2516"/>
      <c r="FN199" s="2516"/>
      <c r="FO199" s="2516"/>
      <c r="FP199" s="2516"/>
      <c r="FQ199" s="2516"/>
      <c r="FR199" s="2516"/>
      <c r="FS199" s="2516"/>
      <c r="FT199" s="2516"/>
      <c r="FU199" s="2516"/>
      <c r="FV199" s="2516"/>
      <c r="FW199" s="2516"/>
      <c r="FX199" s="2516"/>
      <c r="FY199" s="2516"/>
      <c r="FZ199" s="2516"/>
      <c r="GA199" s="2516"/>
      <c r="GB199" s="2516"/>
      <c r="GC199" s="2516"/>
      <c r="GD199" s="2516"/>
      <c r="GE199" s="2516"/>
      <c r="GF199" s="2516"/>
      <c r="GG199" s="2516"/>
      <c r="GH199" s="2516"/>
      <c r="GI199" s="2516"/>
      <c r="GJ199" s="2516"/>
      <c r="GK199" s="2516"/>
      <c r="GL199" s="2516"/>
      <c r="GM199" s="2516"/>
      <c r="GN199" s="2516"/>
      <c r="GO199" s="2516"/>
      <c r="GP199" s="2516"/>
      <c r="GQ199" s="2516"/>
      <c r="GR199" s="2516"/>
      <c r="GS199" s="2516"/>
      <c r="GT199" s="2516"/>
      <c r="GU199" s="2516"/>
      <c r="GV199" s="2516"/>
      <c r="GW199" s="2516"/>
      <c r="GX199" s="2516"/>
      <c r="GY199" s="2516"/>
      <c r="GZ199" s="2516"/>
      <c r="HA199" s="2516"/>
      <c r="HB199" s="2516"/>
      <c r="HC199" s="2516"/>
      <c r="HD199" s="2516"/>
      <c r="HE199" s="2516"/>
      <c r="HF199" s="2516"/>
      <c r="HG199" s="2516"/>
      <c r="HH199" s="2516"/>
      <c r="HI199" s="2516"/>
      <c r="HJ199" s="2516"/>
      <c r="HK199" s="2516"/>
      <c r="HL199" s="2516"/>
      <c r="HM199" s="2516"/>
      <c r="HN199" s="2516"/>
      <c r="HO199" s="2516"/>
      <c r="HP199" s="2516"/>
      <c r="HQ199" s="2516"/>
      <c r="HR199" s="2516"/>
      <c r="HS199" s="2516"/>
      <c r="HT199" s="2516"/>
      <c r="HU199" s="2516"/>
      <c r="HV199" s="2516"/>
      <c r="HW199" s="2516"/>
      <c r="HX199" s="2516"/>
      <c r="HY199" s="2516"/>
      <c r="HZ199" s="2516"/>
      <c r="IA199" s="2516"/>
      <c r="IB199" s="2516"/>
      <c r="IC199" s="2516"/>
      <c r="ID199" s="2516"/>
      <c r="IE199" s="2516"/>
      <c r="IF199" s="2516"/>
      <c r="IG199" s="2516"/>
      <c r="IH199" s="2516"/>
      <c r="II199" s="2516"/>
      <c r="IJ199" s="2516"/>
      <c r="IK199" s="2516"/>
      <c r="IL199" s="2516"/>
      <c r="IM199" s="2516"/>
      <c r="IN199" s="2516"/>
      <c r="IO199" s="2516"/>
      <c r="IP199" s="2516"/>
      <c r="IQ199" s="2516"/>
      <c r="IR199" s="2516"/>
      <c r="IS199" s="2516"/>
      <c r="IT199" s="2516"/>
      <c r="IU199" s="2516"/>
      <c r="IV199" s="2516"/>
      <c r="IW199" s="2516"/>
      <c r="IX199" s="2516"/>
      <c r="IY199" s="2516"/>
      <c r="IZ199" s="2516"/>
      <c r="JA199" s="2516"/>
      <c r="JB199" s="2516"/>
      <c r="JC199" s="2516"/>
      <c r="JD199" s="2516"/>
      <c r="JE199" s="2516"/>
      <c r="JF199" s="2516"/>
      <c r="JG199" s="2517"/>
      <c r="JH199" s="1233"/>
      <c r="JI199" s="2248" t="s">
        <v>5568</v>
      </c>
      <c r="JJ199" s="2248" t="s">
        <v>6108</v>
      </c>
    </row>
    <row ht="22.5" r="200" spans="1:270" x14ac:dyDescent="0.2">
      <c r="A200" s="1128">
        <v>50</v>
      </c>
      <c r="B200" s="1347" t="str">
        <f si="12" t="shared"/>
        <v/>
      </c>
      <c r="C200" s="1278" t="s">
        <v>3227</v>
      </c>
      <c r="D200" s="1350" t="s">
        <v>5280</v>
      </c>
      <c r="E200" s="2511"/>
      <c r="F200" s="2589">
        <f ref="F200:K200" si="17" t="shared">F192</f>
        <v>8403</v>
      </c>
      <c r="G200" s="2589">
        <f si="17" t="shared"/>
        <v>6375</v>
      </c>
      <c r="H200" s="2589">
        <f si="17" t="shared"/>
        <v>9353</v>
      </c>
      <c r="I200" s="2589">
        <f si="17" t="shared"/>
        <v>4987</v>
      </c>
      <c r="J200" s="2589">
        <f si="17" t="shared"/>
        <v>39776</v>
      </c>
      <c r="K200" s="2589">
        <f si="17" t="shared"/>
        <v>1244496</v>
      </c>
      <c r="L200" s="2509"/>
      <c r="M200" s="2509"/>
      <c r="N200" s="2509"/>
      <c r="O200" s="2509"/>
      <c r="P200" s="2509"/>
      <c r="Q200" s="2509"/>
      <c r="R200" s="2510"/>
      <c r="S200" s="2510"/>
      <c r="T200" s="2510"/>
      <c r="U200" s="2510"/>
      <c r="V200" s="2510"/>
      <c r="W200" s="2510"/>
      <c r="X200" s="2510"/>
      <c r="Y200" s="2510"/>
      <c r="Z200" s="2510"/>
      <c r="AA200" s="2510"/>
      <c r="AB200" s="2510"/>
      <c r="AC200" s="2510"/>
      <c r="AD200" s="2510"/>
      <c r="AE200" s="2510"/>
      <c r="AF200" s="2510"/>
      <c r="AG200" s="2510"/>
      <c r="AH200" s="2510"/>
      <c r="AI200" s="2510"/>
      <c r="AJ200" s="2510"/>
      <c r="AK200" s="2510"/>
      <c r="AL200" s="2510"/>
      <c r="AM200" s="2510"/>
      <c r="AN200" s="2510"/>
      <c r="AO200" s="2510"/>
      <c r="AP200" s="2510"/>
      <c r="AQ200" s="2510"/>
      <c r="AR200" s="2510"/>
      <c r="AS200" s="2510"/>
      <c r="AT200" s="2510"/>
      <c r="AU200" s="2510"/>
      <c r="AV200" s="2510"/>
      <c r="AW200" s="2510"/>
      <c r="AX200" s="2510"/>
      <c r="AY200" s="2510"/>
      <c r="AZ200" s="2510"/>
      <c r="BA200" s="2510"/>
      <c r="BB200" s="2510"/>
      <c r="BC200" s="2510"/>
      <c r="BD200" s="2510"/>
      <c r="BE200" s="2510"/>
      <c r="BF200" s="2510"/>
      <c r="BG200" s="2510"/>
      <c r="BH200" s="2510"/>
      <c r="BI200" s="2510"/>
      <c r="BJ200" s="2510"/>
      <c r="BK200" s="2510"/>
      <c r="BL200" s="2510"/>
      <c r="BM200" s="2510"/>
      <c r="BN200" s="2510"/>
      <c r="BO200" s="2510"/>
      <c r="BP200" s="2510"/>
      <c r="BQ200" s="2510"/>
      <c r="BR200" s="2510"/>
      <c r="BS200" s="2510"/>
      <c r="BT200" s="2510"/>
      <c r="BU200" s="2510"/>
      <c r="BV200" s="2510"/>
      <c r="BW200" s="2510"/>
      <c r="BX200" s="2510"/>
      <c r="BY200" s="2510"/>
      <c r="BZ200" s="2510"/>
      <c r="CA200" s="2510"/>
      <c r="CB200" s="2510"/>
      <c r="CC200" s="2510"/>
      <c r="CD200" s="2510"/>
      <c r="CE200" s="2510"/>
      <c r="CF200" s="2510"/>
      <c r="CG200" s="2510"/>
      <c r="CH200" s="2510"/>
      <c r="CI200" s="2510"/>
      <c r="CJ200" s="2510"/>
      <c r="CK200" s="2510"/>
      <c r="CL200" s="2510"/>
      <c r="CM200" s="2510"/>
      <c r="CN200" s="2510"/>
      <c r="CO200" s="2510"/>
      <c r="CP200" s="2510"/>
      <c r="CQ200" s="2510"/>
      <c r="CR200" s="2510"/>
      <c r="CS200" s="2510"/>
      <c r="CT200" s="2510"/>
      <c r="CU200" s="2510"/>
      <c r="CV200" s="2510"/>
      <c r="CW200" s="2510"/>
      <c r="CX200" s="2510"/>
      <c r="CY200" s="2510"/>
      <c r="CZ200" s="2510"/>
      <c r="DA200" s="2510"/>
      <c r="DB200" s="2510"/>
      <c r="DC200" s="2510"/>
      <c r="DD200" s="2510"/>
      <c r="DE200" s="2510"/>
      <c r="DF200" s="2510"/>
      <c r="DG200" s="2510"/>
      <c r="DH200" s="2510"/>
      <c r="DI200" s="2510"/>
      <c r="DJ200" s="2510"/>
      <c r="DK200" s="2510"/>
      <c r="DL200" s="2510"/>
      <c r="DM200" s="2510"/>
      <c r="DN200" s="2510"/>
      <c r="DO200" s="2510"/>
      <c r="DP200" s="2510"/>
      <c r="DQ200" s="2510"/>
      <c r="DR200" s="2510"/>
      <c r="DS200" s="2510"/>
      <c r="DT200" s="2510"/>
      <c r="DU200" s="2510"/>
      <c r="DV200" s="2510"/>
      <c r="DW200" s="2510"/>
      <c r="DX200" s="2510"/>
      <c r="DY200" s="2510"/>
      <c r="DZ200" s="2510"/>
      <c r="EA200" s="2510"/>
      <c r="EB200" s="2510"/>
      <c r="EC200" s="2510"/>
      <c r="ED200" s="2510"/>
      <c r="EE200" s="2510"/>
      <c r="EF200" s="2510"/>
      <c r="EG200" s="2510"/>
      <c r="EH200" s="2510"/>
      <c r="EI200" s="2510"/>
      <c r="EJ200" s="2510"/>
      <c r="EK200" s="2510"/>
      <c r="EL200" s="2510"/>
      <c r="EM200" s="2510"/>
      <c r="EN200" s="2510"/>
      <c r="EO200" s="2510"/>
      <c r="EP200" s="2510"/>
      <c r="EQ200" s="2510"/>
      <c r="ER200" s="2510"/>
      <c r="ES200" s="2510"/>
      <c r="ET200" s="2510"/>
      <c r="EU200" s="2510"/>
      <c r="EV200" s="2510"/>
      <c r="EW200" s="2510"/>
      <c r="EX200" s="2510"/>
      <c r="EY200" s="2510"/>
      <c r="EZ200" s="2510"/>
      <c r="FA200" s="2510"/>
      <c r="FB200" s="2510"/>
      <c r="FC200" s="2510"/>
      <c r="FD200" s="2510"/>
      <c r="FE200" s="2510"/>
      <c r="FF200" s="2510"/>
      <c r="FG200" s="2510"/>
      <c r="FH200" s="2510"/>
      <c r="FI200" s="2510"/>
      <c r="FJ200" s="2510"/>
      <c r="FK200" s="2510"/>
      <c r="FL200" s="2510"/>
      <c r="FM200" s="2510"/>
      <c r="FN200" s="2510"/>
      <c r="FO200" s="2510"/>
      <c r="FP200" s="2510"/>
      <c r="FQ200" s="2510"/>
      <c r="FR200" s="2510"/>
      <c r="FS200" s="2510"/>
      <c r="FT200" s="2510"/>
      <c r="FU200" s="2510"/>
      <c r="FV200" s="2510"/>
      <c r="FW200" s="2510"/>
      <c r="FX200" s="2510"/>
      <c r="FY200" s="2510"/>
      <c r="FZ200" s="2510"/>
      <c r="GA200" s="2510"/>
      <c r="GB200" s="2510"/>
      <c r="GC200" s="2510"/>
      <c r="GD200" s="2510"/>
      <c r="GE200" s="2510"/>
      <c r="GF200" s="2510"/>
      <c r="GG200" s="2510"/>
      <c r="GH200" s="2510"/>
      <c r="GI200" s="2510"/>
      <c r="GJ200" s="2510"/>
      <c r="GK200" s="2510"/>
      <c r="GL200" s="2510"/>
      <c r="GM200" s="2510"/>
      <c r="GN200" s="2510"/>
      <c r="GO200" s="2510"/>
      <c r="GP200" s="2510"/>
      <c r="GQ200" s="2510"/>
      <c r="GR200" s="2510"/>
      <c r="GS200" s="2510"/>
      <c r="GT200" s="2510"/>
      <c r="GU200" s="2510"/>
      <c r="GV200" s="2510"/>
      <c r="GW200" s="2510"/>
      <c r="GX200" s="2510"/>
      <c r="GY200" s="2510"/>
      <c r="GZ200" s="2510"/>
      <c r="HA200" s="2510"/>
      <c r="HB200" s="2510"/>
      <c r="HC200" s="2510"/>
      <c r="HD200" s="2510"/>
      <c r="HE200" s="2510"/>
      <c r="HF200" s="2510"/>
      <c r="HG200" s="2510"/>
      <c r="HH200" s="2510"/>
      <c r="HI200" s="2510"/>
      <c r="HJ200" s="2510"/>
      <c r="HK200" s="2510"/>
      <c r="HL200" s="2510"/>
      <c r="HM200" s="2510"/>
      <c r="HN200" s="2510"/>
      <c r="HO200" s="2510"/>
      <c r="HP200" s="2510"/>
      <c r="HQ200" s="2510"/>
      <c r="HR200" s="2510"/>
      <c r="HS200" s="2510"/>
      <c r="HT200" s="2510"/>
      <c r="HU200" s="2510"/>
      <c r="HV200" s="2510"/>
      <c r="HW200" s="2510"/>
      <c r="HX200" s="2510"/>
      <c r="HY200" s="2510"/>
      <c r="HZ200" s="2510"/>
      <c r="IA200" s="2510"/>
      <c r="IB200" s="2510"/>
      <c r="IC200" s="2510"/>
      <c r="ID200" s="2510"/>
      <c r="IE200" s="2510"/>
      <c r="IF200" s="2510"/>
      <c r="IG200" s="2510"/>
      <c r="IH200" s="2510"/>
      <c r="II200" s="2510"/>
      <c r="IJ200" s="2510"/>
      <c r="IK200" s="2510"/>
      <c r="IL200" s="2510"/>
      <c r="IM200" s="2510"/>
      <c r="IN200" s="2510"/>
      <c r="IO200" s="2510"/>
      <c r="IP200" s="2510"/>
      <c r="IQ200" s="2510"/>
      <c r="IR200" s="2510"/>
      <c r="IS200" s="2510"/>
      <c r="IT200" s="2510"/>
      <c r="IU200" s="2510"/>
      <c r="IV200" s="2510"/>
      <c r="IW200" s="2510"/>
      <c r="IX200" s="2510"/>
      <c r="IY200" s="2510"/>
      <c r="IZ200" s="2510"/>
      <c r="JA200" s="2510"/>
      <c r="JB200" s="2510"/>
      <c r="JC200" s="2510"/>
      <c r="JD200" s="2510"/>
      <c r="JE200" s="2510"/>
      <c r="JF200" s="2510"/>
      <c r="JG200" s="2479"/>
      <c r="JH200" s="1233"/>
      <c r="JI200" s="2248" t="s">
        <v>5569</v>
      </c>
      <c r="JJ200" s="2248" t="s">
        <v>6124</v>
      </c>
    </row>
    <row ht="33.75" r="201" spans="1:270" x14ac:dyDescent="0.2">
      <c r="A201" s="1128">
        <v>51</v>
      </c>
      <c r="B201" s="1347" t="str">
        <f si="12" t="shared"/>
        <v/>
      </c>
      <c r="C201" s="1278" t="s">
        <v>3228</v>
      </c>
      <c r="D201" s="1350" t="s">
        <v>5281</v>
      </c>
      <c r="E201" s="2511"/>
      <c r="F201" s="2511"/>
      <c r="G201" s="2511">
        <v>233</v>
      </c>
      <c r="H201" s="2511">
        <f>H199</f>
        <v>387</v>
      </c>
      <c r="I201" s="2511">
        <v>483</v>
      </c>
      <c r="J201" s="2511">
        <v>1700</v>
      </c>
      <c r="K201" s="2511"/>
      <c r="L201" s="2509"/>
      <c r="M201" s="2509"/>
      <c r="N201" s="2509"/>
      <c r="O201" s="2509"/>
      <c r="P201" s="2509"/>
      <c r="Q201" s="2509"/>
      <c r="R201" s="2510"/>
      <c r="S201" s="2510"/>
      <c r="T201" s="2510"/>
      <c r="U201" s="2510"/>
      <c r="V201" s="2510"/>
      <c r="W201" s="2510"/>
      <c r="X201" s="2510"/>
      <c r="Y201" s="2510"/>
      <c r="Z201" s="2510"/>
      <c r="AA201" s="2510"/>
      <c r="AB201" s="2510"/>
      <c r="AC201" s="2510"/>
      <c r="AD201" s="2510"/>
      <c r="AE201" s="2510"/>
      <c r="AF201" s="2510"/>
      <c r="AG201" s="2510"/>
      <c r="AH201" s="2510"/>
      <c r="AI201" s="2510"/>
      <c r="AJ201" s="2510"/>
      <c r="AK201" s="2510"/>
      <c r="AL201" s="2510"/>
      <c r="AM201" s="2510"/>
      <c r="AN201" s="2510"/>
      <c r="AO201" s="2510"/>
      <c r="AP201" s="2510"/>
      <c r="AQ201" s="2510"/>
      <c r="AR201" s="2510"/>
      <c r="AS201" s="2510"/>
      <c r="AT201" s="2510"/>
      <c r="AU201" s="2510"/>
      <c r="AV201" s="2510"/>
      <c r="AW201" s="2510"/>
      <c r="AX201" s="2510"/>
      <c r="AY201" s="2510"/>
      <c r="AZ201" s="2510"/>
      <c r="BA201" s="2510"/>
      <c r="BB201" s="2510"/>
      <c r="BC201" s="2510"/>
      <c r="BD201" s="2510"/>
      <c r="BE201" s="2510"/>
      <c r="BF201" s="2510"/>
      <c r="BG201" s="2510"/>
      <c r="BH201" s="2510"/>
      <c r="BI201" s="2510"/>
      <c r="BJ201" s="2510"/>
      <c r="BK201" s="2510"/>
      <c r="BL201" s="2510"/>
      <c r="BM201" s="2510"/>
      <c r="BN201" s="2510"/>
      <c r="BO201" s="2510"/>
      <c r="BP201" s="2510"/>
      <c r="BQ201" s="2510"/>
      <c r="BR201" s="2510"/>
      <c r="BS201" s="2510"/>
      <c r="BT201" s="2510"/>
      <c r="BU201" s="2510"/>
      <c r="BV201" s="2510"/>
      <c r="BW201" s="2510"/>
      <c r="BX201" s="2510"/>
      <c r="BY201" s="2510"/>
      <c r="BZ201" s="2510"/>
      <c r="CA201" s="2510"/>
      <c r="CB201" s="2510"/>
      <c r="CC201" s="2510"/>
      <c r="CD201" s="2510"/>
      <c r="CE201" s="2510"/>
      <c r="CF201" s="2510"/>
      <c r="CG201" s="2510"/>
      <c r="CH201" s="2510"/>
      <c r="CI201" s="2510"/>
      <c r="CJ201" s="2510"/>
      <c r="CK201" s="2510"/>
      <c r="CL201" s="2510"/>
      <c r="CM201" s="2510"/>
      <c r="CN201" s="2510"/>
      <c r="CO201" s="2510"/>
      <c r="CP201" s="2510"/>
      <c r="CQ201" s="2510"/>
      <c r="CR201" s="2510"/>
      <c r="CS201" s="2510"/>
      <c r="CT201" s="2510"/>
      <c r="CU201" s="2510"/>
      <c r="CV201" s="2510"/>
      <c r="CW201" s="2510"/>
      <c r="CX201" s="2510"/>
      <c r="CY201" s="2510"/>
      <c r="CZ201" s="2510"/>
      <c r="DA201" s="2510"/>
      <c r="DB201" s="2510"/>
      <c r="DC201" s="2510"/>
      <c r="DD201" s="2510"/>
      <c r="DE201" s="2510"/>
      <c r="DF201" s="2510"/>
      <c r="DG201" s="2510"/>
      <c r="DH201" s="2510"/>
      <c r="DI201" s="2510"/>
      <c r="DJ201" s="2510"/>
      <c r="DK201" s="2510"/>
      <c r="DL201" s="2510"/>
      <c r="DM201" s="2510"/>
      <c r="DN201" s="2510"/>
      <c r="DO201" s="2510"/>
      <c r="DP201" s="2510"/>
      <c r="DQ201" s="2510"/>
      <c r="DR201" s="2510"/>
      <c r="DS201" s="2510"/>
      <c r="DT201" s="2510"/>
      <c r="DU201" s="2510"/>
      <c r="DV201" s="2510"/>
      <c r="DW201" s="2510"/>
      <c r="DX201" s="2510"/>
      <c r="DY201" s="2510"/>
      <c r="DZ201" s="2510"/>
      <c r="EA201" s="2510"/>
      <c r="EB201" s="2510"/>
      <c r="EC201" s="2510"/>
      <c r="ED201" s="2510"/>
      <c r="EE201" s="2510"/>
      <c r="EF201" s="2510"/>
      <c r="EG201" s="2510"/>
      <c r="EH201" s="2510"/>
      <c r="EI201" s="2510"/>
      <c r="EJ201" s="2510"/>
      <c r="EK201" s="2510"/>
      <c r="EL201" s="2510"/>
      <c r="EM201" s="2510"/>
      <c r="EN201" s="2510"/>
      <c r="EO201" s="2510"/>
      <c r="EP201" s="2510"/>
      <c r="EQ201" s="2510"/>
      <c r="ER201" s="2510"/>
      <c r="ES201" s="2510"/>
      <c r="ET201" s="2510"/>
      <c r="EU201" s="2510"/>
      <c r="EV201" s="2510"/>
      <c r="EW201" s="2510"/>
      <c r="EX201" s="2510"/>
      <c r="EY201" s="2510"/>
      <c r="EZ201" s="2510"/>
      <c r="FA201" s="2510"/>
      <c r="FB201" s="2510"/>
      <c r="FC201" s="2510"/>
      <c r="FD201" s="2510"/>
      <c r="FE201" s="2510"/>
      <c r="FF201" s="2510"/>
      <c r="FG201" s="2510"/>
      <c r="FH201" s="2510"/>
      <c r="FI201" s="2510"/>
      <c r="FJ201" s="2510"/>
      <c r="FK201" s="2510"/>
      <c r="FL201" s="2510"/>
      <c r="FM201" s="2510"/>
      <c r="FN201" s="2510"/>
      <c r="FO201" s="2510"/>
      <c r="FP201" s="2510"/>
      <c r="FQ201" s="2510"/>
      <c r="FR201" s="2510"/>
      <c r="FS201" s="2510"/>
      <c r="FT201" s="2510"/>
      <c r="FU201" s="2510"/>
      <c r="FV201" s="2510"/>
      <c r="FW201" s="2510"/>
      <c r="FX201" s="2510"/>
      <c r="FY201" s="2510"/>
      <c r="FZ201" s="2510"/>
      <c r="GA201" s="2510"/>
      <c r="GB201" s="2510"/>
      <c r="GC201" s="2510"/>
      <c r="GD201" s="2510"/>
      <c r="GE201" s="2510"/>
      <c r="GF201" s="2510"/>
      <c r="GG201" s="2510"/>
      <c r="GH201" s="2510"/>
      <c r="GI201" s="2510"/>
      <c r="GJ201" s="2510"/>
      <c r="GK201" s="2510"/>
      <c r="GL201" s="2510"/>
      <c r="GM201" s="2510"/>
      <c r="GN201" s="2510"/>
      <c r="GO201" s="2510"/>
      <c r="GP201" s="2510"/>
      <c r="GQ201" s="2510"/>
      <c r="GR201" s="2510"/>
      <c r="GS201" s="2510"/>
      <c r="GT201" s="2510"/>
      <c r="GU201" s="2510"/>
      <c r="GV201" s="2510"/>
      <c r="GW201" s="2510"/>
      <c r="GX201" s="2510"/>
      <c r="GY201" s="2510"/>
      <c r="GZ201" s="2510"/>
      <c r="HA201" s="2510"/>
      <c r="HB201" s="2510"/>
      <c r="HC201" s="2510"/>
      <c r="HD201" s="2510"/>
      <c r="HE201" s="2510"/>
      <c r="HF201" s="2510"/>
      <c r="HG201" s="2510"/>
      <c r="HH201" s="2510"/>
      <c r="HI201" s="2510"/>
      <c r="HJ201" s="2510"/>
      <c r="HK201" s="2510"/>
      <c r="HL201" s="2510"/>
      <c r="HM201" s="2510"/>
      <c r="HN201" s="2510"/>
      <c r="HO201" s="2510"/>
      <c r="HP201" s="2510"/>
      <c r="HQ201" s="2510"/>
      <c r="HR201" s="2510"/>
      <c r="HS201" s="2510"/>
      <c r="HT201" s="2510"/>
      <c r="HU201" s="2510"/>
      <c r="HV201" s="2510"/>
      <c r="HW201" s="2510"/>
      <c r="HX201" s="2510"/>
      <c r="HY201" s="2510"/>
      <c r="HZ201" s="2510"/>
      <c r="IA201" s="2510"/>
      <c r="IB201" s="2510"/>
      <c r="IC201" s="2510"/>
      <c r="ID201" s="2510"/>
      <c r="IE201" s="2510"/>
      <c r="IF201" s="2510"/>
      <c r="IG201" s="2510"/>
      <c r="IH201" s="2510"/>
      <c r="II201" s="2510"/>
      <c r="IJ201" s="2510"/>
      <c r="IK201" s="2510"/>
      <c r="IL201" s="2510"/>
      <c r="IM201" s="2510"/>
      <c r="IN201" s="2510"/>
      <c r="IO201" s="2510"/>
      <c r="IP201" s="2510"/>
      <c r="IQ201" s="2510"/>
      <c r="IR201" s="2510"/>
      <c r="IS201" s="2510"/>
      <c r="IT201" s="2510"/>
      <c r="IU201" s="2510"/>
      <c r="IV201" s="2510"/>
      <c r="IW201" s="2510"/>
      <c r="IX201" s="2510"/>
      <c r="IY201" s="2510"/>
      <c r="IZ201" s="2510"/>
      <c r="JA201" s="2510"/>
      <c r="JB201" s="2510"/>
      <c r="JC201" s="2510"/>
      <c r="JD201" s="2510"/>
      <c r="JE201" s="2510"/>
      <c r="JF201" s="2510"/>
      <c r="JG201" s="2479"/>
      <c r="JH201" s="1233"/>
      <c r="JI201" s="2248" t="s">
        <v>5570</v>
      </c>
      <c r="JJ201" s="2248" t="s">
        <v>6108</v>
      </c>
    </row>
    <row ht="33.75" r="202" spans="1:270" x14ac:dyDescent="0.2">
      <c r="A202" s="1128">
        <v>52</v>
      </c>
      <c r="B202" s="1347" t="str">
        <f si="12" t="shared"/>
        <v/>
      </c>
      <c r="C202" s="1524" t="s">
        <v>3229</v>
      </c>
      <c r="D202" s="1350" t="s">
        <v>5282</v>
      </c>
      <c r="E202" s="2518"/>
      <c r="F202" s="2518">
        <v>2700</v>
      </c>
      <c r="G202" s="2518"/>
      <c r="H202" s="2389">
        <v>2000</v>
      </c>
      <c r="I202" s="2389">
        <v>4645</v>
      </c>
      <c r="J202" s="2389">
        <v>7374</v>
      </c>
      <c r="K202" s="2389">
        <v>1244496</v>
      </c>
      <c r="L202" s="2583"/>
      <c r="M202" s="2583"/>
      <c r="N202" s="2583"/>
      <c r="O202" s="2583"/>
      <c r="P202" s="2583"/>
      <c r="Q202" s="2583"/>
      <c r="R202" s="2584"/>
      <c r="S202" s="2584"/>
      <c r="T202" s="2584"/>
      <c r="U202" s="2584"/>
      <c r="V202" s="2584"/>
      <c r="W202" s="2584"/>
      <c r="X202" s="2584"/>
      <c r="Y202" s="2584"/>
      <c r="Z202" s="2584"/>
      <c r="AA202" s="2584"/>
      <c r="AB202" s="2584"/>
      <c r="AC202" s="2584"/>
      <c r="AD202" s="2584"/>
      <c r="AE202" s="2584"/>
      <c r="AF202" s="2584"/>
      <c r="AG202" s="2584"/>
      <c r="AH202" s="2584"/>
      <c r="AI202" s="2584"/>
      <c r="AJ202" s="2584"/>
      <c r="AK202" s="2584"/>
      <c r="AL202" s="2584"/>
      <c r="AM202" s="2584"/>
      <c r="AN202" s="2584"/>
      <c r="AO202" s="2584"/>
      <c r="AP202" s="2584"/>
      <c r="AQ202" s="2584"/>
      <c r="AR202" s="2584"/>
      <c r="AS202" s="2584"/>
      <c r="AT202" s="2584"/>
      <c r="AU202" s="2584"/>
      <c r="AV202" s="2584"/>
      <c r="AW202" s="2584"/>
      <c r="AX202" s="2584"/>
      <c r="AY202" s="2584"/>
      <c r="AZ202" s="2584"/>
      <c r="BA202" s="2584"/>
      <c r="BB202" s="2584"/>
      <c r="BC202" s="2584"/>
      <c r="BD202" s="2584"/>
      <c r="BE202" s="2584"/>
      <c r="BF202" s="2584"/>
      <c r="BG202" s="2584"/>
      <c r="BH202" s="2584"/>
      <c r="BI202" s="2584"/>
      <c r="BJ202" s="2584"/>
      <c r="BK202" s="2584"/>
      <c r="BL202" s="2584"/>
      <c r="BM202" s="2584"/>
      <c r="BN202" s="2584"/>
      <c r="BO202" s="2584"/>
      <c r="BP202" s="2584"/>
      <c r="BQ202" s="2584"/>
      <c r="BR202" s="2584"/>
      <c r="BS202" s="2584"/>
      <c r="BT202" s="2584"/>
      <c r="BU202" s="2584"/>
      <c r="BV202" s="2584"/>
      <c r="BW202" s="2584"/>
      <c r="BX202" s="2584"/>
      <c r="BY202" s="2584"/>
      <c r="BZ202" s="2584"/>
      <c r="CA202" s="2584"/>
      <c r="CB202" s="2584"/>
      <c r="CC202" s="2584"/>
      <c r="CD202" s="2584"/>
      <c r="CE202" s="2584"/>
      <c r="CF202" s="2584"/>
      <c r="CG202" s="2584"/>
      <c r="CH202" s="2584"/>
      <c r="CI202" s="2584"/>
      <c r="CJ202" s="2584"/>
      <c r="CK202" s="2584"/>
      <c r="CL202" s="2584"/>
      <c r="CM202" s="2584"/>
      <c r="CN202" s="2584"/>
      <c r="CO202" s="2584"/>
      <c r="CP202" s="2584"/>
      <c r="CQ202" s="2584"/>
      <c r="CR202" s="2584"/>
      <c r="CS202" s="2584"/>
      <c r="CT202" s="2584"/>
      <c r="CU202" s="2584"/>
      <c r="CV202" s="2584"/>
      <c r="CW202" s="2584"/>
      <c r="CX202" s="2584"/>
      <c r="CY202" s="2584"/>
      <c r="CZ202" s="2584"/>
      <c r="DA202" s="2584"/>
      <c r="DB202" s="2584"/>
      <c r="DC202" s="2584"/>
      <c r="DD202" s="2584"/>
      <c r="DE202" s="2584"/>
      <c r="DF202" s="2584"/>
      <c r="DG202" s="2584"/>
      <c r="DH202" s="2584"/>
      <c r="DI202" s="2584"/>
      <c r="DJ202" s="2584"/>
      <c r="DK202" s="2584"/>
      <c r="DL202" s="2584"/>
      <c r="DM202" s="2584"/>
      <c r="DN202" s="2584"/>
      <c r="DO202" s="2584"/>
      <c r="DP202" s="2584"/>
      <c r="DQ202" s="2584"/>
      <c r="DR202" s="2584"/>
      <c r="DS202" s="2584"/>
      <c r="DT202" s="2584"/>
      <c r="DU202" s="2584"/>
      <c r="DV202" s="2584"/>
      <c r="DW202" s="2584"/>
      <c r="DX202" s="2584"/>
      <c r="DY202" s="2584"/>
      <c r="DZ202" s="2584"/>
      <c r="EA202" s="2584"/>
      <c r="EB202" s="2584"/>
      <c r="EC202" s="2584"/>
      <c r="ED202" s="2584"/>
      <c r="EE202" s="2584"/>
      <c r="EF202" s="2584"/>
      <c r="EG202" s="2584"/>
      <c r="EH202" s="2584"/>
      <c r="EI202" s="2584"/>
      <c r="EJ202" s="2584"/>
      <c r="EK202" s="2584"/>
      <c r="EL202" s="2584"/>
      <c r="EM202" s="2584"/>
      <c r="EN202" s="2584"/>
      <c r="EO202" s="2584"/>
      <c r="EP202" s="2584"/>
      <c r="EQ202" s="2584"/>
      <c r="ER202" s="2584"/>
      <c r="ES202" s="2584"/>
      <c r="ET202" s="2584"/>
      <c r="EU202" s="2584"/>
      <c r="EV202" s="2584"/>
      <c r="EW202" s="2584"/>
      <c r="EX202" s="2584"/>
      <c r="EY202" s="2584"/>
      <c r="EZ202" s="2584"/>
      <c r="FA202" s="2584"/>
      <c r="FB202" s="2584"/>
      <c r="FC202" s="2584"/>
      <c r="FD202" s="2584"/>
      <c r="FE202" s="2584"/>
      <c r="FF202" s="2584"/>
      <c r="FG202" s="2584"/>
      <c r="FH202" s="2584"/>
      <c r="FI202" s="2584"/>
      <c r="FJ202" s="2584"/>
      <c r="FK202" s="2584"/>
      <c r="FL202" s="2584"/>
      <c r="FM202" s="2584"/>
      <c r="FN202" s="2584"/>
      <c r="FO202" s="2584"/>
      <c r="FP202" s="2584"/>
      <c r="FQ202" s="2584"/>
      <c r="FR202" s="2584"/>
      <c r="FS202" s="2584"/>
      <c r="FT202" s="2584"/>
      <c r="FU202" s="2584"/>
      <c r="FV202" s="2584"/>
      <c r="FW202" s="2584"/>
      <c r="FX202" s="2584"/>
      <c r="FY202" s="2584"/>
      <c r="FZ202" s="2584"/>
      <c r="GA202" s="2584"/>
      <c r="GB202" s="2584"/>
      <c r="GC202" s="2584"/>
      <c r="GD202" s="2584"/>
      <c r="GE202" s="2584"/>
      <c r="GF202" s="2584"/>
      <c r="GG202" s="2584"/>
      <c r="GH202" s="2584"/>
      <c r="GI202" s="2584"/>
      <c r="GJ202" s="2584"/>
      <c r="GK202" s="2584"/>
      <c r="GL202" s="2584"/>
      <c r="GM202" s="2584"/>
      <c r="GN202" s="2584"/>
      <c r="GO202" s="2584"/>
      <c r="GP202" s="2584"/>
      <c r="GQ202" s="2584"/>
      <c r="GR202" s="2584"/>
      <c r="GS202" s="2584"/>
      <c r="GT202" s="2584"/>
      <c r="GU202" s="2584"/>
      <c r="GV202" s="2584"/>
      <c r="GW202" s="2584"/>
      <c r="GX202" s="2584"/>
      <c r="GY202" s="2584"/>
      <c r="GZ202" s="2584"/>
      <c r="HA202" s="2584"/>
      <c r="HB202" s="2584"/>
      <c r="HC202" s="2584"/>
      <c r="HD202" s="2584"/>
      <c r="HE202" s="2584"/>
      <c r="HF202" s="2584"/>
      <c r="HG202" s="2584"/>
      <c r="HH202" s="2584"/>
      <c r="HI202" s="2584"/>
      <c r="HJ202" s="2584"/>
      <c r="HK202" s="2584"/>
      <c r="HL202" s="2584"/>
      <c r="HM202" s="2584"/>
      <c r="HN202" s="2584"/>
      <c r="HO202" s="2584"/>
      <c r="HP202" s="2584"/>
      <c r="HQ202" s="2584"/>
      <c r="HR202" s="2584"/>
      <c r="HS202" s="2584"/>
      <c r="HT202" s="2584"/>
      <c r="HU202" s="2584"/>
      <c r="HV202" s="2584"/>
      <c r="HW202" s="2584"/>
      <c r="HX202" s="2584"/>
      <c r="HY202" s="2584"/>
      <c r="HZ202" s="2584"/>
      <c r="IA202" s="2584"/>
      <c r="IB202" s="2584"/>
      <c r="IC202" s="2584"/>
      <c r="ID202" s="2584"/>
      <c r="IE202" s="2584"/>
      <c r="IF202" s="2584"/>
      <c r="IG202" s="2584"/>
      <c r="IH202" s="2584"/>
      <c r="II202" s="2584"/>
      <c r="IJ202" s="2584"/>
      <c r="IK202" s="2584"/>
      <c r="IL202" s="2584"/>
      <c r="IM202" s="2584"/>
      <c r="IN202" s="2584"/>
      <c r="IO202" s="2584"/>
      <c r="IP202" s="2584"/>
      <c r="IQ202" s="2584"/>
      <c r="IR202" s="2584"/>
      <c r="IS202" s="2584"/>
      <c r="IT202" s="2584"/>
      <c r="IU202" s="2584"/>
      <c r="IV202" s="2584"/>
      <c r="IW202" s="2584"/>
      <c r="IX202" s="2584"/>
      <c r="IY202" s="2584"/>
      <c r="IZ202" s="2584"/>
      <c r="JA202" s="2584"/>
      <c r="JB202" s="2584"/>
      <c r="JC202" s="2584"/>
      <c r="JD202" s="2584"/>
      <c r="JE202" s="2584"/>
      <c r="JF202" s="2584"/>
      <c r="JG202" s="2585"/>
      <c r="JH202" s="1233"/>
      <c r="JI202" s="2248" t="s">
        <v>5571</v>
      </c>
      <c r="JJ202" s="2248" t="s">
        <v>6108</v>
      </c>
    </row>
    <row ht="33.75" r="203" spans="1:270" x14ac:dyDescent="0.2">
      <c r="A203" s="1128">
        <v>53</v>
      </c>
      <c r="B203" s="1347" t="str">
        <f si="12" t="shared"/>
        <v/>
      </c>
      <c r="C203" s="1524" t="s">
        <v>3230</v>
      </c>
      <c r="D203" s="1350" t="s">
        <v>5283</v>
      </c>
      <c r="E203" s="2523">
        <f ref="E203:K203" si="18" t="shared">MAX(0,E192-(E201+E202))</f>
        <v>0</v>
      </c>
      <c r="F203" s="2523">
        <f si="18" t="shared"/>
        <v>5703</v>
      </c>
      <c r="G203" s="2523">
        <f si="18" t="shared"/>
        <v>6142</v>
      </c>
      <c r="H203" s="2523">
        <f si="18" t="shared"/>
        <v>6966</v>
      </c>
      <c r="I203" s="2523">
        <f si="18" t="shared"/>
        <v>0</v>
      </c>
      <c r="J203" s="2523">
        <f si="18" t="shared"/>
        <v>30702</v>
      </c>
      <c r="K203" s="2523">
        <f si="18" t="shared"/>
        <v>0</v>
      </c>
      <c r="L203" s="2524"/>
      <c r="M203" s="2524"/>
      <c r="N203" s="2524"/>
      <c r="O203" s="2524"/>
      <c r="P203" s="2524"/>
      <c r="Q203" s="2524"/>
      <c r="R203" s="2525"/>
      <c r="S203" s="2525"/>
      <c r="T203" s="2525"/>
      <c r="U203" s="2525"/>
      <c r="V203" s="2525"/>
      <c r="W203" s="2525"/>
      <c r="X203" s="2525"/>
      <c r="Y203" s="2525"/>
      <c r="Z203" s="2525"/>
      <c r="AA203" s="2525"/>
      <c r="AB203" s="2525"/>
      <c r="AC203" s="2525"/>
      <c r="AD203" s="2525"/>
      <c r="AE203" s="2525"/>
      <c r="AF203" s="2525"/>
      <c r="AG203" s="2525"/>
      <c r="AH203" s="2525"/>
      <c r="AI203" s="2525"/>
      <c r="AJ203" s="2525"/>
      <c r="AK203" s="2525"/>
      <c r="AL203" s="2525"/>
      <c r="AM203" s="2525"/>
      <c r="AN203" s="2525"/>
      <c r="AO203" s="2525"/>
      <c r="AP203" s="2525"/>
      <c r="AQ203" s="2525"/>
      <c r="AR203" s="2525"/>
      <c r="AS203" s="2525"/>
      <c r="AT203" s="2525"/>
      <c r="AU203" s="2525"/>
      <c r="AV203" s="2525"/>
      <c r="AW203" s="2525"/>
      <c r="AX203" s="2525"/>
      <c r="AY203" s="2525"/>
      <c r="AZ203" s="2525"/>
      <c r="BA203" s="2525"/>
      <c r="BB203" s="2525"/>
      <c r="BC203" s="2525"/>
      <c r="BD203" s="2525"/>
      <c r="BE203" s="2525"/>
      <c r="BF203" s="2525"/>
      <c r="BG203" s="2525"/>
      <c r="BH203" s="2525"/>
      <c r="BI203" s="2525"/>
      <c r="BJ203" s="2525"/>
      <c r="BK203" s="2525"/>
      <c r="BL203" s="2525"/>
      <c r="BM203" s="2525"/>
      <c r="BN203" s="2525"/>
      <c r="BO203" s="2525"/>
      <c r="BP203" s="2525"/>
      <c r="BQ203" s="2525"/>
      <c r="BR203" s="2525"/>
      <c r="BS203" s="2525"/>
      <c r="BT203" s="2525"/>
      <c r="BU203" s="2525"/>
      <c r="BV203" s="2525"/>
      <c r="BW203" s="2525"/>
      <c r="BX203" s="2525"/>
      <c r="BY203" s="2525"/>
      <c r="BZ203" s="2525"/>
      <c r="CA203" s="2525"/>
      <c r="CB203" s="2525"/>
      <c r="CC203" s="2525"/>
      <c r="CD203" s="2525"/>
      <c r="CE203" s="2525"/>
      <c r="CF203" s="2525"/>
      <c r="CG203" s="2525"/>
      <c r="CH203" s="2525"/>
      <c r="CI203" s="2525"/>
      <c r="CJ203" s="2525"/>
      <c r="CK203" s="2525"/>
      <c r="CL203" s="2525"/>
      <c r="CM203" s="2525"/>
      <c r="CN203" s="2525"/>
      <c r="CO203" s="2525"/>
      <c r="CP203" s="2525"/>
      <c r="CQ203" s="2525"/>
      <c r="CR203" s="2525"/>
      <c r="CS203" s="2525"/>
      <c r="CT203" s="2525"/>
      <c r="CU203" s="2525"/>
      <c r="CV203" s="2525"/>
      <c r="CW203" s="2525"/>
      <c r="CX203" s="2525"/>
      <c r="CY203" s="2525"/>
      <c r="CZ203" s="2525"/>
      <c r="DA203" s="2525"/>
      <c r="DB203" s="2525"/>
      <c r="DC203" s="2525"/>
      <c r="DD203" s="2525"/>
      <c r="DE203" s="2525"/>
      <c r="DF203" s="2525"/>
      <c r="DG203" s="2525"/>
      <c r="DH203" s="2525"/>
      <c r="DI203" s="2525"/>
      <c r="DJ203" s="2525"/>
      <c r="DK203" s="2525"/>
      <c r="DL203" s="2525"/>
      <c r="DM203" s="2525"/>
      <c r="DN203" s="2525"/>
      <c r="DO203" s="2525"/>
      <c r="DP203" s="2525"/>
      <c r="DQ203" s="2525"/>
      <c r="DR203" s="2525"/>
      <c r="DS203" s="2525"/>
      <c r="DT203" s="2525"/>
      <c r="DU203" s="2525"/>
      <c r="DV203" s="2525"/>
      <c r="DW203" s="2525"/>
      <c r="DX203" s="2525"/>
      <c r="DY203" s="2525"/>
      <c r="DZ203" s="2525"/>
      <c r="EA203" s="2525"/>
      <c r="EB203" s="2525"/>
      <c r="EC203" s="2525"/>
      <c r="ED203" s="2525"/>
      <c r="EE203" s="2525"/>
      <c r="EF203" s="2525"/>
      <c r="EG203" s="2525"/>
      <c r="EH203" s="2525"/>
      <c r="EI203" s="2525"/>
      <c r="EJ203" s="2525"/>
      <c r="EK203" s="2525"/>
      <c r="EL203" s="2525"/>
      <c r="EM203" s="2525"/>
      <c r="EN203" s="2525"/>
      <c r="EO203" s="2525"/>
      <c r="EP203" s="2525"/>
      <c r="EQ203" s="2525"/>
      <c r="ER203" s="2525"/>
      <c r="ES203" s="2525"/>
      <c r="ET203" s="2525"/>
      <c r="EU203" s="2525"/>
      <c r="EV203" s="2525"/>
      <c r="EW203" s="2525"/>
      <c r="EX203" s="2525"/>
      <c r="EY203" s="2525"/>
      <c r="EZ203" s="2525"/>
      <c r="FA203" s="2525"/>
      <c r="FB203" s="2525"/>
      <c r="FC203" s="2525"/>
      <c r="FD203" s="2525"/>
      <c r="FE203" s="2525"/>
      <c r="FF203" s="2525"/>
      <c r="FG203" s="2525"/>
      <c r="FH203" s="2525"/>
      <c r="FI203" s="2525"/>
      <c r="FJ203" s="2525"/>
      <c r="FK203" s="2525"/>
      <c r="FL203" s="2525"/>
      <c r="FM203" s="2525"/>
      <c r="FN203" s="2525"/>
      <c r="FO203" s="2525"/>
      <c r="FP203" s="2525"/>
      <c r="FQ203" s="2525"/>
      <c r="FR203" s="2525"/>
      <c r="FS203" s="2525"/>
      <c r="FT203" s="2525"/>
      <c r="FU203" s="2525"/>
      <c r="FV203" s="2525"/>
      <c r="FW203" s="2525"/>
      <c r="FX203" s="2525"/>
      <c r="FY203" s="2525"/>
      <c r="FZ203" s="2525"/>
      <c r="GA203" s="2525"/>
      <c r="GB203" s="2525"/>
      <c r="GC203" s="2525"/>
      <c r="GD203" s="2525"/>
      <c r="GE203" s="2525"/>
      <c r="GF203" s="2525"/>
      <c r="GG203" s="2525"/>
      <c r="GH203" s="2525"/>
      <c r="GI203" s="2525"/>
      <c r="GJ203" s="2525"/>
      <c r="GK203" s="2525"/>
      <c r="GL203" s="2525"/>
      <c r="GM203" s="2525"/>
      <c r="GN203" s="2525"/>
      <c r="GO203" s="2525"/>
      <c r="GP203" s="2525"/>
      <c r="GQ203" s="2525"/>
      <c r="GR203" s="2525"/>
      <c r="GS203" s="2525"/>
      <c r="GT203" s="2525"/>
      <c r="GU203" s="2525"/>
      <c r="GV203" s="2525"/>
      <c r="GW203" s="2525"/>
      <c r="GX203" s="2525"/>
      <c r="GY203" s="2525"/>
      <c r="GZ203" s="2525"/>
      <c r="HA203" s="2525"/>
      <c r="HB203" s="2525"/>
      <c r="HC203" s="2525"/>
      <c r="HD203" s="2525"/>
      <c r="HE203" s="2525"/>
      <c r="HF203" s="2525"/>
      <c r="HG203" s="2525"/>
      <c r="HH203" s="2525"/>
      <c r="HI203" s="2525"/>
      <c r="HJ203" s="2525"/>
      <c r="HK203" s="2525"/>
      <c r="HL203" s="2525"/>
      <c r="HM203" s="2525"/>
      <c r="HN203" s="2525"/>
      <c r="HO203" s="2525"/>
      <c r="HP203" s="2525"/>
      <c r="HQ203" s="2525"/>
      <c r="HR203" s="2525"/>
      <c r="HS203" s="2525"/>
      <c r="HT203" s="2525"/>
      <c r="HU203" s="2525"/>
      <c r="HV203" s="2525"/>
      <c r="HW203" s="2525"/>
      <c r="HX203" s="2525"/>
      <c r="HY203" s="2525"/>
      <c r="HZ203" s="2525"/>
      <c r="IA203" s="2525"/>
      <c r="IB203" s="2525"/>
      <c r="IC203" s="2525"/>
      <c r="ID203" s="2525"/>
      <c r="IE203" s="2525"/>
      <c r="IF203" s="2525"/>
      <c r="IG203" s="2525"/>
      <c r="IH203" s="2525"/>
      <c r="II203" s="2525"/>
      <c r="IJ203" s="2525"/>
      <c r="IK203" s="2525"/>
      <c r="IL203" s="2525"/>
      <c r="IM203" s="2525"/>
      <c r="IN203" s="2525"/>
      <c r="IO203" s="2525"/>
      <c r="IP203" s="2525"/>
      <c r="IQ203" s="2525"/>
      <c r="IR203" s="2525"/>
      <c r="IS203" s="2525"/>
      <c r="IT203" s="2525"/>
      <c r="IU203" s="2525"/>
      <c r="IV203" s="2525"/>
      <c r="IW203" s="2525"/>
      <c r="IX203" s="2525"/>
      <c r="IY203" s="2525"/>
      <c r="IZ203" s="2525"/>
      <c r="JA203" s="2525"/>
      <c r="JB203" s="2525"/>
      <c r="JC203" s="2525"/>
      <c r="JD203" s="2525"/>
      <c r="JE203" s="2525"/>
      <c r="JF203" s="2525"/>
      <c r="JG203" s="2526"/>
      <c r="JH203" s="1233"/>
      <c r="JI203" s="2248" t="s">
        <v>5572</v>
      </c>
      <c r="JJ203" s="2248" t="s">
        <v>6124</v>
      </c>
    </row>
    <row r="204" spans="1:270" x14ac:dyDescent="0.2">
      <c r="A204" s="1128">
        <v>54</v>
      </c>
      <c r="B204" s="1347" t="str">
        <f si="12" t="shared"/>
        <v/>
      </c>
      <c r="C204" s="1278" t="s">
        <v>3231</v>
      </c>
      <c r="D204" s="1350" t="s">
        <v>5284</v>
      </c>
      <c r="E204" s="2514">
        <f>E193</f>
        <v>12465</v>
      </c>
      <c r="F204" s="2513"/>
      <c r="G204" s="2513"/>
      <c r="H204" s="2513"/>
      <c r="I204" s="2513"/>
      <c r="J204" s="2513"/>
      <c r="K204" s="2513"/>
      <c r="L204" s="2515"/>
      <c r="M204" s="2515"/>
      <c r="N204" s="2515"/>
      <c r="O204" s="2515"/>
      <c r="P204" s="2515"/>
      <c r="Q204" s="2515"/>
      <c r="R204" s="2516"/>
      <c r="S204" s="2516"/>
      <c r="T204" s="2516"/>
      <c r="U204" s="2516"/>
      <c r="V204" s="2516"/>
      <c r="W204" s="2516"/>
      <c r="X204" s="2516"/>
      <c r="Y204" s="2516"/>
      <c r="Z204" s="2516"/>
      <c r="AA204" s="2516"/>
      <c r="AB204" s="2516"/>
      <c r="AC204" s="2516"/>
      <c r="AD204" s="2516"/>
      <c r="AE204" s="2516"/>
      <c r="AF204" s="2516"/>
      <c r="AG204" s="2516"/>
      <c r="AH204" s="2516"/>
      <c r="AI204" s="2516"/>
      <c r="AJ204" s="2516"/>
      <c r="AK204" s="2516"/>
      <c r="AL204" s="2516"/>
      <c r="AM204" s="2516"/>
      <c r="AN204" s="2516"/>
      <c r="AO204" s="2516"/>
      <c r="AP204" s="2516"/>
      <c r="AQ204" s="2516"/>
      <c r="AR204" s="2516"/>
      <c r="AS204" s="2516"/>
      <c r="AT204" s="2516"/>
      <c r="AU204" s="2516"/>
      <c r="AV204" s="2516"/>
      <c r="AW204" s="2516"/>
      <c r="AX204" s="2516"/>
      <c r="AY204" s="2516"/>
      <c r="AZ204" s="2516"/>
      <c r="BA204" s="2516"/>
      <c r="BB204" s="2516"/>
      <c r="BC204" s="2516"/>
      <c r="BD204" s="2516"/>
      <c r="BE204" s="2516"/>
      <c r="BF204" s="2516"/>
      <c r="BG204" s="2516"/>
      <c r="BH204" s="2516"/>
      <c r="BI204" s="2516"/>
      <c r="BJ204" s="2516"/>
      <c r="BK204" s="2516"/>
      <c r="BL204" s="2516"/>
      <c r="BM204" s="2516"/>
      <c r="BN204" s="2516"/>
      <c r="BO204" s="2516"/>
      <c r="BP204" s="2516"/>
      <c r="BQ204" s="2516"/>
      <c r="BR204" s="2516"/>
      <c r="BS204" s="2516"/>
      <c r="BT204" s="2516"/>
      <c r="BU204" s="2516"/>
      <c r="BV204" s="2516"/>
      <c r="BW204" s="2516"/>
      <c r="BX204" s="2516"/>
      <c r="BY204" s="2516"/>
      <c r="BZ204" s="2516"/>
      <c r="CA204" s="2516"/>
      <c r="CB204" s="2516"/>
      <c r="CC204" s="2516"/>
      <c r="CD204" s="2516"/>
      <c r="CE204" s="2516"/>
      <c r="CF204" s="2516"/>
      <c r="CG204" s="2516"/>
      <c r="CH204" s="2516"/>
      <c r="CI204" s="2516"/>
      <c r="CJ204" s="2516"/>
      <c r="CK204" s="2516"/>
      <c r="CL204" s="2516"/>
      <c r="CM204" s="2516"/>
      <c r="CN204" s="2516"/>
      <c r="CO204" s="2516"/>
      <c r="CP204" s="2516"/>
      <c r="CQ204" s="2516"/>
      <c r="CR204" s="2516"/>
      <c r="CS204" s="2516"/>
      <c r="CT204" s="2516"/>
      <c r="CU204" s="2516"/>
      <c r="CV204" s="2516"/>
      <c r="CW204" s="2516"/>
      <c r="CX204" s="2516"/>
      <c r="CY204" s="2516"/>
      <c r="CZ204" s="2516"/>
      <c r="DA204" s="2516"/>
      <c r="DB204" s="2516"/>
      <c r="DC204" s="2516"/>
      <c r="DD204" s="2516"/>
      <c r="DE204" s="2516"/>
      <c r="DF204" s="2516"/>
      <c r="DG204" s="2516"/>
      <c r="DH204" s="2516"/>
      <c r="DI204" s="2516"/>
      <c r="DJ204" s="2516"/>
      <c r="DK204" s="2516"/>
      <c r="DL204" s="2516"/>
      <c r="DM204" s="2516"/>
      <c r="DN204" s="2516"/>
      <c r="DO204" s="2516"/>
      <c r="DP204" s="2516"/>
      <c r="DQ204" s="2516"/>
      <c r="DR204" s="2516"/>
      <c r="DS204" s="2516"/>
      <c r="DT204" s="2516"/>
      <c r="DU204" s="2516"/>
      <c r="DV204" s="2516"/>
      <c r="DW204" s="2516"/>
      <c r="DX204" s="2516"/>
      <c r="DY204" s="2516"/>
      <c r="DZ204" s="2516"/>
      <c r="EA204" s="2516"/>
      <c r="EB204" s="2516"/>
      <c r="EC204" s="2516"/>
      <c r="ED204" s="2516"/>
      <c r="EE204" s="2516"/>
      <c r="EF204" s="2516"/>
      <c r="EG204" s="2516"/>
      <c r="EH204" s="2516"/>
      <c r="EI204" s="2516"/>
      <c r="EJ204" s="2516"/>
      <c r="EK204" s="2516"/>
      <c r="EL204" s="2516"/>
      <c r="EM204" s="2516"/>
      <c r="EN204" s="2516"/>
      <c r="EO204" s="2516"/>
      <c r="EP204" s="2516"/>
      <c r="EQ204" s="2516"/>
      <c r="ER204" s="2516"/>
      <c r="ES204" s="2516"/>
      <c r="ET204" s="2516"/>
      <c r="EU204" s="2516"/>
      <c r="EV204" s="2516"/>
      <c r="EW204" s="2516"/>
      <c r="EX204" s="2516"/>
      <c r="EY204" s="2516"/>
      <c r="EZ204" s="2516"/>
      <c r="FA204" s="2516"/>
      <c r="FB204" s="2516"/>
      <c r="FC204" s="2516"/>
      <c r="FD204" s="2516"/>
      <c r="FE204" s="2516"/>
      <c r="FF204" s="2516"/>
      <c r="FG204" s="2516"/>
      <c r="FH204" s="2516"/>
      <c r="FI204" s="2516"/>
      <c r="FJ204" s="2516"/>
      <c r="FK204" s="2516"/>
      <c r="FL204" s="2516"/>
      <c r="FM204" s="2516"/>
      <c r="FN204" s="2516"/>
      <c r="FO204" s="2516"/>
      <c r="FP204" s="2516"/>
      <c r="FQ204" s="2516"/>
      <c r="FR204" s="2516"/>
      <c r="FS204" s="2516"/>
      <c r="FT204" s="2516"/>
      <c r="FU204" s="2516"/>
      <c r="FV204" s="2516"/>
      <c r="FW204" s="2516"/>
      <c r="FX204" s="2516"/>
      <c r="FY204" s="2516"/>
      <c r="FZ204" s="2516"/>
      <c r="GA204" s="2516"/>
      <c r="GB204" s="2516"/>
      <c r="GC204" s="2516"/>
      <c r="GD204" s="2516"/>
      <c r="GE204" s="2516"/>
      <c r="GF204" s="2516"/>
      <c r="GG204" s="2516"/>
      <c r="GH204" s="2516"/>
      <c r="GI204" s="2516"/>
      <c r="GJ204" s="2516"/>
      <c r="GK204" s="2516"/>
      <c r="GL204" s="2516"/>
      <c r="GM204" s="2516"/>
      <c r="GN204" s="2516"/>
      <c r="GO204" s="2516"/>
      <c r="GP204" s="2516"/>
      <c r="GQ204" s="2516"/>
      <c r="GR204" s="2516"/>
      <c r="GS204" s="2516"/>
      <c r="GT204" s="2516"/>
      <c r="GU204" s="2516"/>
      <c r="GV204" s="2516"/>
      <c r="GW204" s="2516"/>
      <c r="GX204" s="2516"/>
      <c r="GY204" s="2516"/>
      <c r="GZ204" s="2516"/>
      <c r="HA204" s="2516"/>
      <c r="HB204" s="2516"/>
      <c r="HC204" s="2516"/>
      <c r="HD204" s="2516"/>
      <c r="HE204" s="2516"/>
      <c r="HF204" s="2516"/>
      <c r="HG204" s="2516"/>
      <c r="HH204" s="2516"/>
      <c r="HI204" s="2516"/>
      <c r="HJ204" s="2516"/>
      <c r="HK204" s="2516"/>
      <c r="HL204" s="2516"/>
      <c r="HM204" s="2516"/>
      <c r="HN204" s="2516"/>
      <c r="HO204" s="2516"/>
      <c r="HP204" s="2516"/>
      <c r="HQ204" s="2516"/>
      <c r="HR204" s="2516"/>
      <c r="HS204" s="2516"/>
      <c r="HT204" s="2516"/>
      <c r="HU204" s="2516"/>
      <c r="HV204" s="2516"/>
      <c r="HW204" s="2516"/>
      <c r="HX204" s="2516"/>
      <c r="HY204" s="2516"/>
      <c r="HZ204" s="2516"/>
      <c r="IA204" s="2516"/>
      <c r="IB204" s="2516"/>
      <c r="IC204" s="2516"/>
      <c r="ID204" s="2516"/>
      <c r="IE204" s="2516"/>
      <c r="IF204" s="2516"/>
      <c r="IG204" s="2516"/>
      <c r="IH204" s="2516"/>
      <c r="II204" s="2516"/>
      <c r="IJ204" s="2516"/>
      <c r="IK204" s="2516"/>
      <c r="IL204" s="2516"/>
      <c r="IM204" s="2516"/>
      <c r="IN204" s="2516"/>
      <c r="IO204" s="2516"/>
      <c r="IP204" s="2516"/>
      <c r="IQ204" s="2516"/>
      <c r="IR204" s="2516"/>
      <c r="IS204" s="2516"/>
      <c r="IT204" s="2516"/>
      <c r="IU204" s="2516"/>
      <c r="IV204" s="2516"/>
      <c r="IW204" s="2516"/>
      <c r="IX204" s="2516"/>
      <c r="IY204" s="2516"/>
      <c r="IZ204" s="2516"/>
      <c r="JA204" s="2516"/>
      <c r="JB204" s="2516"/>
      <c r="JC204" s="2516"/>
      <c r="JD204" s="2516"/>
      <c r="JE204" s="2516"/>
      <c r="JF204" s="2516"/>
      <c r="JG204" s="2517"/>
      <c r="JH204" s="1233"/>
      <c r="JI204" s="2248" t="s">
        <v>5573</v>
      </c>
      <c r="JJ204" s="2248" t="s">
        <v>6124</v>
      </c>
    </row>
    <row ht="45" r="205" spans="1:270" x14ac:dyDescent="0.2">
      <c r="A205" s="1128">
        <v>55</v>
      </c>
      <c r="B205" s="1347" t="str">
        <f si="12" t="shared"/>
        <v/>
      </c>
      <c r="C205" s="1278" t="s">
        <v>3232</v>
      </c>
      <c r="D205" s="1350" t="s">
        <v>5285</v>
      </c>
      <c r="E205" s="2514">
        <f>IF(E204&gt;0,E199,0)</f>
        <v>22</v>
      </c>
      <c r="F205" s="2513"/>
      <c r="G205" s="2513"/>
      <c r="H205" s="2513"/>
      <c r="I205" s="2513"/>
      <c r="J205" s="2513"/>
      <c r="K205" s="2513"/>
      <c r="L205" s="2515"/>
      <c r="M205" s="2515"/>
      <c r="N205" s="2515"/>
      <c r="O205" s="2515"/>
      <c r="P205" s="2515"/>
      <c r="Q205" s="2515"/>
      <c r="R205" s="2516"/>
      <c r="S205" s="2516"/>
      <c r="T205" s="2516"/>
      <c r="U205" s="2516"/>
      <c r="V205" s="2516"/>
      <c r="W205" s="2516"/>
      <c r="X205" s="2516"/>
      <c r="Y205" s="2516"/>
      <c r="Z205" s="2516"/>
      <c r="AA205" s="2516"/>
      <c r="AB205" s="2516"/>
      <c r="AC205" s="2516"/>
      <c r="AD205" s="2516"/>
      <c r="AE205" s="2516"/>
      <c r="AF205" s="2516"/>
      <c r="AG205" s="2516"/>
      <c r="AH205" s="2516"/>
      <c r="AI205" s="2516"/>
      <c r="AJ205" s="2516"/>
      <c r="AK205" s="2516"/>
      <c r="AL205" s="2516"/>
      <c r="AM205" s="2516"/>
      <c r="AN205" s="2516"/>
      <c r="AO205" s="2516"/>
      <c r="AP205" s="2516"/>
      <c r="AQ205" s="2516"/>
      <c r="AR205" s="2516"/>
      <c r="AS205" s="2516"/>
      <c r="AT205" s="2516"/>
      <c r="AU205" s="2516"/>
      <c r="AV205" s="2516"/>
      <c r="AW205" s="2516"/>
      <c r="AX205" s="2516"/>
      <c r="AY205" s="2516"/>
      <c r="AZ205" s="2516"/>
      <c r="BA205" s="2516"/>
      <c r="BB205" s="2516"/>
      <c r="BC205" s="2516"/>
      <c r="BD205" s="2516"/>
      <c r="BE205" s="2516"/>
      <c r="BF205" s="2516"/>
      <c r="BG205" s="2516"/>
      <c r="BH205" s="2516"/>
      <c r="BI205" s="2516"/>
      <c r="BJ205" s="2516"/>
      <c r="BK205" s="2516"/>
      <c r="BL205" s="2516"/>
      <c r="BM205" s="2516"/>
      <c r="BN205" s="2516"/>
      <c r="BO205" s="2516"/>
      <c r="BP205" s="2516"/>
      <c r="BQ205" s="2516"/>
      <c r="BR205" s="2516"/>
      <c r="BS205" s="2516"/>
      <c r="BT205" s="2516"/>
      <c r="BU205" s="2516"/>
      <c r="BV205" s="2516"/>
      <c r="BW205" s="2516"/>
      <c r="BX205" s="2516"/>
      <c r="BY205" s="2516"/>
      <c r="BZ205" s="2516"/>
      <c r="CA205" s="2516"/>
      <c r="CB205" s="2516"/>
      <c r="CC205" s="2516"/>
      <c r="CD205" s="2516"/>
      <c r="CE205" s="2516"/>
      <c r="CF205" s="2516"/>
      <c r="CG205" s="2516"/>
      <c r="CH205" s="2516"/>
      <c r="CI205" s="2516"/>
      <c r="CJ205" s="2516"/>
      <c r="CK205" s="2516"/>
      <c r="CL205" s="2516"/>
      <c r="CM205" s="2516"/>
      <c r="CN205" s="2516"/>
      <c r="CO205" s="2516"/>
      <c r="CP205" s="2516"/>
      <c r="CQ205" s="2516"/>
      <c r="CR205" s="2516"/>
      <c r="CS205" s="2516"/>
      <c r="CT205" s="2516"/>
      <c r="CU205" s="2516"/>
      <c r="CV205" s="2516"/>
      <c r="CW205" s="2516"/>
      <c r="CX205" s="2516"/>
      <c r="CY205" s="2516"/>
      <c r="CZ205" s="2516"/>
      <c r="DA205" s="2516"/>
      <c r="DB205" s="2516"/>
      <c r="DC205" s="2516"/>
      <c r="DD205" s="2516"/>
      <c r="DE205" s="2516"/>
      <c r="DF205" s="2516"/>
      <c r="DG205" s="2516"/>
      <c r="DH205" s="2516"/>
      <c r="DI205" s="2516"/>
      <c r="DJ205" s="2516"/>
      <c r="DK205" s="2516"/>
      <c r="DL205" s="2516"/>
      <c r="DM205" s="2516"/>
      <c r="DN205" s="2516"/>
      <c r="DO205" s="2516"/>
      <c r="DP205" s="2516"/>
      <c r="DQ205" s="2516"/>
      <c r="DR205" s="2516"/>
      <c r="DS205" s="2516"/>
      <c r="DT205" s="2516"/>
      <c r="DU205" s="2516"/>
      <c r="DV205" s="2516"/>
      <c r="DW205" s="2516"/>
      <c r="DX205" s="2516"/>
      <c r="DY205" s="2516"/>
      <c r="DZ205" s="2516"/>
      <c r="EA205" s="2516"/>
      <c r="EB205" s="2516"/>
      <c r="EC205" s="2516"/>
      <c r="ED205" s="2516"/>
      <c r="EE205" s="2516"/>
      <c r="EF205" s="2516"/>
      <c r="EG205" s="2516"/>
      <c r="EH205" s="2516"/>
      <c r="EI205" s="2516"/>
      <c r="EJ205" s="2516"/>
      <c r="EK205" s="2516"/>
      <c r="EL205" s="2516"/>
      <c r="EM205" s="2516"/>
      <c r="EN205" s="2516"/>
      <c r="EO205" s="2516"/>
      <c r="EP205" s="2516"/>
      <c r="EQ205" s="2516"/>
      <c r="ER205" s="2516"/>
      <c r="ES205" s="2516"/>
      <c r="ET205" s="2516"/>
      <c r="EU205" s="2516"/>
      <c r="EV205" s="2516"/>
      <c r="EW205" s="2516"/>
      <c r="EX205" s="2516"/>
      <c r="EY205" s="2516"/>
      <c r="EZ205" s="2516"/>
      <c r="FA205" s="2516"/>
      <c r="FB205" s="2516"/>
      <c r="FC205" s="2516"/>
      <c r="FD205" s="2516"/>
      <c r="FE205" s="2516"/>
      <c r="FF205" s="2516"/>
      <c r="FG205" s="2516"/>
      <c r="FH205" s="2516"/>
      <c r="FI205" s="2516"/>
      <c r="FJ205" s="2516"/>
      <c r="FK205" s="2516"/>
      <c r="FL205" s="2516"/>
      <c r="FM205" s="2516"/>
      <c r="FN205" s="2516"/>
      <c r="FO205" s="2516"/>
      <c r="FP205" s="2516"/>
      <c r="FQ205" s="2516"/>
      <c r="FR205" s="2516"/>
      <c r="FS205" s="2516"/>
      <c r="FT205" s="2516"/>
      <c r="FU205" s="2516"/>
      <c r="FV205" s="2516"/>
      <c r="FW205" s="2516"/>
      <c r="FX205" s="2516"/>
      <c r="FY205" s="2516"/>
      <c r="FZ205" s="2516"/>
      <c r="GA205" s="2516"/>
      <c r="GB205" s="2516"/>
      <c r="GC205" s="2516"/>
      <c r="GD205" s="2516"/>
      <c r="GE205" s="2516"/>
      <c r="GF205" s="2516"/>
      <c r="GG205" s="2516"/>
      <c r="GH205" s="2516"/>
      <c r="GI205" s="2516"/>
      <c r="GJ205" s="2516"/>
      <c r="GK205" s="2516"/>
      <c r="GL205" s="2516"/>
      <c r="GM205" s="2516"/>
      <c r="GN205" s="2516"/>
      <c r="GO205" s="2516"/>
      <c r="GP205" s="2516"/>
      <c r="GQ205" s="2516"/>
      <c r="GR205" s="2516"/>
      <c r="GS205" s="2516"/>
      <c r="GT205" s="2516"/>
      <c r="GU205" s="2516"/>
      <c r="GV205" s="2516"/>
      <c r="GW205" s="2516"/>
      <c r="GX205" s="2516"/>
      <c r="GY205" s="2516"/>
      <c r="GZ205" s="2516"/>
      <c r="HA205" s="2516"/>
      <c r="HB205" s="2516"/>
      <c r="HC205" s="2516"/>
      <c r="HD205" s="2516"/>
      <c r="HE205" s="2516"/>
      <c r="HF205" s="2516"/>
      <c r="HG205" s="2516"/>
      <c r="HH205" s="2516"/>
      <c r="HI205" s="2516"/>
      <c r="HJ205" s="2516"/>
      <c r="HK205" s="2516"/>
      <c r="HL205" s="2516"/>
      <c r="HM205" s="2516"/>
      <c r="HN205" s="2516"/>
      <c r="HO205" s="2516"/>
      <c r="HP205" s="2516"/>
      <c r="HQ205" s="2516"/>
      <c r="HR205" s="2516"/>
      <c r="HS205" s="2516"/>
      <c r="HT205" s="2516"/>
      <c r="HU205" s="2516"/>
      <c r="HV205" s="2516"/>
      <c r="HW205" s="2516"/>
      <c r="HX205" s="2516"/>
      <c r="HY205" s="2516"/>
      <c r="HZ205" s="2516"/>
      <c r="IA205" s="2516"/>
      <c r="IB205" s="2516"/>
      <c r="IC205" s="2516"/>
      <c r="ID205" s="2516"/>
      <c r="IE205" s="2516"/>
      <c r="IF205" s="2516"/>
      <c r="IG205" s="2516"/>
      <c r="IH205" s="2516"/>
      <c r="II205" s="2516"/>
      <c r="IJ205" s="2516"/>
      <c r="IK205" s="2516"/>
      <c r="IL205" s="2516"/>
      <c r="IM205" s="2516"/>
      <c r="IN205" s="2516"/>
      <c r="IO205" s="2516"/>
      <c r="IP205" s="2516"/>
      <c r="IQ205" s="2516"/>
      <c r="IR205" s="2516"/>
      <c r="IS205" s="2516"/>
      <c r="IT205" s="2516"/>
      <c r="IU205" s="2516"/>
      <c r="IV205" s="2516"/>
      <c r="IW205" s="2516"/>
      <c r="IX205" s="2516"/>
      <c r="IY205" s="2516"/>
      <c r="IZ205" s="2516"/>
      <c r="JA205" s="2516"/>
      <c r="JB205" s="2516"/>
      <c r="JC205" s="2516"/>
      <c r="JD205" s="2516"/>
      <c r="JE205" s="2516"/>
      <c r="JF205" s="2516"/>
      <c r="JG205" s="2517"/>
      <c r="JH205" s="1233"/>
      <c r="JI205" s="2248" t="s">
        <v>5574</v>
      </c>
      <c r="JJ205" s="2248" t="s">
        <v>6129</v>
      </c>
    </row>
    <row r="206" spans="1:270" x14ac:dyDescent="0.2">
      <c r="A206" s="1128">
        <v>56</v>
      </c>
      <c r="B206" s="1347" t="str">
        <f si="12" t="shared"/>
        <v/>
      </c>
      <c r="C206" s="1278" t="s">
        <v>3233</v>
      </c>
      <c r="D206" s="1350" t="s">
        <v>5286</v>
      </c>
      <c r="E206" s="2514">
        <f>E204+E205</f>
        <v>12487</v>
      </c>
      <c r="F206" s="2513"/>
      <c r="G206" s="2513"/>
      <c r="H206" s="2513"/>
      <c r="I206" s="2513"/>
      <c r="J206" s="2513"/>
      <c r="K206" s="2513"/>
      <c r="L206" s="2515"/>
      <c r="M206" s="2515"/>
      <c r="N206" s="2515"/>
      <c r="O206" s="2515"/>
      <c r="P206" s="2515"/>
      <c r="Q206" s="2515"/>
      <c r="R206" s="2516"/>
      <c r="S206" s="2516"/>
      <c r="T206" s="2516"/>
      <c r="U206" s="2516"/>
      <c r="V206" s="2516"/>
      <c r="W206" s="2516"/>
      <c r="X206" s="2516"/>
      <c r="Y206" s="2516"/>
      <c r="Z206" s="2516"/>
      <c r="AA206" s="2516"/>
      <c r="AB206" s="2516"/>
      <c r="AC206" s="2516"/>
      <c r="AD206" s="2516"/>
      <c r="AE206" s="2516"/>
      <c r="AF206" s="2516"/>
      <c r="AG206" s="2516"/>
      <c r="AH206" s="2516"/>
      <c r="AI206" s="2516"/>
      <c r="AJ206" s="2516"/>
      <c r="AK206" s="2516"/>
      <c r="AL206" s="2516"/>
      <c r="AM206" s="2516"/>
      <c r="AN206" s="2516"/>
      <c r="AO206" s="2516"/>
      <c r="AP206" s="2516"/>
      <c r="AQ206" s="2516"/>
      <c r="AR206" s="2516"/>
      <c r="AS206" s="2516"/>
      <c r="AT206" s="2516"/>
      <c r="AU206" s="2516"/>
      <c r="AV206" s="2516"/>
      <c r="AW206" s="2516"/>
      <c r="AX206" s="2516"/>
      <c r="AY206" s="2516"/>
      <c r="AZ206" s="2516"/>
      <c r="BA206" s="2516"/>
      <c r="BB206" s="2516"/>
      <c r="BC206" s="2516"/>
      <c r="BD206" s="2516"/>
      <c r="BE206" s="2516"/>
      <c r="BF206" s="2516"/>
      <c r="BG206" s="2516"/>
      <c r="BH206" s="2516"/>
      <c r="BI206" s="2516"/>
      <c r="BJ206" s="2516"/>
      <c r="BK206" s="2516"/>
      <c r="BL206" s="2516"/>
      <c r="BM206" s="2516"/>
      <c r="BN206" s="2516"/>
      <c r="BO206" s="2516"/>
      <c r="BP206" s="2516"/>
      <c r="BQ206" s="2516"/>
      <c r="BR206" s="2516"/>
      <c r="BS206" s="2516"/>
      <c r="BT206" s="2516"/>
      <c r="BU206" s="2516"/>
      <c r="BV206" s="2516"/>
      <c r="BW206" s="2516"/>
      <c r="BX206" s="2516"/>
      <c r="BY206" s="2516"/>
      <c r="BZ206" s="2516"/>
      <c r="CA206" s="2516"/>
      <c r="CB206" s="2516"/>
      <c r="CC206" s="2516"/>
      <c r="CD206" s="2516"/>
      <c r="CE206" s="2516"/>
      <c r="CF206" s="2516"/>
      <c r="CG206" s="2516"/>
      <c r="CH206" s="2516"/>
      <c r="CI206" s="2516"/>
      <c r="CJ206" s="2516"/>
      <c r="CK206" s="2516"/>
      <c r="CL206" s="2516"/>
      <c r="CM206" s="2516"/>
      <c r="CN206" s="2516"/>
      <c r="CO206" s="2516"/>
      <c r="CP206" s="2516"/>
      <c r="CQ206" s="2516"/>
      <c r="CR206" s="2516"/>
      <c r="CS206" s="2516"/>
      <c r="CT206" s="2516"/>
      <c r="CU206" s="2516"/>
      <c r="CV206" s="2516"/>
      <c r="CW206" s="2516"/>
      <c r="CX206" s="2516"/>
      <c r="CY206" s="2516"/>
      <c r="CZ206" s="2516"/>
      <c r="DA206" s="2516"/>
      <c r="DB206" s="2516"/>
      <c r="DC206" s="2516"/>
      <c r="DD206" s="2516"/>
      <c r="DE206" s="2516"/>
      <c r="DF206" s="2516"/>
      <c r="DG206" s="2516"/>
      <c r="DH206" s="2516"/>
      <c r="DI206" s="2516"/>
      <c r="DJ206" s="2516"/>
      <c r="DK206" s="2516"/>
      <c r="DL206" s="2516"/>
      <c r="DM206" s="2516"/>
      <c r="DN206" s="2516"/>
      <c r="DO206" s="2516"/>
      <c r="DP206" s="2516"/>
      <c r="DQ206" s="2516"/>
      <c r="DR206" s="2516"/>
      <c r="DS206" s="2516"/>
      <c r="DT206" s="2516"/>
      <c r="DU206" s="2516"/>
      <c r="DV206" s="2516"/>
      <c r="DW206" s="2516"/>
      <c r="DX206" s="2516"/>
      <c r="DY206" s="2516"/>
      <c r="DZ206" s="2516"/>
      <c r="EA206" s="2516"/>
      <c r="EB206" s="2516"/>
      <c r="EC206" s="2516"/>
      <c r="ED206" s="2516"/>
      <c r="EE206" s="2516"/>
      <c r="EF206" s="2516"/>
      <c r="EG206" s="2516"/>
      <c r="EH206" s="2516"/>
      <c r="EI206" s="2516"/>
      <c r="EJ206" s="2516"/>
      <c r="EK206" s="2516"/>
      <c r="EL206" s="2516"/>
      <c r="EM206" s="2516"/>
      <c r="EN206" s="2516"/>
      <c r="EO206" s="2516"/>
      <c r="EP206" s="2516"/>
      <c r="EQ206" s="2516"/>
      <c r="ER206" s="2516"/>
      <c r="ES206" s="2516"/>
      <c r="ET206" s="2516"/>
      <c r="EU206" s="2516"/>
      <c r="EV206" s="2516"/>
      <c r="EW206" s="2516"/>
      <c r="EX206" s="2516"/>
      <c r="EY206" s="2516"/>
      <c r="EZ206" s="2516"/>
      <c r="FA206" s="2516"/>
      <c r="FB206" s="2516"/>
      <c r="FC206" s="2516"/>
      <c r="FD206" s="2516"/>
      <c r="FE206" s="2516"/>
      <c r="FF206" s="2516"/>
      <c r="FG206" s="2516"/>
      <c r="FH206" s="2516"/>
      <c r="FI206" s="2516"/>
      <c r="FJ206" s="2516"/>
      <c r="FK206" s="2516"/>
      <c r="FL206" s="2516"/>
      <c r="FM206" s="2516"/>
      <c r="FN206" s="2516"/>
      <c r="FO206" s="2516"/>
      <c r="FP206" s="2516"/>
      <c r="FQ206" s="2516"/>
      <c r="FR206" s="2516"/>
      <c r="FS206" s="2516"/>
      <c r="FT206" s="2516"/>
      <c r="FU206" s="2516"/>
      <c r="FV206" s="2516"/>
      <c r="FW206" s="2516"/>
      <c r="FX206" s="2516"/>
      <c r="FY206" s="2516"/>
      <c r="FZ206" s="2516"/>
      <c r="GA206" s="2516"/>
      <c r="GB206" s="2516"/>
      <c r="GC206" s="2516"/>
      <c r="GD206" s="2516"/>
      <c r="GE206" s="2516"/>
      <c r="GF206" s="2516"/>
      <c r="GG206" s="2516"/>
      <c r="GH206" s="2516"/>
      <c r="GI206" s="2516"/>
      <c r="GJ206" s="2516"/>
      <c r="GK206" s="2516"/>
      <c r="GL206" s="2516"/>
      <c r="GM206" s="2516"/>
      <c r="GN206" s="2516"/>
      <c r="GO206" s="2516"/>
      <c r="GP206" s="2516"/>
      <c r="GQ206" s="2516"/>
      <c r="GR206" s="2516"/>
      <c r="GS206" s="2516"/>
      <c r="GT206" s="2516"/>
      <c r="GU206" s="2516"/>
      <c r="GV206" s="2516"/>
      <c r="GW206" s="2516"/>
      <c r="GX206" s="2516"/>
      <c r="GY206" s="2516"/>
      <c r="GZ206" s="2516"/>
      <c r="HA206" s="2516"/>
      <c r="HB206" s="2516"/>
      <c r="HC206" s="2516"/>
      <c r="HD206" s="2516"/>
      <c r="HE206" s="2516"/>
      <c r="HF206" s="2516"/>
      <c r="HG206" s="2516"/>
      <c r="HH206" s="2516"/>
      <c r="HI206" s="2516"/>
      <c r="HJ206" s="2516"/>
      <c r="HK206" s="2516"/>
      <c r="HL206" s="2516"/>
      <c r="HM206" s="2516"/>
      <c r="HN206" s="2516"/>
      <c r="HO206" s="2516"/>
      <c r="HP206" s="2516"/>
      <c r="HQ206" s="2516"/>
      <c r="HR206" s="2516"/>
      <c r="HS206" s="2516"/>
      <c r="HT206" s="2516"/>
      <c r="HU206" s="2516"/>
      <c r="HV206" s="2516"/>
      <c r="HW206" s="2516"/>
      <c r="HX206" s="2516"/>
      <c r="HY206" s="2516"/>
      <c r="HZ206" s="2516"/>
      <c r="IA206" s="2516"/>
      <c r="IB206" s="2516"/>
      <c r="IC206" s="2516"/>
      <c r="ID206" s="2516"/>
      <c r="IE206" s="2516"/>
      <c r="IF206" s="2516"/>
      <c r="IG206" s="2516"/>
      <c r="IH206" s="2516"/>
      <c r="II206" s="2516"/>
      <c r="IJ206" s="2516"/>
      <c r="IK206" s="2516"/>
      <c r="IL206" s="2516"/>
      <c r="IM206" s="2516"/>
      <c r="IN206" s="2516"/>
      <c r="IO206" s="2516"/>
      <c r="IP206" s="2516"/>
      <c r="IQ206" s="2516"/>
      <c r="IR206" s="2516"/>
      <c r="IS206" s="2516"/>
      <c r="IT206" s="2516"/>
      <c r="IU206" s="2516"/>
      <c r="IV206" s="2516"/>
      <c r="IW206" s="2516"/>
      <c r="IX206" s="2516"/>
      <c r="IY206" s="2516"/>
      <c r="IZ206" s="2516"/>
      <c r="JA206" s="2516"/>
      <c r="JB206" s="2516"/>
      <c r="JC206" s="2516"/>
      <c r="JD206" s="2516"/>
      <c r="JE206" s="2516"/>
      <c r="JF206" s="2516"/>
      <c r="JG206" s="2517"/>
      <c r="JH206" s="1233"/>
      <c r="JI206" s="2248" t="s">
        <v>5575</v>
      </c>
      <c r="JJ206" s="2248" t="s">
        <v>6108</v>
      </c>
    </row>
    <row r="207" spans="1:270" x14ac:dyDescent="0.2">
      <c r="A207" s="1128">
        <v>57</v>
      </c>
      <c r="B207" s="1347" t="str">
        <f si="12" t="shared"/>
        <v/>
      </c>
      <c r="C207" s="1524" t="s">
        <v>3234</v>
      </c>
      <c r="D207" s="1350" t="s">
        <v>5287</v>
      </c>
      <c r="E207" s="2518">
        <v>11300</v>
      </c>
      <c r="F207" s="2518"/>
      <c r="G207" s="2518"/>
      <c r="H207" s="2518"/>
      <c r="I207" s="2518"/>
      <c r="J207" s="2518"/>
      <c r="K207" s="2518"/>
      <c r="L207" s="2520"/>
      <c r="M207" s="2520"/>
      <c r="N207" s="2520"/>
      <c r="O207" s="2520"/>
      <c r="P207" s="2520"/>
      <c r="Q207" s="2520"/>
      <c r="R207" s="2521"/>
      <c r="S207" s="2521"/>
      <c r="T207" s="2521"/>
      <c r="U207" s="2521"/>
      <c r="V207" s="2521"/>
      <c r="W207" s="2521"/>
      <c r="X207" s="2521"/>
      <c r="Y207" s="2521"/>
      <c r="Z207" s="2521"/>
      <c r="AA207" s="2521"/>
      <c r="AB207" s="2521"/>
      <c r="AC207" s="2521"/>
      <c r="AD207" s="2521"/>
      <c r="AE207" s="2521"/>
      <c r="AF207" s="2521"/>
      <c r="AG207" s="2521"/>
      <c r="AH207" s="2521"/>
      <c r="AI207" s="2521"/>
      <c r="AJ207" s="2521"/>
      <c r="AK207" s="2521"/>
      <c r="AL207" s="2521"/>
      <c r="AM207" s="2521"/>
      <c r="AN207" s="2521"/>
      <c r="AO207" s="2521"/>
      <c r="AP207" s="2521"/>
      <c r="AQ207" s="2521"/>
      <c r="AR207" s="2521"/>
      <c r="AS207" s="2521"/>
      <c r="AT207" s="2521"/>
      <c r="AU207" s="2521"/>
      <c r="AV207" s="2521"/>
      <c r="AW207" s="2521"/>
      <c r="AX207" s="2521"/>
      <c r="AY207" s="2521"/>
      <c r="AZ207" s="2521"/>
      <c r="BA207" s="2521"/>
      <c r="BB207" s="2521"/>
      <c r="BC207" s="2521"/>
      <c r="BD207" s="2521"/>
      <c r="BE207" s="2521"/>
      <c r="BF207" s="2521"/>
      <c r="BG207" s="2521"/>
      <c r="BH207" s="2521"/>
      <c r="BI207" s="2521"/>
      <c r="BJ207" s="2521"/>
      <c r="BK207" s="2521"/>
      <c r="BL207" s="2521"/>
      <c r="BM207" s="2521"/>
      <c r="BN207" s="2521"/>
      <c r="BO207" s="2521"/>
      <c r="BP207" s="2521"/>
      <c r="BQ207" s="2521"/>
      <c r="BR207" s="2521"/>
      <c r="BS207" s="2521"/>
      <c r="BT207" s="2521"/>
      <c r="BU207" s="2521"/>
      <c r="BV207" s="2521"/>
      <c r="BW207" s="2521"/>
      <c r="BX207" s="2521"/>
      <c r="BY207" s="2521"/>
      <c r="BZ207" s="2521"/>
      <c r="CA207" s="2521"/>
      <c r="CB207" s="2521"/>
      <c r="CC207" s="2521"/>
      <c r="CD207" s="2521"/>
      <c r="CE207" s="2521"/>
      <c r="CF207" s="2521"/>
      <c r="CG207" s="2521"/>
      <c r="CH207" s="2521"/>
      <c r="CI207" s="2521"/>
      <c r="CJ207" s="2521"/>
      <c r="CK207" s="2521"/>
      <c r="CL207" s="2521"/>
      <c r="CM207" s="2521"/>
      <c r="CN207" s="2521"/>
      <c r="CO207" s="2521"/>
      <c r="CP207" s="2521"/>
      <c r="CQ207" s="2521"/>
      <c r="CR207" s="2521"/>
      <c r="CS207" s="2521"/>
      <c r="CT207" s="2521"/>
      <c r="CU207" s="2521"/>
      <c r="CV207" s="2521"/>
      <c r="CW207" s="2521"/>
      <c r="CX207" s="2521"/>
      <c r="CY207" s="2521"/>
      <c r="CZ207" s="2521"/>
      <c r="DA207" s="2521"/>
      <c r="DB207" s="2521"/>
      <c r="DC207" s="2521"/>
      <c r="DD207" s="2521"/>
      <c r="DE207" s="2521"/>
      <c r="DF207" s="2521"/>
      <c r="DG207" s="2521"/>
      <c r="DH207" s="2521"/>
      <c r="DI207" s="2521"/>
      <c r="DJ207" s="2521"/>
      <c r="DK207" s="2521"/>
      <c r="DL207" s="2521"/>
      <c r="DM207" s="2521"/>
      <c r="DN207" s="2521"/>
      <c r="DO207" s="2521"/>
      <c r="DP207" s="2521"/>
      <c r="DQ207" s="2521"/>
      <c r="DR207" s="2521"/>
      <c r="DS207" s="2521"/>
      <c r="DT207" s="2521"/>
      <c r="DU207" s="2521"/>
      <c r="DV207" s="2521"/>
      <c r="DW207" s="2521"/>
      <c r="DX207" s="2521"/>
      <c r="DY207" s="2521"/>
      <c r="DZ207" s="2521"/>
      <c r="EA207" s="2521"/>
      <c r="EB207" s="2521"/>
      <c r="EC207" s="2521"/>
      <c r="ED207" s="2521"/>
      <c r="EE207" s="2521"/>
      <c r="EF207" s="2521"/>
      <c r="EG207" s="2521"/>
      <c r="EH207" s="2521"/>
      <c r="EI207" s="2521"/>
      <c r="EJ207" s="2521"/>
      <c r="EK207" s="2521"/>
      <c r="EL207" s="2521"/>
      <c r="EM207" s="2521"/>
      <c r="EN207" s="2521"/>
      <c r="EO207" s="2521"/>
      <c r="EP207" s="2521"/>
      <c r="EQ207" s="2521"/>
      <c r="ER207" s="2521"/>
      <c r="ES207" s="2521"/>
      <c r="ET207" s="2521"/>
      <c r="EU207" s="2521"/>
      <c r="EV207" s="2521"/>
      <c r="EW207" s="2521"/>
      <c r="EX207" s="2521"/>
      <c r="EY207" s="2521"/>
      <c r="EZ207" s="2521"/>
      <c r="FA207" s="2521"/>
      <c r="FB207" s="2521"/>
      <c r="FC207" s="2521"/>
      <c r="FD207" s="2521"/>
      <c r="FE207" s="2521"/>
      <c r="FF207" s="2521"/>
      <c r="FG207" s="2521"/>
      <c r="FH207" s="2521"/>
      <c r="FI207" s="2521"/>
      <c r="FJ207" s="2521"/>
      <c r="FK207" s="2521"/>
      <c r="FL207" s="2521"/>
      <c r="FM207" s="2521"/>
      <c r="FN207" s="2521"/>
      <c r="FO207" s="2521"/>
      <c r="FP207" s="2521"/>
      <c r="FQ207" s="2521"/>
      <c r="FR207" s="2521"/>
      <c r="FS207" s="2521"/>
      <c r="FT207" s="2521"/>
      <c r="FU207" s="2521"/>
      <c r="FV207" s="2521"/>
      <c r="FW207" s="2521"/>
      <c r="FX207" s="2521"/>
      <c r="FY207" s="2521"/>
      <c r="FZ207" s="2521"/>
      <c r="GA207" s="2521"/>
      <c r="GB207" s="2521"/>
      <c r="GC207" s="2521"/>
      <c r="GD207" s="2521"/>
      <c r="GE207" s="2521"/>
      <c r="GF207" s="2521"/>
      <c r="GG207" s="2521"/>
      <c r="GH207" s="2521"/>
      <c r="GI207" s="2521"/>
      <c r="GJ207" s="2521"/>
      <c r="GK207" s="2521"/>
      <c r="GL207" s="2521"/>
      <c r="GM207" s="2521"/>
      <c r="GN207" s="2521"/>
      <c r="GO207" s="2521"/>
      <c r="GP207" s="2521"/>
      <c r="GQ207" s="2521"/>
      <c r="GR207" s="2521"/>
      <c r="GS207" s="2521"/>
      <c r="GT207" s="2521"/>
      <c r="GU207" s="2521"/>
      <c r="GV207" s="2521"/>
      <c r="GW207" s="2521"/>
      <c r="GX207" s="2521"/>
      <c r="GY207" s="2521"/>
      <c r="GZ207" s="2521"/>
      <c r="HA207" s="2521"/>
      <c r="HB207" s="2521"/>
      <c r="HC207" s="2521"/>
      <c r="HD207" s="2521"/>
      <c r="HE207" s="2521"/>
      <c r="HF207" s="2521"/>
      <c r="HG207" s="2521"/>
      <c r="HH207" s="2521"/>
      <c r="HI207" s="2521"/>
      <c r="HJ207" s="2521"/>
      <c r="HK207" s="2521"/>
      <c r="HL207" s="2521"/>
      <c r="HM207" s="2521"/>
      <c r="HN207" s="2521"/>
      <c r="HO207" s="2521"/>
      <c r="HP207" s="2521"/>
      <c r="HQ207" s="2521"/>
      <c r="HR207" s="2521"/>
      <c r="HS207" s="2521"/>
      <c r="HT207" s="2521"/>
      <c r="HU207" s="2521"/>
      <c r="HV207" s="2521"/>
      <c r="HW207" s="2521"/>
      <c r="HX207" s="2521"/>
      <c r="HY207" s="2521"/>
      <c r="HZ207" s="2521"/>
      <c r="IA207" s="2521"/>
      <c r="IB207" s="2521"/>
      <c r="IC207" s="2521"/>
      <c r="ID207" s="2521"/>
      <c r="IE207" s="2521"/>
      <c r="IF207" s="2521"/>
      <c r="IG207" s="2521"/>
      <c r="IH207" s="2521"/>
      <c r="II207" s="2521"/>
      <c r="IJ207" s="2521"/>
      <c r="IK207" s="2521"/>
      <c r="IL207" s="2521"/>
      <c r="IM207" s="2521"/>
      <c r="IN207" s="2521"/>
      <c r="IO207" s="2521"/>
      <c r="IP207" s="2521"/>
      <c r="IQ207" s="2521"/>
      <c r="IR207" s="2521"/>
      <c r="IS207" s="2521"/>
      <c r="IT207" s="2521"/>
      <c r="IU207" s="2521"/>
      <c r="IV207" s="2521"/>
      <c r="IW207" s="2521"/>
      <c r="IX207" s="2521"/>
      <c r="IY207" s="2521"/>
      <c r="IZ207" s="2521"/>
      <c r="JA207" s="2521"/>
      <c r="JB207" s="2521"/>
      <c r="JC207" s="2521"/>
      <c r="JD207" s="2521"/>
      <c r="JE207" s="2521"/>
      <c r="JF207" s="2521"/>
      <c r="JG207" s="2522"/>
      <c r="JH207" s="1233"/>
      <c r="JI207" s="2248" t="s">
        <v>5576</v>
      </c>
      <c r="JJ207" s="2248" t="s">
        <v>6108</v>
      </c>
    </row>
    <row r="208" spans="1:270" x14ac:dyDescent="0.2">
      <c r="A208" s="1128">
        <v>58</v>
      </c>
      <c r="B208" s="1347" t="str">
        <f si="12" t="shared"/>
        <v/>
      </c>
      <c r="C208" s="1278" t="s">
        <v>3800</v>
      </c>
      <c r="D208" s="1350" t="s">
        <v>5288</v>
      </c>
      <c r="E208" s="2472"/>
      <c r="F208" s="2472"/>
      <c r="G208" s="2472"/>
      <c r="H208" s="2472"/>
      <c r="I208" s="2472"/>
      <c r="J208" s="2472"/>
      <c r="K208" s="2472"/>
      <c r="L208" s="2509"/>
      <c r="M208" s="2509"/>
      <c r="N208" s="2509"/>
      <c r="O208" s="2509"/>
      <c r="P208" s="2509"/>
      <c r="Q208" s="2509"/>
      <c r="R208" s="2510"/>
      <c r="S208" s="2510"/>
      <c r="T208" s="2510"/>
      <c r="U208" s="2510"/>
      <c r="V208" s="2510"/>
      <c r="W208" s="2510"/>
      <c r="X208" s="2510"/>
      <c r="Y208" s="2510"/>
      <c r="Z208" s="2510"/>
      <c r="AA208" s="2510"/>
      <c r="AB208" s="2510"/>
      <c r="AC208" s="2510"/>
      <c r="AD208" s="2510"/>
      <c r="AE208" s="2510"/>
      <c r="AF208" s="2510"/>
      <c r="AG208" s="2510"/>
      <c r="AH208" s="2510"/>
      <c r="AI208" s="2510"/>
      <c r="AJ208" s="2510"/>
      <c r="AK208" s="2510"/>
      <c r="AL208" s="2510"/>
      <c r="AM208" s="2510"/>
      <c r="AN208" s="2510"/>
      <c r="AO208" s="2510"/>
      <c r="AP208" s="2510"/>
      <c r="AQ208" s="2510"/>
      <c r="AR208" s="2510"/>
      <c r="AS208" s="2510"/>
      <c r="AT208" s="2510"/>
      <c r="AU208" s="2510"/>
      <c r="AV208" s="2510"/>
      <c r="AW208" s="2510"/>
      <c r="AX208" s="2510"/>
      <c r="AY208" s="2510"/>
      <c r="AZ208" s="2510"/>
      <c r="BA208" s="2510"/>
      <c r="BB208" s="2510"/>
      <c r="BC208" s="2510"/>
      <c r="BD208" s="2510"/>
      <c r="BE208" s="2510"/>
      <c r="BF208" s="2510"/>
      <c r="BG208" s="2510"/>
      <c r="BH208" s="2510"/>
      <c r="BI208" s="2510"/>
      <c r="BJ208" s="2510"/>
      <c r="BK208" s="2510"/>
      <c r="BL208" s="2510"/>
      <c r="BM208" s="2510"/>
      <c r="BN208" s="2510"/>
      <c r="BO208" s="2510"/>
      <c r="BP208" s="2510"/>
      <c r="BQ208" s="2510"/>
      <c r="BR208" s="2510"/>
      <c r="BS208" s="2510"/>
      <c r="BT208" s="2510"/>
      <c r="BU208" s="2510"/>
      <c r="BV208" s="2510"/>
      <c r="BW208" s="2510"/>
      <c r="BX208" s="2510"/>
      <c r="BY208" s="2510"/>
      <c r="BZ208" s="2510"/>
      <c r="CA208" s="2510"/>
      <c r="CB208" s="2510"/>
      <c r="CC208" s="2510"/>
      <c r="CD208" s="2510"/>
      <c r="CE208" s="2510"/>
      <c r="CF208" s="2510"/>
      <c r="CG208" s="2510"/>
      <c r="CH208" s="2510"/>
      <c r="CI208" s="2510"/>
      <c r="CJ208" s="2510"/>
      <c r="CK208" s="2510"/>
      <c r="CL208" s="2510"/>
      <c r="CM208" s="2510"/>
      <c r="CN208" s="2510"/>
      <c r="CO208" s="2510"/>
      <c r="CP208" s="2510"/>
      <c r="CQ208" s="2510"/>
      <c r="CR208" s="2510"/>
      <c r="CS208" s="2510"/>
      <c r="CT208" s="2510"/>
      <c r="CU208" s="2510"/>
      <c r="CV208" s="2510"/>
      <c r="CW208" s="2510"/>
      <c r="CX208" s="2510"/>
      <c r="CY208" s="2510"/>
      <c r="CZ208" s="2510"/>
      <c r="DA208" s="2510"/>
      <c r="DB208" s="2510"/>
      <c r="DC208" s="2510"/>
      <c r="DD208" s="2510"/>
      <c r="DE208" s="2510"/>
      <c r="DF208" s="2510"/>
      <c r="DG208" s="2510"/>
      <c r="DH208" s="2510"/>
      <c r="DI208" s="2510"/>
      <c r="DJ208" s="2510"/>
      <c r="DK208" s="2510"/>
      <c r="DL208" s="2510"/>
      <c r="DM208" s="2510"/>
      <c r="DN208" s="2510"/>
      <c r="DO208" s="2510"/>
      <c r="DP208" s="2510"/>
      <c r="DQ208" s="2510"/>
      <c r="DR208" s="2510"/>
      <c r="DS208" s="2510"/>
      <c r="DT208" s="2510"/>
      <c r="DU208" s="2510"/>
      <c r="DV208" s="2510"/>
      <c r="DW208" s="2510"/>
      <c r="DX208" s="2510"/>
      <c r="DY208" s="2510"/>
      <c r="DZ208" s="2510"/>
      <c r="EA208" s="2510"/>
      <c r="EB208" s="2510"/>
      <c r="EC208" s="2510"/>
      <c r="ED208" s="2510"/>
      <c r="EE208" s="2510"/>
      <c r="EF208" s="2510"/>
      <c r="EG208" s="2510"/>
      <c r="EH208" s="2510"/>
      <c r="EI208" s="2510"/>
      <c r="EJ208" s="2510"/>
      <c r="EK208" s="2510"/>
      <c r="EL208" s="2510"/>
      <c r="EM208" s="2510"/>
      <c r="EN208" s="2510"/>
      <c r="EO208" s="2510"/>
      <c r="EP208" s="2510"/>
      <c r="EQ208" s="2510"/>
      <c r="ER208" s="2510"/>
      <c r="ES208" s="2510"/>
      <c r="ET208" s="2510"/>
      <c r="EU208" s="2510"/>
      <c r="EV208" s="2510"/>
      <c r="EW208" s="2510"/>
      <c r="EX208" s="2510"/>
      <c r="EY208" s="2510"/>
      <c r="EZ208" s="2510"/>
      <c r="FA208" s="2510"/>
      <c r="FB208" s="2510"/>
      <c r="FC208" s="2510"/>
      <c r="FD208" s="2510"/>
      <c r="FE208" s="2510"/>
      <c r="FF208" s="2510"/>
      <c r="FG208" s="2510"/>
      <c r="FH208" s="2510"/>
      <c r="FI208" s="2510"/>
      <c r="FJ208" s="2510"/>
      <c r="FK208" s="2510"/>
      <c r="FL208" s="2510"/>
      <c r="FM208" s="2510"/>
      <c r="FN208" s="2510"/>
      <c r="FO208" s="2510"/>
      <c r="FP208" s="2510"/>
      <c r="FQ208" s="2510"/>
      <c r="FR208" s="2510"/>
      <c r="FS208" s="2510"/>
      <c r="FT208" s="2510"/>
      <c r="FU208" s="2510"/>
      <c r="FV208" s="2510"/>
      <c r="FW208" s="2510"/>
      <c r="FX208" s="2510"/>
      <c r="FY208" s="2510"/>
      <c r="FZ208" s="2510"/>
      <c r="GA208" s="2510"/>
      <c r="GB208" s="2510"/>
      <c r="GC208" s="2510"/>
      <c r="GD208" s="2510"/>
      <c r="GE208" s="2510"/>
      <c r="GF208" s="2510"/>
      <c r="GG208" s="2510"/>
      <c r="GH208" s="2510"/>
      <c r="GI208" s="2510"/>
      <c r="GJ208" s="2510"/>
      <c r="GK208" s="2510"/>
      <c r="GL208" s="2510"/>
      <c r="GM208" s="2510"/>
      <c r="GN208" s="2510"/>
      <c r="GO208" s="2510"/>
      <c r="GP208" s="2510"/>
      <c r="GQ208" s="2510"/>
      <c r="GR208" s="2510"/>
      <c r="GS208" s="2510"/>
      <c r="GT208" s="2510"/>
      <c r="GU208" s="2510"/>
      <c r="GV208" s="2510"/>
      <c r="GW208" s="2510"/>
      <c r="GX208" s="2510"/>
      <c r="GY208" s="2510"/>
      <c r="GZ208" s="2510"/>
      <c r="HA208" s="2510"/>
      <c r="HB208" s="2510"/>
      <c r="HC208" s="2510"/>
      <c r="HD208" s="2510"/>
      <c r="HE208" s="2510"/>
      <c r="HF208" s="2510"/>
      <c r="HG208" s="2510"/>
      <c r="HH208" s="2510"/>
      <c r="HI208" s="2510"/>
      <c r="HJ208" s="2510"/>
      <c r="HK208" s="2510"/>
      <c r="HL208" s="2510"/>
      <c r="HM208" s="2510"/>
      <c r="HN208" s="2510"/>
      <c r="HO208" s="2510"/>
      <c r="HP208" s="2510"/>
      <c r="HQ208" s="2510"/>
      <c r="HR208" s="2510"/>
      <c r="HS208" s="2510"/>
      <c r="HT208" s="2510"/>
      <c r="HU208" s="2510"/>
      <c r="HV208" s="2510"/>
      <c r="HW208" s="2510"/>
      <c r="HX208" s="2510"/>
      <c r="HY208" s="2510"/>
      <c r="HZ208" s="2510"/>
      <c r="IA208" s="2510"/>
      <c r="IB208" s="2510"/>
      <c r="IC208" s="2510"/>
      <c r="ID208" s="2510"/>
      <c r="IE208" s="2510"/>
      <c r="IF208" s="2510"/>
      <c r="IG208" s="2510"/>
      <c r="IH208" s="2510"/>
      <c r="II208" s="2510"/>
      <c r="IJ208" s="2510"/>
      <c r="IK208" s="2510"/>
      <c r="IL208" s="2510"/>
      <c r="IM208" s="2510"/>
      <c r="IN208" s="2510"/>
      <c r="IO208" s="2510"/>
      <c r="IP208" s="2510"/>
      <c r="IQ208" s="2510"/>
      <c r="IR208" s="2510"/>
      <c r="IS208" s="2510"/>
      <c r="IT208" s="2510"/>
      <c r="IU208" s="2510"/>
      <c r="IV208" s="2510"/>
      <c r="IW208" s="2510"/>
      <c r="IX208" s="2510"/>
      <c r="IY208" s="2510"/>
      <c r="IZ208" s="2510"/>
      <c r="JA208" s="2510"/>
      <c r="JB208" s="2510"/>
      <c r="JC208" s="2510"/>
      <c r="JD208" s="2510"/>
      <c r="JE208" s="2510"/>
      <c r="JF208" s="2510"/>
      <c r="JG208" s="2479"/>
      <c r="JH208" s="1233"/>
      <c r="JI208" s="2248" t="s">
        <v>5577</v>
      </c>
      <c r="JJ208" s="2248" t="s">
        <v>6108</v>
      </c>
    </row>
    <row r="209" spans="1:270" x14ac:dyDescent="0.2">
      <c r="A209" s="1128">
        <v>59</v>
      </c>
      <c r="B209" s="1347" t="str">
        <f si="12" t="shared"/>
        <v/>
      </c>
      <c r="C209" s="1278" t="s">
        <v>3801</v>
      </c>
      <c r="D209" s="1350" t="s">
        <v>5289</v>
      </c>
      <c r="E209" s="2472">
        <v>1187</v>
      </c>
      <c r="F209" s="2472"/>
      <c r="G209" s="2472"/>
      <c r="H209" s="2472"/>
      <c r="I209" s="2472"/>
      <c r="J209" s="2472"/>
      <c r="K209" s="2472"/>
      <c r="L209" s="2509"/>
      <c r="M209" s="2509"/>
      <c r="N209" s="2509"/>
      <c r="O209" s="2509"/>
      <c r="P209" s="2509"/>
      <c r="Q209" s="2509"/>
      <c r="R209" s="2510"/>
      <c r="S209" s="2510"/>
      <c r="T209" s="2510"/>
      <c r="U209" s="2510"/>
      <c r="V209" s="2510"/>
      <c r="W209" s="2510"/>
      <c r="X209" s="2510"/>
      <c r="Y209" s="2510"/>
      <c r="Z209" s="2510"/>
      <c r="AA209" s="2510"/>
      <c r="AB209" s="2510"/>
      <c r="AC209" s="2510"/>
      <c r="AD209" s="2510"/>
      <c r="AE209" s="2510"/>
      <c r="AF209" s="2510"/>
      <c r="AG209" s="2510"/>
      <c r="AH209" s="2510"/>
      <c r="AI209" s="2510"/>
      <c r="AJ209" s="2510"/>
      <c r="AK209" s="2510"/>
      <c r="AL209" s="2510"/>
      <c r="AM209" s="2510"/>
      <c r="AN209" s="2510"/>
      <c r="AO209" s="2510"/>
      <c r="AP209" s="2510"/>
      <c r="AQ209" s="2510"/>
      <c r="AR209" s="2510"/>
      <c r="AS209" s="2510"/>
      <c r="AT209" s="2510"/>
      <c r="AU209" s="2510"/>
      <c r="AV209" s="2510"/>
      <c r="AW209" s="2510"/>
      <c r="AX209" s="2510"/>
      <c r="AY209" s="2510"/>
      <c r="AZ209" s="2510"/>
      <c r="BA209" s="2510"/>
      <c r="BB209" s="2510"/>
      <c r="BC209" s="2510"/>
      <c r="BD209" s="2510"/>
      <c r="BE209" s="2510"/>
      <c r="BF209" s="2510"/>
      <c r="BG209" s="2510"/>
      <c r="BH209" s="2510"/>
      <c r="BI209" s="2510"/>
      <c r="BJ209" s="2510"/>
      <c r="BK209" s="2510"/>
      <c r="BL209" s="2510"/>
      <c r="BM209" s="2510"/>
      <c r="BN209" s="2510"/>
      <c r="BO209" s="2510"/>
      <c r="BP209" s="2510"/>
      <c r="BQ209" s="2510"/>
      <c r="BR209" s="2510"/>
      <c r="BS209" s="2510"/>
      <c r="BT209" s="2510"/>
      <c r="BU209" s="2510"/>
      <c r="BV209" s="2510"/>
      <c r="BW209" s="2510"/>
      <c r="BX209" s="2510"/>
      <c r="BY209" s="2510"/>
      <c r="BZ209" s="2510"/>
      <c r="CA209" s="2510"/>
      <c r="CB209" s="2510"/>
      <c r="CC209" s="2510"/>
      <c r="CD209" s="2510"/>
      <c r="CE209" s="2510"/>
      <c r="CF209" s="2510"/>
      <c r="CG209" s="2510"/>
      <c r="CH209" s="2510"/>
      <c r="CI209" s="2510"/>
      <c r="CJ209" s="2510"/>
      <c r="CK209" s="2510"/>
      <c r="CL209" s="2510"/>
      <c r="CM209" s="2510"/>
      <c r="CN209" s="2510"/>
      <c r="CO209" s="2510"/>
      <c r="CP209" s="2510"/>
      <c r="CQ209" s="2510"/>
      <c r="CR209" s="2510"/>
      <c r="CS209" s="2510"/>
      <c r="CT209" s="2510"/>
      <c r="CU209" s="2510"/>
      <c r="CV209" s="2510"/>
      <c r="CW209" s="2510"/>
      <c r="CX209" s="2510"/>
      <c r="CY209" s="2510"/>
      <c r="CZ209" s="2510"/>
      <c r="DA209" s="2510"/>
      <c r="DB209" s="2510"/>
      <c r="DC209" s="2510"/>
      <c r="DD209" s="2510"/>
      <c r="DE209" s="2510"/>
      <c r="DF209" s="2510"/>
      <c r="DG209" s="2510"/>
      <c r="DH209" s="2510"/>
      <c r="DI209" s="2510"/>
      <c r="DJ209" s="2510"/>
      <c r="DK209" s="2510"/>
      <c r="DL209" s="2510"/>
      <c r="DM209" s="2510"/>
      <c r="DN209" s="2510"/>
      <c r="DO209" s="2510"/>
      <c r="DP209" s="2510"/>
      <c r="DQ209" s="2510"/>
      <c r="DR209" s="2510"/>
      <c r="DS209" s="2510"/>
      <c r="DT209" s="2510"/>
      <c r="DU209" s="2510"/>
      <c r="DV209" s="2510"/>
      <c r="DW209" s="2510"/>
      <c r="DX209" s="2510"/>
      <c r="DY209" s="2510"/>
      <c r="DZ209" s="2510"/>
      <c r="EA209" s="2510"/>
      <c r="EB209" s="2510"/>
      <c r="EC209" s="2510"/>
      <c r="ED209" s="2510"/>
      <c r="EE209" s="2510"/>
      <c r="EF209" s="2510"/>
      <c r="EG209" s="2510"/>
      <c r="EH209" s="2510"/>
      <c r="EI209" s="2510"/>
      <c r="EJ209" s="2510"/>
      <c r="EK209" s="2510"/>
      <c r="EL209" s="2510"/>
      <c r="EM209" s="2510"/>
      <c r="EN209" s="2510"/>
      <c r="EO209" s="2510"/>
      <c r="EP209" s="2510"/>
      <c r="EQ209" s="2510"/>
      <c r="ER209" s="2510"/>
      <c r="ES209" s="2510"/>
      <c r="ET209" s="2510"/>
      <c r="EU209" s="2510"/>
      <c r="EV209" s="2510"/>
      <c r="EW209" s="2510"/>
      <c r="EX209" s="2510"/>
      <c r="EY209" s="2510"/>
      <c r="EZ209" s="2510"/>
      <c r="FA209" s="2510"/>
      <c r="FB209" s="2510"/>
      <c r="FC209" s="2510"/>
      <c r="FD209" s="2510"/>
      <c r="FE209" s="2510"/>
      <c r="FF209" s="2510"/>
      <c r="FG209" s="2510"/>
      <c r="FH209" s="2510"/>
      <c r="FI209" s="2510"/>
      <c r="FJ209" s="2510"/>
      <c r="FK209" s="2510"/>
      <c r="FL209" s="2510"/>
      <c r="FM209" s="2510"/>
      <c r="FN209" s="2510"/>
      <c r="FO209" s="2510"/>
      <c r="FP209" s="2510"/>
      <c r="FQ209" s="2510"/>
      <c r="FR209" s="2510"/>
      <c r="FS209" s="2510"/>
      <c r="FT209" s="2510"/>
      <c r="FU209" s="2510"/>
      <c r="FV209" s="2510"/>
      <c r="FW209" s="2510"/>
      <c r="FX209" s="2510"/>
      <c r="FY209" s="2510"/>
      <c r="FZ209" s="2510"/>
      <c r="GA209" s="2510"/>
      <c r="GB209" s="2510"/>
      <c r="GC209" s="2510"/>
      <c r="GD209" s="2510"/>
      <c r="GE209" s="2510"/>
      <c r="GF209" s="2510"/>
      <c r="GG209" s="2510"/>
      <c r="GH209" s="2510"/>
      <c r="GI209" s="2510"/>
      <c r="GJ209" s="2510"/>
      <c r="GK209" s="2510"/>
      <c r="GL209" s="2510"/>
      <c r="GM209" s="2510"/>
      <c r="GN209" s="2510"/>
      <c r="GO209" s="2510"/>
      <c r="GP209" s="2510"/>
      <c r="GQ209" s="2510"/>
      <c r="GR209" s="2510"/>
      <c r="GS209" s="2510"/>
      <c r="GT209" s="2510"/>
      <c r="GU209" s="2510"/>
      <c r="GV209" s="2510"/>
      <c r="GW209" s="2510"/>
      <c r="GX209" s="2510"/>
      <c r="GY209" s="2510"/>
      <c r="GZ209" s="2510"/>
      <c r="HA209" s="2510"/>
      <c r="HB209" s="2510"/>
      <c r="HC209" s="2510"/>
      <c r="HD209" s="2510"/>
      <c r="HE209" s="2510"/>
      <c r="HF209" s="2510"/>
      <c r="HG209" s="2510"/>
      <c r="HH209" s="2510"/>
      <c r="HI209" s="2510"/>
      <c r="HJ209" s="2510"/>
      <c r="HK209" s="2510"/>
      <c r="HL209" s="2510"/>
      <c r="HM209" s="2510"/>
      <c r="HN209" s="2510"/>
      <c r="HO209" s="2510"/>
      <c r="HP209" s="2510"/>
      <c r="HQ209" s="2510"/>
      <c r="HR209" s="2510"/>
      <c r="HS209" s="2510"/>
      <c r="HT209" s="2510"/>
      <c r="HU209" s="2510"/>
      <c r="HV209" s="2510"/>
      <c r="HW209" s="2510"/>
      <c r="HX209" s="2510"/>
      <c r="HY209" s="2510"/>
      <c r="HZ209" s="2510"/>
      <c r="IA209" s="2510"/>
      <c r="IB209" s="2510"/>
      <c r="IC209" s="2510"/>
      <c r="ID209" s="2510"/>
      <c r="IE209" s="2510"/>
      <c r="IF209" s="2510"/>
      <c r="IG209" s="2510"/>
      <c r="IH209" s="2510"/>
      <c r="II209" s="2510"/>
      <c r="IJ209" s="2510"/>
      <c r="IK209" s="2510"/>
      <c r="IL209" s="2510"/>
      <c r="IM209" s="2510"/>
      <c r="IN209" s="2510"/>
      <c r="IO209" s="2510"/>
      <c r="IP209" s="2510"/>
      <c r="IQ209" s="2510"/>
      <c r="IR209" s="2510"/>
      <c r="IS209" s="2510"/>
      <c r="IT209" s="2510"/>
      <c r="IU209" s="2510"/>
      <c r="IV209" s="2510"/>
      <c r="IW209" s="2510"/>
      <c r="IX209" s="2510"/>
      <c r="IY209" s="2510"/>
      <c r="IZ209" s="2510"/>
      <c r="JA209" s="2510"/>
      <c r="JB209" s="2510"/>
      <c r="JC209" s="2510"/>
      <c r="JD209" s="2510"/>
      <c r="JE209" s="2510"/>
      <c r="JF209" s="2510"/>
      <c r="JG209" s="2479"/>
      <c r="JH209" s="1233"/>
      <c r="JI209" s="2248"/>
      <c r="JJ209" s="2248" t="s">
        <v>6124</v>
      </c>
    </row>
    <row r="210" spans="1:270" x14ac:dyDescent="0.2">
      <c r="A210" s="1128">
        <v>60</v>
      </c>
      <c r="B210" s="1347" t="str">
        <f si="12" t="shared"/>
        <v/>
      </c>
      <c r="C210" s="1278" t="s">
        <v>3802</v>
      </c>
      <c r="D210" s="1350" t="s">
        <v>4310</v>
      </c>
      <c r="E210" s="2472"/>
      <c r="F210" s="2472">
        <v>2700</v>
      </c>
      <c r="G210" s="2472"/>
      <c r="H210" s="2512">
        <v>2000</v>
      </c>
      <c r="I210" s="2512">
        <v>26999</v>
      </c>
      <c r="J210" s="2512">
        <v>8000</v>
      </c>
      <c r="K210" s="2512">
        <v>1504029</v>
      </c>
      <c r="L210" s="2579"/>
      <c r="M210" s="2579"/>
      <c r="N210" s="2579"/>
      <c r="O210" s="2579"/>
      <c r="P210" s="2579"/>
      <c r="Q210" s="2579"/>
      <c r="R210" s="2580"/>
      <c r="S210" s="2580"/>
      <c r="T210" s="2580"/>
      <c r="U210" s="2580"/>
      <c r="V210" s="2580"/>
      <c r="W210" s="2580"/>
      <c r="X210" s="2580"/>
      <c r="Y210" s="2580"/>
      <c r="Z210" s="2580"/>
      <c r="AA210" s="2580"/>
      <c r="AB210" s="2580"/>
      <c r="AC210" s="2580"/>
      <c r="AD210" s="2580"/>
      <c r="AE210" s="2580"/>
      <c r="AF210" s="2580"/>
      <c r="AG210" s="2580"/>
      <c r="AH210" s="2580"/>
      <c r="AI210" s="2580"/>
      <c r="AJ210" s="2580"/>
      <c r="AK210" s="2580"/>
      <c r="AL210" s="2580"/>
      <c r="AM210" s="2580"/>
      <c r="AN210" s="2580"/>
      <c r="AO210" s="2580"/>
      <c r="AP210" s="2580"/>
      <c r="AQ210" s="2580"/>
      <c r="AR210" s="2580"/>
      <c r="AS210" s="2580"/>
      <c r="AT210" s="2580"/>
      <c r="AU210" s="2580"/>
      <c r="AV210" s="2580"/>
      <c r="AW210" s="2580"/>
      <c r="AX210" s="2580"/>
      <c r="AY210" s="2580"/>
      <c r="AZ210" s="2580"/>
      <c r="BA210" s="2580"/>
      <c r="BB210" s="2580"/>
      <c r="BC210" s="2580"/>
      <c r="BD210" s="2580"/>
      <c r="BE210" s="2580"/>
      <c r="BF210" s="2580"/>
      <c r="BG210" s="2580"/>
      <c r="BH210" s="2580"/>
      <c r="BI210" s="2580"/>
      <c r="BJ210" s="2580"/>
      <c r="BK210" s="2580"/>
      <c r="BL210" s="2580"/>
      <c r="BM210" s="2580"/>
      <c r="BN210" s="2580"/>
      <c r="BO210" s="2580"/>
      <c r="BP210" s="2580"/>
      <c r="BQ210" s="2580"/>
      <c r="BR210" s="2580"/>
      <c r="BS210" s="2580"/>
      <c r="BT210" s="2580"/>
      <c r="BU210" s="2580"/>
      <c r="BV210" s="2580"/>
      <c r="BW210" s="2580"/>
      <c r="BX210" s="2580"/>
      <c r="BY210" s="2580"/>
      <c r="BZ210" s="2580"/>
      <c r="CA210" s="2580"/>
      <c r="CB210" s="2580"/>
      <c r="CC210" s="2580"/>
      <c r="CD210" s="2580"/>
      <c r="CE210" s="2580"/>
      <c r="CF210" s="2580"/>
      <c r="CG210" s="2580"/>
      <c r="CH210" s="2580"/>
      <c r="CI210" s="2580"/>
      <c r="CJ210" s="2580"/>
      <c r="CK210" s="2580"/>
      <c r="CL210" s="2580"/>
      <c r="CM210" s="2580"/>
      <c r="CN210" s="2580"/>
      <c r="CO210" s="2580"/>
      <c r="CP210" s="2580"/>
      <c r="CQ210" s="2580"/>
      <c r="CR210" s="2580"/>
      <c r="CS210" s="2580"/>
      <c r="CT210" s="2580"/>
      <c r="CU210" s="2580"/>
      <c r="CV210" s="2580"/>
      <c r="CW210" s="2580"/>
      <c r="CX210" s="2580"/>
      <c r="CY210" s="2580"/>
      <c r="CZ210" s="2580"/>
      <c r="DA210" s="2580"/>
      <c r="DB210" s="2580"/>
      <c r="DC210" s="2580"/>
      <c r="DD210" s="2580"/>
      <c r="DE210" s="2580"/>
      <c r="DF210" s="2580"/>
      <c r="DG210" s="2580"/>
      <c r="DH210" s="2580"/>
      <c r="DI210" s="2580"/>
      <c r="DJ210" s="2580"/>
      <c r="DK210" s="2580"/>
      <c r="DL210" s="2580"/>
      <c r="DM210" s="2580"/>
      <c r="DN210" s="2580"/>
      <c r="DO210" s="2580"/>
      <c r="DP210" s="2580"/>
      <c r="DQ210" s="2580"/>
      <c r="DR210" s="2580"/>
      <c r="DS210" s="2580"/>
      <c r="DT210" s="2580"/>
      <c r="DU210" s="2580"/>
      <c r="DV210" s="2580"/>
      <c r="DW210" s="2580"/>
      <c r="DX210" s="2580"/>
      <c r="DY210" s="2580"/>
      <c r="DZ210" s="2580"/>
      <c r="EA210" s="2580"/>
      <c r="EB210" s="2580"/>
      <c r="EC210" s="2580"/>
      <c r="ED210" s="2580"/>
      <c r="EE210" s="2580"/>
      <c r="EF210" s="2580"/>
      <c r="EG210" s="2580"/>
      <c r="EH210" s="2580"/>
      <c r="EI210" s="2580"/>
      <c r="EJ210" s="2580"/>
      <c r="EK210" s="2580"/>
      <c r="EL210" s="2580"/>
      <c r="EM210" s="2580"/>
      <c r="EN210" s="2580"/>
      <c r="EO210" s="2580"/>
      <c r="EP210" s="2580"/>
      <c r="EQ210" s="2580"/>
      <c r="ER210" s="2580"/>
      <c r="ES210" s="2580"/>
      <c r="ET210" s="2580"/>
      <c r="EU210" s="2580"/>
      <c r="EV210" s="2580"/>
      <c r="EW210" s="2580"/>
      <c r="EX210" s="2580"/>
      <c r="EY210" s="2580"/>
      <c r="EZ210" s="2580"/>
      <c r="FA210" s="2580"/>
      <c r="FB210" s="2580"/>
      <c r="FC210" s="2580"/>
      <c r="FD210" s="2580"/>
      <c r="FE210" s="2580"/>
      <c r="FF210" s="2580"/>
      <c r="FG210" s="2580"/>
      <c r="FH210" s="2580"/>
      <c r="FI210" s="2580"/>
      <c r="FJ210" s="2580"/>
      <c r="FK210" s="2580"/>
      <c r="FL210" s="2580"/>
      <c r="FM210" s="2580"/>
      <c r="FN210" s="2580"/>
      <c r="FO210" s="2580"/>
      <c r="FP210" s="2580"/>
      <c r="FQ210" s="2580"/>
      <c r="FR210" s="2580"/>
      <c r="FS210" s="2580"/>
      <c r="FT210" s="2580"/>
      <c r="FU210" s="2580"/>
      <c r="FV210" s="2580"/>
      <c r="FW210" s="2580"/>
      <c r="FX210" s="2580"/>
      <c r="FY210" s="2580"/>
      <c r="FZ210" s="2580"/>
      <c r="GA210" s="2580"/>
      <c r="GB210" s="2580"/>
      <c r="GC210" s="2580"/>
      <c r="GD210" s="2580"/>
      <c r="GE210" s="2580"/>
      <c r="GF210" s="2580"/>
      <c r="GG210" s="2580"/>
      <c r="GH210" s="2580"/>
      <c r="GI210" s="2580"/>
      <c r="GJ210" s="2580"/>
      <c r="GK210" s="2580"/>
      <c r="GL210" s="2580"/>
      <c r="GM210" s="2580"/>
      <c r="GN210" s="2580"/>
      <c r="GO210" s="2580"/>
      <c r="GP210" s="2580"/>
      <c r="GQ210" s="2580"/>
      <c r="GR210" s="2580"/>
      <c r="GS210" s="2580"/>
      <c r="GT210" s="2580"/>
      <c r="GU210" s="2580"/>
      <c r="GV210" s="2580"/>
      <c r="GW210" s="2580"/>
      <c r="GX210" s="2580"/>
      <c r="GY210" s="2580"/>
      <c r="GZ210" s="2580"/>
      <c r="HA210" s="2580"/>
      <c r="HB210" s="2580"/>
      <c r="HC210" s="2580"/>
      <c r="HD210" s="2580"/>
      <c r="HE210" s="2580"/>
      <c r="HF210" s="2580"/>
      <c r="HG210" s="2580"/>
      <c r="HH210" s="2580"/>
      <c r="HI210" s="2580"/>
      <c r="HJ210" s="2580"/>
      <c r="HK210" s="2580"/>
      <c r="HL210" s="2580"/>
      <c r="HM210" s="2580"/>
      <c r="HN210" s="2580"/>
      <c r="HO210" s="2580"/>
      <c r="HP210" s="2580"/>
      <c r="HQ210" s="2580"/>
      <c r="HR210" s="2580"/>
      <c r="HS210" s="2580"/>
      <c r="HT210" s="2580"/>
      <c r="HU210" s="2580"/>
      <c r="HV210" s="2580"/>
      <c r="HW210" s="2580"/>
      <c r="HX210" s="2580"/>
      <c r="HY210" s="2580"/>
      <c r="HZ210" s="2580"/>
      <c r="IA210" s="2580"/>
      <c r="IB210" s="2580"/>
      <c r="IC210" s="2580"/>
      <c r="ID210" s="2580"/>
      <c r="IE210" s="2580"/>
      <c r="IF210" s="2580"/>
      <c r="IG210" s="2580"/>
      <c r="IH210" s="2580"/>
      <c r="II210" s="2580"/>
      <c r="IJ210" s="2580"/>
      <c r="IK210" s="2580"/>
      <c r="IL210" s="2580"/>
      <c r="IM210" s="2580"/>
      <c r="IN210" s="2580"/>
      <c r="IO210" s="2580"/>
      <c r="IP210" s="2580"/>
      <c r="IQ210" s="2580"/>
      <c r="IR210" s="2580"/>
      <c r="IS210" s="2580"/>
      <c r="IT210" s="2580"/>
      <c r="IU210" s="2580"/>
      <c r="IV210" s="2580"/>
      <c r="IW210" s="2580"/>
      <c r="IX210" s="2580"/>
      <c r="IY210" s="2580"/>
      <c r="IZ210" s="2580"/>
      <c r="JA210" s="2580"/>
      <c r="JB210" s="2580"/>
      <c r="JC210" s="2580"/>
      <c r="JD210" s="2580"/>
      <c r="JE210" s="2580"/>
      <c r="JF210" s="2580"/>
      <c r="JG210" s="2581"/>
      <c r="JH210" s="1233"/>
      <c r="JI210" s="2248"/>
      <c r="JJ210" s="2248" t="s">
        <v>6108</v>
      </c>
    </row>
    <row r="211" spans="1:270" x14ac:dyDescent="0.2">
      <c r="A211" s="1128">
        <v>61</v>
      </c>
      <c r="B211" s="1347" t="str">
        <f si="12" t="shared"/>
        <v/>
      </c>
      <c r="C211" s="1278" t="s">
        <v>3803</v>
      </c>
      <c r="D211" s="1350" t="s">
        <v>5290</v>
      </c>
      <c r="E211" s="2513"/>
      <c r="F211" s="2514">
        <f ref="F211:K211" si="19" t="shared">F202</f>
        <v>2700</v>
      </c>
      <c r="G211" s="2513"/>
      <c r="H211" s="2514">
        <f si="19" t="shared"/>
        <v>2000</v>
      </c>
      <c r="I211" s="2514">
        <f si="19" t="shared"/>
        <v>4645</v>
      </c>
      <c r="J211" s="2514">
        <f si="19" t="shared"/>
        <v>7374</v>
      </c>
      <c r="K211" s="2514">
        <f si="19" t="shared"/>
        <v>1244496</v>
      </c>
      <c r="L211" s="2515"/>
      <c r="M211" s="2515"/>
      <c r="N211" s="2515"/>
      <c r="O211" s="2515"/>
      <c r="P211" s="2515"/>
      <c r="Q211" s="2515"/>
      <c r="R211" s="2516"/>
      <c r="S211" s="2516"/>
      <c r="T211" s="2516"/>
      <c r="U211" s="2516"/>
      <c r="V211" s="2516"/>
      <c r="W211" s="2516"/>
      <c r="X211" s="2516"/>
      <c r="Y211" s="2516"/>
      <c r="Z211" s="2516"/>
      <c r="AA211" s="2516"/>
      <c r="AB211" s="2516"/>
      <c r="AC211" s="2516"/>
      <c r="AD211" s="2516"/>
      <c r="AE211" s="2516"/>
      <c r="AF211" s="2516"/>
      <c r="AG211" s="2516"/>
      <c r="AH211" s="2516"/>
      <c r="AI211" s="2516"/>
      <c r="AJ211" s="2516"/>
      <c r="AK211" s="2516"/>
      <c r="AL211" s="2516"/>
      <c r="AM211" s="2516"/>
      <c r="AN211" s="2516"/>
      <c r="AO211" s="2516"/>
      <c r="AP211" s="2516"/>
      <c r="AQ211" s="2516"/>
      <c r="AR211" s="2516"/>
      <c r="AS211" s="2516"/>
      <c r="AT211" s="2516"/>
      <c r="AU211" s="2516"/>
      <c r="AV211" s="2516"/>
      <c r="AW211" s="2516"/>
      <c r="AX211" s="2516"/>
      <c r="AY211" s="2516"/>
      <c r="AZ211" s="2516"/>
      <c r="BA211" s="2516"/>
      <c r="BB211" s="2516"/>
      <c r="BC211" s="2516"/>
      <c r="BD211" s="2516"/>
      <c r="BE211" s="2516"/>
      <c r="BF211" s="2516"/>
      <c r="BG211" s="2516"/>
      <c r="BH211" s="2516"/>
      <c r="BI211" s="2516"/>
      <c r="BJ211" s="2516"/>
      <c r="BK211" s="2516"/>
      <c r="BL211" s="2516"/>
      <c r="BM211" s="2516"/>
      <c r="BN211" s="2516"/>
      <c r="BO211" s="2516"/>
      <c r="BP211" s="2516"/>
      <c r="BQ211" s="2516"/>
      <c r="BR211" s="2516"/>
      <c r="BS211" s="2516"/>
      <c r="BT211" s="2516"/>
      <c r="BU211" s="2516"/>
      <c r="BV211" s="2516"/>
      <c r="BW211" s="2516"/>
      <c r="BX211" s="2516"/>
      <c r="BY211" s="2516"/>
      <c r="BZ211" s="2516"/>
      <c r="CA211" s="2516"/>
      <c r="CB211" s="2516"/>
      <c r="CC211" s="2516"/>
      <c r="CD211" s="2516"/>
      <c r="CE211" s="2516"/>
      <c r="CF211" s="2516"/>
      <c r="CG211" s="2516"/>
      <c r="CH211" s="2516"/>
      <c r="CI211" s="2516"/>
      <c r="CJ211" s="2516"/>
      <c r="CK211" s="2516"/>
      <c r="CL211" s="2516"/>
      <c r="CM211" s="2516"/>
      <c r="CN211" s="2516"/>
      <c r="CO211" s="2516"/>
      <c r="CP211" s="2516"/>
      <c r="CQ211" s="2516"/>
      <c r="CR211" s="2516"/>
      <c r="CS211" s="2516"/>
      <c r="CT211" s="2516"/>
      <c r="CU211" s="2516"/>
      <c r="CV211" s="2516"/>
      <c r="CW211" s="2516"/>
      <c r="CX211" s="2516"/>
      <c r="CY211" s="2516"/>
      <c r="CZ211" s="2516"/>
      <c r="DA211" s="2516"/>
      <c r="DB211" s="2516"/>
      <c r="DC211" s="2516"/>
      <c r="DD211" s="2516"/>
      <c r="DE211" s="2516"/>
      <c r="DF211" s="2516"/>
      <c r="DG211" s="2516"/>
      <c r="DH211" s="2516"/>
      <c r="DI211" s="2516"/>
      <c r="DJ211" s="2516"/>
      <c r="DK211" s="2516"/>
      <c r="DL211" s="2516"/>
      <c r="DM211" s="2516"/>
      <c r="DN211" s="2516"/>
      <c r="DO211" s="2516"/>
      <c r="DP211" s="2516"/>
      <c r="DQ211" s="2516"/>
      <c r="DR211" s="2516"/>
      <c r="DS211" s="2516"/>
      <c r="DT211" s="2516"/>
      <c r="DU211" s="2516"/>
      <c r="DV211" s="2516"/>
      <c r="DW211" s="2516"/>
      <c r="DX211" s="2516"/>
      <c r="DY211" s="2516"/>
      <c r="DZ211" s="2516"/>
      <c r="EA211" s="2516"/>
      <c r="EB211" s="2516"/>
      <c r="EC211" s="2516"/>
      <c r="ED211" s="2516"/>
      <c r="EE211" s="2516"/>
      <c r="EF211" s="2516"/>
      <c r="EG211" s="2516"/>
      <c r="EH211" s="2516"/>
      <c r="EI211" s="2516"/>
      <c r="EJ211" s="2516"/>
      <c r="EK211" s="2516"/>
      <c r="EL211" s="2516"/>
      <c r="EM211" s="2516"/>
      <c r="EN211" s="2516"/>
      <c r="EO211" s="2516"/>
      <c r="EP211" s="2516"/>
      <c r="EQ211" s="2516"/>
      <c r="ER211" s="2516"/>
      <c r="ES211" s="2516"/>
      <c r="ET211" s="2516"/>
      <c r="EU211" s="2516"/>
      <c r="EV211" s="2516"/>
      <c r="EW211" s="2516"/>
      <c r="EX211" s="2516"/>
      <c r="EY211" s="2516"/>
      <c r="EZ211" s="2516"/>
      <c r="FA211" s="2516"/>
      <c r="FB211" s="2516"/>
      <c r="FC211" s="2516"/>
      <c r="FD211" s="2516"/>
      <c r="FE211" s="2516"/>
      <c r="FF211" s="2516"/>
      <c r="FG211" s="2516"/>
      <c r="FH211" s="2516"/>
      <c r="FI211" s="2516"/>
      <c r="FJ211" s="2516"/>
      <c r="FK211" s="2516"/>
      <c r="FL211" s="2516"/>
      <c r="FM211" s="2516"/>
      <c r="FN211" s="2516"/>
      <c r="FO211" s="2516"/>
      <c r="FP211" s="2516"/>
      <c r="FQ211" s="2516"/>
      <c r="FR211" s="2516"/>
      <c r="FS211" s="2516"/>
      <c r="FT211" s="2516"/>
      <c r="FU211" s="2516"/>
      <c r="FV211" s="2516"/>
      <c r="FW211" s="2516"/>
      <c r="FX211" s="2516"/>
      <c r="FY211" s="2516"/>
      <c r="FZ211" s="2516"/>
      <c r="GA211" s="2516"/>
      <c r="GB211" s="2516"/>
      <c r="GC211" s="2516"/>
      <c r="GD211" s="2516"/>
      <c r="GE211" s="2516"/>
      <c r="GF211" s="2516"/>
      <c r="GG211" s="2516"/>
      <c r="GH211" s="2516"/>
      <c r="GI211" s="2516"/>
      <c r="GJ211" s="2516"/>
      <c r="GK211" s="2516"/>
      <c r="GL211" s="2516"/>
      <c r="GM211" s="2516"/>
      <c r="GN211" s="2516"/>
      <c r="GO211" s="2516"/>
      <c r="GP211" s="2516"/>
      <c r="GQ211" s="2516"/>
      <c r="GR211" s="2516"/>
      <c r="GS211" s="2516"/>
      <c r="GT211" s="2516"/>
      <c r="GU211" s="2516"/>
      <c r="GV211" s="2516"/>
      <c r="GW211" s="2516"/>
      <c r="GX211" s="2516"/>
      <c r="GY211" s="2516"/>
      <c r="GZ211" s="2516"/>
      <c r="HA211" s="2516"/>
      <c r="HB211" s="2516"/>
      <c r="HC211" s="2516"/>
      <c r="HD211" s="2516"/>
      <c r="HE211" s="2516"/>
      <c r="HF211" s="2516"/>
      <c r="HG211" s="2516"/>
      <c r="HH211" s="2516"/>
      <c r="HI211" s="2516"/>
      <c r="HJ211" s="2516"/>
      <c r="HK211" s="2516"/>
      <c r="HL211" s="2516"/>
      <c r="HM211" s="2516"/>
      <c r="HN211" s="2516"/>
      <c r="HO211" s="2516"/>
      <c r="HP211" s="2516"/>
      <c r="HQ211" s="2516"/>
      <c r="HR211" s="2516"/>
      <c r="HS211" s="2516"/>
      <c r="HT211" s="2516"/>
      <c r="HU211" s="2516"/>
      <c r="HV211" s="2516"/>
      <c r="HW211" s="2516"/>
      <c r="HX211" s="2516"/>
      <c r="HY211" s="2516"/>
      <c r="HZ211" s="2516"/>
      <c r="IA211" s="2516"/>
      <c r="IB211" s="2516"/>
      <c r="IC211" s="2516"/>
      <c r="ID211" s="2516"/>
      <c r="IE211" s="2516"/>
      <c r="IF211" s="2516"/>
      <c r="IG211" s="2516"/>
      <c r="IH211" s="2516"/>
      <c r="II211" s="2516"/>
      <c r="IJ211" s="2516"/>
      <c r="IK211" s="2516"/>
      <c r="IL211" s="2516"/>
      <c r="IM211" s="2516"/>
      <c r="IN211" s="2516"/>
      <c r="IO211" s="2516"/>
      <c r="IP211" s="2516"/>
      <c r="IQ211" s="2516"/>
      <c r="IR211" s="2516"/>
      <c r="IS211" s="2516"/>
      <c r="IT211" s="2516"/>
      <c r="IU211" s="2516"/>
      <c r="IV211" s="2516"/>
      <c r="IW211" s="2516"/>
      <c r="IX211" s="2516"/>
      <c r="IY211" s="2516"/>
      <c r="IZ211" s="2516"/>
      <c r="JA211" s="2516"/>
      <c r="JB211" s="2516"/>
      <c r="JC211" s="2516"/>
      <c r="JD211" s="2516"/>
      <c r="JE211" s="2516"/>
      <c r="JF211" s="2516"/>
      <c r="JG211" s="2517"/>
      <c r="JH211" s="1233"/>
      <c r="JI211" s="2248" t="s">
        <v>5578</v>
      </c>
      <c r="JJ211" s="2248" t="s">
        <v>6127</v>
      </c>
    </row>
    <row r="212" spans="1:270" x14ac:dyDescent="0.2">
      <c r="A212" s="1128">
        <v>62</v>
      </c>
      <c r="B212" s="1347" t="str">
        <f si="12" t="shared"/>
        <v/>
      </c>
      <c r="C212" s="1278" t="s">
        <v>3804</v>
      </c>
      <c r="D212" s="1350" t="s">
        <v>5291</v>
      </c>
      <c r="E212" s="2514">
        <f>E209</f>
        <v>1187</v>
      </c>
      <c r="F212" s="2513"/>
      <c r="G212" s="2513"/>
      <c r="H212" s="2513"/>
      <c r="I212" s="2513"/>
      <c r="J212" s="2513"/>
      <c r="K212" s="2513"/>
      <c r="L212" s="2515"/>
      <c r="M212" s="2515"/>
      <c r="N212" s="2515"/>
      <c r="O212" s="2515"/>
      <c r="P212" s="2515"/>
      <c r="Q212" s="2515"/>
      <c r="R212" s="2516"/>
      <c r="S212" s="2516"/>
      <c r="T212" s="2516"/>
      <c r="U212" s="2516"/>
      <c r="V212" s="2516"/>
      <c r="W212" s="2516"/>
      <c r="X212" s="2516"/>
      <c r="Y212" s="2516"/>
      <c r="Z212" s="2516"/>
      <c r="AA212" s="2516"/>
      <c r="AB212" s="2516"/>
      <c r="AC212" s="2516"/>
      <c r="AD212" s="2516"/>
      <c r="AE212" s="2516"/>
      <c r="AF212" s="2516"/>
      <c r="AG212" s="2516"/>
      <c r="AH212" s="2516"/>
      <c r="AI212" s="2516"/>
      <c r="AJ212" s="2516"/>
      <c r="AK212" s="2516"/>
      <c r="AL212" s="2516"/>
      <c r="AM212" s="2516"/>
      <c r="AN212" s="2516"/>
      <c r="AO212" s="2516"/>
      <c r="AP212" s="2516"/>
      <c r="AQ212" s="2516"/>
      <c r="AR212" s="2516"/>
      <c r="AS212" s="2516"/>
      <c r="AT212" s="2516"/>
      <c r="AU212" s="2516"/>
      <c r="AV212" s="2516"/>
      <c r="AW212" s="2516"/>
      <c r="AX212" s="2516"/>
      <c r="AY212" s="2516"/>
      <c r="AZ212" s="2516"/>
      <c r="BA212" s="2516"/>
      <c r="BB212" s="2516"/>
      <c r="BC212" s="2516"/>
      <c r="BD212" s="2516"/>
      <c r="BE212" s="2516"/>
      <c r="BF212" s="2516"/>
      <c r="BG212" s="2516"/>
      <c r="BH212" s="2516"/>
      <c r="BI212" s="2516"/>
      <c r="BJ212" s="2516"/>
      <c r="BK212" s="2516"/>
      <c r="BL212" s="2516"/>
      <c r="BM212" s="2516"/>
      <c r="BN212" s="2516"/>
      <c r="BO212" s="2516"/>
      <c r="BP212" s="2516"/>
      <c r="BQ212" s="2516"/>
      <c r="BR212" s="2516"/>
      <c r="BS212" s="2516"/>
      <c r="BT212" s="2516"/>
      <c r="BU212" s="2516"/>
      <c r="BV212" s="2516"/>
      <c r="BW212" s="2516"/>
      <c r="BX212" s="2516"/>
      <c r="BY212" s="2516"/>
      <c r="BZ212" s="2516"/>
      <c r="CA212" s="2516"/>
      <c r="CB212" s="2516"/>
      <c r="CC212" s="2516"/>
      <c r="CD212" s="2516"/>
      <c r="CE212" s="2516"/>
      <c r="CF212" s="2516"/>
      <c r="CG212" s="2516"/>
      <c r="CH212" s="2516"/>
      <c r="CI212" s="2516"/>
      <c r="CJ212" s="2516"/>
      <c r="CK212" s="2516"/>
      <c r="CL212" s="2516"/>
      <c r="CM212" s="2516"/>
      <c r="CN212" s="2516"/>
      <c r="CO212" s="2516"/>
      <c r="CP212" s="2516"/>
      <c r="CQ212" s="2516"/>
      <c r="CR212" s="2516"/>
      <c r="CS212" s="2516"/>
      <c r="CT212" s="2516"/>
      <c r="CU212" s="2516"/>
      <c r="CV212" s="2516"/>
      <c r="CW212" s="2516"/>
      <c r="CX212" s="2516"/>
      <c r="CY212" s="2516"/>
      <c r="CZ212" s="2516"/>
      <c r="DA212" s="2516"/>
      <c r="DB212" s="2516"/>
      <c r="DC212" s="2516"/>
      <c r="DD212" s="2516"/>
      <c r="DE212" s="2516"/>
      <c r="DF212" s="2516"/>
      <c r="DG212" s="2516"/>
      <c r="DH212" s="2516"/>
      <c r="DI212" s="2516"/>
      <c r="DJ212" s="2516"/>
      <c r="DK212" s="2516"/>
      <c r="DL212" s="2516"/>
      <c r="DM212" s="2516"/>
      <c r="DN212" s="2516"/>
      <c r="DO212" s="2516"/>
      <c r="DP212" s="2516"/>
      <c r="DQ212" s="2516"/>
      <c r="DR212" s="2516"/>
      <c r="DS212" s="2516"/>
      <c r="DT212" s="2516"/>
      <c r="DU212" s="2516"/>
      <c r="DV212" s="2516"/>
      <c r="DW212" s="2516"/>
      <c r="DX212" s="2516"/>
      <c r="DY212" s="2516"/>
      <c r="DZ212" s="2516"/>
      <c r="EA212" s="2516"/>
      <c r="EB212" s="2516"/>
      <c r="EC212" s="2516"/>
      <c r="ED212" s="2516"/>
      <c r="EE212" s="2516"/>
      <c r="EF212" s="2516"/>
      <c r="EG212" s="2516"/>
      <c r="EH212" s="2516"/>
      <c r="EI212" s="2516"/>
      <c r="EJ212" s="2516"/>
      <c r="EK212" s="2516"/>
      <c r="EL212" s="2516"/>
      <c r="EM212" s="2516"/>
      <c r="EN212" s="2516"/>
      <c r="EO212" s="2516"/>
      <c r="EP212" s="2516"/>
      <c r="EQ212" s="2516"/>
      <c r="ER212" s="2516"/>
      <c r="ES212" s="2516"/>
      <c r="ET212" s="2516"/>
      <c r="EU212" s="2516"/>
      <c r="EV212" s="2516"/>
      <c r="EW212" s="2516"/>
      <c r="EX212" s="2516"/>
      <c r="EY212" s="2516"/>
      <c r="EZ212" s="2516"/>
      <c r="FA212" s="2516"/>
      <c r="FB212" s="2516"/>
      <c r="FC212" s="2516"/>
      <c r="FD212" s="2516"/>
      <c r="FE212" s="2516"/>
      <c r="FF212" s="2516"/>
      <c r="FG212" s="2516"/>
      <c r="FH212" s="2516"/>
      <c r="FI212" s="2516"/>
      <c r="FJ212" s="2516"/>
      <c r="FK212" s="2516"/>
      <c r="FL212" s="2516"/>
      <c r="FM212" s="2516"/>
      <c r="FN212" s="2516"/>
      <c r="FO212" s="2516"/>
      <c r="FP212" s="2516"/>
      <c r="FQ212" s="2516"/>
      <c r="FR212" s="2516"/>
      <c r="FS212" s="2516"/>
      <c r="FT212" s="2516"/>
      <c r="FU212" s="2516"/>
      <c r="FV212" s="2516"/>
      <c r="FW212" s="2516"/>
      <c r="FX212" s="2516"/>
      <c r="FY212" s="2516"/>
      <c r="FZ212" s="2516"/>
      <c r="GA212" s="2516"/>
      <c r="GB212" s="2516"/>
      <c r="GC212" s="2516"/>
      <c r="GD212" s="2516"/>
      <c r="GE212" s="2516"/>
      <c r="GF212" s="2516"/>
      <c r="GG212" s="2516"/>
      <c r="GH212" s="2516"/>
      <c r="GI212" s="2516"/>
      <c r="GJ212" s="2516"/>
      <c r="GK212" s="2516"/>
      <c r="GL212" s="2516"/>
      <c r="GM212" s="2516"/>
      <c r="GN212" s="2516"/>
      <c r="GO212" s="2516"/>
      <c r="GP212" s="2516"/>
      <c r="GQ212" s="2516"/>
      <c r="GR212" s="2516"/>
      <c r="GS212" s="2516"/>
      <c r="GT212" s="2516"/>
      <c r="GU212" s="2516"/>
      <c r="GV212" s="2516"/>
      <c r="GW212" s="2516"/>
      <c r="GX212" s="2516"/>
      <c r="GY212" s="2516"/>
      <c r="GZ212" s="2516"/>
      <c r="HA212" s="2516"/>
      <c r="HB212" s="2516"/>
      <c r="HC212" s="2516"/>
      <c r="HD212" s="2516"/>
      <c r="HE212" s="2516"/>
      <c r="HF212" s="2516"/>
      <c r="HG212" s="2516"/>
      <c r="HH212" s="2516"/>
      <c r="HI212" s="2516"/>
      <c r="HJ212" s="2516"/>
      <c r="HK212" s="2516"/>
      <c r="HL212" s="2516"/>
      <c r="HM212" s="2516"/>
      <c r="HN212" s="2516"/>
      <c r="HO212" s="2516"/>
      <c r="HP212" s="2516"/>
      <c r="HQ212" s="2516"/>
      <c r="HR212" s="2516"/>
      <c r="HS212" s="2516"/>
      <c r="HT212" s="2516"/>
      <c r="HU212" s="2516"/>
      <c r="HV212" s="2516"/>
      <c r="HW212" s="2516"/>
      <c r="HX212" s="2516"/>
      <c r="HY212" s="2516"/>
      <c r="HZ212" s="2516"/>
      <c r="IA212" s="2516"/>
      <c r="IB212" s="2516"/>
      <c r="IC212" s="2516"/>
      <c r="ID212" s="2516"/>
      <c r="IE212" s="2516"/>
      <c r="IF212" s="2516"/>
      <c r="IG212" s="2516"/>
      <c r="IH212" s="2516"/>
      <c r="II212" s="2516"/>
      <c r="IJ212" s="2516"/>
      <c r="IK212" s="2516"/>
      <c r="IL212" s="2516"/>
      <c r="IM212" s="2516"/>
      <c r="IN212" s="2516"/>
      <c r="IO212" s="2516"/>
      <c r="IP212" s="2516"/>
      <c r="IQ212" s="2516"/>
      <c r="IR212" s="2516"/>
      <c r="IS212" s="2516"/>
      <c r="IT212" s="2516"/>
      <c r="IU212" s="2516"/>
      <c r="IV212" s="2516"/>
      <c r="IW212" s="2516"/>
      <c r="IX212" s="2516"/>
      <c r="IY212" s="2516"/>
      <c r="IZ212" s="2516"/>
      <c r="JA212" s="2516"/>
      <c r="JB212" s="2516"/>
      <c r="JC212" s="2516"/>
      <c r="JD212" s="2516"/>
      <c r="JE212" s="2516"/>
      <c r="JF212" s="2516"/>
      <c r="JG212" s="2517"/>
      <c r="JH212" s="1233"/>
      <c r="JI212" s="2248" t="s">
        <v>5579</v>
      </c>
      <c r="JJ212" s="2248" t="s">
        <v>6124</v>
      </c>
    </row>
    <row ht="33.75" r="213" spans="1:270" x14ac:dyDescent="0.2">
      <c r="A213" s="1128">
        <v>63</v>
      </c>
      <c r="B213" s="1347" t="str">
        <f si="12" t="shared"/>
        <v/>
      </c>
      <c r="C213" s="1278" t="s">
        <v>3805</v>
      </c>
      <c r="D213" s="1350" t="s">
        <v>5292</v>
      </c>
      <c r="E213" s="2514">
        <f ref="E213:K213" si="20" t="shared">MAX(0,E210+E212-E211)</f>
        <v>1187</v>
      </c>
      <c r="F213" s="2513"/>
      <c r="G213" s="2513"/>
      <c r="H213" s="2513"/>
      <c r="I213" s="2514">
        <f si="20" t="shared"/>
        <v>22354</v>
      </c>
      <c r="J213" s="2514">
        <f si="20" t="shared"/>
        <v>626</v>
      </c>
      <c r="K213" s="2514">
        <f si="20" t="shared"/>
        <v>259533</v>
      </c>
      <c r="L213" s="2515"/>
      <c r="M213" s="2515"/>
      <c r="N213" s="2515"/>
      <c r="O213" s="2515"/>
      <c r="P213" s="2515"/>
      <c r="Q213" s="2515"/>
      <c r="R213" s="2516"/>
      <c r="S213" s="2516"/>
      <c r="T213" s="2516"/>
      <c r="U213" s="2516"/>
      <c r="V213" s="2516"/>
      <c r="W213" s="2516"/>
      <c r="X213" s="2516"/>
      <c r="Y213" s="2516"/>
      <c r="Z213" s="2516"/>
      <c r="AA213" s="2516"/>
      <c r="AB213" s="2516"/>
      <c r="AC213" s="2516"/>
      <c r="AD213" s="2516"/>
      <c r="AE213" s="2516"/>
      <c r="AF213" s="2516"/>
      <c r="AG213" s="2516"/>
      <c r="AH213" s="2516"/>
      <c r="AI213" s="2516"/>
      <c r="AJ213" s="2516"/>
      <c r="AK213" s="2516"/>
      <c r="AL213" s="2516"/>
      <c r="AM213" s="2516"/>
      <c r="AN213" s="2516"/>
      <c r="AO213" s="2516"/>
      <c r="AP213" s="2516"/>
      <c r="AQ213" s="2516"/>
      <c r="AR213" s="2516"/>
      <c r="AS213" s="2516"/>
      <c r="AT213" s="2516"/>
      <c r="AU213" s="2516"/>
      <c r="AV213" s="2516"/>
      <c r="AW213" s="2516"/>
      <c r="AX213" s="2516"/>
      <c r="AY213" s="2516"/>
      <c r="AZ213" s="2516"/>
      <c r="BA213" s="2516"/>
      <c r="BB213" s="2516"/>
      <c r="BC213" s="2516"/>
      <c r="BD213" s="2516"/>
      <c r="BE213" s="2516"/>
      <c r="BF213" s="2516"/>
      <c r="BG213" s="2516"/>
      <c r="BH213" s="2516"/>
      <c r="BI213" s="2516"/>
      <c r="BJ213" s="2516"/>
      <c r="BK213" s="2516"/>
      <c r="BL213" s="2516"/>
      <c r="BM213" s="2516"/>
      <c r="BN213" s="2516"/>
      <c r="BO213" s="2516"/>
      <c r="BP213" s="2516"/>
      <c r="BQ213" s="2516"/>
      <c r="BR213" s="2516"/>
      <c r="BS213" s="2516"/>
      <c r="BT213" s="2516"/>
      <c r="BU213" s="2516"/>
      <c r="BV213" s="2516"/>
      <c r="BW213" s="2516"/>
      <c r="BX213" s="2516"/>
      <c r="BY213" s="2516"/>
      <c r="BZ213" s="2516"/>
      <c r="CA213" s="2516"/>
      <c r="CB213" s="2516"/>
      <c r="CC213" s="2516"/>
      <c r="CD213" s="2516"/>
      <c r="CE213" s="2516"/>
      <c r="CF213" s="2516"/>
      <c r="CG213" s="2516"/>
      <c r="CH213" s="2516"/>
      <c r="CI213" s="2516"/>
      <c r="CJ213" s="2516"/>
      <c r="CK213" s="2516"/>
      <c r="CL213" s="2516"/>
      <c r="CM213" s="2516"/>
      <c r="CN213" s="2516"/>
      <c r="CO213" s="2516"/>
      <c r="CP213" s="2516"/>
      <c r="CQ213" s="2516"/>
      <c r="CR213" s="2516"/>
      <c r="CS213" s="2516"/>
      <c r="CT213" s="2516"/>
      <c r="CU213" s="2516"/>
      <c r="CV213" s="2516"/>
      <c r="CW213" s="2516"/>
      <c r="CX213" s="2516"/>
      <c r="CY213" s="2516"/>
      <c r="CZ213" s="2516"/>
      <c r="DA213" s="2516"/>
      <c r="DB213" s="2516"/>
      <c r="DC213" s="2516"/>
      <c r="DD213" s="2516"/>
      <c r="DE213" s="2516"/>
      <c r="DF213" s="2516"/>
      <c r="DG213" s="2516"/>
      <c r="DH213" s="2516"/>
      <c r="DI213" s="2516"/>
      <c r="DJ213" s="2516"/>
      <c r="DK213" s="2516"/>
      <c r="DL213" s="2516"/>
      <c r="DM213" s="2516"/>
      <c r="DN213" s="2516"/>
      <c r="DO213" s="2516"/>
      <c r="DP213" s="2516"/>
      <c r="DQ213" s="2516"/>
      <c r="DR213" s="2516"/>
      <c r="DS213" s="2516"/>
      <c r="DT213" s="2516"/>
      <c r="DU213" s="2516"/>
      <c r="DV213" s="2516"/>
      <c r="DW213" s="2516"/>
      <c r="DX213" s="2516"/>
      <c r="DY213" s="2516"/>
      <c r="DZ213" s="2516"/>
      <c r="EA213" s="2516"/>
      <c r="EB213" s="2516"/>
      <c r="EC213" s="2516"/>
      <c r="ED213" s="2516"/>
      <c r="EE213" s="2516"/>
      <c r="EF213" s="2516"/>
      <c r="EG213" s="2516"/>
      <c r="EH213" s="2516"/>
      <c r="EI213" s="2516"/>
      <c r="EJ213" s="2516"/>
      <c r="EK213" s="2516"/>
      <c r="EL213" s="2516"/>
      <c r="EM213" s="2516"/>
      <c r="EN213" s="2516"/>
      <c r="EO213" s="2516"/>
      <c r="EP213" s="2516"/>
      <c r="EQ213" s="2516"/>
      <c r="ER213" s="2516"/>
      <c r="ES213" s="2516"/>
      <c r="ET213" s="2516"/>
      <c r="EU213" s="2516"/>
      <c r="EV213" s="2516"/>
      <c r="EW213" s="2516"/>
      <c r="EX213" s="2516"/>
      <c r="EY213" s="2516"/>
      <c r="EZ213" s="2516"/>
      <c r="FA213" s="2516"/>
      <c r="FB213" s="2516"/>
      <c r="FC213" s="2516"/>
      <c r="FD213" s="2516"/>
      <c r="FE213" s="2516"/>
      <c r="FF213" s="2516"/>
      <c r="FG213" s="2516"/>
      <c r="FH213" s="2516"/>
      <c r="FI213" s="2516"/>
      <c r="FJ213" s="2516"/>
      <c r="FK213" s="2516"/>
      <c r="FL213" s="2516"/>
      <c r="FM213" s="2516"/>
      <c r="FN213" s="2516"/>
      <c r="FO213" s="2516"/>
      <c r="FP213" s="2516"/>
      <c r="FQ213" s="2516"/>
      <c r="FR213" s="2516"/>
      <c r="FS213" s="2516"/>
      <c r="FT213" s="2516"/>
      <c r="FU213" s="2516"/>
      <c r="FV213" s="2516"/>
      <c r="FW213" s="2516"/>
      <c r="FX213" s="2516"/>
      <c r="FY213" s="2516"/>
      <c r="FZ213" s="2516"/>
      <c r="GA213" s="2516"/>
      <c r="GB213" s="2516"/>
      <c r="GC213" s="2516"/>
      <c r="GD213" s="2516"/>
      <c r="GE213" s="2516"/>
      <c r="GF213" s="2516"/>
      <c r="GG213" s="2516"/>
      <c r="GH213" s="2516"/>
      <c r="GI213" s="2516"/>
      <c r="GJ213" s="2516"/>
      <c r="GK213" s="2516"/>
      <c r="GL213" s="2516"/>
      <c r="GM213" s="2516"/>
      <c r="GN213" s="2516"/>
      <c r="GO213" s="2516"/>
      <c r="GP213" s="2516"/>
      <c r="GQ213" s="2516"/>
      <c r="GR213" s="2516"/>
      <c r="GS213" s="2516"/>
      <c r="GT213" s="2516"/>
      <c r="GU213" s="2516"/>
      <c r="GV213" s="2516"/>
      <c r="GW213" s="2516"/>
      <c r="GX213" s="2516"/>
      <c r="GY213" s="2516"/>
      <c r="GZ213" s="2516"/>
      <c r="HA213" s="2516"/>
      <c r="HB213" s="2516"/>
      <c r="HC213" s="2516"/>
      <c r="HD213" s="2516"/>
      <c r="HE213" s="2516"/>
      <c r="HF213" s="2516"/>
      <c r="HG213" s="2516"/>
      <c r="HH213" s="2516"/>
      <c r="HI213" s="2516"/>
      <c r="HJ213" s="2516"/>
      <c r="HK213" s="2516"/>
      <c r="HL213" s="2516"/>
      <c r="HM213" s="2516"/>
      <c r="HN213" s="2516"/>
      <c r="HO213" s="2516"/>
      <c r="HP213" s="2516"/>
      <c r="HQ213" s="2516"/>
      <c r="HR213" s="2516"/>
      <c r="HS213" s="2516"/>
      <c r="HT213" s="2516"/>
      <c r="HU213" s="2516"/>
      <c r="HV213" s="2516"/>
      <c r="HW213" s="2516"/>
      <c r="HX213" s="2516"/>
      <c r="HY213" s="2516"/>
      <c r="HZ213" s="2516"/>
      <c r="IA213" s="2516"/>
      <c r="IB213" s="2516"/>
      <c r="IC213" s="2516"/>
      <c r="ID213" s="2516"/>
      <c r="IE213" s="2516"/>
      <c r="IF213" s="2516"/>
      <c r="IG213" s="2516"/>
      <c r="IH213" s="2516"/>
      <c r="II213" s="2516"/>
      <c r="IJ213" s="2516"/>
      <c r="IK213" s="2516"/>
      <c r="IL213" s="2516"/>
      <c r="IM213" s="2516"/>
      <c r="IN213" s="2516"/>
      <c r="IO213" s="2516"/>
      <c r="IP213" s="2516"/>
      <c r="IQ213" s="2516"/>
      <c r="IR213" s="2516"/>
      <c r="IS213" s="2516"/>
      <c r="IT213" s="2516"/>
      <c r="IU213" s="2516"/>
      <c r="IV213" s="2516"/>
      <c r="IW213" s="2516"/>
      <c r="IX213" s="2516"/>
      <c r="IY213" s="2516"/>
      <c r="IZ213" s="2516"/>
      <c r="JA213" s="2516"/>
      <c r="JB213" s="2516"/>
      <c r="JC213" s="2516"/>
      <c r="JD213" s="2516"/>
      <c r="JE213" s="2516"/>
      <c r="JF213" s="2516"/>
      <c r="JG213" s="2517"/>
      <c r="JH213" s="1233"/>
      <c r="JI213" s="2248" t="s">
        <v>5580</v>
      </c>
      <c r="JJ213" s="2248" t="s">
        <v>6124</v>
      </c>
    </row>
    <row r="214" spans="1:270" x14ac:dyDescent="0.2">
      <c r="A214" s="1128">
        <v>64</v>
      </c>
      <c r="B214" s="1347" t="str">
        <f si="12" t="shared"/>
        <v/>
      </c>
      <c r="C214" s="1524" t="s">
        <v>3806</v>
      </c>
      <c r="D214" s="1350" t="str">
        <f>"If your total profits for "&amp;tax_year&amp;" are less than "&amp;DOLLAR(NIC2_SPT,0)&amp;" and you choose to pay Class 2 NICs voluntarily, put 'X' in the box"</f>
        <v>If your total profits for 2019-20 are less than $6,365 and you choose to pay Class 2 NICs voluntarily, put 'X' in the box</v>
      </c>
      <c r="E214" s="2528" t="str">
        <f ref="E214:K214" si="21" t="shared">IF(LUN_IND&gt;1,IF(SE_A_IND&gt;1,"",IF(SE_B_IND&gt;1,"",IF(PS_A_IND&gt;1,"",IF(PS_B_IND&gt;1,"",IF(AND(E203&lt;NIC2_SPT,NIC2_Vol,NIC_ex_set=FALSE),"Y","N"))))),"")</f>
        <v/>
      </c>
      <c r="F214" s="2528" t="str">
        <f si="21" t="shared"/>
        <v/>
      </c>
      <c r="G214" s="2528" t="str">
        <f si="21" t="shared"/>
        <v/>
      </c>
      <c r="H214" s="2528" t="str">
        <f si="21" t="shared"/>
        <v/>
      </c>
      <c r="I214" s="2528" t="str">
        <f si="21" t="shared"/>
        <v/>
      </c>
      <c r="J214" s="2528" t="str">
        <f si="21" t="shared"/>
        <v/>
      </c>
      <c r="K214" s="2528" t="str">
        <f si="21" t="shared"/>
        <v/>
      </c>
      <c r="L214" s="2529"/>
      <c r="M214" s="2529"/>
      <c r="N214" s="2529"/>
      <c r="O214" s="2529"/>
      <c r="P214" s="2529"/>
      <c r="Q214" s="2529"/>
      <c r="R214" s="2530"/>
      <c r="S214" s="2530"/>
      <c r="T214" s="2530"/>
      <c r="U214" s="2530"/>
      <c r="V214" s="2530"/>
      <c r="W214" s="2530"/>
      <c r="X214" s="2530"/>
      <c r="Y214" s="2530"/>
      <c r="Z214" s="2530"/>
      <c r="AA214" s="2530"/>
      <c r="AB214" s="2530"/>
      <c r="AC214" s="2530"/>
      <c r="AD214" s="2530"/>
      <c r="AE214" s="2530"/>
      <c r="AF214" s="2530"/>
      <c r="AG214" s="2530"/>
      <c r="AH214" s="2530"/>
      <c r="AI214" s="2530"/>
      <c r="AJ214" s="2530"/>
      <c r="AK214" s="2530"/>
      <c r="AL214" s="2530"/>
      <c r="AM214" s="2530"/>
      <c r="AN214" s="2530"/>
      <c r="AO214" s="2530"/>
      <c r="AP214" s="2530"/>
      <c r="AQ214" s="2530"/>
      <c r="AR214" s="2530"/>
      <c r="AS214" s="2530"/>
      <c r="AT214" s="2530"/>
      <c r="AU214" s="2530"/>
      <c r="AV214" s="2530"/>
      <c r="AW214" s="2530"/>
      <c r="AX214" s="2530"/>
      <c r="AY214" s="2530"/>
      <c r="AZ214" s="2530"/>
      <c r="BA214" s="2530"/>
      <c r="BB214" s="2530"/>
      <c r="BC214" s="2530"/>
      <c r="BD214" s="2530"/>
      <c r="BE214" s="2530"/>
      <c r="BF214" s="2530"/>
      <c r="BG214" s="2530"/>
      <c r="BH214" s="2530"/>
      <c r="BI214" s="2530"/>
      <c r="BJ214" s="2530"/>
      <c r="BK214" s="2530"/>
      <c r="BL214" s="2530"/>
      <c r="BM214" s="2530"/>
      <c r="BN214" s="2530"/>
      <c r="BO214" s="2530"/>
      <c r="BP214" s="2530"/>
      <c r="BQ214" s="2530"/>
      <c r="BR214" s="2530"/>
      <c r="BS214" s="2530"/>
      <c r="BT214" s="2530"/>
      <c r="BU214" s="2530"/>
      <c r="BV214" s="2530"/>
      <c r="BW214" s="2530"/>
      <c r="BX214" s="2530"/>
      <c r="BY214" s="2530"/>
      <c r="BZ214" s="2530"/>
      <c r="CA214" s="2530"/>
      <c r="CB214" s="2530"/>
      <c r="CC214" s="2530"/>
      <c r="CD214" s="2530"/>
      <c r="CE214" s="2530"/>
      <c r="CF214" s="2530"/>
      <c r="CG214" s="2530"/>
      <c r="CH214" s="2530"/>
      <c r="CI214" s="2530"/>
      <c r="CJ214" s="2530"/>
      <c r="CK214" s="2530"/>
      <c r="CL214" s="2530"/>
      <c r="CM214" s="2530"/>
      <c r="CN214" s="2530"/>
      <c r="CO214" s="2530"/>
      <c r="CP214" s="2530"/>
      <c r="CQ214" s="2530"/>
      <c r="CR214" s="2530"/>
      <c r="CS214" s="2530"/>
      <c r="CT214" s="2530"/>
      <c r="CU214" s="2530"/>
      <c r="CV214" s="2530"/>
      <c r="CW214" s="2530"/>
      <c r="CX214" s="2530"/>
      <c r="CY214" s="2530"/>
      <c r="CZ214" s="2530"/>
      <c r="DA214" s="2530"/>
      <c r="DB214" s="2530"/>
      <c r="DC214" s="2530"/>
      <c r="DD214" s="2530"/>
      <c r="DE214" s="2530"/>
      <c r="DF214" s="2530"/>
      <c r="DG214" s="2530"/>
      <c r="DH214" s="2530"/>
      <c r="DI214" s="2530"/>
      <c r="DJ214" s="2530"/>
      <c r="DK214" s="2530"/>
      <c r="DL214" s="2530"/>
      <c r="DM214" s="2530"/>
      <c r="DN214" s="2530"/>
      <c r="DO214" s="2530"/>
      <c r="DP214" s="2530"/>
      <c r="DQ214" s="2530"/>
      <c r="DR214" s="2530"/>
      <c r="DS214" s="2530"/>
      <c r="DT214" s="2530"/>
      <c r="DU214" s="2530"/>
      <c r="DV214" s="2530"/>
      <c r="DW214" s="2530"/>
      <c r="DX214" s="2530"/>
      <c r="DY214" s="2530"/>
      <c r="DZ214" s="2530"/>
      <c r="EA214" s="2530"/>
      <c r="EB214" s="2530"/>
      <c r="EC214" s="2530"/>
      <c r="ED214" s="2530"/>
      <c r="EE214" s="2530"/>
      <c r="EF214" s="2530"/>
      <c r="EG214" s="2530"/>
      <c r="EH214" s="2530"/>
      <c r="EI214" s="2530"/>
      <c r="EJ214" s="2530"/>
      <c r="EK214" s="2530"/>
      <c r="EL214" s="2530"/>
      <c r="EM214" s="2530"/>
      <c r="EN214" s="2530"/>
      <c r="EO214" s="2530"/>
      <c r="EP214" s="2530"/>
      <c r="EQ214" s="2530"/>
      <c r="ER214" s="2530"/>
      <c r="ES214" s="2530"/>
      <c r="ET214" s="2530"/>
      <c r="EU214" s="2530"/>
      <c r="EV214" s="2530"/>
      <c r="EW214" s="2530"/>
      <c r="EX214" s="2530"/>
      <c r="EY214" s="2530"/>
      <c r="EZ214" s="2530"/>
      <c r="FA214" s="2530"/>
      <c r="FB214" s="2530"/>
      <c r="FC214" s="2530"/>
      <c r="FD214" s="2530"/>
      <c r="FE214" s="2530"/>
      <c r="FF214" s="2530"/>
      <c r="FG214" s="2530"/>
      <c r="FH214" s="2530"/>
      <c r="FI214" s="2530"/>
      <c r="FJ214" s="2530"/>
      <c r="FK214" s="2530"/>
      <c r="FL214" s="2530"/>
      <c r="FM214" s="2530"/>
      <c r="FN214" s="2530"/>
      <c r="FO214" s="2530"/>
      <c r="FP214" s="2530"/>
      <c r="FQ214" s="2530"/>
      <c r="FR214" s="2530"/>
      <c r="FS214" s="2530"/>
      <c r="FT214" s="2530"/>
      <c r="FU214" s="2530"/>
      <c r="FV214" s="2530"/>
      <c r="FW214" s="2530"/>
      <c r="FX214" s="2530"/>
      <c r="FY214" s="2530"/>
      <c r="FZ214" s="2530"/>
      <c r="GA214" s="2530"/>
      <c r="GB214" s="2530"/>
      <c r="GC214" s="2530"/>
      <c r="GD214" s="2530"/>
      <c r="GE214" s="2530"/>
      <c r="GF214" s="2530"/>
      <c r="GG214" s="2530"/>
      <c r="GH214" s="2530"/>
      <c r="GI214" s="2530"/>
      <c r="GJ214" s="2530"/>
      <c r="GK214" s="2530"/>
      <c r="GL214" s="2530"/>
      <c r="GM214" s="2530"/>
      <c r="GN214" s="2530"/>
      <c r="GO214" s="2530"/>
      <c r="GP214" s="2530"/>
      <c r="GQ214" s="2530"/>
      <c r="GR214" s="2530"/>
      <c r="GS214" s="2530"/>
      <c r="GT214" s="2530"/>
      <c r="GU214" s="2530"/>
      <c r="GV214" s="2530"/>
      <c r="GW214" s="2530"/>
      <c r="GX214" s="2530"/>
      <c r="GY214" s="2530"/>
      <c r="GZ214" s="2530"/>
      <c r="HA214" s="2530"/>
      <c r="HB214" s="2530"/>
      <c r="HC214" s="2530"/>
      <c r="HD214" s="2530"/>
      <c r="HE214" s="2530"/>
      <c r="HF214" s="2530"/>
      <c r="HG214" s="2530"/>
      <c r="HH214" s="2530"/>
      <c r="HI214" s="2530"/>
      <c r="HJ214" s="2530"/>
      <c r="HK214" s="2530"/>
      <c r="HL214" s="2530"/>
      <c r="HM214" s="2530"/>
      <c r="HN214" s="2530"/>
      <c r="HO214" s="2530"/>
      <c r="HP214" s="2530"/>
      <c r="HQ214" s="2530"/>
      <c r="HR214" s="2530"/>
      <c r="HS214" s="2530"/>
      <c r="HT214" s="2530"/>
      <c r="HU214" s="2530"/>
      <c r="HV214" s="2530"/>
      <c r="HW214" s="2530"/>
      <c r="HX214" s="2530"/>
      <c r="HY214" s="2530"/>
      <c r="HZ214" s="2530"/>
      <c r="IA214" s="2530"/>
      <c r="IB214" s="2530"/>
      <c r="IC214" s="2530"/>
      <c r="ID214" s="2530"/>
      <c r="IE214" s="2530"/>
      <c r="IF214" s="2530"/>
      <c r="IG214" s="2530"/>
      <c r="IH214" s="2530"/>
      <c r="II214" s="2530"/>
      <c r="IJ214" s="2530"/>
      <c r="IK214" s="2530"/>
      <c r="IL214" s="2530"/>
      <c r="IM214" s="2530"/>
      <c r="IN214" s="2530"/>
      <c r="IO214" s="2530"/>
      <c r="IP214" s="2530"/>
      <c r="IQ214" s="2530"/>
      <c r="IR214" s="2530"/>
      <c r="IS214" s="2530"/>
      <c r="IT214" s="2530"/>
      <c r="IU214" s="2530"/>
      <c r="IV214" s="2530"/>
      <c r="IW214" s="2530"/>
      <c r="IX214" s="2530"/>
      <c r="IY214" s="2530"/>
      <c r="IZ214" s="2530"/>
      <c r="JA214" s="2530"/>
      <c r="JB214" s="2530"/>
      <c r="JC214" s="2530"/>
      <c r="JD214" s="2530"/>
      <c r="JE214" s="2530"/>
      <c r="JF214" s="2530"/>
      <c r="JG214" s="2531"/>
      <c r="JH214" s="1233"/>
      <c r="JI214" s="2248"/>
      <c r="JJ214" s="2248" t="s">
        <v>6111</v>
      </c>
    </row>
    <row r="215" spans="1:270" x14ac:dyDescent="0.2">
      <c r="A215" s="1128">
        <v>65</v>
      </c>
      <c r="B215" s="1347" t="str">
        <f>IF(LUN_IND&gt;1,IF(HLOOKUP(LUN_IND-1,LUN_RANGE,A215)="","",HLOOKUP(LUN_IND-1,LUN_RANGE,A215)),"")</f>
        <v/>
      </c>
      <c r="C215" s="1524" t="s">
        <v>3807</v>
      </c>
      <c r="D215" s="1350" t="s">
        <v>4833</v>
      </c>
      <c r="E215" s="2528" t="str">
        <f ref="E215:K215" si="22" t="shared">IF(LUN_IND&gt;1,IF(SE_B_IND&gt;1,"",IF(SE_A_IND&gt;1,"",IF(NIC_ex_set,"Y","N"))),"")</f>
        <v/>
      </c>
      <c r="F215" s="2528" t="str">
        <f si="22" t="shared"/>
        <v/>
      </c>
      <c r="G215" s="2528" t="str">
        <f si="22" t="shared"/>
        <v/>
      </c>
      <c r="H215" s="2528" t="str">
        <f si="22" t="shared"/>
        <v/>
      </c>
      <c r="I215" s="2528" t="str">
        <f si="22" t="shared"/>
        <v/>
      </c>
      <c r="J215" s="2528" t="str">
        <f si="22" t="shared"/>
        <v/>
      </c>
      <c r="K215" s="2528" t="str">
        <f si="22" t="shared"/>
        <v/>
      </c>
      <c r="L215" s="2529"/>
      <c r="M215" s="2529"/>
      <c r="N215" s="2529"/>
      <c r="O215" s="2529"/>
      <c r="P215" s="2529"/>
      <c r="Q215" s="2529"/>
      <c r="R215" s="2530"/>
      <c r="S215" s="2530"/>
      <c r="T215" s="2530"/>
      <c r="U215" s="2530"/>
      <c r="V215" s="2530"/>
      <c r="W215" s="2530"/>
      <c r="X215" s="2530"/>
      <c r="Y215" s="2530"/>
      <c r="Z215" s="2530"/>
      <c r="AA215" s="2530"/>
      <c r="AB215" s="2530"/>
      <c r="AC215" s="2530"/>
      <c r="AD215" s="2530"/>
      <c r="AE215" s="2530"/>
      <c r="AF215" s="2530"/>
      <c r="AG215" s="2530"/>
      <c r="AH215" s="2530"/>
      <c r="AI215" s="2530"/>
      <c r="AJ215" s="2530"/>
      <c r="AK215" s="2530"/>
      <c r="AL215" s="2530"/>
      <c r="AM215" s="2530"/>
      <c r="AN215" s="2530"/>
      <c r="AO215" s="2530"/>
      <c r="AP215" s="2530"/>
      <c r="AQ215" s="2530"/>
      <c r="AR215" s="2530"/>
      <c r="AS215" s="2530"/>
      <c r="AT215" s="2530"/>
      <c r="AU215" s="2530"/>
      <c r="AV215" s="2530"/>
      <c r="AW215" s="2530"/>
      <c r="AX215" s="2530"/>
      <c r="AY215" s="2530"/>
      <c r="AZ215" s="2530"/>
      <c r="BA215" s="2530"/>
      <c r="BB215" s="2530"/>
      <c r="BC215" s="2530"/>
      <c r="BD215" s="2530"/>
      <c r="BE215" s="2530"/>
      <c r="BF215" s="2530"/>
      <c r="BG215" s="2530"/>
      <c r="BH215" s="2530"/>
      <c r="BI215" s="2530"/>
      <c r="BJ215" s="2530"/>
      <c r="BK215" s="2530"/>
      <c r="BL215" s="2530"/>
      <c r="BM215" s="2530"/>
      <c r="BN215" s="2530"/>
      <c r="BO215" s="2530"/>
      <c r="BP215" s="2530"/>
      <c r="BQ215" s="2530"/>
      <c r="BR215" s="2530"/>
      <c r="BS215" s="2530"/>
      <c r="BT215" s="2530"/>
      <c r="BU215" s="2530"/>
      <c r="BV215" s="2530"/>
      <c r="BW215" s="2530"/>
      <c r="BX215" s="2530"/>
      <c r="BY215" s="2530"/>
      <c r="BZ215" s="2530"/>
      <c r="CA215" s="2530"/>
      <c r="CB215" s="2530"/>
      <c r="CC215" s="2530"/>
      <c r="CD215" s="2530"/>
      <c r="CE215" s="2530"/>
      <c r="CF215" s="2530"/>
      <c r="CG215" s="2530"/>
      <c r="CH215" s="2530"/>
      <c r="CI215" s="2530"/>
      <c r="CJ215" s="2530"/>
      <c r="CK215" s="2530"/>
      <c r="CL215" s="2530"/>
      <c r="CM215" s="2530"/>
      <c r="CN215" s="2530"/>
      <c r="CO215" s="2530"/>
      <c r="CP215" s="2530"/>
      <c r="CQ215" s="2530"/>
      <c r="CR215" s="2530"/>
      <c r="CS215" s="2530"/>
      <c r="CT215" s="2530"/>
      <c r="CU215" s="2530"/>
      <c r="CV215" s="2530"/>
      <c r="CW215" s="2530"/>
      <c r="CX215" s="2530"/>
      <c r="CY215" s="2530"/>
      <c r="CZ215" s="2530"/>
      <c r="DA215" s="2530"/>
      <c r="DB215" s="2530"/>
      <c r="DC215" s="2530"/>
      <c r="DD215" s="2530"/>
      <c r="DE215" s="2530"/>
      <c r="DF215" s="2530"/>
      <c r="DG215" s="2530"/>
      <c r="DH215" s="2530"/>
      <c r="DI215" s="2530"/>
      <c r="DJ215" s="2530"/>
      <c r="DK215" s="2530"/>
      <c r="DL215" s="2530"/>
      <c r="DM215" s="2530"/>
      <c r="DN215" s="2530"/>
      <c r="DO215" s="2530"/>
      <c r="DP215" s="2530"/>
      <c r="DQ215" s="2530"/>
      <c r="DR215" s="2530"/>
      <c r="DS215" s="2530"/>
      <c r="DT215" s="2530"/>
      <c r="DU215" s="2530"/>
      <c r="DV215" s="2530"/>
      <c r="DW215" s="2530"/>
      <c r="DX215" s="2530"/>
      <c r="DY215" s="2530"/>
      <c r="DZ215" s="2530"/>
      <c r="EA215" s="2530"/>
      <c r="EB215" s="2530"/>
      <c r="EC215" s="2530"/>
      <c r="ED215" s="2530"/>
      <c r="EE215" s="2530"/>
      <c r="EF215" s="2530"/>
      <c r="EG215" s="2530"/>
      <c r="EH215" s="2530"/>
      <c r="EI215" s="2530"/>
      <c r="EJ215" s="2530"/>
      <c r="EK215" s="2530"/>
      <c r="EL215" s="2530"/>
      <c r="EM215" s="2530"/>
      <c r="EN215" s="2530"/>
      <c r="EO215" s="2530"/>
      <c r="EP215" s="2530"/>
      <c r="EQ215" s="2530"/>
      <c r="ER215" s="2530"/>
      <c r="ES215" s="2530"/>
      <c r="ET215" s="2530"/>
      <c r="EU215" s="2530"/>
      <c r="EV215" s="2530"/>
      <c r="EW215" s="2530"/>
      <c r="EX215" s="2530"/>
      <c r="EY215" s="2530"/>
      <c r="EZ215" s="2530"/>
      <c r="FA215" s="2530"/>
      <c r="FB215" s="2530"/>
      <c r="FC215" s="2530"/>
      <c r="FD215" s="2530"/>
      <c r="FE215" s="2530"/>
      <c r="FF215" s="2530"/>
      <c r="FG215" s="2530"/>
      <c r="FH215" s="2530"/>
      <c r="FI215" s="2530"/>
      <c r="FJ215" s="2530"/>
      <c r="FK215" s="2530"/>
      <c r="FL215" s="2530"/>
      <c r="FM215" s="2530"/>
      <c r="FN215" s="2530"/>
      <c r="FO215" s="2530"/>
      <c r="FP215" s="2530"/>
      <c r="FQ215" s="2530"/>
      <c r="FR215" s="2530"/>
      <c r="FS215" s="2530"/>
      <c r="FT215" s="2530"/>
      <c r="FU215" s="2530"/>
      <c r="FV215" s="2530"/>
      <c r="FW215" s="2530"/>
      <c r="FX215" s="2530"/>
      <c r="FY215" s="2530"/>
      <c r="FZ215" s="2530"/>
      <c r="GA215" s="2530"/>
      <c r="GB215" s="2530"/>
      <c r="GC215" s="2530"/>
      <c r="GD215" s="2530"/>
      <c r="GE215" s="2530"/>
      <c r="GF215" s="2530"/>
      <c r="GG215" s="2530"/>
      <c r="GH215" s="2530"/>
      <c r="GI215" s="2530"/>
      <c r="GJ215" s="2530"/>
      <c r="GK215" s="2530"/>
      <c r="GL215" s="2530"/>
      <c r="GM215" s="2530"/>
      <c r="GN215" s="2530"/>
      <c r="GO215" s="2530"/>
      <c r="GP215" s="2530"/>
      <c r="GQ215" s="2530"/>
      <c r="GR215" s="2530"/>
      <c r="GS215" s="2530"/>
      <c r="GT215" s="2530"/>
      <c r="GU215" s="2530"/>
      <c r="GV215" s="2530"/>
      <c r="GW215" s="2530"/>
      <c r="GX215" s="2530"/>
      <c r="GY215" s="2530"/>
      <c r="GZ215" s="2530"/>
      <c r="HA215" s="2530"/>
      <c r="HB215" s="2530"/>
      <c r="HC215" s="2530"/>
      <c r="HD215" s="2530"/>
      <c r="HE215" s="2530"/>
      <c r="HF215" s="2530"/>
      <c r="HG215" s="2530"/>
      <c r="HH215" s="2530"/>
      <c r="HI215" s="2530"/>
      <c r="HJ215" s="2530"/>
      <c r="HK215" s="2530"/>
      <c r="HL215" s="2530"/>
      <c r="HM215" s="2530"/>
      <c r="HN215" s="2530"/>
      <c r="HO215" s="2530"/>
      <c r="HP215" s="2530"/>
      <c r="HQ215" s="2530"/>
      <c r="HR215" s="2530"/>
      <c r="HS215" s="2530"/>
      <c r="HT215" s="2530"/>
      <c r="HU215" s="2530"/>
      <c r="HV215" s="2530"/>
      <c r="HW215" s="2530"/>
      <c r="HX215" s="2530"/>
      <c r="HY215" s="2530"/>
      <c r="HZ215" s="2530"/>
      <c r="IA215" s="2530"/>
      <c r="IB215" s="2530"/>
      <c r="IC215" s="2530"/>
      <c r="ID215" s="2530"/>
      <c r="IE215" s="2530"/>
      <c r="IF215" s="2530"/>
      <c r="IG215" s="2530"/>
      <c r="IH215" s="2530"/>
      <c r="II215" s="2530"/>
      <c r="IJ215" s="2530"/>
      <c r="IK215" s="2530"/>
      <c r="IL215" s="2530"/>
      <c r="IM215" s="2530"/>
      <c r="IN215" s="2530"/>
      <c r="IO215" s="2530"/>
      <c r="IP215" s="2530"/>
      <c r="IQ215" s="2530"/>
      <c r="IR215" s="2530"/>
      <c r="IS215" s="2530"/>
      <c r="IT215" s="2530"/>
      <c r="IU215" s="2530"/>
      <c r="IV215" s="2530"/>
      <c r="IW215" s="2530"/>
      <c r="IX215" s="2530"/>
      <c r="IY215" s="2530"/>
      <c r="IZ215" s="2530"/>
      <c r="JA215" s="2530"/>
      <c r="JB215" s="2530"/>
      <c r="JC215" s="2530"/>
      <c r="JD215" s="2530"/>
      <c r="JE215" s="2530"/>
      <c r="JF215" s="2530"/>
      <c r="JG215" s="2531"/>
      <c r="JH215" s="1233"/>
      <c r="JI215" s="2248"/>
      <c r="JJ215" s="2248" t="s">
        <v>6111</v>
      </c>
    </row>
    <row r="216" spans="1:270" x14ac:dyDescent="0.2">
      <c r="A216" s="1128">
        <v>66</v>
      </c>
      <c r="B216" s="1347" t="str">
        <f>IF(LUN_IND&gt;1,IF(HLOOKUP(LUN_IND-1,LUN_RANGE,A216)="","",HLOOKUP(LUN_IND-1,LUN_RANGE,A216)),"")</f>
        <v/>
      </c>
      <c r="C216" s="1524" t="s">
        <v>3808</v>
      </c>
      <c r="D216" s="1350" t="s">
        <v>4834</v>
      </c>
      <c r="E216" s="2518"/>
      <c r="F216" s="2518"/>
      <c r="G216" s="2518"/>
      <c r="H216" s="2518"/>
      <c r="I216" s="2518"/>
      <c r="J216" s="2518"/>
      <c r="K216" s="2518"/>
      <c r="L216" s="2520"/>
      <c r="M216" s="2520"/>
      <c r="N216" s="2520"/>
      <c r="O216" s="2520"/>
      <c r="P216" s="2520"/>
      <c r="Q216" s="2520"/>
      <c r="R216" s="2521"/>
      <c r="S216" s="2521"/>
      <c r="T216" s="2521"/>
      <c r="U216" s="2521"/>
      <c r="V216" s="2521"/>
      <c r="W216" s="2521"/>
      <c r="X216" s="2521"/>
      <c r="Y216" s="2521"/>
      <c r="Z216" s="2521"/>
      <c r="AA216" s="2521"/>
      <c r="AB216" s="2521"/>
      <c r="AC216" s="2521"/>
      <c r="AD216" s="2521"/>
      <c r="AE216" s="2521"/>
      <c r="AF216" s="2521"/>
      <c r="AG216" s="2521"/>
      <c r="AH216" s="2521"/>
      <c r="AI216" s="2521"/>
      <c r="AJ216" s="2521"/>
      <c r="AK216" s="2521"/>
      <c r="AL216" s="2521"/>
      <c r="AM216" s="2521"/>
      <c r="AN216" s="2521"/>
      <c r="AO216" s="2521"/>
      <c r="AP216" s="2521"/>
      <c r="AQ216" s="2521"/>
      <c r="AR216" s="2521"/>
      <c r="AS216" s="2521"/>
      <c r="AT216" s="2521"/>
      <c r="AU216" s="2521"/>
      <c r="AV216" s="2521"/>
      <c r="AW216" s="2521"/>
      <c r="AX216" s="2521"/>
      <c r="AY216" s="2521"/>
      <c r="AZ216" s="2521"/>
      <c r="BA216" s="2521"/>
      <c r="BB216" s="2521"/>
      <c r="BC216" s="2521"/>
      <c r="BD216" s="2521"/>
      <c r="BE216" s="2521"/>
      <c r="BF216" s="2521"/>
      <c r="BG216" s="2521"/>
      <c r="BH216" s="2521"/>
      <c r="BI216" s="2521"/>
      <c r="BJ216" s="2521"/>
      <c r="BK216" s="2521"/>
      <c r="BL216" s="2521"/>
      <c r="BM216" s="2521"/>
      <c r="BN216" s="2521"/>
      <c r="BO216" s="2521"/>
      <c r="BP216" s="2521"/>
      <c r="BQ216" s="2521"/>
      <c r="BR216" s="2521"/>
      <c r="BS216" s="2521"/>
      <c r="BT216" s="2521"/>
      <c r="BU216" s="2521"/>
      <c r="BV216" s="2521"/>
      <c r="BW216" s="2521"/>
      <c r="BX216" s="2521"/>
      <c r="BY216" s="2521"/>
      <c r="BZ216" s="2521"/>
      <c r="CA216" s="2521"/>
      <c r="CB216" s="2521"/>
      <c r="CC216" s="2521"/>
      <c r="CD216" s="2521"/>
      <c r="CE216" s="2521"/>
      <c r="CF216" s="2521"/>
      <c r="CG216" s="2521"/>
      <c r="CH216" s="2521"/>
      <c r="CI216" s="2521"/>
      <c r="CJ216" s="2521"/>
      <c r="CK216" s="2521"/>
      <c r="CL216" s="2521"/>
      <c r="CM216" s="2521"/>
      <c r="CN216" s="2521"/>
      <c r="CO216" s="2521"/>
      <c r="CP216" s="2521"/>
      <c r="CQ216" s="2521"/>
      <c r="CR216" s="2521"/>
      <c r="CS216" s="2521"/>
      <c r="CT216" s="2521"/>
      <c r="CU216" s="2521"/>
      <c r="CV216" s="2521"/>
      <c r="CW216" s="2521"/>
      <c r="CX216" s="2521"/>
      <c r="CY216" s="2521"/>
      <c r="CZ216" s="2521"/>
      <c r="DA216" s="2521"/>
      <c r="DB216" s="2521"/>
      <c r="DC216" s="2521"/>
      <c r="DD216" s="2521"/>
      <c r="DE216" s="2521"/>
      <c r="DF216" s="2521"/>
      <c r="DG216" s="2521"/>
      <c r="DH216" s="2521"/>
      <c r="DI216" s="2521"/>
      <c r="DJ216" s="2521"/>
      <c r="DK216" s="2521"/>
      <c r="DL216" s="2521"/>
      <c r="DM216" s="2521"/>
      <c r="DN216" s="2521"/>
      <c r="DO216" s="2521"/>
      <c r="DP216" s="2521"/>
      <c r="DQ216" s="2521"/>
      <c r="DR216" s="2521"/>
      <c r="DS216" s="2521"/>
      <c r="DT216" s="2521"/>
      <c r="DU216" s="2521"/>
      <c r="DV216" s="2521"/>
      <c r="DW216" s="2521"/>
      <c r="DX216" s="2521"/>
      <c r="DY216" s="2521"/>
      <c r="DZ216" s="2521"/>
      <c r="EA216" s="2521"/>
      <c r="EB216" s="2521"/>
      <c r="EC216" s="2521"/>
      <c r="ED216" s="2521"/>
      <c r="EE216" s="2521"/>
      <c r="EF216" s="2521"/>
      <c r="EG216" s="2521"/>
      <c r="EH216" s="2521"/>
      <c r="EI216" s="2521"/>
      <c r="EJ216" s="2521"/>
      <c r="EK216" s="2521"/>
      <c r="EL216" s="2521"/>
      <c r="EM216" s="2521"/>
      <c r="EN216" s="2521"/>
      <c r="EO216" s="2521"/>
      <c r="EP216" s="2521"/>
      <c r="EQ216" s="2521"/>
      <c r="ER216" s="2521"/>
      <c r="ES216" s="2521"/>
      <c r="ET216" s="2521"/>
      <c r="EU216" s="2521"/>
      <c r="EV216" s="2521"/>
      <c r="EW216" s="2521"/>
      <c r="EX216" s="2521"/>
      <c r="EY216" s="2521"/>
      <c r="EZ216" s="2521"/>
      <c r="FA216" s="2521"/>
      <c r="FB216" s="2521"/>
      <c r="FC216" s="2521"/>
      <c r="FD216" s="2521"/>
      <c r="FE216" s="2521"/>
      <c r="FF216" s="2521"/>
      <c r="FG216" s="2521"/>
      <c r="FH216" s="2521"/>
      <c r="FI216" s="2521"/>
      <c r="FJ216" s="2521"/>
      <c r="FK216" s="2521"/>
      <c r="FL216" s="2521"/>
      <c r="FM216" s="2521"/>
      <c r="FN216" s="2521"/>
      <c r="FO216" s="2521"/>
      <c r="FP216" s="2521"/>
      <c r="FQ216" s="2521"/>
      <c r="FR216" s="2521"/>
      <c r="FS216" s="2521"/>
      <c r="FT216" s="2521"/>
      <c r="FU216" s="2521"/>
      <c r="FV216" s="2521"/>
      <c r="FW216" s="2521"/>
      <c r="FX216" s="2521"/>
      <c r="FY216" s="2521"/>
      <c r="FZ216" s="2521"/>
      <c r="GA216" s="2521"/>
      <c r="GB216" s="2521"/>
      <c r="GC216" s="2521"/>
      <c r="GD216" s="2521"/>
      <c r="GE216" s="2521"/>
      <c r="GF216" s="2521"/>
      <c r="GG216" s="2521"/>
      <c r="GH216" s="2521"/>
      <c r="GI216" s="2521"/>
      <c r="GJ216" s="2521"/>
      <c r="GK216" s="2521"/>
      <c r="GL216" s="2521"/>
      <c r="GM216" s="2521"/>
      <c r="GN216" s="2521"/>
      <c r="GO216" s="2521"/>
      <c r="GP216" s="2521"/>
      <c r="GQ216" s="2521"/>
      <c r="GR216" s="2521"/>
      <c r="GS216" s="2521"/>
      <c r="GT216" s="2521"/>
      <c r="GU216" s="2521"/>
      <c r="GV216" s="2521"/>
      <c r="GW216" s="2521"/>
      <c r="GX216" s="2521"/>
      <c r="GY216" s="2521"/>
      <c r="GZ216" s="2521"/>
      <c r="HA216" s="2521"/>
      <c r="HB216" s="2521"/>
      <c r="HC216" s="2521"/>
      <c r="HD216" s="2521"/>
      <c r="HE216" s="2521"/>
      <c r="HF216" s="2521"/>
      <c r="HG216" s="2521"/>
      <c r="HH216" s="2521"/>
      <c r="HI216" s="2521"/>
      <c r="HJ216" s="2521"/>
      <c r="HK216" s="2521"/>
      <c r="HL216" s="2521"/>
      <c r="HM216" s="2521"/>
      <c r="HN216" s="2521"/>
      <c r="HO216" s="2521"/>
      <c r="HP216" s="2521"/>
      <c r="HQ216" s="2521"/>
      <c r="HR216" s="2521"/>
      <c r="HS216" s="2521"/>
      <c r="HT216" s="2521"/>
      <c r="HU216" s="2521"/>
      <c r="HV216" s="2521"/>
      <c r="HW216" s="2521"/>
      <c r="HX216" s="2521"/>
      <c r="HY216" s="2521"/>
      <c r="HZ216" s="2521"/>
      <c r="IA216" s="2521"/>
      <c r="IB216" s="2521"/>
      <c r="IC216" s="2521"/>
      <c r="ID216" s="2521"/>
      <c r="IE216" s="2521"/>
      <c r="IF216" s="2521"/>
      <c r="IG216" s="2521"/>
      <c r="IH216" s="2521"/>
      <c r="II216" s="2521"/>
      <c r="IJ216" s="2521"/>
      <c r="IK216" s="2521"/>
      <c r="IL216" s="2521"/>
      <c r="IM216" s="2521"/>
      <c r="IN216" s="2521"/>
      <c r="IO216" s="2521"/>
      <c r="IP216" s="2521"/>
      <c r="IQ216" s="2521"/>
      <c r="IR216" s="2521"/>
      <c r="IS216" s="2521"/>
      <c r="IT216" s="2521"/>
      <c r="IU216" s="2521"/>
      <c r="IV216" s="2521"/>
      <c r="IW216" s="2521"/>
      <c r="IX216" s="2521"/>
      <c r="IY216" s="2521"/>
      <c r="IZ216" s="2521"/>
      <c r="JA216" s="2521"/>
      <c r="JB216" s="2521"/>
      <c r="JC216" s="2521"/>
      <c r="JD216" s="2521"/>
      <c r="JE216" s="2521"/>
      <c r="JF216" s="2521"/>
      <c r="JG216" s="2522"/>
      <c r="JH216" s="1233"/>
      <c r="JI216" s="2248" t="s">
        <v>5581</v>
      </c>
      <c r="JJ216" s="2248" t="s">
        <v>6108</v>
      </c>
    </row>
    <row ht="12.75" r="217" spans="1:270" thickBot="1" x14ac:dyDescent="0.25">
      <c r="A217" s="1128">
        <v>67</v>
      </c>
      <c r="B217" s="1347" t="str">
        <f>IF(LUN_IND&gt;1,IF(HLOOKUP(LUN_IND-1,LUN_RANGE,A217)="","",HLOOKUP(LUN_IND-1,LUN_RANGE,A217)),"")</f>
        <v/>
      </c>
      <c r="C217" s="1279" t="s">
        <v>3809</v>
      </c>
      <c r="D217" s="1354" t="s">
        <v>4835</v>
      </c>
      <c r="E217" s="2590"/>
      <c r="F217" s="2590"/>
      <c r="G217" s="2590"/>
      <c r="H217" s="2590"/>
      <c r="I217" s="2590"/>
      <c r="J217" s="2590"/>
      <c r="K217" s="2590"/>
      <c r="L217" s="2591"/>
      <c r="M217" s="2591"/>
      <c r="N217" s="2591"/>
      <c r="O217" s="2591"/>
      <c r="P217" s="2591"/>
      <c r="Q217" s="2591"/>
      <c r="R217" s="2592"/>
      <c r="S217" s="2592"/>
      <c r="T217" s="2592"/>
      <c r="U217" s="2592"/>
      <c r="V217" s="2592"/>
      <c r="W217" s="2592"/>
      <c r="X217" s="2592"/>
      <c r="Y217" s="2592"/>
      <c r="Z217" s="2592"/>
      <c r="AA217" s="2592"/>
      <c r="AB217" s="2592"/>
      <c r="AC217" s="2592"/>
      <c r="AD217" s="2592"/>
      <c r="AE217" s="2592"/>
      <c r="AF217" s="2592"/>
      <c r="AG217" s="2592"/>
      <c r="AH217" s="2592"/>
      <c r="AI217" s="2592"/>
      <c r="AJ217" s="2592"/>
      <c r="AK217" s="2592"/>
      <c r="AL217" s="2592"/>
      <c r="AM217" s="2592"/>
      <c r="AN217" s="2592"/>
      <c r="AO217" s="2592"/>
      <c r="AP217" s="2592"/>
      <c r="AQ217" s="2592"/>
      <c r="AR217" s="2592"/>
      <c r="AS217" s="2592"/>
      <c r="AT217" s="2592"/>
      <c r="AU217" s="2592"/>
      <c r="AV217" s="2592"/>
      <c r="AW217" s="2592"/>
      <c r="AX217" s="2592"/>
      <c r="AY217" s="2592"/>
      <c r="AZ217" s="2592"/>
      <c r="BA217" s="2592"/>
      <c r="BB217" s="2592"/>
      <c r="BC217" s="2592"/>
      <c r="BD217" s="2592"/>
      <c r="BE217" s="2592"/>
      <c r="BF217" s="2592"/>
      <c r="BG217" s="2592"/>
      <c r="BH217" s="2592"/>
      <c r="BI217" s="2592"/>
      <c r="BJ217" s="2592"/>
      <c r="BK217" s="2592"/>
      <c r="BL217" s="2592"/>
      <c r="BM217" s="2592"/>
      <c r="BN217" s="2592"/>
      <c r="BO217" s="2592"/>
      <c r="BP217" s="2592"/>
      <c r="BQ217" s="2592"/>
      <c r="BR217" s="2592"/>
      <c r="BS217" s="2592"/>
      <c r="BT217" s="2592"/>
      <c r="BU217" s="2592"/>
      <c r="BV217" s="2592"/>
      <c r="BW217" s="2592"/>
      <c r="BX217" s="2592"/>
      <c r="BY217" s="2592"/>
      <c r="BZ217" s="2592"/>
      <c r="CA217" s="2592"/>
      <c r="CB217" s="2592"/>
      <c r="CC217" s="2592"/>
      <c r="CD217" s="2592"/>
      <c r="CE217" s="2592"/>
      <c r="CF217" s="2592"/>
      <c r="CG217" s="2592"/>
      <c r="CH217" s="2592"/>
      <c r="CI217" s="2592"/>
      <c r="CJ217" s="2592"/>
      <c r="CK217" s="2592"/>
      <c r="CL217" s="2592"/>
      <c r="CM217" s="2592"/>
      <c r="CN217" s="2592"/>
      <c r="CO217" s="2592"/>
      <c r="CP217" s="2592"/>
      <c r="CQ217" s="2592"/>
      <c r="CR217" s="2592"/>
      <c r="CS217" s="2592"/>
      <c r="CT217" s="2592"/>
      <c r="CU217" s="2592"/>
      <c r="CV217" s="2592"/>
      <c r="CW217" s="2592"/>
      <c r="CX217" s="2592"/>
      <c r="CY217" s="2592"/>
      <c r="CZ217" s="2592"/>
      <c r="DA217" s="2592"/>
      <c r="DB217" s="2592"/>
      <c r="DC217" s="2592"/>
      <c r="DD217" s="2592"/>
      <c r="DE217" s="2592"/>
      <c r="DF217" s="2592"/>
      <c r="DG217" s="2592"/>
      <c r="DH217" s="2592"/>
      <c r="DI217" s="2592"/>
      <c r="DJ217" s="2592"/>
      <c r="DK217" s="2592"/>
      <c r="DL217" s="2592"/>
      <c r="DM217" s="2592"/>
      <c r="DN217" s="2592"/>
      <c r="DO217" s="2592"/>
      <c r="DP217" s="2592"/>
      <c r="DQ217" s="2592"/>
      <c r="DR217" s="2592"/>
      <c r="DS217" s="2592"/>
      <c r="DT217" s="2592"/>
      <c r="DU217" s="2592"/>
      <c r="DV217" s="2592"/>
      <c r="DW217" s="2592"/>
      <c r="DX217" s="2592"/>
      <c r="DY217" s="2592"/>
      <c r="DZ217" s="2592"/>
      <c r="EA217" s="2592"/>
      <c r="EB217" s="2592"/>
      <c r="EC217" s="2592"/>
      <c r="ED217" s="2592"/>
      <c r="EE217" s="2592"/>
      <c r="EF217" s="2592"/>
      <c r="EG217" s="2592"/>
      <c r="EH217" s="2592"/>
      <c r="EI217" s="2592"/>
      <c r="EJ217" s="2592"/>
      <c r="EK217" s="2592"/>
      <c r="EL217" s="2592"/>
      <c r="EM217" s="2592"/>
      <c r="EN217" s="2592"/>
      <c r="EO217" s="2592"/>
      <c r="EP217" s="2592"/>
      <c r="EQ217" s="2592"/>
      <c r="ER217" s="2592"/>
      <c r="ES217" s="2592"/>
      <c r="ET217" s="2592"/>
      <c r="EU217" s="2592"/>
      <c r="EV217" s="2592"/>
      <c r="EW217" s="2592"/>
      <c r="EX217" s="2592"/>
      <c r="EY217" s="2592"/>
      <c r="EZ217" s="2592"/>
      <c r="FA217" s="2592"/>
      <c r="FB217" s="2592"/>
      <c r="FC217" s="2592"/>
      <c r="FD217" s="2592"/>
      <c r="FE217" s="2592"/>
      <c r="FF217" s="2592"/>
      <c r="FG217" s="2592"/>
      <c r="FH217" s="2592"/>
      <c r="FI217" s="2592"/>
      <c r="FJ217" s="2592"/>
      <c r="FK217" s="2592"/>
      <c r="FL217" s="2592"/>
      <c r="FM217" s="2592"/>
      <c r="FN217" s="2592"/>
      <c r="FO217" s="2592"/>
      <c r="FP217" s="2592"/>
      <c r="FQ217" s="2592"/>
      <c r="FR217" s="2592"/>
      <c r="FS217" s="2592"/>
      <c r="FT217" s="2592"/>
      <c r="FU217" s="2592"/>
      <c r="FV217" s="2592"/>
      <c r="FW217" s="2592"/>
      <c r="FX217" s="2592"/>
      <c r="FY217" s="2592"/>
      <c r="FZ217" s="2592"/>
      <c r="GA217" s="2592"/>
      <c r="GB217" s="2592"/>
      <c r="GC217" s="2592"/>
      <c r="GD217" s="2592"/>
      <c r="GE217" s="2592"/>
      <c r="GF217" s="2592"/>
      <c r="GG217" s="2592"/>
      <c r="GH217" s="2592"/>
      <c r="GI217" s="2592"/>
      <c r="GJ217" s="2592"/>
      <c r="GK217" s="2592"/>
      <c r="GL217" s="2592"/>
      <c r="GM217" s="2592"/>
      <c r="GN217" s="2592"/>
      <c r="GO217" s="2592"/>
      <c r="GP217" s="2592"/>
      <c r="GQ217" s="2592"/>
      <c r="GR217" s="2592"/>
      <c r="GS217" s="2592"/>
      <c r="GT217" s="2592"/>
      <c r="GU217" s="2592"/>
      <c r="GV217" s="2592"/>
      <c r="GW217" s="2592"/>
      <c r="GX217" s="2592"/>
      <c r="GY217" s="2592"/>
      <c r="GZ217" s="2592"/>
      <c r="HA217" s="2592"/>
      <c r="HB217" s="2592"/>
      <c r="HC217" s="2592"/>
      <c r="HD217" s="2592"/>
      <c r="HE217" s="2592"/>
      <c r="HF217" s="2592"/>
      <c r="HG217" s="2592"/>
      <c r="HH217" s="2592"/>
      <c r="HI217" s="2592"/>
      <c r="HJ217" s="2592"/>
      <c r="HK217" s="2592"/>
      <c r="HL217" s="2592"/>
      <c r="HM217" s="2592"/>
      <c r="HN217" s="2592"/>
      <c r="HO217" s="2592"/>
      <c r="HP217" s="2592"/>
      <c r="HQ217" s="2592"/>
      <c r="HR217" s="2592"/>
      <c r="HS217" s="2592"/>
      <c r="HT217" s="2592"/>
      <c r="HU217" s="2592"/>
      <c r="HV217" s="2592"/>
      <c r="HW217" s="2592"/>
      <c r="HX217" s="2592"/>
      <c r="HY217" s="2592"/>
      <c r="HZ217" s="2592"/>
      <c r="IA217" s="2592"/>
      <c r="IB217" s="2592"/>
      <c r="IC217" s="2592"/>
      <c r="ID217" s="2592"/>
      <c r="IE217" s="2592"/>
      <c r="IF217" s="2592"/>
      <c r="IG217" s="2592"/>
      <c r="IH217" s="2592"/>
      <c r="II217" s="2592"/>
      <c r="IJ217" s="2592"/>
      <c r="IK217" s="2592"/>
      <c r="IL217" s="2592"/>
      <c r="IM217" s="2592"/>
      <c r="IN217" s="2592"/>
      <c r="IO217" s="2592"/>
      <c r="IP217" s="2592"/>
      <c r="IQ217" s="2592"/>
      <c r="IR217" s="2592"/>
      <c r="IS217" s="2592"/>
      <c r="IT217" s="2592"/>
      <c r="IU217" s="2592"/>
      <c r="IV217" s="2592"/>
      <c r="IW217" s="2592"/>
      <c r="IX217" s="2592"/>
      <c r="IY217" s="2592"/>
      <c r="IZ217" s="2592"/>
      <c r="JA217" s="2592"/>
      <c r="JB217" s="2592"/>
      <c r="JC217" s="2592"/>
      <c r="JD217" s="2592"/>
      <c r="JE217" s="2592"/>
      <c r="JF217" s="2592"/>
      <c r="JG217" s="2593"/>
      <c r="JH217" s="1233"/>
      <c r="JI217" s="2248"/>
      <c r="JJ217" s="2248" t="s">
        <v>6112</v>
      </c>
    </row>
  </sheetData>
  <phoneticPr fontId="67" type="noConversion"/>
  <conditionalFormatting sqref="E54:F58 O54:P58 T54:AB58 AK54:AK58 AM54:AR58 H54:I58 M54:M58 AI54:AI58 K54:K58 BG54:BG58 BK54:BO58 BQ54:CA58 CC54:CE58 CG54:CG58 CI54:CK58 CM54:CQ58 CT54:CT58 CW54:DB58 DD54:DI58 DK54:DN58 FI54:GI58 HD54:HN58 DP54:EE58 EH54:EH58 EJ54:EL58 EN54:EX58 EZ54:FE58 FG54:FG58 GK54:GW58 GY54:HA58 HP54:JG58">
    <cfRule dxfId="87" operator="equal" priority="46" type="cellIs">
      <formula>"Y"</formula>
    </cfRule>
  </conditionalFormatting>
  <conditionalFormatting sqref="N54:N58">
    <cfRule dxfId="86" operator="equal" priority="45" type="cellIs">
      <formula>"Y"</formula>
    </cfRule>
  </conditionalFormatting>
  <conditionalFormatting sqref="AS54:AU58 AW54:BE58">
    <cfRule dxfId="85" operator="equal" priority="32" type="cellIs">
      <formula>"Y"</formula>
    </cfRule>
  </conditionalFormatting>
  <conditionalFormatting sqref="R54:R58">
    <cfRule dxfId="84" operator="equal" priority="44" type="cellIs">
      <formula>"Y"</formula>
    </cfRule>
  </conditionalFormatting>
  <conditionalFormatting sqref="HC54:HC58">
    <cfRule dxfId="83" operator="equal" priority="16" type="cellIs">
      <formula>"Y"</formula>
    </cfRule>
  </conditionalFormatting>
  <conditionalFormatting sqref="DO54:DO58">
    <cfRule dxfId="82" operator="equal" priority="15" type="cellIs">
      <formula>"Y"</formula>
    </cfRule>
  </conditionalFormatting>
  <conditionalFormatting sqref="EF54:EG58">
    <cfRule dxfId="81" operator="equal" priority="14" type="cellIs">
      <formula>"Y"</formula>
    </cfRule>
  </conditionalFormatting>
  <conditionalFormatting sqref="AJ54:AJ58">
    <cfRule dxfId="80" operator="equal" priority="40" type="cellIs">
      <formula>"Y"</formula>
    </cfRule>
  </conditionalFormatting>
  <conditionalFormatting sqref="AL54:AL58">
    <cfRule dxfId="79" operator="equal" priority="39" type="cellIs">
      <formula>"Y"</formula>
    </cfRule>
  </conditionalFormatting>
  <conditionalFormatting sqref="G54:G58">
    <cfRule dxfId="78" operator="equal" priority="38" type="cellIs">
      <formula>"Y"</formula>
    </cfRule>
  </conditionalFormatting>
  <conditionalFormatting sqref="L54:L58">
    <cfRule dxfId="77" operator="equal" priority="37" type="cellIs">
      <formula>"Y"</formula>
    </cfRule>
  </conditionalFormatting>
  <conditionalFormatting sqref="S54:S58">
    <cfRule dxfId="76" operator="equal" priority="36" type="cellIs">
      <formula>"Y"</formula>
    </cfRule>
  </conditionalFormatting>
  <conditionalFormatting sqref="AC54:AC58">
    <cfRule dxfId="75" operator="equal" priority="35" type="cellIs">
      <formula>"Y"</formula>
    </cfRule>
  </conditionalFormatting>
  <conditionalFormatting sqref="Q54:Q58">
    <cfRule dxfId="74" operator="equal" priority="34" type="cellIs">
      <formula>"Y"</formula>
    </cfRule>
  </conditionalFormatting>
  <conditionalFormatting sqref="HO54:HO58">
    <cfRule dxfId="73" operator="equal" priority="6" type="cellIs">
      <formula>"Y"</formula>
    </cfRule>
  </conditionalFormatting>
  <conditionalFormatting sqref="AV54:AV58">
    <cfRule dxfId="72" operator="equal" priority="31" type="cellIs">
      <formula>"Y"</formula>
    </cfRule>
  </conditionalFormatting>
  <conditionalFormatting sqref="BJ54:BJ58">
    <cfRule dxfId="71" operator="equal" priority="27" type="cellIs">
      <formula>"Y"</formula>
    </cfRule>
  </conditionalFormatting>
  <conditionalFormatting sqref="BP54:BP58">
    <cfRule dxfId="70" operator="equal" priority="26" type="cellIs">
      <formula>"Y"</formula>
    </cfRule>
  </conditionalFormatting>
  <conditionalFormatting sqref="CB54:CB58">
    <cfRule dxfId="69" operator="equal" priority="25" type="cellIs">
      <formula>"Y"</formula>
    </cfRule>
  </conditionalFormatting>
  <conditionalFormatting sqref="CF54:CF58">
    <cfRule dxfId="68" operator="equal" priority="24" type="cellIs">
      <formula>"Y"</formula>
    </cfRule>
  </conditionalFormatting>
  <conditionalFormatting sqref="CH54:CH58">
    <cfRule dxfId="67" operator="equal" priority="23" type="cellIs">
      <formula>"Y"</formula>
    </cfRule>
  </conditionalFormatting>
  <conditionalFormatting sqref="CL54:CL58">
    <cfRule dxfId="66" operator="equal" priority="22" type="cellIs">
      <formula>"Y"</formula>
    </cfRule>
  </conditionalFormatting>
  <conditionalFormatting sqref="CR54:CS58">
    <cfRule dxfId="65" operator="equal" priority="21" type="cellIs">
      <formula>"Y"</formula>
    </cfRule>
  </conditionalFormatting>
  <conditionalFormatting sqref="CU54:CV58">
    <cfRule dxfId="64" operator="equal" priority="20" type="cellIs">
      <formula>"Y"</formula>
    </cfRule>
  </conditionalFormatting>
  <conditionalFormatting sqref="DC54:DC58">
    <cfRule dxfId="63" operator="equal" priority="19" type="cellIs">
      <formula>"Y"</formula>
    </cfRule>
  </conditionalFormatting>
  <conditionalFormatting sqref="DJ54:DJ58">
    <cfRule dxfId="62" operator="equal" priority="18" type="cellIs">
      <formula>"Y"</formula>
    </cfRule>
  </conditionalFormatting>
  <conditionalFormatting sqref="FH54:FH58">
    <cfRule dxfId="61" operator="equal" priority="17" type="cellIs">
      <formula>"Y"</formula>
    </cfRule>
  </conditionalFormatting>
  <conditionalFormatting sqref="EI54:EI58">
    <cfRule dxfId="60" operator="equal" priority="13" type="cellIs">
      <formula>"Y"</formula>
    </cfRule>
  </conditionalFormatting>
  <conditionalFormatting sqref="EM54:EM58">
    <cfRule dxfId="59" operator="equal" priority="12" type="cellIs">
      <formula>"Y"</formula>
    </cfRule>
  </conditionalFormatting>
  <conditionalFormatting sqref="EY54:EY58">
    <cfRule dxfId="58" operator="equal" priority="11" type="cellIs">
      <formula>"Y"</formula>
    </cfRule>
  </conditionalFormatting>
  <conditionalFormatting sqref="FF54:FF58">
    <cfRule dxfId="57" operator="equal" priority="10" type="cellIs">
      <formula>"Y"</formula>
    </cfRule>
  </conditionalFormatting>
  <conditionalFormatting sqref="GJ54:GJ58">
    <cfRule dxfId="56" operator="equal" priority="9" type="cellIs">
      <formula>"Y"</formula>
    </cfRule>
  </conditionalFormatting>
  <conditionalFormatting sqref="GX54:GX58">
    <cfRule dxfId="55" operator="equal" priority="8" type="cellIs">
      <formula>"Y"</formula>
    </cfRule>
  </conditionalFormatting>
  <conditionalFormatting sqref="HB54:HB58">
    <cfRule dxfId="54" operator="equal" priority="7" type="cellIs">
      <formula>"Y"</formula>
    </cfRule>
  </conditionalFormatting>
  <conditionalFormatting sqref="J54:J58">
    <cfRule dxfId="53" operator="equal" priority="5" type="cellIs">
      <formula>"Y"</formula>
    </cfRule>
  </conditionalFormatting>
  <conditionalFormatting sqref="AD55:AH58 AD54">
    <cfRule dxfId="52" operator="equal" priority="4" type="cellIs">
      <formula>"Y"</formula>
    </cfRule>
  </conditionalFormatting>
  <conditionalFormatting sqref="BF54:BF58">
    <cfRule dxfId="51" operator="equal" priority="3" type="cellIs">
      <formula>"Y"</formula>
    </cfRule>
  </conditionalFormatting>
  <conditionalFormatting sqref="BH54:BH58">
    <cfRule dxfId="50" operator="equal" priority="2" type="cellIs">
      <formula>"Y"</formula>
    </cfRule>
  </conditionalFormatting>
  <conditionalFormatting sqref="BI54:BI58">
    <cfRule dxfId="49" operator="equal" priority="1" type="cellIs">
      <formula>"Y"</formula>
    </cfRule>
  </conditionalFormatting>
  <dataValidations count="1">
    <dataValidation allowBlank="1" showErrorMessage="1" showInputMessage="1" sqref="JJ152:JJ217 JJ3:JJ42 JJ45:JJ102 JJ104:JJ149" type="list" xr:uid="{00000000-0002-0000-0C00-000000000000}">
      <formula1>allowedTypes</formula1>
    </dataValidation>
  </dataValidations>
  <pageMargins bottom="1" footer="0.5" header="0.5" left="0.75" right="0.75" top="1"/>
  <pageSetup horizontalDpi="1200" orientation="portrait" paperSize="9" r:id="rId1" verticalDpi="1200"/>
  <headerFooter alignWithMargins="0"/>
  <legacyDrawing r:id="rId2"/>
</worksheet>
</file>

<file path=xl/worksheets/sheet14.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xmlns:xr="http://schemas.microsoft.com/office/spreadsheetml/2014/revision" xmlns:xr2="http://schemas.microsoft.com/office/spreadsheetml/2015/revision2" xmlns:xr3="http://schemas.microsoft.com/office/spreadsheetml/2016/revision3" mc:Ignorable="x14ac xr xr2 xr3" xr:uid="{00000000-0001-0000-0D00-000000000000}">
  <sheetPr codeName="Sheet65"/>
  <dimension ref="A1:JK126"/>
  <sheetViews>
    <sheetView showGridLines="0" workbookViewId="0" zoomScaleNormal="100">
      <pane activePane="bottomRight" state="frozen" topLeftCell="IM82" xSplit="3" ySplit="2"/>
      <selection activeCell="JF25" sqref="JF25"/>
      <selection activeCell="JF25" pane="topRight" sqref="JF25"/>
      <selection activeCell="JF25" pane="bottomLeft" sqref="JF25"/>
      <selection activeCell="IQ106" pane="bottomRight" sqref="IQ106"/>
    </sheetView>
  </sheetViews>
  <sheetFormatPr defaultColWidth="9.140625" defaultRowHeight="12" x14ac:dyDescent="0.2"/>
  <cols>
    <col min="1" max="1" bestFit="true" customWidth="true" style="1127" width="3.85546875" collapsed="true"/>
    <col min="2" max="2" bestFit="true" customWidth="true" style="181" width="11.140625" collapsed="true"/>
    <col min="3" max="3" customWidth="true" style="181" width="8.5703125" collapsed="true"/>
    <col min="4" max="4" customWidth="true" style="181" width="49.42578125" collapsed="true"/>
    <col min="5" max="8" bestFit="true" customWidth="true" style="181" width="11.5703125" collapsed="true"/>
    <col min="9" max="13" bestFit="true" customWidth="true" style="181" width="11.140625" collapsed="true"/>
    <col min="14" max="29" customWidth="true" style="181" width="11.140625" collapsed="true"/>
    <col min="30" max="34" customWidth="true" style="34" width="11.140625" collapsed="true"/>
    <col min="35" max="266" customWidth="true" style="181" width="11.140625" collapsed="true"/>
    <col min="267" max="267" bestFit="true" customWidth="true" style="181" width="12.140625" collapsed="true"/>
    <col min="268" max="268" customWidth="true" style="181" width="1.85546875" collapsed="true"/>
    <col min="269" max="269" customWidth="true" style="181" width="33.0" collapsed="true"/>
    <col min="270" max="270" bestFit="true" customWidth="true" style="121" width="32.28515625" collapsed="true"/>
    <col min="271" max="16384" style="181" width="9.140625" collapsed="true"/>
  </cols>
  <sheetData>
    <row ht="13.5" r="1" spans="1:270" thickBot="1" x14ac:dyDescent="0.25">
      <c r="E1" s="4127">
        <v>1</v>
      </c>
      <c r="F1" s="4127">
        <v>2</v>
      </c>
      <c r="G1" s="4127">
        <v>3</v>
      </c>
      <c r="H1" s="4127">
        <v>4</v>
      </c>
      <c r="I1" s="4127">
        <v>5</v>
      </c>
      <c r="J1" s="4127">
        <v>6</v>
      </c>
      <c r="K1" s="4127">
        <v>7</v>
      </c>
      <c r="L1" s="4127">
        <v>8</v>
      </c>
      <c r="M1" s="4127">
        <v>9</v>
      </c>
      <c r="N1" s="4127">
        <v>10</v>
      </c>
      <c r="O1" s="4127">
        <v>11</v>
      </c>
      <c r="P1" s="4127">
        <v>12</v>
      </c>
      <c r="Q1" s="4127">
        <v>13</v>
      </c>
      <c r="R1" s="4127">
        <v>14</v>
      </c>
      <c r="S1" s="4127">
        <v>15</v>
      </c>
      <c r="T1" s="4127">
        <v>16</v>
      </c>
      <c r="U1" s="4127">
        <v>17</v>
      </c>
      <c r="V1" s="4127">
        <v>18</v>
      </c>
      <c r="W1" s="4127">
        <v>19</v>
      </c>
      <c r="X1" s="4127">
        <v>20</v>
      </c>
      <c r="Y1" s="4127">
        <v>21</v>
      </c>
      <c r="Z1" s="4127">
        <v>22</v>
      </c>
      <c r="AA1" s="4127">
        <v>23</v>
      </c>
      <c r="AB1" s="4127">
        <v>24</v>
      </c>
      <c r="AC1" s="4127">
        <v>25</v>
      </c>
      <c r="AD1" s="4127">
        <v>26</v>
      </c>
      <c r="AE1" s="4127">
        <v>27</v>
      </c>
      <c r="AF1" s="4127">
        <v>28</v>
      </c>
      <c r="AG1" s="4127">
        <v>29</v>
      </c>
      <c r="AH1" s="4127">
        <v>30</v>
      </c>
      <c r="AI1" s="4127">
        <v>31</v>
      </c>
      <c r="AJ1" s="4127">
        <v>32</v>
      </c>
      <c r="AK1" s="4127">
        <v>33</v>
      </c>
      <c r="AL1" s="4127">
        <v>34</v>
      </c>
      <c r="AM1" s="4127">
        <v>35</v>
      </c>
      <c r="AN1" s="4127">
        <v>36</v>
      </c>
      <c r="AO1" s="4127">
        <v>37</v>
      </c>
      <c r="AP1" s="4127">
        <v>38</v>
      </c>
      <c r="AQ1" s="4127">
        <v>39</v>
      </c>
      <c r="AR1" s="4127">
        <v>40</v>
      </c>
      <c r="AS1" s="4127">
        <v>41</v>
      </c>
      <c r="AT1" s="4127">
        <v>42</v>
      </c>
      <c r="AU1" s="4127">
        <v>43</v>
      </c>
      <c r="AV1" s="4127">
        <v>44</v>
      </c>
      <c r="AW1" s="4127">
        <v>45</v>
      </c>
      <c r="AX1" s="4127">
        <v>46</v>
      </c>
      <c r="AY1" s="4127">
        <v>47</v>
      </c>
      <c r="AZ1" s="4127">
        <v>48</v>
      </c>
      <c r="BA1" s="4127">
        <v>49</v>
      </c>
      <c r="BB1" s="4127">
        <v>50</v>
      </c>
      <c r="BC1" s="4127">
        <v>51</v>
      </c>
      <c r="BD1" s="4127">
        <v>52</v>
      </c>
      <c r="BE1" s="4127">
        <v>53</v>
      </c>
      <c r="BF1" s="4127">
        <v>54</v>
      </c>
      <c r="BG1" s="4127">
        <v>55</v>
      </c>
      <c r="BH1" s="4127">
        <v>56</v>
      </c>
      <c r="BI1" s="4127">
        <v>57</v>
      </c>
      <c r="BJ1" s="4127">
        <v>58</v>
      </c>
      <c r="BK1" s="4127">
        <v>59</v>
      </c>
      <c r="BL1" s="4127">
        <v>60</v>
      </c>
      <c r="BM1" s="4127">
        <v>61</v>
      </c>
      <c r="BN1" s="4127">
        <v>62</v>
      </c>
      <c r="BO1" s="4127">
        <v>63</v>
      </c>
      <c r="BP1" s="4127">
        <v>64</v>
      </c>
      <c r="BQ1" s="4127">
        <v>65</v>
      </c>
      <c r="BR1" s="4127">
        <v>66</v>
      </c>
      <c r="BS1" s="4127">
        <v>67</v>
      </c>
      <c r="BT1" s="4127">
        <v>68</v>
      </c>
      <c r="BU1" s="4127">
        <v>69</v>
      </c>
      <c r="BV1" s="4127">
        <v>70</v>
      </c>
      <c r="BW1" s="4127">
        <v>71</v>
      </c>
      <c r="BX1" s="4127">
        <v>72</v>
      </c>
      <c r="BY1" s="4127">
        <v>73</v>
      </c>
      <c r="BZ1" s="4127">
        <v>74</v>
      </c>
      <c r="CA1" s="4127">
        <v>75</v>
      </c>
      <c r="CB1" s="4127">
        <v>76</v>
      </c>
      <c r="CC1" s="4127">
        <v>77</v>
      </c>
      <c r="CD1" s="4127">
        <v>78</v>
      </c>
      <c r="CE1" s="4127">
        <v>79</v>
      </c>
      <c r="CF1" s="4127">
        <v>80</v>
      </c>
      <c r="CG1" s="4127">
        <v>81</v>
      </c>
      <c r="CH1" s="4127">
        <v>82</v>
      </c>
      <c r="CI1" s="4127">
        <v>83</v>
      </c>
      <c r="CJ1" s="4127">
        <v>84</v>
      </c>
      <c r="CK1" s="4127">
        <v>85</v>
      </c>
      <c r="CL1" s="4127">
        <v>86</v>
      </c>
      <c r="CM1" s="4127">
        <v>87</v>
      </c>
      <c r="CN1" s="4127">
        <v>88</v>
      </c>
      <c r="CO1" s="4127">
        <v>89</v>
      </c>
      <c r="CP1" s="4127">
        <v>90</v>
      </c>
      <c r="CQ1" s="4127">
        <v>91</v>
      </c>
      <c r="CR1" s="4127">
        <v>92</v>
      </c>
      <c r="CS1" s="4127">
        <v>93</v>
      </c>
      <c r="CT1" s="4127">
        <v>94</v>
      </c>
      <c r="CU1" s="4127">
        <v>95</v>
      </c>
      <c r="CV1" s="4127">
        <v>96</v>
      </c>
      <c r="CW1" s="4127">
        <v>97</v>
      </c>
      <c r="CX1" s="4127">
        <v>98</v>
      </c>
      <c r="CY1" s="4127">
        <v>99</v>
      </c>
      <c r="CZ1" s="4127">
        <v>100</v>
      </c>
      <c r="DA1" s="4127">
        <v>101</v>
      </c>
      <c r="DB1" s="4127">
        <v>102</v>
      </c>
      <c r="DC1" s="4127">
        <v>103</v>
      </c>
      <c r="DD1" s="4127">
        <v>104</v>
      </c>
      <c r="DE1" s="4127">
        <v>105</v>
      </c>
      <c r="DF1" s="4127">
        <v>106</v>
      </c>
      <c r="DG1" s="4127">
        <v>107</v>
      </c>
      <c r="DH1" s="4127">
        <v>108</v>
      </c>
      <c r="DI1" s="4127">
        <v>109</v>
      </c>
      <c r="DJ1" s="4127">
        <v>110</v>
      </c>
      <c r="DK1" s="4127">
        <v>111</v>
      </c>
      <c r="DL1" s="4127">
        <v>112</v>
      </c>
      <c r="DM1" s="4127">
        <v>113</v>
      </c>
      <c r="DN1" s="4127">
        <v>114</v>
      </c>
      <c r="DO1" s="4127">
        <v>115</v>
      </c>
      <c r="DP1" s="4127">
        <v>116</v>
      </c>
      <c r="DQ1" s="4127">
        <v>117</v>
      </c>
      <c r="DR1" s="4127">
        <v>118</v>
      </c>
      <c r="DS1" s="4127">
        <v>119</v>
      </c>
      <c r="DT1" s="4127">
        <v>120</v>
      </c>
      <c r="DU1" s="4127">
        <v>121</v>
      </c>
      <c r="DV1" s="4127">
        <v>122</v>
      </c>
      <c r="DW1" s="4127">
        <v>123</v>
      </c>
      <c r="DX1" s="4127">
        <v>124</v>
      </c>
      <c r="DY1" s="4127">
        <v>125</v>
      </c>
      <c r="DZ1" s="4127">
        <v>126</v>
      </c>
      <c r="EA1" s="4127">
        <v>127</v>
      </c>
      <c r="EB1" s="4127">
        <v>128</v>
      </c>
      <c r="EC1" s="4127">
        <v>129</v>
      </c>
      <c r="ED1" s="4127">
        <v>130</v>
      </c>
      <c r="EE1" s="4127">
        <v>131</v>
      </c>
      <c r="EF1" s="4127">
        <v>132</v>
      </c>
      <c r="EG1" s="4127">
        <v>133</v>
      </c>
      <c r="EH1" s="4127">
        <v>134</v>
      </c>
      <c r="EI1" s="4127">
        <v>135</v>
      </c>
      <c r="EJ1" s="4127">
        <v>136</v>
      </c>
      <c r="EK1" s="4127">
        <v>137</v>
      </c>
      <c r="EL1" s="4127">
        <v>138</v>
      </c>
      <c r="EM1" s="4127">
        <v>139</v>
      </c>
      <c r="EN1" s="4127">
        <v>140</v>
      </c>
      <c r="EO1" s="4127">
        <v>141</v>
      </c>
      <c r="EP1" s="4127">
        <v>142</v>
      </c>
      <c r="EQ1" s="4127">
        <v>143</v>
      </c>
      <c r="ER1" s="4127">
        <v>144</v>
      </c>
      <c r="ES1" s="4127">
        <v>145</v>
      </c>
      <c r="ET1" s="4127">
        <v>146</v>
      </c>
      <c r="EU1" s="4127">
        <v>147</v>
      </c>
      <c r="EV1" s="4127">
        <v>148</v>
      </c>
      <c r="EW1" s="4127">
        <v>149</v>
      </c>
      <c r="EX1" s="4127">
        <v>150</v>
      </c>
      <c r="EY1" s="4127">
        <v>151</v>
      </c>
      <c r="EZ1" s="4127">
        <v>152</v>
      </c>
      <c r="FA1" s="4127">
        <v>153</v>
      </c>
      <c r="FB1" s="4127">
        <v>154</v>
      </c>
      <c r="FC1" s="4127">
        <v>155</v>
      </c>
      <c r="FD1" s="4127">
        <v>156</v>
      </c>
      <c r="FE1" s="4127">
        <v>157</v>
      </c>
      <c r="FF1" s="4127">
        <v>158</v>
      </c>
      <c r="FG1" s="4127">
        <v>159</v>
      </c>
      <c r="FH1" s="4127">
        <v>160</v>
      </c>
      <c r="FI1" s="4127">
        <v>161</v>
      </c>
      <c r="FJ1" s="4127">
        <v>162</v>
      </c>
      <c r="FK1" s="4127">
        <v>163</v>
      </c>
      <c r="FL1" s="4127">
        <v>164</v>
      </c>
      <c r="FM1" s="4127">
        <v>165</v>
      </c>
      <c r="FN1" s="4127">
        <v>166</v>
      </c>
      <c r="FO1" s="4127">
        <v>167</v>
      </c>
      <c r="FP1" s="4127">
        <v>168</v>
      </c>
      <c r="FQ1" s="4127">
        <v>169</v>
      </c>
      <c r="FR1" s="4127">
        <v>170</v>
      </c>
      <c r="FS1" s="4127">
        <v>171</v>
      </c>
      <c r="FT1" s="4127">
        <v>172</v>
      </c>
      <c r="FU1" s="4127">
        <v>173</v>
      </c>
      <c r="FV1" s="4127">
        <v>174</v>
      </c>
      <c r="FW1" s="4127">
        <v>175</v>
      </c>
      <c r="FX1" s="4127">
        <v>176</v>
      </c>
      <c r="FY1" s="4127">
        <v>177</v>
      </c>
      <c r="FZ1" s="4127">
        <v>178</v>
      </c>
      <c r="GA1" s="4127">
        <v>179</v>
      </c>
      <c r="GB1" s="4127">
        <v>180</v>
      </c>
      <c r="GC1" s="4127">
        <v>181</v>
      </c>
      <c r="GD1" s="4127">
        <v>182</v>
      </c>
      <c r="GE1" s="4127">
        <v>183</v>
      </c>
      <c r="GF1" s="4127">
        <v>184</v>
      </c>
      <c r="GG1" s="4127">
        <v>185</v>
      </c>
      <c r="GH1" s="4127">
        <v>186</v>
      </c>
      <c r="GI1" s="4127">
        <v>187</v>
      </c>
      <c r="GJ1" s="4127">
        <v>188</v>
      </c>
      <c r="GK1" s="4127">
        <v>189</v>
      </c>
      <c r="GL1" s="4127">
        <v>190</v>
      </c>
      <c r="GM1" s="4127">
        <v>191</v>
      </c>
      <c r="GN1" s="4127">
        <v>192</v>
      </c>
      <c r="GO1" s="4127">
        <v>193</v>
      </c>
      <c r="GP1" s="4127">
        <v>194</v>
      </c>
      <c r="GQ1" s="4127">
        <v>195</v>
      </c>
      <c r="GR1" s="4127">
        <v>196</v>
      </c>
      <c r="GS1" s="4127">
        <v>197</v>
      </c>
      <c r="GT1" s="4127">
        <v>198</v>
      </c>
      <c r="GU1" s="4127">
        <v>199</v>
      </c>
      <c r="GV1" s="4127">
        <v>200</v>
      </c>
      <c r="GW1" s="4127">
        <v>201</v>
      </c>
      <c r="GX1" s="4127">
        <v>202</v>
      </c>
      <c r="GY1" s="4127">
        <v>203</v>
      </c>
      <c r="GZ1" s="4127">
        <v>204</v>
      </c>
      <c r="HA1" s="4127">
        <v>205</v>
      </c>
      <c r="HB1" s="4127">
        <v>206</v>
      </c>
      <c r="HC1" s="4127">
        <v>207</v>
      </c>
      <c r="HD1" s="4127">
        <v>208</v>
      </c>
      <c r="HE1" s="4127">
        <v>209</v>
      </c>
      <c r="HF1" s="4127">
        <v>210</v>
      </c>
      <c r="HG1" s="4127">
        <v>211</v>
      </c>
      <c r="HH1" s="4127">
        <v>212</v>
      </c>
      <c r="HI1" s="4127">
        <v>213</v>
      </c>
      <c r="HJ1" s="4127">
        <v>214</v>
      </c>
      <c r="HK1" s="4127">
        <v>215</v>
      </c>
      <c r="HL1" s="4127">
        <v>216</v>
      </c>
      <c r="HM1" s="4127">
        <v>217</v>
      </c>
      <c r="HN1" s="4127">
        <v>218</v>
      </c>
      <c r="HO1" s="4127">
        <v>219</v>
      </c>
      <c r="HP1" s="4127">
        <v>220</v>
      </c>
      <c r="HQ1" s="4127">
        <v>221</v>
      </c>
      <c r="HR1" s="4127">
        <v>222</v>
      </c>
      <c r="HS1" s="4127">
        <v>223</v>
      </c>
      <c r="HT1" s="4127">
        <v>224</v>
      </c>
      <c r="HU1" s="4127">
        <v>225</v>
      </c>
      <c r="HV1" s="4127">
        <v>226</v>
      </c>
      <c r="HW1" s="4127">
        <v>227</v>
      </c>
      <c r="HX1" s="4127">
        <v>228</v>
      </c>
      <c r="HY1" s="4127">
        <v>229</v>
      </c>
      <c r="HZ1" s="4127">
        <v>230</v>
      </c>
      <c r="IA1" s="4127">
        <v>231</v>
      </c>
      <c r="IB1" s="4127">
        <v>232</v>
      </c>
      <c r="IC1" s="4127">
        <v>233</v>
      </c>
      <c r="ID1" s="4127">
        <v>234</v>
      </c>
      <c r="IE1" s="4127">
        <v>235</v>
      </c>
      <c r="IF1" s="4127">
        <v>236</v>
      </c>
      <c r="IG1" s="4127">
        <v>237</v>
      </c>
      <c r="IH1" s="4127">
        <v>238</v>
      </c>
      <c r="II1" s="4127">
        <v>239</v>
      </c>
      <c r="IJ1" s="4127">
        <v>240</v>
      </c>
      <c r="IK1" s="4127">
        <v>241</v>
      </c>
      <c r="IL1" s="4127">
        <v>242</v>
      </c>
      <c r="IM1" s="4127">
        <v>243</v>
      </c>
      <c r="IN1" s="4127">
        <v>244</v>
      </c>
      <c r="IO1" s="4127">
        <v>245</v>
      </c>
      <c r="IP1" s="4127">
        <v>246</v>
      </c>
      <c r="IQ1" s="4127">
        <v>247</v>
      </c>
      <c r="IR1" s="4127">
        <v>248</v>
      </c>
      <c r="IS1" s="4127">
        <v>249</v>
      </c>
      <c r="IT1" s="4127">
        <v>250</v>
      </c>
      <c r="IU1" s="4127">
        <v>251</v>
      </c>
      <c r="IV1" s="4127">
        <v>252</v>
      </c>
      <c r="IW1" s="4127">
        <v>253</v>
      </c>
      <c r="IX1" s="4127">
        <v>254</v>
      </c>
      <c r="IY1" s="4127">
        <v>255</v>
      </c>
      <c r="IZ1" s="4127">
        <v>256</v>
      </c>
      <c r="JA1" s="4127">
        <v>257</v>
      </c>
      <c r="JB1" s="4127">
        <v>258</v>
      </c>
      <c r="JC1" s="4127">
        <v>259</v>
      </c>
      <c r="JD1" s="4127">
        <v>260</v>
      </c>
      <c r="JE1" s="4127">
        <v>261</v>
      </c>
      <c r="JF1" s="4127">
        <v>262</v>
      </c>
      <c r="JG1" s="4128">
        <v>263</v>
      </c>
      <c r="JH1" s="1233"/>
      <c r="JI1" s="1232" t="s">
        <v>5040</v>
      </c>
      <c r="JJ1" s="1685" t="s">
        <v>6104</v>
      </c>
    </row>
    <row ht="12.75" r="2" spans="1:270" x14ac:dyDescent="0.2">
      <c r="A2" s="1128" t="s">
        <v>4479</v>
      </c>
      <c r="B2" s="2755" t="str">
        <f>"selected "&amp;PS_A_IND-1</f>
        <v>selected 0</v>
      </c>
      <c r="C2" s="1679" t="s">
        <v>2261</v>
      </c>
      <c r="D2" s="1680"/>
      <c r="E2" s="1134">
        <v>1</v>
      </c>
      <c r="F2" s="1134">
        <v>2</v>
      </c>
      <c r="G2" s="1134">
        <v>3</v>
      </c>
      <c r="H2" s="1134">
        <v>4</v>
      </c>
      <c r="I2" s="1134">
        <v>5</v>
      </c>
      <c r="J2" s="1134">
        <v>6</v>
      </c>
      <c r="K2" s="1134">
        <v>7</v>
      </c>
      <c r="L2" s="1134">
        <v>8</v>
      </c>
      <c r="M2" s="1134">
        <v>9</v>
      </c>
      <c r="N2" s="1258">
        <v>10</v>
      </c>
      <c r="O2" s="1258">
        <v>11</v>
      </c>
      <c r="P2" s="1258">
        <v>12</v>
      </c>
      <c r="Q2" s="1258">
        <v>13</v>
      </c>
      <c r="R2" s="1258">
        <v>14</v>
      </c>
      <c r="S2" s="1258">
        <v>15</v>
      </c>
      <c r="T2" s="1258">
        <v>16</v>
      </c>
      <c r="U2" s="1258">
        <v>17</v>
      </c>
      <c r="V2" s="1258">
        <v>18</v>
      </c>
      <c r="W2" s="1258">
        <v>19</v>
      </c>
      <c r="X2" s="1258">
        <v>20</v>
      </c>
      <c r="Y2" s="1258">
        <v>21</v>
      </c>
      <c r="Z2" s="1258">
        <v>22</v>
      </c>
      <c r="AA2" s="1258">
        <v>23</v>
      </c>
      <c r="AB2" s="1258">
        <v>24</v>
      </c>
      <c r="AC2" s="2427">
        <v>25</v>
      </c>
      <c r="AD2" s="3517">
        <v>26</v>
      </c>
      <c r="AE2" s="3517">
        <v>27</v>
      </c>
      <c r="AF2" s="3517">
        <v>28</v>
      </c>
      <c r="AG2" s="3517">
        <v>29</v>
      </c>
      <c r="AH2" s="3517">
        <v>30</v>
      </c>
      <c r="AI2" s="2427">
        <v>31</v>
      </c>
      <c r="AJ2" s="1258">
        <v>32</v>
      </c>
      <c r="AK2" s="2427">
        <v>33</v>
      </c>
      <c r="AL2" s="1258">
        <v>34</v>
      </c>
      <c r="AM2" s="2427">
        <v>35</v>
      </c>
      <c r="AN2" s="1258">
        <v>36</v>
      </c>
      <c r="AO2" s="2427">
        <v>37</v>
      </c>
      <c r="AP2" s="1258">
        <v>38</v>
      </c>
      <c r="AQ2" s="2427">
        <v>39</v>
      </c>
      <c r="AR2" s="1258">
        <v>40</v>
      </c>
      <c r="AS2" s="2427">
        <v>41</v>
      </c>
      <c r="AT2" s="1258">
        <v>42</v>
      </c>
      <c r="AU2" s="2427">
        <v>43</v>
      </c>
      <c r="AV2" s="1258">
        <v>44</v>
      </c>
      <c r="AW2" s="2427">
        <v>45</v>
      </c>
      <c r="AX2" s="1258">
        <v>46</v>
      </c>
      <c r="AY2" s="2427">
        <v>47</v>
      </c>
      <c r="AZ2" s="1258">
        <v>48</v>
      </c>
      <c r="BA2" s="2427">
        <v>49</v>
      </c>
      <c r="BB2" s="1258">
        <v>50</v>
      </c>
      <c r="BC2" s="2427">
        <v>51</v>
      </c>
      <c r="BD2" s="1258">
        <v>52</v>
      </c>
      <c r="BE2" s="2427">
        <v>53</v>
      </c>
      <c r="BF2" s="1258">
        <v>54</v>
      </c>
      <c r="BG2" s="2427">
        <v>55</v>
      </c>
      <c r="BH2" s="1258">
        <v>56</v>
      </c>
      <c r="BI2" s="2427">
        <v>57</v>
      </c>
      <c r="BJ2" s="1258">
        <v>58</v>
      </c>
      <c r="BK2" s="2427">
        <v>59</v>
      </c>
      <c r="BL2" s="1258">
        <v>60</v>
      </c>
      <c r="BM2" s="2427">
        <v>61</v>
      </c>
      <c r="BN2" s="1258">
        <v>62</v>
      </c>
      <c r="BO2" s="2427">
        <v>63</v>
      </c>
      <c r="BP2" s="1258">
        <v>64</v>
      </c>
      <c r="BQ2" s="2427">
        <v>65</v>
      </c>
      <c r="BR2" s="1258">
        <v>66</v>
      </c>
      <c r="BS2" s="2427">
        <v>67</v>
      </c>
      <c r="BT2" s="1258">
        <v>68</v>
      </c>
      <c r="BU2" s="2427">
        <v>69</v>
      </c>
      <c r="BV2" s="1258">
        <v>70</v>
      </c>
      <c r="BW2" s="2427">
        <v>71</v>
      </c>
      <c r="BX2" s="1258">
        <v>72</v>
      </c>
      <c r="BY2" s="2427">
        <v>73</v>
      </c>
      <c r="BZ2" s="1258">
        <v>74</v>
      </c>
      <c r="CA2" s="2427">
        <v>75</v>
      </c>
      <c r="CB2" s="1258">
        <v>76</v>
      </c>
      <c r="CC2" s="2427">
        <v>77</v>
      </c>
      <c r="CD2" s="1258">
        <v>78</v>
      </c>
      <c r="CE2" s="2427">
        <v>79</v>
      </c>
      <c r="CF2" s="1258">
        <v>80</v>
      </c>
      <c r="CG2" s="2427">
        <v>81</v>
      </c>
      <c r="CH2" s="1258">
        <v>82</v>
      </c>
      <c r="CI2" s="2427">
        <v>83</v>
      </c>
      <c r="CJ2" s="1258">
        <v>84</v>
      </c>
      <c r="CK2" s="2427">
        <v>85</v>
      </c>
      <c r="CL2" s="1258">
        <v>86</v>
      </c>
      <c r="CM2" s="2427">
        <v>87</v>
      </c>
      <c r="CN2" s="1258">
        <v>88</v>
      </c>
      <c r="CO2" s="2427">
        <v>89</v>
      </c>
      <c r="CP2" s="1258">
        <v>90</v>
      </c>
      <c r="CQ2" s="2427">
        <v>91</v>
      </c>
      <c r="CR2" s="1258">
        <v>92</v>
      </c>
      <c r="CS2" s="2427">
        <v>93</v>
      </c>
      <c r="CT2" s="1258">
        <v>94</v>
      </c>
      <c r="CU2" s="2427">
        <v>95</v>
      </c>
      <c r="CV2" s="1258">
        <v>96</v>
      </c>
      <c r="CW2" s="2427">
        <v>97</v>
      </c>
      <c r="CX2" s="1258">
        <v>98</v>
      </c>
      <c r="CY2" s="2427">
        <v>99</v>
      </c>
      <c r="CZ2" s="1258">
        <v>100</v>
      </c>
      <c r="DA2" s="2427">
        <v>101</v>
      </c>
      <c r="DB2" s="1258">
        <v>102</v>
      </c>
      <c r="DC2" s="2427">
        <v>103</v>
      </c>
      <c r="DD2" s="1258">
        <v>104</v>
      </c>
      <c r="DE2" s="2427">
        <v>105</v>
      </c>
      <c r="DF2" s="1258">
        <v>106</v>
      </c>
      <c r="DG2" s="2427">
        <v>107</v>
      </c>
      <c r="DH2" s="1258">
        <v>108</v>
      </c>
      <c r="DI2" s="2427">
        <v>109</v>
      </c>
      <c r="DJ2" s="1258">
        <v>110</v>
      </c>
      <c r="DK2" s="2427">
        <v>111</v>
      </c>
      <c r="DL2" s="1258">
        <v>112</v>
      </c>
      <c r="DM2" s="2427">
        <v>113</v>
      </c>
      <c r="DN2" s="1258">
        <v>114</v>
      </c>
      <c r="DO2" s="2427">
        <v>115</v>
      </c>
      <c r="DP2" s="1258">
        <v>116</v>
      </c>
      <c r="DQ2" s="2427">
        <v>117</v>
      </c>
      <c r="DR2" s="1258">
        <v>118</v>
      </c>
      <c r="DS2" s="2427">
        <v>119</v>
      </c>
      <c r="DT2" s="1258">
        <v>120</v>
      </c>
      <c r="DU2" s="2427">
        <v>121</v>
      </c>
      <c r="DV2" s="1258">
        <v>122</v>
      </c>
      <c r="DW2" s="2427">
        <v>123</v>
      </c>
      <c r="DX2" s="1258">
        <v>124</v>
      </c>
      <c r="DY2" s="2427">
        <v>125</v>
      </c>
      <c r="DZ2" s="1258">
        <v>126</v>
      </c>
      <c r="EA2" s="2427">
        <v>127</v>
      </c>
      <c r="EB2" s="1258">
        <v>128</v>
      </c>
      <c r="EC2" s="2427">
        <v>129</v>
      </c>
      <c r="ED2" s="1258">
        <v>130</v>
      </c>
      <c r="EE2" s="2427">
        <v>131</v>
      </c>
      <c r="EF2" s="1258">
        <v>132</v>
      </c>
      <c r="EG2" s="2427">
        <v>133</v>
      </c>
      <c r="EH2" s="1258">
        <v>134</v>
      </c>
      <c r="EI2" s="2427">
        <v>135</v>
      </c>
      <c r="EJ2" s="1258">
        <v>136</v>
      </c>
      <c r="EK2" s="2427">
        <v>137</v>
      </c>
      <c r="EL2" s="1258">
        <v>138</v>
      </c>
      <c r="EM2" s="2427">
        <v>139</v>
      </c>
      <c r="EN2" s="1258">
        <v>140</v>
      </c>
      <c r="EO2" s="2427">
        <v>141</v>
      </c>
      <c r="EP2" s="1258">
        <v>142</v>
      </c>
      <c r="EQ2" s="2427">
        <v>143</v>
      </c>
      <c r="ER2" s="1258">
        <v>144</v>
      </c>
      <c r="ES2" s="2427">
        <v>145</v>
      </c>
      <c r="ET2" s="1258">
        <v>146</v>
      </c>
      <c r="EU2" s="2427">
        <v>147</v>
      </c>
      <c r="EV2" s="1258">
        <v>148</v>
      </c>
      <c r="EW2" s="2427">
        <v>149</v>
      </c>
      <c r="EX2" s="1258">
        <v>150</v>
      </c>
      <c r="EY2" s="2427">
        <v>151</v>
      </c>
      <c r="EZ2" s="1258">
        <v>152</v>
      </c>
      <c r="FA2" s="2427">
        <v>153</v>
      </c>
      <c r="FB2" s="1258">
        <v>154</v>
      </c>
      <c r="FC2" s="2427">
        <v>155</v>
      </c>
      <c r="FD2" s="1258">
        <v>156</v>
      </c>
      <c r="FE2" s="2427">
        <v>157</v>
      </c>
      <c r="FF2" s="1258">
        <v>158</v>
      </c>
      <c r="FG2" s="2427">
        <v>159</v>
      </c>
      <c r="FH2" s="1258">
        <v>160</v>
      </c>
      <c r="FI2" s="2427">
        <v>161</v>
      </c>
      <c r="FJ2" s="1258">
        <v>162</v>
      </c>
      <c r="FK2" s="2427">
        <v>163</v>
      </c>
      <c r="FL2" s="1258">
        <v>164</v>
      </c>
      <c r="FM2" s="2427">
        <v>165</v>
      </c>
      <c r="FN2" s="1258">
        <v>166</v>
      </c>
      <c r="FO2" s="2427">
        <v>167</v>
      </c>
      <c r="FP2" s="1258">
        <v>168</v>
      </c>
      <c r="FQ2" s="2427">
        <v>169</v>
      </c>
      <c r="FR2" s="1258">
        <v>170</v>
      </c>
      <c r="FS2" s="2427">
        <v>171</v>
      </c>
      <c r="FT2" s="1258">
        <v>172</v>
      </c>
      <c r="FU2" s="2427">
        <v>173</v>
      </c>
      <c r="FV2" s="1258">
        <v>174</v>
      </c>
      <c r="FW2" s="2427">
        <v>175</v>
      </c>
      <c r="FX2" s="1258">
        <v>176</v>
      </c>
      <c r="FY2" s="2427">
        <v>177</v>
      </c>
      <c r="FZ2" s="1258">
        <v>178</v>
      </c>
      <c r="GA2" s="2427">
        <v>179</v>
      </c>
      <c r="GB2" s="1258">
        <v>180</v>
      </c>
      <c r="GC2" s="2427">
        <v>181</v>
      </c>
      <c r="GD2" s="1258">
        <v>182</v>
      </c>
      <c r="GE2" s="2427">
        <v>183</v>
      </c>
      <c r="GF2" s="1258">
        <v>184</v>
      </c>
      <c r="GG2" s="2427">
        <v>185</v>
      </c>
      <c r="GH2" s="1258">
        <v>186</v>
      </c>
      <c r="GI2" s="2427">
        <v>187</v>
      </c>
      <c r="GJ2" s="1258">
        <v>188</v>
      </c>
      <c r="GK2" s="2427">
        <v>189</v>
      </c>
      <c r="GL2" s="1258">
        <v>190</v>
      </c>
      <c r="GM2" s="2427">
        <v>191</v>
      </c>
      <c r="GN2" s="1258">
        <v>192</v>
      </c>
      <c r="GO2" s="2427">
        <v>193</v>
      </c>
      <c r="GP2" s="1258">
        <v>194</v>
      </c>
      <c r="GQ2" s="2427">
        <v>195</v>
      </c>
      <c r="GR2" s="1258">
        <v>196</v>
      </c>
      <c r="GS2" s="2427">
        <v>197</v>
      </c>
      <c r="GT2" s="1258">
        <v>198</v>
      </c>
      <c r="GU2" s="2427">
        <v>199</v>
      </c>
      <c r="GV2" s="1258">
        <v>200</v>
      </c>
      <c r="GW2" s="2427">
        <v>201</v>
      </c>
      <c r="GX2" s="1258">
        <v>202</v>
      </c>
      <c r="GY2" s="2427">
        <v>203</v>
      </c>
      <c r="GZ2" s="1258">
        <v>204</v>
      </c>
      <c r="HA2" s="2427">
        <v>205</v>
      </c>
      <c r="HB2" s="1258">
        <v>206</v>
      </c>
      <c r="HC2" s="2427">
        <v>207</v>
      </c>
      <c r="HD2" s="1258">
        <v>208</v>
      </c>
      <c r="HE2" s="2427">
        <v>209</v>
      </c>
      <c r="HF2" s="1258">
        <v>210</v>
      </c>
      <c r="HG2" s="2427">
        <v>211</v>
      </c>
      <c r="HH2" s="1258">
        <v>212</v>
      </c>
      <c r="HI2" s="2427">
        <v>213</v>
      </c>
      <c r="HJ2" s="1258">
        <v>214</v>
      </c>
      <c r="HK2" s="2427">
        <v>215</v>
      </c>
      <c r="HL2" s="1258">
        <v>216</v>
      </c>
      <c r="HM2" s="2427">
        <v>217</v>
      </c>
      <c r="HN2" s="1258">
        <v>218</v>
      </c>
      <c r="HO2" s="2427">
        <v>219</v>
      </c>
      <c r="HP2" s="1258">
        <v>220</v>
      </c>
      <c r="HQ2" s="2427">
        <v>221</v>
      </c>
      <c r="HR2" s="1258">
        <v>222</v>
      </c>
      <c r="HS2" s="2427">
        <v>223</v>
      </c>
      <c r="HT2" s="1258">
        <v>224</v>
      </c>
      <c r="HU2" s="2427">
        <v>225</v>
      </c>
      <c r="HV2" s="2427">
        <v>226</v>
      </c>
      <c r="HW2" s="2427">
        <v>227</v>
      </c>
      <c r="HX2" s="1258">
        <v>228</v>
      </c>
      <c r="HY2" s="2427">
        <v>229</v>
      </c>
      <c r="HZ2" s="1258">
        <v>230</v>
      </c>
      <c r="IA2" s="2427">
        <v>231</v>
      </c>
      <c r="IB2" s="1258">
        <v>232</v>
      </c>
      <c r="IC2" s="2427">
        <v>233</v>
      </c>
      <c r="ID2" s="1258">
        <v>234</v>
      </c>
      <c r="IE2" s="2427">
        <v>235</v>
      </c>
      <c r="IF2" s="1258">
        <v>236</v>
      </c>
      <c r="IG2" s="2427">
        <v>237</v>
      </c>
      <c r="IH2" s="1258">
        <v>238</v>
      </c>
      <c r="II2" s="2427">
        <v>239</v>
      </c>
      <c r="IJ2" s="1258">
        <v>240</v>
      </c>
      <c r="IK2" s="2427">
        <v>241</v>
      </c>
      <c r="IL2" s="1258">
        <v>242</v>
      </c>
      <c r="IM2" s="2427">
        <v>243</v>
      </c>
      <c r="IN2" s="1258">
        <v>244</v>
      </c>
      <c r="IO2" s="2427">
        <v>245</v>
      </c>
      <c r="IP2" s="1258">
        <v>246</v>
      </c>
      <c r="IQ2" s="2427">
        <v>247</v>
      </c>
      <c r="IR2" s="1258">
        <v>248</v>
      </c>
      <c r="IS2" s="2427">
        <v>249</v>
      </c>
      <c r="IT2" s="1258">
        <v>250</v>
      </c>
      <c r="IU2" s="2427">
        <v>251</v>
      </c>
      <c r="IV2" s="1258">
        <v>252</v>
      </c>
      <c r="IW2" s="2427">
        <v>253</v>
      </c>
      <c r="IX2" s="1258">
        <v>254</v>
      </c>
      <c r="IY2" s="2427">
        <v>255</v>
      </c>
      <c r="IZ2" s="1258">
        <v>256</v>
      </c>
      <c r="JA2" s="2427">
        <v>257</v>
      </c>
      <c r="JB2" s="1258">
        <v>258</v>
      </c>
      <c r="JC2" s="2427">
        <v>259</v>
      </c>
      <c r="JD2" s="1134">
        <v>260</v>
      </c>
      <c r="JE2" s="1134">
        <v>261</v>
      </c>
      <c r="JF2" s="1134">
        <v>262</v>
      </c>
      <c r="JG2" s="2485">
        <v>263</v>
      </c>
      <c r="JH2" s="1233"/>
      <c r="JI2" s="1232" t="s">
        <v>5040</v>
      </c>
      <c r="JJ2" s="1685" t="s">
        <v>6104</v>
      </c>
    </row>
    <row ht="112.5" r="3" spans="1:270" x14ac:dyDescent="0.2">
      <c r="A3" s="1128">
        <v>2</v>
      </c>
      <c r="B3" s="1678" t="str">
        <f ref="B3:B34" si="0" t="shared">IF(PS_A_IND&gt;1,IF(HLOOKUP(PS_A_IND-1,SPS_RANGE,A3)="","",HLOOKUP(PS_A_IND-1,SPS_RANGE,A3)),"")</f>
        <v/>
      </c>
      <c r="C3" s="1681" t="s">
        <v>3810</v>
      </c>
      <c r="D3" s="1125" t="s">
        <v>5594</v>
      </c>
      <c r="E3" s="2506"/>
      <c r="F3" s="2506"/>
      <c r="G3" s="2506"/>
      <c r="H3" s="2506"/>
      <c r="I3" s="2506"/>
      <c r="J3" s="2506"/>
      <c r="K3" s="2506"/>
      <c r="L3" s="2506"/>
      <c r="M3" s="2506"/>
      <c r="N3" s="2507"/>
      <c r="O3" s="2507"/>
      <c r="P3" s="2507"/>
      <c r="Q3" s="2507"/>
      <c r="R3" s="2507"/>
      <c r="S3" s="2507"/>
      <c r="T3" s="2507"/>
      <c r="U3" s="2507"/>
      <c r="V3" s="2507"/>
      <c r="W3" s="2507"/>
      <c r="X3" s="2507"/>
      <c r="Y3" s="2507"/>
      <c r="Z3" s="2507"/>
      <c r="AA3" s="2507"/>
      <c r="AB3" s="2507"/>
      <c r="AC3" s="2507"/>
      <c r="AD3" s="2507"/>
      <c r="AE3" s="2507"/>
      <c r="AF3" s="2507"/>
      <c r="AG3" s="2507"/>
      <c r="AH3" s="2507"/>
      <c r="AI3" s="2507"/>
      <c r="AJ3" s="3094">
        <v>1000050020</v>
      </c>
      <c r="AK3" s="2507"/>
      <c r="AL3" s="2507"/>
      <c r="AM3" s="2507"/>
      <c r="AN3" s="2507"/>
      <c r="AO3" s="2507"/>
      <c r="AP3" s="2507"/>
      <c r="AQ3" s="2507"/>
      <c r="AR3" s="2507"/>
      <c r="AS3" s="2507"/>
      <c r="AT3" s="2507"/>
      <c r="AU3" s="2507"/>
      <c r="AV3" s="2507"/>
      <c r="AW3" s="2507"/>
      <c r="AX3" s="2507"/>
      <c r="AY3" s="2507"/>
      <c r="AZ3" s="2507"/>
      <c r="BA3" s="2507"/>
      <c r="BB3" s="2507"/>
      <c r="BC3" s="3094">
        <v>1000050020</v>
      </c>
      <c r="BD3" s="3094">
        <v>1000050020</v>
      </c>
      <c r="BE3" s="2507"/>
      <c r="BF3" s="2507"/>
      <c r="BG3" s="2507"/>
      <c r="BH3" s="2507"/>
      <c r="BI3" s="2507"/>
      <c r="BJ3" s="2507"/>
      <c r="BK3" s="2507"/>
      <c r="BL3" s="2507"/>
      <c r="BM3" s="2507"/>
      <c r="BN3" s="2507"/>
      <c r="BO3" s="2507"/>
      <c r="BP3" s="2507"/>
      <c r="BQ3" s="2507"/>
      <c r="BR3" s="2507"/>
      <c r="BS3" s="2507"/>
      <c r="BT3" s="2507"/>
      <c r="BU3" s="2507"/>
      <c r="BV3" s="2507"/>
      <c r="BW3" s="2507"/>
      <c r="BX3" s="2507"/>
      <c r="BY3" s="2507"/>
      <c r="BZ3" s="2507"/>
      <c r="CA3" s="2507"/>
      <c r="CB3" s="2507"/>
      <c r="CC3" s="2507"/>
      <c r="CD3" s="2507"/>
      <c r="CE3" s="2507"/>
      <c r="CF3" s="2507"/>
      <c r="CG3" s="2507"/>
      <c r="CH3" s="2507"/>
      <c r="CI3" s="3094">
        <v>1000050020</v>
      </c>
      <c r="CJ3" s="2507"/>
      <c r="CK3" s="2507"/>
      <c r="CL3" s="2507"/>
      <c r="CM3" s="2507"/>
      <c r="CN3" s="2507"/>
      <c r="CO3" s="2507"/>
      <c r="CP3" s="2507"/>
      <c r="CQ3" s="2507"/>
      <c r="CR3" s="2507"/>
      <c r="CS3" s="2507"/>
      <c r="CT3" s="2507"/>
      <c r="CU3" s="2507"/>
      <c r="CV3" s="2507"/>
      <c r="CW3" s="3094">
        <v>1000050020</v>
      </c>
      <c r="CX3" s="3094">
        <v>1000050020</v>
      </c>
      <c r="CY3" s="2507"/>
      <c r="CZ3" s="2507"/>
      <c r="DA3" s="2507"/>
      <c r="DB3" s="2507"/>
      <c r="DC3" s="2507"/>
      <c r="DD3" s="3094">
        <v>1000050020</v>
      </c>
      <c r="DE3" s="2507"/>
      <c r="DF3" s="2507"/>
      <c r="DG3" s="3094">
        <v>1000050020</v>
      </c>
      <c r="DH3" s="2507"/>
      <c r="DI3" s="2507"/>
      <c r="DJ3" s="2507"/>
      <c r="DK3" s="2507"/>
      <c r="DL3" s="2507"/>
      <c r="DM3" s="3094">
        <v>1000050020</v>
      </c>
      <c r="DN3" s="2507"/>
      <c r="DO3" s="2507"/>
      <c r="DP3" s="2507"/>
      <c r="DQ3" s="2507"/>
      <c r="DR3" s="2507"/>
      <c r="DS3" s="2507"/>
      <c r="DT3" s="2507"/>
      <c r="DU3" s="3094">
        <v>1000050020</v>
      </c>
      <c r="DV3" s="2507"/>
      <c r="DW3" s="2507"/>
      <c r="DX3" s="2507"/>
      <c r="DY3" s="2507"/>
      <c r="DZ3" s="2507"/>
      <c r="EA3" s="2507"/>
      <c r="EB3" s="2507"/>
      <c r="EC3" s="2507"/>
      <c r="ED3" s="2507"/>
      <c r="EE3" s="2507"/>
      <c r="EF3" s="2507"/>
      <c r="EG3" s="2507"/>
      <c r="EH3" s="2507"/>
      <c r="EI3" s="2507"/>
      <c r="EJ3" s="2507"/>
      <c r="EK3" s="2507"/>
      <c r="EL3" s="2507"/>
      <c r="EM3" s="2507"/>
      <c r="EN3" s="2507"/>
      <c r="EO3" s="2507"/>
      <c r="EP3" s="2507"/>
      <c r="EQ3" s="2507"/>
      <c r="ER3" s="2507"/>
      <c r="ES3" s="2507"/>
      <c r="ET3" s="2507"/>
      <c r="EU3" s="2507"/>
      <c r="EV3" s="2507"/>
      <c r="EW3" s="2507"/>
      <c r="EX3" s="2507"/>
      <c r="EY3" s="2507"/>
      <c r="EZ3" s="2507"/>
      <c r="FA3" s="2507"/>
      <c r="FB3" s="2507"/>
      <c r="FC3" s="2507"/>
      <c r="FD3" s="3094">
        <v>1000050020</v>
      </c>
      <c r="FE3" s="2507"/>
      <c r="FF3" s="3094">
        <v>1000050020</v>
      </c>
      <c r="FG3" s="2507"/>
      <c r="FH3" s="2507"/>
      <c r="FI3" s="3094">
        <v>1000050020</v>
      </c>
      <c r="FJ3" s="3094">
        <v>1000050020</v>
      </c>
      <c r="FK3" s="2507"/>
      <c r="FL3" s="2507"/>
      <c r="FM3" s="2507"/>
      <c r="FN3" s="2507"/>
      <c r="FO3" s="2507"/>
      <c r="FP3" s="2507"/>
      <c r="FQ3" s="2507"/>
      <c r="FR3" s="2507"/>
      <c r="FS3" s="2507"/>
      <c r="FT3" s="2507"/>
      <c r="FU3" s="2507"/>
      <c r="FV3" s="2507"/>
      <c r="FW3" s="2507"/>
      <c r="FX3" s="2507"/>
      <c r="FY3" s="2507"/>
      <c r="FZ3" s="2507"/>
      <c r="GA3" s="2507"/>
      <c r="GB3" s="2507"/>
      <c r="GC3" s="2507"/>
      <c r="GD3" s="2507"/>
      <c r="GE3" s="2507"/>
      <c r="GF3" s="2507"/>
      <c r="GG3" s="2507"/>
      <c r="GH3" s="2507"/>
      <c r="GI3" s="2507"/>
      <c r="GJ3" s="2507"/>
      <c r="GK3" s="2507"/>
      <c r="GL3" s="3094">
        <v>1000050020</v>
      </c>
      <c r="GM3" s="3094">
        <v>1000050020</v>
      </c>
      <c r="GN3" s="2507"/>
      <c r="GO3" s="2507"/>
      <c r="GP3" s="2507"/>
      <c r="GQ3" s="2507"/>
      <c r="GR3" s="2507"/>
      <c r="GS3" s="2507"/>
      <c r="GT3" s="2507"/>
      <c r="GU3" s="2507"/>
      <c r="GV3" s="2507"/>
      <c r="GW3" s="2507"/>
      <c r="GX3" s="2507"/>
      <c r="GY3" s="2507"/>
      <c r="GZ3" s="3094">
        <v>1000050020</v>
      </c>
      <c r="HA3" s="3094">
        <v>1000050020</v>
      </c>
      <c r="HB3" s="3094">
        <v>1000050020</v>
      </c>
      <c r="HC3" s="2507"/>
      <c r="HD3" s="2507"/>
      <c r="HE3" s="2507"/>
      <c r="HF3" s="2507"/>
      <c r="HG3" s="2507"/>
      <c r="HH3" s="2507"/>
      <c r="HI3" s="2507"/>
      <c r="HJ3" s="2507"/>
      <c r="HK3" s="2507"/>
      <c r="HL3" s="2507"/>
      <c r="HM3" s="2507"/>
      <c r="HN3" s="2507"/>
      <c r="HO3" s="2507"/>
      <c r="HP3" s="2507"/>
      <c r="HQ3" s="2507"/>
      <c r="HR3" s="2507"/>
      <c r="HS3" s="2507"/>
      <c r="HT3" s="2507"/>
      <c r="HU3" s="2507"/>
      <c r="HV3" s="2507">
        <v>1000050020</v>
      </c>
      <c r="HW3" s="2507"/>
      <c r="HX3" s="2507"/>
      <c r="HY3" s="2507"/>
      <c r="HZ3" s="2507"/>
      <c r="IA3" s="2507"/>
      <c r="IB3" s="2507"/>
      <c r="IC3" s="2507"/>
      <c r="ID3" s="2507"/>
      <c r="IE3" s="2507"/>
      <c r="IF3" s="2507"/>
      <c r="IG3" s="2507"/>
      <c r="IH3" s="2507"/>
      <c r="II3" s="2507"/>
      <c r="IJ3" s="2507"/>
      <c r="IK3" s="2507"/>
      <c r="IL3" s="2507"/>
      <c r="IM3" s="2507"/>
      <c r="IN3" s="2507"/>
      <c r="IO3" s="2507"/>
      <c r="IP3" s="2507"/>
      <c r="IQ3" s="2507"/>
      <c r="IR3" s="2507"/>
      <c r="IS3" s="2507"/>
      <c r="IT3" s="2507"/>
      <c r="IU3" s="2507"/>
      <c r="IV3" s="2507"/>
      <c r="IW3" s="2507"/>
      <c r="IX3" s="2507"/>
      <c r="IY3" s="3987">
        <v>1000050020</v>
      </c>
      <c r="IZ3" s="2507"/>
      <c r="JA3" s="2507"/>
      <c r="JB3" s="3987">
        <v>1000050020</v>
      </c>
      <c r="JC3" s="2507"/>
      <c r="JD3" s="2507"/>
      <c r="JE3" s="2507"/>
      <c r="JF3" s="2507"/>
      <c r="JG3" s="4129"/>
      <c r="JH3" s="1233"/>
      <c r="JI3" s="1393" t="s">
        <v>5582</v>
      </c>
      <c r="JJ3" s="1660" t="s">
        <v>6106</v>
      </c>
    </row>
    <row ht="12.75" r="4" spans="1:270" x14ac:dyDescent="0.2">
      <c r="A4" s="1128">
        <v>3</v>
      </c>
      <c r="B4" s="1678" t="str">
        <f>IF(PS_A_IND&gt;1,IF(HLOOKUP(PS_A_IND-1,SPS_RANGE,A4)="","",HLOOKUP(PS_A_IND-1,SPS_RANGE,A4)),"")</f>
        <v/>
      </c>
      <c r="C4" s="1681" t="s">
        <v>3616</v>
      </c>
      <c r="D4" s="1125" t="s">
        <v>5595</v>
      </c>
      <c r="E4" s="4130"/>
      <c r="F4" s="4130"/>
      <c r="G4" s="4130"/>
      <c r="H4" s="4130"/>
      <c r="I4" s="4130"/>
      <c r="J4" s="4130"/>
      <c r="K4" s="4130"/>
      <c r="L4" s="4130"/>
      <c r="M4" s="4130"/>
      <c r="N4" s="2845"/>
      <c r="O4" s="2845"/>
      <c r="P4" s="2845"/>
      <c r="Q4" s="2845"/>
      <c r="R4" s="2845"/>
      <c r="S4" s="2845"/>
      <c r="T4" s="2845"/>
      <c r="U4" s="2845"/>
      <c r="V4" s="2845"/>
      <c r="W4" s="2845"/>
      <c r="X4" s="2845"/>
      <c r="Y4" s="2845"/>
      <c r="Z4" s="2845"/>
      <c r="AA4" s="2845"/>
      <c r="AB4" s="2845"/>
      <c r="AC4" s="2845"/>
      <c r="AD4" s="2507"/>
      <c r="AE4" s="2507"/>
      <c r="AF4" s="2507"/>
      <c r="AG4" s="2507"/>
      <c r="AH4" s="2507"/>
      <c r="AI4" s="2845"/>
      <c r="AJ4" s="2395" t="s">
        <v>7334</v>
      </c>
      <c r="AK4" s="2845"/>
      <c r="AL4" s="2845"/>
      <c r="AM4" s="2845"/>
      <c r="AN4" s="2845"/>
      <c r="AO4" s="2845"/>
      <c r="AP4" s="2845"/>
      <c r="AQ4" s="2845"/>
      <c r="AR4" s="2845"/>
      <c r="AS4" s="2845"/>
      <c r="AT4" s="2845"/>
      <c r="AU4" s="2845"/>
      <c r="AV4" s="2845"/>
      <c r="AW4" s="2845"/>
      <c r="AX4" s="2845"/>
      <c r="AY4" s="2845"/>
      <c r="AZ4" s="2845"/>
      <c r="BA4" s="2845"/>
      <c r="BB4" s="2845"/>
      <c r="BC4" s="2379" t="s">
        <v>3030</v>
      </c>
      <c r="BD4" s="2379" t="s">
        <v>3030</v>
      </c>
      <c r="BE4" s="2845"/>
      <c r="BF4" s="2845"/>
      <c r="BG4" s="2845"/>
      <c r="BH4" s="2845"/>
      <c r="BI4" s="2845"/>
      <c r="BJ4" s="2845"/>
      <c r="BK4" s="2845"/>
      <c r="BL4" s="2845"/>
      <c r="BM4" s="2845"/>
      <c r="BN4" s="2845"/>
      <c r="BO4" s="2845"/>
      <c r="BP4" s="2845"/>
      <c r="BQ4" s="2845"/>
      <c r="BR4" s="2845"/>
      <c r="BS4" s="2845"/>
      <c r="BT4" s="2845"/>
      <c r="BU4" s="2845"/>
      <c r="BV4" s="2845"/>
      <c r="BW4" s="2845"/>
      <c r="BX4" s="2845"/>
      <c r="BY4" s="2845"/>
      <c r="BZ4" s="2845"/>
      <c r="CA4" s="2845"/>
      <c r="CB4" s="2845"/>
      <c r="CC4" s="2845"/>
      <c r="CD4" s="2845"/>
      <c r="CE4" s="2845"/>
      <c r="CF4" s="2845"/>
      <c r="CG4" s="2845"/>
      <c r="CH4" s="2845"/>
      <c r="CI4" s="2447" t="s">
        <v>3029</v>
      </c>
      <c r="CJ4" s="2845"/>
      <c r="CK4" s="2845"/>
      <c r="CL4" s="2845"/>
      <c r="CM4" s="2845"/>
      <c r="CN4" s="2845"/>
      <c r="CO4" s="2845"/>
      <c r="CP4" s="2845"/>
      <c r="CQ4" s="2845"/>
      <c r="CR4" s="2845"/>
      <c r="CS4" s="2845"/>
      <c r="CT4" s="2845"/>
      <c r="CU4" s="2845"/>
      <c r="CV4" s="2845"/>
      <c r="CW4" s="2379" t="s">
        <v>1147</v>
      </c>
      <c r="CX4" s="2379" t="s">
        <v>2670</v>
      </c>
      <c r="CY4" s="2845"/>
      <c r="CZ4" s="2845"/>
      <c r="DA4" s="2845"/>
      <c r="DB4" s="2845"/>
      <c r="DC4" s="2845"/>
      <c r="DD4" s="2447" t="s">
        <v>3029</v>
      </c>
      <c r="DE4" s="2845"/>
      <c r="DF4" s="2845"/>
      <c r="DG4" s="2379" t="s">
        <v>1332</v>
      </c>
      <c r="DH4" s="2845"/>
      <c r="DI4" s="2845"/>
      <c r="DJ4" s="2845"/>
      <c r="DK4" s="2845"/>
      <c r="DL4" s="2845"/>
      <c r="DM4" s="2447" t="s">
        <v>3029</v>
      </c>
      <c r="DN4" s="2845"/>
      <c r="DO4" s="2845"/>
      <c r="DP4" s="2845"/>
      <c r="DQ4" s="2845"/>
      <c r="DR4" s="2845"/>
      <c r="DS4" s="2845"/>
      <c r="DT4" s="2845"/>
      <c r="DU4" s="2447" t="s">
        <v>3029</v>
      </c>
      <c r="DV4" s="2845"/>
      <c r="DW4" s="2845"/>
      <c r="DX4" s="2845"/>
      <c r="DY4" s="2845"/>
      <c r="DZ4" s="2845"/>
      <c r="EA4" s="2845"/>
      <c r="EB4" s="2845"/>
      <c r="EC4" s="2845"/>
      <c r="ED4" s="2845"/>
      <c r="EE4" s="2845"/>
      <c r="EF4" s="2845"/>
      <c r="EG4" s="2845"/>
      <c r="EH4" s="2845"/>
      <c r="EI4" s="2845"/>
      <c r="EJ4" s="2845"/>
      <c r="EK4" s="2845"/>
      <c r="EL4" s="2845"/>
      <c r="EM4" s="2845"/>
      <c r="EN4" s="2845"/>
      <c r="EO4" s="2845"/>
      <c r="EP4" s="2845"/>
      <c r="EQ4" s="2845"/>
      <c r="ER4" s="2845"/>
      <c r="ES4" s="2845"/>
      <c r="ET4" s="2845"/>
      <c r="EU4" s="2845"/>
      <c r="EV4" s="2845"/>
      <c r="EW4" s="2845"/>
      <c r="EX4" s="2845"/>
      <c r="EY4" s="2845"/>
      <c r="EZ4" s="2845"/>
      <c r="FA4" s="2845"/>
      <c r="FB4" s="2845"/>
      <c r="FC4" s="2845"/>
      <c r="FD4" s="2379" t="s">
        <v>3030</v>
      </c>
      <c r="FE4" s="2845"/>
      <c r="FF4" s="2379" t="s">
        <v>3030</v>
      </c>
      <c r="FG4" s="2845"/>
      <c r="FH4" s="2845"/>
      <c r="FI4" s="2379" t="s">
        <v>3030</v>
      </c>
      <c r="FJ4" s="2379" t="s">
        <v>3030</v>
      </c>
      <c r="FK4" s="2845"/>
      <c r="FL4" s="2845"/>
      <c r="FM4" s="2845"/>
      <c r="FN4" s="2845"/>
      <c r="FO4" s="2845"/>
      <c r="FP4" s="2845"/>
      <c r="FQ4" s="2845"/>
      <c r="FR4" s="2845"/>
      <c r="FS4" s="2845"/>
      <c r="FT4" s="2845"/>
      <c r="FU4" s="2845"/>
      <c r="FV4" s="2845"/>
      <c r="FW4" s="2845"/>
      <c r="FX4" s="2845"/>
      <c r="FY4" s="2845"/>
      <c r="FZ4" s="2845"/>
      <c r="GA4" s="2845"/>
      <c r="GB4" s="2845"/>
      <c r="GC4" s="2845"/>
      <c r="GD4" s="2845"/>
      <c r="GE4" s="2845"/>
      <c r="GF4" s="2845"/>
      <c r="GG4" s="2845"/>
      <c r="GH4" s="2845"/>
      <c r="GI4" s="2845"/>
      <c r="GJ4" s="2845"/>
      <c r="GK4" s="2845"/>
      <c r="GL4" s="2379" t="s">
        <v>1147</v>
      </c>
      <c r="GM4" s="2379" t="s">
        <v>1147</v>
      </c>
      <c r="GN4" s="2845"/>
      <c r="GO4" s="2845"/>
      <c r="GP4" s="2845"/>
      <c r="GQ4" s="2845"/>
      <c r="GR4" s="2845"/>
      <c r="GS4" s="2845"/>
      <c r="GT4" s="2845"/>
      <c r="GU4" s="2845"/>
      <c r="GV4" s="2845"/>
      <c r="GW4" s="2845"/>
      <c r="GX4" s="2845"/>
      <c r="GY4" s="2845"/>
      <c r="GZ4" s="2379" t="s">
        <v>1147</v>
      </c>
      <c r="HA4" s="2379" t="s">
        <v>1147</v>
      </c>
      <c r="HB4" s="2379" t="s">
        <v>7237</v>
      </c>
      <c r="HC4" s="2845"/>
      <c r="HD4" s="2845"/>
      <c r="HE4" s="2845"/>
      <c r="HF4" s="2845"/>
      <c r="HG4" s="2845"/>
      <c r="HH4" s="2845"/>
      <c r="HI4" s="2845"/>
      <c r="HJ4" s="2845"/>
      <c r="HK4" s="2845"/>
      <c r="HL4" s="2845"/>
      <c r="HM4" s="2845"/>
      <c r="HN4" s="2845"/>
      <c r="HO4" s="2845"/>
      <c r="HP4" s="2845"/>
      <c r="HQ4" s="2845"/>
      <c r="HR4" s="2845"/>
      <c r="HS4" s="2845"/>
      <c r="HT4" s="2845"/>
      <c r="HU4" s="2845"/>
      <c r="HV4" s="2845" t="s">
        <v>1147</v>
      </c>
      <c r="HW4" s="2845"/>
      <c r="HX4" s="2845"/>
      <c r="HY4" s="2845"/>
      <c r="HZ4" s="2845"/>
      <c r="IA4" s="2845"/>
      <c r="IB4" s="2845"/>
      <c r="IC4" s="2845"/>
      <c r="ID4" s="2845"/>
      <c r="IE4" s="2845"/>
      <c r="IF4" s="2845"/>
      <c r="IG4" s="2845"/>
      <c r="IH4" s="2845"/>
      <c r="II4" s="2845"/>
      <c r="IJ4" s="2845"/>
      <c r="IK4" s="2845"/>
      <c r="IL4" s="2845"/>
      <c r="IM4" s="2845"/>
      <c r="IN4" s="2845"/>
      <c r="IO4" s="2845"/>
      <c r="IP4" s="2845"/>
      <c r="IQ4" s="2845"/>
      <c r="IR4" s="2845"/>
      <c r="IS4" s="2845"/>
      <c r="IT4" s="2845"/>
      <c r="IU4" s="2845"/>
      <c r="IV4" s="2845"/>
      <c r="IW4" s="2845"/>
      <c r="IX4" s="2845"/>
      <c r="IY4" s="3989" t="s">
        <v>8484</v>
      </c>
      <c r="IZ4" s="2845"/>
      <c r="JA4" s="2845"/>
      <c r="JB4" s="3989" t="s">
        <v>8884</v>
      </c>
      <c r="JC4" s="2845"/>
      <c r="JD4" s="2845"/>
      <c r="JE4" s="2845"/>
      <c r="JF4" s="2845"/>
      <c r="JG4" s="4131"/>
      <c r="JH4" s="1233"/>
      <c r="JI4" s="1393" t="s">
        <v>5095</v>
      </c>
      <c r="JJ4" s="1660" t="s">
        <v>6112</v>
      </c>
    </row>
    <row ht="12.75" r="5" spans="1:270" x14ac:dyDescent="0.2">
      <c r="A5" s="1128">
        <v>4</v>
      </c>
      <c r="B5" s="1678" t="str">
        <f si="0" t="shared"/>
        <v/>
      </c>
      <c r="C5" s="1681" t="s">
        <v>3617</v>
      </c>
      <c r="D5" s="1125" t="s">
        <v>5596</v>
      </c>
      <c r="E5" s="4130"/>
      <c r="F5" s="4130"/>
      <c r="G5" s="4130"/>
      <c r="H5" s="4130"/>
      <c r="I5" s="4130"/>
      <c r="J5" s="4130"/>
      <c r="K5" s="4130"/>
      <c r="L5" s="4130"/>
      <c r="M5" s="4130"/>
      <c r="N5" s="2845"/>
      <c r="O5" s="2845"/>
      <c r="P5" s="2845"/>
      <c r="Q5" s="2845"/>
      <c r="R5" s="2845"/>
      <c r="S5" s="2845"/>
      <c r="T5" s="2845"/>
      <c r="U5" s="2845"/>
      <c r="V5" s="2845"/>
      <c r="W5" s="2845"/>
      <c r="X5" s="2845"/>
      <c r="Y5" s="2845"/>
      <c r="Z5" s="2845"/>
      <c r="AA5" s="2845"/>
      <c r="AB5" s="2845"/>
      <c r="AC5" s="2845"/>
      <c r="AD5" s="2507"/>
      <c r="AE5" s="2507"/>
      <c r="AF5" s="2507"/>
      <c r="AG5" s="2507"/>
      <c r="AH5" s="2507"/>
      <c r="AI5" s="2845"/>
      <c r="AJ5" s="2395"/>
      <c r="AK5" s="2845"/>
      <c r="AL5" s="2845"/>
      <c r="AM5" s="2845"/>
      <c r="AN5" s="2845"/>
      <c r="AO5" s="2845"/>
      <c r="AP5" s="2845"/>
      <c r="AQ5" s="2845"/>
      <c r="AR5" s="2845"/>
      <c r="AS5" s="2845"/>
      <c r="AT5" s="2845"/>
      <c r="AU5" s="2845"/>
      <c r="AV5" s="2845"/>
      <c r="AW5" s="2845"/>
      <c r="AX5" s="2845"/>
      <c r="AY5" s="2845"/>
      <c r="AZ5" s="2845"/>
      <c r="BA5" s="2845"/>
      <c r="BB5" s="2845"/>
      <c r="BC5" s="2379"/>
      <c r="BD5" s="2379"/>
      <c r="BE5" s="2845"/>
      <c r="BF5" s="2845"/>
      <c r="BG5" s="2845"/>
      <c r="BH5" s="2845"/>
      <c r="BI5" s="2845"/>
      <c r="BJ5" s="2845"/>
      <c r="BK5" s="2845"/>
      <c r="BL5" s="2845"/>
      <c r="BM5" s="2845"/>
      <c r="BN5" s="2845"/>
      <c r="BO5" s="2845"/>
      <c r="BP5" s="2845"/>
      <c r="BQ5" s="2845"/>
      <c r="BR5" s="2845"/>
      <c r="BS5" s="2845"/>
      <c r="BT5" s="2845"/>
      <c r="BU5" s="2845"/>
      <c r="BV5" s="2845"/>
      <c r="BW5" s="2845"/>
      <c r="BX5" s="2845"/>
      <c r="BY5" s="2845"/>
      <c r="BZ5" s="2845"/>
      <c r="CA5" s="2845"/>
      <c r="CB5" s="2845"/>
      <c r="CC5" s="2845"/>
      <c r="CD5" s="2845"/>
      <c r="CE5" s="2845"/>
      <c r="CF5" s="2845"/>
      <c r="CG5" s="2845"/>
      <c r="CH5" s="2845"/>
      <c r="CI5" s="2379"/>
      <c r="CJ5" s="2845"/>
      <c r="CK5" s="2845"/>
      <c r="CL5" s="2845"/>
      <c r="CM5" s="2845"/>
      <c r="CN5" s="2845"/>
      <c r="CO5" s="2845"/>
      <c r="CP5" s="2845"/>
      <c r="CQ5" s="2845"/>
      <c r="CR5" s="2845"/>
      <c r="CS5" s="2845"/>
      <c r="CT5" s="2845"/>
      <c r="CU5" s="2845"/>
      <c r="CV5" s="2845"/>
      <c r="CW5" s="2379"/>
      <c r="CX5" s="2379"/>
      <c r="CY5" s="2845"/>
      <c r="CZ5" s="2845"/>
      <c r="DA5" s="2845"/>
      <c r="DB5" s="2845"/>
      <c r="DC5" s="2845"/>
      <c r="DD5" s="2379"/>
      <c r="DE5" s="2845"/>
      <c r="DF5" s="2845"/>
      <c r="DG5" s="2379"/>
      <c r="DH5" s="2845"/>
      <c r="DI5" s="2845"/>
      <c r="DJ5" s="2845"/>
      <c r="DK5" s="2845"/>
      <c r="DL5" s="2845"/>
      <c r="DM5" s="2379"/>
      <c r="DN5" s="2845"/>
      <c r="DO5" s="2845"/>
      <c r="DP5" s="2845"/>
      <c r="DQ5" s="2845"/>
      <c r="DR5" s="2845"/>
      <c r="DS5" s="2845"/>
      <c r="DT5" s="2845"/>
      <c r="DU5" s="2379"/>
      <c r="DV5" s="2845"/>
      <c r="DW5" s="2845"/>
      <c r="DX5" s="2845"/>
      <c r="DY5" s="2845"/>
      <c r="DZ5" s="2845"/>
      <c r="EA5" s="2845"/>
      <c r="EB5" s="2845"/>
      <c r="EC5" s="2845"/>
      <c r="ED5" s="2845"/>
      <c r="EE5" s="2845"/>
      <c r="EF5" s="2845"/>
      <c r="EG5" s="2845"/>
      <c r="EH5" s="2845"/>
      <c r="EI5" s="2845"/>
      <c r="EJ5" s="2845"/>
      <c r="EK5" s="2845"/>
      <c r="EL5" s="2845"/>
      <c r="EM5" s="2845"/>
      <c r="EN5" s="2845"/>
      <c r="EO5" s="2845"/>
      <c r="EP5" s="2845"/>
      <c r="EQ5" s="2845"/>
      <c r="ER5" s="2845"/>
      <c r="ES5" s="2845"/>
      <c r="ET5" s="2845"/>
      <c r="EU5" s="2845"/>
      <c r="EV5" s="2845"/>
      <c r="EW5" s="2845"/>
      <c r="EX5" s="2845"/>
      <c r="EY5" s="2845"/>
      <c r="EZ5" s="2845"/>
      <c r="FA5" s="2845"/>
      <c r="FB5" s="2845"/>
      <c r="FC5" s="2845"/>
      <c r="FD5" s="2379"/>
      <c r="FE5" s="2845"/>
      <c r="FF5" s="2379"/>
      <c r="FG5" s="2845"/>
      <c r="FH5" s="2845"/>
      <c r="FI5" s="2379"/>
      <c r="FJ5" s="2379"/>
      <c r="FK5" s="2845"/>
      <c r="FL5" s="2845"/>
      <c r="FM5" s="2845"/>
      <c r="FN5" s="2845"/>
      <c r="FO5" s="2845"/>
      <c r="FP5" s="2845"/>
      <c r="FQ5" s="2845"/>
      <c r="FR5" s="2845"/>
      <c r="FS5" s="2845"/>
      <c r="FT5" s="2845"/>
      <c r="FU5" s="2845"/>
      <c r="FV5" s="2845"/>
      <c r="FW5" s="2845"/>
      <c r="FX5" s="2845"/>
      <c r="FY5" s="2845"/>
      <c r="FZ5" s="2845"/>
      <c r="GA5" s="2845"/>
      <c r="GB5" s="2845"/>
      <c r="GC5" s="2845"/>
      <c r="GD5" s="2845"/>
      <c r="GE5" s="2845"/>
      <c r="GF5" s="2845"/>
      <c r="GG5" s="2845"/>
      <c r="GH5" s="2845"/>
      <c r="GI5" s="2845"/>
      <c r="GJ5" s="2845"/>
      <c r="GK5" s="2845"/>
      <c r="GL5" s="2379"/>
      <c r="GM5" s="2379"/>
      <c r="GN5" s="2845"/>
      <c r="GO5" s="2845"/>
      <c r="GP5" s="2845"/>
      <c r="GQ5" s="2845"/>
      <c r="GR5" s="2845"/>
      <c r="GS5" s="2845"/>
      <c r="GT5" s="2845"/>
      <c r="GU5" s="2845"/>
      <c r="GV5" s="2845"/>
      <c r="GW5" s="2845"/>
      <c r="GX5" s="2845"/>
      <c r="GY5" s="2845"/>
      <c r="GZ5" s="2863"/>
      <c r="HA5" s="2863"/>
      <c r="HB5" s="2379"/>
      <c r="HC5" s="2845"/>
      <c r="HD5" s="2845"/>
      <c r="HE5" s="2845"/>
      <c r="HF5" s="2845"/>
      <c r="HG5" s="2845"/>
      <c r="HH5" s="2845"/>
      <c r="HI5" s="2845"/>
      <c r="HJ5" s="2845"/>
      <c r="HK5" s="2845"/>
      <c r="HL5" s="2845"/>
      <c r="HM5" s="2845"/>
      <c r="HN5" s="2845"/>
      <c r="HO5" s="2845"/>
      <c r="HP5" s="2845"/>
      <c r="HQ5" s="2845"/>
      <c r="HR5" s="2845"/>
      <c r="HS5" s="2845"/>
      <c r="HT5" s="2845"/>
      <c r="HU5" s="2845"/>
      <c r="HV5" s="2845"/>
      <c r="HW5" s="2845"/>
      <c r="HX5" s="2845"/>
      <c r="HY5" s="2845"/>
      <c r="HZ5" s="2845"/>
      <c r="IA5" s="2845"/>
      <c r="IB5" s="2845"/>
      <c r="IC5" s="2845"/>
      <c r="ID5" s="2845"/>
      <c r="IE5" s="2845"/>
      <c r="IF5" s="2845"/>
      <c r="IG5" s="2845"/>
      <c r="IH5" s="2845"/>
      <c r="II5" s="2845"/>
      <c r="IJ5" s="2845"/>
      <c r="IK5" s="2845"/>
      <c r="IL5" s="2845"/>
      <c r="IM5" s="2845"/>
      <c r="IN5" s="2845"/>
      <c r="IO5" s="2845"/>
      <c r="IP5" s="2845"/>
      <c r="IQ5" s="2845"/>
      <c r="IR5" s="2845"/>
      <c r="IS5" s="2845"/>
      <c r="IT5" s="2845"/>
      <c r="IU5" s="2845"/>
      <c r="IV5" s="2845"/>
      <c r="IW5" s="2845"/>
      <c r="IX5" s="2845"/>
      <c r="IY5" s="3988"/>
      <c r="IZ5" s="2845"/>
      <c r="JA5" s="2845"/>
      <c r="JB5" s="3988"/>
      <c r="JC5" s="2845"/>
      <c r="JD5" s="2845"/>
      <c r="JE5" s="2845"/>
      <c r="JF5" s="2845"/>
      <c r="JG5" s="4131"/>
      <c r="JH5" s="1233"/>
      <c r="JI5" s="1393" t="s">
        <v>5583</v>
      </c>
      <c r="JJ5" s="1660" t="s">
        <v>6126</v>
      </c>
    </row>
    <row ht="33.75" r="6" spans="1:270" x14ac:dyDescent="0.2">
      <c r="A6" s="1128">
        <v>5</v>
      </c>
      <c r="B6" s="1678" t="str">
        <f si="0" t="shared"/>
        <v/>
      </c>
      <c r="C6" s="1681" t="s">
        <v>3618</v>
      </c>
      <c r="D6" s="1125" t="s">
        <v>5597</v>
      </c>
      <c r="E6" s="4130"/>
      <c r="F6" s="4130"/>
      <c r="G6" s="4130"/>
      <c r="H6" s="4130"/>
      <c r="I6" s="4130"/>
      <c r="J6" s="4130"/>
      <c r="K6" s="4130"/>
      <c r="L6" s="4130"/>
      <c r="M6" s="4130"/>
      <c r="N6" s="2845"/>
      <c r="O6" s="2845"/>
      <c r="P6" s="2845"/>
      <c r="Q6" s="2845"/>
      <c r="R6" s="2845"/>
      <c r="S6" s="2845"/>
      <c r="T6" s="2845"/>
      <c r="U6" s="2845"/>
      <c r="V6" s="2845"/>
      <c r="W6" s="2845"/>
      <c r="X6" s="2845"/>
      <c r="Y6" s="2845"/>
      <c r="Z6" s="2845"/>
      <c r="AA6" s="2845"/>
      <c r="AB6" s="2845"/>
      <c r="AC6" s="2845"/>
      <c r="AD6" s="2507"/>
      <c r="AE6" s="2507"/>
      <c r="AF6" s="2507"/>
      <c r="AG6" s="2507"/>
      <c r="AH6" s="2507"/>
      <c r="AI6" s="2845"/>
      <c r="AJ6" s="3095" t="str">
        <f>"06/04/"&amp;Tax_year_start</f>
        <v>06/04/2019</v>
      </c>
      <c r="AK6" s="2845"/>
      <c r="AL6" s="2845"/>
      <c r="AM6" s="2845"/>
      <c r="AN6" s="2845"/>
      <c r="AO6" s="2845"/>
      <c r="AP6" s="2845"/>
      <c r="AQ6" s="2845"/>
      <c r="AR6" s="2845"/>
      <c r="AS6" s="2845"/>
      <c r="AT6" s="2845"/>
      <c r="AU6" s="2845"/>
      <c r="AV6" s="2845"/>
      <c r="AW6" s="2845"/>
      <c r="AX6" s="2845"/>
      <c r="AY6" s="2845"/>
      <c r="AZ6" s="2845"/>
      <c r="BA6" s="2845"/>
      <c r="BB6" s="2845"/>
      <c r="BC6" s="2853" t="str">
        <f>"13/09/"&amp;Tax_year_start</f>
        <v>13/09/2019</v>
      </c>
      <c r="BD6" s="2853" t="str">
        <f>"13/09/"&amp;Tax_year_start</f>
        <v>13/09/2019</v>
      </c>
      <c r="BE6" s="2845"/>
      <c r="BF6" s="2845"/>
      <c r="BG6" s="2845"/>
      <c r="BH6" s="2845"/>
      <c r="BI6" s="2845"/>
      <c r="BJ6" s="2845"/>
      <c r="BK6" s="2845"/>
      <c r="BL6" s="2845"/>
      <c r="BM6" s="2845"/>
      <c r="BN6" s="2845"/>
      <c r="BO6" s="2845"/>
      <c r="BP6" s="2845"/>
      <c r="BQ6" s="2845"/>
      <c r="BR6" s="2845"/>
      <c r="BS6" s="2845"/>
      <c r="BT6" s="2845"/>
      <c r="BU6" s="2845"/>
      <c r="BV6" s="2845"/>
      <c r="BW6" s="2845"/>
      <c r="BX6" s="2845"/>
      <c r="BY6" s="2845"/>
      <c r="BZ6" s="2845"/>
      <c r="CA6" s="2845"/>
      <c r="CB6" s="2845"/>
      <c r="CC6" s="2845"/>
      <c r="CD6" s="2845"/>
      <c r="CE6" s="2845"/>
      <c r="CF6" s="2845"/>
      <c r="CG6" s="2845"/>
      <c r="CH6" s="2845"/>
      <c r="CI6" s="2859"/>
      <c r="CJ6" s="2845"/>
      <c r="CK6" s="2845"/>
      <c r="CL6" s="2845"/>
      <c r="CM6" s="2845"/>
      <c r="CN6" s="2845"/>
      <c r="CO6" s="2845"/>
      <c r="CP6" s="2845"/>
      <c r="CQ6" s="2845"/>
      <c r="CR6" s="2845"/>
      <c r="CS6" s="2845"/>
      <c r="CT6" s="2845"/>
      <c r="CU6" s="2845"/>
      <c r="CV6" s="2845"/>
      <c r="CW6" s="2853"/>
      <c r="CX6" s="2861"/>
      <c r="CY6" s="2845"/>
      <c r="CZ6" s="2845"/>
      <c r="DA6" s="2845"/>
      <c r="DB6" s="2845"/>
      <c r="DC6" s="2845"/>
      <c r="DD6" s="2859"/>
      <c r="DE6" s="2845"/>
      <c r="DF6" s="2845"/>
      <c r="DG6" s="2861"/>
      <c r="DH6" s="2845"/>
      <c r="DI6" s="2845"/>
      <c r="DJ6" s="2845"/>
      <c r="DK6" s="2845"/>
      <c r="DL6" s="2845"/>
      <c r="DM6" s="2859"/>
      <c r="DN6" s="2845"/>
      <c r="DO6" s="2845"/>
      <c r="DP6" s="2845"/>
      <c r="DQ6" s="2845"/>
      <c r="DR6" s="2845"/>
      <c r="DS6" s="2845"/>
      <c r="DT6" s="2845"/>
      <c r="DU6" s="2859"/>
      <c r="DV6" s="2845"/>
      <c r="DW6" s="2845"/>
      <c r="DX6" s="2845"/>
      <c r="DY6" s="2845"/>
      <c r="DZ6" s="2845"/>
      <c r="EA6" s="2845"/>
      <c r="EB6" s="2845"/>
      <c r="EC6" s="2845"/>
      <c r="ED6" s="2845"/>
      <c r="EE6" s="2845"/>
      <c r="EF6" s="2845"/>
      <c r="EG6" s="2845"/>
      <c r="EH6" s="2845"/>
      <c r="EI6" s="2845"/>
      <c r="EJ6" s="2845"/>
      <c r="EK6" s="2845"/>
      <c r="EL6" s="2845"/>
      <c r="EM6" s="2845"/>
      <c r="EN6" s="2845"/>
      <c r="EO6" s="2845"/>
      <c r="EP6" s="2845"/>
      <c r="EQ6" s="2845"/>
      <c r="ER6" s="2845"/>
      <c r="ES6" s="2845"/>
      <c r="ET6" s="2845"/>
      <c r="EU6" s="2845"/>
      <c r="EV6" s="2845"/>
      <c r="EW6" s="2845"/>
      <c r="EX6" s="2845"/>
      <c r="EY6" s="2845"/>
      <c r="EZ6" s="2845"/>
      <c r="FA6" s="2845"/>
      <c r="FB6" s="2845"/>
      <c r="FC6" s="2845"/>
      <c r="FD6" s="2853" t="str">
        <f>"13/09/"&amp;Tax_year_start</f>
        <v>13/09/2019</v>
      </c>
      <c r="FE6" s="2845"/>
      <c r="FF6" s="2853" t="str">
        <f>"13/09/"&amp;Tax_year_start</f>
        <v>13/09/2019</v>
      </c>
      <c r="FG6" s="2845"/>
      <c r="FH6" s="2845"/>
      <c r="FI6" s="2853" t="str">
        <f>"13/09/"&amp;Tax_year_start</f>
        <v>13/09/2019</v>
      </c>
      <c r="FJ6" s="2853" t="str">
        <f>"13/09/"&amp;Tax_year_start</f>
        <v>13/09/2019</v>
      </c>
      <c r="FK6" s="2845"/>
      <c r="FL6" s="2845"/>
      <c r="FM6" s="2845"/>
      <c r="FN6" s="2845"/>
      <c r="FO6" s="2845"/>
      <c r="FP6" s="2845"/>
      <c r="FQ6" s="2845"/>
      <c r="FR6" s="2845"/>
      <c r="FS6" s="2845"/>
      <c r="FT6" s="2845"/>
      <c r="FU6" s="2845"/>
      <c r="FV6" s="2845"/>
      <c r="FW6" s="2845"/>
      <c r="FX6" s="2845"/>
      <c r="FY6" s="2845"/>
      <c r="FZ6" s="2845"/>
      <c r="GA6" s="2845"/>
      <c r="GB6" s="2845"/>
      <c r="GC6" s="2845"/>
      <c r="GD6" s="2845"/>
      <c r="GE6" s="2845"/>
      <c r="GF6" s="2845"/>
      <c r="GG6" s="2845"/>
      <c r="GH6" s="2845"/>
      <c r="GI6" s="2845"/>
      <c r="GJ6" s="2845"/>
      <c r="GK6" s="2845"/>
      <c r="GL6" s="2853"/>
      <c r="GM6" s="2853"/>
      <c r="GN6" s="2845"/>
      <c r="GO6" s="2845"/>
      <c r="GP6" s="2845"/>
      <c r="GQ6" s="2845"/>
      <c r="GR6" s="2845"/>
      <c r="GS6" s="2845"/>
      <c r="GT6" s="2845"/>
      <c r="GU6" s="2845"/>
      <c r="GV6" s="2845"/>
      <c r="GW6" s="2845"/>
      <c r="GX6" s="2845"/>
      <c r="GY6" s="2845"/>
      <c r="GZ6" s="2861"/>
      <c r="HA6" s="2861"/>
      <c r="HB6" s="2861"/>
      <c r="HC6" s="2845"/>
      <c r="HD6" s="2845"/>
      <c r="HE6" s="2845"/>
      <c r="HF6" s="2845"/>
      <c r="HG6" s="2845"/>
      <c r="HH6" s="2845"/>
      <c r="HI6" s="2845"/>
      <c r="HJ6" s="2845"/>
      <c r="HK6" s="2845"/>
      <c r="HL6" s="2845"/>
      <c r="HM6" s="2845"/>
      <c r="HN6" s="2845"/>
      <c r="HO6" s="2845"/>
      <c r="HP6" s="2845"/>
      <c r="HQ6" s="2845"/>
      <c r="HR6" s="2845"/>
      <c r="HS6" s="2845"/>
      <c r="HT6" s="2845"/>
      <c r="HU6" s="2845"/>
      <c r="HV6" s="2845"/>
      <c r="HW6" s="2845"/>
      <c r="HX6" s="2845"/>
      <c r="HY6" s="2845"/>
      <c r="HZ6" s="2845"/>
      <c r="IA6" s="2845"/>
      <c r="IB6" s="2845"/>
      <c r="IC6" s="2845"/>
      <c r="ID6" s="2845"/>
      <c r="IE6" s="2845"/>
      <c r="IF6" s="2845"/>
      <c r="IG6" s="2845"/>
      <c r="IH6" s="2845"/>
      <c r="II6" s="2845"/>
      <c r="IJ6" s="2845"/>
      <c r="IK6" s="2845"/>
      <c r="IL6" s="2845"/>
      <c r="IM6" s="2845"/>
      <c r="IN6" s="2845"/>
      <c r="IO6" s="2845"/>
      <c r="IP6" s="2845"/>
      <c r="IQ6" s="2845"/>
      <c r="IR6" s="2845"/>
      <c r="IS6" s="2845"/>
      <c r="IT6" s="2845"/>
      <c r="IU6" s="2845"/>
      <c r="IV6" s="2845"/>
      <c r="IW6" s="2845"/>
      <c r="IX6" s="2845"/>
      <c r="IY6" s="3988"/>
      <c r="IZ6" s="2845"/>
      <c r="JA6" s="2845"/>
      <c r="JB6" s="3988"/>
      <c r="JC6" s="2845"/>
      <c r="JD6" s="2845"/>
      <c r="JE6" s="2845"/>
      <c r="JF6" s="2845"/>
      <c r="JG6" s="4131"/>
      <c r="JH6" s="1233"/>
      <c r="JI6" s="1393" t="s">
        <v>5584</v>
      </c>
      <c r="JJ6" s="1660" t="s">
        <v>6126</v>
      </c>
    </row>
    <row ht="12.75" r="7" spans="1:270" x14ac:dyDescent="0.2">
      <c r="A7" s="1128">
        <v>6</v>
      </c>
      <c r="B7" s="1678" t="str">
        <f si="0" t="shared"/>
        <v/>
      </c>
      <c r="C7" s="1681" t="s">
        <v>3619</v>
      </c>
      <c r="D7" s="1125" t="s">
        <v>5446</v>
      </c>
      <c r="E7" s="4130"/>
      <c r="F7" s="4130"/>
      <c r="G7" s="4130"/>
      <c r="H7" s="4130"/>
      <c r="I7" s="4130"/>
      <c r="J7" s="4130"/>
      <c r="K7" s="4130"/>
      <c r="L7" s="4130"/>
      <c r="M7" s="4130"/>
      <c r="N7" s="2845"/>
      <c r="O7" s="2845"/>
      <c r="P7" s="2845"/>
      <c r="Q7" s="2845"/>
      <c r="R7" s="2845"/>
      <c r="S7" s="2845"/>
      <c r="T7" s="2845"/>
      <c r="U7" s="2845"/>
      <c r="V7" s="2845"/>
      <c r="W7" s="2845"/>
      <c r="X7" s="2845"/>
      <c r="Y7" s="2845"/>
      <c r="Z7" s="2845"/>
      <c r="AA7" s="2845"/>
      <c r="AB7" s="2845"/>
      <c r="AC7" s="2845"/>
      <c r="AD7" s="2507"/>
      <c r="AE7" s="2507"/>
      <c r="AF7" s="2507"/>
      <c r="AG7" s="2507"/>
      <c r="AH7" s="2507"/>
      <c r="AI7" s="2845"/>
      <c r="AJ7" s="2395" t="s">
        <v>572</v>
      </c>
      <c r="AK7" s="2845"/>
      <c r="AL7" s="2845"/>
      <c r="AM7" s="2845"/>
      <c r="AN7" s="2845"/>
      <c r="AO7" s="2845"/>
      <c r="AP7" s="2845"/>
      <c r="AQ7" s="2845"/>
      <c r="AR7" s="2845"/>
      <c r="AS7" s="2845"/>
      <c r="AT7" s="2845"/>
      <c r="AU7" s="2845"/>
      <c r="AV7" s="2845"/>
      <c r="AW7" s="2845"/>
      <c r="AX7" s="2845"/>
      <c r="AY7" s="2845"/>
      <c r="AZ7" s="2845"/>
      <c r="BA7" s="2845"/>
      <c r="BB7" s="2845"/>
      <c r="BC7" s="2379" t="s">
        <v>572</v>
      </c>
      <c r="BD7" s="2379" t="s">
        <v>572</v>
      </c>
      <c r="BE7" s="2845"/>
      <c r="BF7" s="2845"/>
      <c r="BG7" s="2845"/>
      <c r="BH7" s="2845"/>
      <c r="BI7" s="2845"/>
      <c r="BJ7" s="2845"/>
      <c r="BK7" s="2845"/>
      <c r="BL7" s="2845"/>
      <c r="BM7" s="2845"/>
      <c r="BN7" s="2845"/>
      <c r="BO7" s="2845"/>
      <c r="BP7" s="2845"/>
      <c r="BQ7" s="2845"/>
      <c r="BR7" s="2845"/>
      <c r="BS7" s="2845"/>
      <c r="BT7" s="2845"/>
      <c r="BU7" s="2845"/>
      <c r="BV7" s="2845"/>
      <c r="BW7" s="2845"/>
      <c r="BX7" s="2845"/>
      <c r="BY7" s="2845"/>
      <c r="BZ7" s="2845"/>
      <c r="CA7" s="2845"/>
      <c r="CB7" s="2845"/>
      <c r="CC7" s="2845"/>
      <c r="CD7" s="2845"/>
      <c r="CE7" s="2845"/>
      <c r="CF7" s="2845"/>
      <c r="CG7" s="2845"/>
      <c r="CH7" s="2845"/>
      <c r="CI7" s="2379" t="s">
        <v>572</v>
      </c>
      <c r="CJ7" s="2845"/>
      <c r="CK7" s="2845"/>
      <c r="CL7" s="2845"/>
      <c r="CM7" s="2845"/>
      <c r="CN7" s="2845"/>
      <c r="CO7" s="2845"/>
      <c r="CP7" s="2845"/>
      <c r="CQ7" s="2845"/>
      <c r="CR7" s="2845"/>
      <c r="CS7" s="2845"/>
      <c r="CT7" s="2845"/>
      <c r="CU7" s="2845"/>
      <c r="CV7" s="2845"/>
      <c r="CW7" s="2379" t="s">
        <v>1189</v>
      </c>
      <c r="CX7" s="2379" t="s">
        <v>1189</v>
      </c>
      <c r="CY7" s="2845"/>
      <c r="CZ7" s="2845"/>
      <c r="DA7" s="2845"/>
      <c r="DB7" s="2845"/>
      <c r="DC7" s="2845"/>
      <c r="DD7" s="2379" t="s">
        <v>572</v>
      </c>
      <c r="DE7" s="2845"/>
      <c r="DF7" s="2845"/>
      <c r="DG7" s="2379" t="s">
        <v>1189</v>
      </c>
      <c r="DH7" s="2845"/>
      <c r="DI7" s="2845"/>
      <c r="DJ7" s="2845"/>
      <c r="DK7" s="2845"/>
      <c r="DL7" s="2845"/>
      <c r="DM7" s="2379" t="s">
        <v>572</v>
      </c>
      <c r="DN7" s="2845"/>
      <c r="DO7" s="2845"/>
      <c r="DP7" s="2845"/>
      <c r="DQ7" s="2845"/>
      <c r="DR7" s="2845"/>
      <c r="DS7" s="2845"/>
      <c r="DT7" s="2845"/>
      <c r="DU7" s="2379" t="s">
        <v>572</v>
      </c>
      <c r="DV7" s="2845"/>
      <c r="DW7" s="2845"/>
      <c r="DX7" s="2845"/>
      <c r="DY7" s="2845"/>
      <c r="DZ7" s="2845"/>
      <c r="EA7" s="2845"/>
      <c r="EB7" s="2845"/>
      <c r="EC7" s="2845"/>
      <c r="ED7" s="2845"/>
      <c r="EE7" s="2845"/>
      <c r="EF7" s="2845"/>
      <c r="EG7" s="2845"/>
      <c r="EH7" s="2845"/>
      <c r="EI7" s="2845"/>
      <c r="EJ7" s="2845"/>
      <c r="EK7" s="2845"/>
      <c r="EL7" s="2845"/>
      <c r="EM7" s="2845"/>
      <c r="EN7" s="2845"/>
      <c r="EO7" s="2845"/>
      <c r="EP7" s="2845"/>
      <c r="EQ7" s="2845"/>
      <c r="ER7" s="2845"/>
      <c r="ES7" s="2845"/>
      <c r="ET7" s="2845"/>
      <c r="EU7" s="2845"/>
      <c r="EV7" s="2845"/>
      <c r="EW7" s="2845"/>
      <c r="EX7" s="2845"/>
      <c r="EY7" s="2845"/>
      <c r="EZ7" s="2845"/>
      <c r="FA7" s="2845"/>
      <c r="FB7" s="2845"/>
      <c r="FC7" s="2845"/>
      <c r="FD7" s="2379" t="s">
        <v>572</v>
      </c>
      <c r="FE7" s="2845"/>
      <c r="FF7" s="2379" t="s">
        <v>572</v>
      </c>
      <c r="FG7" s="2845"/>
      <c r="FH7" s="2845"/>
      <c r="FI7" s="2379" t="s">
        <v>572</v>
      </c>
      <c r="FJ7" s="2379" t="s">
        <v>572</v>
      </c>
      <c r="FK7" s="2845"/>
      <c r="FL7" s="2845"/>
      <c r="FM7" s="2845"/>
      <c r="FN7" s="2845"/>
      <c r="FO7" s="2845"/>
      <c r="FP7" s="2845"/>
      <c r="FQ7" s="2845"/>
      <c r="FR7" s="2845"/>
      <c r="FS7" s="2845"/>
      <c r="FT7" s="2845"/>
      <c r="FU7" s="2845"/>
      <c r="FV7" s="2845"/>
      <c r="FW7" s="2845"/>
      <c r="FX7" s="2845"/>
      <c r="FY7" s="2845"/>
      <c r="FZ7" s="2845"/>
      <c r="GA7" s="2845"/>
      <c r="GB7" s="2845"/>
      <c r="GC7" s="2845"/>
      <c r="GD7" s="2845"/>
      <c r="GE7" s="2845"/>
      <c r="GF7" s="2845"/>
      <c r="GG7" s="2845"/>
      <c r="GH7" s="2845"/>
      <c r="GI7" s="2845"/>
      <c r="GJ7" s="2845"/>
      <c r="GK7" s="2845"/>
      <c r="GL7" s="2379" t="s">
        <v>1189</v>
      </c>
      <c r="GM7" s="2379" t="s">
        <v>1189</v>
      </c>
      <c r="GN7" s="2845"/>
      <c r="GO7" s="2845"/>
      <c r="GP7" s="2845"/>
      <c r="GQ7" s="2845"/>
      <c r="GR7" s="2845"/>
      <c r="GS7" s="2845"/>
      <c r="GT7" s="2845"/>
      <c r="GU7" s="2845"/>
      <c r="GV7" s="2845"/>
      <c r="GW7" s="2845"/>
      <c r="GX7" s="2845"/>
      <c r="GY7" s="2845"/>
      <c r="GZ7" s="2863" t="s">
        <v>1189</v>
      </c>
      <c r="HA7" s="2863" t="s">
        <v>1189</v>
      </c>
      <c r="HB7" s="2379" t="s">
        <v>1189</v>
      </c>
      <c r="HC7" s="2845"/>
      <c r="HD7" s="2845"/>
      <c r="HE7" s="2845"/>
      <c r="HF7" s="2845"/>
      <c r="HG7" s="2845"/>
      <c r="HH7" s="2845"/>
      <c r="HI7" s="2845"/>
      <c r="HJ7" s="2845"/>
      <c r="HK7" s="2845"/>
      <c r="HL7" s="2845"/>
      <c r="HM7" s="2845"/>
      <c r="HN7" s="2845"/>
      <c r="HO7" s="2845"/>
      <c r="HP7" s="2845"/>
      <c r="HQ7" s="2845"/>
      <c r="HR7" s="2845"/>
      <c r="HS7" s="2845"/>
      <c r="HT7" s="2845"/>
      <c r="HU7" s="2845"/>
      <c r="HV7" s="2845" t="s">
        <v>1189</v>
      </c>
      <c r="HW7" s="2845"/>
      <c r="HX7" s="2845"/>
      <c r="HY7" s="2845"/>
      <c r="HZ7" s="2845"/>
      <c r="IA7" s="2845"/>
      <c r="IB7" s="2845"/>
      <c r="IC7" s="2845"/>
      <c r="ID7" s="2845"/>
      <c r="IE7" s="2845"/>
      <c r="IF7" s="2845"/>
      <c r="IG7" s="2845"/>
      <c r="IH7" s="2845"/>
      <c r="II7" s="2845"/>
      <c r="IJ7" s="2845"/>
      <c r="IK7" s="2845"/>
      <c r="IL7" s="2845"/>
      <c r="IM7" s="2845"/>
      <c r="IN7" s="2845"/>
      <c r="IO7" s="2845"/>
      <c r="IP7" s="2845"/>
      <c r="IQ7" s="2845"/>
      <c r="IR7" s="2845"/>
      <c r="IS7" s="2845"/>
      <c r="IT7" s="2845"/>
      <c r="IU7" s="2845"/>
      <c r="IV7" s="2845"/>
      <c r="IW7" s="2845"/>
      <c r="IX7" s="2845"/>
      <c r="IY7" s="4035"/>
      <c r="IZ7" s="2845"/>
      <c r="JA7" s="2845"/>
      <c r="JB7" s="4307"/>
      <c r="JC7" s="2845"/>
      <c r="JD7" s="2845"/>
      <c r="JE7" s="2845"/>
      <c r="JF7" s="2845"/>
      <c r="JG7" s="4131"/>
      <c r="JH7" s="1233"/>
      <c r="JI7" s="1393"/>
      <c r="JJ7" s="1660" t="s">
        <v>6111</v>
      </c>
    </row>
    <row ht="12.75" r="8" spans="1:270" x14ac:dyDescent="0.2">
      <c r="A8" s="1128">
        <v>7</v>
      </c>
      <c r="B8" s="1678" t="str">
        <f si="0" t="shared"/>
        <v/>
      </c>
      <c r="C8" s="1681" t="s">
        <v>3620</v>
      </c>
      <c r="D8" s="1125" t="s">
        <v>5598</v>
      </c>
      <c r="E8" s="4130"/>
      <c r="F8" s="4130"/>
      <c r="G8" s="4130"/>
      <c r="H8" s="4130"/>
      <c r="I8" s="4130"/>
      <c r="J8" s="4130"/>
      <c r="K8" s="4130"/>
      <c r="L8" s="4130"/>
      <c r="M8" s="4130"/>
      <c r="N8" s="2845"/>
      <c r="O8" s="2845"/>
      <c r="P8" s="2845"/>
      <c r="Q8" s="2845"/>
      <c r="R8" s="2845"/>
      <c r="S8" s="2845"/>
      <c r="T8" s="2845"/>
      <c r="U8" s="2845"/>
      <c r="V8" s="2845"/>
      <c r="W8" s="2845"/>
      <c r="X8" s="2845"/>
      <c r="Y8" s="2845"/>
      <c r="Z8" s="2845"/>
      <c r="AA8" s="2845"/>
      <c r="AB8" s="2845"/>
      <c r="AC8" s="2845"/>
      <c r="AD8" s="2507"/>
      <c r="AE8" s="2507"/>
      <c r="AF8" s="2507"/>
      <c r="AG8" s="2507"/>
      <c r="AH8" s="2507"/>
      <c r="AI8" s="2845"/>
      <c r="AJ8" s="3095" t="str">
        <f>"06/04/"&amp;Tax_year_start</f>
        <v>06/04/2019</v>
      </c>
      <c r="AK8" s="2845"/>
      <c r="AL8" s="2845"/>
      <c r="AM8" s="2845"/>
      <c r="AN8" s="2845"/>
      <c r="AO8" s="2845"/>
      <c r="AP8" s="2845"/>
      <c r="AQ8" s="2845"/>
      <c r="AR8" s="2845"/>
      <c r="AS8" s="2845"/>
      <c r="AT8" s="2845"/>
      <c r="AU8" s="2845"/>
      <c r="AV8" s="2845"/>
      <c r="AW8" s="2845"/>
      <c r="AX8" s="2845"/>
      <c r="AY8" s="2845"/>
      <c r="AZ8" s="2845"/>
      <c r="BA8" s="2845"/>
      <c r="BB8" s="2845"/>
      <c r="BC8" s="2853" t="str">
        <f>"01/01/"&amp;Tax_year_start</f>
        <v>01/01/2019</v>
      </c>
      <c r="BD8" s="2853" t="str">
        <f>"01/01/"&amp;Tax_year_start</f>
        <v>01/01/2019</v>
      </c>
      <c r="BE8" s="2845"/>
      <c r="BF8" s="2845"/>
      <c r="BG8" s="2845"/>
      <c r="BH8" s="2845"/>
      <c r="BI8" s="2845"/>
      <c r="BJ8" s="2845"/>
      <c r="BK8" s="2845"/>
      <c r="BL8" s="2845"/>
      <c r="BM8" s="2845"/>
      <c r="BN8" s="2845"/>
      <c r="BO8" s="2845"/>
      <c r="BP8" s="2845"/>
      <c r="BQ8" s="2845"/>
      <c r="BR8" s="2845"/>
      <c r="BS8" s="2845"/>
      <c r="BT8" s="2845"/>
      <c r="BU8" s="2845"/>
      <c r="BV8" s="2845"/>
      <c r="BW8" s="2845"/>
      <c r="BX8" s="2845"/>
      <c r="BY8" s="2845"/>
      <c r="BZ8" s="2845"/>
      <c r="CA8" s="2845"/>
      <c r="CB8" s="2845"/>
      <c r="CC8" s="2845"/>
      <c r="CD8" s="2845"/>
      <c r="CE8" s="2845"/>
      <c r="CF8" s="2845"/>
      <c r="CG8" s="2845"/>
      <c r="CH8" s="2845"/>
      <c r="CI8" s="2853" t="str">
        <f>"06/04/"&amp;Tax_year_start</f>
        <v>06/04/2019</v>
      </c>
      <c r="CJ8" s="2845"/>
      <c r="CK8" s="2845"/>
      <c r="CL8" s="2845"/>
      <c r="CM8" s="2845"/>
      <c r="CN8" s="2845"/>
      <c r="CO8" s="2845"/>
      <c r="CP8" s="2845"/>
      <c r="CQ8" s="2845"/>
      <c r="CR8" s="2845"/>
      <c r="CS8" s="2845"/>
      <c r="CT8" s="2845"/>
      <c r="CU8" s="2845"/>
      <c r="CV8" s="2845"/>
      <c r="CW8" s="2853" t="str">
        <f>"06/04/"&amp;Tax_year_start</f>
        <v>06/04/2019</v>
      </c>
      <c r="CX8" s="2853" t="str">
        <f>"06/04/"&amp;Tax_year_start</f>
        <v>06/04/2019</v>
      </c>
      <c r="CY8" s="2845"/>
      <c r="CZ8" s="2845"/>
      <c r="DA8" s="2845"/>
      <c r="DB8" s="2845"/>
      <c r="DC8" s="2845"/>
      <c r="DD8" s="2853" t="str">
        <f>"06/04/"&amp;Tax_year_start</f>
        <v>06/04/2019</v>
      </c>
      <c r="DE8" s="2845"/>
      <c r="DF8" s="2845"/>
      <c r="DG8" s="2853" t="str">
        <f>"01/07/"&amp;Tax_year_start-1</f>
        <v>01/07/2018</v>
      </c>
      <c r="DH8" s="2845"/>
      <c r="DI8" s="2845"/>
      <c r="DJ8" s="2845"/>
      <c r="DK8" s="2845"/>
      <c r="DL8" s="2845"/>
      <c r="DM8" s="2853" t="str">
        <f>"06/04/"&amp;Tax_year_start</f>
        <v>06/04/2019</v>
      </c>
      <c r="DN8" s="2845"/>
      <c r="DO8" s="2845"/>
      <c r="DP8" s="2845"/>
      <c r="DQ8" s="2845"/>
      <c r="DR8" s="2845"/>
      <c r="DS8" s="2845"/>
      <c r="DT8" s="2845"/>
      <c r="DU8" s="2853" t="str">
        <f>"06/04/"&amp;Tax_year_start</f>
        <v>06/04/2019</v>
      </c>
      <c r="DV8" s="2845"/>
      <c r="DW8" s="2845"/>
      <c r="DX8" s="2845"/>
      <c r="DY8" s="2845"/>
      <c r="DZ8" s="2845"/>
      <c r="EA8" s="2845"/>
      <c r="EB8" s="2845"/>
      <c r="EC8" s="2845"/>
      <c r="ED8" s="2845"/>
      <c r="EE8" s="2845"/>
      <c r="EF8" s="2845"/>
      <c r="EG8" s="2845"/>
      <c r="EH8" s="2845"/>
      <c r="EI8" s="2845"/>
      <c r="EJ8" s="2845"/>
      <c r="EK8" s="2845"/>
      <c r="EL8" s="2845"/>
      <c r="EM8" s="2845"/>
      <c r="EN8" s="2845"/>
      <c r="EO8" s="2845"/>
      <c r="EP8" s="2845"/>
      <c r="EQ8" s="2845"/>
      <c r="ER8" s="2845"/>
      <c r="ES8" s="2845"/>
      <c r="ET8" s="2845"/>
      <c r="EU8" s="2845"/>
      <c r="EV8" s="2845"/>
      <c r="EW8" s="2845"/>
      <c r="EX8" s="2845"/>
      <c r="EY8" s="2845"/>
      <c r="EZ8" s="2845"/>
      <c r="FA8" s="2845"/>
      <c r="FB8" s="2845"/>
      <c r="FC8" s="2845"/>
      <c r="FD8" s="2853" t="str">
        <f>"01/01/"&amp;Tax_year_start</f>
        <v>01/01/2019</v>
      </c>
      <c r="FE8" s="2845"/>
      <c r="FF8" s="2853" t="str">
        <f>"01/01/"&amp;Tax_year_start</f>
        <v>01/01/2019</v>
      </c>
      <c r="FG8" s="2845"/>
      <c r="FH8" s="2845"/>
      <c r="FI8" s="2853" t="str">
        <f>"01/01/"&amp;Tax_year_start</f>
        <v>01/01/2019</v>
      </c>
      <c r="FJ8" s="2853" t="str">
        <f>"01/01/"&amp;Tax_year_start</f>
        <v>01/01/2019</v>
      </c>
      <c r="FK8" s="2845"/>
      <c r="FL8" s="2845"/>
      <c r="FM8" s="2845"/>
      <c r="FN8" s="2845"/>
      <c r="FO8" s="2845"/>
      <c r="FP8" s="2845"/>
      <c r="FQ8" s="2845"/>
      <c r="FR8" s="2845"/>
      <c r="FS8" s="2845"/>
      <c r="FT8" s="2845"/>
      <c r="FU8" s="2845"/>
      <c r="FV8" s="2845"/>
      <c r="FW8" s="2845"/>
      <c r="FX8" s="2845"/>
      <c r="FY8" s="2845"/>
      <c r="FZ8" s="2845"/>
      <c r="GA8" s="2845"/>
      <c r="GB8" s="2845"/>
      <c r="GC8" s="2845"/>
      <c r="GD8" s="2845"/>
      <c r="GE8" s="2845"/>
      <c r="GF8" s="2845"/>
      <c r="GG8" s="2845"/>
      <c r="GH8" s="2845"/>
      <c r="GI8" s="2845"/>
      <c r="GJ8" s="2845"/>
      <c r="GK8" s="2845"/>
      <c r="GL8" s="2853" t="str">
        <f>"06/04/"&amp;Tax_year_start</f>
        <v>06/04/2019</v>
      </c>
      <c r="GM8" s="2853" t="str">
        <f>"06/04/"&amp;Tax_year_start</f>
        <v>06/04/2019</v>
      </c>
      <c r="GN8" s="2845"/>
      <c r="GO8" s="2845"/>
      <c r="GP8" s="2845"/>
      <c r="GQ8" s="2845"/>
      <c r="GR8" s="2845"/>
      <c r="GS8" s="2845"/>
      <c r="GT8" s="2845"/>
      <c r="GU8" s="2845"/>
      <c r="GV8" s="2845"/>
      <c r="GW8" s="2845"/>
      <c r="GX8" s="2845"/>
      <c r="GY8" s="2845"/>
      <c r="GZ8" s="2853" t="str">
        <f>"06/04/"&amp;Tax_year_start</f>
        <v>06/04/2019</v>
      </c>
      <c r="HA8" s="2853" t="str">
        <f>"06/04/"&amp;Tax_year_start</f>
        <v>06/04/2019</v>
      </c>
      <c r="HB8" s="2853" t="str">
        <f>"06/04/"&amp;Tax_year_start</f>
        <v>06/04/2019</v>
      </c>
      <c r="HC8" s="2845"/>
      <c r="HD8" s="2845"/>
      <c r="HE8" s="2845"/>
      <c r="HF8" s="2845"/>
      <c r="HG8" s="2845"/>
      <c r="HH8" s="2845"/>
      <c r="HI8" s="2845"/>
      <c r="HJ8" s="2845"/>
      <c r="HK8" s="2845"/>
      <c r="HL8" s="2845"/>
      <c r="HM8" s="2845"/>
      <c r="HN8" s="2845"/>
      <c r="HO8" s="2845"/>
      <c r="HP8" s="2845"/>
      <c r="HQ8" s="2845"/>
      <c r="HR8" s="2845"/>
      <c r="HS8" s="2845"/>
      <c r="HT8" s="2845"/>
      <c r="HU8" s="2845"/>
      <c r="HV8" s="2845" t="str">
        <f>"06/04/"&amp;Tax_year_start</f>
        <v>06/04/2019</v>
      </c>
      <c r="HW8" s="2845"/>
      <c r="HX8" s="2845"/>
      <c r="HY8" s="2845"/>
      <c r="HZ8" s="2845"/>
      <c r="IA8" s="2845"/>
      <c r="IB8" s="2845"/>
      <c r="IC8" s="2845"/>
      <c r="ID8" s="2845"/>
      <c r="IE8" s="2845"/>
      <c r="IF8" s="2845"/>
      <c r="IG8" s="2845"/>
      <c r="IH8" s="2845"/>
      <c r="II8" s="2845"/>
      <c r="IJ8" s="2845"/>
      <c r="IK8" s="2845"/>
      <c r="IL8" s="2845"/>
      <c r="IM8" s="2845"/>
      <c r="IN8" s="2845"/>
      <c r="IO8" s="2845"/>
      <c r="IP8" s="2845"/>
      <c r="IQ8" s="2845"/>
      <c r="IR8" s="2845"/>
      <c r="IS8" s="2845"/>
      <c r="IT8" s="2845"/>
      <c r="IU8" s="2845"/>
      <c r="IV8" s="2845"/>
      <c r="IW8" s="2845"/>
      <c r="IX8" s="2845"/>
      <c r="IY8" s="3988" t="str">
        <f>"01/05/"&amp;Tax_year_start</f>
        <v>01/05/2019</v>
      </c>
      <c r="IZ8" s="2845"/>
      <c r="JA8" s="2845"/>
      <c r="JB8" s="3988" t="str">
        <f>"01/05/"&amp;Tax_year_start-1</f>
        <v>01/05/2018</v>
      </c>
      <c r="JC8" s="2845"/>
      <c r="JD8" s="2845"/>
      <c r="JE8" s="2845"/>
      <c r="JF8" s="2845"/>
      <c r="JG8" s="4131"/>
      <c r="JH8" s="1233"/>
      <c r="JI8" s="1393" t="s">
        <v>1881</v>
      </c>
      <c r="JJ8" s="1660" t="s">
        <v>6126</v>
      </c>
    </row>
    <row ht="33.75" r="9" spans="1:270" x14ac:dyDescent="0.2">
      <c r="A9" s="1128">
        <v>8</v>
      </c>
      <c r="B9" s="1678" t="str">
        <f si="0" t="shared"/>
        <v/>
      </c>
      <c r="C9" s="1681" t="s">
        <v>3621</v>
      </c>
      <c r="D9" s="1125" t="s">
        <v>5599</v>
      </c>
      <c r="E9" s="4130"/>
      <c r="F9" s="4130"/>
      <c r="G9" s="4130"/>
      <c r="H9" s="4130"/>
      <c r="I9" s="4130"/>
      <c r="J9" s="4130"/>
      <c r="K9" s="4130"/>
      <c r="L9" s="4130"/>
      <c r="M9" s="4130"/>
      <c r="N9" s="2845"/>
      <c r="O9" s="2845"/>
      <c r="P9" s="2845"/>
      <c r="Q9" s="2845"/>
      <c r="R9" s="2845"/>
      <c r="S9" s="2845"/>
      <c r="T9" s="2845"/>
      <c r="U9" s="2845"/>
      <c r="V9" s="2845"/>
      <c r="W9" s="2845"/>
      <c r="X9" s="2845"/>
      <c r="Y9" s="2845"/>
      <c r="Z9" s="2845"/>
      <c r="AA9" s="2845"/>
      <c r="AB9" s="2845"/>
      <c r="AC9" s="2845"/>
      <c r="AD9" s="2507"/>
      <c r="AE9" s="2507"/>
      <c r="AF9" s="2507"/>
      <c r="AG9" s="2507"/>
      <c r="AH9" s="2507"/>
      <c r="AI9" s="2845"/>
      <c r="AJ9" s="3095" t="str">
        <f>"05/04/"&amp;Tax_year_end</f>
        <v>05/04/2020</v>
      </c>
      <c r="AK9" s="2845"/>
      <c r="AL9" s="2845"/>
      <c r="AM9" s="2845"/>
      <c r="AN9" s="2845"/>
      <c r="AO9" s="2845"/>
      <c r="AP9" s="2845"/>
      <c r="AQ9" s="2845"/>
      <c r="AR9" s="2845"/>
      <c r="AS9" s="2845"/>
      <c r="AT9" s="2845"/>
      <c r="AU9" s="2845"/>
      <c r="AV9" s="2845"/>
      <c r="AW9" s="2845"/>
      <c r="AX9" s="2845"/>
      <c r="AY9" s="2845"/>
      <c r="AZ9" s="2845"/>
      <c r="BA9" s="2845"/>
      <c r="BB9" s="2845"/>
      <c r="BC9" s="2853" t="str">
        <f>"13/09/"&amp;Tax_year_start</f>
        <v>13/09/2019</v>
      </c>
      <c r="BD9" s="2853" t="str">
        <f>"13/09/"&amp;Tax_year_start</f>
        <v>13/09/2019</v>
      </c>
      <c r="BE9" s="2845"/>
      <c r="BF9" s="2845"/>
      <c r="BG9" s="2845"/>
      <c r="BH9" s="2845"/>
      <c r="BI9" s="2845"/>
      <c r="BJ9" s="2845"/>
      <c r="BK9" s="2845"/>
      <c r="BL9" s="2845"/>
      <c r="BM9" s="2845"/>
      <c r="BN9" s="2845"/>
      <c r="BO9" s="2845"/>
      <c r="BP9" s="2845"/>
      <c r="BQ9" s="2845"/>
      <c r="BR9" s="2845"/>
      <c r="BS9" s="2845"/>
      <c r="BT9" s="2845"/>
      <c r="BU9" s="2845"/>
      <c r="BV9" s="2845"/>
      <c r="BW9" s="2845"/>
      <c r="BX9" s="2845"/>
      <c r="BY9" s="2845"/>
      <c r="BZ9" s="2845"/>
      <c r="CA9" s="2845"/>
      <c r="CB9" s="2845"/>
      <c r="CC9" s="2845"/>
      <c r="CD9" s="2845"/>
      <c r="CE9" s="2845"/>
      <c r="CF9" s="2845"/>
      <c r="CG9" s="2845"/>
      <c r="CH9" s="2845"/>
      <c r="CI9" s="2853" t="str">
        <f>"05/04/"&amp;Tax_year_end</f>
        <v>05/04/2020</v>
      </c>
      <c r="CJ9" s="2845"/>
      <c r="CK9" s="2845"/>
      <c r="CL9" s="2845"/>
      <c r="CM9" s="2845"/>
      <c r="CN9" s="2845"/>
      <c r="CO9" s="2845"/>
      <c r="CP9" s="2845"/>
      <c r="CQ9" s="2845"/>
      <c r="CR9" s="2845"/>
      <c r="CS9" s="2845"/>
      <c r="CT9" s="2845"/>
      <c r="CU9" s="2845"/>
      <c r="CV9" s="2845"/>
      <c r="CW9" s="2853" t="str">
        <f>"05/04/"&amp;Tax_year_end</f>
        <v>05/04/2020</v>
      </c>
      <c r="CX9" s="2853" t="str">
        <f>"05/04/"&amp;Tax_year_end</f>
        <v>05/04/2020</v>
      </c>
      <c r="CY9" s="2845"/>
      <c r="CZ9" s="2845"/>
      <c r="DA9" s="2845"/>
      <c r="DB9" s="2845"/>
      <c r="DC9" s="2845"/>
      <c r="DD9" s="2853" t="str">
        <f>"05/04/"&amp;Tax_year_end</f>
        <v>05/04/2020</v>
      </c>
      <c r="DE9" s="2845"/>
      <c r="DF9" s="2845"/>
      <c r="DG9" s="2853" t="str">
        <f>"30/06/"&amp;Tax_year_start</f>
        <v>30/06/2019</v>
      </c>
      <c r="DH9" s="2845"/>
      <c r="DI9" s="2845"/>
      <c r="DJ9" s="2845"/>
      <c r="DK9" s="2845"/>
      <c r="DL9" s="2845"/>
      <c r="DM9" s="2853" t="str">
        <f>"05/04/"&amp;Tax_year_end</f>
        <v>05/04/2020</v>
      </c>
      <c r="DN9" s="2845"/>
      <c r="DO9" s="2845"/>
      <c r="DP9" s="2845"/>
      <c r="DQ9" s="2845"/>
      <c r="DR9" s="2845"/>
      <c r="DS9" s="2845"/>
      <c r="DT9" s="2845"/>
      <c r="DU9" s="2853" t="str">
        <f>"05/04/"&amp;Tax_year_end</f>
        <v>05/04/2020</v>
      </c>
      <c r="DV9" s="2845"/>
      <c r="DW9" s="2845"/>
      <c r="DX9" s="2845"/>
      <c r="DY9" s="2845"/>
      <c r="DZ9" s="2845"/>
      <c r="EA9" s="2845"/>
      <c r="EB9" s="2845"/>
      <c r="EC9" s="2845"/>
      <c r="ED9" s="2845"/>
      <c r="EE9" s="2845"/>
      <c r="EF9" s="2845"/>
      <c r="EG9" s="2845"/>
      <c r="EH9" s="2845"/>
      <c r="EI9" s="2845"/>
      <c r="EJ9" s="2845"/>
      <c r="EK9" s="2845"/>
      <c r="EL9" s="2845"/>
      <c r="EM9" s="2845"/>
      <c r="EN9" s="2845"/>
      <c r="EO9" s="2845"/>
      <c r="EP9" s="2845"/>
      <c r="EQ9" s="2845"/>
      <c r="ER9" s="2845"/>
      <c r="ES9" s="2845"/>
      <c r="ET9" s="2845"/>
      <c r="EU9" s="2845"/>
      <c r="EV9" s="2845"/>
      <c r="EW9" s="2845"/>
      <c r="EX9" s="2845"/>
      <c r="EY9" s="2845"/>
      <c r="EZ9" s="2845"/>
      <c r="FA9" s="2845"/>
      <c r="FB9" s="2845"/>
      <c r="FC9" s="2845"/>
      <c r="FD9" s="2853" t="str">
        <f>"13/09/"&amp;Tax_year_start</f>
        <v>13/09/2019</v>
      </c>
      <c r="FE9" s="2845"/>
      <c r="FF9" s="2853" t="str">
        <f>"13/09/"&amp;Tax_year_start</f>
        <v>13/09/2019</v>
      </c>
      <c r="FG9" s="2845"/>
      <c r="FH9" s="2845"/>
      <c r="FI9" s="2853" t="str">
        <f>"13/09/"&amp;Tax_year_start</f>
        <v>13/09/2019</v>
      </c>
      <c r="FJ9" s="2853" t="str">
        <f>"13/09/"&amp;Tax_year_start</f>
        <v>13/09/2019</v>
      </c>
      <c r="FK9" s="2845"/>
      <c r="FL9" s="2845"/>
      <c r="FM9" s="2845"/>
      <c r="FN9" s="2845"/>
      <c r="FO9" s="2845"/>
      <c r="FP9" s="2845"/>
      <c r="FQ9" s="2845"/>
      <c r="FR9" s="2845"/>
      <c r="FS9" s="2845"/>
      <c r="FT9" s="2845"/>
      <c r="FU9" s="2845"/>
      <c r="FV9" s="2845"/>
      <c r="FW9" s="2845"/>
      <c r="FX9" s="2845"/>
      <c r="FY9" s="2845"/>
      <c r="FZ9" s="2845"/>
      <c r="GA9" s="2845"/>
      <c r="GB9" s="2845"/>
      <c r="GC9" s="2845"/>
      <c r="GD9" s="2845"/>
      <c r="GE9" s="2845"/>
      <c r="GF9" s="2845"/>
      <c r="GG9" s="2845"/>
      <c r="GH9" s="2845"/>
      <c r="GI9" s="2845"/>
      <c r="GJ9" s="2845"/>
      <c r="GK9" s="2845"/>
      <c r="GL9" s="2853" t="str">
        <f>"05/04/"&amp;Tax_year_end</f>
        <v>05/04/2020</v>
      </c>
      <c r="GM9" s="2853" t="str">
        <f>"05/04/"&amp;Tax_year_end</f>
        <v>05/04/2020</v>
      </c>
      <c r="GN9" s="2845"/>
      <c r="GO9" s="2845"/>
      <c r="GP9" s="2845"/>
      <c r="GQ9" s="2845"/>
      <c r="GR9" s="2845"/>
      <c r="GS9" s="2845"/>
      <c r="GT9" s="2845"/>
      <c r="GU9" s="2845"/>
      <c r="GV9" s="2845"/>
      <c r="GW9" s="2845"/>
      <c r="GX9" s="2845"/>
      <c r="GY9" s="2845"/>
      <c r="GZ9" s="2853" t="str">
        <f>"05/04/"&amp;Tax_year_end</f>
        <v>05/04/2020</v>
      </c>
      <c r="HA9" s="2853" t="str">
        <f>"05/04/"&amp;Tax_year_end</f>
        <v>05/04/2020</v>
      </c>
      <c r="HB9" s="2853" t="str">
        <f>"05/04/"&amp;Tax_year_end</f>
        <v>05/04/2020</v>
      </c>
      <c r="HC9" s="2845"/>
      <c r="HD9" s="2845"/>
      <c r="HE9" s="2845"/>
      <c r="HF9" s="2845"/>
      <c r="HG9" s="2845"/>
      <c r="HH9" s="2845"/>
      <c r="HI9" s="2845"/>
      <c r="HJ9" s="2845"/>
      <c r="HK9" s="2845"/>
      <c r="HL9" s="2845"/>
      <c r="HM9" s="2845"/>
      <c r="HN9" s="2845"/>
      <c r="HO9" s="2845"/>
      <c r="HP9" s="2845"/>
      <c r="HQ9" s="2845"/>
      <c r="HR9" s="2845"/>
      <c r="HS9" s="2845"/>
      <c r="HT9" s="2845"/>
      <c r="HU9" s="2845"/>
      <c r="HV9" s="2845" t="str">
        <f>"05/04/"&amp;Tax_year_end</f>
        <v>05/04/2020</v>
      </c>
      <c r="HW9" s="2845"/>
      <c r="HX9" s="2845"/>
      <c r="HY9" s="2845"/>
      <c r="HZ9" s="2845"/>
      <c r="IA9" s="2845"/>
      <c r="IB9" s="2845"/>
      <c r="IC9" s="2845"/>
      <c r="ID9" s="2845"/>
      <c r="IE9" s="2845"/>
      <c r="IF9" s="2845"/>
      <c r="IG9" s="2845"/>
      <c r="IH9" s="2845"/>
      <c r="II9" s="2845"/>
      <c r="IJ9" s="2845"/>
      <c r="IK9" s="2845"/>
      <c r="IL9" s="2845"/>
      <c r="IM9" s="2845"/>
      <c r="IN9" s="2845"/>
      <c r="IO9" s="2845"/>
      <c r="IP9" s="2845"/>
      <c r="IQ9" s="2845"/>
      <c r="IR9" s="2845"/>
      <c r="IS9" s="2845"/>
      <c r="IT9" s="2845"/>
      <c r="IU9" s="2845"/>
      <c r="IV9" s="2845"/>
      <c r="IW9" s="2845"/>
      <c r="IX9" s="2845"/>
      <c r="IY9" s="3988" t="str">
        <f>"30/04/"&amp;Tax_year_end</f>
        <v>30/04/2020</v>
      </c>
      <c r="IZ9" s="2845"/>
      <c r="JA9" s="2845"/>
      <c r="JB9" s="3988" t="str">
        <f>"30/04/"&amp;Tax_year_start</f>
        <v>30/04/2019</v>
      </c>
      <c r="JC9" s="2845"/>
      <c r="JD9" s="2845"/>
      <c r="JE9" s="2845"/>
      <c r="JF9" s="2845"/>
      <c r="JG9" s="4131"/>
      <c r="JH9" s="1233"/>
      <c r="JI9" s="1393" t="s">
        <v>5585</v>
      </c>
      <c r="JJ9" s="1660" t="s">
        <v>6126</v>
      </c>
    </row>
    <row ht="12.75" r="10" spans="1:270" x14ac:dyDescent="0.2">
      <c r="A10" s="1128">
        <v>9</v>
      </c>
      <c r="B10" s="1678" t="str">
        <f si="0" t="shared"/>
        <v/>
      </c>
      <c r="C10" s="1681" t="s">
        <v>3622</v>
      </c>
      <c r="D10" s="1125" t="s">
        <v>5600</v>
      </c>
      <c r="E10" s="4130"/>
      <c r="F10" s="4130"/>
      <c r="G10" s="4130"/>
      <c r="H10" s="4130"/>
      <c r="I10" s="4130"/>
      <c r="J10" s="4130"/>
      <c r="K10" s="4130"/>
      <c r="L10" s="4130"/>
      <c r="M10" s="4130"/>
      <c r="N10" s="2845"/>
      <c r="O10" s="2845"/>
      <c r="P10" s="2845"/>
      <c r="Q10" s="2845"/>
      <c r="R10" s="2845"/>
      <c r="S10" s="2845"/>
      <c r="T10" s="2845"/>
      <c r="U10" s="2845"/>
      <c r="V10" s="2845"/>
      <c r="W10" s="2845"/>
      <c r="X10" s="2845"/>
      <c r="Y10" s="2845"/>
      <c r="Z10" s="2845"/>
      <c r="AA10" s="2845"/>
      <c r="AB10" s="2845"/>
      <c r="AC10" s="2845"/>
      <c r="AD10" s="2507"/>
      <c r="AE10" s="2507"/>
      <c r="AF10" s="2507"/>
      <c r="AG10" s="2507"/>
      <c r="AH10" s="2507"/>
      <c r="AI10" s="2845"/>
      <c r="AJ10" s="2867">
        <v>46471</v>
      </c>
      <c r="AK10" s="2845"/>
      <c r="AL10" s="2845"/>
      <c r="AM10" s="2845"/>
      <c r="AN10" s="2845"/>
      <c r="AO10" s="2845"/>
      <c r="AP10" s="2845"/>
      <c r="AQ10" s="2845"/>
      <c r="AR10" s="2845"/>
      <c r="AS10" s="2845"/>
      <c r="AT10" s="2845"/>
      <c r="AU10" s="2845"/>
      <c r="AV10" s="2845"/>
      <c r="AW10" s="2845"/>
      <c r="AX10" s="2845"/>
      <c r="AY10" s="2845"/>
      <c r="AZ10" s="2845"/>
      <c r="BA10" s="2845"/>
      <c r="BB10" s="2845"/>
      <c r="BC10" s="2854">
        <v>1080</v>
      </c>
      <c r="BD10" s="2854">
        <v>1080</v>
      </c>
      <c r="BE10" s="2845"/>
      <c r="BF10" s="2845"/>
      <c r="BG10" s="2845"/>
      <c r="BH10" s="2845"/>
      <c r="BI10" s="2845"/>
      <c r="BJ10" s="2845"/>
      <c r="BK10" s="2845"/>
      <c r="BL10" s="2845"/>
      <c r="BM10" s="2845"/>
      <c r="BN10" s="2845"/>
      <c r="BO10" s="2845"/>
      <c r="BP10" s="2845"/>
      <c r="BQ10" s="2845"/>
      <c r="BR10" s="2845"/>
      <c r="BS10" s="2845"/>
      <c r="BT10" s="2845"/>
      <c r="BU10" s="2845"/>
      <c r="BV10" s="2845"/>
      <c r="BW10" s="2845"/>
      <c r="BX10" s="2845"/>
      <c r="BY10" s="2845"/>
      <c r="BZ10" s="2845"/>
      <c r="CA10" s="2845"/>
      <c r="CB10" s="2845"/>
      <c r="CC10" s="2845"/>
      <c r="CD10" s="2845"/>
      <c r="CE10" s="2845"/>
      <c r="CF10" s="2845"/>
      <c r="CG10" s="2845"/>
      <c r="CH10" s="2845"/>
      <c r="CI10" s="2854">
        <v>6745</v>
      </c>
      <c r="CJ10" s="2845"/>
      <c r="CK10" s="2845"/>
      <c r="CL10" s="2845"/>
      <c r="CM10" s="2845"/>
      <c r="CN10" s="2845"/>
      <c r="CO10" s="2845"/>
      <c r="CP10" s="2845"/>
      <c r="CQ10" s="2845"/>
      <c r="CR10" s="2845"/>
      <c r="CS10" s="2845"/>
      <c r="CT10" s="2845"/>
      <c r="CU10" s="2845"/>
      <c r="CV10" s="2845"/>
      <c r="CW10" s="2854">
        <v>64000</v>
      </c>
      <c r="CX10" s="2862">
        <v>-6250</v>
      </c>
      <c r="CY10" s="2845"/>
      <c r="CZ10" s="2845"/>
      <c r="DA10" s="2845"/>
      <c r="DB10" s="2845"/>
      <c r="DC10" s="2845"/>
      <c r="DD10" s="2854">
        <v>6745</v>
      </c>
      <c r="DE10" s="2845"/>
      <c r="DF10" s="2845"/>
      <c r="DG10" s="2854">
        <v>23970</v>
      </c>
      <c r="DH10" s="2845"/>
      <c r="DI10" s="2845"/>
      <c r="DJ10" s="2845"/>
      <c r="DK10" s="2845"/>
      <c r="DL10" s="2845"/>
      <c r="DM10" s="2854">
        <v>6745</v>
      </c>
      <c r="DN10" s="2845"/>
      <c r="DO10" s="2845"/>
      <c r="DP10" s="2845"/>
      <c r="DQ10" s="2845"/>
      <c r="DR10" s="2845"/>
      <c r="DS10" s="2845"/>
      <c r="DT10" s="2845"/>
      <c r="DU10" s="2854">
        <v>6745</v>
      </c>
      <c r="DV10" s="2845"/>
      <c r="DW10" s="2845"/>
      <c r="DX10" s="2845"/>
      <c r="DY10" s="2845"/>
      <c r="DZ10" s="2845"/>
      <c r="EA10" s="2845"/>
      <c r="EB10" s="2845"/>
      <c r="EC10" s="2845"/>
      <c r="ED10" s="2845"/>
      <c r="EE10" s="2845"/>
      <c r="EF10" s="2845"/>
      <c r="EG10" s="2845"/>
      <c r="EH10" s="2845"/>
      <c r="EI10" s="2845"/>
      <c r="EJ10" s="2845"/>
      <c r="EK10" s="2845"/>
      <c r="EL10" s="2845"/>
      <c r="EM10" s="2845"/>
      <c r="EN10" s="2845"/>
      <c r="EO10" s="2845"/>
      <c r="EP10" s="2845"/>
      <c r="EQ10" s="2845"/>
      <c r="ER10" s="2845"/>
      <c r="ES10" s="2845"/>
      <c r="ET10" s="2845"/>
      <c r="EU10" s="2845"/>
      <c r="EV10" s="2845"/>
      <c r="EW10" s="2845"/>
      <c r="EX10" s="2845"/>
      <c r="EY10" s="2845"/>
      <c r="EZ10" s="2845"/>
      <c r="FA10" s="2845"/>
      <c r="FB10" s="2845"/>
      <c r="FC10" s="2845"/>
      <c r="FD10" s="2854">
        <v>1080</v>
      </c>
      <c r="FE10" s="2845"/>
      <c r="FF10" s="2854">
        <v>1080</v>
      </c>
      <c r="FG10" s="2845"/>
      <c r="FH10" s="2845"/>
      <c r="FI10" s="2854">
        <v>1080</v>
      </c>
      <c r="FJ10" s="4223">
        <f>P_A+1442</f>
        <v>13942</v>
      </c>
      <c r="FK10" s="2845"/>
      <c r="FL10" s="2845"/>
      <c r="FM10" s="2845"/>
      <c r="FN10" s="2845"/>
      <c r="FO10" s="2845"/>
      <c r="FP10" s="2845"/>
      <c r="FQ10" s="2845"/>
      <c r="FR10" s="2845"/>
      <c r="FS10" s="2845"/>
      <c r="FT10" s="2845"/>
      <c r="FU10" s="2845"/>
      <c r="FV10" s="2845"/>
      <c r="FW10" s="2845"/>
      <c r="FX10" s="2845"/>
      <c r="FY10" s="2845"/>
      <c r="FZ10" s="2845"/>
      <c r="GA10" s="2845"/>
      <c r="GB10" s="2845"/>
      <c r="GC10" s="2845"/>
      <c r="GD10" s="2845"/>
      <c r="GE10" s="2845"/>
      <c r="GF10" s="2845"/>
      <c r="GG10" s="2845"/>
      <c r="GH10" s="2845"/>
      <c r="GI10" s="2845"/>
      <c r="GJ10" s="2845"/>
      <c r="GK10" s="2845"/>
      <c r="GL10" s="2854">
        <v>64000</v>
      </c>
      <c r="GM10" s="2854">
        <v>64000</v>
      </c>
      <c r="GN10" s="2845"/>
      <c r="GO10" s="2845"/>
      <c r="GP10" s="2845"/>
      <c r="GQ10" s="2845"/>
      <c r="GR10" s="2845"/>
      <c r="GS10" s="2845"/>
      <c r="GT10" s="2845"/>
      <c r="GU10" s="2845"/>
      <c r="GV10" s="2845"/>
      <c r="GW10" s="2845"/>
      <c r="GX10" s="2845"/>
      <c r="GY10" s="2845"/>
      <c r="GZ10" s="2864">
        <v>-62547</v>
      </c>
      <c r="HA10" s="2864">
        <v>-62547</v>
      </c>
      <c r="HB10" s="2862">
        <v>-71909</v>
      </c>
      <c r="HC10" s="2845"/>
      <c r="HD10" s="2845"/>
      <c r="HE10" s="2845"/>
      <c r="HF10" s="2845"/>
      <c r="HG10" s="2845"/>
      <c r="HH10" s="2845"/>
      <c r="HI10" s="2845"/>
      <c r="HJ10" s="2845"/>
      <c r="HK10" s="2845"/>
      <c r="HL10" s="2845"/>
      <c r="HM10" s="2845"/>
      <c r="HN10" s="2845"/>
      <c r="HO10" s="2845"/>
      <c r="HP10" s="2845"/>
      <c r="HQ10" s="2845"/>
      <c r="HR10" s="2845"/>
      <c r="HS10" s="2845"/>
      <c r="HT10" s="2845"/>
      <c r="HU10" s="2845"/>
      <c r="HV10" s="2845">
        <v>-62547</v>
      </c>
      <c r="HW10" s="2845"/>
      <c r="HX10" s="2845"/>
      <c r="HY10" s="2845"/>
      <c r="HZ10" s="2845"/>
      <c r="IA10" s="2845"/>
      <c r="IB10" s="2845"/>
      <c r="IC10" s="2845"/>
      <c r="ID10" s="2845"/>
      <c r="IE10" s="2845"/>
      <c r="IF10" s="2845"/>
      <c r="IG10" s="2845"/>
      <c r="IH10" s="2845"/>
      <c r="II10" s="2845"/>
      <c r="IJ10" s="2845"/>
      <c r="IK10" s="2845"/>
      <c r="IL10" s="2845"/>
      <c r="IM10" s="2845"/>
      <c r="IN10" s="2845"/>
      <c r="IO10" s="2845"/>
      <c r="IP10" s="2845"/>
      <c r="IQ10" s="2845"/>
      <c r="IR10" s="2845"/>
      <c r="IS10" s="2845"/>
      <c r="IT10" s="2845"/>
      <c r="IU10" s="2845"/>
      <c r="IV10" s="2845"/>
      <c r="IW10" s="2845"/>
      <c r="IX10" s="2845"/>
      <c r="IY10" s="4035">
        <v>42291</v>
      </c>
      <c r="IZ10" s="2845"/>
      <c r="JA10" s="2845"/>
      <c r="JB10" s="4308">
        <v>-60233</v>
      </c>
      <c r="JC10" s="2845"/>
      <c r="JD10" s="2845"/>
      <c r="JE10" s="2845"/>
      <c r="JF10" s="2845"/>
      <c r="JG10" s="4131"/>
      <c r="JH10" s="1233"/>
      <c r="JI10" s="1393" t="s">
        <v>1881</v>
      </c>
      <c r="JJ10" s="1660" t="s">
        <v>6110</v>
      </c>
    </row>
    <row ht="12.75" r="11" spans="1:270" x14ac:dyDescent="0.2">
      <c r="A11" s="1128">
        <v>10</v>
      </c>
      <c r="B11" s="1678" t="str">
        <f si="0" t="shared"/>
        <v/>
      </c>
      <c r="C11" s="1681" t="s">
        <v>3623</v>
      </c>
      <c r="D11" s="1125" t="s">
        <v>5601</v>
      </c>
      <c r="E11" s="4130"/>
      <c r="F11" s="4130"/>
      <c r="G11" s="4130"/>
      <c r="H11" s="4130"/>
      <c r="I11" s="4130"/>
      <c r="J11" s="4130"/>
      <c r="K11" s="4130"/>
      <c r="L11" s="4130"/>
      <c r="M11" s="4130"/>
      <c r="N11" s="2845"/>
      <c r="O11" s="2845"/>
      <c r="P11" s="2845"/>
      <c r="Q11" s="2845"/>
      <c r="R11" s="2845"/>
      <c r="S11" s="2845"/>
      <c r="T11" s="2845"/>
      <c r="U11" s="2845"/>
      <c r="V11" s="2845"/>
      <c r="W11" s="2845"/>
      <c r="X11" s="2845"/>
      <c r="Y11" s="2845"/>
      <c r="Z11" s="2845"/>
      <c r="AA11" s="2845"/>
      <c r="AB11" s="2845"/>
      <c r="AC11" s="2845"/>
      <c r="AD11" s="2507"/>
      <c r="AE11" s="2507"/>
      <c r="AF11" s="2507"/>
      <c r="AG11" s="2507"/>
      <c r="AH11" s="2507"/>
      <c r="AI11" s="2845"/>
      <c r="AJ11" s="2867"/>
      <c r="AK11" s="2845"/>
      <c r="AL11" s="2845"/>
      <c r="AM11" s="2845"/>
      <c r="AN11" s="2845"/>
      <c r="AO11" s="2845"/>
      <c r="AP11" s="2845"/>
      <c r="AQ11" s="2845"/>
      <c r="AR11" s="2845"/>
      <c r="AS11" s="2845"/>
      <c r="AT11" s="2845"/>
      <c r="AU11" s="2845"/>
      <c r="AV11" s="2845"/>
      <c r="AW11" s="2845"/>
      <c r="AX11" s="2845"/>
      <c r="AY11" s="2845"/>
      <c r="AZ11" s="2845"/>
      <c r="BA11" s="2845"/>
      <c r="BB11" s="2845"/>
      <c r="BC11" s="2854"/>
      <c r="BD11" s="2854"/>
      <c r="BE11" s="2845"/>
      <c r="BF11" s="2845"/>
      <c r="BG11" s="2845"/>
      <c r="BH11" s="2845"/>
      <c r="BI11" s="2845"/>
      <c r="BJ11" s="2845"/>
      <c r="BK11" s="2845"/>
      <c r="BL11" s="2845"/>
      <c r="BM11" s="2845"/>
      <c r="BN11" s="2845"/>
      <c r="BO11" s="2845"/>
      <c r="BP11" s="2845"/>
      <c r="BQ11" s="2845"/>
      <c r="BR11" s="2845"/>
      <c r="BS11" s="2845"/>
      <c r="BT11" s="2845"/>
      <c r="BU11" s="2845"/>
      <c r="BV11" s="2845"/>
      <c r="BW11" s="2845"/>
      <c r="BX11" s="2845"/>
      <c r="BY11" s="2845"/>
      <c r="BZ11" s="2845"/>
      <c r="CA11" s="2845"/>
      <c r="CB11" s="2845"/>
      <c r="CC11" s="2845"/>
      <c r="CD11" s="2845"/>
      <c r="CE11" s="2845"/>
      <c r="CF11" s="2845"/>
      <c r="CG11" s="2845"/>
      <c r="CH11" s="2845"/>
      <c r="CI11" s="2854"/>
      <c r="CJ11" s="2845"/>
      <c r="CK11" s="2845"/>
      <c r="CL11" s="2845"/>
      <c r="CM11" s="2845"/>
      <c r="CN11" s="2845"/>
      <c r="CO11" s="2845"/>
      <c r="CP11" s="2845"/>
      <c r="CQ11" s="2845"/>
      <c r="CR11" s="2845"/>
      <c r="CS11" s="2845"/>
      <c r="CT11" s="2845"/>
      <c r="CU11" s="2845"/>
      <c r="CV11" s="2845"/>
      <c r="CW11" s="2862"/>
      <c r="CX11" s="2862">
        <v>750</v>
      </c>
      <c r="CY11" s="2845"/>
      <c r="CZ11" s="2845"/>
      <c r="DA11" s="2845"/>
      <c r="DB11" s="2845"/>
      <c r="DC11" s="2845"/>
      <c r="DD11" s="2854"/>
      <c r="DE11" s="2845"/>
      <c r="DF11" s="2845"/>
      <c r="DG11" s="2862">
        <v>-3750</v>
      </c>
      <c r="DH11" s="2845"/>
      <c r="DI11" s="2845"/>
      <c r="DJ11" s="2845"/>
      <c r="DK11" s="2845"/>
      <c r="DL11" s="2845"/>
      <c r="DM11" s="2854"/>
      <c r="DN11" s="2845"/>
      <c r="DO11" s="2845"/>
      <c r="DP11" s="2845"/>
      <c r="DQ11" s="2845"/>
      <c r="DR11" s="2845"/>
      <c r="DS11" s="2845"/>
      <c r="DT11" s="2845"/>
      <c r="DU11" s="2854"/>
      <c r="DV11" s="2845"/>
      <c r="DW11" s="2845"/>
      <c r="DX11" s="2845"/>
      <c r="DY11" s="2845"/>
      <c r="DZ11" s="2845"/>
      <c r="EA11" s="2845"/>
      <c r="EB11" s="2845"/>
      <c r="EC11" s="2845"/>
      <c r="ED11" s="2845"/>
      <c r="EE11" s="2845"/>
      <c r="EF11" s="2845"/>
      <c r="EG11" s="2845"/>
      <c r="EH11" s="2845"/>
      <c r="EI11" s="2845"/>
      <c r="EJ11" s="2845"/>
      <c r="EK11" s="2845"/>
      <c r="EL11" s="2845"/>
      <c r="EM11" s="2845"/>
      <c r="EN11" s="2845"/>
      <c r="EO11" s="2845"/>
      <c r="EP11" s="2845"/>
      <c r="EQ11" s="2845"/>
      <c r="ER11" s="2845"/>
      <c r="ES11" s="2845"/>
      <c r="ET11" s="2845"/>
      <c r="EU11" s="2845"/>
      <c r="EV11" s="2845"/>
      <c r="EW11" s="2845"/>
      <c r="EX11" s="2845"/>
      <c r="EY11" s="2845"/>
      <c r="EZ11" s="2845"/>
      <c r="FA11" s="2845"/>
      <c r="FB11" s="2845"/>
      <c r="FC11" s="2845"/>
      <c r="FD11" s="2854"/>
      <c r="FE11" s="2845"/>
      <c r="FF11" s="2854"/>
      <c r="FG11" s="2845"/>
      <c r="FH11" s="2845"/>
      <c r="FI11" s="2854"/>
      <c r="FJ11" s="2854"/>
      <c r="FK11" s="2845"/>
      <c r="FL11" s="2845"/>
      <c r="FM11" s="2845"/>
      <c r="FN11" s="2845"/>
      <c r="FO11" s="2845"/>
      <c r="FP11" s="2845"/>
      <c r="FQ11" s="2845"/>
      <c r="FR11" s="2845"/>
      <c r="FS11" s="2845"/>
      <c r="FT11" s="2845"/>
      <c r="FU11" s="2845"/>
      <c r="FV11" s="2845"/>
      <c r="FW11" s="2845"/>
      <c r="FX11" s="2845"/>
      <c r="FY11" s="2845"/>
      <c r="FZ11" s="2845"/>
      <c r="GA11" s="2845"/>
      <c r="GB11" s="2845"/>
      <c r="GC11" s="2845"/>
      <c r="GD11" s="2845"/>
      <c r="GE11" s="2845"/>
      <c r="GF11" s="2845"/>
      <c r="GG11" s="2845"/>
      <c r="GH11" s="2845"/>
      <c r="GI11" s="2845"/>
      <c r="GJ11" s="2845"/>
      <c r="GK11" s="2845"/>
      <c r="GL11" s="2862"/>
      <c r="GM11" s="2862"/>
      <c r="GN11" s="2845"/>
      <c r="GO11" s="2845"/>
      <c r="GP11" s="2845"/>
      <c r="GQ11" s="2845"/>
      <c r="GR11" s="2845"/>
      <c r="GS11" s="2845"/>
      <c r="GT11" s="2845"/>
      <c r="GU11" s="2845"/>
      <c r="GV11" s="2845"/>
      <c r="GW11" s="2845"/>
      <c r="GX11" s="2845"/>
      <c r="GY11" s="2845"/>
      <c r="GZ11" s="2864"/>
      <c r="HA11" s="2864"/>
      <c r="HB11" s="2862">
        <v>750</v>
      </c>
      <c r="HC11" s="2845"/>
      <c r="HD11" s="2845"/>
      <c r="HE11" s="2845"/>
      <c r="HF11" s="2845"/>
      <c r="HG11" s="2845"/>
      <c r="HH11" s="2845"/>
      <c r="HI11" s="2845"/>
      <c r="HJ11" s="2845"/>
      <c r="HK11" s="2845"/>
      <c r="HL11" s="2845"/>
      <c r="HM11" s="2845"/>
      <c r="HN11" s="2845"/>
      <c r="HO11" s="2845"/>
      <c r="HP11" s="2845"/>
      <c r="HQ11" s="2845"/>
      <c r="HR11" s="2845"/>
      <c r="HS11" s="2845"/>
      <c r="HT11" s="2845"/>
      <c r="HU11" s="2845"/>
      <c r="HV11" s="2845"/>
      <c r="HW11" s="2845"/>
      <c r="HX11" s="2845"/>
      <c r="HY11" s="2845"/>
      <c r="HZ11" s="2845"/>
      <c r="IA11" s="2845"/>
      <c r="IB11" s="2845"/>
      <c r="IC11" s="2845"/>
      <c r="ID11" s="2845"/>
      <c r="IE11" s="2845"/>
      <c r="IF11" s="2845"/>
      <c r="IG11" s="2845"/>
      <c r="IH11" s="2845"/>
      <c r="II11" s="2845"/>
      <c r="IJ11" s="2845"/>
      <c r="IK11" s="2845"/>
      <c r="IL11" s="2845"/>
      <c r="IM11" s="2845"/>
      <c r="IN11" s="2845"/>
      <c r="IO11" s="2845"/>
      <c r="IP11" s="2845"/>
      <c r="IQ11" s="2845"/>
      <c r="IR11" s="2845"/>
      <c r="IS11" s="2845"/>
      <c r="IT11" s="2845"/>
      <c r="IU11" s="2845"/>
      <c r="IV11" s="2845"/>
      <c r="IW11" s="2845"/>
      <c r="IX11" s="2845"/>
      <c r="IY11" s="4035"/>
      <c r="IZ11" s="2845"/>
      <c r="JA11" s="2845"/>
      <c r="JB11" s="4307"/>
      <c r="JC11" s="2845"/>
      <c r="JD11" s="2845"/>
      <c r="JE11" s="2845"/>
      <c r="JF11" s="2845"/>
      <c r="JG11" s="4131"/>
      <c r="JH11" s="1233"/>
      <c r="JI11" s="1393" t="s">
        <v>1881</v>
      </c>
      <c r="JJ11" s="1660" t="s">
        <v>6110</v>
      </c>
    </row>
    <row ht="12.75" r="12" spans="1:270" x14ac:dyDescent="0.2">
      <c r="A12" s="1128">
        <v>11</v>
      </c>
      <c r="B12" s="1678" t="str">
        <f si="0" t="shared"/>
        <v/>
      </c>
      <c r="C12" s="1681" t="s">
        <v>3624</v>
      </c>
      <c r="D12" s="1125" t="s">
        <v>5602</v>
      </c>
      <c r="E12" s="4130"/>
      <c r="F12" s="4130"/>
      <c r="G12" s="4130"/>
      <c r="H12" s="4130"/>
      <c r="I12" s="4130"/>
      <c r="J12" s="4130"/>
      <c r="K12" s="4130"/>
      <c r="L12" s="4130"/>
      <c r="M12" s="4130"/>
      <c r="N12" s="2845"/>
      <c r="O12" s="2845"/>
      <c r="P12" s="2845"/>
      <c r="Q12" s="2845"/>
      <c r="R12" s="2845"/>
      <c r="S12" s="2845"/>
      <c r="T12" s="2845"/>
      <c r="U12" s="2845"/>
      <c r="V12" s="2845"/>
      <c r="W12" s="2845"/>
      <c r="X12" s="2845"/>
      <c r="Y12" s="2845"/>
      <c r="Z12" s="2845"/>
      <c r="AA12" s="2845"/>
      <c r="AB12" s="2845"/>
      <c r="AC12" s="2845"/>
      <c r="AD12" s="2507"/>
      <c r="AE12" s="2507"/>
      <c r="AF12" s="2507"/>
      <c r="AG12" s="2507"/>
      <c r="AH12" s="2507"/>
      <c r="AI12" s="2845"/>
      <c r="AJ12" s="2867"/>
      <c r="AK12" s="2845"/>
      <c r="AL12" s="2845"/>
      <c r="AM12" s="2845"/>
      <c r="AN12" s="2845"/>
      <c r="AO12" s="2845"/>
      <c r="AP12" s="2845"/>
      <c r="AQ12" s="2845"/>
      <c r="AR12" s="2845"/>
      <c r="AS12" s="2845"/>
      <c r="AT12" s="2845"/>
      <c r="AU12" s="2845"/>
      <c r="AV12" s="2845"/>
      <c r="AW12" s="2845"/>
      <c r="AX12" s="2845"/>
      <c r="AY12" s="2845"/>
      <c r="AZ12" s="2845"/>
      <c r="BA12" s="2845"/>
      <c r="BB12" s="2845"/>
      <c r="BC12" s="2854"/>
      <c r="BD12" s="2854"/>
      <c r="BE12" s="2845"/>
      <c r="BF12" s="2845"/>
      <c r="BG12" s="2845"/>
      <c r="BH12" s="2845"/>
      <c r="BI12" s="2845"/>
      <c r="BJ12" s="2845"/>
      <c r="BK12" s="2845"/>
      <c r="BL12" s="2845"/>
      <c r="BM12" s="2845"/>
      <c r="BN12" s="2845"/>
      <c r="BO12" s="2845"/>
      <c r="BP12" s="2845"/>
      <c r="BQ12" s="2845"/>
      <c r="BR12" s="2845"/>
      <c r="BS12" s="2845"/>
      <c r="BT12" s="2845"/>
      <c r="BU12" s="2845"/>
      <c r="BV12" s="2845"/>
      <c r="BW12" s="2845"/>
      <c r="BX12" s="2845"/>
      <c r="BY12" s="2845"/>
      <c r="BZ12" s="2845"/>
      <c r="CA12" s="2845"/>
      <c r="CB12" s="2845"/>
      <c r="CC12" s="2845"/>
      <c r="CD12" s="2845"/>
      <c r="CE12" s="2845"/>
      <c r="CF12" s="2845"/>
      <c r="CG12" s="2845"/>
      <c r="CH12" s="2845"/>
      <c r="CI12" s="2854"/>
      <c r="CJ12" s="2845"/>
      <c r="CK12" s="2845"/>
      <c r="CL12" s="2845"/>
      <c r="CM12" s="2845"/>
      <c r="CN12" s="2845"/>
      <c r="CO12" s="2845"/>
      <c r="CP12" s="2845"/>
      <c r="CQ12" s="2845"/>
      <c r="CR12" s="2845"/>
      <c r="CS12" s="2845"/>
      <c r="CT12" s="2845"/>
      <c r="CU12" s="2845"/>
      <c r="CV12" s="2845"/>
      <c r="CW12" s="2854">
        <v>16512</v>
      </c>
      <c r="CX12" s="2854"/>
      <c r="CY12" s="2845"/>
      <c r="CZ12" s="2845"/>
      <c r="DA12" s="2845"/>
      <c r="DB12" s="2845"/>
      <c r="DC12" s="2845"/>
      <c r="DD12" s="2854"/>
      <c r="DE12" s="2845"/>
      <c r="DF12" s="2845"/>
      <c r="DG12" s="2854"/>
      <c r="DH12" s="2845"/>
      <c r="DI12" s="2845"/>
      <c r="DJ12" s="2845"/>
      <c r="DK12" s="2845"/>
      <c r="DL12" s="2845"/>
      <c r="DM12" s="2854"/>
      <c r="DN12" s="2845"/>
      <c r="DO12" s="2845"/>
      <c r="DP12" s="2845"/>
      <c r="DQ12" s="2845"/>
      <c r="DR12" s="2845"/>
      <c r="DS12" s="2845"/>
      <c r="DT12" s="2845"/>
      <c r="DU12" s="2854"/>
      <c r="DV12" s="2845"/>
      <c r="DW12" s="2845"/>
      <c r="DX12" s="2845"/>
      <c r="DY12" s="2845"/>
      <c r="DZ12" s="2845"/>
      <c r="EA12" s="2845"/>
      <c r="EB12" s="2845"/>
      <c r="EC12" s="2845"/>
      <c r="ED12" s="2845"/>
      <c r="EE12" s="2845"/>
      <c r="EF12" s="2845"/>
      <c r="EG12" s="2845"/>
      <c r="EH12" s="2845"/>
      <c r="EI12" s="2845"/>
      <c r="EJ12" s="2845"/>
      <c r="EK12" s="2845"/>
      <c r="EL12" s="2845"/>
      <c r="EM12" s="2845"/>
      <c r="EN12" s="2845"/>
      <c r="EO12" s="2845"/>
      <c r="EP12" s="2845"/>
      <c r="EQ12" s="2845"/>
      <c r="ER12" s="2845"/>
      <c r="ES12" s="2845"/>
      <c r="ET12" s="2845"/>
      <c r="EU12" s="2845"/>
      <c r="EV12" s="2845"/>
      <c r="EW12" s="2845"/>
      <c r="EX12" s="2845"/>
      <c r="EY12" s="2845"/>
      <c r="EZ12" s="2845"/>
      <c r="FA12" s="2845"/>
      <c r="FB12" s="2845"/>
      <c r="FC12" s="2845"/>
      <c r="FD12" s="2854"/>
      <c r="FE12" s="2845"/>
      <c r="FF12" s="2854"/>
      <c r="FG12" s="2845"/>
      <c r="FH12" s="2845"/>
      <c r="FI12" s="2854"/>
      <c r="FJ12" s="2854"/>
      <c r="FK12" s="2845"/>
      <c r="FL12" s="2845"/>
      <c r="FM12" s="2845"/>
      <c r="FN12" s="2845"/>
      <c r="FO12" s="2845"/>
      <c r="FP12" s="2845"/>
      <c r="FQ12" s="2845"/>
      <c r="FR12" s="2845"/>
      <c r="FS12" s="2845"/>
      <c r="FT12" s="2845"/>
      <c r="FU12" s="2845"/>
      <c r="FV12" s="2845"/>
      <c r="FW12" s="2845"/>
      <c r="FX12" s="2845"/>
      <c r="FY12" s="2845"/>
      <c r="FZ12" s="2845"/>
      <c r="GA12" s="2845"/>
      <c r="GB12" s="2845"/>
      <c r="GC12" s="2845"/>
      <c r="GD12" s="2845"/>
      <c r="GE12" s="2845"/>
      <c r="GF12" s="2845"/>
      <c r="GG12" s="2845"/>
      <c r="GH12" s="2845"/>
      <c r="GI12" s="2845"/>
      <c r="GJ12" s="2845"/>
      <c r="GK12" s="2845"/>
      <c r="GL12" s="2854">
        <v>16512</v>
      </c>
      <c r="GM12" s="2854">
        <v>16512</v>
      </c>
      <c r="GN12" s="2845"/>
      <c r="GO12" s="2845"/>
      <c r="GP12" s="2845"/>
      <c r="GQ12" s="2845"/>
      <c r="GR12" s="2845"/>
      <c r="GS12" s="2845"/>
      <c r="GT12" s="2845"/>
      <c r="GU12" s="2845"/>
      <c r="GV12" s="2845"/>
      <c r="GW12" s="2845"/>
      <c r="GX12" s="2845"/>
      <c r="GY12" s="2845"/>
      <c r="GZ12" s="2864"/>
      <c r="HA12" s="2864"/>
      <c r="HB12" s="2854"/>
      <c r="HC12" s="2845"/>
      <c r="HD12" s="2845"/>
      <c r="HE12" s="2845"/>
      <c r="HF12" s="2845"/>
      <c r="HG12" s="2845"/>
      <c r="HH12" s="2845"/>
      <c r="HI12" s="2845"/>
      <c r="HJ12" s="2845"/>
      <c r="HK12" s="2845"/>
      <c r="HL12" s="2845"/>
      <c r="HM12" s="2845"/>
      <c r="HN12" s="2845"/>
      <c r="HO12" s="2845"/>
      <c r="HP12" s="2845"/>
      <c r="HQ12" s="2845"/>
      <c r="HR12" s="2845"/>
      <c r="HS12" s="2845"/>
      <c r="HT12" s="2845"/>
      <c r="HU12" s="2845"/>
      <c r="HV12" s="2845"/>
      <c r="HW12" s="2845"/>
      <c r="HX12" s="2845"/>
      <c r="HY12" s="2845"/>
      <c r="HZ12" s="2845"/>
      <c r="IA12" s="2845"/>
      <c r="IB12" s="2845"/>
      <c r="IC12" s="2845"/>
      <c r="ID12" s="2845"/>
      <c r="IE12" s="2845"/>
      <c r="IF12" s="2845"/>
      <c r="IG12" s="2845"/>
      <c r="IH12" s="2845"/>
      <c r="II12" s="2845"/>
      <c r="IJ12" s="2845"/>
      <c r="IK12" s="2845"/>
      <c r="IL12" s="2845"/>
      <c r="IM12" s="2845"/>
      <c r="IN12" s="2845"/>
      <c r="IO12" s="2845"/>
      <c r="IP12" s="2845"/>
      <c r="IQ12" s="2845"/>
      <c r="IR12" s="2845"/>
      <c r="IS12" s="2845"/>
      <c r="IT12" s="2845"/>
      <c r="IU12" s="2845"/>
      <c r="IV12" s="2845"/>
      <c r="IW12" s="2845"/>
      <c r="IX12" s="2845"/>
      <c r="IY12" s="4035"/>
      <c r="IZ12" s="2845"/>
      <c r="JA12" s="2845"/>
      <c r="JB12" s="4307"/>
      <c r="JC12" s="2845"/>
      <c r="JD12" s="2845"/>
      <c r="JE12" s="2845"/>
      <c r="JF12" s="2845"/>
      <c r="JG12" s="4131"/>
      <c r="JH12" s="1233"/>
      <c r="JI12" s="1393" t="s">
        <v>1881</v>
      </c>
      <c r="JJ12" s="1660" t="s">
        <v>6127</v>
      </c>
    </row>
    <row ht="12.75" r="13" spans="1:270" x14ac:dyDescent="0.2">
      <c r="A13" s="1128">
        <v>12</v>
      </c>
      <c r="B13" s="1678" t="str">
        <f si="0" t="shared"/>
        <v/>
      </c>
      <c r="C13" s="1681" t="s">
        <v>3625</v>
      </c>
      <c r="D13" s="1125" t="s">
        <v>5603</v>
      </c>
      <c r="E13" s="4130"/>
      <c r="F13" s="4130"/>
      <c r="G13" s="4130"/>
      <c r="H13" s="4130"/>
      <c r="I13" s="4130"/>
      <c r="J13" s="4130"/>
      <c r="K13" s="4130"/>
      <c r="L13" s="4130"/>
      <c r="M13" s="4130"/>
      <c r="N13" s="2845"/>
      <c r="O13" s="2845"/>
      <c r="P13" s="2845"/>
      <c r="Q13" s="2845"/>
      <c r="R13" s="2845"/>
      <c r="S13" s="2845"/>
      <c r="T13" s="2845"/>
      <c r="U13" s="2845"/>
      <c r="V13" s="2845"/>
      <c r="W13" s="2845"/>
      <c r="X13" s="2845"/>
      <c r="Y13" s="2845"/>
      <c r="Z13" s="2845"/>
      <c r="AA13" s="2845"/>
      <c r="AB13" s="2845"/>
      <c r="AC13" s="2845"/>
      <c r="AD13" s="2507"/>
      <c r="AE13" s="2507"/>
      <c r="AF13" s="2507"/>
      <c r="AG13" s="2507"/>
      <c r="AH13" s="2507"/>
      <c r="AI13" s="2845"/>
      <c r="AJ13" s="2867"/>
      <c r="AK13" s="2845"/>
      <c r="AL13" s="2845"/>
      <c r="AM13" s="2845"/>
      <c r="AN13" s="2845"/>
      <c r="AO13" s="2845"/>
      <c r="AP13" s="2845"/>
      <c r="AQ13" s="2845"/>
      <c r="AR13" s="2845"/>
      <c r="AS13" s="2845"/>
      <c r="AT13" s="2845"/>
      <c r="AU13" s="2845"/>
      <c r="AV13" s="2845"/>
      <c r="AW13" s="2845"/>
      <c r="AX13" s="2845"/>
      <c r="AY13" s="2845"/>
      <c r="AZ13" s="2845"/>
      <c r="BA13" s="2845"/>
      <c r="BB13" s="2845"/>
      <c r="BC13" s="2854"/>
      <c r="BD13" s="2854"/>
      <c r="BE13" s="2845"/>
      <c r="BF13" s="2845"/>
      <c r="BG13" s="2845"/>
      <c r="BH13" s="2845"/>
      <c r="BI13" s="2845"/>
      <c r="BJ13" s="2845"/>
      <c r="BK13" s="2845"/>
      <c r="BL13" s="2845"/>
      <c r="BM13" s="2845"/>
      <c r="BN13" s="2845"/>
      <c r="BO13" s="2845"/>
      <c r="BP13" s="2845"/>
      <c r="BQ13" s="2845"/>
      <c r="BR13" s="2845"/>
      <c r="BS13" s="2845"/>
      <c r="BT13" s="2845"/>
      <c r="BU13" s="2845"/>
      <c r="BV13" s="2845"/>
      <c r="BW13" s="2845"/>
      <c r="BX13" s="2845"/>
      <c r="BY13" s="2845"/>
      <c r="BZ13" s="2845"/>
      <c r="CA13" s="2845"/>
      <c r="CB13" s="2845"/>
      <c r="CC13" s="2845"/>
      <c r="CD13" s="2845"/>
      <c r="CE13" s="2845"/>
      <c r="CF13" s="2845"/>
      <c r="CG13" s="2845"/>
      <c r="CH13" s="2845"/>
      <c r="CI13" s="2854"/>
      <c r="CJ13" s="2845"/>
      <c r="CK13" s="2845"/>
      <c r="CL13" s="2845"/>
      <c r="CM13" s="2845"/>
      <c r="CN13" s="2845"/>
      <c r="CO13" s="2845"/>
      <c r="CP13" s="2845"/>
      <c r="CQ13" s="2845"/>
      <c r="CR13" s="2845"/>
      <c r="CS13" s="2845"/>
      <c r="CT13" s="2845"/>
      <c r="CU13" s="2845"/>
      <c r="CV13" s="2845"/>
      <c r="CW13" s="2854"/>
      <c r="CX13" s="2854"/>
      <c r="CY13" s="2845"/>
      <c r="CZ13" s="2845"/>
      <c r="DA13" s="2845"/>
      <c r="DB13" s="2845"/>
      <c r="DC13" s="2845"/>
      <c r="DD13" s="2854"/>
      <c r="DE13" s="2845"/>
      <c r="DF13" s="2845"/>
      <c r="DG13" s="2854"/>
      <c r="DH13" s="2845"/>
      <c r="DI13" s="2845"/>
      <c r="DJ13" s="2845"/>
      <c r="DK13" s="2845"/>
      <c r="DL13" s="2845"/>
      <c r="DM13" s="2854"/>
      <c r="DN13" s="2845"/>
      <c r="DO13" s="2845"/>
      <c r="DP13" s="2845"/>
      <c r="DQ13" s="2845"/>
      <c r="DR13" s="2845"/>
      <c r="DS13" s="2845"/>
      <c r="DT13" s="2845"/>
      <c r="DU13" s="2854"/>
      <c r="DV13" s="2845"/>
      <c r="DW13" s="2845"/>
      <c r="DX13" s="2845"/>
      <c r="DY13" s="2845"/>
      <c r="DZ13" s="2845"/>
      <c r="EA13" s="2845"/>
      <c r="EB13" s="2845"/>
      <c r="EC13" s="2845"/>
      <c r="ED13" s="2845"/>
      <c r="EE13" s="2845"/>
      <c r="EF13" s="2845"/>
      <c r="EG13" s="2845"/>
      <c r="EH13" s="2845"/>
      <c r="EI13" s="2845"/>
      <c r="EJ13" s="2845"/>
      <c r="EK13" s="2845"/>
      <c r="EL13" s="2845"/>
      <c r="EM13" s="2845"/>
      <c r="EN13" s="2845"/>
      <c r="EO13" s="2845"/>
      <c r="EP13" s="2845"/>
      <c r="EQ13" s="2845"/>
      <c r="ER13" s="2845"/>
      <c r="ES13" s="2845"/>
      <c r="ET13" s="2845"/>
      <c r="EU13" s="2845"/>
      <c r="EV13" s="2845"/>
      <c r="EW13" s="2845"/>
      <c r="EX13" s="2845"/>
      <c r="EY13" s="2845"/>
      <c r="EZ13" s="2845"/>
      <c r="FA13" s="2845"/>
      <c r="FB13" s="2845"/>
      <c r="FC13" s="2845"/>
      <c r="FD13" s="2854"/>
      <c r="FE13" s="2845"/>
      <c r="FF13" s="2854"/>
      <c r="FG13" s="2845"/>
      <c r="FH13" s="2845"/>
      <c r="FI13" s="2854"/>
      <c r="FJ13" s="2854"/>
      <c r="FK13" s="2845"/>
      <c r="FL13" s="2845"/>
      <c r="FM13" s="2845"/>
      <c r="FN13" s="2845"/>
      <c r="FO13" s="2845"/>
      <c r="FP13" s="2845"/>
      <c r="FQ13" s="2845"/>
      <c r="FR13" s="2845"/>
      <c r="FS13" s="2845"/>
      <c r="FT13" s="2845"/>
      <c r="FU13" s="2845"/>
      <c r="FV13" s="2845"/>
      <c r="FW13" s="2845"/>
      <c r="FX13" s="2845"/>
      <c r="FY13" s="2845"/>
      <c r="FZ13" s="2845"/>
      <c r="GA13" s="2845"/>
      <c r="GB13" s="2845"/>
      <c r="GC13" s="2845"/>
      <c r="GD13" s="2845"/>
      <c r="GE13" s="2845"/>
      <c r="GF13" s="2845"/>
      <c r="GG13" s="2845"/>
      <c r="GH13" s="2845"/>
      <c r="GI13" s="2845"/>
      <c r="GJ13" s="2845"/>
      <c r="GK13" s="2845"/>
      <c r="GL13" s="2854"/>
      <c r="GM13" s="2854"/>
      <c r="GN13" s="2845"/>
      <c r="GO13" s="2845"/>
      <c r="GP13" s="2845"/>
      <c r="GQ13" s="2845"/>
      <c r="GR13" s="2845"/>
      <c r="GS13" s="2845"/>
      <c r="GT13" s="2845"/>
      <c r="GU13" s="2845"/>
      <c r="GV13" s="2845"/>
      <c r="GW13" s="2845"/>
      <c r="GX13" s="2845"/>
      <c r="GY13" s="2845"/>
      <c r="GZ13" s="2864"/>
      <c r="HA13" s="2864"/>
      <c r="HB13" s="2854"/>
      <c r="HC13" s="2845"/>
      <c r="HD13" s="2845"/>
      <c r="HE13" s="2845"/>
      <c r="HF13" s="2845"/>
      <c r="HG13" s="2845"/>
      <c r="HH13" s="2845"/>
      <c r="HI13" s="2845"/>
      <c r="HJ13" s="2845"/>
      <c r="HK13" s="2845"/>
      <c r="HL13" s="2845"/>
      <c r="HM13" s="2845"/>
      <c r="HN13" s="2845"/>
      <c r="HO13" s="2845"/>
      <c r="HP13" s="2845"/>
      <c r="HQ13" s="2845"/>
      <c r="HR13" s="2845"/>
      <c r="HS13" s="2845"/>
      <c r="HT13" s="2845"/>
      <c r="HU13" s="2845"/>
      <c r="HV13" s="2845"/>
      <c r="HW13" s="2845"/>
      <c r="HX13" s="2845"/>
      <c r="HY13" s="2845"/>
      <c r="HZ13" s="2845"/>
      <c r="IA13" s="2845"/>
      <c r="IB13" s="2845"/>
      <c r="IC13" s="2845"/>
      <c r="ID13" s="2845"/>
      <c r="IE13" s="2845"/>
      <c r="IF13" s="2845"/>
      <c r="IG13" s="2845"/>
      <c r="IH13" s="2845"/>
      <c r="II13" s="2845"/>
      <c r="IJ13" s="2845"/>
      <c r="IK13" s="2845"/>
      <c r="IL13" s="2845"/>
      <c r="IM13" s="2845"/>
      <c r="IN13" s="2845"/>
      <c r="IO13" s="2845"/>
      <c r="IP13" s="2845"/>
      <c r="IQ13" s="2845"/>
      <c r="IR13" s="2845"/>
      <c r="IS13" s="2845"/>
      <c r="IT13" s="2845"/>
      <c r="IU13" s="2845"/>
      <c r="IV13" s="2845"/>
      <c r="IW13" s="2845"/>
      <c r="IX13" s="2845"/>
      <c r="IY13" s="4035"/>
      <c r="IZ13" s="2845"/>
      <c r="JA13" s="2845"/>
      <c r="JB13" s="4307"/>
      <c r="JC13" s="2845"/>
      <c r="JD13" s="2845"/>
      <c r="JE13" s="2845"/>
      <c r="JF13" s="2845"/>
      <c r="JG13" s="4131"/>
      <c r="JH13" s="1233"/>
      <c r="JI13" s="1393" t="s">
        <v>1881</v>
      </c>
      <c r="JJ13" s="1660" t="s">
        <v>6110</v>
      </c>
    </row>
    <row ht="12.75" r="14" spans="1:270" x14ac:dyDescent="0.2">
      <c r="A14" s="1128">
        <v>13</v>
      </c>
      <c r="B14" s="1678" t="str">
        <f si="0" t="shared"/>
        <v/>
      </c>
      <c r="C14" s="1681" t="s">
        <v>3626</v>
      </c>
      <c r="D14" s="1125" t="s">
        <v>5604</v>
      </c>
      <c r="E14" s="4130"/>
      <c r="F14" s="4130"/>
      <c r="G14" s="4130"/>
      <c r="H14" s="4130"/>
      <c r="I14" s="4130"/>
      <c r="J14" s="4130"/>
      <c r="K14" s="4130"/>
      <c r="L14" s="4130"/>
      <c r="M14" s="4130"/>
      <c r="N14" s="2845"/>
      <c r="O14" s="2845"/>
      <c r="P14" s="2845"/>
      <c r="Q14" s="2845"/>
      <c r="R14" s="2845"/>
      <c r="S14" s="2845"/>
      <c r="T14" s="2845"/>
      <c r="U14" s="2845"/>
      <c r="V14" s="2845"/>
      <c r="W14" s="2845"/>
      <c r="X14" s="2845"/>
      <c r="Y14" s="2845"/>
      <c r="Z14" s="2845"/>
      <c r="AA14" s="2845"/>
      <c r="AB14" s="2845"/>
      <c r="AC14" s="2845"/>
      <c r="AD14" s="2507"/>
      <c r="AE14" s="2507"/>
      <c r="AF14" s="2507"/>
      <c r="AG14" s="2507"/>
      <c r="AH14" s="2507"/>
      <c r="AI14" s="2845"/>
      <c r="AJ14" s="2867"/>
      <c r="AK14" s="2845"/>
      <c r="AL14" s="2845"/>
      <c r="AM14" s="2845"/>
      <c r="AN14" s="2845"/>
      <c r="AO14" s="2845"/>
      <c r="AP14" s="2845"/>
      <c r="AQ14" s="2845"/>
      <c r="AR14" s="2845"/>
      <c r="AS14" s="2845"/>
      <c r="AT14" s="2845"/>
      <c r="AU14" s="2845"/>
      <c r="AV14" s="2845"/>
      <c r="AW14" s="2845"/>
      <c r="AX14" s="2845"/>
      <c r="AY14" s="2845"/>
      <c r="AZ14" s="2845"/>
      <c r="BA14" s="2845"/>
      <c r="BB14" s="2845"/>
      <c r="BC14" s="2854"/>
      <c r="BD14" s="2854"/>
      <c r="BE14" s="2845"/>
      <c r="BF14" s="2845"/>
      <c r="BG14" s="2845"/>
      <c r="BH14" s="2845"/>
      <c r="BI14" s="2845"/>
      <c r="BJ14" s="2845"/>
      <c r="BK14" s="2845"/>
      <c r="BL14" s="2845"/>
      <c r="BM14" s="2845"/>
      <c r="BN14" s="2845"/>
      <c r="BO14" s="2845"/>
      <c r="BP14" s="2845"/>
      <c r="BQ14" s="2845"/>
      <c r="BR14" s="2845"/>
      <c r="BS14" s="2845"/>
      <c r="BT14" s="2845"/>
      <c r="BU14" s="2845"/>
      <c r="BV14" s="2845"/>
      <c r="BW14" s="2845"/>
      <c r="BX14" s="2845"/>
      <c r="BY14" s="2845"/>
      <c r="BZ14" s="2845"/>
      <c r="CA14" s="2845"/>
      <c r="CB14" s="2845"/>
      <c r="CC14" s="2845"/>
      <c r="CD14" s="2845"/>
      <c r="CE14" s="2845"/>
      <c r="CF14" s="2845"/>
      <c r="CG14" s="2845"/>
      <c r="CH14" s="2845"/>
      <c r="CI14" s="2854"/>
      <c r="CJ14" s="2845"/>
      <c r="CK14" s="2845"/>
      <c r="CL14" s="2845"/>
      <c r="CM14" s="2845"/>
      <c r="CN14" s="2845"/>
      <c r="CO14" s="2845"/>
      <c r="CP14" s="2845"/>
      <c r="CQ14" s="2845"/>
      <c r="CR14" s="2845"/>
      <c r="CS14" s="2845"/>
      <c r="CT14" s="2845"/>
      <c r="CU14" s="2845"/>
      <c r="CV14" s="2845"/>
      <c r="CW14" s="2854"/>
      <c r="CX14" s="2854"/>
      <c r="CY14" s="2845"/>
      <c r="CZ14" s="2845"/>
      <c r="DA14" s="2845"/>
      <c r="DB14" s="2845"/>
      <c r="DC14" s="2845"/>
      <c r="DD14" s="2854"/>
      <c r="DE14" s="2845"/>
      <c r="DF14" s="2845"/>
      <c r="DG14" s="2854"/>
      <c r="DH14" s="2845"/>
      <c r="DI14" s="2845"/>
      <c r="DJ14" s="2845"/>
      <c r="DK14" s="2845"/>
      <c r="DL14" s="2845"/>
      <c r="DM14" s="2854"/>
      <c r="DN14" s="2845"/>
      <c r="DO14" s="2845"/>
      <c r="DP14" s="2845"/>
      <c r="DQ14" s="2845"/>
      <c r="DR14" s="2845"/>
      <c r="DS14" s="2845"/>
      <c r="DT14" s="2845"/>
      <c r="DU14" s="2854"/>
      <c r="DV14" s="2845"/>
      <c r="DW14" s="2845"/>
      <c r="DX14" s="2845"/>
      <c r="DY14" s="2845"/>
      <c r="DZ14" s="2845"/>
      <c r="EA14" s="2845"/>
      <c r="EB14" s="2845"/>
      <c r="EC14" s="2845"/>
      <c r="ED14" s="2845"/>
      <c r="EE14" s="2845"/>
      <c r="EF14" s="2845"/>
      <c r="EG14" s="2845"/>
      <c r="EH14" s="2845"/>
      <c r="EI14" s="2845"/>
      <c r="EJ14" s="2845"/>
      <c r="EK14" s="2845"/>
      <c r="EL14" s="2845"/>
      <c r="EM14" s="2845"/>
      <c r="EN14" s="2845"/>
      <c r="EO14" s="2845"/>
      <c r="EP14" s="2845"/>
      <c r="EQ14" s="2845"/>
      <c r="ER14" s="2845"/>
      <c r="ES14" s="2845"/>
      <c r="ET14" s="2845"/>
      <c r="EU14" s="2845"/>
      <c r="EV14" s="2845"/>
      <c r="EW14" s="2845"/>
      <c r="EX14" s="2845"/>
      <c r="EY14" s="2845"/>
      <c r="EZ14" s="2845"/>
      <c r="FA14" s="2845"/>
      <c r="FB14" s="2845"/>
      <c r="FC14" s="2845"/>
      <c r="FD14" s="2854"/>
      <c r="FE14" s="2845"/>
      <c r="FF14" s="2854"/>
      <c r="FG14" s="2845"/>
      <c r="FH14" s="2845"/>
      <c r="FI14" s="2854"/>
      <c r="FJ14" s="2854"/>
      <c r="FK14" s="2845"/>
      <c r="FL14" s="2845"/>
      <c r="FM14" s="2845"/>
      <c r="FN14" s="2845"/>
      <c r="FO14" s="2845"/>
      <c r="FP14" s="2845"/>
      <c r="FQ14" s="2845"/>
      <c r="FR14" s="2845"/>
      <c r="FS14" s="2845"/>
      <c r="FT14" s="2845"/>
      <c r="FU14" s="2845"/>
      <c r="FV14" s="2845"/>
      <c r="FW14" s="2845"/>
      <c r="FX14" s="2845"/>
      <c r="FY14" s="2845"/>
      <c r="FZ14" s="2845"/>
      <c r="GA14" s="2845"/>
      <c r="GB14" s="2845"/>
      <c r="GC14" s="2845"/>
      <c r="GD14" s="2845"/>
      <c r="GE14" s="2845"/>
      <c r="GF14" s="2845"/>
      <c r="GG14" s="2845"/>
      <c r="GH14" s="2845"/>
      <c r="GI14" s="2845"/>
      <c r="GJ14" s="2845"/>
      <c r="GK14" s="2845"/>
      <c r="GL14" s="2854"/>
      <c r="GM14" s="2854"/>
      <c r="GN14" s="2845"/>
      <c r="GO14" s="2845"/>
      <c r="GP14" s="2845"/>
      <c r="GQ14" s="2845"/>
      <c r="GR14" s="2845"/>
      <c r="GS14" s="2845"/>
      <c r="GT14" s="2845"/>
      <c r="GU14" s="2845"/>
      <c r="GV14" s="2845"/>
      <c r="GW14" s="2845"/>
      <c r="GX14" s="2845"/>
      <c r="GY14" s="2845"/>
      <c r="GZ14" s="2864"/>
      <c r="HA14" s="2864"/>
      <c r="HB14" s="2854"/>
      <c r="HC14" s="2845"/>
      <c r="HD14" s="2845"/>
      <c r="HE14" s="2845"/>
      <c r="HF14" s="2845"/>
      <c r="HG14" s="2845"/>
      <c r="HH14" s="2845"/>
      <c r="HI14" s="2845"/>
      <c r="HJ14" s="2845"/>
      <c r="HK14" s="2845"/>
      <c r="HL14" s="2845"/>
      <c r="HM14" s="2845"/>
      <c r="HN14" s="2845"/>
      <c r="HO14" s="2845"/>
      <c r="HP14" s="2845"/>
      <c r="HQ14" s="2845"/>
      <c r="HR14" s="2845"/>
      <c r="HS14" s="2845"/>
      <c r="HT14" s="2845"/>
      <c r="HU14" s="2845"/>
      <c r="HV14" s="2845"/>
      <c r="HW14" s="2845"/>
      <c r="HX14" s="2845"/>
      <c r="HY14" s="2845"/>
      <c r="HZ14" s="2845"/>
      <c r="IA14" s="2845"/>
      <c r="IB14" s="2845"/>
      <c r="IC14" s="2845"/>
      <c r="ID14" s="2845"/>
      <c r="IE14" s="2845"/>
      <c r="IF14" s="2845"/>
      <c r="IG14" s="2845"/>
      <c r="IH14" s="2845"/>
      <c r="II14" s="2845"/>
      <c r="IJ14" s="2845"/>
      <c r="IK14" s="2845"/>
      <c r="IL14" s="2845"/>
      <c r="IM14" s="2845"/>
      <c r="IN14" s="2845"/>
      <c r="IO14" s="2845"/>
      <c r="IP14" s="2845"/>
      <c r="IQ14" s="2845"/>
      <c r="IR14" s="2845"/>
      <c r="IS14" s="2845"/>
      <c r="IT14" s="2845"/>
      <c r="IU14" s="2845"/>
      <c r="IV14" s="2845"/>
      <c r="IW14" s="2845"/>
      <c r="IX14" s="2845"/>
      <c r="IY14" s="4035"/>
      <c r="IZ14" s="2845"/>
      <c r="JA14" s="2845"/>
      <c r="JB14" s="4307"/>
      <c r="JC14" s="2845"/>
      <c r="JD14" s="2845"/>
      <c r="JE14" s="2845"/>
      <c r="JF14" s="2845"/>
      <c r="JG14" s="4131"/>
      <c r="JH14" s="1233"/>
      <c r="JI14" s="1393" t="s">
        <v>1881</v>
      </c>
      <c r="JJ14" s="1660" t="s">
        <v>6108</v>
      </c>
    </row>
    <row ht="12.75" r="15" spans="1:270" x14ac:dyDescent="0.2">
      <c r="A15" s="1128">
        <v>14</v>
      </c>
      <c r="B15" s="1678" t="str">
        <f si="0" t="shared"/>
        <v/>
      </c>
      <c r="C15" s="1682" t="s">
        <v>3627</v>
      </c>
      <c r="D15" s="1125" t="s">
        <v>5605</v>
      </c>
      <c r="E15" s="4130"/>
      <c r="F15" s="4130"/>
      <c r="G15" s="4130"/>
      <c r="H15" s="4130"/>
      <c r="I15" s="4130"/>
      <c r="J15" s="4130"/>
      <c r="K15" s="4130"/>
      <c r="L15" s="4130"/>
      <c r="M15" s="4130"/>
      <c r="N15" s="2845"/>
      <c r="O15" s="2845"/>
      <c r="P15" s="2845"/>
      <c r="Q15" s="2845"/>
      <c r="R15" s="2845"/>
      <c r="S15" s="2845"/>
      <c r="T15" s="2845"/>
      <c r="U15" s="2845"/>
      <c r="V15" s="2845"/>
      <c r="W15" s="2845"/>
      <c r="X15" s="2845"/>
      <c r="Y15" s="2845"/>
      <c r="Z15" s="2845"/>
      <c r="AA15" s="2845"/>
      <c r="AB15" s="2845"/>
      <c r="AC15" s="2845"/>
      <c r="AD15" s="2507"/>
      <c r="AE15" s="2507"/>
      <c r="AF15" s="2507"/>
      <c r="AG15" s="2507"/>
      <c r="AH15" s="2507"/>
      <c r="AI15" s="2845"/>
      <c r="AJ15" s="2856"/>
      <c r="AK15" s="2845"/>
      <c r="AL15" s="2845"/>
      <c r="AM15" s="2845"/>
      <c r="AN15" s="2845"/>
      <c r="AO15" s="2845"/>
      <c r="AP15" s="2845"/>
      <c r="AQ15" s="2845"/>
      <c r="AR15" s="2845"/>
      <c r="AS15" s="2845"/>
      <c r="AT15" s="2845"/>
      <c r="AU15" s="2845"/>
      <c r="AV15" s="2845"/>
      <c r="AW15" s="2845"/>
      <c r="AX15" s="2845"/>
      <c r="AY15" s="2845"/>
      <c r="AZ15" s="2845"/>
      <c r="BA15" s="2845"/>
      <c r="BB15" s="2845"/>
      <c r="BC15" s="2847">
        <v>138</v>
      </c>
      <c r="BD15" s="2847">
        <v>138</v>
      </c>
      <c r="BE15" s="2845"/>
      <c r="BF15" s="2845"/>
      <c r="BG15" s="2845"/>
      <c r="BH15" s="2845"/>
      <c r="BI15" s="2845"/>
      <c r="BJ15" s="2845"/>
      <c r="BK15" s="2845"/>
      <c r="BL15" s="2845"/>
      <c r="BM15" s="2845"/>
      <c r="BN15" s="2845"/>
      <c r="BO15" s="2845"/>
      <c r="BP15" s="2845"/>
      <c r="BQ15" s="2845"/>
      <c r="BR15" s="2845"/>
      <c r="BS15" s="2845"/>
      <c r="BT15" s="2845"/>
      <c r="BU15" s="2845"/>
      <c r="BV15" s="2845"/>
      <c r="BW15" s="2845"/>
      <c r="BX15" s="2845"/>
      <c r="BY15" s="2845"/>
      <c r="BZ15" s="2845"/>
      <c r="CA15" s="2845"/>
      <c r="CB15" s="2845"/>
      <c r="CC15" s="2845"/>
      <c r="CD15" s="2845"/>
      <c r="CE15" s="2845"/>
      <c r="CF15" s="2845"/>
      <c r="CG15" s="2845"/>
      <c r="CH15" s="2845"/>
      <c r="CI15" s="2847"/>
      <c r="CJ15" s="2845"/>
      <c r="CK15" s="2845"/>
      <c r="CL15" s="2845"/>
      <c r="CM15" s="2845"/>
      <c r="CN15" s="2845"/>
      <c r="CO15" s="2845"/>
      <c r="CP15" s="2845"/>
      <c r="CQ15" s="2845"/>
      <c r="CR15" s="2845"/>
      <c r="CS15" s="2845"/>
      <c r="CT15" s="2845"/>
      <c r="CU15" s="2845"/>
      <c r="CV15" s="2845"/>
      <c r="CW15" s="2847"/>
      <c r="CX15" s="2847"/>
      <c r="CY15" s="2845"/>
      <c r="CZ15" s="2845"/>
      <c r="DA15" s="2845"/>
      <c r="DB15" s="2845"/>
      <c r="DC15" s="2845"/>
      <c r="DD15" s="2847"/>
      <c r="DE15" s="2845"/>
      <c r="DF15" s="2845"/>
      <c r="DG15" s="2847"/>
      <c r="DH15" s="2845"/>
      <c r="DI15" s="2845"/>
      <c r="DJ15" s="2845"/>
      <c r="DK15" s="2845"/>
      <c r="DL15" s="2845"/>
      <c r="DM15" s="2847"/>
      <c r="DN15" s="2845"/>
      <c r="DO15" s="2845"/>
      <c r="DP15" s="2845"/>
      <c r="DQ15" s="2845"/>
      <c r="DR15" s="2845"/>
      <c r="DS15" s="2845"/>
      <c r="DT15" s="2845"/>
      <c r="DU15" s="2847"/>
      <c r="DV15" s="2845"/>
      <c r="DW15" s="2845"/>
      <c r="DX15" s="2845"/>
      <c r="DY15" s="2845"/>
      <c r="DZ15" s="2845"/>
      <c r="EA15" s="2845"/>
      <c r="EB15" s="2845"/>
      <c r="EC15" s="2845"/>
      <c r="ED15" s="2845"/>
      <c r="EE15" s="2845"/>
      <c r="EF15" s="2845"/>
      <c r="EG15" s="2845"/>
      <c r="EH15" s="2845"/>
      <c r="EI15" s="2845"/>
      <c r="EJ15" s="2845"/>
      <c r="EK15" s="2845"/>
      <c r="EL15" s="2845"/>
      <c r="EM15" s="2845"/>
      <c r="EN15" s="2845"/>
      <c r="EO15" s="2845"/>
      <c r="EP15" s="2845"/>
      <c r="EQ15" s="2845"/>
      <c r="ER15" s="2845"/>
      <c r="ES15" s="2845"/>
      <c r="ET15" s="2845"/>
      <c r="EU15" s="2845"/>
      <c r="EV15" s="2845"/>
      <c r="EW15" s="2845"/>
      <c r="EX15" s="2845"/>
      <c r="EY15" s="2845"/>
      <c r="EZ15" s="2845"/>
      <c r="FA15" s="2845"/>
      <c r="FB15" s="2845"/>
      <c r="FC15" s="2845"/>
      <c r="FD15" s="2847">
        <v>138</v>
      </c>
      <c r="FE15" s="2845"/>
      <c r="FF15" s="2847">
        <v>138</v>
      </c>
      <c r="FG15" s="2845"/>
      <c r="FH15" s="2845"/>
      <c r="FI15" s="2847">
        <v>138</v>
      </c>
      <c r="FJ15" s="2847">
        <v>138</v>
      </c>
      <c r="FK15" s="2845"/>
      <c r="FL15" s="2845"/>
      <c r="FM15" s="2845"/>
      <c r="FN15" s="2845"/>
      <c r="FO15" s="2845"/>
      <c r="FP15" s="2845"/>
      <c r="FQ15" s="2845"/>
      <c r="FR15" s="2845"/>
      <c r="FS15" s="2845"/>
      <c r="FT15" s="2845"/>
      <c r="FU15" s="2845"/>
      <c r="FV15" s="2845"/>
      <c r="FW15" s="2845"/>
      <c r="FX15" s="2845"/>
      <c r="FY15" s="2845"/>
      <c r="FZ15" s="2845"/>
      <c r="GA15" s="2845"/>
      <c r="GB15" s="2845"/>
      <c r="GC15" s="2845"/>
      <c r="GD15" s="2845"/>
      <c r="GE15" s="2845"/>
      <c r="GF15" s="2845"/>
      <c r="GG15" s="2845"/>
      <c r="GH15" s="2845"/>
      <c r="GI15" s="2845"/>
      <c r="GJ15" s="2845"/>
      <c r="GK15" s="2845"/>
      <c r="GL15" s="2847"/>
      <c r="GM15" s="2847"/>
      <c r="GN15" s="2845"/>
      <c r="GO15" s="2845"/>
      <c r="GP15" s="2845"/>
      <c r="GQ15" s="2845"/>
      <c r="GR15" s="2845"/>
      <c r="GS15" s="2845"/>
      <c r="GT15" s="2845"/>
      <c r="GU15" s="2845"/>
      <c r="GV15" s="2845"/>
      <c r="GW15" s="2845"/>
      <c r="GX15" s="2845"/>
      <c r="GY15" s="2845"/>
      <c r="GZ15" s="2865"/>
      <c r="HA15" s="2865"/>
      <c r="HB15" s="2847"/>
      <c r="HC15" s="2845"/>
      <c r="HD15" s="2845"/>
      <c r="HE15" s="2845"/>
      <c r="HF15" s="2845"/>
      <c r="HG15" s="2845"/>
      <c r="HH15" s="2845"/>
      <c r="HI15" s="2845"/>
      <c r="HJ15" s="2845"/>
      <c r="HK15" s="2845"/>
      <c r="HL15" s="2845"/>
      <c r="HM15" s="2845"/>
      <c r="HN15" s="2845"/>
      <c r="HO15" s="2845"/>
      <c r="HP15" s="2845"/>
      <c r="HQ15" s="2845"/>
      <c r="HR15" s="2845"/>
      <c r="HS15" s="2845"/>
      <c r="HT15" s="2845"/>
      <c r="HU15" s="2845"/>
      <c r="HV15" s="2845"/>
      <c r="HW15" s="2845"/>
      <c r="HX15" s="2845"/>
      <c r="HY15" s="2845"/>
      <c r="HZ15" s="2845"/>
      <c r="IA15" s="2845"/>
      <c r="IB15" s="2845"/>
      <c r="IC15" s="2845"/>
      <c r="ID15" s="2845"/>
      <c r="IE15" s="2845"/>
      <c r="IF15" s="2845"/>
      <c r="IG15" s="2845"/>
      <c r="IH15" s="2845"/>
      <c r="II15" s="2845"/>
      <c r="IJ15" s="2845"/>
      <c r="IK15" s="2845"/>
      <c r="IL15" s="2845"/>
      <c r="IM15" s="2845"/>
      <c r="IN15" s="2845"/>
      <c r="IO15" s="2845"/>
      <c r="IP15" s="2845"/>
      <c r="IQ15" s="2845"/>
      <c r="IR15" s="2845"/>
      <c r="IS15" s="2845"/>
      <c r="IT15" s="2845"/>
      <c r="IU15" s="2845"/>
      <c r="IV15" s="2845"/>
      <c r="IW15" s="2845"/>
      <c r="IX15" s="2845"/>
      <c r="IY15" s="4035">
        <v>42291</v>
      </c>
      <c r="IZ15" s="2845"/>
      <c r="JA15" s="2845"/>
      <c r="JB15" s="4307"/>
      <c r="JC15" s="2845"/>
      <c r="JD15" s="2845"/>
      <c r="JE15" s="2845"/>
      <c r="JF15" s="2845"/>
      <c r="JG15" s="4131"/>
      <c r="JH15" s="1233"/>
      <c r="JI15" s="1393" t="s">
        <v>1881</v>
      </c>
      <c r="JJ15" s="1660" t="s">
        <v>6108</v>
      </c>
    </row>
    <row ht="12.75" r="16" spans="1:270" x14ac:dyDescent="0.2">
      <c r="A16" s="1128">
        <v>15</v>
      </c>
      <c r="B16" s="1678" t="str">
        <f si="0" t="shared"/>
        <v/>
      </c>
      <c r="C16" s="1681" t="s">
        <v>3628</v>
      </c>
      <c r="D16" s="1125" t="s">
        <v>5606</v>
      </c>
      <c r="E16" s="4130"/>
      <c r="F16" s="4130"/>
      <c r="G16" s="4130"/>
      <c r="H16" s="4130"/>
      <c r="I16" s="4130"/>
      <c r="J16" s="4130"/>
      <c r="K16" s="4130"/>
      <c r="L16" s="4130"/>
      <c r="M16" s="4130"/>
      <c r="N16" s="2845"/>
      <c r="O16" s="2845"/>
      <c r="P16" s="2845"/>
      <c r="Q16" s="2845"/>
      <c r="R16" s="2845"/>
      <c r="S16" s="2845"/>
      <c r="T16" s="2845"/>
      <c r="U16" s="2845"/>
      <c r="V16" s="2845"/>
      <c r="W16" s="2845"/>
      <c r="X16" s="2845"/>
      <c r="Y16" s="2845"/>
      <c r="Z16" s="2845"/>
      <c r="AA16" s="2845"/>
      <c r="AB16" s="2845"/>
      <c r="AC16" s="2845"/>
      <c r="AD16" s="2507"/>
      <c r="AE16" s="2507"/>
      <c r="AF16" s="2507"/>
      <c r="AG16" s="2507"/>
      <c r="AH16" s="2507"/>
      <c r="AI16" s="2845"/>
      <c r="AJ16" s="2867"/>
      <c r="AK16" s="2845"/>
      <c r="AL16" s="2845"/>
      <c r="AM16" s="2845"/>
      <c r="AN16" s="2845"/>
      <c r="AO16" s="2845"/>
      <c r="AP16" s="2845"/>
      <c r="AQ16" s="2845"/>
      <c r="AR16" s="2845"/>
      <c r="AS16" s="2845"/>
      <c r="AT16" s="2845"/>
      <c r="AU16" s="2845"/>
      <c r="AV16" s="2845"/>
      <c r="AW16" s="2845"/>
      <c r="AX16" s="2845"/>
      <c r="AY16" s="2845"/>
      <c r="AZ16" s="2845"/>
      <c r="BA16" s="2845"/>
      <c r="BB16" s="2845"/>
      <c r="BC16" s="2854"/>
      <c r="BD16" s="2854"/>
      <c r="BE16" s="2845"/>
      <c r="BF16" s="2845"/>
      <c r="BG16" s="2845"/>
      <c r="BH16" s="2845"/>
      <c r="BI16" s="2845"/>
      <c r="BJ16" s="2845"/>
      <c r="BK16" s="2845"/>
      <c r="BL16" s="2845"/>
      <c r="BM16" s="2845"/>
      <c r="BN16" s="2845"/>
      <c r="BO16" s="2845"/>
      <c r="BP16" s="2845"/>
      <c r="BQ16" s="2845"/>
      <c r="BR16" s="2845"/>
      <c r="BS16" s="2845"/>
      <c r="BT16" s="2845"/>
      <c r="BU16" s="2845"/>
      <c r="BV16" s="2845"/>
      <c r="BW16" s="2845"/>
      <c r="BX16" s="2845"/>
      <c r="BY16" s="2845"/>
      <c r="BZ16" s="2845"/>
      <c r="CA16" s="2845"/>
      <c r="CB16" s="2845"/>
      <c r="CC16" s="2845"/>
      <c r="CD16" s="2845"/>
      <c r="CE16" s="2845"/>
      <c r="CF16" s="2845"/>
      <c r="CG16" s="2845"/>
      <c r="CH16" s="2845"/>
      <c r="CI16" s="2854"/>
      <c r="CJ16" s="2845"/>
      <c r="CK16" s="2845"/>
      <c r="CL16" s="2845"/>
      <c r="CM16" s="2845"/>
      <c r="CN16" s="2845"/>
      <c r="CO16" s="2845"/>
      <c r="CP16" s="2845"/>
      <c r="CQ16" s="2845"/>
      <c r="CR16" s="2845"/>
      <c r="CS16" s="2845"/>
      <c r="CT16" s="2845"/>
      <c r="CU16" s="2845"/>
      <c r="CV16" s="2845"/>
      <c r="CW16" s="2854"/>
      <c r="CX16" s="2854"/>
      <c r="CY16" s="2845"/>
      <c r="CZ16" s="2845"/>
      <c r="DA16" s="2845"/>
      <c r="DB16" s="2845"/>
      <c r="DC16" s="2845"/>
      <c r="DD16" s="2854"/>
      <c r="DE16" s="2845"/>
      <c r="DF16" s="2845"/>
      <c r="DG16" s="2854"/>
      <c r="DH16" s="2845"/>
      <c r="DI16" s="2845"/>
      <c r="DJ16" s="2845"/>
      <c r="DK16" s="2845"/>
      <c r="DL16" s="2845"/>
      <c r="DM16" s="2854"/>
      <c r="DN16" s="2845"/>
      <c r="DO16" s="2845"/>
      <c r="DP16" s="2845"/>
      <c r="DQ16" s="2845"/>
      <c r="DR16" s="2845"/>
      <c r="DS16" s="2845"/>
      <c r="DT16" s="2845"/>
      <c r="DU16" s="2854"/>
      <c r="DV16" s="2845"/>
      <c r="DW16" s="2845"/>
      <c r="DX16" s="2845"/>
      <c r="DY16" s="2845"/>
      <c r="DZ16" s="2845"/>
      <c r="EA16" s="2845"/>
      <c r="EB16" s="2845"/>
      <c r="EC16" s="2845"/>
      <c r="ED16" s="2845"/>
      <c r="EE16" s="2845"/>
      <c r="EF16" s="2845"/>
      <c r="EG16" s="2845"/>
      <c r="EH16" s="2845"/>
      <c r="EI16" s="2845"/>
      <c r="EJ16" s="2845"/>
      <c r="EK16" s="2845"/>
      <c r="EL16" s="2845"/>
      <c r="EM16" s="2845"/>
      <c r="EN16" s="2845"/>
      <c r="EO16" s="2845"/>
      <c r="EP16" s="2845"/>
      <c r="EQ16" s="2845"/>
      <c r="ER16" s="2845"/>
      <c r="ES16" s="2845"/>
      <c r="ET16" s="2845"/>
      <c r="EU16" s="2845"/>
      <c r="EV16" s="2845"/>
      <c r="EW16" s="2845"/>
      <c r="EX16" s="2845"/>
      <c r="EY16" s="2845"/>
      <c r="EZ16" s="2845"/>
      <c r="FA16" s="2845"/>
      <c r="FB16" s="2845"/>
      <c r="FC16" s="2845"/>
      <c r="FD16" s="2854"/>
      <c r="FE16" s="2845"/>
      <c r="FF16" s="2854"/>
      <c r="FG16" s="2845"/>
      <c r="FH16" s="2845"/>
      <c r="FI16" s="2854"/>
      <c r="FJ16" s="2854"/>
      <c r="FK16" s="2845"/>
      <c r="FL16" s="2845"/>
      <c r="FM16" s="2845"/>
      <c r="FN16" s="2845"/>
      <c r="FO16" s="2845"/>
      <c r="FP16" s="2845"/>
      <c r="FQ16" s="2845"/>
      <c r="FR16" s="2845"/>
      <c r="FS16" s="2845"/>
      <c r="FT16" s="2845"/>
      <c r="FU16" s="2845"/>
      <c r="FV16" s="2845"/>
      <c r="FW16" s="2845"/>
      <c r="FX16" s="2845"/>
      <c r="FY16" s="2845"/>
      <c r="FZ16" s="2845"/>
      <c r="GA16" s="2845"/>
      <c r="GB16" s="2845"/>
      <c r="GC16" s="2845"/>
      <c r="GD16" s="2845"/>
      <c r="GE16" s="2845"/>
      <c r="GF16" s="2845"/>
      <c r="GG16" s="2845"/>
      <c r="GH16" s="2845"/>
      <c r="GI16" s="2845"/>
      <c r="GJ16" s="2845"/>
      <c r="GK16" s="2845"/>
      <c r="GL16" s="2854"/>
      <c r="GM16" s="2854"/>
      <c r="GN16" s="2845"/>
      <c r="GO16" s="2845"/>
      <c r="GP16" s="2845"/>
      <c r="GQ16" s="2845"/>
      <c r="GR16" s="2845"/>
      <c r="GS16" s="2845"/>
      <c r="GT16" s="2845"/>
      <c r="GU16" s="2845"/>
      <c r="GV16" s="2845"/>
      <c r="GW16" s="2845"/>
      <c r="GX16" s="2845"/>
      <c r="GY16" s="2845"/>
      <c r="GZ16" s="2864"/>
      <c r="HA16" s="2864"/>
      <c r="HB16" s="2854"/>
      <c r="HC16" s="2845"/>
      <c r="HD16" s="2845"/>
      <c r="HE16" s="2845"/>
      <c r="HF16" s="2845"/>
      <c r="HG16" s="2845"/>
      <c r="HH16" s="2845"/>
      <c r="HI16" s="2845"/>
      <c r="HJ16" s="2845"/>
      <c r="HK16" s="2845"/>
      <c r="HL16" s="2845"/>
      <c r="HM16" s="2845"/>
      <c r="HN16" s="2845"/>
      <c r="HO16" s="2845"/>
      <c r="HP16" s="2845"/>
      <c r="HQ16" s="2845"/>
      <c r="HR16" s="2845"/>
      <c r="HS16" s="2845"/>
      <c r="HT16" s="2845"/>
      <c r="HU16" s="2845"/>
      <c r="HV16" s="2845"/>
      <c r="HW16" s="2845"/>
      <c r="HX16" s="2845"/>
      <c r="HY16" s="2845"/>
      <c r="HZ16" s="2845"/>
      <c r="IA16" s="2845"/>
      <c r="IB16" s="2845"/>
      <c r="IC16" s="2845"/>
      <c r="ID16" s="2845"/>
      <c r="IE16" s="2845"/>
      <c r="IF16" s="2845"/>
      <c r="IG16" s="2845"/>
      <c r="IH16" s="2845"/>
      <c r="II16" s="2845"/>
      <c r="IJ16" s="2845"/>
      <c r="IK16" s="2845"/>
      <c r="IL16" s="2845"/>
      <c r="IM16" s="2845"/>
      <c r="IN16" s="2845"/>
      <c r="IO16" s="2845"/>
      <c r="IP16" s="2845"/>
      <c r="IQ16" s="2845"/>
      <c r="IR16" s="2845"/>
      <c r="IS16" s="2845"/>
      <c r="IT16" s="2845"/>
      <c r="IU16" s="2845"/>
      <c r="IV16" s="2845"/>
      <c r="IW16" s="2845"/>
      <c r="IX16" s="2845"/>
      <c r="IY16" s="4035"/>
      <c r="IZ16" s="2845"/>
      <c r="JA16" s="2845"/>
      <c r="JB16" s="4307"/>
      <c r="JC16" s="2845"/>
      <c r="JD16" s="2845"/>
      <c r="JE16" s="2845"/>
      <c r="JF16" s="2845"/>
      <c r="JG16" s="4131"/>
      <c r="JH16" s="1233"/>
      <c r="JI16" s="1393" t="s">
        <v>1881</v>
      </c>
      <c r="JJ16" s="1660" t="s">
        <v>6124</v>
      </c>
    </row>
    <row ht="12.75" r="17" spans="1:270" x14ac:dyDescent="0.2">
      <c r="A17" s="1128">
        <v>16</v>
      </c>
      <c r="B17" s="1678" t="str">
        <f si="0" t="shared"/>
        <v/>
      </c>
      <c r="C17" s="1681" t="s">
        <v>3629</v>
      </c>
      <c r="D17" s="1125" t="s">
        <v>7293</v>
      </c>
      <c r="E17" s="4130"/>
      <c r="F17" s="4130"/>
      <c r="G17" s="4130"/>
      <c r="H17" s="4130"/>
      <c r="I17" s="4130"/>
      <c r="J17" s="4130"/>
      <c r="K17" s="4130"/>
      <c r="L17" s="4130"/>
      <c r="M17" s="4130"/>
      <c r="N17" s="2845"/>
      <c r="O17" s="2845"/>
      <c r="P17" s="2845"/>
      <c r="Q17" s="2845"/>
      <c r="R17" s="2845"/>
      <c r="S17" s="2845"/>
      <c r="T17" s="2845"/>
      <c r="U17" s="2845"/>
      <c r="V17" s="2845"/>
      <c r="W17" s="2845"/>
      <c r="X17" s="2845"/>
      <c r="Y17" s="2845"/>
      <c r="Z17" s="2845"/>
      <c r="AA17" s="2845"/>
      <c r="AB17" s="2845"/>
      <c r="AC17" s="2845"/>
      <c r="AD17" s="2507"/>
      <c r="AE17" s="2507"/>
      <c r="AF17" s="2507"/>
      <c r="AG17" s="2507"/>
      <c r="AH17" s="2507"/>
      <c r="AI17" s="2845"/>
      <c r="AJ17" s="2867"/>
      <c r="AK17" s="2845"/>
      <c r="AL17" s="2845"/>
      <c r="AM17" s="2845"/>
      <c r="AN17" s="2845"/>
      <c r="AO17" s="2845"/>
      <c r="AP17" s="2845"/>
      <c r="AQ17" s="2845"/>
      <c r="AR17" s="2845"/>
      <c r="AS17" s="2845"/>
      <c r="AT17" s="2845"/>
      <c r="AU17" s="2845"/>
      <c r="AV17" s="2845"/>
      <c r="AW17" s="2845"/>
      <c r="AX17" s="2845"/>
      <c r="AY17" s="2845"/>
      <c r="AZ17" s="2845"/>
      <c r="BA17" s="2845"/>
      <c r="BB17" s="2845"/>
      <c r="BC17" s="2854"/>
      <c r="BD17" s="2854"/>
      <c r="BE17" s="2845"/>
      <c r="BF17" s="2845"/>
      <c r="BG17" s="2845"/>
      <c r="BH17" s="2845"/>
      <c r="BI17" s="2845"/>
      <c r="BJ17" s="2845"/>
      <c r="BK17" s="2845"/>
      <c r="BL17" s="2845"/>
      <c r="BM17" s="2845"/>
      <c r="BN17" s="2845"/>
      <c r="BO17" s="2845"/>
      <c r="BP17" s="2845"/>
      <c r="BQ17" s="2845"/>
      <c r="BR17" s="2845"/>
      <c r="BS17" s="2845"/>
      <c r="BT17" s="2845"/>
      <c r="BU17" s="2845"/>
      <c r="BV17" s="2845"/>
      <c r="BW17" s="2845"/>
      <c r="BX17" s="2845"/>
      <c r="BY17" s="2845"/>
      <c r="BZ17" s="2845"/>
      <c r="CA17" s="2845"/>
      <c r="CB17" s="2845"/>
      <c r="CC17" s="2845"/>
      <c r="CD17" s="2845"/>
      <c r="CE17" s="2845"/>
      <c r="CF17" s="2845"/>
      <c r="CG17" s="2845"/>
      <c r="CH17" s="2845"/>
      <c r="CI17" s="2854"/>
      <c r="CJ17" s="2845"/>
      <c r="CK17" s="2845"/>
      <c r="CL17" s="2845"/>
      <c r="CM17" s="2845"/>
      <c r="CN17" s="2845"/>
      <c r="CO17" s="2845"/>
      <c r="CP17" s="2845"/>
      <c r="CQ17" s="2845"/>
      <c r="CR17" s="2845"/>
      <c r="CS17" s="2845"/>
      <c r="CT17" s="2845"/>
      <c r="CU17" s="2845"/>
      <c r="CV17" s="2845"/>
      <c r="CW17" s="2854"/>
      <c r="CX17" s="2854"/>
      <c r="CY17" s="2845"/>
      <c r="CZ17" s="2845"/>
      <c r="DA17" s="2845"/>
      <c r="DB17" s="2845"/>
      <c r="DC17" s="2845"/>
      <c r="DD17" s="2854"/>
      <c r="DE17" s="2845"/>
      <c r="DF17" s="2845"/>
      <c r="DG17" s="2854"/>
      <c r="DH17" s="2845"/>
      <c r="DI17" s="2845"/>
      <c r="DJ17" s="2845"/>
      <c r="DK17" s="2845"/>
      <c r="DL17" s="2845"/>
      <c r="DM17" s="2854"/>
      <c r="DN17" s="2845"/>
      <c r="DO17" s="2845"/>
      <c r="DP17" s="2845"/>
      <c r="DQ17" s="2845"/>
      <c r="DR17" s="2845"/>
      <c r="DS17" s="2845"/>
      <c r="DT17" s="2845"/>
      <c r="DU17" s="2854"/>
      <c r="DV17" s="2845"/>
      <c r="DW17" s="2845"/>
      <c r="DX17" s="2845"/>
      <c r="DY17" s="2845"/>
      <c r="DZ17" s="2845"/>
      <c r="EA17" s="2845"/>
      <c r="EB17" s="2845"/>
      <c r="EC17" s="2845"/>
      <c r="ED17" s="2845"/>
      <c r="EE17" s="2845"/>
      <c r="EF17" s="2845"/>
      <c r="EG17" s="2845"/>
      <c r="EH17" s="2845"/>
      <c r="EI17" s="2845"/>
      <c r="EJ17" s="2845"/>
      <c r="EK17" s="2845"/>
      <c r="EL17" s="2845"/>
      <c r="EM17" s="2845"/>
      <c r="EN17" s="2845"/>
      <c r="EO17" s="2845"/>
      <c r="EP17" s="2845"/>
      <c r="EQ17" s="2845"/>
      <c r="ER17" s="2845"/>
      <c r="ES17" s="2845"/>
      <c r="ET17" s="2845"/>
      <c r="EU17" s="2845"/>
      <c r="EV17" s="2845"/>
      <c r="EW17" s="2845"/>
      <c r="EX17" s="2845"/>
      <c r="EY17" s="2845"/>
      <c r="EZ17" s="2845"/>
      <c r="FA17" s="2845"/>
      <c r="FB17" s="2845"/>
      <c r="FC17" s="2845"/>
      <c r="FD17" s="2854"/>
      <c r="FE17" s="2845"/>
      <c r="FF17" s="2854"/>
      <c r="FG17" s="2845"/>
      <c r="FH17" s="2845"/>
      <c r="FI17" s="2854"/>
      <c r="FJ17" s="2854"/>
      <c r="FK17" s="2845"/>
      <c r="FL17" s="2845"/>
      <c r="FM17" s="2845"/>
      <c r="FN17" s="2845"/>
      <c r="FO17" s="2845"/>
      <c r="FP17" s="2845"/>
      <c r="FQ17" s="2845"/>
      <c r="FR17" s="2845"/>
      <c r="FS17" s="2845"/>
      <c r="FT17" s="2845"/>
      <c r="FU17" s="2845"/>
      <c r="FV17" s="2845"/>
      <c r="FW17" s="2845"/>
      <c r="FX17" s="2845"/>
      <c r="FY17" s="2845"/>
      <c r="FZ17" s="2845"/>
      <c r="GA17" s="2845"/>
      <c r="GB17" s="2845"/>
      <c r="GC17" s="2845"/>
      <c r="GD17" s="2845"/>
      <c r="GE17" s="2845"/>
      <c r="GF17" s="2845"/>
      <c r="GG17" s="2845"/>
      <c r="GH17" s="2845"/>
      <c r="GI17" s="2845"/>
      <c r="GJ17" s="2845"/>
      <c r="GK17" s="2845"/>
      <c r="GL17" s="2854"/>
      <c r="GM17" s="2854"/>
      <c r="GN17" s="2845"/>
      <c r="GO17" s="2845"/>
      <c r="GP17" s="2845"/>
      <c r="GQ17" s="2845"/>
      <c r="GR17" s="2845"/>
      <c r="GS17" s="2845"/>
      <c r="GT17" s="2845"/>
      <c r="GU17" s="2845"/>
      <c r="GV17" s="2845"/>
      <c r="GW17" s="2845"/>
      <c r="GX17" s="2845"/>
      <c r="GY17" s="2845"/>
      <c r="GZ17" s="2864"/>
      <c r="HA17" s="2864"/>
      <c r="HB17" s="2854"/>
      <c r="HC17" s="2845"/>
      <c r="HD17" s="2845"/>
      <c r="HE17" s="2845"/>
      <c r="HF17" s="2845"/>
      <c r="HG17" s="2845"/>
      <c r="HH17" s="2845"/>
      <c r="HI17" s="2845"/>
      <c r="HJ17" s="2845"/>
      <c r="HK17" s="2845"/>
      <c r="HL17" s="2845"/>
      <c r="HM17" s="2845"/>
      <c r="HN17" s="2845"/>
      <c r="HO17" s="2845"/>
      <c r="HP17" s="2845"/>
      <c r="HQ17" s="2845"/>
      <c r="HR17" s="2845"/>
      <c r="HS17" s="2845"/>
      <c r="HT17" s="2845"/>
      <c r="HU17" s="2845"/>
      <c r="HV17" s="2845"/>
      <c r="HW17" s="2845"/>
      <c r="HX17" s="2845"/>
      <c r="HY17" s="2845"/>
      <c r="HZ17" s="2845"/>
      <c r="IA17" s="2845"/>
      <c r="IB17" s="2845"/>
      <c r="IC17" s="2845"/>
      <c r="ID17" s="2845"/>
      <c r="IE17" s="2845"/>
      <c r="IF17" s="2845"/>
      <c r="IG17" s="2845"/>
      <c r="IH17" s="2845"/>
      <c r="II17" s="2845"/>
      <c r="IJ17" s="2845"/>
      <c r="IK17" s="2845"/>
      <c r="IL17" s="2845"/>
      <c r="IM17" s="2845"/>
      <c r="IN17" s="2845"/>
      <c r="IO17" s="2845"/>
      <c r="IP17" s="2845"/>
      <c r="IQ17" s="2845"/>
      <c r="IR17" s="2845"/>
      <c r="IS17" s="2845"/>
      <c r="IT17" s="2845"/>
      <c r="IU17" s="2845"/>
      <c r="IV17" s="2845"/>
      <c r="IW17" s="2845"/>
      <c r="IX17" s="2845"/>
      <c r="IY17" s="4035"/>
      <c r="IZ17" s="2845"/>
      <c r="JA17" s="2845"/>
      <c r="JB17" s="4307"/>
      <c r="JC17" s="2845"/>
      <c r="JD17" s="2845"/>
      <c r="JE17" s="2845"/>
      <c r="JF17" s="2845"/>
      <c r="JG17" s="4131"/>
      <c r="JH17" s="1233"/>
      <c r="JI17" s="1393"/>
      <c r="JJ17" s="2971" t="s">
        <v>6111</v>
      </c>
    </row>
    <row ht="78.75" r="18" spans="1:270" x14ac:dyDescent="0.2">
      <c r="A18" s="1128">
        <v>17</v>
      </c>
      <c r="B18" s="1678" t="str">
        <f si="0" t="shared"/>
        <v/>
      </c>
      <c r="C18" s="1681" t="s">
        <v>3630</v>
      </c>
      <c r="D18" s="1125" t="s">
        <v>5607</v>
      </c>
      <c r="E18" s="4130"/>
      <c r="F18" s="4130"/>
      <c r="G18" s="4130"/>
      <c r="H18" s="4130"/>
      <c r="I18" s="4130"/>
      <c r="J18" s="4130"/>
      <c r="K18" s="4130"/>
      <c r="L18" s="4130"/>
      <c r="M18" s="4130"/>
      <c r="N18" s="2845"/>
      <c r="O18" s="2845"/>
      <c r="P18" s="2845"/>
      <c r="Q18" s="2845"/>
      <c r="R18" s="2845"/>
      <c r="S18" s="2845"/>
      <c r="T18" s="2845"/>
      <c r="U18" s="2845"/>
      <c r="V18" s="2845"/>
      <c r="W18" s="2845"/>
      <c r="X18" s="2845"/>
      <c r="Y18" s="2845"/>
      <c r="Z18" s="2845"/>
      <c r="AA18" s="2845"/>
      <c r="AB18" s="2845"/>
      <c r="AC18" s="2845"/>
      <c r="AD18" s="2507"/>
      <c r="AE18" s="2507"/>
      <c r="AF18" s="2507"/>
      <c r="AG18" s="2507"/>
      <c r="AH18" s="2507"/>
      <c r="AI18" s="2845"/>
      <c r="AJ18" s="2868">
        <f>IF(AJ10+AJ11+AJ12+AJ13-(AJ14+AJ15)&gt;0,AJ10+AJ11+AJ12+AJ13-(AJ14+AJ15),AJ13)</f>
        <v>46471</v>
      </c>
      <c r="AK18" s="2845"/>
      <c r="AL18" s="2845"/>
      <c r="AM18" s="2845"/>
      <c r="AN18" s="2845"/>
      <c r="AO18" s="2845"/>
      <c r="AP18" s="2845"/>
      <c r="AQ18" s="2845"/>
      <c r="AR18" s="2845"/>
      <c r="AS18" s="2845"/>
      <c r="AT18" s="2845"/>
      <c r="AU18" s="2845"/>
      <c r="AV18" s="2845"/>
      <c r="AW18" s="2845"/>
      <c r="AX18" s="2845"/>
      <c r="AY18" s="2845"/>
      <c r="AZ18" s="2845"/>
      <c r="BA18" s="2845"/>
      <c r="BB18" s="2845"/>
      <c r="BC18" s="2855">
        <f>IF(BC10+BC11+BC12+BC13-(BC14+BC15)&gt;0,BC10+BC11+BC12+BC13-(BC14+BC15),BC13)</f>
        <v>942</v>
      </c>
      <c r="BD18" s="2855">
        <f>IF(BD10+BD11+BD12+BD13-(BD14+BD15)&gt;0,BD10+BD11+BD12+BD13-(BD14+BD15),BD13)</f>
        <v>942</v>
      </c>
      <c r="BE18" s="2845"/>
      <c r="BF18" s="2845"/>
      <c r="BG18" s="2845"/>
      <c r="BH18" s="2845"/>
      <c r="BI18" s="2845"/>
      <c r="BJ18" s="2845"/>
      <c r="BK18" s="2845"/>
      <c r="BL18" s="2845"/>
      <c r="BM18" s="2845"/>
      <c r="BN18" s="2845"/>
      <c r="BO18" s="2845"/>
      <c r="BP18" s="2845"/>
      <c r="BQ18" s="2845"/>
      <c r="BR18" s="2845"/>
      <c r="BS18" s="2845"/>
      <c r="BT18" s="2845"/>
      <c r="BU18" s="2845"/>
      <c r="BV18" s="2845"/>
      <c r="BW18" s="2845"/>
      <c r="BX18" s="2845"/>
      <c r="BY18" s="2845"/>
      <c r="BZ18" s="2845"/>
      <c r="CA18" s="2845"/>
      <c r="CB18" s="2845"/>
      <c r="CC18" s="2845"/>
      <c r="CD18" s="2845"/>
      <c r="CE18" s="2845"/>
      <c r="CF18" s="2845"/>
      <c r="CG18" s="2845"/>
      <c r="CH18" s="2845"/>
      <c r="CI18" s="2855">
        <f>IF(CI10+CI11+CI12+CI13-(CI14+CI15)&gt;0,CI10+CI11+CI12+CI13-(CI14+CI15),CI13)</f>
        <v>6745</v>
      </c>
      <c r="CJ18" s="2845"/>
      <c r="CK18" s="2845"/>
      <c r="CL18" s="2845"/>
      <c r="CM18" s="2845"/>
      <c r="CN18" s="2845"/>
      <c r="CO18" s="2845"/>
      <c r="CP18" s="2845"/>
      <c r="CQ18" s="2845"/>
      <c r="CR18" s="2845"/>
      <c r="CS18" s="2845"/>
      <c r="CT18" s="2845"/>
      <c r="CU18" s="2845"/>
      <c r="CV18" s="2845"/>
      <c r="CW18" s="2855">
        <f>IF(CW10+CW11+CW12+CW13-(CW14+CW15)&gt;0,CW10+CW11+CW12+CW13-(CW14+CW15),CW13)</f>
        <v>80512</v>
      </c>
      <c r="CX18" s="2855">
        <f>IF(CX10+CX11+CX12+CX13-(CX14+CX15)&gt;0,CX10+CX11+CX12+CX13-(CX14+CX15),CX13)</f>
        <v>0</v>
      </c>
      <c r="CY18" s="2845"/>
      <c r="CZ18" s="2845"/>
      <c r="DA18" s="2845"/>
      <c r="DB18" s="2845"/>
      <c r="DC18" s="2845"/>
      <c r="DD18" s="2855">
        <f>IF(DD10+DD11+DD12+DD13-(DD14+DD15)&gt;0,DD10+DD11+DD12+DD13-(DD14+DD15),DD13)</f>
        <v>6745</v>
      </c>
      <c r="DE18" s="2845"/>
      <c r="DF18" s="2845"/>
      <c r="DG18" s="2855">
        <f>IF(DG10+DG11+DG12+DG13-(DG14+DG15)&gt;0,DG10+DG11+DG12+DG13-(DG14+DG15),DG13)</f>
        <v>20220</v>
      </c>
      <c r="DH18" s="2845"/>
      <c r="DI18" s="2845"/>
      <c r="DJ18" s="2845"/>
      <c r="DK18" s="2845"/>
      <c r="DL18" s="2845"/>
      <c r="DM18" s="2855">
        <f>IF(DM10+DM11+DM12+DM13-(DM14+DM15)&gt;0,DM10+DM11+DM12+DM13-(DM14+DM15),DM13)</f>
        <v>6745</v>
      </c>
      <c r="DN18" s="2845"/>
      <c r="DO18" s="2845"/>
      <c r="DP18" s="2845"/>
      <c r="DQ18" s="2845"/>
      <c r="DR18" s="2845"/>
      <c r="DS18" s="2845"/>
      <c r="DT18" s="2845"/>
      <c r="DU18" s="2855">
        <f>IF(DU10+DU11+DU12+DU13-(DU14+DU15)&gt;0,DU10+DU11+DU12+DU13-(DU14+DU15),DU13)</f>
        <v>6745</v>
      </c>
      <c r="DV18" s="2845"/>
      <c r="DW18" s="2845"/>
      <c r="DX18" s="2845"/>
      <c r="DY18" s="2845"/>
      <c r="DZ18" s="2845"/>
      <c r="EA18" s="2845"/>
      <c r="EB18" s="2845"/>
      <c r="EC18" s="2845"/>
      <c r="ED18" s="2845"/>
      <c r="EE18" s="2845"/>
      <c r="EF18" s="2845"/>
      <c r="EG18" s="2845"/>
      <c r="EH18" s="2845"/>
      <c r="EI18" s="2845"/>
      <c r="EJ18" s="2845"/>
      <c r="EK18" s="2845"/>
      <c r="EL18" s="2845"/>
      <c r="EM18" s="2845"/>
      <c r="EN18" s="2845"/>
      <c r="EO18" s="2845"/>
      <c r="EP18" s="2845"/>
      <c r="EQ18" s="2845"/>
      <c r="ER18" s="2845"/>
      <c r="ES18" s="2845"/>
      <c r="ET18" s="2845"/>
      <c r="EU18" s="2845"/>
      <c r="EV18" s="2845"/>
      <c r="EW18" s="2845"/>
      <c r="EX18" s="2845"/>
      <c r="EY18" s="2845"/>
      <c r="EZ18" s="2845"/>
      <c r="FA18" s="2845"/>
      <c r="FB18" s="2845"/>
      <c r="FC18" s="2845"/>
      <c r="FD18" s="2855">
        <f>IF(FD10+FD11+FD12+FD13-(FD14+FD15)&gt;0,FD10+FD11+FD12+FD13-(FD14+FD15),FD13)</f>
        <v>942</v>
      </c>
      <c r="FE18" s="2845"/>
      <c r="FF18" s="2855">
        <f>IF(FF10+FF11+FF12+FF13-(FF14+FF15)&gt;0,FF10+FF11+FF12+FF13-(FF14+FF15),FF13)</f>
        <v>942</v>
      </c>
      <c r="FG18" s="2845"/>
      <c r="FH18" s="2845"/>
      <c r="FI18" s="2855">
        <f>IF(FI10+FI11+FI12+FI13-(FI14+FI15)&gt;0,FI10+FI11+FI12+FI13-(FI14+FI15),FI13)</f>
        <v>942</v>
      </c>
      <c r="FJ18" s="4252">
        <f>IF(FJ10+FJ11+FJ12+FJ13-(FJ14+FJ15)&gt;0,FJ10+FJ11+FJ12+FJ13-(FJ14+FJ15),FJ13)</f>
        <v>13804</v>
      </c>
      <c r="FK18" s="2845"/>
      <c r="FL18" s="2845"/>
      <c r="FM18" s="2845"/>
      <c r="FN18" s="2845"/>
      <c r="FO18" s="2845"/>
      <c r="FP18" s="2845"/>
      <c r="FQ18" s="2845"/>
      <c r="FR18" s="2845"/>
      <c r="FS18" s="2845"/>
      <c r="FT18" s="2845"/>
      <c r="FU18" s="2845"/>
      <c r="FV18" s="2845"/>
      <c r="FW18" s="2845"/>
      <c r="FX18" s="2845"/>
      <c r="FY18" s="2845"/>
      <c r="FZ18" s="2845"/>
      <c r="GA18" s="2845"/>
      <c r="GB18" s="2845"/>
      <c r="GC18" s="2845"/>
      <c r="GD18" s="2845"/>
      <c r="GE18" s="2845"/>
      <c r="GF18" s="2845"/>
      <c r="GG18" s="2845"/>
      <c r="GH18" s="2845"/>
      <c r="GI18" s="2845"/>
      <c r="GJ18" s="2845"/>
      <c r="GK18" s="2845"/>
      <c r="GL18" s="2855">
        <f>IF(GL10+GL11+GL12+GL13-(GL14+GL15)&gt;0,GL10+GL11+GL12+GL13-(GL14+GL15),GL13)</f>
        <v>80512</v>
      </c>
      <c r="GM18" s="2855">
        <f>IF(GM10+GM11+GM12+GM13-(GM14+GM15)&gt;0,GM10+GM11+GM12+GM13-(GM14+GM15),GM13)</f>
        <v>80512</v>
      </c>
      <c r="GN18" s="2845"/>
      <c r="GO18" s="2845"/>
      <c r="GP18" s="2845"/>
      <c r="GQ18" s="2845"/>
      <c r="GR18" s="2845"/>
      <c r="GS18" s="2845"/>
      <c r="GT18" s="2845"/>
      <c r="GU18" s="2845"/>
      <c r="GV18" s="2845"/>
      <c r="GW18" s="2845"/>
      <c r="GX18" s="2845"/>
      <c r="GY18" s="2845"/>
      <c r="GZ18" s="2855">
        <f>IF(GZ10+GZ11+GZ12+GZ13-(GZ14+GZ15)&gt;0,GZ10+GZ11+GZ12+GZ13-(GZ14+GZ15),GZ13)</f>
        <v>0</v>
      </c>
      <c r="HA18" s="2855">
        <f>IF(HA10+HA11+HA12+HA13-(HA14+HA15)&gt;0,HA10+HA11+HA12+HA13-(HA14+HA15),HA13)</f>
        <v>0</v>
      </c>
      <c r="HB18" s="2855">
        <f>IF(HB10+HB11+HB12+HB13-(HB14+HB15)&gt;0,HB10+HB11+HB12+HB13-(HB14+HB15),HB13)</f>
        <v>0</v>
      </c>
      <c r="HC18" s="2845"/>
      <c r="HD18" s="2845"/>
      <c r="HE18" s="2845"/>
      <c r="HF18" s="2845"/>
      <c r="HG18" s="2845"/>
      <c r="HH18" s="2845"/>
      <c r="HI18" s="2845"/>
      <c r="HJ18" s="2845"/>
      <c r="HK18" s="2845"/>
      <c r="HL18" s="2845"/>
      <c r="HM18" s="2845"/>
      <c r="HN18" s="2845"/>
      <c r="HO18" s="2845"/>
      <c r="HP18" s="2845"/>
      <c r="HQ18" s="2845"/>
      <c r="HR18" s="2845"/>
      <c r="HS18" s="2845"/>
      <c r="HT18" s="2845"/>
      <c r="HU18" s="2845"/>
      <c r="HV18" s="2845">
        <f>IF(HV10+HV11+HV12+HV13-(HV14+HV15)&gt;0,HV10+HV11+HV12+HV13-(HV14+HV15),HV13)</f>
        <v>0</v>
      </c>
      <c r="HW18" s="2845"/>
      <c r="HX18" s="2845"/>
      <c r="HY18" s="2845"/>
      <c r="HZ18" s="2845"/>
      <c r="IA18" s="2845"/>
      <c r="IB18" s="2845"/>
      <c r="IC18" s="2845"/>
      <c r="ID18" s="2845"/>
      <c r="IE18" s="2845"/>
      <c r="IF18" s="2845"/>
      <c r="IG18" s="2845"/>
      <c r="IH18" s="2845"/>
      <c r="II18" s="2845"/>
      <c r="IJ18" s="2845"/>
      <c r="IK18" s="2845"/>
      <c r="IL18" s="2845"/>
      <c r="IM18" s="2845"/>
      <c r="IN18" s="2845"/>
      <c r="IO18" s="2845"/>
      <c r="IP18" s="2845"/>
      <c r="IQ18" s="2845"/>
      <c r="IR18" s="2845"/>
      <c r="IS18" s="2845"/>
      <c r="IT18" s="2845"/>
      <c r="IU18" s="2845"/>
      <c r="IV18" s="2845"/>
      <c r="IW18" s="2845"/>
      <c r="IX18" s="2845"/>
      <c r="IY18" s="4035"/>
      <c r="IZ18" s="2845"/>
      <c r="JA18" s="2845"/>
      <c r="JB18" s="4307"/>
      <c r="JC18" s="2845"/>
      <c r="JD18" s="2845"/>
      <c r="JE18" s="2845"/>
      <c r="JF18" s="2845"/>
      <c r="JG18" s="4131"/>
      <c r="JH18" s="1233"/>
      <c r="JI18" s="1393" t="s">
        <v>5586</v>
      </c>
      <c r="JJ18" s="1660" t="s">
        <v>6124</v>
      </c>
    </row>
    <row ht="22.5" r="19" spans="1:270" x14ac:dyDescent="0.2">
      <c r="A19" s="1128">
        <v>18</v>
      </c>
      <c r="B19" s="1678" t="str">
        <f si="0" t="shared"/>
        <v/>
      </c>
      <c r="C19" s="1682" t="s">
        <v>3631</v>
      </c>
      <c r="D19" s="1125" t="s">
        <v>5608</v>
      </c>
      <c r="E19" s="4130"/>
      <c r="F19" s="4130"/>
      <c r="G19" s="4130"/>
      <c r="H19" s="4130"/>
      <c r="I19" s="4130"/>
      <c r="J19" s="4130"/>
      <c r="K19" s="4130"/>
      <c r="L19" s="4130"/>
      <c r="M19" s="4130"/>
      <c r="N19" s="2845"/>
      <c r="O19" s="2845"/>
      <c r="P19" s="2845"/>
      <c r="Q19" s="2845"/>
      <c r="R19" s="2845"/>
      <c r="S19" s="2845"/>
      <c r="T19" s="2845"/>
      <c r="U19" s="2845"/>
      <c r="V19" s="2845"/>
      <c r="W19" s="2845"/>
      <c r="X19" s="2845"/>
      <c r="Y19" s="2845"/>
      <c r="Z19" s="2845"/>
      <c r="AA19" s="2845"/>
      <c r="AB19" s="2845"/>
      <c r="AC19" s="2845"/>
      <c r="AD19" s="2507"/>
      <c r="AE19" s="2507"/>
      <c r="AF19" s="2507"/>
      <c r="AG19" s="2507"/>
      <c r="AH19" s="2507"/>
      <c r="AI19" s="2845"/>
      <c r="AJ19" s="2856"/>
      <c r="AK19" s="2845"/>
      <c r="AL19" s="2845"/>
      <c r="AM19" s="2845"/>
      <c r="AN19" s="2845"/>
      <c r="AO19" s="2845"/>
      <c r="AP19" s="2845"/>
      <c r="AQ19" s="2845"/>
      <c r="AR19" s="2845"/>
      <c r="AS19" s="2845"/>
      <c r="AT19" s="2845"/>
      <c r="AU19" s="2845"/>
      <c r="AV19" s="2845"/>
      <c r="AW19" s="2845"/>
      <c r="AX19" s="2845"/>
      <c r="AY19" s="2845"/>
      <c r="AZ19" s="2845"/>
      <c r="BA19" s="2845"/>
      <c r="BB19" s="2845"/>
      <c r="BC19" s="2847"/>
      <c r="BD19" s="2847"/>
      <c r="BE19" s="2845"/>
      <c r="BF19" s="2845"/>
      <c r="BG19" s="2845"/>
      <c r="BH19" s="2845"/>
      <c r="BI19" s="2845"/>
      <c r="BJ19" s="2845"/>
      <c r="BK19" s="2845"/>
      <c r="BL19" s="2845"/>
      <c r="BM19" s="2845"/>
      <c r="BN19" s="2845"/>
      <c r="BO19" s="2845"/>
      <c r="BP19" s="2845"/>
      <c r="BQ19" s="2845"/>
      <c r="BR19" s="2845"/>
      <c r="BS19" s="2845"/>
      <c r="BT19" s="2845"/>
      <c r="BU19" s="2845"/>
      <c r="BV19" s="2845"/>
      <c r="BW19" s="2845"/>
      <c r="BX19" s="2845"/>
      <c r="BY19" s="2845"/>
      <c r="BZ19" s="2845"/>
      <c r="CA19" s="2845"/>
      <c r="CB19" s="2845"/>
      <c r="CC19" s="2845"/>
      <c r="CD19" s="2845"/>
      <c r="CE19" s="2845"/>
      <c r="CF19" s="2845"/>
      <c r="CG19" s="2845"/>
      <c r="CH19" s="2845"/>
      <c r="CI19" s="2847"/>
      <c r="CJ19" s="2845"/>
      <c r="CK19" s="2845"/>
      <c r="CL19" s="2845"/>
      <c r="CM19" s="2845"/>
      <c r="CN19" s="2845"/>
      <c r="CO19" s="2845"/>
      <c r="CP19" s="2845"/>
      <c r="CQ19" s="2845"/>
      <c r="CR19" s="2845"/>
      <c r="CS19" s="2845"/>
      <c r="CT19" s="2845"/>
      <c r="CU19" s="2845"/>
      <c r="CV19" s="2845"/>
      <c r="CW19" s="2847">
        <v>15625</v>
      </c>
      <c r="CX19" s="2847"/>
      <c r="CY19" s="2845"/>
      <c r="CZ19" s="2845"/>
      <c r="DA19" s="2845"/>
      <c r="DB19" s="2845"/>
      <c r="DC19" s="2845"/>
      <c r="DD19" s="2847"/>
      <c r="DE19" s="2845"/>
      <c r="DF19" s="2845"/>
      <c r="DG19" s="2847"/>
      <c r="DH19" s="2845"/>
      <c r="DI19" s="2845"/>
      <c r="DJ19" s="2845"/>
      <c r="DK19" s="2845"/>
      <c r="DL19" s="2845"/>
      <c r="DM19" s="2847"/>
      <c r="DN19" s="2845"/>
      <c r="DO19" s="2845"/>
      <c r="DP19" s="2845"/>
      <c r="DQ19" s="2845"/>
      <c r="DR19" s="2845"/>
      <c r="DS19" s="2845"/>
      <c r="DT19" s="2845"/>
      <c r="DU19" s="2847"/>
      <c r="DV19" s="2845"/>
      <c r="DW19" s="2845"/>
      <c r="DX19" s="2845"/>
      <c r="DY19" s="2845"/>
      <c r="DZ19" s="2845"/>
      <c r="EA19" s="2845"/>
      <c r="EB19" s="2845"/>
      <c r="EC19" s="2845"/>
      <c r="ED19" s="2845"/>
      <c r="EE19" s="2845"/>
      <c r="EF19" s="2845"/>
      <c r="EG19" s="2845"/>
      <c r="EH19" s="2845"/>
      <c r="EI19" s="2845"/>
      <c r="EJ19" s="2845"/>
      <c r="EK19" s="2845"/>
      <c r="EL19" s="2845"/>
      <c r="EM19" s="2845"/>
      <c r="EN19" s="2845"/>
      <c r="EO19" s="2845"/>
      <c r="EP19" s="2845"/>
      <c r="EQ19" s="2845"/>
      <c r="ER19" s="2845"/>
      <c r="ES19" s="2845"/>
      <c r="ET19" s="2845"/>
      <c r="EU19" s="2845"/>
      <c r="EV19" s="2845"/>
      <c r="EW19" s="2845"/>
      <c r="EX19" s="2845"/>
      <c r="EY19" s="2845"/>
      <c r="EZ19" s="2845"/>
      <c r="FA19" s="2845"/>
      <c r="FB19" s="2845"/>
      <c r="FC19" s="2845"/>
      <c r="FD19" s="2847"/>
      <c r="FE19" s="2845"/>
      <c r="FF19" s="2847"/>
      <c r="FG19" s="2845"/>
      <c r="FH19" s="2845"/>
      <c r="FI19" s="2847"/>
      <c r="FJ19" s="2847"/>
      <c r="FK19" s="2845"/>
      <c r="FL19" s="2845"/>
      <c r="FM19" s="2845"/>
      <c r="FN19" s="2845"/>
      <c r="FO19" s="2845"/>
      <c r="FP19" s="2845"/>
      <c r="FQ19" s="2845"/>
      <c r="FR19" s="2845"/>
      <c r="FS19" s="2845"/>
      <c r="FT19" s="2845"/>
      <c r="FU19" s="2845"/>
      <c r="FV19" s="2845"/>
      <c r="FW19" s="2845"/>
      <c r="FX19" s="2845"/>
      <c r="FY19" s="2845"/>
      <c r="FZ19" s="2845"/>
      <c r="GA19" s="2845"/>
      <c r="GB19" s="2845"/>
      <c r="GC19" s="2845"/>
      <c r="GD19" s="2845"/>
      <c r="GE19" s="2845"/>
      <c r="GF19" s="2845"/>
      <c r="GG19" s="2845"/>
      <c r="GH19" s="2845"/>
      <c r="GI19" s="2845"/>
      <c r="GJ19" s="2845"/>
      <c r="GK19" s="2845"/>
      <c r="GL19" s="2847">
        <v>15625</v>
      </c>
      <c r="GM19" s="2847">
        <v>15625</v>
      </c>
      <c r="GN19" s="2845"/>
      <c r="GO19" s="2845"/>
      <c r="GP19" s="2845"/>
      <c r="GQ19" s="2845"/>
      <c r="GR19" s="2845"/>
      <c r="GS19" s="2845"/>
      <c r="GT19" s="2845"/>
      <c r="GU19" s="2845"/>
      <c r="GV19" s="2845"/>
      <c r="GW19" s="2845"/>
      <c r="GX19" s="2845"/>
      <c r="GY19" s="2845"/>
      <c r="GZ19" s="2847"/>
      <c r="HA19" s="2847"/>
      <c r="HB19" s="2847"/>
      <c r="HC19" s="2845"/>
      <c r="HD19" s="2845"/>
      <c r="HE19" s="2845"/>
      <c r="HF19" s="2845"/>
      <c r="HG19" s="2845"/>
      <c r="HH19" s="2845"/>
      <c r="HI19" s="2845"/>
      <c r="HJ19" s="2845"/>
      <c r="HK19" s="2845"/>
      <c r="HL19" s="2845"/>
      <c r="HM19" s="2845"/>
      <c r="HN19" s="2845"/>
      <c r="HO19" s="2845"/>
      <c r="HP19" s="2845"/>
      <c r="HQ19" s="2845"/>
      <c r="HR19" s="2845"/>
      <c r="HS19" s="2845"/>
      <c r="HT19" s="2845"/>
      <c r="HU19" s="2845"/>
      <c r="HV19" s="2845"/>
      <c r="HW19" s="2845"/>
      <c r="HX19" s="2845"/>
      <c r="HY19" s="2845"/>
      <c r="HZ19" s="2845"/>
      <c r="IA19" s="2845"/>
      <c r="IB19" s="2845"/>
      <c r="IC19" s="2845"/>
      <c r="ID19" s="2845"/>
      <c r="IE19" s="2845"/>
      <c r="IF19" s="2845"/>
      <c r="IG19" s="2845"/>
      <c r="IH19" s="2845"/>
      <c r="II19" s="2845"/>
      <c r="IJ19" s="2845"/>
      <c r="IK19" s="2845"/>
      <c r="IL19" s="2845"/>
      <c r="IM19" s="2845"/>
      <c r="IN19" s="2845"/>
      <c r="IO19" s="2845"/>
      <c r="IP19" s="2845"/>
      <c r="IQ19" s="2845"/>
      <c r="IR19" s="2845"/>
      <c r="IS19" s="2845"/>
      <c r="IT19" s="2845"/>
      <c r="IU19" s="2845"/>
      <c r="IV19" s="2845"/>
      <c r="IW19" s="2845"/>
      <c r="IX19" s="2845"/>
      <c r="IY19" s="4035"/>
      <c r="IZ19" s="2845"/>
      <c r="JA19" s="2845"/>
      <c r="JB19" s="4307"/>
      <c r="JC19" s="2845"/>
      <c r="JD19" s="2845"/>
      <c r="JE19" s="2845"/>
      <c r="JF19" s="2845"/>
      <c r="JG19" s="4131"/>
      <c r="JH19" s="1233"/>
      <c r="JI19" s="1393" t="s">
        <v>5587</v>
      </c>
      <c r="JJ19" s="1660" t="s">
        <v>6108</v>
      </c>
    </row>
    <row ht="12.75" r="20" spans="1:270" x14ac:dyDescent="0.2">
      <c r="A20" s="1128">
        <v>19</v>
      </c>
      <c r="B20" s="1678" t="str">
        <f si="0" t="shared"/>
        <v/>
      </c>
      <c r="C20" s="1681" t="s">
        <v>3632</v>
      </c>
      <c r="D20" s="1125" t="s">
        <v>5609</v>
      </c>
      <c r="E20" s="4130"/>
      <c r="F20" s="4130"/>
      <c r="G20" s="4130"/>
      <c r="H20" s="4130"/>
      <c r="I20" s="4130"/>
      <c r="J20" s="4130"/>
      <c r="K20" s="4130"/>
      <c r="L20" s="4130"/>
      <c r="M20" s="4130"/>
      <c r="N20" s="2845"/>
      <c r="O20" s="2845"/>
      <c r="P20" s="2845"/>
      <c r="Q20" s="2845"/>
      <c r="R20" s="2845"/>
      <c r="S20" s="2845"/>
      <c r="T20" s="2845"/>
      <c r="U20" s="2845"/>
      <c r="V20" s="2845"/>
      <c r="W20" s="2845"/>
      <c r="X20" s="2845"/>
      <c r="Y20" s="2845"/>
      <c r="Z20" s="2845"/>
      <c r="AA20" s="2845"/>
      <c r="AB20" s="2845"/>
      <c r="AC20" s="2845"/>
      <c r="AD20" s="2507"/>
      <c r="AE20" s="2507"/>
      <c r="AF20" s="2507"/>
      <c r="AG20" s="2507"/>
      <c r="AH20" s="2507"/>
      <c r="AI20" s="2845"/>
      <c r="AJ20" s="2868">
        <f>MAX(0,AJ18-AJ19)</f>
        <v>46471</v>
      </c>
      <c r="AK20" s="2845"/>
      <c r="AL20" s="2845"/>
      <c r="AM20" s="2845"/>
      <c r="AN20" s="2845"/>
      <c r="AO20" s="2845"/>
      <c r="AP20" s="2845"/>
      <c r="AQ20" s="2845"/>
      <c r="AR20" s="2845"/>
      <c r="AS20" s="2845"/>
      <c r="AT20" s="2845"/>
      <c r="AU20" s="2845"/>
      <c r="AV20" s="2845"/>
      <c r="AW20" s="2845"/>
      <c r="AX20" s="2845"/>
      <c r="AY20" s="2845"/>
      <c r="AZ20" s="2845"/>
      <c r="BA20" s="2845"/>
      <c r="BB20" s="2845"/>
      <c r="BC20" s="2855">
        <f>MAX(0,BC18-BC19)</f>
        <v>942</v>
      </c>
      <c r="BD20" s="2855">
        <f>MAX(0,BD18-BD19)</f>
        <v>942</v>
      </c>
      <c r="BE20" s="2845"/>
      <c r="BF20" s="2845"/>
      <c r="BG20" s="2845"/>
      <c r="BH20" s="2845"/>
      <c r="BI20" s="2845"/>
      <c r="BJ20" s="2845"/>
      <c r="BK20" s="2845"/>
      <c r="BL20" s="2845"/>
      <c r="BM20" s="2845"/>
      <c r="BN20" s="2845"/>
      <c r="BO20" s="2845"/>
      <c r="BP20" s="2845"/>
      <c r="BQ20" s="2845"/>
      <c r="BR20" s="2845"/>
      <c r="BS20" s="2845"/>
      <c r="BT20" s="2845"/>
      <c r="BU20" s="2845"/>
      <c r="BV20" s="2845"/>
      <c r="BW20" s="2845"/>
      <c r="BX20" s="2845"/>
      <c r="BY20" s="2845"/>
      <c r="BZ20" s="2845"/>
      <c r="CA20" s="2845"/>
      <c r="CB20" s="2845"/>
      <c r="CC20" s="2845"/>
      <c r="CD20" s="2845"/>
      <c r="CE20" s="2845"/>
      <c r="CF20" s="2845"/>
      <c r="CG20" s="2845"/>
      <c r="CH20" s="2845"/>
      <c r="CI20" s="2855">
        <f>MAX(0,CI18-CI19)</f>
        <v>6745</v>
      </c>
      <c r="CJ20" s="2845"/>
      <c r="CK20" s="2845"/>
      <c r="CL20" s="2845"/>
      <c r="CM20" s="2845"/>
      <c r="CN20" s="2845"/>
      <c r="CO20" s="2845"/>
      <c r="CP20" s="2845"/>
      <c r="CQ20" s="2845"/>
      <c r="CR20" s="2845"/>
      <c r="CS20" s="2845"/>
      <c r="CT20" s="2845"/>
      <c r="CU20" s="2845"/>
      <c r="CV20" s="2845"/>
      <c r="CW20" s="2855">
        <f>MAX(0,CW18-CW19)</f>
        <v>64887</v>
      </c>
      <c r="CX20" s="2855">
        <f>MAX(0,CX18-CX19)</f>
        <v>0</v>
      </c>
      <c r="CY20" s="2845"/>
      <c r="CZ20" s="2845"/>
      <c r="DA20" s="2845"/>
      <c r="DB20" s="2845"/>
      <c r="DC20" s="2845"/>
      <c r="DD20" s="2855">
        <f>MAX(0,DD18-DD19)</f>
        <v>6745</v>
      </c>
      <c r="DE20" s="2845"/>
      <c r="DF20" s="2845"/>
      <c r="DG20" s="2855">
        <f>MAX(0,DG18-DG19)</f>
        <v>20220</v>
      </c>
      <c r="DH20" s="2845"/>
      <c r="DI20" s="2845"/>
      <c r="DJ20" s="2845"/>
      <c r="DK20" s="2845"/>
      <c r="DL20" s="2845"/>
      <c r="DM20" s="2855">
        <f>MAX(0,DM18-DM19)</f>
        <v>6745</v>
      </c>
      <c r="DN20" s="2845"/>
      <c r="DO20" s="2845"/>
      <c r="DP20" s="2845"/>
      <c r="DQ20" s="2845"/>
      <c r="DR20" s="2845"/>
      <c r="DS20" s="2845"/>
      <c r="DT20" s="2845"/>
      <c r="DU20" s="2855">
        <f>MAX(0,DU18-DU19)</f>
        <v>6745</v>
      </c>
      <c r="DV20" s="2845"/>
      <c r="DW20" s="2845"/>
      <c r="DX20" s="2845"/>
      <c r="DY20" s="2845"/>
      <c r="DZ20" s="2845"/>
      <c r="EA20" s="2845"/>
      <c r="EB20" s="2845"/>
      <c r="EC20" s="2845"/>
      <c r="ED20" s="2845"/>
      <c r="EE20" s="2845"/>
      <c r="EF20" s="2845"/>
      <c r="EG20" s="2845"/>
      <c r="EH20" s="2845"/>
      <c r="EI20" s="2845"/>
      <c r="EJ20" s="2845"/>
      <c r="EK20" s="2845"/>
      <c r="EL20" s="2845"/>
      <c r="EM20" s="2845"/>
      <c r="EN20" s="2845"/>
      <c r="EO20" s="2845"/>
      <c r="EP20" s="2845"/>
      <c r="EQ20" s="2845"/>
      <c r="ER20" s="2845"/>
      <c r="ES20" s="2845"/>
      <c r="ET20" s="2845"/>
      <c r="EU20" s="2845"/>
      <c r="EV20" s="2845"/>
      <c r="EW20" s="2845"/>
      <c r="EX20" s="2845"/>
      <c r="EY20" s="2845"/>
      <c r="EZ20" s="2845"/>
      <c r="FA20" s="2845"/>
      <c r="FB20" s="2845"/>
      <c r="FC20" s="2845"/>
      <c r="FD20" s="2855">
        <f>MAX(0,FD18-FD19)</f>
        <v>942</v>
      </c>
      <c r="FE20" s="2845"/>
      <c r="FF20" s="2855">
        <f>MAX(0,FF18-FF19)</f>
        <v>942</v>
      </c>
      <c r="FG20" s="2845"/>
      <c r="FH20" s="2845"/>
      <c r="FI20" s="2855">
        <f>MAX(0,FI18-FI19)</f>
        <v>942</v>
      </c>
      <c r="FJ20" s="4252">
        <f>MAX(0,FJ18-FJ19)</f>
        <v>13804</v>
      </c>
      <c r="FK20" s="2845"/>
      <c r="FL20" s="2845"/>
      <c r="FM20" s="2845"/>
      <c r="FN20" s="2845"/>
      <c r="FO20" s="2845"/>
      <c r="FP20" s="2845"/>
      <c r="FQ20" s="2845"/>
      <c r="FR20" s="2845"/>
      <c r="FS20" s="2845"/>
      <c r="FT20" s="2845"/>
      <c r="FU20" s="2845"/>
      <c r="FV20" s="2845"/>
      <c r="FW20" s="2845"/>
      <c r="FX20" s="2845"/>
      <c r="FY20" s="2845"/>
      <c r="FZ20" s="2845"/>
      <c r="GA20" s="2845"/>
      <c r="GB20" s="2845"/>
      <c r="GC20" s="2845"/>
      <c r="GD20" s="2845"/>
      <c r="GE20" s="2845"/>
      <c r="GF20" s="2845"/>
      <c r="GG20" s="2845"/>
      <c r="GH20" s="2845"/>
      <c r="GI20" s="2845"/>
      <c r="GJ20" s="2845"/>
      <c r="GK20" s="2845"/>
      <c r="GL20" s="2855">
        <f>MAX(0,GL18-GL19)</f>
        <v>64887</v>
      </c>
      <c r="GM20" s="2855">
        <f>MAX(0,GM18-GM19)</f>
        <v>64887</v>
      </c>
      <c r="GN20" s="2845"/>
      <c r="GO20" s="2845"/>
      <c r="GP20" s="2845"/>
      <c r="GQ20" s="2845"/>
      <c r="GR20" s="2845"/>
      <c r="GS20" s="2845"/>
      <c r="GT20" s="2845"/>
      <c r="GU20" s="2845"/>
      <c r="GV20" s="2845"/>
      <c r="GW20" s="2845"/>
      <c r="GX20" s="2845"/>
      <c r="GY20" s="2845"/>
      <c r="GZ20" s="2855">
        <f>MAX(0,GZ18-GZ19)</f>
        <v>0</v>
      </c>
      <c r="HA20" s="2855">
        <f>MAX(0,HA18-HA19)</f>
        <v>0</v>
      </c>
      <c r="HB20" s="2855">
        <f>MAX(0,HB18-HB19)</f>
        <v>0</v>
      </c>
      <c r="HC20" s="2845"/>
      <c r="HD20" s="2845"/>
      <c r="HE20" s="2845"/>
      <c r="HF20" s="2845"/>
      <c r="HG20" s="2845"/>
      <c r="HH20" s="2845"/>
      <c r="HI20" s="2845"/>
      <c r="HJ20" s="2845"/>
      <c r="HK20" s="2845"/>
      <c r="HL20" s="2845"/>
      <c r="HM20" s="2845"/>
      <c r="HN20" s="2845"/>
      <c r="HO20" s="2845"/>
      <c r="HP20" s="2845"/>
      <c r="HQ20" s="2845"/>
      <c r="HR20" s="2845"/>
      <c r="HS20" s="2845"/>
      <c r="HT20" s="2845"/>
      <c r="HU20" s="2845"/>
      <c r="HV20" s="2845">
        <f>MAX(0,HV18-HV19)</f>
        <v>0</v>
      </c>
      <c r="HW20" s="2845"/>
      <c r="HX20" s="2845"/>
      <c r="HY20" s="2845"/>
      <c r="HZ20" s="2845"/>
      <c r="IA20" s="2845"/>
      <c r="IB20" s="2845"/>
      <c r="IC20" s="2845"/>
      <c r="ID20" s="2845"/>
      <c r="IE20" s="2845"/>
      <c r="IF20" s="2845"/>
      <c r="IG20" s="2845"/>
      <c r="IH20" s="2845"/>
      <c r="II20" s="2845"/>
      <c r="IJ20" s="2845"/>
      <c r="IK20" s="2845"/>
      <c r="IL20" s="2845"/>
      <c r="IM20" s="2845"/>
      <c r="IN20" s="2845"/>
      <c r="IO20" s="2845"/>
      <c r="IP20" s="2845"/>
      <c r="IQ20" s="2845"/>
      <c r="IR20" s="2845"/>
      <c r="IS20" s="2845"/>
      <c r="IT20" s="2845"/>
      <c r="IU20" s="2845"/>
      <c r="IV20" s="2845"/>
      <c r="IW20" s="2845"/>
      <c r="IX20" s="2845"/>
      <c r="IY20" s="4035"/>
      <c r="IZ20" s="2845"/>
      <c r="JA20" s="2845"/>
      <c r="JB20" s="4307"/>
      <c r="JC20" s="2845"/>
      <c r="JD20" s="2845"/>
      <c r="JE20" s="2845"/>
      <c r="JF20" s="2845"/>
      <c r="JG20" s="4131"/>
      <c r="JH20" s="1233"/>
      <c r="JI20" s="1393" t="s">
        <v>5588</v>
      </c>
      <c r="JJ20" s="1660" t="s">
        <v>6124</v>
      </c>
    </row>
    <row ht="12.75" r="21" spans="1:270" x14ac:dyDescent="0.2">
      <c r="A21" s="1128">
        <v>20</v>
      </c>
      <c r="B21" s="1678" t="str">
        <f si="0" t="shared"/>
        <v/>
      </c>
      <c r="C21" s="1681" t="s">
        <v>3633</v>
      </c>
      <c r="D21" s="1125" t="s">
        <v>5610</v>
      </c>
      <c r="E21" s="4130"/>
      <c r="F21" s="4130"/>
      <c r="G21" s="4130"/>
      <c r="H21" s="4130"/>
      <c r="I21" s="4130"/>
      <c r="J21" s="4130"/>
      <c r="K21" s="4130"/>
      <c r="L21" s="4130"/>
      <c r="M21" s="4130"/>
      <c r="N21" s="2845"/>
      <c r="O21" s="2845"/>
      <c r="P21" s="2845"/>
      <c r="Q21" s="2845"/>
      <c r="R21" s="2845"/>
      <c r="S21" s="2845"/>
      <c r="T21" s="2845"/>
      <c r="U21" s="2845"/>
      <c r="V21" s="2845"/>
      <c r="W21" s="2845"/>
      <c r="X21" s="2845"/>
      <c r="Y21" s="2845"/>
      <c r="Z21" s="2845"/>
      <c r="AA21" s="2845"/>
      <c r="AB21" s="2845"/>
      <c r="AC21" s="2845"/>
      <c r="AD21" s="2507"/>
      <c r="AE21" s="2507"/>
      <c r="AF21" s="2507"/>
      <c r="AG21" s="2507"/>
      <c r="AH21" s="2507"/>
      <c r="AI21" s="2845"/>
      <c r="AJ21" s="2867"/>
      <c r="AK21" s="2845"/>
      <c r="AL21" s="2845"/>
      <c r="AM21" s="2845"/>
      <c r="AN21" s="2845"/>
      <c r="AO21" s="2845"/>
      <c r="AP21" s="2845"/>
      <c r="AQ21" s="2845"/>
      <c r="AR21" s="2845"/>
      <c r="AS21" s="2845"/>
      <c r="AT21" s="2845"/>
      <c r="AU21" s="2845"/>
      <c r="AV21" s="2845"/>
      <c r="AW21" s="2845"/>
      <c r="AX21" s="2845"/>
      <c r="AY21" s="2845"/>
      <c r="AZ21" s="2845"/>
      <c r="BA21" s="2845"/>
      <c r="BB21" s="2845"/>
      <c r="BC21" s="2854"/>
      <c r="BD21" s="2854"/>
      <c r="BE21" s="2845"/>
      <c r="BF21" s="2845"/>
      <c r="BG21" s="2845"/>
      <c r="BH21" s="2845"/>
      <c r="BI21" s="2845"/>
      <c r="BJ21" s="2845"/>
      <c r="BK21" s="2845"/>
      <c r="BL21" s="2845"/>
      <c r="BM21" s="2845"/>
      <c r="BN21" s="2845"/>
      <c r="BO21" s="2845"/>
      <c r="BP21" s="2845"/>
      <c r="BQ21" s="2845"/>
      <c r="BR21" s="2845"/>
      <c r="BS21" s="2845"/>
      <c r="BT21" s="2845"/>
      <c r="BU21" s="2845"/>
      <c r="BV21" s="2845"/>
      <c r="BW21" s="2845"/>
      <c r="BX21" s="2845"/>
      <c r="BY21" s="2845"/>
      <c r="BZ21" s="2845"/>
      <c r="CA21" s="2845"/>
      <c r="CB21" s="2845"/>
      <c r="CC21" s="2845"/>
      <c r="CD21" s="2845"/>
      <c r="CE21" s="2845"/>
      <c r="CF21" s="2845"/>
      <c r="CG21" s="2845"/>
      <c r="CH21" s="2845"/>
      <c r="CI21" s="2854">
        <v>1200</v>
      </c>
      <c r="CJ21" s="2845"/>
      <c r="CK21" s="2845"/>
      <c r="CL21" s="2845"/>
      <c r="CM21" s="2845"/>
      <c r="CN21" s="2845"/>
      <c r="CO21" s="2845"/>
      <c r="CP21" s="2845"/>
      <c r="CQ21" s="2845"/>
      <c r="CR21" s="2845"/>
      <c r="CS21" s="2845"/>
      <c r="CT21" s="2845"/>
      <c r="CU21" s="2845"/>
      <c r="CV21" s="2845"/>
      <c r="CW21" s="2854">
        <v>9620</v>
      </c>
      <c r="CX21" s="2854"/>
      <c r="CY21" s="2845"/>
      <c r="CZ21" s="2845"/>
      <c r="DA21" s="2845"/>
      <c r="DB21" s="2845"/>
      <c r="DC21" s="2845"/>
      <c r="DD21" s="2854">
        <v>1200</v>
      </c>
      <c r="DE21" s="2845"/>
      <c r="DF21" s="2845"/>
      <c r="DG21" s="2854"/>
      <c r="DH21" s="2845"/>
      <c r="DI21" s="2845"/>
      <c r="DJ21" s="2845"/>
      <c r="DK21" s="2845"/>
      <c r="DL21" s="2845"/>
      <c r="DM21" s="2854">
        <v>1200</v>
      </c>
      <c r="DN21" s="2845"/>
      <c r="DO21" s="2845"/>
      <c r="DP21" s="2845"/>
      <c r="DQ21" s="2845"/>
      <c r="DR21" s="2845"/>
      <c r="DS21" s="2845"/>
      <c r="DT21" s="2845"/>
      <c r="DU21" s="2854">
        <v>1200</v>
      </c>
      <c r="DV21" s="2845"/>
      <c r="DW21" s="2845"/>
      <c r="DX21" s="2845"/>
      <c r="DY21" s="2845"/>
      <c r="DZ21" s="2845"/>
      <c r="EA21" s="2845"/>
      <c r="EB21" s="2845"/>
      <c r="EC21" s="2845"/>
      <c r="ED21" s="2845"/>
      <c r="EE21" s="2845"/>
      <c r="EF21" s="2845"/>
      <c r="EG21" s="2845"/>
      <c r="EH21" s="2845"/>
      <c r="EI21" s="2845"/>
      <c r="EJ21" s="2845"/>
      <c r="EK21" s="2845"/>
      <c r="EL21" s="2845"/>
      <c r="EM21" s="2845"/>
      <c r="EN21" s="2845"/>
      <c r="EO21" s="2845"/>
      <c r="EP21" s="2845"/>
      <c r="EQ21" s="2845"/>
      <c r="ER21" s="2845"/>
      <c r="ES21" s="2845"/>
      <c r="ET21" s="2845"/>
      <c r="EU21" s="2845"/>
      <c r="EV21" s="2845"/>
      <c r="EW21" s="2845"/>
      <c r="EX21" s="2845"/>
      <c r="EY21" s="2845"/>
      <c r="EZ21" s="2845"/>
      <c r="FA21" s="2845"/>
      <c r="FB21" s="2845"/>
      <c r="FC21" s="2845"/>
      <c r="FD21" s="2854"/>
      <c r="FE21" s="2845"/>
      <c r="FF21" s="2854"/>
      <c r="FG21" s="2845"/>
      <c r="FH21" s="2845"/>
      <c r="FI21" s="2854"/>
      <c r="FJ21" s="2854"/>
      <c r="FK21" s="2845"/>
      <c r="FL21" s="2845"/>
      <c r="FM21" s="2845"/>
      <c r="FN21" s="2845"/>
      <c r="FO21" s="2845"/>
      <c r="FP21" s="2845"/>
      <c r="FQ21" s="2845"/>
      <c r="FR21" s="2845"/>
      <c r="FS21" s="2845"/>
      <c r="FT21" s="2845"/>
      <c r="FU21" s="2845"/>
      <c r="FV21" s="2845"/>
      <c r="FW21" s="2845"/>
      <c r="FX21" s="2845"/>
      <c r="FY21" s="2845"/>
      <c r="FZ21" s="2845"/>
      <c r="GA21" s="2845"/>
      <c r="GB21" s="2845"/>
      <c r="GC21" s="2845"/>
      <c r="GD21" s="2845"/>
      <c r="GE21" s="2845"/>
      <c r="GF21" s="2845"/>
      <c r="GG21" s="2845"/>
      <c r="GH21" s="2845"/>
      <c r="GI21" s="2845"/>
      <c r="GJ21" s="2845"/>
      <c r="GK21" s="2845"/>
      <c r="GL21" s="2854">
        <v>9620</v>
      </c>
      <c r="GM21" s="2854">
        <v>9620</v>
      </c>
      <c r="GN21" s="2845"/>
      <c r="GO21" s="2845"/>
      <c r="GP21" s="2845"/>
      <c r="GQ21" s="2845"/>
      <c r="GR21" s="2845"/>
      <c r="GS21" s="2845"/>
      <c r="GT21" s="2845"/>
      <c r="GU21" s="2845"/>
      <c r="GV21" s="2845"/>
      <c r="GW21" s="2845"/>
      <c r="GX21" s="2845"/>
      <c r="GY21" s="2845"/>
      <c r="GZ21" s="2854"/>
      <c r="HA21" s="2854"/>
      <c r="HB21" s="2854"/>
      <c r="HC21" s="2845"/>
      <c r="HD21" s="2845"/>
      <c r="HE21" s="2845"/>
      <c r="HF21" s="2845"/>
      <c r="HG21" s="2845"/>
      <c r="HH21" s="2845"/>
      <c r="HI21" s="2845"/>
      <c r="HJ21" s="2845"/>
      <c r="HK21" s="2845"/>
      <c r="HL21" s="2845"/>
      <c r="HM21" s="2845"/>
      <c r="HN21" s="2845"/>
      <c r="HO21" s="2845"/>
      <c r="HP21" s="2845"/>
      <c r="HQ21" s="2845"/>
      <c r="HR21" s="2845"/>
      <c r="HS21" s="2845"/>
      <c r="HT21" s="2845"/>
      <c r="HU21" s="2845"/>
      <c r="HV21" s="2845"/>
      <c r="HW21" s="2845"/>
      <c r="HX21" s="2845"/>
      <c r="HY21" s="2845"/>
      <c r="HZ21" s="2845"/>
      <c r="IA21" s="2845"/>
      <c r="IB21" s="2845"/>
      <c r="IC21" s="2845"/>
      <c r="ID21" s="2845"/>
      <c r="IE21" s="2845"/>
      <c r="IF21" s="2845"/>
      <c r="IG21" s="2845"/>
      <c r="IH21" s="2845"/>
      <c r="II21" s="2845"/>
      <c r="IJ21" s="2845"/>
      <c r="IK21" s="2845"/>
      <c r="IL21" s="2845"/>
      <c r="IM21" s="2845"/>
      <c r="IN21" s="2845"/>
      <c r="IO21" s="2845"/>
      <c r="IP21" s="2845"/>
      <c r="IQ21" s="2845"/>
      <c r="IR21" s="2845"/>
      <c r="IS21" s="2845"/>
      <c r="IT21" s="2845"/>
      <c r="IU21" s="2845"/>
      <c r="IV21" s="2845"/>
      <c r="IW21" s="2845"/>
      <c r="IX21" s="2845"/>
      <c r="IY21" s="4035"/>
      <c r="IZ21" s="2845"/>
      <c r="JA21" s="2845"/>
      <c r="JB21" s="4307"/>
      <c r="JC21" s="2845"/>
      <c r="JD21" s="2845"/>
      <c r="JE21" s="2845"/>
      <c r="JF21" s="2845"/>
      <c r="JG21" s="4131"/>
      <c r="JH21" s="1233"/>
      <c r="JI21" s="1393"/>
      <c r="JJ21" s="1660" t="s">
        <v>6108</v>
      </c>
    </row>
    <row ht="12.75" r="22" spans="1:270" x14ac:dyDescent="0.2">
      <c r="A22" s="1128">
        <v>21</v>
      </c>
      <c r="B22" s="1678" t="str">
        <f si="0" t="shared"/>
        <v/>
      </c>
      <c r="C22" s="1682" t="s">
        <v>3634</v>
      </c>
      <c r="D22" s="1125" t="s">
        <v>5468</v>
      </c>
      <c r="E22" s="4130"/>
      <c r="F22" s="4130"/>
      <c r="G22" s="4130"/>
      <c r="H22" s="4130"/>
      <c r="I22" s="4130"/>
      <c r="J22" s="4130"/>
      <c r="K22" s="4130"/>
      <c r="L22" s="4130"/>
      <c r="M22" s="4130"/>
      <c r="N22" s="2845"/>
      <c r="O22" s="2845"/>
      <c r="P22" s="2845"/>
      <c r="Q22" s="2845"/>
      <c r="R22" s="2845"/>
      <c r="S22" s="2845"/>
      <c r="T22" s="2845"/>
      <c r="U22" s="2845"/>
      <c r="V22" s="2845"/>
      <c r="W22" s="2845"/>
      <c r="X22" s="2845"/>
      <c r="Y22" s="2845"/>
      <c r="Z22" s="2845"/>
      <c r="AA22" s="2845"/>
      <c r="AB22" s="2845"/>
      <c r="AC22" s="2845"/>
      <c r="AD22" s="2507"/>
      <c r="AE22" s="2507"/>
      <c r="AF22" s="2507"/>
      <c r="AG22" s="2507"/>
      <c r="AH22" s="2507"/>
      <c r="AI22" s="2845"/>
      <c r="AJ22" s="3096">
        <f>AJ20+AJ21</f>
        <v>46471</v>
      </c>
      <c r="AK22" s="2845"/>
      <c r="AL22" s="2845"/>
      <c r="AM22" s="2845"/>
      <c r="AN22" s="2845"/>
      <c r="AO22" s="2845"/>
      <c r="AP22" s="2845"/>
      <c r="AQ22" s="2845"/>
      <c r="AR22" s="2845"/>
      <c r="AS22" s="2845"/>
      <c r="AT22" s="2845"/>
      <c r="AU22" s="2845"/>
      <c r="AV22" s="2845"/>
      <c r="AW22" s="2845"/>
      <c r="AX22" s="2845"/>
      <c r="AY22" s="2845"/>
      <c r="AZ22" s="2845"/>
      <c r="BA22" s="2845"/>
      <c r="BB22" s="2845"/>
      <c r="BC22" s="2848">
        <f>BC20+BC21</f>
        <v>942</v>
      </c>
      <c r="BD22" s="2848">
        <f>BD20+BD21</f>
        <v>942</v>
      </c>
      <c r="BE22" s="2845"/>
      <c r="BF22" s="2845"/>
      <c r="BG22" s="2845"/>
      <c r="BH22" s="2845"/>
      <c r="BI22" s="2845"/>
      <c r="BJ22" s="2845"/>
      <c r="BK22" s="2845"/>
      <c r="BL22" s="2845"/>
      <c r="BM22" s="2845"/>
      <c r="BN22" s="2845"/>
      <c r="BO22" s="2845"/>
      <c r="BP22" s="2845"/>
      <c r="BQ22" s="2845"/>
      <c r="BR22" s="2845"/>
      <c r="BS22" s="2845"/>
      <c r="BT22" s="2845"/>
      <c r="BU22" s="2845"/>
      <c r="BV22" s="2845"/>
      <c r="BW22" s="2845"/>
      <c r="BX22" s="2845"/>
      <c r="BY22" s="2845"/>
      <c r="BZ22" s="2845"/>
      <c r="CA22" s="2845"/>
      <c r="CB22" s="2845"/>
      <c r="CC22" s="2845"/>
      <c r="CD22" s="2845"/>
      <c r="CE22" s="2845"/>
      <c r="CF22" s="2845"/>
      <c r="CG22" s="2845"/>
      <c r="CH22" s="2845"/>
      <c r="CI22" s="2848">
        <f>CI20+CI21</f>
        <v>7945</v>
      </c>
      <c r="CJ22" s="2845"/>
      <c r="CK22" s="2845"/>
      <c r="CL22" s="2845"/>
      <c r="CM22" s="2845"/>
      <c r="CN22" s="2845"/>
      <c r="CO22" s="2845"/>
      <c r="CP22" s="2845"/>
      <c r="CQ22" s="2845"/>
      <c r="CR22" s="2845"/>
      <c r="CS22" s="2845"/>
      <c r="CT22" s="2845"/>
      <c r="CU22" s="2845"/>
      <c r="CV22" s="2845"/>
      <c r="CW22" s="2848">
        <f>CW20+CW21</f>
        <v>74507</v>
      </c>
      <c r="CX22" s="2848">
        <f>CX20+CX21</f>
        <v>0</v>
      </c>
      <c r="CY22" s="2845"/>
      <c r="CZ22" s="2845"/>
      <c r="DA22" s="2845"/>
      <c r="DB22" s="2845"/>
      <c r="DC22" s="2845"/>
      <c r="DD22" s="2848">
        <f>DD20+DD21</f>
        <v>7945</v>
      </c>
      <c r="DE22" s="2845"/>
      <c r="DF22" s="2845"/>
      <c r="DG22" s="2848">
        <f>DG20+DG21</f>
        <v>20220</v>
      </c>
      <c r="DH22" s="2845"/>
      <c r="DI22" s="2845"/>
      <c r="DJ22" s="2845"/>
      <c r="DK22" s="2845"/>
      <c r="DL22" s="2845"/>
      <c r="DM22" s="2848">
        <f>DM20+DM21</f>
        <v>7945</v>
      </c>
      <c r="DN22" s="2845"/>
      <c r="DO22" s="2845"/>
      <c r="DP22" s="2845"/>
      <c r="DQ22" s="2845"/>
      <c r="DR22" s="2845"/>
      <c r="DS22" s="2845"/>
      <c r="DT22" s="2845"/>
      <c r="DU22" s="2848">
        <f>DU20+DU21</f>
        <v>7945</v>
      </c>
      <c r="DV22" s="2845"/>
      <c r="DW22" s="2845"/>
      <c r="DX22" s="2845"/>
      <c r="DY22" s="2845"/>
      <c r="DZ22" s="2845"/>
      <c r="EA22" s="2845"/>
      <c r="EB22" s="2845"/>
      <c r="EC22" s="2845"/>
      <c r="ED22" s="2845"/>
      <c r="EE22" s="2845"/>
      <c r="EF22" s="2845"/>
      <c r="EG22" s="2845"/>
      <c r="EH22" s="2845"/>
      <c r="EI22" s="2845"/>
      <c r="EJ22" s="2845"/>
      <c r="EK22" s="2845"/>
      <c r="EL22" s="2845"/>
      <c r="EM22" s="2845"/>
      <c r="EN22" s="2845"/>
      <c r="EO22" s="2845"/>
      <c r="EP22" s="2845"/>
      <c r="EQ22" s="2845"/>
      <c r="ER22" s="2845"/>
      <c r="ES22" s="2845"/>
      <c r="ET22" s="2845"/>
      <c r="EU22" s="2845"/>
      <c r="EV22" s="2845"/>
      <c r="EW22" s="2845"/>
      <c r="EX22" s="2845"/>
      <c r="EY22" s="2845"/>
      <c r="EZ22" s="2845"/>
      <c r="FA22" s="2845"/>
      <c r="FB22" s="2845"/>
      <c r="FC22" s="2845"/>
      <c r="FD22" s="2848">
        <f>FD20+FD21</f>
        <v>942</v>
      </c>
      <c r="FE22" s="2845"/>
      <c r="FF22" s="2848">
        <f>FF20+FF21</f>
        <v>942</v>
      </c>
      <c r="FG22" s="2845"/>
      <c r="FH22" s="2845"/>
      <c r="FI22" s="2848">
        <f>FI20+FI21</f>
        <v>942</v>
      </c>
      <c r="FJ22" s="4245">
        <f>FJ20+FJ21</f>
        <v>13804</v>
      </c>
      <c r="FK22" s="2845"/>
      <c r="FL22" s="2845"/>
      <c r="FM22" s="2845"/>
      <c r="FN22" s="2845"/>
      <c r="FO22" s="2845"/>
      <c r="FP22" s="2845"/>
      <c r="FQ22" s="2845"/>
      <c r="FR22" s="2845"/>
      <c r="FS22" s="2845"/>
      <c r="FT22" s="2845"/>
      <c r="FU22" s="2845"/>
      <c r="FV22" s="2845"/>
      <c r="FW22" s="2845"/>
      <c r="FX22" s="2845"/>
      <c r="FY22" s="2845"/>
      <c r="FZ22" s="2845"/>
      <c r="GA22" s="2845"/>
      <c r="GB22" s="2845"/>
      <c r="GC22" s="2845"/>
      <c r="GD22" s="2845"/>
      <c r="GE22" s="2845"/>
      <c r="GF22" s="2845"/>
      <c r="GG22" s="2845"/>
      <c r="GH22" s="2845"/>
      <c r="GI22" s="2845"/>
      <c r="GJ22" s="2845"/>
      <c r="GK22" s="2845"/>
      <c r="GL22" s="2848">
        <f>GL20+GL21</f>
        <v>74507</v>
      </c>
      <c r="GM22" s="2848">
        <f>GM20+GM21</f>
        <v>74507</v>
      </c>
      <c r="GN22" s="2845"/>
      <c r="GO22" s="2845"/>
      <c r="GP22" s="2845"/>
      <c r="GQ22" s="2845"/>
      <c r="GR22" s="2845"/>
      <c r="GS22" s="2845"/>
      <c r="GT22" s="2845"/>
      <c r="GU22" s="2845"/>
      <c r="GV22" s="2845"/>
      <c r="GW22" s="2845"/>
      <c r="GX22" s="2845"/>
      <c r="GY22" s="2845"/>
      <c r="GZ22" s="2848">
        <f>GZ20+GZ21</f>
        <v>0</v>
      </c>
      <c r="HA22" s="2848">
        <f>HA20+HA21</f>
        <v>0</v>
      </c>
      <c r="HB22" s="2848">
        <f>HB20+HB21</f>
        <v>0</v>
      </c>
      <c r="HC22" s="2845"/>
      <c r="HD22" s="2845"/>
      <c r="HE22" s="2845"/>
      <c r="HF22" s="2845"/>
      <c r="HG22" s="2845"/>
      <c r="HH22" s="2845"/>
      <c r="HI22" s="2845"/>
      <c r="HJ22" s="2845"/>
      <c r="HK22" s="2845"/>
      <c r="HL22" s="2845"/>
      <c r="HM22" s="2845"/>
      <c r="HN22" s="2845"/>
      <c r="HO22" s="2845"/>
      <c r="HP22" s="2845"/>
      <c r="HQ22" s="2845"/>
      <c r="HR22" s="2845"/>
      <c r="HS22" s="2845"/>
      <c r="HT22" s="2845"/>
      <c r="HU22" s="2845"/>
      <c r="HV22" s="2845">
        <f>HV20+HV21</f>
        <v>0</v>
      </c>
      <c r="HW22" s="2845"/>
      <c r="HX22" s="2845"/>
      <c r="HY22" s="2845"/>
      <c r="HZ22" s="2845"/>
      <c r="IA22" s="2845"/>
      <c r="IB22" s="2845"/>
      <c r="IC22" s="2845"/>
      <c r="ID22" s="2845"/>
      <c r="IE22" s="2845"/>
      <c r="IF22" s="2845"/>
      <c r="IG22" s="2845"/>
      <c r="IH22" s="2845"/>
      <c r="II22" s="2845"/>
      <c r="IJ22" s="2845"/>
      <c r="IK22" s="2845"/>
      <c r="IL22" s="2845"/>
      <c r="IM22" s="2845"/>
      <c r="IN22" s="2845"/>
      <c r="IO22" s="2845"/>
      <c r="IP22" s="2845"/>
      <c r="IQ22" s="2845"/>
      <c r="IR22" s="2845"/>
      <c r="IS22" s="2845"/>
      <c r="IT22" s="2845"/>
      <c r="IU22" s="2845"/>
      <c r="IV22" s="2845"/>
      <c r="IW22" s="2845"/>
      <c r="IX22" s="2845"/>
      <c r="IY22" s="4035"/>
      <c r="IZ22" s="2845"/>
      <c r="JA22" s="2845"/>
      <c r="JB22" s="4307"/>
      <c r="JC22" s="2845"/>
      <c r="JD22" s="2845"/>
      <c r="JE22" s="2845"/>
      <c r="JF22" s="2845"/>
      <c r="JG22" s="4131"/>
      <c r="JH22" s="1233"/>
      <c r="JI22" s="1393" t="s">
        <v>5589</v>
      </c>
      <c r="JJ22" s="1660" t="s">
        <v>6124</v>
      </c>
    </row>
    <row ht="78.75" r="23" spans="1:270" x14ac:dyDescent="0.2">
      <c r="A23" s="1128">
        <v>22</v>
      </c>
      <c r="B23" s="1678" t="str">
        <f si="0" t="shared"/>
        <v/>
      </c>
      <c r="C23" s="1681" t="s">
        <v>3635</v>
      </c>
      <c r="D23" s="1125" t="s">
        <v>5611</v>
      </c>
      <c r="E23" s="4130"/>
      <c r="F23" s="4130"/>
      <c r="G23" s="4130"/>
      <c r="H23" s="4130"/>
      <c r="I23" s="4130"/>
      <c r="J23" s="4130"/>
      <c r="K23" s="4130"/>
      <c r="L23" s="4130"/>
      <c r="M23" s="4130"/>
      <c r="N23" s="2845"/>
      <c r="O23" s="2845"/>
      <c r="P23" s="2845"/>
      <c r="Q23" s="2845"/>
      <c r="R23" s="2845"/>
      <c r="S23" s="2845"/>
      <c r="T23" s="2845"/>
      <c r="U23" s="2845"/>
      <c r="V23" s="2845"/>
      <c r="W23" s="2845"/>
      <c r="X23" s="2845"/>
      <c r="Y23" s="2845"/>
      <c r="Z23" s="2845"/>
      <c r="AA23" s="2845"/>
      <c r="AB23" s="2845"/>
      <c r="AC23" s="2845"/>
      <c r="AD23" s="2507"/>
      <c r="AE23" s="2507"/>
      <c r="AF23" s="2507"/>
      <c r="AG23" s="2507"/>
      <c r="AH23" s="2507"/>
      <c r="AI23" s="2845"/>
      <c r="AJ23" s="2868">
        <f>MAX(0,(AJ14+AJ15)-(AJ10+AJ11+AJ12))</f>
        <v>0</v>
      </c>
      <c r="AK23" s="2845"/>
      <c r="AL23" s="2845"/>
      <c r="AM23" s="2845"/>
      <c r="AN23" s="2845"/>
      <c r="AO23" s="2845"/>
      <c r="AP23" s="2845"/>
      <c r="AQ23" s="2845"/>
      <c r="AR23" s="2845"/>
      <c r="AS23" s="2845"/>
      <c r="AT23" s="2845"/>
      <c r="AU23" s="2845"/>
      <c r="AV23" s="2845"/>
      <c r="AW23" s="2845"/>
      <c r="AX23" s="2845"/>
      <c r="AY23" s="2845"/>
      <c r="AZ23" s="2845"/>
      <c r="BA23" s="2845"/>
      <c r="BB23" s="2845"/>
      <c r="BC23" s="2855">
        <f>MAX(0,(BC14+BC15)-(BC10+BC11+BC12))</f>
        <v>0</v>
      </c>
      <c r="BD23" s="2855">
        <f>MAX(0,(BD14+BD15)-(BD10+BD11+BD12))</f>
        <v>0</v>
      </c>
      <c r="BE23" s="2845"/>
      <c r="BF23" s="2845"/>
      <c r="BG23" s="2845"/>
      <c r="BH23" s="2845"/>
      <c r="BI23" s="2845"/>
      <c r="BJ23" s="2845"/>
      <c r="BK23" s="2845"/>
      <c r="BL23" s="2845"/>
      <c r="BM23" s="2845"/>
      <c r="BN23" s="2845"/>
      <c r="BO23" s="2845"/>
      <c r="BP23" s="2845"/>
      <c r="BQ23" s="2845"/>
      <c r="BR23" s="2845"/>
      <c r="BS23" s="2845"/>
      <c r="BT23" s="2845"/>
      <c r="BU23" s="2845"/>
      <c r="BV23" s="2845"/>
      <c r="BW23" s="2845"/>
      <c r="BX23" s="2845"/>
      <c r="BY23" s="2845"/>
      <c r="BZ23" s="2845"/>
      <c r="CA23" s="2845"/>
      <c r="CB23" s="2845"/>
      <c r="CC23" s="2845"/>
      <c r="CD23" s="2845"/>
      <c r="CE23" s="2845"/>
      <c r="CF23" s="2845"/>
      <c r="CG23" s="2845"/>
      <c r="CH23" s="2845"/>
      <c r="CI23" s="2855">
        <f>MAX(0,(CI14+CI15)-(CI10+CI11+CI12))</f>
        <v>0</v>
      </c>
      <c r="CJ23" s="2845"/>
      <c r="CK23" s="2845"/>
      <c r="CL23" s="2845"/>
      <c r="CM23" s="2845"/>
      <c r="CN23" s="2845"/>
      <c r="CO23" s="2845"/>
      <c r="CP23" s="2845"/>
      <c r="CQ23" s="2845"/>
      <c r="CR23" s="2845"/>
      <c r="CS23" s="2845"/>
      <c r="CT23" s="2845"/>
      <c r="CU23" s="2845"/>
      <c r="CV23" s="2845"/>
      <c r="CW23" s="2855">
        <f>MAX(0,(CW14+CW15)-(CW10+CW11+CW12))</f>
        <v>0</v>
      </c>
      <c r="CX23" s="2855">
        <f>MAX(0,(CX14+CX15)-(CX10+CX11+CX12))</f>
        <v>5500</v>
      </c>
      <c r="CY23" s="2845"/>
      <c r="CZ23" s="2845"/>
      <c r="DA23" s="2845"/>
      <c r="DB23" s="2845"/>
      <c r="DC23" s="2845"/>
      <c r="DD23" s="2855">
        <f>MAX(0,(DD14+DD15)-(DD10+DD11+DD12))</f>
        <v>0</v>
      </c>
      <c r="DE23" s="2845"/>
      <c r="DF23" s="2845"/>
      <c r="DG23" s="2855">
        <f>MAX(0,(DG14+DG15)-(DG10+DG11+DG12))</f>
        <v>0</v>
      </c>
      <c r="DH23" s="2845"/>
      <c r="DI23" s="2845"/>
      <c r="DJ23" s="2845"/>
      <c r="DK23" s="2845"/>
      <c r="DL23" s="2845"/>
      <c r="DM23" s="2855">
        <f>MAX(0,(DM14+DM15)-(DM10+DM11+DM12))</f>
        <v>0</v>
      </c>
      <c r="DN23" s="2845"/>
      <c r="DO23" s="2845"/>
      <c r="DP23" s="2845"/>
      <c r="DQ23" s="2845"/>
      <c r="DR23" s="2845"/>
      <c r="DS23" s="2845"/>
      <c r="DT23" s="2845"/>
      <c r="DU23" s="2855">
        <f>MAX(0,(DU14+DU15)-(DU10+DU11+DU12))</f>
        <v>0</v>
      </c>
      <c r="DV23" s="2845"/>
      <c r="DW23" s="2845"/>
      <c r="DX23" s="2845"/>
      <c r="DY23" s="2845"/>
      <c r="DZ23" s="2845"/>
      <c r="EA23" s="2845"/>
      <c r="EB23" s="2845"/>
      <c r="EC23" s="2845"/>
      <c r="ED23" s="2845"/>
      <c r="EE23" s="2845"/>
      <c r="EF23" s="2845"/>
      <c r="EG23" s="2845"/>
      <c r="EH23" s="2845"/>
      <c r="EI23" s="2845"/>
      <c r="EJ23" s="2845"/>
      <c r="EK23" s="2845"/>
      <c r="EL23" s="2845"/>
      <c r="EM23" s="2845"/>
      <c r="EN23" s="2845"/>
      <c r="EO23" s="2845"/>
      <c r="EP23" s="2845"/>
      <c r="EQ23" s="2845"/>
      <c r="ER23" s="2845"/>
      <c r="ES23" s="2845"/>
      <c r="ET23" s="2845"/>
      <c r="EU23" s="2845"/>
      <c r="EV23" s="2845"/>
      <c r="EW23" s="2845"/>
      <c r="EX23" s="2845"/>
      <c r="EY23" s="2845"/>
      <c r="EZ23" s="2845"/>
      <c r="FA23" s="2845"/>
      <c r="FB23" s="2845"/>
      <c r="FC23" s="2845"/>
      <c r="FD23" s="2855">
        <f>MAX(0,(FD14+FD15)-(FD10+FD11+FD12))</f>
        <v>0</v>
      </c>
      <c r="FE23" s="2845"/>
      <c r="FF23" s="2855">
        <f>MAX(0,(FF14+FF15)-(FF10+FF11+FF12))</f>
        <v>0</v>
      </c>
      <c r="FG23" s="2845"/>
      <c r="FH23" s="2845"/>
      <c r="FI23" s="2855">
        <f>MAX(0,(FI14+FI15)-(FI10+FI11+FI12))</f>
        <v>0</v>
      </c>
      <c r="FJ23" s="2855">
        <f>MAX(0,(FJ14+FJ15)-(FJ10+FJ11+FJ12))</f>
        <v>0</v>
      </c>
      <c r="FK23" s="2845"/>
      <c r="FL23" s="2845"/>
      <c r="FM23" s="2845"/>
      <c r="FN23" s="2845"/>
      <c r="FO23" s="2845"/>
      <c r="FP23" s="2845"/>
      <c r="FQ23" s="2845"/>
      <c r="FR23" s="2845"/>
      <c r="FS23" s="2845"/>
      <c r="FT23" s="2845"/>
      <c r="FU23" s="2845"/>
      <c r="FV23" s="2845"/>
      <c r="FW23" s="2845"/>
      <c r="FX23" s="2845"/>
      <c r="FY23" s="2845"/>
      <c r="FZ23" s="2845"/>
      <c r="GA23" s="2845"/>
      <c r="GB23" s="2845"/>
      <c r="GC23" s="2845"/>
      <c r="GD23" s="2845"/>
      <c r="GE23" s="2845"/>
      <c r="GF23" s="2845"/>
      <c r="GG23" s="2845"/>
      <c r="GH23" s="2845"/>
      <c r="GI23" s="2845"/>
      <c r="GJ23" s="2845"/>
      <c r="GK23" s="2845"/>
      <c r="GL23" s="2855">
        <f>MAX(0,(GL14+GL15)-(GL10+GL11+GL12))</f>
        <v>0</v>
      </c>
      <c r="GM23" s="2855">
        <f>MAX(0,(GM14+GM15)-(GM10+GM11+GM12))</f>
        <v>0</v>
      </c>
      <c r="GN23" s="2845"/>
      <c r="GO23" s="2845"/>
      <c r="GP23" s="2845"/>
      <c r="GQ23" s="2845"/>
      <c r="GR23" s="2845"/>
      <c r="GS23" s="2845"/>
      <c r="GT23" s="2845"/>
      <c r="GU23" s="2845"/>
      <c r="GV23" s="2845"/>
      <c r="GW23" s="2845"/>
      <c r="GX23" s="2845"/>
      <c r="GY23" s="2845"/>
      <c r="GZ23" s="2855">
        <f>MAX(0,(GZ14+GZ15)-(GZ10+GZ11+GZ12))</f>
        <v>62547</v>
      </c>
      <c r="HA23" s="2855">
        <f>MAX(0,(HA14+HA15)-(HA10+HA11+HA12))</f>
        <v>62547</v>
      </c>
      <c r="HB23" s="2855">
        <f>MAX(0,(HB14+HB15)-(HB10+HB11+HB12))</f>
        <v>71159</v>
      </c>
      <c r="HC23" s="2845"/>
      <c r="HD23" s="2845"/>
      <c r="HE23" s="2845"/>
      <c r="HF23" s="2845"/>
      <c r="HG23" s="2845"/>
      <c r="HH23" s="2845"/>
      <c r="HI23" s="2845"/>
      <c r="HJ23" s="2845"/>
      <c r="HK23" s="2845"/>
      <c r="HL23" s="2845"/>
      <c r="HM23" s="2845"/>
      <c r="HN23" s="2845"/>
      <c r="HO23" s="2845"/>
      <c r="HP23" s="2845"/>
      <c r="HQ23" s="2845"/>
      <c r="HR23" s="2845"/>
      <c r="HS23" s="2845"/>
      <c r="HT23" s="2845"/>
      <c r="HU23" s="2845"/>
      <c r="HV23" s="2845">
        <f>MAX(0,(HV14+HV15)-(HV10+HV11+HV12))</f>
        <v>62547</v>
      </c>
      <c r="HW23" s="2845"/>
      <c r="HX23" s="2845"/>
      <c r="HY23" s="2845"/>
      <c r="HZ23" s="2845"/>
      <c r="IA23" s="2845"/>
      <c r="IB23" s="2845"/>
      <c r="IC23" s="2845"/>
      <c r="ID23" s="2845"/>
      <c r="IE23" s="2845"/>
      <c r="IF23" s="2845"/>
      <c r="IG23" s="2845"/>
      <c r="IH23" s="2845"/>
      <c r="II23" s="2845"/>
      <c r="IJ23" s="2845"/>
      <c r="IK23" s="2845"/>
      <c r="IL23" s="2845"/>
      <c r="IM23" s="2845"/>
      <c r="IN23" s="2845"/>
      <c r="IO23" s="2845"/>
      <c r="IP23" s="2845"/>
      <c r="IQ23" s="2845"/>
      <c r="IR23" s="2845"/>
      <c r="IS23" s="2845"/>
      <c r="IT23" s="2845"/>
      <c r="IU23" s="2845"/>
      <c r="IV23" s="2845"/>
      <c r="IW23" s="2845"/>
      <c r="IX23" s="2845"/>
      <c r="IY23" s="4035"/>
      <c r="IZ23" s="2845"/>
      <c r="JA23" s="2845"/>
      <c r="JB23" s="4308">
        <v>60233</v>
      </c>
      <c r="JC23" s="2845"/>
      <c r="JD23" s="2845"/>
      <c r="JE23" s="2845"/>
      <c r="JF23" s="2845"/>
      <c r="JG23" s="4131"/>
      <c r="JH23" s="1233"/>
      <c r="JI23" s="1393" t="s">
        <v>5590</v>
      </c>
      <c r="JJ23" s="1660" t="s">
        <v>6124</v>
      </c>
    </row>
    <row ht="33.75" r="24" spans="1:270" x14ac:dyDescent="0.2">
      <c r="A24" s="1128">
        <v>23</v>
      </c>
      <c r="B24" s="1678" t="str">
        <f si="0" t="shared"/>
        <v/>
      </c>
      <c r="C24" s="1682" t="s">
        <v>3710</v>
      </c>
      <c r="D24" s="1125" t="s">
        <v>5612</v>
      </c>
      <c r="E24" s="4130"/>
      <c r="F24" s="4130"/>
      <c r="G24" s="4130"/>
      <c r="H24" s="4130"/>
      <c r="I24" s="4130"/>
      <c r="J24" s="4130"/>
      <c r="K24" s="4130"/>
      <c r="L24" s="4130"/>
      <c r="M24" s="4130"/>
      <c r="N24" s="2845"/>
      <c r="O24" s="2845"/>
      <c r="P24" s="2845"/>
      <c r="Q24" s="2845"/>
      <c r="R24" s="2845"/>
      <c r="S24" s="2845"/>
      <c r="T24" s="2845"/>
      <c r="U24" s="2845"/>
      <c r="V24" s="2845"/>
      <c r="W24" s="2845"/>
      <c r="X24" s="2845"/>
      <c r="Y24" s="2845"/>
      <c r="Z24" s="2845"/>
      <c r="AA24" s="2845"/>
      <c r="AB24" s="2845"/>
      <c r="AC24" s="2845"/>
      <c r="AD24" s="2507"/>
      <c r="AE24" s="2507"/>
      <c r="AF24" s="2507"/>
      <c r="AG24" s="2507"/>
      <c r="AH24" s="2507"/>
      <c r="AI24" s="2845"/>
      <c r="AJ24" s="2856"/>
      <c r="AK24" s="2845"/>
      <c r="AL24" s="2845"/>
      <c r="AM24" s="2845"/>
      <c r="AN24" s="2845"/>
      <c r="AO24" s="2845"/>
      <c r="AP24" s="2845"/>
      <c r="AQ24" s="2845"/>
      <c r="AR24" s="2845"/>
      <c r="AS24" s="2845"/>
      <c r="AT24" s="2845"/>
      <c r="AU24" s="2845"/>
      <c r="AV24" s="2845"/>
      <c r="AW24" s="2845"/>
      <c r="AX24" s="2845"/>
      <c r="AY24" s="2845"/>
      <c r="AZ24" s="2845"/>
      <c r="BA24" s="2845"/>
      <c r="BB24" s="2845"/>
      <c r="BC24" s="2847"/>
      <c r="BD24" s="2847"/>
      <c r="BE24" s="2845"/>
      <c r="BF24" s="2845"/>
      <c r="BG24" s="2845"/>
      <c r="BH24" s="2845"/>
      <c r="BI24" s="2845"/>
      <c r="BJ24" s="2845"/>
      <c r="BK24" s="2845"/>
      <c r="BL24" s="2845"/>
      <c r="BM24" s="2845"/>
      <c r="BN24" s="2845"/>
      <c r="BO24" s="2845"/>
      <c r="BP24" s="2845"/>
      <c r="BQ24" s="2845"/>
      <c r="BR24" s="2845"/>
      <c r="BS24" s="2845"/>
      <c r="BT24" s="2845"/>
      <c r="BU24" s="2845"/>
      <c r="BV24" s="2845"/>
      <c r="BW24" s="2845"/>
      <c r="BX24" s="2845"/>
      <c r="BY24" s="2845"/>
      <c r="BZ24" s="2845"/>
      <c r="CA24" s="2845"/>
      <c r="CB24" s="2845"/>
      <c r="CC24" s="2845"/>
      <c r="CD24" s="2845"/>
      <c r="CE24" s="2845"/>
      <c r="CF24" s="2845"/>
      <c r="CG24" s="2845"/>
      <c r="CH24" s="2845"/>
      <c r="CI24" s="2847"/>
      <c r="CJ24" s="2845"/>
      <c r="CK24" s="2845"/>
      <c r="CL24" s="2845"/>
      <c r="CM24" s="2845"/>
      <c r="CN24" s="2845"/>
      <c r="CO24" s="2845"/>
      <c r="CP24" s="2845"/>
      <c r="CQ24" s="2845"/>
      <c r="CR24" s="2845"/>
      <c r="CS24" s="2845"/>
      <c r="CT24" s="2845"/>
      <c r="CU24" s="2845"/>
      <c r="CV24" s="2845"/>
      <c r="CW24" s="2847"/>
      <c r="CX24" s="2847">
        <v>5500</v>
      </c>
      <c r="CY24" s="2845"/>
      <c r="CZ24" s="2845"/>
      <c r="DA24" s="2845"/>
      <c r="DB24" s="2845"/>
      <c r="DC24" s="2845"/>
      <c r="DD24" s="2847"/>
      <c r="DE24" s="2845"/>
      <c r="DF24" s="2845"/>
      <c r="DG24" s="2847"/>
      <c r="DH24" s="2845"/>
      <c r="DI24" s="2845"/>
      <c r="DJ24" s="2845"/>
      <c r="DK24" s="2845"/>
      <c r="DL24" s="2845"/>
      <c r="DM24" s="2847"/>
      <c r="DN24" s="2845"/>
      <c r="DO24" s="2845"/>
      <c r="DP24" s="2845"/>
      <c r="DQ24" s="2845"/>
      <c r="DR24" s="2845"/>
      <c r="DS24" s="2845"/>
      <c r="DT24" s="2845"/>
      <c r="DU24" s="2847"/>
      <c r="DV24" s="2845"/>
      <c r="DW24" s="2845"/>
      <c r="DX24" s="2845"/>
      <c r="DY24" s="2845"/>
      <c r="DZ24" s="2845"/>
      <c r="EA24" s="2845"/>
      <c r="EB24" s="2845"/>
      <c r="EC24" s="2845"/>
      <c r="ED24" s="2845"/>
      <c r="EE24" s="2845"/>
      <c r="EF24" s="2845"/>
      <c r="EG24" s="2845"/>
      <c r="EH24" s="2845"/>
      <c r="EI24" s="2845"/>
      <c r="EJ24" s="2845"/>
      <c r="EK24" s="2845"/>
      <c r="EL24" s="2845"/>
      <c r="EM24" s="2845"/>
      <c r="EN24" s="2845"/>
      <c r="EO24" s="2845"/>
      <c r="EP24" s="2845"/>
      <c r="EQ24" s="2845"/>
      <c r="ER24" s="2845"/>
      <c r="ES24" s="2845"/>
      <c r="ET24" s="2845"/>
      <c r="EU24" s="2845"/>
      <c r="EV24" s="2845"/>
      <c r="EW24" s="2845"/>
      <c r="EX24" s="2845"/>
      <c r="EY24" s="2845"/>
      <c r="EZ24" s="2845"/>
      <c r="FA24" s="2845"/>
      <c r="FB24" s="2845"/>
      <c r="FC24" s="2845"/>
      <c r="FD24" s="2847"/>
      <c r="FE24" s="2845"/>
      <c r="FF24" s="2847"/>
      <c r="FG24" s="2845"/>
      <c r="FH24" s="2845"/>
      <c r="FI24" s="2847"/>
      <c r="FJ24" s="2847"/>
      <c r="FK24" s="2845"/>
      <c r="FL24" s="2845"/>
      <c r="FM24" s="2845"/>
      <c r="FN24" s="2845"/>
      <c r="FO24" s="2845"/>
      <c r="FP24" s="2845"/>
      <c r="FQ24" s="2845"/>
      <c r="FR24" s="2845"/>
      <c r="FS24" s="2845"/>
      <c r="FT24" s="2845"/>
      <c r="FU24" s="2845"/>
      <c r="FV24" s="2845"/>
      <c r="FW24" s="2845"/>
      <c r="FX24" s="2845"/>
      <c r="FY24" s="2845"/>
      <c r="FZ24" s="2845"/>
      <c r="GA24" s="2845"/>
      <c r="GB24" s="2845"/>
      <c r="GC24" s="2845"/>
      <c r="GD24" s="2845"/>
      <c r="GE24" s="2845"/>
      <c r="GF24" s="2845"/>
      <c r="GG24" s="2845"/>
      <c r="GH24" s="2845"/>
      <c r="GI24" s="2845"/>
      <c r="GJ24" s="2845"/>
      <c r="GK24" s="2845"/>
      <c r="GL24" s="2847"/>
      <c r="GM24" s="2847"/>
      <c r="GN24" s="2845"/>
      <c r="GO24" s="2845"/>
      <c r="GP24" s="2845"/>
      <c r="GQ24" s="2845"/>
      <c r="GR24" s="2845"/>
      <c r="GS24" s="2845"/>
      <c r="GT24" s="2845"/>
      <c r="GU24" s="2845"/>
      <c r="GV24" s="2845"/>
      <c r="GW24" s="2845"/>
      <c r="GX24" s="2845"/>
      <c r="GY24" s="2845"/>
      <c r="GZ24" s="2847">
        <v>62547</v>
      </c>
      <c r="HA24" s="2847">
        <v>62547</v>
      </c>
      <c r="HB24" s="2847">
        <v>71159</v>
      </c>
      <c r="HC24" s="2845"/>
      <c r="HD24" s="2845"/>
      <c r="HE24" s="2845"/>
      <c r="HF24" s="2845"/>
      <c r="HG24" s="2845"/>
      <c r="HH24" s="2845"/>
      <c r="HI24" s="2845"/>
      <c r="HJ24" s="2845"/>
      <c r="HK24" s="2845"/>
      <c r="HL24" s="2845"/>
      <c r="HM24" s="2845"/>
      <c r="HN24" s="2845"/>
      <c r="HO24" s="2845"/>
      <c r="HP24" s="2845"/>
      <c r="HQ24" s="2845"/>
      <c r="HR24" s="2845"/>
      <c r="HS24" s="2845"/>
      <c r="HT24" s="2845"/>
      <c r="HU24" s="2845"/>
      <c r="HV24" s="2845">
        <v>62547</v>
      </c>
      <c r="HW24" s="2845"/>
      <c r="HX24" s="2845"/>
      <c r="HY24" s="2845"/>
      <c r="HZ24" s="2845"/>
      <c r="IA24" s="2845"/>
      <c r="IB24" s="2845"/>
      <c r="IC24" s="2845"/>
      <c r="ID24" s="2845"/>
      <c r="IE24" s="2845"/>
      <c r="IF24" s="2845"/>
      <c r="IG24" s="2845"/>
      <c r="IH24" s="2845"/>
      <c r="II24" s="2845"/>
      <c r="IJ24" s="2845"/>
      <c r="IK24" s="2845"/>
      <c r="IL24" s="2845"/>
      <c r="IM24" s="2845"/>
      <c r="IN24" s="2845"/>
      <c r="IO24" s="2845"/>
      <c r="IP24" s="2845"/>
      <c r="IQ24" s="2845"/>
      <c r="IR24" s="2845"/>
      <c r="IS24" s="2845"/>
      <c r="IT24" s="2845"/>
      <c r="IU24" s="2845"/>
      <c r="IV24" s="2845"/>
      <c r="IW24" s="2845"/>
      <c r="IX24" s="2845"/>
      <c r="IY24" s="4035"/>
      <c r="IZ24" s="2845"/>
      <c r="JA24" s="2845"/>
      <c r="JB24" s="4307"/>
      <c r="JC24" s="2845"/>
      <c r="JD24" s="2845"/>
      <c r="JE24" s="2845"/>
      <c r="JF24" s="2845"/>
      <c r="JG24" s="4131"/>
      <c r="JH24" s="1233"/>
      <c r="JI24" s="1393" t="s">
        <v>5591</v>
      </c>
      <c r="JJ24" s="1660" t="s">
        <v>6108</v>
      </c>
    </row>
    <row ht="22.5" r="25" spans="1:270" x14ac:dyDescent="0.2">
      <c r="A25" s="1128">
        <v>24</v>
      </c>
      <c r="B25" s="1678" t="str">
        <f si="0" t="shared"/>
        <v/>
      </c>
      <c r="C25" s="1681" t="s">
        <v>3711</v>
      </c>
      <c r="D25" s="1125" t="s">
        <v>5471</v>
      </c>
      <c r="E25" s="4130"/>
      <c r="F25" s="4130"/>
      <c r="G25" s="4130"/>
      <c r="H25" s="4130"/>
      <c r="I25" s="4130"/>
      <c r="J25" s="4130"/>
      <c r="K25" s="4130"/>
      <c r="L25" s="4130"/>
      <c r="M25" s="4130"/>
      <c r="N25" s="2845"/>
      <c r="O25" s="2845"/>
      <c r="P25" s="2845"/>
      <c r="Q25" s="2845"/>
      <c r="R25" s="2845"/>
      <c r="S25" s="2845"/>
      <c r="T25" s="2845"/>
      <c r="U25" s="2845"/>
      <c r="V25" s="2845"/>
      <c r="W25" s="2845"/>
      <c r="X25" s="2845"/>
      <c r="Y25" s="2845"/>
      <c r="Z25" s="2845"/>
      <c r="AA25" s="2845"/>
      <c r="AB25" s="2845"/>
      <c r="AC25" s="2845"/>
      <c r="AD25" s="2507"/>
      <c r="AE25" s="2507"/>
      <c r="AF25" s="2507"/>
      <c r="AG25" s="2507"/>
      <c r="AH25" s="2507"/>
      <c r="AI25" s="2845"/>
      <c r="AJ25" s="2867"/>
      <c r="AK25" s="2845"/>
      <c r="AL25" s="2845"/>
      <c r="AM25" s="2845"/>
      <c r="AN25" s="2845"/>
      <c r="AO25" s="2845"/>
      <c r="AP25" s="2845"/>
      <c r="AQ25" s="2845"/>
      <c r="AR25" s="2845"/>
      <c r="AS25" s="2845"/>
      <c r="AT25" s="2845"/>
      <c r="AU25" s="2845"/>
      <c r="AV25" s="2845"/>
      <c r="AW25" s="2845"/>
      <c r="AX25" s="2845"/>
      <c r="AY25" s="2845"/>
      <c r="AZ25" s="2845"/>
      <c r="BA25" s="2845"/>
      <c r="BB25" s="2845"/>
      <c r="BC25" s="2854"/>
      <c r="BD25" s="2854"/>
      <c r="BE25" s="2845"/>
      <c r="BF25" s="2845"/>
      <c r="BG25" s="2845"/>
      <c r="BH25" s="2845"/>
      <c r="BI25" s="2845"/>
      <c r="BJ25" s="2845"/>
      <c r="BK25" s="2845"/>
      <c r="BL25" s="2845"/>
      <c r="BM25" s="2845"/>
      <c r="BN25" s="2845"/>
      <c r="BO25" s="2845"/>
      <c r="BP25" s="2845"/>
      <c r="BQ25" s="2845"/>
      <c r="BR25" s="2845"/>
      <c r="BS25" s="2845"/>
      <c r="BT25" s="2845"/>
      <c r="BU25" s="2845"/>
      <c r="BV25" s="2845"/>
      <c r="BW25" s="2845"/>
      <c r="BX25" s="2845"/>
      <c r="BY25" s="2845"/>
      <c r="BZ25" s="2845"/>
      <c r="CA25" s="2845"/>
      <c r="CB25" s="2845"/>
      <c r="CC25" s="2845"/>
      <c r="CD25" s="2845"/>
      <c r="CE25" s="2845"/>
      <c r="CF25" s="2845"/>
      <c r="CG25" s="2845"/>
      <c r="CH25" s="2845"/>
      <c r="CI25" s="2854"/>
      <c r="CJ25" s="2845"/>
      <c r="CK25" s="2845"/>
      <c r="CL25" s="2845"/>
      <c r="CM25" s="2845"/>
      <c r="CN25" s="2845"/>
      <c r="CO25" s="2845"/>
      <c r="CP25" s="2845"/>
      <c r="CQ25" s="2845"/>
      <c r="CR25" s="2845"/>
      <c r="CS25" s="2845"/>
      <c r="CT25" s="2845"/>
      <c r="CU25" s="2845"/>
      <c r="CV25" s="2845"/>
      <c r="CW25" s="2854"/>
      <c r="CX25" s="2854"/>
      <c r="CY25" s="2845"/>
      <c r="CZ25" s="2845"/>
      <c r="DA25" s="2845"/>
      <c r="DB25" s="2845"/>
      <c r="DC25" s="2845"/>
      <c r="DD25" s="2854"/>
      <c r="DE25" s="2845"/>
      <c r="DF25" s="2845"/>
      <c r="DG25" s="2854"/>
      <c r="DH25" s="2845"/>
      <c r="DI25" s="2845"/>
      <c r="DJ25" s="2845"/>
      <c r="DK25" s="2845"/>
      <c r="DL25" s="2845"/>
      <c r="DM25" s="2854"/>
      <c r="DN25" s="2845"/>
      <c r="DO25" s="2845"/>
      <c r="DP25" s="2845"/>
      <c r="DQ25" s="2845"/>
      <c r="DR25" s="2845"/>
      <c r="DS25" s="2845"/>
      <c r="DT25" s="2845"/>
      <c r="DU25" s="2854"/>
      <c r="DV25" s="2845"/>
      <c r="DW25" s="2845"/>
      <c r="DX25" s="2845"/>
      <c r="DY25" s="2845"/>
      <c r="DZ25" s="2845"/>
      <c r="EA25" s="2845"/>
      <c r="EB25" s="2845"/>
      <c r="EC25" s="2845"/>
      <c r="ED25" s="2845"/>
      <c r="EE25" s="2845"/>
      <c r="EF25" s="2845"/>
      <c r="EG25" s="2845"/>
      <c r="EH25" s="2845"/>
      <c r="EI25" s="2845"/>
      <c r="EJ25" s="2845"/>
      <c r="EK25" s="2845"/>
      <c r="EL25" s="2845"/>
      <c r="EM25" s="2845"/>
      <c r="EN25" s="2845"/>
      <c r="EO25" s="2845"/>
      <c r="EP25" s="2845"/>
      <c r="EQ25" s="2845"/>
      <c r="ER25" s="2845"/>
      <c r="ES25" s="2845"/>
      <c r="ET25" s="2845"/>
      <c r="EU25" s="2845"/>
      <c r="EV25" s="2845"/>
      <c r="EW25" s="2845"/>
      <c r="EX25" s="2845"/>
      <c r="EY25" s="2845"/>
      <c r="EZ25" s="2845"/>
      <c r="FA25" s="2845"/>
      <c r="FB25" s="2845"/>
      <c r="FC25" s="2845"/>
      <c r="FD25" s="2854"/>
      <c r="FE25" s="2845"/>
      <c r="FF25" s="2854"/>
      <c r="FG25" s="2845"/>
      <c r="FH25" s="2845"/>
      <c r="FI25" s="2854"/>
      <c r="FJ25" s="2854"/>
      <c r="FK25" s="2845"/>
      <c r="FL25" s="2845"/>
      <c r="FM25" s="2845"/>
      <c r="FN25" s="2845"/>
      <c r="FO25" s="2845"/>
      <c r="FP25" s="2845"/>
      <c r="FQ25" s="2845"/>
      <c r="FR25" s="2845"/>
      <c r="FS25" s="2845"/>
      <c r="FT25" s="2845"/>
      <c r="FU25" s="2845"/>
      <c r="FV25" s="2845"/>
      <c r="FW25" s="2845"/>
      <c r="FX25" s="2845"/>
      <c r="FY25" s="2845"/>
      <c r="FZ25" s="2845"/>
      <c r="GA25" s="2845"/>
      <c r="GB25" s="2845"/>
      <c r="GC25" s="2845"/>
      <c r="GD25" s="2845"/>
      <c r="GE25" s="2845"/>
      <c r="GF25" s="2845"/>
      <c r="GG25" s="2845"/>
      <c r="GH25" s="2845"/>
      <c r="GI25" s="2845"/>
      <c r="GJ25" s="2845"/>
      <c r="GK25" s="2845"/>
      <c r="GL25" s="2854"/>
      <c r="GM25" s="2854"/>
      <c r="GN25" s="2845"/>
      <c r="GO25" s="2845"/>
      <c r="GP25" s="2845"/>
      <c r="GQ25" s="2845"/>
      <c r="GR25" s="2845"/>
      <c r="GS25" s="2845"/>
      <c r="GT25" s="2845"/>
      <c r="GU25" s="2845"/>
      <c r="GV25" s="2845"/>
      <c r="GW25" s="2845"/>
      <c r="GX25" s="2845"/>
      <c r="GY25" s="2845"/>
      <c r="GZ25" s="2854"/>
      <c r="HA25" s="2854"/>
      <c r="HB25" s="2854"/>
      <c r="HC25" s="2845"/>
      <c r="HD25" s="2845"/>
      <c r="HE25" s="2845"/>
      <c r="HF25" s="2845"/>
      <c r="HG25" s="2845"/>
      <c r="HH25" s="2845"/>
      <c r="HI25" s="2845"/>
      <c r="HJ25" s="2845"/>
      <c r="HK25" s="2845"/>
      <c r="HL25" s="2845"/>
      <c r="HM25" s="2845"/>
      <c r="HN25" s="2845"/>
      <c r="HO25" s="2845"/>
      <c r="HP25" s="2845"/>
      <c r="HQ25" s="2845"/>
      <c r="HR25" s="2845"/>
      <c r="HS25" s="2845"/>
      <c r="HT25" s="2845"/>
      <c r="HU25" s="2845"/>
      <c r="HV25" s="2845"/>
      <c r="HW25" s="2845"/>
      <c r="HX25" s="2845"/>
      <c r="HY25" s="2845"/>
      <c r="HZ25" s="2845"/>
      <c r="IA25" s="2845"/>
      <c r="IB25" s="2845"/>
      <c r="IC25" s="2845"/>
      <c r="ID25" s="2845"/>
      <c r="IE25" s="2845"/>
      <c r="IF25" s="2845"/>
      <c r="IG25" s="2845"/>
      <c r="IH25" s="2845"/>
      <c r="II25" s="2845"/>
      <c r="IJ25" s="2845"/>
      <c r="IK25" s="2845"/>
      <c r="IL25" s="2845"/>
      <c r="IM25" s="2845"/>
      <c r="IN25" s="2845"/>
      <c r="IO25" s="2845"/>
      <c r="IP25" s="2845"/>
      <c r="IQ25" s="2845"/>
      <c r="IR25" s="2845"/>
      <c r="IS25" s="2845"/>
      <c r="IT25" s="2845"/>
      <c r="IU25" s="2845"/>
      <c r="IV25" s="2845"/>
      <c r="IW25" s="2845"/>
      <c r="IX25" s="2845"/>
      <c r="IY25" s="4035"/>
      <c r="IZ25" s="2845"/>
      <c r="JA25" s="2845"/>
      <c r="JB25" s="4307"/>
      <c r="JC25" s="2845"/>
      <c r="JD25" s="2845"/>
      <c r="JE25" s="2845"/>
      <c r="JF25" s="2845"/>
      <c r="JG25" s="4131"/>
      <c r="JH25" s="1233"/>
      <c r="JI25" s="1393" t="s">
        <v>5592</v>
      </c>
      <c r="JJ25" s="1660" t="s">
        <v>6124</v>
      </c>
    </row>
    <row ht="12.75" r="26" spans="1:270" x14ac:dyDescent="0.2">
      <c r="A26" s="1128">
        <v>25</v>
      </c>
      <c r="B26" s="1678" t="str">
        <f si="0" t="shared"/>
        <v/>
      </c>
      <c r="C26" s="1681" t="s">
        <v>3712</v>
      </c>
      <c r="D26" s="1125" t="s">
        <v>5613</v>
      </c>
      <c r="E26" s="4130"/>
      <c r="F26" s="4130"/>
      <c r="G26" s="4130"/>
      <c r="H26" s="4130"/>
      <c r="I26" s="4130"/>
      <c r="J26" s="4130"/>
      <c r="K26" s="4130"/>
      <c r="L26" s="4130"/>
      <c r="M26" s="4130"/>
      <c r="N26" s="2845"/>
      <c r="O26" s="2845"/>
      <c r="P26" s="2845"/>
      <c r="Q26" s="2845"/>
      <c r="R26" s="2845"/>
      <c r="S26" s="2845"/>
      <c r="T26" s="2845"/>
      <c r="U26" s="2845"/>
      <c r="V26" s="2845"/>
      <c r="W26" s="2845"/>
      <c r="X26" s="2845"/>
      <c r="Y26" s="2845"/>
      <c r="Z26" s="2845"/>
      <c r="AA26" s="2845"/>
      <c r="AB26" s="2845"/>
      <c r="AC26" s="2845"/>
      <c r="AD26" s="2507"/>
      <c r="AE26" s="2507"/>
      <c r="AF26" s="2507"/>
      <c r="AG26" s="2507"/>
      <c r="AH26" s="2507"/>
      <c r="AI26" s="2845"/>
      <c r="AJ26" s="2867"/>
      <c r="AK26" s="2845"/>
      <c r="AL26" s="2845"/>
      <c r="AM26" s="2845"/>
      <c r="AN26" s="2845"/>
      <c r="AO26" s="2845"/>
      <c r="AP26" s="2845"/>
      <c r="AQ26" s="2845"/>
      <c r="AR26" s="2845"/>
      <c r="AS26" s="2845"/>
      <c r="AT26" s="2845"/>
      <c r="AU26" s="2845"/>
      <c r="AV26" s="2845"/>
      <c r="AW26" s="2845"/>
      <c r="AX26" s="2845"/>
      <c r="AY26" s="2845"/>
      <c r="AZ26" s="2845"/>
      <c r="BA26" s="2845"/>
      <c r="BB26" s="2845"/>
      <c r="BC26" s="2854"/>
      <c r="BD26" s="2854"/>
      <c r="BE26" s="2845"/>
      <c r="BF26" s="2845"/>
      <c r="BG26" s="2845"/>
      <c r="BH26" s="2845"/>
      <c r="BI26" s="2845"/>
      <c r="BJ26" s="2845"/>
      <c r="BK26" s="2845"/>
      <c r="BL26" s="2845"/>
      <c r="BM26" s="2845"/>
      <c r="BN26" s="2845"/>
      <c r="BO26" s="2845"/>
      <c r="BP26" s="2845"/>
      <c r="BQ26" s="2845"/>
      <c r="BR26" s="2845"/>
      <c r="BS26" s="2845"/>
      <c r="BT26" s="2845"/>
      <c r="BU26" s="2845"/>
      <c r="BV26" s="2845"/>
      <c r="BW26" s="2845"/>
      <c r="BX26" s="2845"/>
      <c r="BY26" s="2845"/>
      <c r="BZ26" s="2845"/>
      <c r="CA26" s="2845"/>
      <c r="CB26" s="2845"/>
      <c r="CC26" s="2845"/>
      <c r="CD26" s="2845"/>
      <c r="CE26" s="2845"/>
      <c r="CF26" s="2845"/>
      <c r="CG26" s="2845"/>
      <c r="CH26" s="2845"/>
      <c r="CI26" s="2854"/>
      <c r="CJ26" s="2845"/>
      <c r="CK26" s="2845"/>
      <c r="CL26" s="2845"/>
      <c r="CM26" s="2845"/>
      <c r="CN26" s="2845"/>
      <c r="CO26" s="2845"/>
      <c r="CP26" s="2845"/>
      <c r="CQ26" s="2845"/>
      <c r="CR26" s="2845"/>
      <c r="CS26" s="2845"/>
      <c r="CT26" s="2845"/>
      <c r="CU26" s="2845"/>
      <c r="CV26" s="2845"/>
      <c r="CW26" s="2854"/>
      <c r="CX26" s="2854"/>
      <c r="CY26" s="2845"/>
      <c r="CZ26" s="2845"/>
      <c r="DA26" s="2845"/>
      <c r="DB26" s="2845"/>
      <c r="DC26" s="2845"/>
      <c r="DD26" s="2854"/>
      <c r="DE26" s="2845"/>
      <c r="DF26" s="2845"/>
      <c r="DG26" s="2854"/>
      <c r="DH26" s="2845"/>
      <c r="DI26" s="2845"/>
      <c r="DJ26" s="2845"/>
      <c r="DK26" s="2845"/>
      <c r="DL26" s="2845"/>
      <c r="DM26" s="2854"/>
      <c r="DN26" s="2845"/>
      <c r="DO26" s="2845"/>
      <c r="DP26" s="2845"/>
      <c r="DQ26" s="2845"/>
      <c r="DR26" s="2845"/>
      <c r="DS26" s="2845"/>
      <c r="DT26" s="2845"/>
      <c r="DU26" s="2854"/>
      <c r="DV26" s="2845"/>
      <c r="DW26" s="2845"/>
      <c r="DX26" s="2845"/>
      <c r="DY26" s="2845"/>
      <c r="DZ26" s="2845"/>
      <c r="EA26" s="2845"/>
      <c r="EB26" s="2845"/>
      <c r="EC26" s="2845"/>
      <c r="ED26" s="2845"/>
      <c r="EE26" s="2845"/>
      <c r="EF26" s="2845"/>
      <c r="EG26" s="2845"/>
      <c r="EH26" s="2845"/>
      <c r="EI26" s="2845"/>
      <c r="EJ26" s="2845"/>
      <c r="EK26" s="2845"/>
      <c r="EL26" s="2845"/>
      <c r="EM26" s="2845"/>
      <c r="EN26" s="2845"/>
      <c r="EO26" s="2845"/>
      <c r="EP26" s="2845"/>
      <c r="EQ26" s="2845"/>
      <c r="ER26" s="2845"/>
      <c r="ES26" s="2845"/>
      <c r="ET26" s="2845"/>
      <c r="EU26" s="2845"/>
      <c r="EV26" s="2845"/>
      <c r="EW26" s="2845"/>
      <c r="EX26" s="2845"/>
      <c r="EY26" s="2845"/>
      <c r="EZ26" s="2845"/>
      <c r="FA26" s="2845"/>
      <c r="FB26" s="2845"/>
      <c r="FC26" s="2845"/>
      <c r="FD26" s="2854"/>
      <c r="FE26" s="2845"/>
      <c r="FF26" s="2854"/>
      <c r="FG26" s="2845"/>
      <c r="FH26" s="2845"/>
      <c r="FI26" s="2854"/>
      <c r="FJ26" s="2854"/>
      <c r="FK26" s="2845"/>
      <c r="FL26" s="2845"/>
      <c r="FM26" s="2845"/>
      <c r="FN26" s="2845"/>
      <c r="FO26" s="2845"/>
      <c r="FP26" s="2845"/>
      <c r="FQ26" s="2845"/>
      <c r="FR26" s="2845"/>
      <c r="FS26" s="2845"/>
      <c r="FT26" s="2845"/>
      <c r="FU26" s="2845"/>
      <c r="FV26" s="2845"/>
      <c r="FW26" s="2845"/>
      <c r="FX26" s="2845"/>
      <c r="FY26" s="2845"/>
      <c r="FZ26" s="2845"/>
      <c r="GA26" s="2845"/>
      <c r="GB26" s="2845"/>
      <c r="GC26" s="2845"/>
      <c r="GD26" s="2845"/>
      <c r="GE26" s="2845"/>
      <c r="GF26" s="2845"/>
      <c r="GG26" s="2845"/>
      <c r="GH26" s="2845"/>
      <c r="GI26" s="2845"/>
      <c r="GJ26" s="2845"/>
      <c r="GK26" s="2845"/>
      <c r="GL26" s="2854"/>
      <c r="GM26" s="2854"/>
      <c r="GN26" s="2845"/>
      <c r="GO26" s="2845"/>
      <c r="GP26" s="2845"/>
      <c r="GQ26" s="2845"/>
      <c r="GR26" s="2845"/>
      <c r="GS26" s="2845"/>
      <c r="GT26" s="2845"/>
      <c r="GU26" s="2845"/>
      <c r="GV26" s="2845"/>
      <c r="GW26" s="2845"/>
      <c r="GX26" s="2845"/>
      <c r="GY26" s="2845"/>
      <c r="GZ26" s="2854"/>
      <c r="HA26" s="2854"/>
      <c r="HB26" s="2854"/>
      <c r="HC26" s="2845"/>
      <c r="HD26" s="2845"/>
      <c r="HE26" s="2845"/>
      <c r="HF26" s="2845"/>
      <c r="HG26" s="2845"/>
      <c r="HH26" s="2845"/>
      <c r="HI26" s="2845"/>
      <c r="HJ26" s="2845"/>
      <c r="HK26" s="2845"/>
      <c r="HL26" s="2845"/>
      <c r="HM26" s="2845"/>
      <c r="HN26" s="2845"/>
      <c r="HO26" s="2845"/>
      <c r="HP26" s="2845"/>
      <c r="HQ26" s="2845"/>
      <c r="HR26" s="2845"/>
      <c r="HS26" s="2845"/>
      <c r="HT26" s="2845"/>
      <c r="HU26" s="2845"/>
      <c r="HV26" s="2845"/>
      <c r="HW26" s="2845"/>
      <c r="HX26" s="2845"/>
      <c r="HY26" s="2845"/>
      <c r="HZ26" s="2845"/>
      <c r="IA26" s="2845"/>
      <c r="IB26" s="2845"/>
      <c r="IC26" s="2845"/>
      <c r="ID26" s="2845"/>
      <c r="IE26" s="2845"/>
      <c r="IF26" s="2845"/>
      <c r="IG26" s="2845"/>
      <c r="IH26" s="2845"/>
      <c r="II26" s="2845"/>
      <c r="IJ26" s="2845"/>
      <c r="IK26" s="2845"/>
      <c r="IL26" s="2845"/>
      <c r="IM26" s="2845"/>
      <c r="IN26" s="2845"/>
      <c r="IO26" s="2845"/>
      <c r="IP26" s="2845"/>
      <c r="IQ26" s="2845"/>
      <c r="IR26" s="2845"/>
      <c r="IS26" s="2845"/>
      <c r="IT26" s="2845"/>
      <c r="IU26" s="2845"/>
      <c r="IV26" s="2845"/>
      <c r="IW26" s="2845"/>
      <c r="IX26" s="2845"/>
      <c r="IY26" s="4035"/>
      <c r="IZ26" s="2845"/>
      <c r="JA26" s="2845"/>
      <c r="JB26" s="4308">
        <v>154721</v>
      </c>
      <c r="JC26" s="2845"/>
      <c r="JD26" s="2845"/>
      <c r="JE26" s="2845"/>
      <c r="JF26" s="2845"/>
      <c r="JG26" s="4131"/>
      <c r="JH26" s="1233"/>
      <c r="JI26" s="1393"/>
      <c r="JJ26" s="1660" t="s">
        <v>6124</v>
      </c>
    </row>
    <row ht="12.75" r="27" spans="1:270" x14ac:dyDescent="0.2">
      <c r="A27" s="1128">
        <v>26</v>
      </c>
      <c r="B27" s="1678" t="str">
        <f si="0" t="shared"/>
        <v/>
      </c>
      <c r="C27" s="1682" t="s">
        <v>3713</v>
      </c>
      <c r="D27" s="1125" t="str">
        <f>"If your total profits for "&amp;tax_year&amp;" are less than "&amp;DOLLAR(NIC2_SPT,0)&amp;" and you choose to pay Class 2 NICs voluntarily, put 'X' in the box"</f>
        <v>If your total profits for 2019-20 are less than $6,365 and you choose to pay Class 2 NICs voluntarily, put 'X' in the box</v>
      </c>
      <c r="E27" s="4130"/>
      <c r="F27" s="4130"/>
      <c r="G27" s="4130"/>
      <c r="H27" s="4130"/>
      <c r="I27" s="4130"/>
      <c r="J27" s="4130"/>
      <c r="K27" s="4130"/>
      <c r="L27" s="4130"/>
      <c r="M27" s="4130"/>
      <c r="N27" s="2845"/>
      <c r="O27" s="2845"/>
      <c r="P27" s="2845"/>
      <c r="Q27" s="2845"/>
      <c r="R27" s="2845"/>
      <c r="S27" s="2845"/>
      <c r="T27" s="2845"/>
      <c r="U27" s="2845"/>
      <c r="V27" s="2845"/>
      <c r="W27" s="2845"/>
      <c r="X27" s="2845"/>
      <c r="Y27" s="2845"/>
      <c r="Z27" s="2845"/>
      <c r="AA27" s="2845"/>
      <c r="AB27" s="2845"/>
      <c r="AC27" s="2845"/>
      <c r="AD27" s="2507"/>
      <c r="AE27" s="2507"/>
      <c r="AF27" s="2507"/>
      <c r="AG27" s="2507"/>
      <c r="AH27" s="2507"/>
      <c r="AI27" s="2845"/>
      <c r="AJ27" s="3097" t="str">
        <f>IF(PS_A_IND&gt;1,IF(SE_A_IND&gt;1,"",IF(SE_B_IND&gt;1,"",IF(LUN_IND&gt;1,"",IF(PS_B_IND&gt;1,"",IF(AND(AJ22&lt;NIC2_SPT,NIC2_Vol,NIC_ex_set=FALSE),"Y","N"))))),"")</f>
        <v/>
      </c>
      <c r="AK27" s="2845"/>
      <c r="AL27" s="2845"/>
      <c r="AM27" s="2845"/>
      <c r="AN27" s="2845"/>
      <c r="AO27" s="2845"/>
      <c r="AP27" s="2845"/>
      <c r="AQ27" s="2845"/>
      <c r="AR27" s="2845"/>
      <c r="AS27" s="2845"/>
      <c r="AT27" s="2845"/>
      <c r="AU27" s="2845"/>
      <c r="AV27" s="2845"/>
      <c r="AW27" s="2845"/>
      <c r="AX27" s="2845"/>
      <c r="AY27" s="2845"/>
      <c r="AZ27" s="2845"/>
      <c r="BA27" s="2845"/>
      <c r="BB27" s="2845"/>
      <c r="BC27" s="2849" t="str">
        <f>IF(PS_A_IND&gt;1,IF(SE_A_IND&gt;1,"",IF(SE_B_IND&gt;1,"",IF(LUN_IND&gt;1,"",IF(PS_B_IND&gt;1,"",IF(AND(BC22&lt;NIC2_SPT,NIC2_Vol,NIC_ex_set=FALSE),"Y","N"))))),"")</f>
        <v/>
      </c>
      <c r="BD27" s="2849" t="str">
        <f>IF(PS_A_IND&gt;1,IF(SE_A_IND&gt;1,"",IF(SE_B_IND&gt;1,"",IF(LUN_IND&gt;1,"",IF(PS_B_IND&gt;1,"",IF(AND(BD22&lt;NIC2_SPT,NIC2_Vol,NIC_ex_set=FALSE),"Y","N"))))),"")</f>
        <v/>
      </c>
      <c r="BE27" s="2845"/>
      <c r="BF27" s="2845"/>
      <c r="BG27" s="2845"/>
      <c r="BH27" s="2845"/>
      <c r="BI27" s="2845"/>
      <c r="BJ27" s="2845"/>
      <c r="BK27" s="2845"/>
      <c r="BL27" s="2845"/>
      <c r="BM27" s="2845"/>
      <c r="BN27" s="2845"/>
      <c r="BO27" s="2845"/>
      <c r="BP27" s="2845"/>
      <c r="BQ27" s="2845"/>
      <c r="BR27" s="2845"/>
      <c r="BS27" s="2845"/>
      <c r="BT27" s="2845"/>
      <c r="BU27" s="2845"/>
      <c r="BV27" s="2845"/>
      <c r="BW27" s="2845"/>
      <c r="BX27" s="2845"/>
      <c r="BY27" s="2845"/>
      <c r="BZ27" s="2845"/>
      <c r="CA27" s="2845"/>
      <c r="CB27" s="2845"/>
      <c r="CC27" s="2845"/>
      <c r="CD27" s="2845"/>
      <c r="CE27" s="2845"/>
      <c r="CF27" s="2845"/>
      <c r="CG27" s="2845"/>
      <c r="CH27" s="2845"/>
      <c r="CI27" s="2849" t="str">
        <f>IF(PS_A_IND&gt;1,IF(SE_A_IND&gt;1,"",IF(SE_B_IND&gt;1,"",IF(LUN_IND&gt;1,"",IF(PS_B_IND&gt;1,"",IF(AND(CI22&lt;NIC2_SPT,NIC2_Vol,NIC_ex_set=FALSE),"Y","N"))))),"")</f>
        <v/>
      </c>
      <c r="CJ27" s="2845"/>
      <c r="CK27" s="2845"/>
      <c r="CL27" s="2845"/>
      <c r="CM27" s="2845"/>
      <c r="CN27" s="2845"/>
      <c r="CO27" s="2845"/>
      <c r="CP27" s="2845"/>
      <c r="CQ27" s="2845"/>
      <c r="CR27" s="2845"/>
      <c r="CS27" s="2845"/>
      <c r="CT27" s="2845"/>
      <c r="CU27" s="2845"/>
      <c r="CV27" s="2845"/>
      <c r="CW27" s="2849" t="str">
        <f>IF(PS_A_IND&gt;1,IF(SE_A_IND&gt;1,"",IF(SE_B_IND&gt;1,"",IF(LUN_IND&gt;1,"",IF(PS_B_IND&gt;1,"",IF(AND(CW22&lt;NIC2_SPT,NIC2_Vol,NIC_ex_set=FALSE),"Y","N"))))),"")</f>
        <v/>
      </c>
      <c r="CX27" s="2849" t="str">
        <f>IF(PS_A_IND&gt;1,IF(SE_A_IND&gt;1,"",IF(SE_B_IND&gt;1,"",IF(LUN_IND&gt;1,"",IF(PS_B_IND&gt;1,"",IF(AND(CX22&lt;NIC2_SPT,NIC2_Vol,NIC_ex_set=FALSE),"Y","N"))))),"")</f>
        <v/>
      </c>
      <c r="CY27" s="2845"/>
      <c r="CZ27" s="2845"/>
      <c r="DA27" s="2845"/>
      <c r="DB27" s="2845"/>
      <c r="DC27" s="2845"/>
      <c r="DD27" s="2849" t="str">
        <f>IF(PS_A_IND&gt;1,IF(SE_A_IND&gt;1,"",IF(SE_B_IND&gt;1,"",IF(LUN_IND&gt;1,"",IF(PS_B_IND&gt;1,"",IF(AND(DD22&lt;NIC2_SPT,NIC2_Vol,NIC_ex_set=FALSE),"Y","N"))))),"")</f>
        <v/>
      </c>
      <c r="DE27" s="2845"/>
      <c r="DF27" s="2845"/>
      <c r="DG27" s="2849" t="str">
        <f>IF(PS_A_IND&gt;1,IF(SE_A_IND&gt;1,"",IF(SE_B_IND&gt;1,"",IF(LUN_IND&gt;1,"",IF(PS_B_IND&gt;1,"",IF(AND(DG22&lt;NIC2_SPT,NIC2_Vol,NIC_ex_set=FALSE),"Y","N"))))),"")</f>
        <v/>
      </c>
      <c r="DH27" s="2845"/>
      <c r="DI27" s="2845"/>
      <c r="DJ27" s="2845"/>
      <c r="DK27" s="2845"/>
      <c r="DL27" s="2845"/>
      <c r="DM27" s="2849" t="str">
        <f>IF(PS_A_IND&gt;1,IF(SE_A_IND&gt;1,"",IF(SE_B_IND&gt;1,"",IF(LUN_IND&gt;1,"",IF(PS_B_IND&gt;1,"",IF(AND(DM22&lt;NIC2_SPT,NIC2_Vol,NIC_ex_set=FALSE),"Y","N"))))),"")</f>
        <v/>
      </c>
      <c r="DN27" s="2845"/>
      <c r="DO27" s="2845"/>
      <c r="DP27" s="2845"/>
      <c r="DQ27" s="2845"/>
      <c r="DR27" s="2845"/>
      <c r="DS27" s="2845"/>
      <c r="DT27" s="2845"/>
      <c r="DU27" s="2849" t="str">
        <f>IF(PS_A_IND&gt;1,IF(SE_A_IND&gt;1,"",IF(SE_B_IND&gt;1,"",IF(LUN_IND&gt;1,"",IF(PS_B_IND&gt;1,"",IF(AND(DU22&lt;NIC2_SPT,NIC2_Vol,NIC_ex_set=FALSE),"Y","N"))))),"")</f>
        <v/>
      </c>
      <c r="DV27" s="2845"/>
      <c r="DW27" s="2845"/>
      <c r="DX27" s="2845"/>
      <c r="DY27" s="2845"/>
      <c r="DZ27" s="2845"/>
      <c r="EA27" s="2845"/>
      <c r="EB27" s="2845"/>
      <c r="EC27" s="2845"/>
      <c r="ED27" s="2845"/>
      <c r="EE27" s="2845"/>
      <c r="EF27" s="2845"/>
      <c r="EG27" s="2845"/>
      <c r="EH27" s="2845"/>
      <c r="EI27" s="2845"/>
      <c r="EJ27" s="2845"/>
      <c r="EK27" s="2845"/>
      <c r="EL27" s="2845"/>
      <c r="EM27" s="2845"/>
      <c r="EN27" s="2845"/>
      <c r="EO27" s="2845"/>
      <c r="EP27" s="2845"/>
      <c r="EQ27" s="2845"/>
      <c r="ER27" s="2845"/>
      <c r="ES27" s="2845"/>
      <c r="ET27" s="2845"/>
      <c r="EU27" s="2845"/>
      <c r="EV27" s="2845"/>
      <c r="EW27" s="2845"/>
      <c r="EX27" s="2845"/>
      <c r="EY27" s="2845"/>
      <c r="EZ27" s="2845"/>
      <c r="FA27" s="2845"/>
      <c r="FB27" s="2845"/>
      <c r="FC27" s="2845"/>
      <c r="FD27" s="2849" t="str">
        <f>IF(PS_A_IND&gt;1,IF(SE_A_IND&gt;1,"",IF(SE_B_IND&gt;1,"",IF(LUN_IND&gt;1,"",IF(PS_B_IND&gt;1,"",IF(AND(FD22&lt;NIC2_SPT,NIC2_Vol,NIC_ex_set=FALSE),"Y","N"))))),"")</f>
        <v/>
      </c>
      <c r="FE27" s="2845"/>
      <c r="FF27" s="2849" t="str">
        <f>IF(PS_A_IND&gt;1,IF(SE_A_IND&gt;1,"",IF(SE_B_IND&gt;1,"",IF(LUN_IND&gt;1,"",IF(PS_B_IND&gt;1,"",IF(AND(FF22&lt;NIC2_SPT,NIC2_Vol,NIC_ex_set=FALSE),"Y","N"))))),"")</f>
        <v/>
      </c>
      <c r="FG27" s="2845"/>
      <c r="FH27" s="2845"/>
      <c r="FI27" s="2849" t="str">
        <f>IF(PS_A_IND&gt;1,IF(SE_A_IND&gt;1,"",IF(SE_B_IND&gt;1,"",IF(LUN_IND&gt;1,"",IF(PS_B_IND&gt;1,"",IF(AND(FI22&lt;NIC2_SPT,NIC2_Vol,NIC_ex_set=FALSE),"Y","N"))))),"")</f>
        <v/>
      </c>
      <c r="FJ27" s="2849" t="str">
        <f>IF(PS_A_IND&gt;1,IF(SE_A_IND&gt;1,"",IF(SE_B_IND&gt;1,"",IF(LUN_IND&gt;1,"",IF(PS_B_IND&gt;1,"",IF(AND(FJ22&lt;NIC2_SPT,NIC2_Vol,NIC_ex_set=FALSE),"Y","N"))))),"")</f>
        <v/>
      </c>
      <c r="FK27" s="2845"/>
      <c r="FL27" s="2845"/>
      <c r="FM27" s="2845"/>
      <c r="FN27" s="2845"/>
      <c r="FO27" s="2845"/>
      <c r="FP27" s="2845"/>
      <c r="FQ27" s="2845"/>
      <c r="FR27" s="2845"/>
      <c r="FS27" s="2845"/>
      <c r="FT27" s="2845"/>
      <c r="FU27" s="2845"/>
      <c r="FV27" s="2845"/>
      <c r="FW27" s="2845"/>
      <c r="FX27" s="2845"/>
      <c r="FY27" s="2845"/>
      <c r="FZ27" s="2845"/>
      <c r="GA27" s="2845"/>
      <c r="GB27" s="2845"/>
      <c r="GC27" s="2845"/>
      <c r="GD27" s="2845"/>
      <c r="GE27" s="2845"/>
      <c r="GF27" s="2845"/>
      <c r="GG27" s="2845"/>
      <c r="GH27" s="2845"/>
      <c r="GI27" s="2845"/>
      <c r="GJ27" s="2845"/>
      <c r="GK27" s="2845"/>
      <c r="GL27" s="2849" t="str">
        <f>IF(PS_A_IND&gt;1,IF(SE_A_IND&gt;1,"",IF(SE_B_IND&gt;1,"",IF(LUN_IND&gt;1,"",IF(PS_B_IND&gt;1,"",IF(AND(GL22&lt;NIC2_SPT,NIC2_Vol,NIC_ex_set=FALSE),"Y","N"))))),"")</f>
        <v/>
      </c>
      <c r="GM27" s="2849" t="str">
        <f>IF(PS_A_IND&gt;1,IF(SE_A_IND&gt;1,"",IF(SE_B_IND&gt;1,"",IF(LUN_IND&gt;1,"",IF(PS_B_IND&gt;1,"",IF(AND(GM22&lt;NIC2_SPT,NIC2_Vol,NIC_ex_set=FALSE),"Y","N"))))),"")</f>
        <v/>
      </c>
      <c r="GN27" s="2845"/>
      <c r="GO27" s="2845"/>
      <c r="GP27" s="2845"/>
      <c r="GQ27" s="2845"/>
      <c r="GR27" s="2845"/>
      <c r="GS27" s="2845"/>
      <c r="GT27" s="2845"/>
      <c r="GU27" s="2845"/>
      <c r="GV27" s="2845"/>
      <c r="GW27" s="2845"/>
      <c r="GX27" s="2845"/>
      <c r="GY27" s="2845"/>
      <c r="GZ27" s="2849" t="str">
        <f>IF(PS_A_IND&gt;1,IF(SE_A_IND&gt;1,"",IF(SE_B_IND&gt;1,"",IF(LUN_IND&gt;1,"",IF(PS_B_IND&gt;1,"",IF(AND(GZ22&lt;NIC2_SPT,NIC2_Vol,NIC_ex_set=FALSE),"Y","N"))))),"")</f>
        <v/>
      </c>
      <c r="HA27" s="2849" t="str">
        <f>IF(PS_A_IND&gt;1,IF(SE_A_IND&gt;1,"",IF(SE_B_IND&gt;1,"",IF(LUN_IND&gt;1,"",IF(PS_B_IND&gt;1,"",IF(AND(HA22&lt;NIC2_SPT,NIC2_Vol,NIC_ex_set=FALSE),"Y","N"))))),"")</f>
        <v/>
      </c>
      <c r="HB27" s="2849" t="str">
        <f>IF(PS_A_IND&gt;1,IF(SE_A_IND&gt;1,"",IF(SE_B_IND&gt;1,"",IF(LUN_IND&gt;1,"",IF(PS_B_IND&gt;1,"",IF(AND(HB22&lt;NIC2_SPT,NIC2_Vol,NIC_ex_set=FALSE),"Y","N"))))),"")</f>
        <v/>
      </c>
      <c r="HC27" s="2845"/>
      <c r="HD27" s="2845"/>
      <c r="HE27" s="2845"/>
      <c r="HF27" s="2845"/>
      <c r="HG27" s="2845"/>
      <c r="HH27" s="2845"/>
      <c r="HI27" s="2845"/>
      <c r="HJ27" s="2845"/>
      <c r="HK27" s="2845"/>
      <c r="HL27" s="2845"/>
      <c r="HM27" s="2845"/>
      <c r="HN27" s="2845"/>
      <c r="HO27" s="2845"/>
      <c r="HP27" s="2845"/>
      <c r="HQ27" s="2845"/>
      <c r="HR27" s="2845"/>
      <c r="HS27" s="2845"/>
      <c r="HT27" s="2845"/>
      <c r="HU27" s="2845"/>
      <c r="HV27" s="2845" t="str">
        <f>IF(PS_A_IND&gt;1,IF(SE_A_IND&gt;1,"",IF(SE_B_IND&gt;1,"",IF(LUN_IND&gt;1,"",IF(PS_B_IND&gt;1,"",IF(AND(HV22&lt;NIC2_SPT,NIC2_Vol,NIC_ex_set=FALSE),"Y","N"))))),"")</f>
        <v/>
      </c>
      <c r="HW27" s="2845"/>
      <c r="HX27" s="2845"/>
      <c r="HY27" s="2845"/>
      <c r="HZ27" s="2845"/>
      <c r="IA27" s="2845"/>
      <c r="IB27" s="2845"/>
      <c r="IC27" s="2845"/>
      <c r="ID27" s="2845"/>
      <c r="IE27" s="2845"/>
      <c r="IF27" s="2845"/>
      <c r="IG27" s="2845"/>
      <c r="IH27" s="2845"/>
      <c r="II27" s="2845"/>
      <c r="IJ27" s="2845"/>
      <c r="IK27" s="2845"/>
      <c r="IL27" s="2845"/>
      <c r="IM27" s="2845"/>
      <c r="IN27" s="2845"/>
      <c r="IO27" s="2845"/>
      <c r="IP27" s="2845"/>
      <c r="IQ27" s="2845"/>
      <c r="IR27" s="2845"/>
      <c r="IS27" s="2845"/>
      <c r="IT27" s="2845"/>
      <c r="IU27" s="2845"/>
      <c r="IV27" s="2845"/>
      <c r="IW27" s="2845"/>
      <c r="IX27" s="2845"/>
      <c r="IY27" s="4035"/>
      <c r="IZ27" s="2845"/>
      <c r="JA27" s="2845"/>
      <c r="JB27" s="4307"/>
      <c r="JC27" s="2845"/>
      <c r="JD27" s="2845"/>
      <c r="JE27" s="2845"/>
      <c r="JF27" s="2845"/>
      <c r="JG27" s="4131"/>
      <c r="JH27" s="1233"/>
      <c r="JI27" s="1232"/>
      <c r="JJ27" s="1660" t="s">
        <v>6111</v>
      </c>
    </row>
    <row ht="12.75" r="28" spans="1:270" x14ac:dyDescent="0.2">
      <c r="A28" s="1128">
        <v>27</v>
      </c>
      <c r="B28" s="1678" t="str">
        <f si="0" t="shared"/>
        <v/>
      </c>
      <c r="C28" s="1682" t="s">
        <v>3714</v>
      </c>
      <c r="D28" s="1125" t="s">
        <v>6088</v>
      </c>
      <c r="E28" s="4130"/>
      <c r="F28" s="4130"/>
      <c r="G28" s="4130"/>
      <c r="H28" s="4130"/>
      <c r="I28" s="4130"/>
      <c r="J28" s="4130"/>
      <c r="K28" s="4130"/>
      <c r="L28" s="4130"/>
      <c r="M28" s="4130"/>
      <c r="N28" s="2845"/>
      <c r="O28" s="2845"/>
      <c r="P28" s="2845"/>
      <c r="Q28" s="2845"/>
      <c r="R28" s="2845"/>
      <c r="S28" s="2845"/>
      <c r="T28" s="2845"/>
      <c r="U28" s="2845"/>
      <c r="V28" s="2845"/>
      <c r="W28" s="2845"/>
      <c r="X28" s="2845"/>
      <c r="Y28" s="2845"/>
      <c r="Z28" s="2845"/>
      <c r="AA28" s="2845"/>
      <c r="AB28" s="2845"/>
      <c r="AC28" s="2845"/>
      <c r="AD28" s="2507"/>
      <c r="AE28" s="2507"/>
      <c r="AF28" s="2507"/>
      <c r="AG28" s="2507"/>
      <c r="AH28" s="2507"/>
      <c r="AI28" s="2845"/>
      <c r="AJ28" s="3097" t="str">
        <f>IF(PS_A_IND&gt;1,IF(LUN_IND&gt;1,"",IF(SE_B_IND&gt;1,"",IF(SE_A_IND&gt;1,"",IF(NIC_ex_set,"Y","N")))),"")</f>
        <v/>
      </c>
      <c r="AK28" s="2845"/>
      <c r="AL28" s="2845"/>
      <c r="AM28" s="2845"/>
      <c r="AN28" s="2845"/>
      <c r="AO28" s="2845"/>
      <c r="AP28" s="2845"/>
      <c r="AQ28" s="2845"/>
      <c r="AR28" s="2845"/>
      <c r="AS28" s="2845"/>
      <c r="AT28" s="2845"/>
      <c r="AU28" s="2845"/>
      <c r="AV28" s="2845"/>
      <c r="AW28" s="2845"/>
      <c r="AX28" s="2845"/>
      <c r="AY28" s="2845"/>
      <c r="AZ28" s="2845"/>
      <c r="BA28" s="2845"/>
      <c r="BB28" s="2845"/>
      <c r="BC28" s="2849" t="str">
        <f>IF(PS_A_IND&gt;1,IF(LUN_IND&gt;1,"",IF(SE_B_IND&gt;1,"",IF(SE_A_IND&gt;1,"",IF(NIC_ex_set,"Y","N")))),"")</f>
        <v/>
      </c>
      <c r="BD28" s="2849" t="str">
        <f>IF(PS_A_IND&gt;1,IF(LUN_IND&gt;1,"",IF(SE_B_IND&gt;1,"",IF(SE_A_IND&gt;1,"",IF(NIC_ex_set,"Y","N")))),"")</f>
        <v/>
      </c>
      <c r="BE28" s="2845"/>
      <c r="BF28" s="2845"/>
      <c r="BG28" s="2845"/>
      <c r="BH28" s="2845"/>
      <c r="BI28" s="2845"/>
      <c r="BJ28" s="2845"/>
      <c r="BK28" s="2845"/>
      <c r="BL28" s="2845"/>
      <c r="BM28" s="2845"/>
      <c r="BN28" s="2845"/>
      <c r="BO28" s="2845"/>
      <c r="BP28" s="2845"/>
      <c r="BQ28" s="2845"/>
      <c r="BR28" s="2845"/>
      <c r="BS28" s="2845"/>
      <c r="BT28" s="2845"/>
      <c r="BU28" s="2845"/>
      <c r="BV28" s="2845"/>
      <c r="BW28" s="2845"/>
      <c r="BX28" s="2845"/>
      <c r="BY28" s="2845"/>
      <c r="BZ28" s="2845"/>
      <c r="CA28" s="2845"/>
      <c r="CB28" s="2845"/>
      <c r="CC28" s="2845"/>
      <c r="CD28" s="2845"/>
      <c r="CE28" s="2845"/>
      <c r="CF28" s="2845"/>
      <c r="CG28" s="2845"/>
      <c r="CH28" s="2845"/>
      <c r="CI28" s="2849" t="str">
        <f>IF(PS_A_IND&gt;1,IF(LUN_IND&gt;1,"",IF(SE_B_IND&gt;1,"",IF(SE_A_IND&gt;1,"",IF(NIC_ex_set,"Y","N")))),"")</f>
        <v/>
      </c>
      <c r="CJ28" s="2845"/>
      <c r="CK28" s="2845"/>
      <c r="CL28" s="2845"/>
      <c r="CM28" s="2845"/>
      <c r="CN28" s="2845"/>
      <c r="CO28" s="2845"/>
      <c r="CP28" s="2845"/>
      <c r="CQ28" s="2845"/>
      <c r="CR28" s="2845"/>
      <c r="CS28" s="2845"/>
      <c r="CT28" s="2845"/>
      <c r="CU28" s="2845"/>
      <c r="CV28" s="2845"/>
      <c r="CW28" s="2849" t="str">
        <f>IF(PS_A_IND&gt;1,IF(LUN_IND&gt;1,"",IF(SE_B_IND&gt;1,"",IF(SE_A_IND&gt;1,"",IF(NIC_ex_set,"Y","N")))),"")</f>
        <v/>
      </c>
      <c r="CX28" s="2849" t="str">
        <f>IF(PS_A_IND&gt;1,IF(LUN_IND&gt;1,"",IF(SE_B_IND&gt;1,"",IF(SE_A_IND&gt;1,"",IF(NIC_ex_set,"Y","N")))),"")</f>
        <v/>
      </c>
      <c r="CY28" s="2845"/>
      <c r="CZ28" s="2845"/>
      <c r="DA28" s="2845"/>
      <c r="DB28" s="2845"/>
      <c r="DC28" s="2845"/>
      <c r="DD28" s="2849" t="str">
        <f>IF(PS_A_IND&gt;1,IF(LUN_IND&gt;1,"",IF(SE_B_IND&gt;1,"",IF(SE_A_IND&gt;1,"",IF(NIC_ex_set,"Y","N")))),"")</f>
        <v/>
      </c>
      <c r="DE28" s="2845"/>
      <c r="DF28" s="2845"/>
      <c r="DG28" s="2849" t="str">
        <f>IF(PS_A_IND&gt;1,IF(LUN_IND&gt;1,"",IF(SE_B_IND&gt;1,"",IF(SE_A_IND&gt;1,"",IF(NIC_ex_set,"Y","N")))),"")</f>
        <v/>
      </c>
      <c r="DH28" s="2845"/>
      <c r="DI28" s="2845"/>
      <c r="DJ28" s="2845"/>
      <c r="DK28" s="2845"/>
      <c r="DL28" s="2845"/>
      <c r="DM28" s="2849" t="str">
        <f>IF(PS_A_IND&gt;1,IF(LUN_IND&gt;1,"",IF(SE_B_IND&gt;1,"",IF(SE_A_IND&gt;1,"",IF(NIC_ex_set,"Y","N")))),"")</f>
        <v/>
      </c>
      <c r="DN28" s="2845"/>
      <c r="DO28" s="2845"/>
      <c r="DP28" s="2845"/>
      <c r="DQ28" s="2845"/>
      <c r="DR28" s="2845"/>
      <c r="DS28" s="2845"/>
      <c r="DT28" s="2845"/>
      <c r="DU28" s="2849" t="str">
        <f>IF(PS_A_IND&gt;1,IF(LUN_IND&gt;1,"",IF(SE_B_IND&gt;1,"",IF(SE_A_IND&gt;1,"",IF(NIC_ex_set,"Y","N")))),"")</f>
        <v/>
      </c>
      <c r="DV28" s="2845"/>
      <c r="DW28" s="2845"/>
      <c r="DX28" s="2845"/>
      <c r="DY28" s="2845"/>
      <c r="DZ28" s="2845"/>
      <c r="EA28" s="2845"/>
      <c r="EB28" s="2845"/>
      <c r="EC28" s="2845"/>
      <c r="ED28" s="2845"/>
      <c r="EE28" s="2845"/>
      <c r="EF28" s="2845"/>
      <c r="EG28" s="2845"/>
      <c r="EH28" s="2845"/>
      <c r="EI28" s="2845"/>
      <c r="EJ28" s="2845"/>
      <c r="EK28" s="2845"/>
      <c r="EL28" s="2845"/>
      <c r="EM28" s="2845"/>
      <c r="EN28" s="2845"/>
      <c r="EO28" s="2845"/>
      <c r="EP28" s="2845"/>
      <c r="EQ28" s="2845"/>
      <c r="ER28" s="2845"/>
      <c r="ES28" s="2845"/>
      <c r="ET28" s="2845"/>
      <c r="EU28" s="2845"/>
      <c r="EV28" s="2845"/>
      <c r="EW28" s="2845"/>
      <c r="EX28" s="2845"/>
      <c r="EY28" s="2845"/>
      <c r="EZ28" s="2845"/>
      <c r="FA28" s="2845"/>
      <c r="FB28" s="2845"/>
      <c r="FC28" s="2845"/>
      <c r="FD28" s="2849" t="str">
        <f>IF(PS_A_IND&gt;1,IF(LUN_IND&gt;1,"",IF(SE_B_IND&gt;1,"",IF(SE_A_IND&gt;1,"",IF(NIC_ex_set,"Y","N")))),"")</f>
        <v/>
      </c>
      <c r="FE28" s="2845"/>
      <c r="FF28" s="2849" t="str">
        <f>IF(PS_A_IND&gt;1,IF(LUN_IND&gt;1,"",IF(SE_B_IND&gt;1,"",IF(SE_A_IND&gt;1,"",IF(NIC_ex_set,"Y","N")))),"")</f>
        <v/>
      </c>
      <c r="FG28" s="2845"/>
      <c r="FH28" s="2845"/>
      <c r="FI28" s="2849" t="str">
        <f>IF(PS_A_IND&gt;1,IF(LUN_IND&gt;1,"",IF(SE_B_IND&gt;1,"",IF(SE_A_IND&gt;1,"",IF(NIC_ex_set,"Y","N")))),"")</f>
        <v/>
      </c>
      <c r="FJ28" s="2849" t="str">
        <f>IF(PS_A_IND&gt;1,IF(LUN_IND&gt;1,"",IF(SE_B_IND&gt;1,"",IF(SE_A_IND&gt;1,"",IF(NIC_ex_set,"Y","N")))),"")</f>
        <v/>
      </c>
      <c r="FK28" s="2845"/>
      <c r="FL28" s="2845"/>
      <c r="FM28" s="2845"/>
      <c r="FN28" s="2845"/>
      <c r="FO28" s="2845"/>
      <c r="FP28" s="2845"/>
      <c r="FQ28" s="2845"/>
      <c r="FR28" s="2845"/>
      <c r="FS28" s="2845"/>
      <c r="FT28" s="2845"/>
      <c r="FU28" s="2845"/>
      <c r="FV28" s="2845"/>
      <c r="FW28" s="2845"/>
      <c r="FX28" s="2845"/>
      <c r="FY28" s="2845"/>
      <c r="FZ28" s="2845"/>
      <c r="GA28" s="2845"/>
      <c r="GB28" s="2845"/>
      <c r="GC28" s="2845"/>
      <c r="GD28" s="2845"/>
      <c r="GE28" s="2845"/>
      <c r="GF28" s="2845"/>
      <c r="GG28" s="2845"/>
      <c r="GH28" s="2845"/>
      <c r="GI28" s="2845"/>
      <c r="GJ28" s="2845"/>
      <c r="GK28" s="2845"/>
      <c r="GL28" s="2849" t="str">
        <f>IF(PS_A_IND&gt;1,IF(LUN_IND&gt;1,"",IF(SE_B_IND&gt;1,"",IF(SE_A_IND&gt;1,"",IF(NIC_ex_set,"Y","N")))),"")</f>
        <v/>
      </c>
      <c r="GM28" s="2849" t="str">
        <f>IF(PS_A_IND&gt;1,IF(LUN_IND&gt;1,"",IF(SE_B_IND&gt;1,"",IF(SE_A_IND&gt;1,"",IF(NIC_ex_set,"Y","N")))),"")</f>
        <v/>
      </c>
      <c r="GN28" s="2845"/>
      <c r="GO28" s="2845"/>
      <c r="GP28" s="2845"/>
      <c r="GQ28" s="2845"/>
      <c r="GR28" s="2845"/>
      <c r="GS28" s="2845"/>
      <c r="GT28" s="2845"/>
      <c r="GU28" s="2845"/>
      <c r="GV28" s="2845"/>
      <c r="GW28" s="2845"/>
      <c r="GX28" s="2845"/>
      <c r="GY28" s="2845"/>
      <c r="GZ28" s="2849" t="str">
        <f>IF(PS_A_IND&gt;1,IF(LUN_IND&gt;1,"",IF(SE_B_IND&gt;1,"",IF(SE_A_IND&gt;1,"",IF(NIC_ex_set,"Y","N")))),"")</f>
        <v/>
      </c>
      <c r="HA28" s="2849" t="str">
        <f>IF(PS_A_IND&gt;1,IF(LUN_IND&gt;1,"",IF(SE_B_IND&gt;1,"",IF(SE_A_IND&gt;1,"",IF(NIC_ex_set,"Y","N")))),"")</f>
        <v/>
      </c>
      <c r="HB28" s="2849" t="str">
        <f>IF(PS_A_IND&gt;1,IF(LUN_IND&gt;1,"",IF(SE_B_IND&gt;1,"",IF(SE_A_IND&gt;1,"",IF(NIC_ex_set,"Y","N")))),"")</f>
        <v/>
      </c>
      <c r="HC28" s="2845"/>
      <c r="HD28" s="2845"/>
      <c r="HE28" s="2845"/>
      <c r="HF28" s="2845"/>
      <c r="HG28" s="2845"/>
      <c r="HH28" s="2845"/>
      <c r="HI28" s="2845"/>
      <c r="HJ28" s="2845"/>
      <c r="HK28" s="2845"/>
      <c r="HL28" s="2845"/>
      <c r="HM28" s="2845"/>
      <c r="HN28" s="2845"/>
      <c r="HO28" s="2845"/>
      <c r="HP28" s="2845"/>
      <c r="HQ28" s="2845"/>
      <c r="HR28" s="2845"/>
      <c r="HS28" s="2845"/>
      <c r="HT28" s="2845"/>
      <c r="HU28" s="2845"/>
      <c r="HV28" s="2845" t="str">
        <f>IF(PS_A_IND&gt;1,IF(LUN_IND&gt;1,"",IF(SE_B_IND&gt;1,"",IF(SE_A_IND&gt;1,"",IF(NIC_ex_set,"Y","N")))),"")</f>
        <v/>
      </c>
      <c r="HW28" s="2845"/>
      <c r="HX28" s="2845"/>
      <c r="HY28" s="2845"/>
      <c r="HZ28" s="2845"/>
      <c r="IA28" s="2845"/>
      <c r="IB28" s="2845"/>
      <c r="IC28" s="2845"/>
      <c r="ID28" s="2845"/>
      <c r="IE28" s="2845"/>
      <c r="IF28" s="2845"/>
      <c r="IG28" s="2845"/>
      <c r="IH28" s="2845"/>
      <c r="II28" s="2845"/>
      <c r="IJ28" s="2845"/>
      <c r="IK28" s="2845"/>
      <c r="IL28" s="2845"/>
      <c r="IM28" s="2845"/>
      <c r="IN28" s="2845"/>
      <c r="IO28" s="2845"/>
      <c r="IP28" s="2845"/>
      <c r="IQ28" s="2845"/>
      <c r="IR28" s="2845"/>
      <c r="IS28" s="2845"/>
      <c r="IT28" s="2845"/>
      <c r="IU28" s="2845"/>
      <c r="IV28" s="2845"/>
      <c r="IW28" s="2845"/>
      <c r="IX28" s="2845"/>
      <c r="IY28" s="4035"/>
      <c r="IZ28" s="2845"/>
      <c r="JA28" s="2845"/>
      <c r="JB28" s="4309" t="s">
        <v>572</v>
      </c>
      <c r="JC28" s="2845"/>
      <c r="JD28" s="2845"/>
      <c r="JE28" s="2845"/>
      <c r="JF28" s="2845"/>
      <c r="JG28" s="4131"/>
      <c r="JH28" s="1233"/>
      <c r="JI28" s="1232"/>
      <c r="JJ28" s="1660" t="s">
        <v>6111</v>
      </c>
    </row>
    <row ht="22.5" r="29" spans="1:270" x14ac:dyDescent="0.2">
      <c r="A29" s="1128">
        <v>28</v>
      </c>
      <c r="B29" s="1678" t="str">
        <f si="0" t="shared"/>
        <v/>
      </c>
      <c r="C29" s="1682" t="s">
        <v>3715</v>
      </c>
      <c r="D29" s="1125" t="s">
        <v>6087</v>
      </c>
      <c r="E29" s="4130"/>
      <c r="F29" s="4130"/>
      <c r="G29" s="4130"/>
      <c r="H29" s="4130"/>
      <c r="I29" s="4130"/>
      <c r="J29" s="4130"/>
      <c r="K29" s="4130"/>
      <c r="L29" s="4130"/>
      <c r="M29" s="4130"/>
      <c r="N29" s="2845"/>
      <c r="O29" s="2845"/>
      <c r="P29" s="2845"/>
      <c r="Q29" s="2845"/>
      <c r="R29" s="2845"/>
      <c r="S29" s="2845"/>
      <c r="T29" s="2845"/>
      <c r="U29" s="2845"/>
      <c r="V29" s="2845"/>
      <c r="W29" s="2845"/>
      <c r="X29" s="2845"/>
      <c r="Y29" s="2845"/>
      <c r="Z29" s="2845"/>
      <c r="AA29" s="2845"/>
      <c r="AB29" s="2845"/>
      <c r="AC29" s="2845"/>
      <c r="AD29" s="2507"/>
      <c r="AE29" s="2507"/>
      <c r="AF29" s="2507"/>
      <c r="AG29" s="2507"/>
      <c r="AH29" s="2507"/>
      <c r="AI29" s="2845"/>
      <c r="AJ29" s="2856">
        <v>46471</v>
      </c>
      <c r="AK29" s="2845"/>
      <c r="AL29" s="2845"/>
      <c r="AM29" s="2845"/>
      <c r="AN29" s="2845"/>
      <c r="AO29" s="2845"/>
      <c r="AP29" s="2845"/>
      <c r="AQ29" s="2845"/>
      <c r="AR29" s="2845"/>
      <c r="AS29" s="2845"/>
      <c r="AT29" s="2845"/>
      <c r="AU29" s="2845"/>
      <c r="AV29" s="2845"/>
      <c r="AW29" s="2845"/>
      <c r="AX29" s="2845"/>
      <c r="AY29" s="2845"/>
      <c r="AZ29" s="2845"/>
      <c r="BA29" s="2845"/>
      <c r="BB29" s="2845"/>
      <c r="BC29" s="2847"/>
      <c r="BD29" s="2847"/>
      <c r="BE29" s="2845"/>
      <c r="BF29" s="2845"/>
      <c r="BG29" s="2845"/>
      <c r="BH29" s="2845"/>
      <c r="BI29" s="2845"/>
      <c r="BJ29" s="2845"/>
      <c r="BK29" s="2845"/>
      <c r="BL29" s="2845"/>
      <c r="BM29" s="2845"/>
      <c r="BN29" s="2845"/>
      <c r="BO29" s="2845"/>
      <c r="BP29" s="2845"/>
      <c r="BQ29" s="2845"/>
      <c r="BR29" s="2845"/>
      <c r="BS29" s="2845"/>
      <c r="BT29" s="2845"/>
      <c r="BU29" s="2845"/>
      <c r="BV29" s="2845"/>
      <c r="BW29" s="2845"/>
      <c r="BX29" s="2845"/>
      <c r="BY29" s="2845"/>
      <c r="BZ29" s="2845"/>
      <c r="CA29" s="2845"/>
      <c r="CB29" s="2845"/>
      <c r="CC29" s="2845"/>
      <c r="CD29" s="2845"/>
      <c r="CE29" s="2845"/>
      <c r="CF29" s="2845"/>
      <c r="CG29" s="2845"/>
      <c r="CH29" s="2845"/>
      <c r="CI29" s="2847"/>
      <c r="CJ29" s="2845"/>
      <c r="CK29" s="2845"/>
      <c r="CL29" s="2845"/>
      <c r="CM29" s="2845"/>
      <c r="CN29" s="2845"/>
      <c r="CO29" s="2845"/>
      <c r="CP29" s="2845"/>
      <c r="CQ29" s="2845"/>
      <c r="CR29" s="2845"/>
      <c r="CS29" s="2845"/>
      <c r="CT29" s="2845"/>
      <c r="CU29" s="2845"/>
      <c r="CV29" s="2845"/>
      <c r="CW29" s="2847">
        <v>16512</v>
      </c>
      <c r="CX29" s="2847"/>
      <c r="CY29" s="2845"/>
      <c r="CZ29" s="2845"/>
      <c r="DA29" s="2845"/>
      <c r="DB29" s="2845"/>
      <c r="DC29" s="2845"/>
      <c r="DD29" s="2847"/>
      <c r="DE29" s="2845"/>
      <c r="DF29" s="2845"/>
      <c r="DG29" s="2847"/>
      <c r="DH29" s="2845"/>
      <c r="DI29" s="2845"/>
      <c r="DJ29" s="2845"/>
      <c r="DK29" s="2845"/>
      <c r="DL29" s="2845"/>
      <c r="DM29" s="2847"/>
      <c r="DN29" s="2845"/>
      <c r="DO29" s="2845"/>
      <c r="DP29" s="2845"/>
      <c r="DQ29" s="2845"/>
      <c r="DR29" s="2845"/>
      <c r="DS29" s="2845"/>
      <c r="DT29" s="2845"/>
      <c r="DU29" s="2847"/>
      <c r="DV29" s="2845"/>
      <c r="DW29" s="2845"/>
      <c r="DX29" s="2845"/>
      <c r="DY29" s="2845"/>
      <c r="DZ29" s="2845"/>
      <c r="EA29" s="2845"/>
      <c r="EB29" s="2845"/>
      <c r="EC29" s="2845"/>
      <c r="ED29" s="2845"/>
      <c r="EE29" s="2845"/>
      <c r="EF29" s="2845"/>
      <c r="EG29" s="2845"/>
      <c r="EH29" s="2845"/>
      <c r="EI29" s="2845"/>
      <c r="EJ29" s="2845"/>
      <c r="EK29" s="2845"/>
      <c r="EL29" s="2845"/>
      <c r="EM29" s="2845"/>
      <c r="EN29" s="2845"/>
      <c r="EO29" s="2845"/>
      <c r="EP29" s="2845"/>
      <c r="EQ29" s="2845"/>
      <c r="ER29" s="2845"/>
      <c r="ES29" s="2845"/>
      <c r="ET29" s="2845"/>
      <c r="EU29" s="2845"/>
      <c r="EV29" s="2845"/>
      <c r="EW29" s="2845"/>
      <c r="EX29" s="2845"/>
      <c r="EY29" s="2845"/>
      <c r="EZ29" s="2845"/>
      <c r="FA29" s="2845"/>
      <c r="FB29" s="2845"/>
      <c r="FC29" s="2845"/>
      <c r="FD29" s="2847"/>
      <c r="FE29" s="2845"/>
      <c r="FF29" s="2847"/>
      <c r="FG29" s="2845"/>
      <c r="FH29" s="2845"/>
      <c r="FI29" s="2847"/>
      <c r="FJ29" s="2847"/>
      <c r="FK29" s="2845"/>
      <c r="FL29" s="2845"/>
      <c r="FM29" s="2845"/>
      <c r="FN29" s="2845"/>
      <c r="FO29" s="2845"/>
      <c r="FP29" s="2845"/>
      <c r="FQ29" s="2845"/>
      <c r="FR29" s="2845"/>
      <c r="FS29" s="2845"/>
      <c r="FT29" s="2845"/>
      <c r="FU29" s="2845"/>
      <c r="FV29" s="2845"/>
      <c r="FW29" s="2845"/>
      <c r="FX29" s="2845"/>
      <c r="FY29" s="2845"/>
      <c r="FZ29" s="2845"/>
      <c r="GA29" s="2845"/>
      <c r="GB29" s="2845"/>
      <c r="GC29" s="2845"/>
      <c r="GD29" s="2845"/>
      <c r="GE29" s="2845"/>
      <c r="GF29" s="2845"/>
      <c r="GG29" s="2845"/>
      <c r="GH29" s="2845"/>
      <c r="GI29" s="2845"/>
      <c r="GJ29" s="2845"/>
      <c r="GK29" s="2845"/>
      <c r="GL29" s="2847">
        <v>16512</v>
      </c>
      <c r="GM29" s="2847">
        <v>16512</v>
      </c>
      <c r="GN29" s="2845"/>
      <c r="GO29" s="2845"/>
      <c r="GP29" s="2845"/>
      <c r="GQ29" s="2845"/>
      <c r="GR29" s="2845"/>
      <c r="GS29" s="2845"/>
      <c r="GT29" s="2845"/>
      <c r="GU29" s="2845"/>
      <c r="GV29" s="2845"/>
      <c r="GW29" s="2845"/>
      <c r="GX29" s="2845"/>
      <c r="GY29" s="2845"/>
      <c r="GZ29" s="2847"/>
      <c r="HA29" s="2847"/>
      <c r="HB29" s="2847"/>
      <c r="HC29" s="2845"/>
      <c r="HD29" s="2845"/>
      <c r="HE29" s="2845"/>
      <c r="HF29" s="2845"/>
      <c r="HG29" s="2845"/>
      <c r="HH29" s="2845"/>
      <c r="HI29" s="2845"/>
      <c r="HJ29" s="2845"/>
      <c r="HK29" s="2845"/>
      <c r="HL29" s="2845"/>
      <c r="HM29" s="2845"/>
      <c r="HN29" s="2845"/>
      <c r="HO29" s="2845"/>
      <c r="HP29" s="2845"/>
      <c r="HQ29" s="2845"/>
      <c r="HR29" s="2845"/>
      <c r="HS29" s="2845"/>
      <c r="HT29" s="2845"/>
      <c r="HU29" s="2845"/>
      <c r="HV29" s="2845"/>
      <c r="HW29" s="2845"/>
      <c r="HX29" s="2845"/>
      <c r="HY29" s="2845"/>
      <c r="HZ29" s="2845"/>
      <c r="IA29" s="2845"/>
      <c r="IB29" s="2845"/>
      <c r="IC29" s="2845"/>
      <c r="ID29" s="2845"/>
      <c r="IE29" s="2845"/>
      <c r="IF29" s="2845"/>
      <c r="IG29" s="2845"/>
      <c r="IH29" s="2845"/>
      <c r="II29" s="2845"/>
      <c r="IJ29" s="2845"/>
      <c r="IK29" s="2845"/>
      <c r="IL29" s="2845"/>
      <c r="IM29" s="2845"/>
      <c r="IN29" s="2845"/>
      <c r="IO29" s="2845"/>
      <c r="IP29" s="2845"/>
      <c r="IQ29" s="2845"/>
      <c r="IR29" s="2845"/>
      <c r="IS29" s="2845"/>
      <c r="IT29" s="2845"/>
      <c r="IU29" s="2845"/>
      <c r="IV29" s="2845"/>
      <c r="IW29" s="2845"/>
      <c r="IX29" s="2845"/>
      <c r="IY29" s="4035"/>
      <c r="IZ29" s="2845"/>
      <c r="JA29" s="2845"/>
      <c r="JB29" s="4307"/>
      <c r="JC29" s="2845"/>
      <c r="JD29" s="2845"/>
      <c r="JE29" s="2845"/>
      <c r="JF29" s="2845"/>
      <c r="JG29" s="4131"/>
      <c r="JH29" s="1233"/>
      <c r="JI29" s="1393" t="s">
        <v>5593</v>
      </c>
      <c r="JJ29" s="1660" t="s">
        <v>6108</v>
      </c>
    </row>
    <row ht="12.75" r="30" spans="1:270" x14ac:dyDescent="0.2">
      <c r="A30" s="1128">
        <v>29</v>
      </c>
      <c r="B30" s="1678" t="str">
        <f si="0" t="shared"/>
        <v/>
      </c>
      <c r="C30" s="1682" t="s">
        <v>3716</v>
      </c>
      <c r="D30" s="1125" t="s">
        <v>6083</v>
      </c>
      <c r="E30" s="4130"/>
      <c r="F30" s="4130"/>
      <c r="G30" s="4130"/>
      <c r="H30" s="4130"/>
      <c r="I30" s="4130"/>
      <c r="J30" s="4130"/>
      <c r="K30" s="4130"/>
      <c r="L30" s="4130"/>
      <c r="M30" s="4130"/>
      <c r="N30" s="2845"/>
      <c r="O30" s="2845"/>
      <c r="P30" s="2845"/>
      <c r="Q30" s="2845"/>
      <c r="R30" s="2845"/>
      <c r="S30" s="2845"/>
      <c r="T30" s="2845"/>
      <c r="U30" s="2845"/>
      <c r="V30" s="2845"/>
      <c r="W30" s="2845"/>
      <c r="X30" s="2845"/>
      <c r="Y30" s="2845"/>
      <c r="Z30" s="2845"/>
      <c r="AA30" s="2845"/>
      <c r="AB30" s="2845"/>
      <c r="AC30" s="2845"/>
      <c r="AD30" s="2507"/>
      <c r="AE30" s="2507"/>
      <c r="AF30" s="2507"/>
      <c r="AG30" s="2507"/>
      <c r="AH30" s="2507"/>
      <c r="AI30" s="2845"/>
      <c r="AJ30" s="2856"/>
      <c r="AK30" s="2845"/>
      <c r="AL30" s="2845"/>
      <c r="AM30" s="2845"/>
      <c r="AN30" s="2845"/>
      <c r="AO30" s="2845"/>
      <c r="AP30" s="2845"/>
      <c r="AQ30" s="2845"/>
      <c r="AR30" s="2845"/>
      <c r="AS30" s="2845"/>
      <c r="AT30" s="2845"/>
      <c r="AU30" s="2845"/>
      <c r="AV30" s="2845"/>
      <c r="AW30" s="2845"/>
      <c r="AX30" s="2845"/>
      <c r="AY30" s="2845"/>
      <c r="AZ30" s="2845"/>
      <c r="BA30" s="2845"/>
      <c r="BB30" s="2845"/>
      <c r="BC30" s="2856"/>
      <c r="BD30" s="2856"/>
      <c r="BE30" s="2845"/>
      <c r="BF30" s="2845"/>
      <c r="BG30" s="2845"/>
      <c r="BH30" s="2845"/>
      <c r="BI30" s="2845"/>
      <c r="BJ30" s="2845"/>
      <c r="BK30" s="2845"/>
      <c r="BL30" s="2845"/>
      <c r="BM30" s="2845"/>
      <c r="BN30" s="2845"/>
      <c r="BO30" s="2845"/>
      <c r="BP30" s="2845"/>
      <c r="BQ30" s="2845"/>
      <c r="BR30" s="2845"/>
      <c r="BS30" s="2845"/>
      <c r="BT30" s="2845"/>
      <c r="BU30" s="2845"/>
      <c r="BV30" s="2845"/>
      <c r="BW30" s="2845"/>
      <c r="BX30" s="2845"/>
      <c r="BY30" s="2845"/>
      <c r="BZ30" s="2845"/>
      <c r="CA30" s="2845"/>
      <c r="CB30" s="2845"/>
      <c r="CC30" s="2845"/>
      <c r="CD30" s="2845"/>
      <c r="CE30" s="2845"/>
      <c r="CF30" s="2845"/>
      <c r="CG30" s="2845"/>
      <c r="CH30" s="2845"/>
      <c r="CI30" s="2856">
        <v>322</v>
      </c>
      <c r="CJ30" s="2845"/>
      <c r="CK30" s="2845"/>
      <c r="CL30" s="2845"/>
      <c r="CM30" s="2845"/>
      <c r="CN30" s="2845"/>
      <c r="CO30" s="2845"/>
      <c r="CP30" s="2845"/>
      <c r="CQ30" s="2845"/>
      <c r="CR30" s="2845"/>
      <c r="CS30" s="2845"/>
      <c r="CT30" s="2845"/>
      <c r="CU30" s="2845"/>
      <c r="CV30" s="2845"/>
      <c r="CW30" s="2856">
        <v>1540</v>
      </c>
      <c r="CX30" s="2856">
        <v>1540</v>
      </c>
      <c r="CY30" s="2845"/>
      <c r="CZ30" s="2845"/>
      <c r="DA30" s="2845"/>
      <c r="DB30" s="2845"/>
      <c r="DC30" s="2845"/>
      <c r="DD30" s="2856">
        <v>322</v>
      </c>
      <c r="DE30" s="2845"/>
      <c r="DF30" s="2845"/>
      <c r="DG30" s="2856"/>
      <c r="DH30" s="2845"/>
      <c r="DI30" s="2845"/>
      <c r="DJ30" s="2845"/>
      <c r="DK30" s="2845"/>
      <c r="DL30" s="2845"/>
      <c r="DM30" s="2856">
        <v>322</v>
      </c>
      <c r="DN30" s="2845"/>
      <c r="DO30" s="2845"/>
      <c r="DP30" s="2845"/>
      <c r="DQ30" s="2845"/>
      <c r="DR30" s="2845"/>
      <c r="DS30" s="2845"/>
      <c r="DT30" s="2845"/>
      <c r="DU30" s="2856">
        <v>322</v>
      </c>
      <c r="DV30" s="2845"/>
      <c r="DW30" s="2845"/>
      <c r="DX30" s="2845"/>
      <c r="DY30" s="2845"/>
      <c r="DZ30" s="2845"/>
      <c r="EA30" s="2845"/>
      <c r="EB30" s="2845"/>
      <c r="EC30" s="2845"/>
      <c r="ED30" s="2845"/>
      <c r="EE30" s="2845"/>
      <c r="EF30" s="2845"/>
      <c r="EG30" s="2845"/>
      <c r="EH30" s="2845"/>
      <c r="EI30" s="2845"/>
      <c r="EJ30" s="2845"/>
      <c r="EK30" s="2845"/>
      <c r="EL30" s="2845"/>
      <c r="EM30" s="2845"/>
      <c r="EN30" s="2845"/>
      <c r="EO30" s="2845"/>
      <c r="EP30" s="2845"/>
      <c r="EQ30" s="2845"/>
      <c r="ER30" s="2845"/>
      <c r="ES30" s="2845"/>
      <c r="ET30" s="2845"/>
      <c r="EU30" s="2845"/>
      <c r="EV30" s="2845"/>
      <c r="EW30" s="2845"/>
      <c r="EX30" s="2845"/>
      <c r="EY30" s="2845"/>
      <c r="EZ30" s="2845"/>
      <c r="FA30" s="2845"/>
      <c r="FB30" s="2845"/>
      <c r="FC30" s="2845"/>
      <c r="FD30" s="2856"/>
      <c r="FE30" s="2845"/>
      <c r="FF30" s="2856"/>
      <c r="FG30" s="2845"/>
      <c r="FH30" s="2845"/>
      <c r="FI30" s="2856"/>
      <c r="FJ30" s="2856"/>
      <c r="FK30" s="2845"/>
      <c r="FL30" s="2845"/>
      <c r="FM30" s="2845"/>
      <c r="FN30" s="2845"/>
      <c r="FO30" s="2845"/>
      <c r="FP30" s="2845"/>
      <c r="FQ30" s="2845"/>
      <c r="FR30" s="2845"/>
      <c r="FS30" s="2845"/>
      <c r="FT30" s="2845"/>
      <c r="FU30" s="2845"/>
      <c r="FV30" s="2845"/>
      <c r="FW30" s="2845"/>
      <c r="FX30" s="2845"/>
      <c r="FY30" s="2845"/>
      <c r="FZ30" s="2845"/>
      <c r="GA30" s="2845"/>
      <c r="GB30" s="2845"/>
      <c r="GC30" s="2845"/>
      <c r="GD30" s="2845"/>
      <c r="GE30" s="2845"/>
      <c r="GF30" s="2845"/>
      <c r="GG30" s="2845"/>
      <c r="GH30" s="2845"/>
      <c r="GI30" s="2845"/>
      <c r="GJ30" s="2845"/>
      <c r="GK30" s="2845"/>
      <c r="GL30" s="2856">
        <v>1540</v>
      </c>
      <c r="GM30" s="2856">
        <v>1540</v>
      </c>
      <c r="GN30" s="2845"/>
      <c r="GO30" s="2845"/>
      <c r="GP30" s="2845"/>
      <c r="GQ30" s="2845"/>
      <c r="GR30" s="2845"/>
      <c r="GS30" s="2845"/>
      <c r="GT30" s="2845"/>
      <c r="GU30" s="2845"/>
      <c r="GV30" s="2845"/>
      <c r="GW30" s="2845"/>
      <c r="GX30" s="2845"/>
      <c r="GY30" s="2845"/>
      <c r="GZ30" s="2847"/>
      <c r="HA30" s="2847"/>
      <c r="HB30" s="2856">
        <v>501</v>
      </c>
      <c r="HC30" s="2845"/>
      <c r="HD30" s="2845"/>
      <c r="HE30" s="2845"/>
      <c r="HF30" s="2845"/>
      <c r="HG30" s="2845"/>
      <c r="HH30" s="2845"/>
      <c r="HI30" s="2845"/>
      <c r="HJ30" s="2845"/>
      <c r="HK30" s="2845"/>
      <c r="HL30" s="2845"/>
      <c r="HM30" s="2845"/>
      <c r="HN30" s="2845"/>
      <c r="HO30" s="2845"/>
      <c r="HP30" s="2845"/>
      <c r="HQ30" s="2845"/>
      <c r="HR30" s="2845"/>
      <c r="HS30" s="2845"/>
      <c r="HT30" s="2845"/>
      <c r="HU30" s="2845"/>
      <c r="HV30" s="2845"/>
      <c r="HW30" s="2845"/>
      <c r="HX30" s="2845"/>
      <c r="HY30" s="2845"/>
      <c r="HZ30" s="2845"/>
      <c r="IA30" s="2845"/>
      <c r="IB30" s="2845"/>
      <c r="IC30" s="2845"/>
      <c r="ID30" s="2845"/>
      <c r="IE30" s="2845"/>
      <c r="IF30" s="2845"/>
      <c r="IG30" s="2845"/>
      <c r="IH30" s="2845"/>
      <c r="II30" s="2845"/>
      <c r="IJ30" s="2845"/>
      <c r="IK30" s="2845"/>
      <c r="IL30" s="2845"/>
      <c r="IM30" s="2845"/>
      <c r="IN30" s="2845"/>
      <c r="IO30" s="2845"/>
      <c r="IP30" s="2845"/>
      <c r="IQ30" s="2845"/>
      <c r="IR30" s="2845"/>
      <c r="IS30" s="2845"/>
      <c r="IT30" s="2845"/>
      <c r="IU30" s="2845"/>
      <c r="IV30" s="2845"/>
      <c r="IW30" s="2845"/>
      <c r="IX30" s="2845"/>
      <c r="IY30" s="4035"/>
      <c r="IZ30" s="2845"/>
      <c r="JA30" s="2845"/>
      <c r="JB30" s="4307"/>
      <c r="JC30" s="2845"/>
      <c r="JD30" s="2845"/>
      <c r="JE30" s="2845"/>
      <c r="JF30" s="2845"/>
      <c r="JG30" s="4131"/>
      <c r="JH30" s="1233"/>
      <c r="JI30" s="1232"/>
      <c r="JJ30" s="1660" t="s">
        <v>6108</v>
      </c>
    </row>
    <row ht="12.75" r="31" spans="1:270" x14ac:dyDescent="0.2">
      <c r="A31" s="1128">
        <v>30</v>
      </c>
      <c r="B31" s="1678" t="str">
        <f si="0" t="shared"/>
        <v/>
      </c>
      <c r="C31" s="1815" t="s">
        <v>3717</v>
      </c>
      <c r="D31" s="1816" t="s">
        <v>5799</v>
      </c>
      <c r="E31" s="4132"/>
      <c r="F31" s="4132"/>
      <c r="G31" s="4132"/>
      <c r="H31" s="4132"/>
      <c r="I31" s="4132"/>
      <c r="J31" s="4132"/>
      <c r="K31" s="4132"/>
      <c r="L31" s="4132"/>
      <c r="M31" s="4132"/>
      <c r="N31" s="2846"/>
      <c r="O31" s="2846"/>
      <c r="P31" s="2846"/>
      <c r="Q31" s="2846"/>
      <c r="R31" s="2846"/>
      <c r="S31" s="2846"/>
      <c r="T31" s="2846"/>
      <c r="U31" s="2846"/>
      <c r="V31" s="2846"/>
      <c r="W31" s="2846"/>
      <c r="X31" s="2846"/>
      <c r="Y31" s="2846"/>
      <c r="Z31" s="2846"/>
      <c r="AA31" s="2846"/>
      <c r="AB31" s="2846"/>
      <c r="AC31" s="2846"/>
      <c r="AD31" s="3545"/>
      <c r="AE31" s="3545"/>
      <c r="AF31" s="3545"/>
      <c r="AG31" s="3545"/>
      <c r="AH31" s="3545"/>
      <c r="AI31" s="2846"/>
      <c r="AJ31" s="2846"/>
      <c r="AK31" s="2846"/>
      <c r="AL31" s="2846"/>
      <c r="AM31" s="2846"/>
      <c r="AN31" s="2846"/>
      <c r="AO31" s="2846"/>
      <c r="AP31" s="2846"/>
      <c r="AQ31" s="2846"/>
      <c r="AR31" s="2846"/>
      <c r="AS31" s="2846"/>
      <c r="AT31" s="2846"/>
      <c r="AU31" s="2846"/>
      <c r="AV31" s="2846"/>
      <c r="AW31" s="2846"/>
      <c r="AX31" s="2846"/>
      <c r="AY31" s="2846"/>
      <c r="AZ31" s="2846"/>
      <c r="BA31" s="2846"/>
      <c r="BB31" s="2846"/>
      <c r="BC31" s="2857"/>
      <c r="BD31" s="2857"/>
      <c r="BE31" s="2846"/>
      <c r="BF31" s="2846"/>
      <c r="BG31" s="2846"/>
      <c r="BH31" s="2846"/>
      <c r="BI31" s="2846"/>
      <c r="BJ31" s="2846"/>
      <c r="BK31" s="2846"/>
      <c r="BL31" s="2846"/>
      <c r="BM31" s="2846"/>
      <c r="BN31" s="2846"/>
      <c r="BO31" s="2846"/>
      <c r="BP31" s="2846"/>
      <c r="BQ31" s="2846"/>
      <c r="BR31" s="2846"/>
      <c r="BS31" s="2846"/>
      <c r="BT31" s="2846"/>
      <c r="BU31" s="2846"/>
      <c r="BV31" s="2846"/>
      <c r="BW31" s="2846"/>
      <c r="BX31" s="2846"/>
      <c r="BY31" s="2846"/>
      <c r="BZ31" s="2846"/>
      <c r="CA31" s="2846"/>
      <c r="CB31" s="2846"/>
      <c r="CC31" s="2846"/>
      <c r="CD31" s="2846"/>
      <c r="CE31" s="2846"/>
      <c r="CF31" s="2846"/>
      <c r="CG31" s="2846"/>
      <c r="CH31" s="2846"/>
      <c r="CI31" s="2857"/>
      <c r="CJ31" s="2846"/>
      <c r="CK31" s="2846"/>
      <c r="CL31" s="2846"/>
      <c r="CM31" s="2846"/>
      <c r="CN31" s="2846"/>
      <c r="CO31" s="2846"/>
      <c r="CP31" s="2846"/>
      <c r="CQ31" s="2846"/>
      <c r="CR31" s="2846"/>
      <c r="CS31" s="2846"/>
      <c r="CT31" s="2846"/>
      <c r="CU31" s="2846"/>
      <c r="CV31" s="2846"/>
      <c r="CW31" s="2857"/>
      <c r="CX31" s="2857"/>
      <c r="CY31" s="2846"/>
      <c r="CZ31" s="2846"/>
      <c r="DA31" s="2846"/>
      <c r="DB31" s="2846"/>
      <c r="DC31" s="2846"/>
      <c r="DD31" s="2857"/>
      <c r="DE31" s="2846"/>
      <c r="DF31" s="2846"/>
      <c r="DG31" s="2857"/>
      <c r="DH31" s="2846"/>
      <c r="DI31" s="2846"/>
      <c r="DJ31" s="2846"/>
      <c r="DK31" s="2846"/>
      <c r="DL31" s="2846"/>
      <c r="DM31" s="2857"/>
      <c r="DN31" s="2846"/>
      <c r="DO31" s="2846"/>
      <c r="DP31" s="2846"/>
      <c r="DQ31" s="2846"/>
      <c r="DR31" s="2846"/>
      <c r="DS31" s="2846"/>
      <c r="DT31" s="2846"/>
      <c r="DU31" s="2857"/>
      <c r="DV31" s="2846"/>
      <c r="DW31" s="2846"/>
      <c r="DX31" s="2846"/>
      <c r="DY31" s="2846"/>
      <c r="DZ31" s="2846"/>
      <c r="EA31" s="2846"/>
      <c r="EB31" s="2846"/>
      <c r="EC31" s="2846"/>
      <c r="ED31" s="2846"/>
      <c r="EE31" s="2846"/>
      <c r="EF31" s="2846"/>
      <c r="EG31" s="2846"/>
      <c r="EH31" s="2846"/>
      <c r="EI31" s="2846"/>
      <c r="EJ31" s="2846"/>
      <c r="EK31" s="2846"/>
      <c r="EL31" s="2846"/>
      <c r="EM31" s="2846"/>
      <c r="EN31" s="2846"/>
      <c r="EO31" s="2846"/>
      <c r="EP31" s="2846"/>
      <c r="EQ31" s="2846"/>
      <c r="ER31" s="2846"/>
      <c r="ES31" s="2846"/>
      <c r="ET31" s="2846"/>
      <c r="EU31" s="2846"/>
      <c r="EV31" s="2846"/>
      <c r="EW31" s="2846"/>
      <c r="EX31" s="2846"/>
      <c r="EY31" s="2846"/>
      <c r="EZ31" s="2846"/>
      <c r="FA31" s="2846"/>
      <c r="FB31" s="2846"/>
      <c r="FC31" s="2846"/>
      <c r="FD31" s="2857"/>
      <c r="FE31" s="2846"/>
      <c r="FF31" s="2857"/>
      <c r="FG31" s="2846"/>
      <c r="FH31" s="2846"/>
      <c r="FI31" s="2857"/>
      <c r="FJ31" s="2857"/>
      <c r="FK31" s="2846"/>
      <c r="FL31" s="2846"/>
      <c r="FM31" s="2846"/>
      <c r="FN31" s="2846"/>
      <c r="FO31" s="2846"/>
      <c r="FP31" s="2846"/>
      <c r="FQ31" s="2846"/>
      <c r="FR31" s="2846"/>
      <c r="FS31" s="2846"/>
      <c r="FT31" s="2846"/>
      <c r="FU31" s="2846"/>
      <c r="FV31" s="2846"/>
      <c r="FW31" s="2846"/>
      <c r="FX31" s="2846"/>
      <c r="FY31" s="2846"/>
      <c r="FZ31" s="2846"/>
      <c r="GA31" s="2846"/>
      <c r="GB31" s="2846"/>
      <c r="GC31" s="2846"/>
      <c r="GD31" s="2846"/>
      <c r="GE31" s="2846"/>
      <c r="GF31" s="2846"/>
      <c r="GG31" s="2846"/>
      <c r="GH31" s="2846"/>
      <c r="GI31" s="2846"/>
      <c r="GJ31" s="2846"/>
      <c r="GK31" s="2846"/>
      <c r="GL31" s="2857"/>
      <c r="GM31" s="2857"/>
      <c r="GN31" s="2846"/>
      <c r="GO31" s="2846"/>
      <c r="GP31" s="2846"/>
      <c r="GQ31" s="2846"/>
      <c r="GR31" s="2846"/>
      <c r="GS31" s="2846"/>
      <c r="GT31" s="2846"/>
      <c r="GU31" s="2846"/>
      <c r="GV31" s="2846"/>
      <c r="GW31" s="2846"/>
      <c r="GX31" s="2846"/>
      <c r="GY31" s="2846"/>
      <c r="GZ31" s="2857"/>
      <c r="HA31" s="2857"/>
      <c r="HB31" s="2857"/>
      <c r="HC31" s="2846"/>
      <c r="HD31" s="2846"/>
      <c r="HE31" s="2846"/>
      <c r="HF31" s="2846"/>
      <c r="HG31" s="2846"/>
      <c r="HH31" s="2846"/>
      <c r="HI31" s="2846"/>
      <c r="HJ31" s="2846"/>
      <c r="HK31" s="2846"/>
      <c r="HL31" s="2846"/>
      <c r="HM31" s="2846"/>
      <c r="HN31" s="2846"/>
      <c r="HO31" s="2846"/>
      <c r="HP31" s="2846"/>
      <c r="HQ31" s="2846"/>
      <c r="HR31" s="2846"/>
      <c r="HS31" s="2846"/>
      <c r="HT31" s="2846"/>
      <c r="HU31" s="2846"/>
      <c r="HV31" s="2846"/>
      <c r="HW31" s="2846"/>
      <c r="HX31" s="2846"/>
      <c r="HY31" s="2846"/>
      <c r="HZ31" s="2846"/>
      <c r="IA31" s="2846"/>
      <c r="IB31" s="2846"/>
      <c r="IC31" s="2846"/>
      <c r="ID31" s="2846"/>
      <c r="IE31" s="2846"/>
      <c r="IF31" s="2846"/>
      <c r="IG31" s="2846"/>
      <c r="IH31" s="2846"/>
      <c r="II31" s="2846"/>
      <c r="IJ31" s="2846"/>
      <c r="IK31" s="2846"/>
      <c r="IL31" s="2846"/>
      <c r="IM31" s="2846"/>
      <c r="IN31" s="2846"/>
      <c r="IO31" s="2846"/>
      <c r="IP31" s="2846"/>
      <c r="IQ31" s="2846"/>
      <c r="IR31" s="2846"/>
      <c r="IS31" s="2846"/>
      <c r="IT31" s="2846"/>
      <c r="IU31" s="2846"/>
      <c r="IV31" s="2846"/>
      <c r="IW31" s="2846"/>
      <c r="IX31" s="2846"/>
      <c r="IY31" s="4035"/>
      <c r="IZ31" s="2846"/>
      <c r="JA31" s="2846"/>
      <c r="JB31" s="4307"/>
      <c r="JC31" s="2846"/>
      <c r="JD31" s="2846"/>
      <c r="JE31" s="2846"/>
      <c r="JF31" s="2846"/>
      <c r="JG31" s="4133"/>
      <c r="JH31" s="1233"/>
      <c r="JI31" s="1232"/>
      <c r="JJ31" s="1660" t="s">
        <v>6108</v>
      </c>
    </row>
    <row ht="12.75" r="32" spans="1:270" x14ac:dyDescent="0.2">
      <c r="A32" s="1128">
        <v>31</v>
      </c>
      <c r="B32" s="1678" t="str">
        <f si="0" t="shared"/>
        <v/>
      </c>
      <c r="C32" s="1682" t="s">
        <v>1571</v>
      </c>
      <c r="D32" s="1125" t="s">
        <v>6084</v>
      </c>
      <c r="E32" s="4130"/>
      <c r="F32" s="4130"/>
      <c r="G32" s="4130"/>
      <c r="H32" s="4130"/>
      <c r="I32" s="4130"/>
      <c r="J32" s="4130"/>
      <c r="K32" s="4130"/>
      <c r="L32" s="4130"/>
      <c r="M32" s="4130"/>
      <c r="N32" s="2845"/>
      <c r="O32" s="2845"/>
      <c r="P32" s="2845"/>
      <c r="Q32" s="2845"/>
      <c r="R32" s="2845"/>
      <c r="S32" s="2845"/>
      <c r="T32" s="2845"/>
      <c r="U32" s="2845"/>
      <c r="V32" s="2845"/>
      <c r="W32" s="2845"/>
      <c r="X32" s="2845"/>
      <c r="Y32" s="2845"/>
      <c r="Z32" s="2845"/>
      <c r="AA32" s="2845"/>
      <c r="AB32" s="2845"/>
      <c r="AC32" s="2845"/>
      <c r="AD32" s="2507"/>
      <c r="AE32" s="2507"/>
      <c r="AF32" s="2507"/>
      <c r="AG32" s="2507"/>
      <c r="AH32" s="2507"/>
      <c r="AI32" s="2845"/>
      <c r="AJ32" s="2856"/>
      <c r="AK32" s="2845"/>
      <c r="AL32" s="2845"/>
      <c r="AM32" s="2845"/>
      <c r="AN32" s="2845"/>
      <c r="AO32" s="2845"/>
      <c r="AP32" s="2845"/>
      <c r="AQ32" s="2845"/>
      <c r="AR32" s="2845"/>
      <c r="AS32" s="2845"/>
      <c r="AT32" s="2845"/>
      <c r="AU32" s="2845"/>
      <c r="AV32" s="2845"/>
      <c r="AW32" s="2845"/>
      <c r="AX32" s="2845"/>
      <c r="AY32" s="2845"/>
      <c r="AZ32" s="2845"/>
      <c r="BA32" s="2845"/>
      <c r="BB32" s="2845"/>
      <c r="BC32" s="2847"/>
      <c r="BD32" s="2847"/>
      <c r="BE32" s="2845"/>
      <c r="BF32" s="2845"/>
      <c r="BG32" s="2845"/>
      <c r="BH32" s="2845"/>
      <c r="BI32" s="2845"/>
      <c r="BJ32" s="2845"/>
      <c r="BK32" s="2845"/>
      <c r="BL32" s="2845"/>
      <c r="BM32" s="2845"/>
      <c r="BN32" s="2845"/>
      <c r="BO32" s="2845"/>
      <c r="BP32" s="2845"/>
      <c r="BQ32" s="2845"/>
      <c r="BR32" s="2845"/>
      <c r="BS32" s="2845"/>
      <c r="BT32" s="2845"/>
      <c r="BU32" s="2845"/>
      <c r="BV32" s="2845"/>
      <c r="BW32" s="2845"/>
      <c r="BX32" s="2845"/>
      <c r="BY32" s="2845"/>
      <c r="BZ32" s="2845"/>
      <c r="CA32" s="2845"/>
      <c r="CB32" s="2845"/>
      <c r="CC32" s="2845"/>
      <c r="CD32" s="2845"/>
      <c r="CE32" s="2845"/>
      <c r="CF32" s="2845"/>
      <c r="CG32" s="2845"/>
      <c r="CH32" s="2845"/>
      <c r="CI32" s="2847"/>
      <c r="CJ32" s="2845"/>
      <c r="CK32" s="2845"/>
      <c r="CL32" s="2845"/>
      <c r="CM32" s="2845"/>
      <c r="CN32" s="2845"/>
      <c r="CO32" s="2845"/>
      <c r="CP32" s="2845"/>
      <c r="CQ32" s="2845"/>
      <c r="CR32" s="2845"/>
      <c r="CS32" s="2845"/>
      <c r="CT32" s="2845"/>
      <c r="CU32" s="2845"/>
      <c r="CV32" s="2845"/>
      <c r="CW32" s="2847"/>
      <c r="CX32" s="2847">
        <v>469</v>
      </c>
      <c r="CY32" s="2845"/>
      <c r="CZ32" s="2845"/>
      <c r="DA32" s="2845"/>
      <c r="DB32" s="2845"/>
      <c r="DC32" s="2845"/>
      <c r="DD32" s="2847"/>
      <c r="DE32" s="2845"/>
      <c r="DF32" s="2845"/>
      <c r="DG32" s="2847"/>
      <c r="DH32" s="2845"/>
      <c r="DI32" s="2845"/>
      <c r="DJ32" s="2845"/>
      <c r="DK32" s="2845"/>
      <c r="DL32" s="2845"/>
      <c r="DM32" s="2847"/>
      <c r="DN32" s="2845"/>
      <c r="DO32" s="2845"/>
      <c r="DP32" s="2845"/>
      <c r="DQ32" s="2845"/>
      <c r="DR32" s="2845"/>
      <c r="DS32" s="2845"/>
      <c r="DT32" s="2845"/>
      <c r="DU32" s="2847"/>
      <c r="DV32" s="2845"/>
      <c r="DW32" s="2845"/>
      <c r="DX32" s="2845"/>
      <c r="DY32" s="2845"/>
      <c r="DZ32" s="2845"/>
      <c r="EA32" s="2845"/>
      <c r="EB32" s="2845"/>
      <c r="EC32" s="2845"/>
      <c r="ED32" s="2845"/>
      <c r="EE32" s="2845"/>
      <c r="EF32" s="2845"/>
      <c r="EG32" s="2845"/>
      <c r="EH32" s="2845"/>
      <c r="EI32" s="2845"/>
      <c r="EJ32" s="2845"/>
      <c r="EK32" s="2845"/>
      <c r="EL32" s="2845"/>
      <c r="EM32" s="2845"/>
      <c r="EN32" s="2845"/>
      <c r="EO32" s="2845"/>
      <c r="EP32" s="2845"/>
      <c r="EQ32" s="2845"/>
      <c r="ER32" s="2845"/>
      <c r="ES32" s="2845"/>
      <c r="ET32" s="2845"/>
      <c r="EU32" s="2845"/>
      <c r="EV32" s="2845"/>
      <c r="EW32" s="2845"/>
      <c r="EX32" s="2845"/>
      <c r="EY32" s="2845"/>
      <c r="EZ32" s="2845"/>
      <c r="FA32" s="2845"/>
      <c r="FB32" s="2845"/>
      <c r="FC32" s="2845"/>
      <c r="FD32" s="2847"/>
      <c r="FE32" s="2845"/>
      <c r="FF32" s="2847"/>
      <c r="FG32" s="2845"/>
      <c r="FH32" s="2845"/>
      <c r="FI32" s="2847"/>
      <c r="FJ32" s="2847"/>
      <c r="FK32" s="2845"/>
      <c r="FL32" s="2845"/>
      <c r="FM32" s="2845"/>
      <c r="FN32" s="2845"/>
      <c r="FO32" s="2845"/>
      <c r="FP32" s="2845"/>
      <c r="FQ32" s="2845"/>
      <c r="FR32" s="2845"/>
      <c r="FS32" s="2845"/>
      <c r="FT32" s="2845"/>
      <c r="FU32" s="2845"/>
      <c r="FV32" s="2845"/>
      <c r="FW32" s="2845"/>
      <c r="FX32" s="2845"/>
      <c r="FY32" s="2845"/>
      <c r="FZ32" s="2845"/>
      <c r="GA32" s="2845"/>
      <c r="GB32" s="2845"/>
      <c r="GC32" s="2845"/>
      <c r="GD32" s="2845"/>
      <c r="GE32" s="2845"/>
      <c r="GF32" s="2845"/>
      <c r="GG32" s="2845"/>
      <c r="GH32" s="2845"/>
      <c r="GI32" s="2845"/>
      <c r="GJ32" s="2845"/>
      <c r="GK32" s="2845"/>
      <c r="GL32" s="2847"/>
      <c r="GM32" s="2847"/>
      <c r="GN32" s="2845"/>
      <c r="GO32" s="2845"/>
      <c r="GP32" s="2845"/>
      <c r="GQ32" s="2845"/>
      <c r="GR32" s="2845"/>
      <c r="GS32" s="2845"/>
      <c r="GT32" s="2845"/>
      <c r="GU32" s="2845"/>
      <c r="GV32" s="2845"/>
      <c r="GW32" s="2845"/>
      <c r="GX32" s="2845"/>
      <c r="GY32" s="2845"/>
      <c r="GZ32" s="2847"/>
      <c r="HA32" s="2847"/>
      <c r="HB32" s="2847"/>
      <c r="HC32" s="2845"/>
      <c r="HD32" s="2845"/>
      <c r="HE32" s="2845"/>
      <c r="HF32" s="2845"/>
      <c r="HG32" s="2845"/>
      <c r="HH32" s="2845"/>
      <c r="HI32" s="2845"/>
      <c r="HJ32" s="2845"/>
      <c r="HK32" s="2845"/>
      <c r="HL32" s="2845"/>
      <c r="HM32" s="2845"/>
      <c r="HN32" s="2845"/>
      <c r="HO32" s="2845"/>
      <c r="HP32" s="2845"/>
      <c r="HQ32" s="2845"/>
      <c r="HR32" s="2845"/>
      <c r="HS32" s="2845"/>
      <c r="HT32" s="2845"/>
      <c r="HU32" s="2845"/>
      <c r="HV32" s="2845"/>
      <c r="HW32" s="2845"/>
      <c r="HX32" s="2845"/>
      <c r="HY32" s="2845"/>
      <c r="HZ32" s="2845"/>
      <c r="IA32" s="2845"/>
      <c r="IB32" s="2845"/>
      <c r="IC32" s="2845"/>
      <c r="ID32" s="2845"/>
      <c r="IE32" s="2845"/>
      <c r="IF32" s="2845"/>
      <c r="IG32" s="2845"/>
      <c r="IH32" s="2845"/>
      <c r="II32" s="2845"/>
      <c r="IJ32" s="2845"/>
      <c r="IK32" s="2845"/>
      <c r="IL32" s="2845"/>
      <c r="IM32" s="2845"/>
      <c r="IN32" s="2845"/>
      <c r="IO32" s="2845"/>
      <c r="IP32" s="2845"/>
      <c r="IQ32" s="2845"/>
      <c r="IR32" s="2845"/>
      <c r="IS32" s="2845"/>
      <c r="IT32" s="2845"/>
      <c r="IU32" s="2845"/>
      <c r="IV32" s="2845"/>
      <c r="IW32" s="2845"/>
      <c r="IX32" s="2845"/>
      <c r="IY32" s="4035"/>
      <c r="IZ32" s="2845"/>
      <c r="JA32" s="2845"/>
      <c r="JB32" s="4307"/>
      <c r="JC32" s="2845"/>
      <c r="JD32" s="2845"/>
      <c r="JE32" s="2845"/>
      <c r="JF32" s="2845"/>
      <c r="JG32" s="4131"/>
      <c r="JH32" s="1233"/>
      <c r="JI32" s="1232"/>
      <c r="JJ32" s="1660" t="s">
        <v>6124</v>
      </c>
    </row>
    <row ht="12.75" r="33" spans="1:270" x14ac:dyDescent="0.2">
      <c r="A33" s="1128">
        <v>32</v>
      </c>
      <c r="B33" s="1678" t="str">
        <f si="0" t="shared"/>
        <v/>
      </c>
      <c r="C33" s="1682" t="s">
        <v>2412</v>
      </c>
      <c r="D33" s="1125" t="s">
        <v>6085</v>
      </c>
      <c r="E33" s="4130"/>
      <c r="F33" s="4130"/>
      <c r="G33" s="4130"/>
      <c r="H33" s="4130"/>
      <c r="I33" s="4130"/>
      <c r="J33" s="4130"/>
      <c r="K33" s="4130"/>
      <c r="L33" s="4130"/>
      <c r="M33" s="4130"/>
      <c r="N33" s="2845"/>
      <c r="O33" s="2845"/>
      <c r="P33" s="2845"/>
      <c r="Q33" s="2845"/>
      <c r="R33" s="2845"/>
      <c r="S33" s="2845"/>
      <c r="T33" s="2845"/>
      <c r="U33" s="2845"/>
      <c r="V33" s="2845"/>
      <c r="W33" s="2845"/>
      <c r="X33" s="2845"/>
      <c r="Y33" s="2845"/>
      <c r="Z33" s="2845"/>
      <c r="AA33" s="2845"/>
      <c r="AB33" s="2845"/>
      <c r="AC33" s="2845"/>
      <c r="AD33" s="2507"/>
      <c r="AE33" s="2507"/>
      <c r="AF33" s="2507"/>
      <c r="AG33" s="2507"/>
      <c r="AH33" s="2507"/>
      <c r="AI33" s="2845"/>
      <c r="AJ33" s="2856"/>
      <c r="AK33" s="2845"/>
      <c r="AL33" s="2845"/>
      <c r="AM33" s="2845"/>
      <c r="AN33" s="2845"/>
      <c r="AO33" s="2845"/>
      <c r="AP33" s="2845"/>
      <c r="AQ33" s="2845"/>
      <c r="AR33" s="2845"/>
      <c r="AS33" s="2845"/>
      <c r="AT33" s="2845"/>
      <c r="AU33" s="2845"/>
      <c r="AV33" s="2845"/>
      <c r="AW33" s="2845"/>
      <c r="AX33" s="2845"/>
      <c r="AY33" s="2845"/>
      <c r="AZ33" s="2845"/>
      <c r="BA33" s="2845"/>
      <c r="BB33" s="2845"/>
      <c r="BC33" s="2847"/>
      <c r="BD33" s="2847"/>
      <c r="BE33" s="2845"/>
      <c r="BF33" s="2845"/>
      <c r="BG33" s="2845"/>
      <c r="BH33" s="2845"/>
      <c r="BI33" s="2845"/>
      <c r="BJ33" s="2845"/>
      <c r="BK33" s="2845"/>
      <c r="BL33" s="2845"/>
      <c r="BM33" s="2845"/>
      <c r="BN33" s="2845"/>
      <c r="BO33" s="2845"/>
      <c r="BP33" s="2845"/>
      <c r="BQ33" s="2845"/>
      <c r="BR33" s="2845"/>
      <c r="BS33" s="2845"/>
      <c r="BT33" s="2845"/>
      <c r="BU33" s="2845"/>
      <c r="BV33" s="2845"/>
      <c r="BW33" s="2845"/>
      <c r="BX33" s="2845"/>
      <c r="BY33" s="2845"/>
      <c r="BZ33" s="2845"/>
      <c r="CA33" s="2845"/>
      <c r="CB33" s="2845"/>
      <c r="CC33" s="2845"/>
      <c r="CD33" s="2845"/>
      <c r="CE33" s="2845"/>
      <c r="CF33" s="2845"/>
      <c r="CG33" s="2845"/>
      <c r="CH33" s="2845"/>
      <c r="CI33" s="2847"/>
      <c r="CJ33" s="2845"/>
      <c r="CK33" s="2845"/>
      <c r="CL33" s="2845"/>
      <c r="CM33" s="2845"/>
      <c r="CN33" s="2845"/>
      <c r="CO33" s="2845"/>
      <c r="CP33" s="2845"/>
      <c r="CQ33" s="2845"/>
      <c r="CR33" s="2845"/>
      <c r="CS33" s="2845"/>
      <c r="CT33" s="2845"/>
      <c r="CU33" s="2845"/>
      <c r="CV33" s="2845"/>
      <c r="CW33" s="2847">
        <v>5640</v>
      </c>
      <c r="CX33" s="2847"/>
      <c r="CY33" s="2845"/>
      <c r="CZ33" s="2845"/>
      <c r="DA33" s="2845"/>
      <c r="DB33" s="2845"/>
      <c r="DC33" s="2845"/>
      <c r="DD33" s="2847"/>
      <c r="DE33" s="2845"/>
      <c r="DF33" s="2845"/>
      <c r="DG33" s="2847"/>
      <c r="DH33" s="2845"/>
      <c r="DI33" s="2845"/>
      <c r="DJ33" s="2845"/>
      <c r="DK33" s="2845"/>
      <c r="DL33" s="2845"/>
      <c r="DM33" s="2847"/>
      <c r="DN33" s="2845"/>
      <c r="DO33" s="2845"/>
      <c r="DP33" s="2845"/>
      <c r="DQ33" s="2845"/>
      <c r="DR33" s="2845"/>
      <c r="DS33" s="2845"/>
      <c r="DT33" s="2845"/>
      <c r="DU33" s="2847"/>
      <c r="DV33" s="2845"/>
      <c r="DW33" s="2845"/>
      <c r="DX33" s="2845"/>
      <c r="DY33" s="2845"/>
      <c r="DZ33" s="2845"/>
      <c r="EA33" s="2845"/>
      <c r="EB33" s="2845"/>
      <c r="EC33" s="2845"/>
      <c r="ED33" s="2845"/>
      <c r="EE33" s="2845"/>
      <c r="EF33" s="2845"/>
      <c r="EG33" s="2845"/>
      <c r="EH33" s="2845"/>
      <c r="EI33" s="2845"/>
      <c r="EJ33" s="2845"/>
      <c r="EK33" s="2845"/>
      <c r="EL33" s="2845"/>
      <c r="EM33" s="2845"/>
      <c r="EN33" s="2845"/>
      <c r="EO33" s="2845"/>
      <c r="EP33" s="2845"/>
      <c r="EQ33" s="2845"/>
      <c r="ER33" s="2845"/>
      <c r="ES33" s="2845"/>
      <c r="ET33" s="2845"/>
      <c r="EU33" s="2845"/>
      <c r="EV33" s="2845"/>
      <c r="EW33" s="2845"/>
      <c r="EX33" s="2845"/>
      <c r="EY33" s="2845"/>
      <c r="EZ33" s="2845"/>
      <c r="FA33" s="2845"/>
      <c r="FB33" s="2845"/>
      <c r="FC33" s="2845"/>
      <c r="FD33" s="2847"/>
      <c r="FE33" s="2845"/>
      <c r="FF33" s="2847"/>
      <c r="FG33" s="2845"/>
      <c r="FH33" s="2845"/>
      <c r="FI33" s="2847"/>
      <c r="FJ33" s="2847"/>
      <c r="FK33" s="2845"/>
      <c r="FL33" s="2845"/>
      <c r="FM33" s="2845"/>
      <c r="FN33" s="2845"/>
      <c r="FO33" s="2845"/>
      <c r="FP33" s="2845"/>
      <c r="FQ33" s="2845"/>
      <c r="FR33" s="2845"/>
      <c r="FS33" s="2845"/>
      <c r="FT33" s="2845"/>
      <c r="FU33" s="2845"/>
      <c r="FV33" s="2845"/>
      <c r="FW33" s="2845"/>
      <c r="FX33" s="2845"/>
      <c r="FY33" s="2845"/>
      <c r="FZ33" s="2845"/>
      <c r="GA33" s="2845"/>
      <c r="GB33" s="2845"/>
      <c r="GC33" s="2845"/>
      <c r="GD33" s="2845"/>
      <c r="GE33" s="2845"/>
      <c r="GF33" s="2845"/>
      <c r="GG33" s="2845"/>
      <c r="GH33" s="2845"/>
      <c r="GI33" s="2845"/>
      <c r="GJ33" s="2845"/>
      <c r="GK33" s="2845"/>
      <c r="GL33" s="2847">
        <v>5640</v>
      </c>
      <c r="GM33" s="2847">
        <v>5640</v>
      </c>
      <c r="GN33" s="2845"/>
      <c r="GO33" s="2845"/>
      <c r="GP33" s="2845"/>
      <c r="GQ33" s="2845"/>
      <c r="GR33" s="2845"/>
      <c r="GS33" s="2845"/>
      <c r="GT33" s="2845"/>
      <c r="GU33" s="2845"/>
      <c r="GV33" s="2845"/>
      <c r="GW33" s="2845"/>
      <c r="GX33" s="2845"/>
      <c r="GY33" s="2845"/>
      <c r="GZ33" s="2847"/>
      <c r="HA33" s="2847"/>
      <c r="HB33" s="2847"/>
      <c r="HC33" s="2845"/>
      <c r="HD33" s="2845"/>
      <c r="HE33" s="2845"/>
      <c r="HF33" s="2845"/>
      <c r="HG33" s="2845"/>
      <c r="HH33" s="2845"/>
      <c r="HI33" s="2845"/>
      <c r="HJ33" s="2845"/>
      <c r="HK33" s="2845"/>
      <c r="HL33" s="2845"/>
      <c r="HM33" s="2845"/>
      <c r="HN33" s="2845"/>
      <c r="HO33" s="2845"/>
      <c r="HP33" s="2845"/>
      <c r="HQ33" s="2845"/>
      <c r="HR33" s="2845"/>
      <c r="HS33" s="2845"/>
      <c r="HT33" s="2845"/>
      <c r="HU33" s="2845"/>
      <c r="HV33" s="2845"/>
      <c r="HW33" s="2845"/>
      <c r="HX33" s="2845"/>
      <c r="HY33" s="2845"/>
      <c r="HZ33" s="2845"/>
      <c r="IA33" s="2845"/>
      <c r="IB33" s="2845"/>
      <c r="IC33" s="2845"/>
      <c r="ID33" s="2845"/>
      <c r="IE33" s="2845"/>
      <c r="IF33" s="2845"/>
      <c r="IG33" s="2845"/>
      <c r="IH33" s="2845"/>
      <c r="II33" s="2845"/>
      <c r="IJ33" s="2845"/>
      <c r="IK33" s="2845"/>
      <c r="IL33" s="2845"/>
      <c r="IM33" s="2845"/>
      <c r="IN33" s="2845"/>
      <c r="IO33" s="2845"/>
      <c r="IP33" s="2845"/>
      <c r="IQ33" s="2845"/>
      <c r="IR33" s="2845"/>
      <c r="IS33" s="2845"/>
      <c r="IT33" s="2845"/>
      <c r="IU33" s="2845"/>
      <c r="IV33" s="2845"/>
      <c r="IW33" s="2845"/>
      <c r="IX33" s="2845"/>
      <c r="IY33" s="4035"/>
      <c r="IZ33" s="2845"/>
      <c r="JA33" s="2845"/>
      <c r="JB33" s="4307"/>
      <c r="JC33" s="2845"/>
      <c r="JD33" s="2845"/>
      <c r="JE33" s="2845"/>
      <c r="JF33" s="2845"/>
      <c r="JG33" s="4131"/>
      <c r="JH33" s="1233"/>
      <c r="JI33" s="1232"/>
      <c r="JJ33" s="1660" t="s">
        <v>6124</v>
      </c>
    </row>
    <row ht="13.5" r="34" spans="1:270" thickBot="1" x14ac:dyDescent="0.25">
      <c r="A34" s="1128">
        <v>33</v>
      </c>
      <c r="B34" s="1678" t="str">
        <f si="0" t="shared"/>
        <v/>
      </c>
      <c r="C34" s="1683" t="s">
        <v>2413</v>
      </c>
      <c r="D34" s="1684" t="s">
        <v>6086</v>
      </c>
      <c r="E34" s="4134"/>
      <c r="F34" s="4134"/>
      <c r="G34" s="4134"/>
      <c r="H34" s="4134"/>
      <c r="I34" s="4134"/>
      <c r="J34" s="4134"/>
      <c r="K34" s="4134"/>
      <c r="L34" s="4134"/>
      <c r="M34" s="4134"/>
      <c r="N34" s="2108"/>
      <c r="O34" s="2108"/>
      <c r="P34" s="2108"/>
      <c r="Q34" s="2108"/>
      <c r="R34" s="2108"/>
      <c r="S34" s="2108"/>
      <c r="T34" s="2108"/>
      <c r="U34" s="2108"/>
      <c r="V34" s="2108"/>
      <c r="W34" s="2108"/>
      <c r="X34" s="2108"/>
      <c r="Y34" s="2108"/>
      <c r="Z34" s="2108"/>
      <c r="AA34" s="2108"/>
      <c r="AB34" s="2108"/>
      <c r="AC34" s="2108"/>
      <c r="AD34" s="3546"/>
      <c r="AE34" s="3546"/>
      <c r="AF34" s="3546"/>
      <c r="AG34" s="3546"/>
      <c r="AH34" s="3546"/>
      <c r="AI34" s="2108"/>
      <c r="AJ34" s="3098"/>
      <c r="AK34" s="2108"/>
      <c r="AL34" s="2108"/>
      <c r="AM34" s="2108"/>
      <c r="AN34" s="2108"/>
      <c r="AO34" s="2108"/>
      <c r="AP34" s="2108"/>
      <c r="AQ34" s="2108"/>
      <c r="AR34" s="2108"/>
      <c r="AS34" s="2108"/>
      <c r="AT34" s="2108"/>
      <c r="AU34" s="2108"/>
      <c r="AV34" s="2108"/>
      <c r="AW34" s="2108"/>
      <c r="AX34" s="2108"/>
      <c r="AY34" s="2108"/>
      <c r="AZ34" s="2108"/>
      <c r="BA34" s="2108"/>
      <c r="BB34" s="2108"/>
      <c r="BC34" s="2858"/>
      <c r="BD34" s="2858"/>
      <c r="BE34" s="2108"/>
      <c r="BF34" s="2108"/>
      <c r="BG34" s="2108"/>
      <c r="BH34" s="2108"/>
      <c r="BI34" s="2108"/>
      <c r="BJ34" s="2108"/>
      <c r="BK34" s="2108"/>
      <c r="BL34" s="2108"/>
      <c r="BM34" s="2108"/>
      <c r="BN34" s="2108"/>
      <c r="BO34" s="2108"/>
      <c r="BP34" s="2108"/>
      <c r="BQ34" s="2108"/>
      <c r="BR34" s="2108"/>
      <c r="BS34" s="2108"/>
      <c r="BT34" s="2108"/>
      <c r="BU34" s="2108"/>
      <c r="BV34" s="2108"/>
      <c r="BW34" s="2108"/>
      <c r="BX34" s="2108"/>
      <c r="BY34" s="2108"/>
      <c r="BZ34" s="2108"/>
      <c r="CA34" s="2108"/>
      <c r="CB34" s="2108"/>
      <c r="CC34" s="2108"/>
      <c r="CD34" s="2108"/>
      <c r="CE34" s="2108"/>
      <c r="CF34" s="2108"/>
      <c r="CG34" s="2108"/>
      <c r="CH34" s="2108"/>
      <c r="CI34" s="2858"/>
      <c r="CJ34" s="2108"/>
      <c r="CK34" s="2108"/>
      <c r="CL34" s="2108"/>
      <c r="CM34" s="2108"/>
      <c r="CN34" s="2108"/>
      <c r="CO34" s="2108"/>
      <c r="CP34" s="2108"/>
      <c r="CQ34" s="2108"/>
      <c r="CR34" s="2108"/>
      <c r="CS34" s="2108"/>
      <c r="CT34" s="2108"/>
      <c r="CU34" s="2108"/>
      <c r="CV34" s="2108"/>
      <c r="CW34" s="2858"/>
      <c r="CX34" s="2858"/>
      <c r="CY34" s="2108"/>
      <c r="CZ34" s="2108"/>
      <c r="DA34" s="2108"/>
      <c r="DB34" s="2108"/>
      <c r="DC34" s="2108"/>
      <c r="DD34" s="2858"/>
      <c r="DE34" s="2108"/>
      <c r="DF34" s="2108"/>
      <c r="DG34" s="2858"/>
      <c r="DH34" s="2108"/>
      <c r="DI34" s="2108"/>
      <c r="DJ34" s="2108"/>
      <c r="DK34" s="2108"/>
      <c r="DL34" s="2108"/>
      <c r="DM34" s="2858"/>
      <c r="DN34" s="2108"/>
      <c r="DO34" s="2108"/>
      <c r="DP34" s="2108"/>
      <c r="DQ34" s="2108"/>
      <c r="DR34" s="2108"/>
      <c r="DS34" s="2108"/>
      <c r="DT34" s="2108"/>
      <c r="DU34" s="2858"/>
      <c r="DV34" s="2108"/>
      <c r="DW34" s="2108"/>
      <c r="DX34" s="2108"/>
      <c r="DY34" s="2108"/>
      <c r="DZ34" s="2108"/>
      <c r="EA34" s="2108"/>
      <c r="EB34" s="2108"/>
      <c r="EC34" s="2108"/>
      <c r="ED34" s="2108"/>
      <c r="EE34" s="2108"/>
      <c r="EF34" s="2108"/>
      <c r="EG34" s="2108"/>
      <c r="EH34" s="2108"/>
      <c r="EI34" s="2108"/>
      <c r="EJ34" s="2108"/>
      <c r="EK34" s="2108"/>
      <c r="EL34" s="2108"/>
      <c r="EM34" s="2108"/>
      <c r="EN34" s="2108"/>
      <c r="EO34" s="2108"/>
      <c r="EP34" s="2108"/>
      <c r="EQ34" s="2108"/>
      <c r="ER34" s="2108"/>
      <c r="ES34" s="2108"/>
      <c r="ET34" s="2108"/>
      <c r="EU34" s="2108"/>
      <c r="EV34" s="2108"/>
      <c r="EW34" s="2108"/>
      <c r="EX34" s="2108"/>
      <c r="EY34" s="2108"/>
      <c r="EZ34" s="2108"/>
      <c r="FA34" s="2108"/>
      <c r="FB34" s="2108"/>
      <c r="FC34" s="2108"/>
      <c r="FD34" s="2858"/>
      <c r="FE34" s="2108"/>
      <c r="FF34" s="2858"/>
      <c r="FG34" s="2108"/>
      <c r="FH34" s="2108"/>
      <c r="FI34" s="2858"/>
      <c r="FJ34" s="2858"/>
      <c r="FK34" s="2108"/>
      <c r="FL34" s="2108"/>
      <c r="FM34" s="2108"/>
      <c r="FN34" s="2108"/>
      <c r="FO34" s="2108"/>
      <c r="FP34" s="2108"/>
      <c r="FQ34" s="2108"/>
      <c r="FR34" s="2108"/>
      <c r="FS34" s="2108"/>
      <c r="FT34" s="2108"/>
      <c r="FU34" s="2108"/>
      <c r="FV34" s="2108"/>
      <c r="FW34" s="2108"/>
      <c r="FX34" s="2108"/>
      <c r="FY34" s="2108"/>
      <c r="FZ34" s="2108"/>
      <c r="GA34" s="2108"/>
      <c r="GB34" s="2108"/>
      <c r="GC34" s="2108"/>
      <c r="GD34" s="2108"/>
      <c r="GE34" s="2108"/>
      <c r="GF34" s="2108"/>
      <c r="GG34" s="2108"/>
      <c r="GH34" s="2108"/>
      <c r="GI34" s="2108"/>
      <c r="GJ34" s="2108"/>
      <c r="GK34" s="2108"/>
      <c r="GL34" s="2858"/>
      <c r="GM34" s="2858"/>
      <c r="GN34" s="2108"/>
      <c r="GO34" s="2108"/>
      <c r="GP34" s="2108"/>
      <c r="GQ34" s="2108"/>
      <c r="GR34" s="2108"/>
      <c r="GS34" s="2108"/>
      <c r="GT34" s="2108"/>
      <c r="GU34" s="2108"/>
      <c r="GV34" s="2108"/>
      <c r="GW34" s="2108"/>
      <c r="GX34" s="2108"/>
      <c r="GY34" s="2108"/>
      <c r="GZ34" s="2858"/>
      <c r="HA34" s="2858"/>
      <c r="HB34" s="2858"/>
      <c r="HC34" s="2108"/>
      <c r="HD34" s="2108"/>
      <c r="HE34" s="2108"/>
      <c r="HF34" s="2108"/>
      <c r="HG34" s="2108"/>
      <c r="HH34" s="2108"/>
      <c r="HI34" s="2108"/>
      <c r="HJ34" s="2108"/>
      <c r="HK34" s="2108"/>
      <c r="HL34" s="2108"/>
      <c r="HM34" s="2108"/>
      <c r="HN34" s="2108"/>
      <c r="HO34" s="2108"/>
      <c r="HP34" s="2108"/>
      <c r="HQ34" s="2108"/>
      <c r="HR34" s="2108"/>
      <c r="HS34" s="2108"/>
      <c r="HT34" s="2108"/>
      <c r="HU34" s="2108"/>
      <c r="HV34" s="2108"/>
      <c r="HW34" s="2108"/>
      <c r="HX34" s="2108"/>
      <c r="HY34" s="2108"/>
      <c r="HZ34" s="2108"/>
      <c r="IA34" s="2108"/>
      <c r="IB34" s="2108"/>
      <c r="IC34" s="2108"/>
      <c r="ID34" s="2108"/>
      <c r="IE34" s="2108"/>
      <c r="IF34" s="2108"/>
      <c r="IG34" s="2108"/>
      <c r="IH34" s="2108"/>
      <c r="II34" s="2108"/>
      <c r="IJ34" s="2108"/>
      <c r="IK34" s="2108"/>
      <c r="IL34" s="2108"/>
      <c r="IM34" s="2108"/>
      <c r="IN34" s="2108"/>
      <c r="IO34" s="2108"/>
      <c r="IP34" s="2108"/>
      <c r="IQ34" s="2108"/>
      <c r="IR34" s="2108"/>
      <c r="IS34" s="2108"/>
      <c r="IT34" s="2108"/>
      <c r="IU34" s="2108"/>
      <c r="IV34" s="2108"/>
      <c r="IW34" s="2108"/>
      <c r="IX34" s="2108"/>
      <c r="IY34" s="4036"/>
      <c r="IZ34" s="2108"/>
      <c r="JA34" s="2108"/>
      <c r="JB34" s="4310"/>
      <c r="JC34" s="2108"/>
      <c r="JD34" s="2108"/>
      <c r="JE34" s="2108"/>
      <c r="JF34" s="2108"/>
      <c r="JG34" s="4135"/>
      <c r="JH34" s="1233"/>
      <c r="JI34" s="1232"/>
      <c r="JJ34" s="1660" t="s">
        <v>6112</v>
      </c>
    </row>
    <row ht="12.75" r="35" spans="1:270" thickBot="1" x14ac:dyDescent="0.25">
      <c r="E35" s="384"/>
      <c r="F35" s="384"/>
      <c r="G35" s="384"/>
      <c r="H35" s="384"/>
      <c r="I35" s="384"/>
      <c r="J35" s="384"/>
      <c r="K35" s="384"/>
      <c r="L35" s="384"/>
      <c r="M35" s="384"/>
      <c r="N35" s="384"/>
      <c r="O35" s="384"/>
      <c r="P35" s="384"/>
      <c r="Q35" s="384"/>
      <c r="R35" s="384"/>
      <c r="S35" s="384"/>
      <c r="T35" s="384"/>
      <c r="U35" s="384"/>
      <c r="V35" s="384"/>
      <c r="W35" s="384"/>
      <c r="X35" s="384"/>
      <c r="Y35" s="384"/>
      <c r="Z35" s="384"/>
      <c r="AA35" s="384"/>
      <c r="AB35" s="384"/>
      <c r="AC35" s="384"/>
      <c r="AD35" s="35"/>
      <c r="AE35" s="35"/>
      <c r="AF35" s="35"/>
      <c r="AG35" s="35"/>
      <c r="AH35" s="35"/>
      <c r="AI35" s="384"/>
      <c r="AJ35" s="384"/>
      <c r="AK35" s="384"/>
      <c r="AL35" s="384"/>
      <c r="AM35" s="384"/>
      <c r="AN35" s="384"/>
      <c r="AO35" s="384"/>
      <c r="AP35" s="384"/>
      <c r="AQ35" s="384"/>
      <c r="AR35" s="384"/>
      <c r="AS35" s="384"/>
      <c r="AT35" s="384"/>
      <c r="AU35" s="384"/>
      <c r="AV35" s="384"/>
      <c r="AW35" s="384"/>
      <c r="AX35" s="384"/>
      <c r="AY35" s="384"/>
      <c r="AZ35" s="384"/>
      <c r="BA35" s="384"/>
      <c r="BB35" s="384"/>
      <c r="BC35" s="384"/>
      <c r="BD35" s="384"/>
      <c r="BE35" s="384"/>
      <c r="BF35" s="384"/>
      <c r="BG35" s="384"/>
      <c r="BH35" s="384"/>
      <c r="BI35" s="384"/>
      <c r="BJ35" s="384"/>
      <c r="BK35" s="384"/>
      <c r="BL35" s="384"/>
      <c r="BM35" s="384"/>
      <c r="BN35" s="384"/>
      <c r="BO35" s="384"/>
      <c r="BP35" s="384"/>
      <c r="BQ35" s="384"/>
      <c r="BR35" s="384"/>
      <c r="BS35" s="384"/>
      <c r="BT35" s="384"/>
      <c r="BU35" s="384"/>
      <c r="BV35" s="384"/>
      <c r="BW35" s="384"/>
      <c r="BX35" s="384"/>
      <c r="BY35" s="384"/>
      <c r="BZ35" s="384"/>
      <c r="CA35" s="384"/>
      <c r="CB35" s="384"/>
      <c r="CC35" s="384"/>
      <c r="CD35" s="384"/>
      <c r="CE35" s="384"/>
      <c r="CF35" s="384"/>
      <c r="CG35" s="384"/>
      <c r="CH35" s="384"/>
      <c r="CI35" s="384"/>
      <c r="CJ35" s="384"/>
      <c r="CK35" s="384"/>
      <c r="CL35" s="384"/>
      <c r="CM35" s="384"/>
      <c r="CN35" s="384"/>
      <c r="CO35" s="384"/>
      <c r="CP35" s="384"/>
      <c r="CQ35" s="384"/>
      <c r="CR35" s="384"/>
      <c r="CS35" s="384"/>
      <c r="CT35" s="384"/>
      <c r="CU35" s="384"/>
      <c r="CV35" s="384"/>
      <c r="CW35" s="384"/>
      <c r="CX35" s="384"/>
      <c r="CY35" s="384"/>
      <c r="CZ35" s="384"/>
      <c r="DA35" s="384"/>
      <c r="DB35" s="384"/>
      <c r="DC35" s="384"/>
      <c r="DD35" s="384"/>
      <c r="DE35" s="384"/>
      <c r="DF35" s="384"/>
      <c r="DG35" s="384"/>
      <c r="DH35" s="384"/>
      <c r="DI35" s="384"/>
      <c r="DJ35" s="384"/>
      <c r="DK35" s="384"/>
      <c r="DL35" s="384"/>
      <c r="DM35" s="384"/>
      <c r="DN35" s="384"/>
      <c r="DO35" s="384"/>
      <c r="DP35" s="384"/>
      <c r="DQ35" s="384"/>
      <c r="DR35" s="384"/>
      <c r="DS35" s="384"/>
      <c r="DT35" s="384"/>
      <c r="DU35" s="384"/>
      <c r="DV35" s="384"/>
      <c r="DW35" s="384"/>
      <c r="DX35" s="384"/>
      <c r="DY35" s="384"/>
      <c r="DZ35" s="384"/>
      <c r="EA35" s="384"/>
      <c r="EB35" s="384"/>
      <c r="EC35" s="384"/>
      <c r="ED35" s="384"/>
      <c r="EE35" s="384"/>
      <c r="EF35" s="384"/>
      <c r="EG35" s="384"/>
      <c r="EH35" s="384"/>
      <c r="EI35" s="384"/>
      <c r="EJ35" s="384"/>
      <c r="EK35" s="384"/>
      <c r="EL35" s="384"/>
      <c r="EM35" s="384"/>
      <c r="EN35" s="384"/>
      <c r="EO35" s="384"/>
      <c r="EP35" s="384"/>
      <c r="EQ35" s="384"/>
      <c r="ER35" s="384"/>
      <c r="ES35" s="384"/>
      <c r="ET35" s="384"/>
      <c r="EU35" s="384"/>
      <c r="EV35" s="384"/>
      <c r="EW35" s="384"/>
      <c r="EX35" s="384"/>
      <c r="EY35" s="384"/>
      <c r="EZ35" s="384"/>
      <c r="FA35" s="384"/>
      <c r="FB35" s="384"/>
      <c r="FC35" s="384"/>
      <c r="FD35" s="384"/>
      <c r="FE35" s="384"/>
      <c r="FF35" s="384"/>
      <c r="FG35" s="384"/>
      <c r="FH35" s="384"/>
      <c r="FI35" s="384"/>
      <c r="FJ35" s="384"/>
      <c r="FK35" s="384"/>
      <c r="FL35" s="384"/>
      <c r="FM35" s="384"/>
      <c r="FN35" s="384"/>
      <c r="FO35" s="384"/>
      <c r="FP35" s="384"/>
      <c r="FQ35" s="384"/>
      <c r="FR35" s="384"/>
      <c r="FS35" s="384"/>
      <c r="FT35" s="384"/>
      <c r="FU35" s="384"/>
      <c r="FV35" s="384"/>
      <c r="FW35" s="384"/>
      <c r="FX35" s="384"/>
      <c r="FY35" s="384"/>
      <c r="FZ35" s="384"/>
      <c r="GA35" s="384"/>
      <c r="GB35" s="384"/>
      <c r="GC35" s="384"/>
      <c r="GD35" s="384"/>
      <c r="GE35" s="384"/>
      <c r="GF35" s="384"/>
      <c r="GG35" s="384"/>
      <c r="GH35" s="384"/>
      <c r="GI35" s="384"/>
      <c r="GJ35" s="384"/>
      <c r="GK35" s="384"/>
      <c r="GL35" s="384"/>
      <c r="GM35" s="384"/>
      <c r="GN35" s="384"/>
      <c r="GO35" s="384"/>
      <c r="GP35" s="384"/>
      <c r="GQ35" s="384"/>
      <c r="GR35" s="384"/>
      <c r="GS35" s="384"/>
      <c r="GT35" s="384"/>
      <c r="GU35" s="384"/>
      <c r="GV35" s="384"/>
      <c r="GW35" s="384"/>
      <c r="GX35" s="384"/>
      <c r="GY35" s="384"/>
      <c r="GZ35" s="384"/>
      <c r="HA35" s="384"/>
      <c r="HB35" s="384"/>
      <c r="HC35" s="384"/>
      <c r="HD35" s="384"/>
      <c r="HE35" s="384"/>
      <c r="HF35" s="384"/>
      <c r="HG35" s="384"/>
      <c r="HH35" s="384"/>
      <c r="HI35" s="384"/>
      <c r="HJ35" s="384"/>
      <c r="HK35" s="384"/>
      <c r="HL35" s="384"/>
      <c r="HM35" s="384"/>
      <c r="HN35" s="384"/>
      <c r="HO35" s="384"/>
      <c r="HP35" s="384"/>
      <c r="HQ35" s="384"/>
      <c r="HR35" s="384"/>
      <c r="HS35" s="384"/>
      <c r="HT35" s="384"/>
      <c r="HU35" s="384"/>
      <c r="HV35" s="384"/>
      <c r="HW35" s="384"/>
      <c r="HX35" s="384"/>
      <c r="HY35" s="384"/>
      <c r="HZ35" s="384"/>
      <c r="IA35" s="384"/>
      <c r="IB35" s="384"/>
      <c r="IC35" s="384"/>
      <c r="ID35" s="384"/>
      <c r="IE35" s="384"/>
      <c r="IF35" s="384"/>
      <c r="IG35" s="384"/>
      <c r="IH35" s="384"/>
      <c r="II35" s="384"/>
      <c r="IJ35" s="384"/>
      <c r="IK35" s="384"/>
      <c r="IL35" s="384"/>
      <c r="IM35" s="384"/>
      <c r="IN35" s="384"/>
      <c r="IO35" s="384"/>
      <c r="IP35" s="384"/>
      <c r="IQ35" s="384"/>
      <c r="IR35" s="384"/>
      <c r="IS35" s="384"/>
      <c r="IT35" s="384"/>
      <c r="IU35" s="384"/>
      <c r="IV35" s="384"/>
      <c r="IW35" s="384"/>
      <c r="IX35" s="384"/>
      <c r="IY35" s="384"/>
      <c r="IZ35" s="384"/>
      <c r="JA35" s="384"/>
      <c r="JB35" s="35"/>
      <c r="JC35" s="384"/>
      <c r="JD35" s="384"/>
      <c r="JE35" s="384"/>
      <c r="JF35" s="384"/>
      <c r="JG35" s="4136"/>
    </row>
    <row ht="12.75" r="36" spans="1:270" x14ac:dyDescent="0.2">
      <c r="A36" s="1128" t="s">
        <v>4479</v>
      </c>
      <c r="B36" s="2755" t="str">
        <f>"selected "&amp;PS_B_IND-1</f>
        <v>selected 0</v>
      </c>
      <c r="C36" s="1558" t="s">
        <v>3316</v>
      </c>
      <c r="D36" s="1355"/>
      <c r="E36" s="1134">
        <v>1</v>
      </c>
      <c r="F36" s="1134">
        <v>2</v>
      </c>
      <c r="G36" s="1134">
        <v>3</v>
      </c>
      <c r="H36" s="1134">
        <v>4</v>
      </c>
      <c r="I36" s="1134">
        <v>5</v>
      </c>
      <c r="J36" s="1134">
        <v>6</v>
      </c>
      <c r="K36" s="1134">
        <v>7</v>
      </c>
      <c r="L36" s="1134">
        <v>8</v>
      </c>
      <c r="M36" s="1134">
        <v>9</v>
      </c>
      <c r="N36" s="1134">
        <v>10</v>
      </c>
      <c r="O36" s="1134">
        <v>11</v>
      </c>
      <c r="P36" s="1134">
        <v>12</v>
      </c>
      <c r="Q36" s="1134">
        <v>13</v>
      </c>
      <c r="R36" s="1134">
        <v>14</v>
      </c>
      <c r="S36" s="1134">
        <v>15</v>
      </c>
      <c r="T36" s="1134">
        <v>16</v>
      </c>
      <c r="U36" s="1134">
        <v>17</v>
      </c>
      <c r="V36" s="1134">
        <v>18</v>
      </c>
      <c r="W36" s="1134">
        <v>19</v>
      </c>
      <c r="X36" s="1134">
        <v>20</v>
      </c>
      <c r="Y36" s="1134">
        <v>21</v>
      </c>
      <c r="Z36" s="1134">
        <v>22</v>
      </c>
      <c r="AA36" s="1134">
        <v>23</v>
      </c>
      <c r="AB36" s="1134">
        <v>24</v>
      </c>
      <c r="AC36" s="2427">
        <v>25</v>
      </c>
      <c r="AD36" s="3517">
        <v>26</v>
      </c>
      <c r="AE36" s="3517">
        <v>27</v>
      </c>
      <c r="AF36" s="3517">
        <v>28</v>
      </c>
      <c r="AG36" s="3517">
        <v>29</v>
      </c>
      <c r="AH36" s="3517">
        <v>30</v>
      </c>
      <c r="AI36" s="2427">
        <v>31</v>
      </c>
      <c r="AJ36" s="1258">
        <v>32</v>
      </c>
      <c r="AK36" s="2427">
        <v>33</v>
      </c>
      <c r="AL36" s="1258">
        <v>34</v>
      </c>
      <c r="AM36" s="2427">
        <v>35</v>
      </c>
      <c r="AN36" s="1258">
        <v>36</v>
      </c>
      <c r="AO36" s="2427">
        <v>37</v>
      </c>
      <c r="AP36" s="1258">
        <v>38</v>
      </c>
      <c r="AQ36" s="2427">
        <v>39</v>
      </c>
      <c r="AR36" s="1258">
        <v>40</v>
      </c>
      <c r="AS36" s="2427">
        <v>41</v>
      </c>
      <c r="AT36" s="1258">
        <v>42</v>
      </c>
      <c r="AU36" s="2427">
        <v>43</v>
      </c>
      <c r="AV36" s="1258">
        <v>44</v>
      </c>
      <c r="AW36" s="2427">
        <v>45</v>
      </c>
      <c r="AX36" s="1258">
        <v>46</v>
      </c>
      <c r="AY36" s="2427">
        <v>47</v>
      </c>
      <c r="AZ36" s="1258">
        <v>48</v>
      </c>
      <c r="BA36" s="2427">
        <v>49</v>
      </c>
      <c r="BB36" s="1258">
        <v>50</v>
      </c>
      <c r="BC36" s="2427">
        <v>51</v>
      </c>
      <c r="BD36" s="1258">
        <v>52</v>
      </c>
      <c r="BE36" s="2427">
        <v>53</v>
      </c>
      <c r="BF36" s="1258">
        <v>54</v>
      </c>
      <c r="BG36" s="2427">
        <v>55</v>
      </c>
      <c r="BH36" s="1258">
        <v>56</v>
      </c>
      <c r="BI36" s="2427">
        <v>57</v>
      </c>
      <c r="BJ36" s="1258">
        <v>58</v>
      </c>
      <c r="BK36" s="2427">
        <v>59</v>
      </c>
      <c r="BL36" s="1258">
        <v>60</v>
      </c>
      <c r="BM36" s="2427">
        <v>61</v>
      </c>
      <c r="BN36" s="1258">
        <v>62</v>
      </c>
      <c r="BO36" s="2427">
        <v>63</v>
      </c>
      <c r="BP36" s="1258">
        <v>64</v>
      </c>
      <c r="BQ36" s="2427">
        <v>65</v>
      </c>
      <c r="BR36" s="1258">
        <v>66</v>
      </c>
      <c r="BS36" s="2427">
        <v>67</v>
      </c>
      <c r="BT36" s="1258">
        <v>68</v>
      </c>
      <c r="BU36" s="2427">
        <v>69</v>
      </c>
      <c r="BV36" s="1258">
        <v>70</v>
      </c>
      <c r="BW36" s="2427">
        <v>71</v>
      </c>
      <c r="BX36" s="1258">
        <v>72</v>
      </c>
      <c r="BY36" s="2427">
        <v>73</v>
      </c>
      <c r="BZ36" s="1258">
        <v>74</v>
      </c>
      <c r="CA36" s="2427">
        <v>75</v>
      </c>
      <c r="CB36" s="1258">
        <v>76</v>
      </c>
      <c r="CC36" s="2427">
        <v>77</v>
      </c>
      <c r="CD36" s="1258">
        <v>78</v>
      </c>
      <c r="CE36" s="2427">
        <v>79</v>
      </c>
      <c r="CF36" s="1258">
        <v>80</v>
      </c>
      <c r="CG36" s="2427">
        <v>81</v>
      </c>
      <c r="CH36" s="1258">
        <v>82</v>
      </c>
      <c r="CI36" s="2427">
        <v>83</v>
      </c>
      <c r="CJ36" s="1258">
        <v>84</v>
      </c>
      <c r="CK36" s="2427">
        <v>85</v>
      </c>
      <c r="CL36" s="1258">
        <v>86</v>
      </c>
      <c r="CM36" s="2427">
        <v>87</v>
      </c>
      <c r="CN36" s="1258">
        <v>88</v>
      </c>
      <c r="CO36" s="2427">
        <v>89</v>
      </c>
      <c r="CP36" s="1258">
        <v>90</v>
      </c>
      <c r="CQ36" s="2427">
        <v>91</v>
      </c>
      <c r="CR36" s="1258">
        <v>92</v>
      </c>
      <c r="CS36" s="2427">
        <v>93</v>
      </c>
      <c r="CT36" s="1258">
        <v>94</v>
      </c>
      <c r="CU36" s="2427">
        <v>95</v>
      </c>
      <c r="CV36" s="1258">
        <v>96</v>
      </c>
      <c r="CW36" s="2427">
        <v>97</v>
      </c>
      <c r="CX36" s="1258">
        <v>98</v>
      </c>
      <c r="CY36" s="2427">
        <v>99</v>
      </c>
      <c r="CZ36" s="1258">
        <v>100</v>
      </c>
      <c r="DA36" s="2427">
        <v>101</v>
      </c>
      <c r="DB36" s="1258">
        <v>102</v>
      </c>
      <c r="DC36" s="2427">
        <v>103</v>
      </c>
      <c r="DD36" s="1258">
        <v>104</v>
      </c>
      <c r="DE36" s="2427">
        <v>105</v>
      </c>
      <c r="DF36" s="1258">
        <v>106</v>
      </c>
      <c r="DG36" s="2427">
        <v>107</v>
      </c>
      <c r="DH36" s="1258">
        <v>108</v>
      </c>
      <c r="DI36" s="2427">
        <v>109</v>
      </c>
      <c r="DJ36" s="1258">
        <v>110</v>
      </c>
      <c r="DK36" s="2427">
        <v>111</v>
      </c>
      <c r="DL36" s="1258">
        <v>112</v>
      </c>
      <c r="DM36" s="2427">
        <v>113</v>
      </c>
      <c r="DN36" s="1258">
        <v>114</v>
      </c>
      <c r="DO36" s="2427">
        <v>115</v>
      </c>
      <c r="DP36" s="1258">
        <v>116</v>
      </c>
      <c r="DQ36" s="2427">
        <v>117</v>
      </c>
      <c r="DR36" s="1258">
        <v>118</v>
      </c>
      <c r="DS36" s="2427">
        <v>119</v>
      </c>
      <c r="DT36" s="1258">
        <v>120</v>
      </c>
      <c r="DU36" s="2427">
        <v>121</v>
      </c>
      <c r="DV36" s="1258">
        <v>122</v>
      </c>
      <c r="DW36" s="2427">
        <v>123</v>
      </c>
      <c r="DX36" s="1258">
        <v>124</v>
      </c>
      <c r="DY36" s="2427">
        <v>125</v>
      </c>
      <c r="DZ36" s="1258">
        <v>126</v>
      </c>
      <c r="EA36" s="2427">
        <v>127</v>
      </c>
      <c r="EB36" s="1258">
        <v>128</v>
      </c>
      <c r="EC36" s="2427">
        <v>129</v>
      </c>
      <c r="ED36" s="1258">
        <v>130</v>
      </c>
      <c r="EE36" s="2427">
        <v>131</v>
      </c>
      <c r="EF36" s="1258">
        <v>132</v>
      </c>
      <c r="EG36" s="2427">
        <v>133</v>
      </c>
      <c r="EH36" s="1258">
        <v>134</v>
      </c>
      <c r="EI36" s="2427">
        <v>135</v>
      </c>
      <c r="EJ36" s="1258">
        <v>136</v>
      </c>
      <c r="EK36" s="2427">
        <v>137</v>
      </c>
      <c r="EL36" s="1258">
        <v>138</v>
      </c>
      <c r="EM36" s="2427">
        <v>139</v>
      </c>
      <c r="EN36" s="1258">
        <v>140</v>
      </c>
      <c r="EO36" s="2427">
        <v>141</v>
      </c>
      <c r="EP36" s="1258">
        <v>142</v>
      </c>
      <c r="EQ36" s="2427">
        <v>143</v>
      </c>
      <c r="ER36" s="1258">
        <v>144</v>
      </c>
      <c r="ES36" s="2427">
        <v>145</v>
      </c>
      <c r="ET36" s="1258">
        <v>146</v>
      </c>
      <c r="EU36" s="2427">
        <v>147</v>
      </c>
      <c r="EV36" s="1258">
        <v>148</v>
      </c>
      <c r="EW36" s="2427">
        <v>149</v>
      </c>
      <c r="EX36" s="1258">
        <v>150</v>
      </c>
      <c r="EY36" s="2427">
        <v>151</v>
      </c>
      <c r="EZ36" s="1258">
        <v>152</v>
      </c>
      <c r="FA36" s="2427">
        <v>153</v>
      </c>
      <c r="FB36" s="1258">
        <v>154</v>
      </c>
      <c r="FC36" s="2427">
        <v>155</v>
      </c>
      <c r="FD36" s="1258">
        <v>156</v>
      </c>
      <c r="FE36" s="2427">
        <v>157</v>
      </c>
      <c r="FF36" s="1258">
        <v>158</v>
      </c>
      <c r="FG36" s="2427">
        <v>159</v>
      </c>
      <c r="FH36" s="1258">
        <v>160</v>
      </c>
      <c r="FI36" s="2427">
        <v>161</v>
      </c>
      <c r="FJ36" s="1258">
        <v>162</v>
      </c>
      <c r="FK36" s="2427">
        <v>163</v>
      </c>
      <c r="FL36" s="1258">
        <v>164</v>
      </c>
      <c r="FM36" s="2427">
        <v>165</v>
      </c>
      <c r="FN36" s="1258">
        <v>166</v>
      </c>
      <c r="FO36" s="2427">
        <v>167</v>
      </c>
      <c r="FP36" s="1258">
        <v>168</v>
      </c>
      <c r="FQ36" s="2427">
        <v>169</v>
      </c>
      <c r="FR36" s="1258">
        <v>170</v>
      </c>
      <c r="FS36" s="2427">
        <v>171</v>
      </c>
      <c r="FT36" s="1258">
        <v>172</v>
      </c>
      <c r="FU36" s="2427">
        <v>173</v>
      </c>
      <c r="FV36" s="1258">
        <v>174</v>
      </c>
      <c r="FW36" s="2427">
        <v>175</v>
      </c>
      <c r="FX36" s="1258">
        <v>176</v>
      </c>
      <c r="FY36" s="2427">
        <v>177</v>
      </c>
      <c r="FZ36" s="1258">
        <v>178</v>
      </c>
      <c r="GA36" s="2427">
        <v>179</v>
      </c>
      <c r="GB36" s="1258">
        <v>180</v>
      </c>
      <c r="GC36" s="2427">
        <v>181</v>
      </c>
      <c r="GD36" s="1258">
        <v>182</v>
      </c>
      <c r="GE36" s="2427">
        <v>183</v>
      </c>
      <c r="GF36" s="1258">
        <v>184</v>
      </c>
      <c r="GG36" s="2427">
        <v>185</v>
      </c>
      <c r="GH36" s="1258">
        <v>186</v>
      </c>
      <c r="GI36" s="2427">
        <v>187</v>
      </c>
      <c r="GJ36" s="1258">
        <v>188</v>
      </c>
      <c r="GK36" s="2427">
        <v>189</v>
      </c>
      <c r="GL36" s="1258">
        <v>190</v>
      </c>
      <c r="GM36" s="2427">
        <v>191</v>
      </c>
      <c r="GN36" s="1258">
        <v>192</v>
      </c>
      <c r="GO36" s="2427">
        <v>193</v>
      </c>
      <c r="GP36" s="1258">
        <v>194</v>
      </c>
      <c r="GQ36" s="2427">
        <v>195</v>
      </c>
      <c r="GR36" s="1258">
        <v>196</v>
      </c>
      <c r="GS36" s="2427">
        <v>197</v>
      </c>
      <c r="GT36" s="1258">
        <v>198</v>
      </c>
      <c r="GU36" s="2427">
        <v>199</v>
      </c>
      <c r="GV36" s="1258">
        <v>200</v>
      </c>
      <c r="GW36" s="2427">
        <v>201</v>
      </c>
      <c r="GX36" s="1258">
        <v>202</v>
      </c>
      <c r="GY36" s="2427">
        <v>203</v>
      </c>
      <c r="GZ36" s="1258">
        <v>204</v>
      </c>
      <c r="HA36" s="2427">
        <v>205</v>
      </c>
      <c r="HB36" s="1258">
        <v>206</v>
      </c>
      <c r="HC36" s="2427">
        <v>207</v>
      </c>
      <c r="HD36" s="1258">
        <v>208</v>
      </c>
      <c r="HE36" s="2427">
        <v>209</v>
      </c>
      <c r="HF36" s="1258">
        <v>210</v>
      </c>
      <c r="HG36" s="2427">
        <v>211</v>
      </c>
      <c r="HH36" s="1258">
        <v>212</v>
      </c>
      <c r="HI36" s="2427">
        <v>213</v>
      </c>
      <c r="HJ36" s="1258">
        <v>214</v>
      </c>
      <c r="HK36" s="2427">
        <v>215</v>
      </c>
      <c r="HL36" s="1258">
        <v>216</v>
      </c>
      <c r="HM36" s="2427">
        <v>217</v>
      </c>
      <c r="HN36" s="1258">
        <v>218</v>
      </c>
      <c r="HO36" s="2427">
        <v>219</v>
      </c>
      <c r="HP36" s="1258">
        <v>220</v>
      </c>
      <c r="HQ36" s="2427">
        <v>221</v>
      </c>
      <c r="HR36" s="1258">
        <v>222</v>
      </c>
      <c r="HS36" s="2427">
        <v>223</v>
      </c>
      <c r="HT36" s="1258">
        <v>224</v>
      </c>
      <c r="HU36" s="2427">
        <v>225</v>
      </c>
      <c r="HV36" s="2427">
        <v>226</v>
      </c>
      <c r="HW36" s="2427">
        <v>227</v>
      </c>
      <c r="HX36" s="1258">
        <v>228</v>
      </c>
      <c r="HY36" s="2427">
        <v>229</v>
      </c>
      <c r="HZ36" s="1258">
        <v>230</v>
      </c>
      <c r="IA36" s="2427">
        <v>231</v>
      </c>
      <c r="IB36" s="1258">
        <v>232</v>
      </c>
      <c r="IC36" s="2427">
        <v>233</v>
      </c>
      <c r="ID36" s="1258">
        <v>234</v>
      </c>
      <c r="IE36" s="2427">
        <v>235</v>
      </c>
      <c r="IF36" s="1258">
        <v>236</v>
      </c>
      <c r="IG36" s="2427">
        <v>237</v>
      </c>
      <c r="IH36" s="1258">
        <v>238</v>
      </c>
      <c r="II36" s="2427">
        <v>239</v>
      </c>
      <c r="IJ36" s="1258">
        <v>240</v>
      </c>
      <c r="IK36" s="2427">
        <v>241</v>
      </c>
      <c r="IL36" s="1258">
        <v>242</v>
      </c>
      <c r="IM36" s="2427">
        <v>243</v>
      </c>
      <c r="IN36" s="1258">
        <v>244</v>
      </c>
      <c r="IO36" s="2427">
        <v>245</v>
      </c>
      <c r="IP36" s="1258">
        <v>246</v>
      </c>
      <c r="IQ36" s="2427">
        <v>247</v>
      </c>
      <c r="IR36" s="1258">
        <v>248</v>
      </c>
      <c r="IS36" s="2427">
        <v>249</v>
      </c>
      <c r="IT36" s="1258">
        <v>250</v>
      </c>
      <c r="IU36" s="2427">
        <v>251</v>
      </c>
      <c r="IV36" s="1258">
        <v>252</v>
      </c>
      <c r="IW36" s="2427">
        <v>253</v>
      </c>
      <c r="IX36" s="1258">
        <v>254</v>
      </c>
      <c r="IY36" s="2427">
        <v>255</v>
      </c>
      <c r="IZ36" s="1258">
        <v>256</v>
      </c>
      <c r="JA36" s="2427">
        <v>257</v>
      </c>
      <c r="JB36" s="2427">
        <v>258</v>
      </c>
      <c r="JC36" s="2427">
        <v>259</v>
      </c>
      <c r="JD36" s="1134">
        <v>260</v>
      </c>
      <c r="JE36" s="1134">
        <v>261</v>
      </c>
      <c r="JF36" s="1134">
        <v>262</v>
      </c>
      <c r="JG36" s="2485">
        <v>263</v>
      </c>
      <c r="JH36" s="1233"/>
      <c r="JI36" s="1232" t="s">
        <v>5040</v>
      </c>
      <c r="JJ36" s="1685" t="s">
        <v>6104</v>
      </c>
    </row>
    <row ht="90" r="37" spans="1:270" x14ac:dyDescent="0.2">
      <c r="A37" s="1128">
        <v>2</v>
      </c>
      <c r="B37" s="1557" t="str">
        <f ref="B37:B68" si="1" t="shared">IF(PS_B_IND&gt;1,IF(HLOOKUP(PS_B_IND-1,FPS_RANGE,A37)="","",HLOOKUP(PS_B_IND-1,FPS_RANGE,A37)),"")</f>
        <v/>
      </c>
      <c r="C37" s="1559" t="s">
        <v>1572</v>
      </c>
      <c r="D37" s="1350" t="s">
        <v>5594</v>
      </c>
      <c r="E37" s="2860"/>
      <c r="F37" s="2860"/>
      <c r="G37" s="2860"/>
      <c r="H37" s="2860"/>
      <c r="I37" s="2860"/>
      <c r="J37" s="2860"/>
      <c r="K37" s="2860"/>
      <c r="L37" s="2860"/>
      <c r="M37" s="2860"/>
      <c r="N37" s="2860"/>
      <c r="O37" s="2860"/>
      <c r="P37" s="2860"/>
      <c r="Q37" s="2860"/>
      <c r="R37" s="2860"/>
      <c r="S37" s="2860"/>
      <c r="T37" s="2860"/>
      <c r="U37" s="2860"/>
      <c r="V37" s="2860"/>
      <c r="W37" s="2860"/>
      <c r="X37" s="2860"/>
      <c r="Y37" s="2860"/>
      <c r="Z37" s="2860"/>
      <c r="AA37" s="2860"/>
      <c r="AB37" s="2860"/>
      <c r="AC37" s="2860"/>
      <c r="AD37" s="2860"/>
      <c r="AE37" s="2860"/>
      <c r="AF37" s="2860"/>
      <c r="AG37" s="2860"/>
      <c r="AH37" s="2860"/>
      <c r="AI37" s="2860"/>
      <c r="AJ37" s="2860"/>
      <c r="AK37" s="2860"/>
      <c r="AL37" s="2860"/>
      <c r="AM37" s="3094">
        <v>1000050020</v>
      </c>
      <c r="AN37" s="2860"/>
      <c r="AO37" s="2860"/>
      <c r="AP37" s="2860"/>
      <c r="AQ37" s="2860"/>
      <c r="AR37" s="2860"/>
      <c r="AS37" s="2860"/>
      <c r="AT37" s="2860"/>
      <c r="AU37" s="2860"/>
      <c r="AV37" s="2860"/>
      <c r="AW37" s="2860"/>
      <c r="AX37" s="2860"/>
      <c r="AY37" s="2860"/>
      <c r="AZ37" s="2860"/>
      <c r="BA37" s="2860"/>
      <c r="BB37" s="3094">
        <v>1000050020</v>
      </c>
      <c r="BC37" s="3094">
        <v>1000050020</v>
      </c>
      <c r="BD37" s="2860"/>
      <c r="BE37" s="2860"/>
      <c r="BF37" s="2860"/>
      <c r="BG37" s="2860"/>
      <c r="BH37" s="2860"/>
      <c r="BI37" s="2860"/>
      <c r="BJ37" s="2860"/>
      <c r="BK37" s="2860"/>
      <c r="BL37" s="2860"/>
      <c r="BM37" s="2860"/>
      <c r="BN37" s="2860"/>
      <c r="BO37" s="2860"/>
      <c r="BP37" s="2860"/>
      <c r="BQ37" s="2860"/>
      <c r="BR37" s="2860"/>
      <c r="BS37" s="2860"/>
      <c r="BT37" s="2860"/>
      <c r="BU37" s="2860"/>
      <c r="BV37" s="2860"/>
      <c r="BW37" s="2860"/>
      <c r="BX37" s="2860"/>
      <c r="BY37" s="2860"/>
      <c r="BZ37" s="2860"/>
      <c r="CA37" s="2860"/>
      <c r="CB37" s="2860"/>
      <c r="CC37" s="2860"/>
      <c r="CD37" s="2860"/>
      <c r="CE37" s="2860"/>
      <c r="CF37" s="2860"/>
      <c r="CG37" s="2860"/>
      <c r="CH37" s="2860"/>
      <c r="CI37" s="2860"/>
      <c r="CJ37" s="2860"/>
      <c r="CK37" s="2860"/>
      <c r="CL37" s="2860"/>
      <c r="CM37" s="2860"/>
      <c r="CN37" s="2860"/>
      <c r="CO37" s="2860"/>
      <c r="CP37" s="3094">
        <v>1000050020</v>
      </c>
      <c r="CQ37" s="2860"/>
      <c r="CR37" s="2860"/>
      <c r="CS37" s="2860"/>
      <c r="CT37" s="2860"/>
      <c r="CU37" s="2860"/>
      <c r="CV37" s="2860"/>
      <c r="CW37" s="2860"/>
      <c r="CX37" s="2860"/>
      <c r="CY37" s="3094">
        <v>1000050020</v>
      </c>
      <c r="CZ37" s="3094">
        <v>1000050020</v>
      </c>
      <c r="DA37" s="3094">
        <v>1000050020</v>
      </c>
      <c r="DB37" s="2860"/>
      <c r="DC37" s="2860"/>
      <c r="DD37" s="2860"/>
      <c r="DE37" s="2860"/>
      <c r="DF37" s="2860"/>
      <c r="DG37" s="2860"/>
      <c r="DH37" s="3094">
        <v>1000050020</v>
      </c>
      <c r="DI37" s="2860"/>
      <c r="DJ37" s="3094">
        <v>1000050020</v>
      </c>
      <c r="DK37" s="2860"/>
      <c r="DL37" s="2860"/>
      <c r="DM37" s="3094">
        <v>1000050020</v>
      </c>
      <c r="DN37" s="2860"/>
      <c r="DO37" s="2860"/>
      <c r="DP37" s="2860"/>
      <c r="DQ37" s="2860"/>
      <c r="DR37" s="2860"/>
      <c r="DS37" s="2860"/>
      <c r="DT37" s="2860"/>
      <c r="DU37" s="2860"/>
      <c r="DV37" s="2860"/>
      <c r="DW37" s="2860"/>
      <c r="DX37" s="2860"/>
      <c r="DY37" s="2860"/>
      <c r="DZ37" s="2860"/>
      <c r="EA37" s="2860"/>
      <c r="EB37" s="2860"/>
      <c r="EC37" s="2860"/>
      <c r="ED37" s="2860"/>
      <c r="EE37" s="2860"/>
      <c r="EF37" s="2860"/>
      <c r="EG37" s="2860"/>
      <c r="EH37" s="3094">
        <v>1000050020</v>
      </c>
      <c r="EI37" s="3094">
        <v>1000050020</v>
      </c>
      <c r="EJ37" s="2860"/>
      <c r="EK37" s="2860"/>
      <c r="EL37" s="2860"/>
      <c r="EM37" s="2860"/>
      <c r="EN37" s="2860"/>
      <c r="EO37" s="2860"/>
      <c r="EP37" s="2860"/>
      <c r="EQ37" s="2860"/>
      <c r="ER37" s="2860"/>
      <c r="ES37" s="2860"/>
      <c r="ET37" s="2860"/>
      <c r="EU37" s="2860"/>
      <c r="EV37" s="2860"/>
      <c r="EW37" s="2860"/>
      <c r="EX37" s="2860"/>
      <c r="EY37" s="2860"/>
      <c r="EZ37" s="2860"/>
      <c r="FA37" s="3094">
        <v>1000050020</v>
      </c>
      <c r="FB37" s="2860"/>
      <c r="FC37" s="2860"/>
      <c r="FD37" s="2860"/>
      <c r="FE37" s="2860"/>
      <c r="FF37" s="2860"/>
      <c r="FG37" s="2860"/>
      <c r="FH37" s="2860"/>
      <c r="FI37" s="2860"/>
      <c r="FJ37" s="2860"/>
      <c r="FK37" s="3094">
        <v>1000050020</v>
      </c>
      <c r="FL37" s="2860"/>
      <c r="FM37" s="2860"/>
      <c r="FN37" s="2860"/>
      <c r="FO37" s="2860"/>
      <c r="FP37" s="2860"/>
      <c r="FQ37" s="2860"/>
      <c r="FR37" s="2860"/>
      <c r="FS37" s="2860"/>
      <c r="FT37" s="2860"/>
      <c r="FU37" s="2860"/>
      <c r="FV37" s="3094">
        <v>1000050020</v>
      </c>
      <c r="FW37" s="2860"/>
      <c r="FX37" s="2860"/>
      <c r="FY37" s="2860"/>
      <c r="FZ37" s="2860"/>
      <c r="GA37" s="2860"/>
      <c r="GB37" s="2860"/>
      <c r="GC37" s="2860"/>
      <c r="GD37" s="2860"/>
      <c r="GE37" s="2860"/>
      <c r="GF37" s="2860"/>
      <c r="GG37" s="2860"/>
      <c r="GH37" s="2860"/>
      <c r="GI37" s="2860"/>
      <c r="GJ37" s="2860"/>
      <c r="GK37" s="2860"/>
      <c r="GL37" s="2860"/>
      <c r="GM37" s="2860"/>
      <c r="GN37" s="2860"/>
      <c r="GO37" s="2860"/>
      <c r="GP37" s="2860"/>
      <c r="GQ37" s="2860"/>
      <c r="GR37" s="2860"/>
      <c r="GS37" s="2860"/>
      <c r="GT37" s="2860"/>
      <c r="GU37" s="2860"/>
      <c r="GV37" s="2860"/>
      <c r="GW37" s="3094">
        <v>1000050020</v>
      </c>
      <c r="GX37" s="2860"/>
      <c r="GY37" s="3094">
        <v>1000050020</v>
      </c>
      <c r="GZ37" s="2860"/>
      <c r="HA37" s="2860"/>
      <c r="HB37" s="2860"/>
      <c r="HC37" s="2860"/>
      <c r="HD37" s="2860"/>
      <c r="HE37" s="3094">
        <v>1000050020</v>
      </c>
      <c r="HF37" s="2860"/>
      <c r="HG37" s="2860"/>
      <c r="HH37" s="2860"/>
      <c r="HI37" s="2860"/>
      <c r="HJ37" s="2860"/>
      <c r="HK37" s="2860"/>
      <c r="HL37" s="2860"/>
      <c r="HM37" s="2860"/>
      <c r="HN37" s="2860"/>
      <c r="HO37" s="2860"/>
      <c r="HP37" s="2860"/>
      <c r="HQ37" s="2860"/>
      <c r="HR37" s="2860"/>
      <c r="HS37" s="2860"/>
      <c r="HT37" s="2860"/>
      <c r="HU37" s="2860"/>
      <c r="HV37" s="2860"/>
      <c r="HW37" s="2860"/>
      <c r="HX37" s="2860"/>
      <c r="HY37" s="2860"/>
      <c r="HZ37" s="2860"/>
      <c r="IA37" s="2860"/>
      <c r="IB37" s="2860"/>
      <c r="IC37" s="2860"/>
      <c r="ID37" s="2860"/>
      <c r="IE37" s="2860"/>
      <c r="IF37" s="2860"/>
      <c r="IG37" s="2860"/>
      <c r="IH37" s="2860"/>
      <c r="II37" s="2860"/>
      <c r="IJ37" s="2860"/>
      <c r="IK37" s="2860"/>
      <c r="IL37" s="2860"/>
      <c r="IM37" s="2860"/>
      <c r="IN37" s="2860"/>
      <c r="IO37" s="3094">
        <v>1000050020</v>
      </c>
      <c r="IP37" s="2860"/>
      <c r="IQ37" s="3834">
        <v>1000050020</v>
      </c>
      <c r="IR37" s="2860"/>
      <c r="IS37" s="2860"/>
      <c r="IT37" s="3987">
        <v>1000050020</v>
      </c>
      <c r="IU37" s="2860"/>
      <c r="IV37" s="2860"/>
      <c r="IW37" s="2860"/>
      <c r="IX37" s="2860"/>
      <c r="IY37" s="3987">
        <v>1000050020</v>
      </c>
      <c r="IZ37" s="2860"/>
      <c r="JA37" s="3806"/>
      <c r="JB37" s="3987">
        <v>1000050020</v>
      </c>
      <c r="JC37" s="4235">
        <v>1000050020</v>
      </c>
      <c r="JD37" s="3806"/>
      <c r="JE37" s="3806"/>
      <c r="JF37" s="3806"/>
      <c r="JG37" s="4137"/>
      <c r="JH37" s="1233"/>
      <c r="JI37" s="1393" t="s">
        <v>5618</v>
      </c>
      <c r="JJ37" s="1660" t="s">
        <v>6106</v>
      </c>
    </row>
    <row ht="24" r="38" spans="1:270" x14ac:dyDescent="0.2">
      <c r="A38" s="1128">
        <v>3</v>
      </c>
      <c r="B38" s="1557" t="str">
        <f si="1" t="shared"/>
        <v/>
      </c>
      <c r="C38" s="1559" t="s">
        <v>1573</v>
      </c>
      <c r="D38" s="1350" t="s">
        <v>5595</v>
      </c>
      <c r="E38" s="4138"/>
      <c r="F38" s="4138"/>
      <c r="G38" s="4138"/>
      <c r="H38" s="4138"/>
      <c r="I38" s="4138"/>
      <c r="J38" s="4138"/>
      <c r="K38" s="4138"/>
      <c r="L38" s="4138"/>
      <c r="M38" s="4138"/>
      <c r="N38" s="4138"/>
      <c r="O38" s="4138"/>
      <c r="P38" s="4138"/>
      <c r="Q38" s="4138"/>
      <c r="R38" s="4138"/>
      <c r="S38" s="4138"/>
      <c r="T38" s="4138"/>
      <c r="U38" s="4138"/>
      <c r="V38" s="4138"/>
      <c r="W38" s="4138"/>
      <c r="X38" s="4138"/>
      <c r="Y38" s="4138"/>
      <c r="Z38" s="4138"/>
      <c r="AA38" s="4138"/>
      <c r="AB38" s="4138"/>
      <c r="AC38" s="4138"/>
      <c r="AD38" s="2379"/>
      <c r="AE38" s="2379"/>
      <c r="AF38" s="2379"/>
      <c r="AG38" s="2379"/>
      <c r="AH38" s="2379"/>
      <c r="AI38" s="4138"/>
      <c r="AJ38" s="4138"/>
      <c r="AK38" s="4138"/>
      <c r="AL38" s="4138"/>
      <c r="AM38" s="2447" t="s">
        <v>1175</v>
      </c>
      <c r="AN38" s="4138"/>
      <c r="AO38" s="4138"/>
      <c r="AP38" s="4138"/>
      <c r="AQ38" s="4138"/>
      <c r="AR38" s="4138"/>
      <c r="AS38" s="4138"/>
      <c r="AT38" s="4138"/>
      <c r="AU38" s="4138"/>
      <c r="AV38" s="4138"/>
      <c r="AW38" s="4138"/>
      <c r="AX38" s="4138"/>
      <c r="AY38" s="4138"/>
      <c r="AZ38" s="4138"/>
      <c r="BA38" s="4138"/>
      <c r="BB38" s="2476" t="s">
        <v>1176</v>
      </c>
      <c r="BC38" s="2447" t="s">
        <v>1175</v>
      </c>
      <c r="BD38" s="4138"/>
      <c r="BE38" s="4138"/>
      <c r="BF38" s="4138"/>
      <c r="BG38" s="4138"/>
      <c r="BH38" s="4138"/>
      <c r="BI38" s="4138"/>
      <c r="BJ38" s="4138"/>
      <c r="BK38" s="4138"/>
      <c r="BL38" s="4138"/>
      <c r="BM38" s="4138"/>
      <c r="BN38" s="4138"/>
      <c r="BO38" s="4138"/>
      <c r="BP38" s="4138"/>
      <c r="BQ38" s="4138"/>
      <c r="BR38" s="4138"/>
      <c r="BS38" s="4138"/>
      <c r="BT38" s="4138"/>
      <c r="BU38" s="4138"/>
      <c r="BV38" s="4138"/>
      <c r="BW38" s="4138"/>
      <c r="BX38" s="4138"/>
      <c r="BY38" s="4138"/>
      <c r="BZ38" s="4138"/>
      <c r="CA38" s="4138"/>
      <c r="CB38" s="4138"/>
      <c r="CC38" s="4138"/>
      <c r="CD38" s="4138"/>
      <c r="CE38" s="4138"/>
      <c r="CF38" s="4138"/>
      <c r="CG38" s="4138"/>
      <c r="CH38" s="4138"/>
      <c r="CI38" s="4138"/>
      <c r="CJ38" s="4138"/>
      <c r="CK38" s="4138"/>
      <c r="CL38" s="4138"/>
      <c r="CM38" s="4138"/>
      <c r="CN38" s="4138"/>
      <c r="CO38" s="4138"/>
      <c r="CP38" s="2395" t="s">
        <v>7335</v>
      </c>
      <c r="CQ38" s="4138"/>
      <c r="CR38" s="4138"/>
      <c r="CS38" s="4138"/>
      <c r="CT38" s="4138"/>
      <c r="CU38" s="4138"/>
      <c r="CV38" s="4138"/>
      <c r="CW38" s="4138"/>
      <c r="CX38" s="4138"/>
      <c r="CY38" s="2379" t="s">
        <v>2407</v>
      </c>
      <c r="CZ38" s="2379" t="s">
        <v>2669</v>
      </c>
      <c r="DA38" s="2379" t="s">
        <v>2669</v>
      </c>
      <c r="DB38" s="4138"/>
      <c r="DC38" s="4138"/>
      <c r="DD38" s="4138"/>
      <c r="DE38" s="4138"/>
      <c r="DF38" s="4138"/>
      <c r="DG38" s="4138"/>
      <c r="DH38" s="2379" t="s">
        <v>6090</v>
      </c>
      <c r="DI38" s="4138"/>
      <c r="DJ38" s="2379" t="s">
        <v>2407</v>
      </c>
      <c r="DK38" s="4138"/>
      <c r="DL38" s="4138"/>
      <c r="DM38" s="2379" t="s">
        <v>2407</v>
      </c>
      <c r="DN38" s="4138"/>
      <c r="DO38" s="4138"/>
      <c r="DP38" s="4138"/>
      <c r="DQ38" s="4138"/>
      <c r="DR38" s="4138"/>
      <c r="DS38" s="4138"/>
      <c r="DT38" s="4138"/>
      <c r="DU38" s="4138"/>
      <c r="DV38" s="4138"/>
      <c r="DW38" s="4138"/>
      <c r="DX38" s="4138"/>
      <c r="DY38" s="4138"/>
      <c r="DZ38" s="4138"/>
      <c r="EA38" s="4138"/>
      <c r="EB38" s="4138"/>
      <c r="EC38" s="4138"/>
      <c r="ED38" s="4138"/>
      <c r="EE38" s="4138"/>
      <c r="EF38" s="4138"/>
      <c r="EG38" s="4138"/>
      <c r="EH38" s="2379" t="s">
        <v>3370</v>
      </c>
      <c r="EI38" s="2379" t="s">
        <v>3371</v>
      </c>
      <c r="EJ38" s="4138"/>
      <c r="EK38" s="4138"/>
      <c r="EL38" s="4138"/>
      <c r="EM38" s="4138"/>
      <c r="EN38" s="4138"/>
      <c r="EO38" s="4138"/>
      <c r="EP38" s="4138"/>
      <c r="EQ38" s="4138"/>
      <c r="ER38" s="4138"/>
      <c r="ES38" s="4138"/>
      <c r="ET38" s="4138"/>
      <c r="EU38" s="4138"/>
      <c r="EV38" s="4138"/>
      <c r="EW38" s="4138"/>
      <c r="EX38" s="4138"/>
      <c r="EY38" s="4138"/>
      <c r="EZ38" s="4138"/>
      <c r="FA38" s="2379" t="s">
        <v>2407</v>
      </c>
      <c r="FB38" s="4138"/>
      <c r="FC38" s="4138"/>
      <c r="FD38" s="4138"/>
      <c r="FE38" s="4138"/>
      <c r="FF38" s="4138"/>
      <c r="FG38" s="4138"/>
      <c r="FH38" s="4138"/>
      <c r="FI38" s="4138"/>
      <c r="FJ38" s="4138"/>
      <c r="FK38" s="2379" t="s">
        <v>2669</v>
      </c>
      <c r="FL38" s="4138"/>
      <c r="FM38" s="4138"/>
      <c r="FN38" s="4138"/>
      <c r="FO38" s="4138"/>
      <c r="FP38" s="4138"/>
      <c r="FQ38" s="4138"/>
      <c r="FR38" s="4138"/>
      <c r="FS38" s="4138"/>
      <c r="FT38" s="4138"/>
      <c r="FU38" s="4138"/>
      <c r="FV38" s="2447" t="s">
        <v>1175</v>
      </c>
      <c r="FW38" s="4138"/>
      <c r="FX38" s="4138"/>
      <c r="FY38" s="4138"/>
      <c r="FZ38" s="4138"/>
      <c r="GA38" s="4138"/>
      <c r="GB38" s="4138"/>
      <c r="GC38" s="4138"/>
      <c r="GD38" s="4138"/>
      <c r="GE38" s="4138"/>
      <c r="GF38" s="4138"/>
      <c r="GG38" s="4138"/>
      <c r="GH38" s="4138"/>
      <c r="GI38" s="4138"/>
      <c r="GJ38" s="4138"/>
      <c r="GK38" s="4138"/>
      <c r="GL38" s="4138"/>
      <c r="GM38" s="4138"/>
      <c r="GN38" s="4138"/>
      <c r="GO38" s="4138"/>
      <c r="GP38" s="4138"/>
      <c r="GQ38" s="4138"/>
      <c r="GR38" s="4138"/>
      <c r="GS38" s="4138"/>
      <c r="GT38" s="4138"/>
      <c r="GU38" s="4138"/>
      <c r="GV38" s="4138"/>
      <c r="GW38" s="2447" t="s">
        <v>1175</v>
      </c>
      <c r="GX38" s="4138"/>
      <c r="GY38" s="2379" t="s">
        <v>3478</v>
      </c>
      <c r="GZ38" s="4138"/>
      <c r="HA38" s="4138"/>
      <c r="HB38" s="4138"/>
      <c r="HC38" s="4138"/>
      <c r="HD38" s="4138"/>
      <c r="HE38" s="2379" t="s">
        <v>804</v>
      </c>
      <c r="HF38" s="4138"/>
      <c r="HG38" s="4138"/>
      <c r="HH38" s="4138"/>
      <c r="HI38" s="4138"/>
      <c r="HJ38" s="4138"/>
      <c r="HK38" s="4138"/>
      <c r="HL38" s="4138"/>
      <c r="HM38" s="4138"/>
      <c r="HN38" s="4138"/>
      <c r="HO38" s="4138"/>
      <c r="HP38" s="4138"/>
      <c r="HQ38" s="4138"/>
      <c r="HR38" s="4138"/>
      <c r="HS38" s="4138"/>
      <c r="HT38" s="4138"/>
      <c r="HU38" s="4138"/>
      <c r="HV38" s="4138"/>
      <c r="HW38" s="4138"/>
      <c r="HX38" s="4138"/>
      <c r="HY38" s="4138"/>
      <c r="HZ38" s="4138"/>
      <c r="IA38" s="4138"/>
      <c r="IB38" s="4138"/>
      <c r="IC38" s="4138"/>
      <c r="ID38" s="4138"/>
      <c r="IE38" s="4138"/>
      <c r="IF38" s="4138"/>
      <c r="IG38" s="4138"/>
      <c r="IH38" s="4138"/>
      <c r="II38" s="4138"/>
      <c r="IJ38" s="4138"/>
      <c r="IK38" s="4138"/>
      <c r="IL38" s="4138"/>
      <c r="IM38" s="4138"/>
      <c r="IN38" s="4138"/>
      <c r="IO38" s="2379" t="s">
        <v>6623</v>
      </c>
      <c r="IP38" s="4138"/>
      <c r="IQ38" s="3835" t="s">
        <v>8400</v>
      </c>
      <c r="IR38" s="4138"/>
      <c r="IS38" s="4138"/>
      <c r="IT38" s="3987" t="s">
        <v>8482</v>
      </c>
      <c r="IU38" s="4138"/>
      <c r="IV38" s="4138"/>
      <c r="IW38" s="4138"/>
      <c r="IX38" s="4138"/>
      <c r="IY38" s="3989" t="s">
        <v>8485</v>
      </c>
      <c r="IZ38" s="4138"/>
      <c r="JA38" s="3807"/>
      <c r="JB38" s="3989" t="s">
        <v>8885</v>
      </c>
      <c r="JC38" s="4236" t="s">
        <v>8485</v>
      </c>
      <c r="JD38" s="3807"/>
      <c r="JE38" s="3807"/>
      <c r="JF38" s="3807"/>
      <c r="JG38" s="4139"/>
      <c r="JH38" s="1233"/>
      <c r="JI38" s="1393" t="s">
        <v>5095</v>
      </c>
      <c r="JJ38" s="1660" t="s">
        <v>6112</v>
      </c>
    </row>
    <row ht="12.75" r="39" spans="1:270" x14ac:dyDescent="0.2">
      <c r="A39" s="1128">
        <v>4</v>
      </c>
      <c r="B39" s="1557" t="str">
        <f si="1" t="shared"/>
        <v/>
      </c>
      <c r="C39" s="1559" t="s">
        <v>1574</v>
      </c>
      <c r="D39" s="1350" t="s">
        <v>5596</v>
      </c>
      <c r="E39" s="4140"/>
      <c r="F39" s="4140"/>
      <c r="G39" s="4140"/>
      <c r="H39" s="4140"/>
      <c r="I39" s="4140"/>
      <c r="J39" s="4140"/>
      <c r="K39" s="4140"/>
      <c r="L39" s="4140"/>
      <c r="M39" s="4140"/>
      <c r="N39" s="4140"/>
      <c r="O39" s="4140"/>
      <c r="P39" s="4140"/>
      <c r="Q39" s="4140"/>
      <c r="R39" s="4140"/>
      <c r="S39" s="4140"/>
      <c r="T39" s="4140"/>
      <c r="U39" s="4140"/>
      <c r="V39" s="4140"/>
      <c r="W39" s="4140"/>
      <c r="X39" s="4140"/>
      <c r="Y39" s="4140"/>
      <c r="Z39" s="4140"/>
      <c r="AA39" s="4140"/>
      <c r="AB39" s="4140"/>
      <c r="AC39" s="4140"/>
      <c r="AD39" s="2875"/>
      <c r="AE39" s="2875"/>
      <c r="AF39" s="2875"/>
      <c r="AG39" s="2875"/>
      <c r="AH39" s="2875"/>
      <c r="AI39" s="4140"/>
      <c r="AJ39" s="4140"/>
      <c r="AK39" s="4140"/>
      <c r="AL39" s="4140"/>
      <c r="AM39" s="2853" t="str">
        <f>"06/04/"&amp;Tax_year_start</f>
        <v>06/04/2019</v>
      </c>
      <c r="AN39" s="4140"/>
      <c r="AO39" s="4140"/>
      <c r="AP39" s="4140"/>
      <c r="AQ39" s="4140"/>
      <c r="AR39" s="4140"/>
      <c r="AS39" s="4140"/>
      <c r="AT39" s="4140"/>
      <c r="AU39" s="4140"/>
      <c r="AV39" s="4140"/>
      <c r="AW39" s="4140"/>
      <c r="AX39" s="4140"/>
      <c r="AY39" s="4140"/>
      <c r="AZ39" s="4140"/>
      <c r="BA39" s="4140"/>
      <c r="BB39" s="2861"/>
      <c r="BC39" s="2853" t="str">
        <f>"06/04/"&amp;Tax_year_start</f>
        <v>06/04/2019</v>
      </c>
      <c r="BD39" s="4140"/>
      <c r="BE39" s="4140"/>
      <c r="BF39" s="4140"/>
      <c r="BG39" s="4140"/>
      <c r="BH39" s="4140"/>
      <c r="BI39" s="4140"/>
      <c r="BJ39" s="4140"/>
      <c r="BK39" s="4140"/>
      <c r="BL39" s="4140"/>
      <c r="BM39" s="4140"/>
      <c r="BN39" s="4140"/>
      <c r="BO39" s="4140"/>
      <c r="BP39" s="4140"/>
      <c r="BQ39" s="4140"/>
      <c r="BR39" s="4140"/>
      <c r="BS39" s="4140"/>
      <c r="BT39" s="4140"/>
      <c r="BU39" s="4140"/>
      <c r="BV39" s="4140"/>
      <c r="BW39" s="4140"/>
      <c r="BX39" s="4140"/>
      <c r="BY39" s="4140"/>
      <c r="BZ39" s="4140"/>
      <c r="CA39" s="4140"/>
      <c r="CB39" s="4140"/>
      <c r="CC39" s="4140"/>
      <c r="CD39" s="4140"/>
      <c r="CE39" s="4140"/>
      <c r="CF39" s="4140"/>
      <c r="CG39" s="4140"/>
      <c r="CH39" s="4140"/>
      <c r="CI39" s="4140"/>
      <c r="CJ39" s="4140"/>
      <c r="CK39" s="4140"/>
      <c r="CL39" s="4140"/>
      <c r="CM39" s="4140"/>
      <c r="CN39" s="4140"/>
      <c r="CO39" s="4140"/>
      <c r="CP39" s="4140"/>
      <c r="CQ39" s="4140"/>
      <c r="CR39" s="4140"/>
      <c r="CS39" s="4140"/>
      <c r="CT39" s="4140"/>
      <c r="CU39" s="4140"/>
      <c r="CV39" s="4140"/>
      <c r="CW39" s="4140"/>
      <c r="CX39" s="4140"/>
      <c r="CY39" s="2875"/>
      <c r="CZ39" s="2875"/>
      <c r="DA39" s="2875"/>
      <c r="DB39" s="4140"/>
      <c r="DC39" s="4140"/>
      <c r="DD39" s="4140"/>
      <c r="DE39" s="4140"/>
      <c r="DF39" s="4140"/>
      <c r="DG39" s="4140"/>
      <c r="DH39" s="2875"/>
      <c r="DI39" s="4140"/>
      <c r="DJ39" s="2875"/>
      <c r="DK39" s="4140"/>
      <c r="DL39" s="4140"/>
      <c r="DM39" s="2875"/>
      <c r="DN39" s="4140"/>
      <c r="DO39" s="4140"/>
      <c r="DP39" s="4140"/>
      <c r="DQ39" s="4140"/>
      <c r="DR39" s="4140"/>
      <c r="DS39" s="4140"/>
      <c r="DT39" s="4140"/>
      <c r="DU39" s="4140"/>
      <c r="DV39" s="4140"/>
      <c r="DW39" s="4140"/>
      <c r="DX39" s="4140"/>
      <c r="DY39" s="4140"/>
      <c r="DZ39" s="4140"/>
      <c r="EA39" s="4140"/>
      <c r="EB39" s="4140"/>
      <c r="EC39" s="4140"/>
      <c r="ED39" s="4140"/>
      <c r="EE39" s="4140"/>
      <c r="EF39" s="4140"/>
      <c r="EG39" s="4140"/>
      <c r="EH39" s="2875"/>
      <c r="EI39" s="2875"/>
      <c r="EJ39" s="4140"/>
      <c r="EK39" s="4140"/>
      <c r="EL39" s="4140"/>
      <c r="EM39" s="4140"/>
      <c r="EN39" s="4140"/>
      <c r="EO39" s="4140"/>
      <c r="EP39" s="4140"/>
      <c r="EQ39" s="4140"/>
      <c r="ER39" s="4140"/>
      <c r="ES39" s="4140"/>
      <c r="ET39" s="4140"/>
      <c r="EU39" s="4140"/>
      <c r="EV39" s="4140"/>
      <c r="EW39" s="4140"/>
      <c r="EX39" s="4140"/>
      <c r="EY39" s="4140"/>
      <c r="EZ39" s="4140"/>
      <c r="FA39" s="2875"/>
      <c r="FB39" s="4140"/>
      <c r="FC39" s="4140"/>
      <c r="FD39" s="4140"/>
      <c r="FE39" s="4140"/>
      <c r="FF39" s="4140"/>
      <c r="FG39" s="4140"/>
      <c r="FH39" s="4140"/>
      <c r="FI39" s="4140"/>
      <c r="FJ39" s="4140"/>
      <c r="FK39" s="2875"/>
      <c r="FL39" s="4140"/>
      <c r="FM39" s="4140"/>
      <c r="FN39" s="4140"/>
      <c r="FO39" s="4140"/>
      <c r="FP39" s="4140"/>
      <c r="FQ39" s="4140"/>
      <c r="FR39" s="4140"/>
      <c r="FS39" s="4140"/>
      <c r="FT39" s="4140"/>
      <c r="FU39" s="4140"/>
      <c r="FV39" s="2853" t="str">
        <f>"06/04/"&amp;Tax_year_start</f>
        <v>06/04/2019</v>
      </c>
      <c r="FW39" s="4140"/>
      <c r="FX39" s="4140"/>
      <c r="FY39" s="4140"/>
      <c r="FZ39" s="4140"/>
      <c r="GA39" s="4140"/>
      <c r="GB39" s="4140"/>
      <c r="GC39" s="4140"/>
      <c r="GD39" s="4140"/>
      <c r="GE39" s="4140"/>
      <c r="GF39" s="4140"/>
      <c r="GG39" s="4140"/>
      <c r="GH39" s="4140"/>
      <c r="GI39" s="4140"/>
      <c r="GJ39" s="4140"/>
      <c r="GK39" s="4140"/>
      <c r="GL39" s="4140"/>
      <c r="GM39" s="4140"/>
      <c r="GN39" s="4140"/>
      <c r="GO39" s="4140"/>
      <c r="GP39" s="4140"/>
      <c r="GQ39" s="4140"/>
      <c r="GR39" s="4140"/>
      <c r="GS39" s="4140"/>
      <c r="GT39" s="4140"/>
      <c r="GU39" s="4140"/>
      <c r="GV39" s="4140"/>
      <c r="GW39" s="2853" t="str">
        <f>"06/04/"&amp;Tax_year_start</f>
        <v>06/04/2019</v>
      </c>
      <c r="GX39" s="4140"/>
      <c r="GY39" s="2875"/>
      <c r="GZ39" s="4140"/>
      <c r="HA39" s="4140"/>
      <c r="HB39" s="4140"/>
      <c r="HC39" s="4140"/>
      <c r="HD39" s="4140"/>
      <c r="HE39" s="2875"/>
      <c r="HF39" s="4140"/>
      <c r="HG39" s="4140"/>
      <c r="HH39" s="4140"/>
      <c r="HI39" s="4140"/>
      <c r="HJ39" s="4140"/>
      <c r="HK39" s="4140"/>
      <c r="HL39" s="4140"/>
      <c r="HM39" s="4140"/>
      <c r="HN39" s="4140"/>
      <c r="HO39" s="4140"/>
      <c r="HP39" s="4140"/>
      <c r="HQ39" s="4140"/>
      <c r="HR39" s="4140"/>
      <c r="HS39" s="4140"/>
      <c r="HT39" s="4140"/>
      <c r="HU39" s="4140"/>
      <c r="HV39" s="4140"/>
      <c r="HW39" s="4140"/>
      <c r="HX39" s="4140"/>
      <c r="HY39" s="4140"/>
      <c r="HZ39" s="4140"/>
      <c r="IA39" s="4140"/>
      <c r="IB39" s="4140"/>
      <c r="IC39" s="4140"/>
      <c r="ID39" s="4140"/>
      <c r="IE39" s="4140"/>
      <c r="IF39" s="4140"/>
      <c r="IG39" s="4140"/>
      <c r="IH39" s="4140"/>
      <c r="II39" s="4140"/>
      <c r="IJ39" s="4140"/>
      <c r="IK39" s="4140"/>
      <c r="IL39" s="4140"/>
      <c r="IM39" s="4140"/>
      <c r="IN39" s="4140"/>
      <c r="IO39" s="2875"/>
      <c r="IP39" s="4140"/>
      <c r="IQ39" s="3836"/>
      <c r="IR39" s="4140"/>
      <c r="IS39" s="4140"/>
      <c r="IT39" s="3987"/>
      <c r="IU39" s="4140"/>
      <c r="IV39" s="4140"/>
      <c r="IW39" s="4140"/>
      <c r="IX39" s="4140"/>
      <c r="IY39" s="4141"/>
      <c r="IZ39" s="4140"/>
      <c r="JA39" s="3808"/>
      <c r="JB39" s="4311"/>
      <c r="JC39" s="4237"/>
      <c r="JD39" s="3808"/>
      <c r="JE39" s="3808"/>
      <c r="JF39" s="3808"/>
      <c r="JG39" s="4142"/>
      <c r="JH39" s="1233"/>
      <c r="JI39" s="1393" t="s">
        <v>5619</v>
      </c>
      <c r="JJ39" s="1660" t="s">
        <v>6126</v>
      </c>
    </row>
    <row ht="33.75" r="40" spans="1:270" x14ac:dyDescent="0.2">
      <c r="A40" s="1128">
        <v>5</v>
      </c>
      <c r="B40" s="1557" t="str">
        <f si="1" t="shared"/>
        <v/>
      </c>
      <c r="C40" s="1559" t="s">
        <v>1575</v>
      </c>
      <c r="D40" s="1350" t="s">
        <v>5597</v>
      </c>
      <c r="E40" s="4143"/>
      <c r="F40" s="4143"/>
      <c r="G40" s="4143"/>
      <c r="H40" s="4143"/>
      <c r="I40" s="4143"/>
      <c r="J40" s="4143"/>
      <c r="K40" s="4143"/>
      <c r="L40" s="4143"/>
      <c r="M40" s="4143"/>
      <c r="N40" s="4143"/>
      <c r="O40" s="4143"/>
      <c r="P40" s="4143"/>
      <c r="Q40" s="4143"/>
      <c r="R40" s="4143"/>
      <c r="S40" s="4143"/>
      <c r="T40" s="4143"/>
      <c r="U40" s="4143"/>
      <c r="V40" s="4143"/>
      <c r="W40" s="4143"/>
      <c r="X40" s="4143"/>
      <c r="Y40" s="4143"/>
      <c r="Z40" s="4143"/>
      <c r="AA40" s="4143"/>
      <c r="AB40" s="4143"/>
      <c r="AC40" s="4143"/>
      <c r="AD40" s="2861"/>
      <c r="AE40" s="2861"/>
      <c r="AF40" s="2861"/>
      <c r="AG40" s="2861"/>
      <c r="AH40" s="2861"/>
      <c r="AI40" s="4143"/>
      <c r="AJ40" s="4143"/>
      <c r="AK40" s="4143"/>
      <c r="AL40" s="4143"/>
      <c r="AM40" s="2859"/>
      <c r="AN40" s="4143"/>
      <c r="AO40" s="4143"/>
      <c r="AP40" s="4143"/>
      <c r="AQ40" s="4143"/>
      <c r="AR40" s="4143"/>
      <c r="AS40" s="4143"/>
      <c r="AT40" s="4143"/>
      <c r="AU40" s="4143"/>
      <c r="AV40" s="4143"/>
      <c r="AW40" s="4143"/>
      <c r="AX40" s="4143"/>
      <c r="AY40" s="4143"/>
      <c r="AZ40" s="4143"/>
      <c r="BA40" s="4143"/>
      <c r="BB40" s="2861"/>
      <c r="BC40" s="2859"/>
      <c r="BD40" s="4143"/>
      <c r="BE40" s="4143"/>
      <c r="BF40" s="4143"/>
      <c r="BG40" s="4143"/>
      <c r="BH40" s="4143"/>
      <c r="BI40" s="4143"/>
      <c r="BJ40" s="4143"/>
      <c r="BK40" s="4143"/>
      <c r="BL40" s="4143"/>
      <c r="BM40" s="4143"/>
      <c r="BN40" s="4143"/>
      <c r="BO40" s="4143"/>
      <c r="BP40" s="4143"/>
      <c r="BQ40" s="4143"/>
      <c r="BR40" s="4143"/>
      <c r="BS40" s="4143"/>
      <c r="BT40" s="4143"/>
      <c r="BU40" s="4143"/>
      <c r="BV40" s="4143"/>
      <c r="BW40" s="4143"/>
      <c r="BX40" s="4143"/>
      <c r="BY40" s="4143"/>
      <c r="BZ40" s="4143"/>
      <c r="CA40" s="4143"/>
      <c r="CB40" s="4143"/>
      <c r="CC40" s="4143"/>
      <c r="CD40" s="4143"/>
      <c r="CE40" s="4143"/>
      <c r="CF40" s="4143"/>
      <c r="CG40" s="4143"/>
      <c r="CH40" s="4143"/>
      <c r="CI40" s="4143"/>
      <c r="CJ40" s="4143"/>
      <c r="CK40" s="4143"/>
      <c r="CL40" s="4143"/>
      <c r="CM40" s="4143"/>
      <c r="CN40" s="4143"/>
      <c r="CO40" s="4143"/>
      <c r="CP40" s="4143"/>
      <c r="CQ40" s="4143"/>
      <c r="CR40" s="4143"/>
      <c r="CS40" s="4143"/>
      <c r="CT40" s="4143"/>
      <c r="CU40" s="4143"/>
      <c r="CV40" s="4143"/>
      <c r="CW40" s="4143"/>
      <c r="CX40" s="4143"/>
      <c r="CY40" s="2853" t="str">
        <f>"30/09/"&amp;Tax_year_start</f>
        <v>30/09/2019</v>
      </c>
      <c r="CZ40" s="2861"/>
      <c r="DA40" s="2861"/>
      <c r="DB40" s="4143"/>
      <c r="DC40" s="4143"/>
      <c r="DD40" s="4143"/>
      <c r="DE40" s="4143"/>
      <c r="DF40" s="4143"/>
      <c r="DG40" s="4143"/>
      <c r="DH40" s="2861"/>
      <c r="DI40" s="4143"/>
      <c r="DJ40" s="2853" t="str">
        <f>"30/09/"&amp;Tax_year_start</f>
        <v>30/09/2019</v>
      </c>
      <c r="DK40" s="4143"/>
      <c r="DL40" s="4143"/>
      <c r="DM40" s="2853" t="str">
        <f>"30/09/"&amp;Tax_year_start</f>
        <v>30/09/2019</v>
      </c>
      <c r="DN40" s="4143"/>
      <c r="DO40" s="4143"/>
      <c r="DP40" s="4143"/>
      <c r="DQ40" s="4143"/>
      <c r="DR40" s="4143"/>
      <c r="DS40" s="4143"/>
      <c r="DT40" s="4143"/>
      <c r="DU40" s="4143"/>
      <c r="DV40" s="4143"/>
      <c r="DW40" s="4143"/>
      <c r="DX40" s="4143"/>
      <c r="DY40" s="4143"/>
      <c r="DZ40" s="4143"/>
      <c r="EA40" s="4143"/>
      <c r="EB40" s="4143"/>
      <c r="EC40" s="4143"/>
      <c r="ED40" s="4143"/>
      <c r="EE40" s="4143"/>
      <c r="EF40" s="4143"/>
      <c r="EG40" s="4143"/>
      <c r="EH40" s="2861"/>
      <c r="EI40" s="2861"/>
      <c r="EJ40" s="4143"/>
      <c r="EK40" s="4143"/>
      <c r="EL40" s="4143"/>
      <c r="EM40" s="4143"/>
      <c r="EN40" s="4143"/>
      <c r="EO40" s="4143"/>
      <c r="EP40" s="4143"/>
      <c r="EQ40" s="4143"/>
      <c r="ER40" s="4143"/>
      <c r="ES40" s="4143"/>
      <c r="ET40" s="4143"/>
      <c r="EU40" s="4143"/>
      <c r="EV40" s="4143"/>
      <c r="EW40" s="4143"/>
      <c r="EX40" s="4143"/>
      <c r="EY40" s="4143"/>
      <c r="EZ40" s="4143"/>
      <c r="FA40" s="2853" t="str">
        <f>"30/09/"&amp;Tax_year_start</f>
        <v>30/09/2019</v>
      </c>
      <c r="FB40" s="4143"/>
      <c r="FC40" s="4143"/>
      <c r="FD40" s="4143"/>
      <c r="FE40" s="4143"/>
      <c r="FF40" s="4143"/>
      <c r="FG40" s="4143"/>
      <c r="FH40" s="4143"/>
      <c r="FI40" s="4143"/>
      <c r="FJ40" s="4143"/>
      <c r="FK40" s="2861"/>
      <c r="FL40" s="4143"/>
      <c r="FM40" s="4143"/>
      <c r="FN40" s="4143"/>
      <c r="FO40" s="4143"/>
      <c r="FP40" s="4143"/>
      <c r="FQ40" s="4143"/>
      <c r="FR40" s="4143"/>
      <c r="FS40" s="4143"/>
      <c r="FT40" s="4143"/>
      <c r="FU40" s="4143"/>
      <c r="FV40" s="2859"/>
      <c r="FW40" s="4143"/>
      <c r="FX40" s="4143"/>
      <c r="FY40" s="4143"/>
      <c r="FZ40" s="4143"/>
      <c r="GA40" s="4143"/>
      <c r="GB40" s="4143"/>
      <c r="GC40" s="4143"/>
      <c r="GD40" s="4143"/>
      <c r="GE40" s="4143"/>
      <c r="GF40" s="4143"/>
      <c r="GG40" s="4143"/>
      <c r="GH40" s="4143"/>
      <c r="GI40" s="4143"/>
      <c r="GJ40" s="4143"/>
      <c r="GK40" s="4143"/>
      <c r="GL40" s="4143"/>
      <c r="GM40" s="4143"/>
      <c r="GN40" s="4143"/>
      <c r="GO40" s="4143"/>
      <c r="GP40" s="4143"/>
      <c r="GQ40" s="4143"/>
      <c r="GR40" s="4143"/>
      <c r="GS40" s="4143"/>
      <c r="GT40" s="4143"/>
      <c r="GU40" s="4143"/>
      <c r="GV40" s="4143"/>
      <c r="GW40" s="2859"/>
      <c r="GX40" s="4143"/>
      <c r="GY40" s="2861"/>
      <c r="GZ40" s="4143"/>
      <c r="HA40" s="4143"/>
      <c r="HB40" s="4143"/>
      <c r="HC40" s="4143"/>
      <c r="HD40" s="4143"/>
      <c r="HE40" s="2861"/>
      <c r="HF40" s="4143"/>
      <c r="HG40" s="4143"/>
      <c r="HH40" s="4143"/>
      <c r="HI40" s="4143"/>
      <c r="HJ40" s="4143"/>
      <c r="HK40" s="4143"/>
      <c r="HL40" s="4143"/>
      <c r="HM40" s="4143"/>
      <c r="HN40" s="4143"/>
      <c r="HO40" s="4143"/>
      <c r="HP40" s="4143"/>
      <c r="HQ40" s="4143"/>
      <c r="HR40" s="4143"/>
      <c r="HS40" s="4143"/>
      <c r="HT40" s="4143"/>
      <c r="HU40" s="4143"/>
      <c r="HV40" s="4143"/>
      <c r="HW40" s="4143"/>
      <c r="HX40" s="4143"/>
      <c r="HY40" s="4143"/>
      <c r="HZ40" s="4143"/>
      <c r="IA40" s="4143"/>
      <c r="IB40" s="4143"/>
      <c r="IC40" s="4143"/>
      <c r="ID40" s="4143"/>
      <c r="IE40" s="4143"/>
      <c r="IF40" s="4143"/>
      <c r="IG40" s="4143"/>
      <c r="IH40" s="4143"/>
      <c r="II40" s="4143"/>
      <c r="IJ40" s="4143"/>
      <c r="IK40" s="4143"/>
      <c r="IL40" s="4143"/>
      <c r="IM40" s="4143"/>
      <c r="IN40" s="4143"/>
      <c r="IO40" s="2861"/>
      <c r="IP40" s="4143"/>
      <c r="IQ40" s="3837"/>
      <c r="IR40" s="4143"/>
      <c r="IS40" s="4143"/>
      <c r="IT40" s="3987"/>
      <c r="IU40" s="4143"/>
      <c r="IV40" s="4143"/>
      <c r="IW40" s="4143"/>
      <c r="IX40" s="4143"/>
      <c r="IY40" s="4144"/>
      <c r="IZ40" s="4143"/>
      <c r="JA40" s="3809"/>
      <c r="JB40" s="3736"/>
      <c r="JC40" s="4238"/>
      <c r="JD40" s="3809"/>
      <c r="JE40" s="3809"/>
      <c r="JF40" s="3809"/>
      <c r="JG40" s="4145"/>
      <c r="JH40" s="1233"/>
      <c r="JI40" s="1393" t="s">
        <v>5620</v>
      </c>
      <c r="JJ40" s="1660" t="s">
        <v>6126</v>
      </c>
    </row>
    <row ht="12.75" r="41" spans="1:270" x14ac:dyDescent="0.2">
      <c r="A41" s="1128">
        <v>6</v>
      </c>
      <c r="B41" s="1557" t="str">
        <f si="1" t="shared"/>
        <v/>
      </c>
      <c r="C41" s="1559" t="s">
        <v>1576</v>
      </c>
      <c r="D41" s="1350" t="s">
        <v>5446</v>
      </c>
      <c r="E41" s="4146"/>
      <c r="F41" s="4146"/>
      <c r="G41" s="4146"/>
      <c r="H41" s="4146"/>
      <c r="I41" s="4146"/>
      <c r="J41" s="4146"/>
      <c r="K41" s="4146"/>
      <c r="L41" s="4146"/>
      <c r="M41" s="4146"/>
      <c r="N41" s="4146"/>
      <c r="O41" s="4146"/>
      <c r="P41" s="4146"/>
      <c r="Q41" s="4146"/>
      <c r="R41" s="4146"/>
      <c r="S41" s="4146"/>
      <c r="T41" s="4146"/>
      <c r="U41" s="4146"/>
      <c r="V41" s="4146"/>
      <c r="W41" s="4146"/>
      <c r="X41" s="4146"/>
      <c r="Y41" s="4146"/>
      <c r="Z41" s="4146"/>
      <c r="AA41" s="4146"/>
      <c r="AB41" s="4146"/>
      <c r="AC41" s="4146"/>
      <c r="AD41" s="2866"/>
      <c r="AE41" s="2866"/>
      <c r="AF41" s="2866"/>
      <c r="AG41" s="2866"/>
      <c r="AH41" s="2866"/>
      <c r="AI41" s="4146"/>
      <c r="AJ41" s="4146"/>
      <c r="AK41" s="4146"/>
      <c r="AL41" s="4146"/>
      <c r="AM41" s="2866" t="s">
        <v>1189</v>
      </c>
      <c r="AN41" s="4146"/>
      <c r="AO41" s="4146"/>
      <c r="AP41" s="4146"/>
      <c r="AQ41" s="4146"/>
      <c r="AR41" s="4146"/>
      <c r="AS41" s="4146"/>
      <c r="AT41" s="4146"/>
      <c r="AU41" s="4146"/>
      <c r="AV41" s="4146"/>
      <c r="AW41" s="4146"/>
      <c r="AX41" s="4146"/>
      <c r="AY41" s="4146"/>
      <c r="AZ41" s="4146"/>
      <c r="BA41" s="4146"/>
      <c r="BB41" s="2866" t="s">
        <v>1189</v>
      </c>
      <c r="BC41" s="2866" t="s">
        <v>1189</v>
      </c>
      <c r="BD41" s="4146"/>
      <c r="BE41" s="4146"/>
      <c r="BF41" s="4146"/>
      <c r="BG41" s="4146"/>
      <c r="BH41" s="4146"/>
      <c r="BI41" s="4146"/>
      <c r="BJ41" s="4146"/>
      <c r="BK41" s="4146"/>
      <c r="BL41" s="4146"/>
      <c r="BM41" s="4146"/>
      <c r="BN41" s="4146"/>
      <c r="BO41" s="4146"/>
      <c r="BP41" s="4146"/>
      <c r="BQ41" s="4146"/>
      <c r="BR41" s="4146"/>
      <c r="BS41" s="4146"/>
      <c r="BT41" s="4146"/>
      <c r="BU41" s="4146"/>
      <c r="BV41" s="4146"/>
      <c r="BW41" s="4146"/>
      <c r="BX41" s="4146"/>
      <c r="BY41" s="4146"/>
      <c r="BZ41" s="4146"/>
      <c r="CA41" s="4146"/>
      <c r="CB41" s="4146"/>
      <c r="CC41" s="4146"/>
      <c r="CD41" s="4146"/>
      <c r="CE41" s="4146"/>
      <c r="CF41" s="4146"/>
      <c r="CG41" s="4146"/>
      <c r="CH41" s="4146"/>
      <c r="CI41" s="4146"/>
      <c r="CJ41" s="4146"/>
      <c r="CK41" s="4146"/>
      <c r="CL41" s="4146"/>
      <c r="CM41" s="4146"/>
      <c r="CN41" s="4146"/>
      <c r="CO41" s="4146"/>
      <c r="CP41" s="4146"/>
      <c r="CQ41" s="4146"/>
      <c r="CR41" s="4146"/>
      <c r="CS41" s="4146"/>
      <c r="CT41" s="4146"/>
      <c r="CU41" s="4146"/>
      <c r="CV41" s="4146"/>
      <c r="CW41" s="4146"/>
      <c r="CX41" s="4146"/>
      <c r="CY41" s="2866" t="s">
        <v>1189</v>
      </c>
      <c r="CZ41" s="2866" t="s">
        <v>1189</v>
      </c>
      <c r="DA41" s="2866" t="s">
        <v>1189</v>
      </c>
      <c r="DB41" s="4146"/>
      <c r="DC41" s="4146"/>
      <c r="DD41" s="4146"/>
      <c r="DE41" s="4146"/>
      <c r="DF41" s="4146"/>
      <c r="DG41" s="4146"/>
      <c r="DH41" s="2866" t="s">
        <v>1189</v>
      </c>
      <c r="DI41" s="4146"/>
      <c r="DJ41" s="2866" t="s">
        <v>1189</v>
      </c>
      <c r="DK41" s="4146"/>
      <c r="DL41" s="4146"/>
      <c r="DM41" s="2866" t="s">
        <v>1189</v>
      </c>
      <c r="DN41" s="4146"/>
      <c r="DO41" s="4146"/>
      <c r="DP41" s="4146"/>
      <c r="DQ41" s="4146"/>
      <c r="DR41" s="4146"/>
      <c r="DS41" s="4146"/>
      <c r="DT41" s="4146"/>
      <c r="DU41" s="4146"/>
      <c r="DV41" s="4146"/>
      <c r="DW41" s="4146"/>
      <c r="DX41" s="4146"/>
      <c r="DY41" s="4146"/>
      <c r="DZ41" s="4146"/>
      <c r="EA41" s="4146"/>
      <c r="EB41" s="4146"/>
      <c r="EC41" s="4146"/>
      <c r="ED41" s="4146"/>
      <c r="EE41" s="4146"/>
      <c r="EF41" s="4146"/>
      <c r="EG41" s="4146"/>
      <c r="EH41" s="2866" t="s">
        <v>572</v>
      </c>
      <c r="EI41" s="2866" t="s">
        <v>1189</v>
      </c>
      <c r="EJ41" s="4146"/>
      <c r="EK41" s="4146"/>
      <c r="EL41" s="4146"/>
      <c r="EM41" s="4146"/>
      <c r="EN41" s="4146"/>
      <c r="EO41" s="4146"/>
      <c r="EP41" s="4146"/>
      <c r="EQ41" s="4146"/>
      <c r="ER41" s="4146"/>
      <c r="ES41" s="4146"/>
      <c r="ET41" s="4146"/>
      <c r="EU41" s="4146"/>
      <c r="EV41" s="4146"/>
      <c r="EW41" s="4146"/>
      <c r="EX41" s="4146"/>
      <c r="EY41" s="4146"/>
      <c r="EZ41" s="4146"/>
      <c r="FA41" s="2866" t="s">
        <v>1189</v>
      </c>
      <c r="FB41" s="4146"/>
      <c r="FC41" s="4146"/>
      <c r="FD41" s="4146"/>
      <c r="FE41" s="4146"/>
      <c r="FF41" s="4146"/>
      <c r="FG41" s="4146"/>
      <c r="FH41" s="4146"/>
      <c r="FI41" s="4146"/>
      <c r="FJ41" s="4146"/>
      <c r="FK41" s="2866" t="s">
        <v>1189</v>
      </c>
      <c r="FL41" s="4146"/>
      <c r="FM41" s="4146"/>
      <c r="FN41" s="4146"/>
      <c r="FO41" s="4146"/>
      <c r="FP41" s="4146"/>
      <c r="FQ41" s="4146"/>
      <c r="FR41" s="4146"/>
      <c r="FS41" s="4146"/>
      <c r="FT41" s="4146"/>
      <c r="FU41" s="4146"/>
      <c r="FV41" s="2866" t="s">
        <v>1189</v>
      </c>
      <c r="FW41" s="4146"/>
      <c r="FX41" s="4146"/>
      <c r="FY41" s="4146"/>
      <c r="FZ41" s="4146"/>
      <c r="GA41" s="4146"/>
      <c r="GB41" s="4146"/>
      <c r="GC41" s="4146"/>
      <c r="GD41" s="4146"/>
      <c r="GE41" s="4146"/>
      <c r="GF41" s="4146"/>
      <c r="GG41" s="4146"/>
      <c r="GH41" s="4146"/>
      <c r="GI41" s="4146"/>
      <c r="GJ41" s="4146"/>
      <c r="GK41" s="4146"/>
      <c r="GL41" s="4146"/>
      <c r="GM41" s="4146"/>
      <c r="GN41" s="4146"/>
      <c r="GO41" s="4146"/>
      <c r="GP41" s="4146"/>
      <c r="GQ41" s="4146"/>
      <c r="GR41" s="4146"/>
      <c r="GS41" s="4146"/>
      <c r="GT41" s="4146"/>
      <c r="GU41" s="4146"/>
      <c r="GV41" s="4146"/>
      <c r="GW41" s="2866" t="s">
        <v>1189</v>
      </c>
      <c r="GX41" s="4146"/>
      <c r="GY41" s="2866" t="s">
        <v>1189</v>
      </c>
      <c r="GZ41" s="4146"/>
      <c r="HA41" s="4146"/>
      <c r="HB41" s="4146"/>
      <c r="HC41" s="4146"/>
      <c r="HD41" s="4146"/>
      <c r="HE41" s="2866" t="s">
        <v>1189</v>
      </c>
      <c r="HF41" s="4146"/>
      <c r="HG41" s="4146"/>
      <c r="HH41" s="4146"/>
      <c r="HI41" s="4146"/>
      <c r="HJ41" s="4146"/>
      <c r="HK41" s="4146"/>
      <c r="HL41" s="4146"/>
      <c r="HM41" s="4146"/>
      <c r="HN41" s="4146"/>
      <c r="HO41" s="4146"/>
      <c r="HP41" s="4146"/>
      <c r="HQ41" s="4146"/>
      <c r="HR41" s="4146"/>
      <c r="HS41" s="4146"/>
      <c r="HT41" s="4146"/>
      <c r="HU41" s="4146"/>
      <c r="HV41" s="4146"/>
      <c r="HW41" s="4146"/>
      <c r="HX41" s="4146"/>
      <c r="HY41" s="4146"/>
      <c r="HZ41" s="4146"/>
      <c r="IA41" s="4146"/>
      <c r="IB41" s="4146"/>
      <c r="IC41" s="4146"/>
      <c r="ID41" s="4146"/>
      <c r="IE41" s="4146"/>
      <c r="IF41" s="4146"/>
      <c r="IG41" s="4146"/>
      <c r="IH41" s="4146"/>
      <c r="II41" s="4146"/>
      <c r="IJ41" s="4146"/>
      <c r="IK41" s="4146"/>
      <c r="IL41" s="4146"/>
      <c r="IM41" s="4146"/>
      <c r="IN41" s="4146"/>
      <c r="IO41" s="2866" t="s">
        <v>1189</v>
      </c>
      <c r="IP41" s="4146"/>
      <c r="IQ41" s="3838" t="s">
        <v>1189</v>
      </c>
      <c r="IR41" s="4146"/>
      <c r="IS41" s="4146"/>
      <c r="IT41" s="3987"/>
      <c r="IU41" s="4146"/>
      <c r="IV41" s="4146"/>
      <c r="IW41" s="4146"/>
      <c r="IX41" s="4146"/>
      <c r="IY41" s="4147"/>
      <c r="IZ41" s="4146"/>
      <c r="JA41" s="3810"/>
      <c r="JB41" s="4312"/>
      <c r="JC41" s="4239"/>
      <c r="JD41" s="3810"/>
      <c r="JE41" s="3810"/>
      <c r="JF41" s="3810"/>
      <c r="JG41" s="4148"/>
      <c r="JH41" s="1233"/>
      <c r="JI41" s="1393"/>
      <c r="JJ41" s="1660" t="s">
        <v>6111</v>
      </c>
    </row>
    <row ht="12.75" r="42" spans="1:270" x14ac:dyDescent="0.2">
      <c r="A42" s="1128">
        <v>7</v>
      </c>
      <c r="B42" s="1557" t="str">
        <f si="1" t="shared"/>
        <v/>
      </c>
      <c r="C42" s="1559" t="s">
        <v>1577</v>
      </c>
      <c r="D42" s="1350" t="s">
        <v>5598</v>
      </c>
      <c r="E42" s="4149"/>
      <c r="F42" s="4149"/>
      <c r="G42" s="4149"/>
      <c r="H42" s="4149"/>
      <c r="I42" s="4149"/>
      <c r="J42" s="4149"/>
      <c r="K42" s="4149"/>
      <c r="L42" s="4149"/>
      <c r="M42" s="4149"/>
      <c r="N42" s="4149"/>
      <c r="O42" s="4149"/>
      <c r="P42" s="4149"/>
      <c r="Q42" s="4149"/>
      <c r="R42" s="4149"/>
      <c r="S42" s="4149"/>
      <c r="T42" s="4149"/>
      <c r="U42" s="4149"/>
      <c r="V42" s="4149"/>
      <c r="W42" s="4149"/>
      <c r="X42" s="4149"/>
      <c r="Y42" s="4149"/>
      <c r="Z42" s="4149"/>
      <c r="AA42" s="4149"/>
      <c r="AB42" s="4149"/>
      <c r="AC42" s="4149"/>
      <c r="AD42" s="2853"/>
      <c r="AE42" s="2853"/>
      <c r="AF42" s="2853"/>
      <c r="AG42" s="2853"/>
      <c r="AH42" s="2853"/>
      <c r="AI42" s="4149"/>
      <c r="AJ42" s="4149"/>
      <c r="AK42" s="4149"/>
      <c r="AL42" s="4149"/>
      <c r="AM42" s="2853" t="str">
        <f>"06/04/"&amp;Tax_year_start</f>
        <v>06/04/2019</v>
      </c>
      <c r="AN42" s="4149"/>
      <c r="AO42" s="4149"/>
      <c r="AP42" s="4149"/>
      <c r="AQ42" s="4149"/>
      <c r="AR42" s="4149"/>
      <c r="AS42" s="4149"/>
      <c r="AT42" s="4149"/>
      <c r="AU42" s="4149"/>
      <c r="AV42" s="4149"/>
      <c r="AW42" s="4149"/>
      <c r="AX42" s="4149"/>
      <c r="AY42" s="4149"/>
      <c r="AZ42" s="4149"/>
      <c r="BA42" s="4149"/>
      <c r="BB42" s="2853" t="str">
        <f>"06/04/"&amp;Tax_year_start</f>
        <v>06/04/2019</v>
      </c>
      <c r="BC42" s="2853" t="str">
        <f>"06/04/"&amp;Tax_year_start</f>
        <v>06/04/2019</v>
      </c>
      <c r="BD42" s="4149"/>
      <c r="BE42" s="4149"/>
      <c r="BF42" s="4149"/>
      <c r="BG42" s="4149"/>
      <c r="BH42" s="4149"/>
      <c r="BI42" s="4149"/>
      <c r="BJ42" s="4149"/>
      <c r="BK42" s="4149"/>
      <c r="BL42" s="4149"/>
      <c r="BM42" s="4149"/>
      <c r="BN42" s="4149"/>
      <c r="BO42" s="4149"/>
      <c r="BP42" s="4149"/>
      <c r="BQ42" s="4149"/>
      <c r="BR42" s="4149"/>
      <c r="BS42" s="4149"/>
      <c r="BT42" s="4149"/>
      <c r="BU42" s="4149"/>
      <c r="BV42" s="4149"/>
      <c r="BW42" s="4149"/>
      <c r="BX42" s="4149"/>
      <c r="BY42" s="4149"/>
      <c r="BZ42" s="4149"/>
      <c r="CA42" s="4149"/>
      <c r="CB42" s="4149"/>
      <c r="CC42" s="4149"/>
      <c r="CD42" s="4149"/>
      <c r="CE42" s="4149"/>
      <c r="CF42" s="4149"/>
      <c r="CG42" s="4149"/>
      <c r="CH42" s="4149"/>
      <c r="CI42" s="4149"/>
      <c r="CJ42" s="4149"/>
      <c r="CK42" s="4149"/>
      <c r="CL42" s="4149"/>
      <c r="CM42" s="4149"/>
      <c r="CN42" s="4149"/>
      <c r="CO42" s="4149"/>
      <c r="CP42" s="2853" t="str">
        <f>"01/04/"&amp;Tax_year_start</f>
        <v>01/04/2019</v>
      </c>
      <c r="CQ42" s="4149"/>
      <c r="CR42" s="4149"/>
      <c r="CS42" s="4149"/>
      <c r="CT42" s="4149"/>
      <c r="CU42" s="4149"/>
      <c r="CV42" s="4149"/>
      <c r="CW42" s="4149"/>
      <c r="CX42" s="4149"/>
      <c r="CY42" s="2853" t="str">
        <f>"06/04/"&amp;Tax_year_start</f>
        <v>06/04/2019</v>
      </c>
      <c r="CZ42" s="2853" t="str">
        <f>"01/04/"&amp;Tax_year_start</f>
        <v>01/04/2019</v>
      </c>
      <c r="DA42" s="2853" t="str">
        <f>"01/04/"&amp;Tax_year_start</f>
        <v>01/04/2019</v>
      </c>
      <c r="DB42" s="4149"/>
      <c r="DC42" s="4149"/>
      <c r="DD42" s="4149"/>
      <c r="DE42" s="4149"/>
      <c r="DF42" s="4149"/>
      <c r="DG42" s="4149"/>
      <c r="DH42" s="2853" t="str">
        <f>"06/04/"&amp;Tax_year_start</f>
        <v>06/04/2019</v>
      </c>
      <c r="DI42" s="4149"/>
      <c r="DJ42" s="2853" t="str">
        <f>"06/04/"&amp;Tax_year_start</f>
        <v>06/04/2019</v>
      </c>
      <c r="DK42" s="4149"/>
      <c r="DL42" s="4149"/>
      <c r="DM42" s="2853" t="str">
        <f>"06/04/"&amp;Tax_year_start</f>
        <v>06/04/2019</v>
      </c>
      <c r="DN42" s="4149"/>
      <c r="DO42" s="4149"/>
      <c r="DP42" s="4149"/>
      <c r="DQ42" s="4149"/>
      <c r="DR42" s="4149"/>
      <c r="DS42" s="4149"/>
      <c r="DT42" s="4149"/>
      <c r="DU42" s="4149"/>
      <c r="DV42" s="4149"/>
      <c r="DW42" s="4149"/>
      <c r="DX42" s="4149"/>
      <c r="DY42" s="4149"/>
      <c r="DZ42" s="4149"/>
      <c r="EA42" s="4149"/>
      <c r="EB42" s="4149"/>
      <c r="EC42" s="4149"/>
      <c r="ED42" s="4149"/>
      <c r="EE42" s="4149"/>
      <c r="EF42" s="4149"/>
      <c r="EG42" s="4149"/>
      <c r="EH42" s="2853" t="str">
        <f>"06/04/"&amp;Tax_year_start</f>
        <v>06/04/2019</v>
      </c>
      <c r="EI42" s="2853" t="str">
        <f>"06/04/"&amp;Tax_year_start</f>
        <v>06/04/2019</v>
      </c>
      <c r="EJ42" s="4149"/>
      <c r="EK42" s="4149"/>
      <c r="EL42" s="4149"/>
      <c r="EM42" s="4149"/>
      <c r="EN42" s="4149"/>
      <c r="EO42" s="4149"/>
      <c r="EP42" s="4149"/>
      <c r="EQ42" s="4149"/>
      <c r="ER42" s="4149"/>
      <c r="ES42" s="4149"/>
      <c r="ET42" s="4149"/>
      <c r="EU42" s="4149"/>
      <c r="EV42" s="4149"/>
      <c r="EW42" s="4149"/>
      <c r="EX42" s="4149"/>
      <c r="EY42" s="4149"/>
      <c r="EZ42" s="4149"/>
      <c r="FA42" s="2853" t="str">
        <f>"06/04/"&amp;Tax_year_start</f>
        <v>06/04/2019</v>
      </c>
      <c r="FB42" s="4149"/>
      <c r="FC42" s="4149"/>
      <c r="FD42" s="4149"/>
      <c r="FE42" s="4149"/>
      <c r="FF42" s="4149"/>
      <c r="FG42" s="4149"/>
      <c r="FH42" s="4149"/>
      <c r="FI42" s="4149"/>
      <c r="FJ42" s="4149"/>
      <c r="FK42" s="2853" t="str">
        <f>"01/04/"&amp;Tax_year_start</f>
        <v>01/04/2019</v>
      </c>
      <c r="FL42" s="4149"/>
      <c r="FM42" s="4149"/>
      <c r="FN42" s="4149"/>
      <c r="FO42" s="4149"/>
      <c r="FP42" s="4149"/>
      <c r="FQ42" s="4149"/>
      <c r="FR42" s="4149"/>
      <c r="FS42" s="4149"/>
      <c r="FT42" s="4149"/>
      <c r="FU42" s="4149"/>
      <c r="FV42" s="2853" t="str">
        <f>"06/04/"&amp;Tax_year_start</f>
        <v>06/04/2019</v>
      </c>
      <c r="FW42" s="4149"/>
      <c r="FX42" s="4149"/>
      <c r="FY42" s="4149"/>
      <c r="FZ42" s="4149"/>
      <c r="GA42" s="4149"/>
      <c r="GB42" s="4149"/>
      <c r="GC42" s="4149"/>
      <c r="GD42" s="4149"/>
      <c r="GE42" s="4149"/>
      <c r="GF42" s="4149"/>
      <c r="GG42" s="4149"/>
      <c r="GH42" s="4149"/>
      <c r="GI42" s="4149"/>
      <c r="GJ42" s="4149"/>
      <c r="GK42" s="4149"/>
      <c r="GL42" s="4149"/>
      <c r="GM42" s="4149"/>
      <c r="GN42" s="4149"/>
      <c r="GO42" s="4149"/>
      <c r="GP42" s="4149"/>
      <c r="GQ42" s="4149"/>
      <c r="GR42" s="4149"/>
      <c r="GS42" s="4149"/>
      <c r="GT42" s="4149"/>
      <c r="GU42" s="4149"/>
      <c r="GV42" s="4149"/>
      <c r="GW42" s="2853" t="str">
        <f>"06/04/"&amp;Tax_year_start</f>
        <v>06/04/2019</v>
      </c>
      <c r="GX42" s="4149"/>
      <c r="GY42" s="2853" t="str">
        <f>"06/04/"&amp;Tax_year_start</f>
        <v>06/04/2019</v>
      </c>
      <c r="GZ42" s="4149"/>
      <c r="HA42" s="4149"/>
      <c r="HB42" s="4149"/>
      <c r="HC42" s="4149"/>
      <c r="HD42" s="4149"/>
      <c r="HE42" s="2853" t="str">
        <f>"06/04/"&amp;Tax_year_start</f>
        <v>06/04/2019</v>
      </c>
      <c r="HF42" s="4149"/>
      <c r="HG42" s="4149"/>
      <c r="HH42" s="4149"/>
      <c r="HI42" s="4149"/>
      <c r="HJ42" s="4149"/>
      <c r="HK42" s="4149"/>
      <c r="HL42" s="4149"/>
      <c r="HM42" s="4149"/>
      <c r="HN42" s="4149"/>
      <c r="HO42" s="4149"/>
      <c r="HP42" s="4149"/>
      <c r="HQ42" s="4149"/>
      <c r="HR42" s="4149"/>
      <c r="HS42" s="4149"/>
      <c r="HT42" s="4149"/>
      <c r="HU42" s="4149"/>
      <c r="HV42" s="4149"/>
      <c r="HW42" s="4149"/>
      <c r="HX42" s="4149"/>
      <c r="HY42" s="4149"/>
      <c r="HZ42" s="4149"/>
      <c r="IA42" s="4149"/>
      <c r="IB42" s="4149"/>
      <c r="IC42" s="4149"/>
      <c r="ID42" s="4149"/>
      <c r="IE42" s="4149"/>
      <c r="IF42" s="4149"/>
      <c r="IG42" s="4149"/>
      <c r="IH42" s="4149"/>
      <c r="II42" s="4149"/>
      <c r="IJ42" s="4149"/>
      <c r="IK42" s="4149"/>
      <c r="IL42" s="4149"/>
      <c r="IM42" s="4149"/>
      <c r="IN42" s="4149"/>
      <c r="IO42" s="2853" t="str">
        <f>"01/04/"&amp;Tax_year_start</f>
        <v>01/04/2019</v>
      </c>
      <c r="IP42" s="4149"/>
      <c r="IQ42" s="3839" t="str">
        <f>"01/05/"&amp;Tax_year_start</f>
        <v>01/05/2019</v>
      </c>
      <c r="IR42" s="4149"/>
      <c r="IS42" s="4149"/>
      <c r="IT42" s="3988" t="str">
        <f>"01/05/"&amp;Tax_year_start</f>
        <v>01/05/2019</v>
      </c>
      <c r="IU42" s="4149"/>
      <c r="IV42" s="4149"/>
      <c r="IW42" s="4149"/>
      <c r="IX42" s="4149"/>
      <c r="IY42" s="3988" t="str">
        <f>"01/05/"&amp;Tax_year_start</f>
        <v>01/05/2019</v>
      </c>
      <c r="IZ42" s="4149"/>
      <c r="JA42" s="3811"/>
      <c r="JB42" s="3988" t="str">
        <f>"01/06/"&amp;Tax_year_start-1</f>
        <v>01/06/2018</v>
      </c>
      <c r="JC42" s="4240" t="str">
        <f>"01/05/"&amp;Tax_year_start</f>
        <v>01/05/2019</v>
      </c>
      <c r="JD42" s="3811"/>
      <c r="JE42" s="3811"/>
      <c r="JF42" s="3811"/>
      <c r="JG42" s="4150"/>
      <c r="JH42" s="1233"/>
      <c r="JI42" s="1393"/>
      <c r="JJ42" s="1660" t="s">
        <v>6126</v>
      </c>
    </row>
    <row ht="33.75" r="43" spans="1:270" x14ac:dyDescent="0.2">
      <c r="A43" s="1128">
        <v>8</v>
      </c>
      <c r="B43" s="1557" t="str">
        <f si="1" t="shared"/>
        <v/>
      </c>
      <c r="C43" s="1559" t="s">
        <v>1578</v>
      </c>
      <c r="D43" s="1350" t="s">
        <v>5599</v>
      </c>
      <c r="E43" s="4149"/>
      <c r="F43" s="4149"/>
      <c r="G43" s="4149"/>
      <c r="H43" s="4149"/>
      <c r="I43" s="4149"/>
      <c r="J43" s="4149"/>
      <c r="K43" s="4149"/>
      <c r="L43" s="4149"/>
      <c r="M43" s="4149"/>
      <c r="N43" s="4149"/>
      <c r="O43" s="4149"/>
      <c r="P43" s="4149"/>
      <c r="Q43" s="4149"/>
      <c r="R43" s="4149"/>
      <c r="S43" s="4149"/>
      <c r="T43" s="4149"/>
      <c r="U43" s="4149"/>
      <c r="V43" s="4149"/>
      <c r="W43" s="4149"/>
      <c r="X43" s="4149"/>
      <c r="Y43" s="4149"/>
      <c r="Z43" s="4149"/>
      <c r="AA43" s="4149"/>
      <c r="AB43" s="4149"/>
      <c r="AC43" s="4149"/>
      <c r="AD43" s="2853"/>
      <c r="AE43" s="2853"/>
      <c r="AF43" s="2853"/>
      <c r="AG43" s="2853"/>
      <c r="AH43" s="2853"/>
      <c r="AI43" s="4149"/>
      <c r="AJ43" s="4149"/>
      <c r="AK43" s="4149"/>
      <c r="AL43" s="4149"/>
      <c r="AM43" s="2853" t="str">
        <f>"05/04/"&amp;Tax_year_end</f>
        <v>05/04/2020</v>
      </c>
      <c r="AN43" s="4149"/>
      <c r="AO43" s="4149"/>
      <c r="AP43" s="4149"/>
      <c r="AQ43" s="4149"/>
      <c r="AR43" s="4149"/>
      <c r="AS43" s="4149"/>
      <c r="AT43" s="4149"/>
      <c r="AU43" s="4149"/>
      <c r="AV43" s="4149"/>
      <c r="AW43" s="4149"/>
      <c r="AX43" s="4149"/>
      <c r="AY43" s="4149"/>
      <c r="AZ43" s="4149"/>
      <c r="BA43" s="4149"/>
      <c r="BB43" s="2853" t="str">
        <f>"05/04/"&amp;Tax_year_end</f>
        <v>05/04/2020</v>
      </c>
      <c r="BC43" s="2853" t="str">
        <f>"05/04/"&amp;Tax_year_end</f>
        <v>05/04/2020</v>
      </c>
      <c r="BD43" s="4149"/>
      <c r="BE43" s="4149"/>
      <c r="BF43" s="4149"/>
      <c r="BG43" s="4149"/>
      <c r="BH43" s="4149"/>
      <c r="BI43" s="4149"/>
      <c r="BJ43" s="4149"/>
      <c r="BK43" s="4149"/>
      <c r="BL43" s="4149"/>
      <c r="BM43" s="4149"/>
      <c r="BN43" s="4149"/>
      <c r="BO43" s="4149"/>
      <c r="BP43" s="4149"/>
      <c r="BQ43" s="4149"/>
      <c r="BR43" s="4149"/>
      <c r="BS43" s="4149"/>
      <c r="BT43" s="4149"/>
      <c r="BU43" s="4149"/>
      <c r="BV43" s="4149"/>
      <c r="BW43" s="4149"/>
      <c r="BX43" s="4149"/>
      <c r="BY43" s="4149"/>
      <c r="BZ43" s="4149"/>
      <c r="CA43" s="4149"/>
      <c r="CB43" s="4149"/>
      <c r="CC43" s="4149"/>
      <c r="CD43" s="4149"/>
      <c r="CE43" s="4149"/>
      <c r="CF43" s="4149"/>
      <c r="CG43" s="4149"/>
      <c r="CH43" s="4149"/>
      <c r="CI43" s="4149"/>
      <c r="CJ43" s="4149"/>
      <c r="CK43" s="4149"/>
      <c r="CL43" s="4149"/>
      <c r="CM43" s="4149"/>
      <c r="CN43" s="4149"/>
      <c r="CO43" s="4149"/>
      <c r="CP43" s="2853" t="str">
        <f>"31/03/"&amp;Tax_year_end</f>
        <v>31/03/2020</v>
      </c>
      <c r="CQ43" s="4149"/>
      <c r="CR43" s="4149"/>
      <c r="CS43" s="4149"/>
      <c r="CT43" s="4149"/>
      <c r="CU43" s="4149"/>
      <c r="CV43" s="4149"/>
      <c r="CW43" s="4149"/>
      <c r="CX43" s="4149"/>
      <c r="CY43" s="2853" t="str">
        <f>"30/09/"&amp;Tax_year_start</f>
        <v>30/09/2019</v>
      </c>
      <c r="CZ43" s="2853" t="str">
        <f>"31/03/"&amp;Tax_year_end</f>
        <v>31/03/2020</v>
      </c>
      <c r="DA43" s="2853" t="str">
        <f>"31/03/"&amp;Tax_year_end</f>
        <v>31/03/2020</v>
      </c>
      <c r="DB43" s="4149"/>
      <c r="DC43" s="4149"/>
      <c r="DD43" s="4149"/>
      <c r="DE43" s="4149"/>
      <c r="DF43" s="4149"/>
      <c r="DG43" s="4149"/>
      <c r="DH43" s="2853" t="str">
        <f>"05/04/"&amp;Tax_year_end</f>
        <v>05/04/2020</v>
      </c>
      <c r="DI43" s="4149"/>
      <c r="DJ43" s="2853" t="str">
        <f>"30/09/"&amp;Tax_year_start</f>
        <v>30/09/2019</v>
      </c>
      <c r="DK43" s="4149"/>
      <c r="DL43" s="4149"/>
      <c r="DM43" s="2853" t="str">
        <f>"30/09/"&amp;Tax_year_start</f>
        <v>30/09/2019</v>
      </c>
      <c r="DN43" s="4149"/>
      <c r="DO43" s="4149"/>
      <c r="DP43" s="4149"/>
      <c r="DQ43" s="4149"/>
      <c r="DR43" s="4149"/>
      <c r="DS43" s="4149"/>
      <c r="DT43" s="4149"/>
      <c r="DU43" s="4149"/>
      <c r="DV43" s="4149"/>
      <c r="DW43" s="4149"/>
      <c r="DX43" s="4149"/>
      <c r="DY43" s="4149"/>
      <c r="DZ43" s="4149"/>
      <c r="EA43" s="4149"/>
      <c r="EB43" s="4149"/>
      <c r="EC43" s="4149"/>
      <c r="ED43" s="4149"/>
      <c r="EE43" s="4149"/>
      <c r="EF43" s="4149"/>
      <c r="EG43" s="4149"/>
      <c r="EH43" s="2853" t="str">
        <f>"05/04/"&amp;Tax_year_end</f>
        <v>05/04/2020</v>
      </c>
      <c r="EI43" s="2853" t="str">
        <f>"05/04/"&amp;Tax_year_end</f>
        <v>05/04/2020</v>
      </c>
      <c r="EJ43" s="4149"/>
      <c r="EK43" s="4149"/>
      <c r="EL43" s="4149"/>
      <c r="EM43" s="4149"/>
      <c r="EN43" s="4149"/>
      <c r="EO43" s="4149"/>
      <c r="EP43" s="4149"/>
      <c r="EQ43" s="4149"/>
      <c r="ER43" s="4149"/>
      <c r="ES43" s="4149"/>
      <c r="ET43" s="4149"/>
      <c r="EU43" s="4149"/>
      <c r="EV43" s="4149"/>
      <c r="EW43" s="4149"/>
      <c r="EX43" s="4149"/>
      <c r="EY43" s="4149"/>
      <c r="EZ43" s="4149"/>
      <c r="FA43" s="2853" t="str">
        <f>"30/09/"&amp;Tax_year_start</f>
        <v>30/09/2019</v>
      </c>
      <c r="FB43" s="4149"/>
      <c r="FC43" s="4149"/>
      <c r="FD43" s="4149"/>
      <c r="FE43" s="4149"/>
      <c r="FF43" s="4149"/>
      <c r="FG43" s="4149"/>
      <c r="FH43" s="4149"/>
      <c r="FI43" s="4149"/>
      <c r="FJ43" s="4149"/>
      <c r="FK43" s="2853" t="str">
        <f>"31/03/"&amp;Tax_year_end</f>
        <v>31/03/2020</v>
      </c>
      <c r="FL43" s="4149"/>
      <c r="FM43" s="4149"/>
      <c r="FN43" s="4149"/>
      <c r="FO43" s="4149"/>
      <c r="FP43" s="4149"/>
      <c r="FQ43" s="4149"/>
      <c r="FR43" s="4149"/>
      <c r="FS43" s="4149"/>
      <c r="FT43" s="4149"/>
      <c r="FU43" s="4149"/>
      <c r="FV43" s="2853" t="str">
        <f>"05/04/"&amp;Tax_year_end</f>
        <v>05/04/2020</v>
      </c>
      <c r="FW43" s="4149"/>
      <c r="FX43" s="4149"/>
      <c r="FY43" s="4149"/>
      <c r="FZ43" s="4149"/>
      <c r="GA43" s="4149"/>
      <c r="GB43" s="4149"/>
      <c r="GC43" s="4149"/>
      <c r="GD43" s="4149"/>
      <c r="GE43" s="4149"/>
      <c r="GF43" s="4149"/>
      <c r="GG43" s="4149"/>
      <c r="GH43" s="4149"/>
      <c r="GI43" s="4149"/>
      <c r="GJ43" s="4149"/>
      <c r="GK43" s="4149"/>
      <c r="GL43" s="4149"/>
      <c r="GM43" s="4149"/>
      <c r="GN43" s="4149"/>
      <c r="GO43" s="4149"/>
      <c r="GP43" s="4149"/>
      <c r="GQ43" s="4149"/>
      <c r="GR43" s="4149"/>
      <c r="GS43" s="4149"/>
      <c r="GT43" s="4149"/>
      <c r="GU43" s="4149"/>
      <c r="GV43" s="4149"/>
      <c r="GW43" s="2853" t="str">
        <f>"05/04/"&amp;Tax_year_end</f>
        <v>05/04/2020</v>
      </c>
      <c r="GX43" s="4149"/>
      <c r="GY43" s="2853" t="str">
        <f>"05/04/"&amp;Tax_year_end</f>
        <v>05/04/2020</v>
      </c>
      <c r="GZ43" s="4149"/>
      <c r="HA43" s="4149"/>
      <c r="HB43" s="4149"/>
      <c r="HC43" s="4149"/>
      <c r="HD43" s="4149"/>
      <c r="HE43" s="2853" t="str">
        <f>"05/04/"&amp;Tax_year_end</f>
        <v>05/04/2020</v>
      </c>
      <c r="HF43" s="4149"/>
      <c r="HG43" s="4149"/>
      <c r="HH43" s="4149"/>
      <c r="HI43" s="4149"/>
      <c r="HJ43" s="4149"/>
      <c r="HK43" s="4149"/>
      <c r="HL43" s="4149"/>
      <c r="HM43" s="4149"/>
      <c r="HN43" s="4149"/>
      <c r="HO43" s="4149"/>
      <c r="HP43" s="4149"/>
      <c r="HQ43" s="4149"/>
      <c r="HR43" s="4149"/>
      <c r="HS43" s="4149"/>
      <c r="HT43" s="4149"/>
      <c r="HU43" s="4149"/>
      <c r="HV43" s="4149"/>
      <c r="HW43" s="4149"/>
      <c r="HX43" s="4149"/>
      <c r="HY43" s="4149"/>
      <c r="HZ43" s="4149"/>
      <c r="IA43" s="4149"/>
      <c r="IB43" s="4149"/>
      <c r="IC43" s="4149"/>
      <c r="ID43" s="4149"/>
      <c r="IE43" s="4149"/>
      <c r="IF43" s="4149"/>
      <c r="IG43" s="4149"/>
      <c r="IH43" s="4149"/>
      <c r="II43" s="4149"/>
      <c r="IJ43" s="4149"/>
      <c r="IK43" s="4149"/>
      <c r="IL43" s="4149"/>
      <c r="IM43" s="4149"/>
      <c r="IN43" s="4149"/>
      <c r="IO43" s="2853" t="str">
        <f>"29/11/"&amp;Tax_year_start</f>
        <v>29/11/2019</v>
      </c>
      <c r="IP43" s="4149"/>
      <c r="IQ43" s="3839" t="str">
        <f>"30/04/"&amp;Tax_year_end</f>
        <v>30/04/2020</v>
      </c>
      <c r="IR43" s="4149"/>
      <c r="IS43" s="4149"/>
      <c r="IT43" s="3988" t="str">
        <f>"30/04/"&amp;Tax_year_end</f>
        <v>30/04/2020</v>
      </c>
      <c r="IU43" s="4149"/>
      <c r="IV43" s="4149"/>
      <c r="IW43" s="4149"/>
      <c r="IX43" s="4149"/>
      <c r="IY43" s="3988" t="str">
        <f>"30/04/"&amp;Tax_year_end</f>
        <v>30/04/2020</v>
      </c>
      <c r="IZ43" s="4149"/>
      <c r="JA43" s="3811"/>
      <c r="JB43" s="3988" t="str">
        <f>"31/05/"&amp;Tax_year_start</f>
        <v>31/05/2019</v>
      </c>
      <c r="JC43" s="4240" t="str">
        <f>"30/04/"&amp;Tax_year_end</f>
        <v>30/04/2020</v>
      </c>
      <c r="JD43" s="3811"/>
      <c r="JE43" s="3811"/>
      <c r="JF43" s="3811"/>
      <c r="JG43" s="4150"/>
      <c r="JH43" s="1233"/>
      <c r="JI43" s="1393" t="s">
        <v>5621</v>
      </c>
      <c r="JJ43" s="1660" t="s">
        <v>6126</v>
      </c>
    </row>
    <row ht="12.75" r="44" spans="1:270" x14ac:dyDescent="0.2">
      <c r="A44" s="1128">
        <v>9</v>
      </c>
      <c r="B44" s="1557" t="str">
        <f si="1" t="shared"/>
        <v/>
      </c>
      <c r="C44" s="1559" t="s">
        <v>1579</v>
      </c>
      <c r="D44" s="1350" t="s">
        <v>5600</v>
      </c>
      <c r="E44" s="4151"/>
      <c r="F44" s="4151"/>
      <c r="G44" s="4151"/>
      <c r="H44" s="4151"/>
      <c r="I44" s="4151"/>
      <c r="J44" s="4151"/>
      <c r="K44" s="4151"/>
      <c r="L44" s="4151"/>
      <c r="M44" s="4151"/>
      <c r="N44" s="4151"/>
      <c r="O44" s="4151"/>
      <c r="P44" s="4151"/>
      <c r="Q44" s="4151"/>
      <c r="R44" s="4151"/>
      <c r="S44" s="4151"/>
      <c r="T44" s="4151"/>
      <c r="U44" s="4151"/>
      <c r="V44" s="4151"/>
      <c r="W44" s="4151"/>
      <c r="X44" s="4151"/>
      <c r="Y44" s="4151"/>
      <c r="Z44" s="4151"/>
      <c r="AA44" s="4151"/>
      <c r="AB44" s="4151"/>
      <c r="AC44" s="4151"/>
      <c r="AD44" s="2864"/>
      <c r="AE44" s="2864"/>
      <c r="AF44" s="2864"/>
      <c r="AG44" s="2864"/>
      <c r="AH44" s="2864"/>
      <c r="AI44" s="4151"/>
      <c r="AJ44" s="4151"/>
      <c r="AK44" s="4151"/>
      <c r="AL44" s="4151"/>
      <c r="AM44" s="2854">
        <v>62952</v>
      </c>
      <c r="AN44" s="4151"/>
      <c r="AO44" s="4151"/>
      <c r="AP44" s="4151"/>
      <c r="AQ44" s="4151"/>
      <c r="AR44" s="4151"/>
      <c r="AS44" s="4151"/>
      <c r="AT44" s="4151"/>
      <c r="AU44" s="4151"/>
      <c r="AV44" s="4151"/>
      <c r="AW44" s="4151"/>
      <c r="AX44" s="4151"/>
      <c r="AY44" s="4151"/>
      <c r="AZ44" s="4151"/>
      <c r="BA44" s="4151"/>
      <c r="BB44" s="2862">
        <v>-3621</v>
      </c>
      <c r="BC44" s="2854">
        <v>62952</v>
      </c>
      <c r="BD44" s="4151"/>
      <c r="BE44" s="4151"/>
      <c r="BF44" s="4151"/>
      <c r="BG44" s="4151"/>
      <c r="BH44" s="4151"/>
      <c r="BI44" s="4151"/>
      <c r="BJ44" s="4151"/>
      <c r="BK44" s="4151"/>
      <c r="BL44" s="4151"/>
      <c r="BM44" s="4151"/>
      <c r="BN44" s="4151"/>
      <c r="BO44" s="4151"/>
      <c r="BP44" s="4151"/>
      <c r="BQ44" s="4151"/>
      <c r="BR44" s="4151"/>
      <c r="BS44" s="4151"/>
      <c r="BT44" s="4151"/>
      <c r="BU44" s="4151"/>
      <c r="BV44" s="4151"/>
      <c r="BW44" s="4151"/>
      <c r="BX44" s="4151"/>
      <c r="BY44" s="4151"/>
      <c r="BZ44" s="4151"/>
      <c r="CA44" s="4151"/>
      <c r="CB44" s="4151"/>
      <c r="CC44" s="4151"/>
      <c r="CD44" s="4151"/>
      <c r="CE44" s="4151"/>
      <c r="CF44" s="4151"/>
      <c r="CG44" s="4151"/>
      <c r="CH44" s="4151"/>
      <c r="CI44" s="4151"/>
      <c r="CJ44" s="4151"/>
      <c r="CK44" s="4151"/>
      <c r="CL44" s="4151"/>
      <c r="CM44" s="4151"/>
      <c r="CN44" s="4151"/>
      <c r="CO44" s="4151"/>
      <c r="CP44" s="4151">
        <v>62583</v>
      </c>
      <c r="CQ44" s="4151"/>
      <c r="CR44" s="4151"/>
      <c r="CS44" s="4151"/>
      <c r="CT44" s="4151"/>
      <c r="CU44" s="4151"/>
      <c r="CV44" s="4151"/>
      <c r="CW44" s="4151"/>
      <c r="CX44" s="4151"/>
      <c r="CY44" s="2854">
        <v>105602</v>
      </c>
      <c r="CZ44" s="2854">
        <v>222960</v>
      </c>
      <c r="DA44" s="2854">
        <v>222960</v>
      </c>
      <c r="DB44" s="4151"/>
      <c r="DC44" s="4151"/>
      <c r="DD44" s="4151"/>
      <c r="DE44" s="4151"/>
      <c r="DF44" s="4151"/>
      <c r="DG44" s="4151"/>
      <c r="DH44" s="2864">
        <v>-5995</v>
      </c>
      <c r="DI44" s="4151"/>
      <c r="DJ44" s="2854">
        <v>105602</v>
      </c>
      <c r="DK44" s="4151"/>
      <c r="DL44" s="4151"/>
      <c r="DM44" s="2854">
        <v>105602</v>
      </c>
      <c r="DN44" s="4151"/>
      <c r="DO44" s="4151"/>
      <c r="DP44" s="4151"/>
      <c r="DQ44" s="4151"/>
      <c r="DR44" s="4151"/>
      <c r="DS44" s="4151"/>
      <c r="DT44" s="4151"/>
      <c r="DU44" s="4151"/>
      <c r="DV44" s="4151"/>
      <c r="DW44" s="4151"/>
      <c r="DX44" s="4151"/>
      <c r="DY44" s="4151"/>
      <c r="DZ44" s="4151"/>
      <c r="EA44" s="4151"/>
      <c r="EB44" s="4151"/>
      <c r="EC44" s="4151"/>
      <c r="ED44" s="4151"/>
      <c r="EE44" s="4151"/>
      <c r="EF44" s="4151"/>
      <c r="EG44" s="4151"/>
      <c r="EH44" s="2854">
        <v>15515</v>
      </c>
      <c r="EI44" s="2854">
        <v>11023</v>
      </c>
      <c r="EJ44" s="4151"/>
      <c r="EK44" s="4151"/>
      <c r="EL44" s="4151"/>
      <c r="EM44" s="4151"/>
      <c r="EN44" s="4151"/>
      <c r="EO44" s="4151"/>
      <c r="EP44" s="4151"/>
      <c r="EQ44" s="4151"/>
      <c r="ER44" s="4151"/>
      <c r="ES44" s="4151"/>
      <c r="ET44" s="4151"/>
      <c r="EU44" s="4151"/>
      <c r="EV44" s="4151"/>
      <c r="EW44" s="4151"/>
      <c r="EX44" s="4151"/>
      <c r="EY44" s="4151"/>
      <c r="EZ44" s="4151"/>
      <c r="FA44" s="2854">
        <v>105602</v>
      </c>
      <c r="FB44" s="4151"/>
      <c r="FC44" s="4151"/>
      <c r="FD44" s="4151"/>
      <c r="FE44" s="4151"/>
      <c r="FF44" s="4151"/>
      <c r="FG44" s="4151"/>
      <c r="FH44" s="4151"/>
      <c r="FI44" s="4151"/>
      <c r="FJ44" s="4151"/>
      <c r="FK44" s="2854">
        <v>222960</v>
      </c>
      <c r="FL44" s="4151"/>
      <c r="FM44" s="4151"/>
      <c r="FN44" s="4151"/>
      <c r="FO44" s="4151"/>
      <c r="FP44" s="4151"/>
      <c r="FQ44" s="4151"/>
      <c r="FR44" s="4151"/>
      <c r="FS44" s="4151"/>
      <c r="FT44" s="4151"/>
      <c r="FU44" s="4151"/>
      <c r="FV44" s="2854">
        <v>62952</v>
      </c>
      <c r="FW44" s="4151"/>
      <c r="FX44" s="4151"/>
      <c r="FY44" s="4151"/>
      <c r="FZ44" s="4151"/>
      <c r="GA44" s="4151"/>
      <c r="GB44" s="4151"/>
      <c r="GC44" s="4151"/>
      <c r="GD44" s="4151"/>
      <c r="GE44" s="4151"/>
      <c r="GF44" s="4151"/>
      <c r="GG44" s="4151"/>
      <c r="GH44" s="4151"/>
      <c r="GI44" s="4151"/>
      <c r="GJ44" s="4151"/>
      <c r="GK44" s="4151"/>
      <c r="GL44" s="4151"/>
      <c r="GM44" s="4151"/>
      <c r="GN44" s="4151"/>
      <c r="GO44" s="4151"/>
      <c r="GP44" s="4151"/>
      <c r="GQ44" s="4151"/>
      <c r="GR44" s="4151"/>
      <c r="GS44" s="4151"/>
      <c r="GT44" s="4151"/>
      <c r="GU44" s="4151"/>
      <c r="GV44" s="4151"/>
      <c r="GW44" s="2854">
        <v>62952</v>
      </c>
      <c r="GX44" s="4151"/>
      <c r="GY44" s="2864">
        <v>-53000</v>
      </c>
      <c r="GZ44" s="4151"/>
      <c r="HA44" s="4151"/>
      <c r="HB44" s="4151"/>
      <c r="HC44" s="4151"/>
      <c r="HD44" s="4151"/>
      <c r="HE44" s="2864">
        <v>490000</v>
      </c>
      <c r="HF44" s="4151"/>
      <c r="HG44" s="4151"/>
      <c r="HH44" s="4151"/>
      <c r="HI44" s="4151"/>
      <c r="HJ44" s="4151"/>
      <c r="HK44" s="4151"/>
      <c r="HL44" s="4151"/>
      <c r="HM44" s="4151"/>
      <c r="HN44" s="4151"/>
      <c r="HO44" s="4151"/>
      <c r="HP44" s="4151"/>
      <c r="HQ44" s="4151"/>
      <c r="HR44" s="4151"/>
      <c r="HS44" s="4151"/>
      <c r="HT44" s="4151"/>
      <c r="HU44" s="4151"/>
      <c r="HV44" s="4151"/>
      <c r="HW44" s="4151"/>
      <c r="HX44" s="4151"/>
      <c r="HY44" s="4151"/>
      <c r="HZ44" s="4151"/>
      <c r="IA44" s="4151"/>
      <c r="IB44" s="4151"/>
      <c r="IC44" s="4151"/>
      <c r="ID44" s="4151"/>
      <c r="IE44" s="4151"/>
      <c r="IF44" s="4151"/>
      <c r="IG44" s="4151"/>
      <c r="IH44" s="4151"/>
      <c r="II44" s="4151"/>
      <c r="IJ44" s="4151"/>
      <c r="IK44" s="4151"/>
      <c r="IL44" s="4151"/>
      <c r="IM44" s="4151"/>
      <c r="IN44" s="4151"/>
      <c r="IO44" s="2864">
        <v>-70250</v>
      </c>
      <c r="IP44" s="4151"/>
      <c r="IQ44" s="4152">
        <v>104753</v>
      </c>
      <c r="IR44" s="4151"/>
      <c r="IS44" s="4151"/>
      <c r="IT44" s="4153">
        <v>228329</v>
      </c>
      <c r="IU44" s="4151"/>
      <c r="IV44" s="4151"/>
      <c r="IW44" s="4151"/>
      <c r="IX44" s="4151"/>
      <c r="IY44" s="4153">
        <v>65710</v>
      </c>
      <c r="IZ44" s="4151"/>
      <c r="JA44" s="3812"/>
      <c r="JB44" s="4313">
        <v>-1</v>
      </c>
      <c r="JC44" s="4241">
        <v>47622</v>
      </c>
      <c r="JD44" s="3812"/>
      <c r="JE44" s="3812"/>
      <c r="JF44" s="3812"/>
      <c r="JG44" s="4154"/>
      <c r="JH44" s="1233"/>
      <c r="JI44" s="1393"/>
      <c r="JJ44" s="1660" t="s">
        <v>6110</v>
      </c>
    </row>
    <row ht="12.75" r="45" spans="1:270" x14ac:dyDescent="0.2">
      <c r="A45" s="1128">
        <v>10</v>
      </c>
      <c r="B45" s="1557" t="str">
        <f si="1" t="shared"/>
        <v/>
      </c>
      <c r="C45" s="1559" t="s">
        <v>1580</v>
      </c>
      <c r="D45" s="1350" t="s">
        <v>5601</v>
      </c>
      <c r="E45" s="4155"/>
      <c r="F45" s="4155"/>
      <c r="G45" s="4155"/>
      <c r="H45" s="4155"/>
      <c r="I45" s="4155"/>
      <c r="J45" s="4155"/>
      <c r="K45" s="4155"/>
      <c r="L45" s="4155"/>
      <c r="M45" s="4155"/>
      <c r="N45" s="4155"/>
      <c r="O45" s="4155"/>
      <c r="P45" s="4155"/>
      <c r="Q45" s="4155"/>
      <c r="R45" s="4155"/>
      <c r="S45" s="4155"/>
      <c r="T45" s="4155"/>
      <c r="U45" s="4155"/>
      <c r="V45" s="4155"/>
      <c r="W45" s="4155"/>
      <c r="X45" s="4155"/>
      <c r="Y45" s="4155"/>
      <c r="Z45" s="4155"/>
      <c r="AA45" s="4155"/>
      <c r="AB45" s="4155"/>
      <c r="AC45" s="4155"/>
      <c r="AD45" s="2862"/>
      <c r="AE45" s="2862"/>
      <c r="AF45" s="2862"/>
      <c r="AG45" s="2862"/>
      <c r="AH45" s="2862"/>
      <c r="AI45" s="4155"/>
      <c r="AJ45" s="4155"/>
      <c r="AK45" s="4155"/>
      <c r="AL45" s="4155"/>
      <c r="AM45" s="2854"/>
      <c r="AN45" s="4155"/>
      <c r="AO45" s="4155"/>
      <c r="AP45" s="4155"/>
      <c r="AQ45" s="4155"/>
      <c r="AR45" s="4155"/>
      <c r="AS45" s="4155"/>
      <c r="AT45" s="4155"/>
      <c r="AU45" s="4155"/>
      <c r="AV45" s="4155"/>
      <c r="AW45" s="4155"/>
      <c r="AX45" s="4155"/>
      <c r="AY45" s="4155"/>
      <c r="AZ45" s="4155"/>
      <c r="BA45" s="4155"/>
      <c r="BB45" s="2854"/>
      <c r="BC45" s="2854"/>
      <c r="BD45" s="4155"/>
      <c r="BE45" s="4155"/>
      <c r="BF45" s="4155"/>
      <c r="BG45" s="4155"/>
      <c r="BH45" s="4155"/>
      <c r="BI45" s="4155"/>
      <c r="BJ45" s="4155"/>
      <c r="BK45" s="4155"/>
      <c r="BL45" s="4155"/>
      <c r="BM45" s="4155"/>
      <c r="BN45" s="4155"/>
      <c r="BO45" s="4155"/>
      <c r="BP45" s="4155"/>
      <c r="BQ45" s="4155"/>
      <c r="BR45" s="4155"/>
      <c r="BS45" s="4155"/>
      <c r="BT45" s="4155"/>
      <c r="BU45" s="4155"/>
      <c r="BV45" s="4155"/>
      <c r="BW45" s="4155"/>
      <c r="BX45" s="4155"/>
      <c r="BY45" s="4155"/>
      <c r="BZ45" s="4155"/>
      <c r="CA45" s="4155"/>
      <c r="CB45" s="4155"/>
      <c r="CC45" s="4155"/>
      <c r="CD45" s="4155"/>
      <c r="CE45" s="4155"/>
      <c r="CF45" s="4155"/>
      <c r="CG45" s="4155"/>
      <c r="CH45" s="4155"/>
      <c r="CI45" s="4155"/>
      <c r="CJ45" s="4155"/>
      <c r="CK45" s="4155"/>
      <c r="CL45" s="4155"/>
      <c r="CM45" s="4155"/>
      <c r="CN45" s="4155"/>
      <c r="CO45" s="4155"/>
      <c r="CP45" s="4155"/>
      <c r="CQ45" s="4155"/>
      <c r="CR45" s="4155"/>
      <c r="CS45" s="4155"/>
      <c r="CT45" s="4155"/>
      <c r="CU45" s="4155"/>
      <c r="CV45" s="4155"/>
      <c r="CW45" s="4155"/>
      <c r="CX45" s="4155"/>
      <c r="CY45" s="2862"/>
      <c r="CZ45" s="2862">
        <v>-44592</v>
      </c>
      <c r="DA45" s="2862">
        <v>-44592</v>
      </c>
      <c r="DB45" s="4155"/>
      <c r="DC45" s="4155"/>
      <c r="DD45" s="4155"/>
      <c r="DE45" s="4155"/>
      <c r="DF45" s="4155"/>
      <c r="DG45" s="4155"/>
      <c r="DH45" s="2862"/>
      <c r="DI45" s="4155"/>
      <c r="DJ45" s="2862"/>
      <c r="DK45" s="4155"/>
      <c r="DL45" s="4155"/>
      <c r="DM45" s="2862"/>
      <c r="DN45" s="4155"/>
      <c r="DO45" s="4155"/>
      <c r="DP45" s="4155"/>
      <c r="DQ45" s="4155"/>
      <c r="DR45" s="4155"/>
      <c r="DS45" s="4155"/>
      <c r="DT45" s="4155"/>
      <c r="DU45" s="4155"/>
      <c r="DV45" s="4155"/>
      <c r="DW45" s="4155"/>
      <c r="DX45" s="4155"/>
      <c r="DY45" s="4155"/>
      <c r="DZ45" s="4155"/>
      <c r="EA45" s="4155"/>
      <c r="EB45" s="4155"/>
      <c r="EC45" s="4155"/>
      <c r="ED45" s="4155"/>
      <c r="EE45" s="4155"/>
      <c r="EF45" s="4155"/>
      <c r="EG45" s="4155"/>
      <c r="EH45" s="2862"/>
      <c r="EI45" s="2862"/>
      <c r="EJ45" s="4155"/>
      <c r="EK45" s="4155"/>
      <c r="EL45" s="4155"/>
      <c r="EM45" s="4155"/>
      <c r="EN45" s="4155"/>
      <c r="EO45" s="4155"/>
      <c r="EP45" s="4155"/>
      <c r="EQ45" s="4155"/>
      <c r="ER45" s="4155"/>
      <c r="ES45" s="4155"/>
      <c r="ET45" s="4155"/>
      <c r="EU45" s="4155"/>
      <c r="EV45" s="4155"/>
      <c r="EW45" s="4155"/>
      <c r="EX45" s="4155"/>
      <c r="EY45" s="4155"/>
      <c r="EZ45" s="4155"/>
      <c r="FA45" s="2862"/>
      <c r="FB45" s="4155"/>
      <c r="FC45" s="4155"/>
      <c r="FD45" s="4155"/>
      <c r="FE45" s="4155"/>
      <c r="FF45" s="4155"/>
      <c r="FG45" s="4155"/>
      <c r="FH45" s="4155"/>
      <c r="FI45" s="4155"/>
      <c r="FJ45" s="4155"/>
      <c r="FK45" s="2862">
        <v>-44592</v>
      </c>
      <c r="FL45" s="4155"/>
      <c r="FM45" s="4155"/>
      <c r="FN45" s="4155"/>
      <c r="FO45" s="4155"/>
      <c r="FP45" s="4155"/>
      <c r="FQ45" s="4155"/>
      <c r="FR45" s="4155"/>
      <c r="FS45" s="4155"/>
      <c r="FT45" s="4155"/>
      <c r="FU45" s="4155"/>
      <c r="FV45" s="2854"/>
      <c r="FW45" s="4155"/>
      <c r="FX45" s="4155"/>
      <c r="FY45" s="4155"/>
      <c r="FZ45" s="4155"/>
      <c r="GA45" s="4155"/>
      <c r="GB45" s="4155"/>
      <c r="GC45" s="4155"/>
      <c r="GD45" s="4155"/>
      <c r="GE45" s="4155"/>
      <c r="GF45" s="4155"/>
      <c r="GG45" s="4155"/>
      <c r="GH45" s="4155"/>
      <c r="GI45" s="4155"/>
      <c r="GJ45" s="4155"/>
      <c r="GK45" s="4155"/>
      <c r="GL45" s="4155"/>
      <c r="GM45" s="4155"/>
      <c r="GN45" s="4155"/>
      <c r="GO45" s="4155"/>
      <c r="GP45" s="4155"/>
      <c r="GQ45" s="4155"/>
      <c r="GR45" s="4155"/>
      <c r="GS45" s="4155"/>
      <c r="GT45" s="4155"/>
      <c r="GU45" s="4155"/>
      <c r="GV45" s="4155"/>
      <c r="GW45" s="2854"/>
      <c r="GX45" s="4155"/>
      <c r="GY45" s="2862"/>
      <c r="GZ45" s="4155"/>
      <c r="HA45" s="4155"/>
      <c r="HB45" s="4155"/>
      <c r="HC45" s="4155"/>
      <c r="HD45" s="4155"/>
      <c r="HE45" s="2862"/>
      <c r="HF45" s="4155"/>
      <c r="HG45" s="4155"/>
      <c r="HH45" s="4155"/>
      <c r="HI45" s="4155"/>
      <c r="HJ45" s="4155"/>
      <c r="HK45" s="4155"/>
      <c r="HL45" s="4155"/>
      <c r="HM45" s="4155"/>
      <c r="HN45" s="4155"/>
      <c r="HO45" s="4155"/>
      <c r="HP45" s="4155"/>
      <c r="HQ45" s="4155"/>
      <c r="HR45" s="4155"/>
      <c r="HS45" s="4155"/>
      <c r="HT45" s="4155"/>
      <c r="HU45" s="4155"/>
      <c r="HV45" s="4155"/>
      <c r="HW45" s="4155"/>
      <c r="HX45" s="4155"/>
      <c r="HY45" s="4155"/>
      <c r="HZ45" s="4155"/>
      <c r="IA45" s="4155"/>
      <c r="IB45" s="4155"/>
      <c r="IC45" s="4155"/>
      <c r="ID45" s="4155"/>
      <c r="IE45" s="4155"/>
      <c r="IF45" s="4155"/>
      <c r="IG45" s="4155"/>
      <c r="IH45" s="4155"/>
      <c r="II45" s="4155"/>
      <c r="IJ45" s="4155"/>
      <c r="IK45" s="4155"/>
      <c r="IL45" s="4155"/>
      <c r="IM45" s="4155"/>
      <c r="IN45" s="4155"/>
      <c r="IO45" s="2862"/>
      <c r="IP45" s="4155"/>
      <c r="IQ45" s="4156"/>
      <c r="IR45" s="4155"/>
      <c r="IS45" s="4155"/>
      <c r="IT45" s="3987"/>
      <c r="IU45" s="4155"/>
      <c r="IV45" s="4155"/>
      <c r="IW45" s="4155"/>
      <c r="IX45" s="4155"/>
      <c r="IY45" s="4153">
        <v>22000</v>
      </c>
      <c r="IZ45" s="4155"/>
      <c r="JA45" s="3813"/>
      <c r="JB45" s="4313"/>
      <c r="JC45" s="4241"/>
      <c r="JD45" s="3813"/>
      <c r="JE45" s="3813"/>
      <c r="JF45" s="3813"/>
      <c r="JG45" s="4157"/>
      <c r="JH45" s="1233"/>
      <c r="JI45" s="1393"/>
      <c r="JJ45" s="1660" t="s">
        <v>6110</v>
      </c>
    </row>
    <row ht="12.75" r="46" spans="1:270" x14ac:dyDescent="0.2">
      <c r="A46" s="1128">
        <v>11</v>
      </c>
      <c r="B46" s="1557" t="str">
        <f si="1" t="shared"/>
        <v/>
      </c>
      <c r="C46" s="1559" t="s">
        <v>1581</v>
      </c>
      <c r="D46" s="1350" t="s">
        <v>5602</v>
      </c>
      <c r="E46" s="4158"/>
      <c r="F46" s="4158"/>
      <c r="G46" s="4158"/>
      <c r="H46" s="4158"/>
      <c r="I46" s="4158"/>
      <c r="J46" s="4158"/>
      <c r="K46" s="4158"/>
      <c r="L46" s="4158"/>
      <c r="M46" s="4158"/>
      <c r="N46" s="4158"/>
      <c r="O46" s="4158"/>
      <c r="P46" s="4158"/>
      <c r="Q46" s="4158"/>
      <c r="R46" s="4158"/>
      <c r="S46" s="4158"/>
      <c r="T46" s="4158"/>
      <c r="U46" s="4158"/>
      <c r="V46" s="4158"/>
      <c r="W46" s="4158"/>
      <c r="X46" s="4158"/>
      <c r="Y46" s="4158"/>
      <c r="Z46" s="4158"/>
      <c r="AA46" s="4158"/>
      <c r="AB46" s="4158"/>
      <c r="AC46" s="4158"/>
      <c r="AD46" s="2854"/>
      <c r="AE46" s="2854"/>
      <c r="AF46" s="2854"/>
      <c r="AG46" s="2854"/>
      <c r="AH46" s="2854"/>
      <c r="AI46" s="4158"/>
      <c r="AJ46" s="4158"/>
      <c r="AK46" s="4158"/>
      <c r="AL46" s="4158"/>
      <c r="AM46" s="2854"/>
      <c r="AN46" s="4158"/>
      <c r="AO46" s="4158"/>
      <c r="AP46" s="4158"/>
      <c r="AQ46" s="4158"/>
      <c r="AR46" s="4158"/>
      <c r="AS46" s="4158"/>
      <c r="AT46" s="4158"/>
      <c r="AU46" s="4158"/>
      <c r="AV46" s="4158"/>
      <c r="AW46" s="4158"/>
      <c r="AX46" s="4158"/>
      <c r="AY46" s="4158"/>
      <c r="AZ46" s="4158"/>
      <c r="BA46" s="4158"/>
      <c r="BB46" s="2854"/>
      <c r="BC46" s="2854"/>
      <c r="BD46" s="4158"/>
      <c r="BE46" s="4158"/>
      <c r="BF46" s="4158"/>
      <c r="BG46" s="4158"/>
      <c r="BH46" s="4158"/>
      <c r="BI46" s="4158"/>
      <c r="BJ46" s="4158"/>
      <c r="BK46" s="4158"/>
      <c r="BL46" s="4158"/>
      <c r="BM46" s="4158"/>
      <c r="BN46" s="4158"/>
      <c r="BO46" s="4158"/>
      <c r="BP46" s="4158"/>
      <c r="BQ46" s="4158"/>
      <c r="BR46" s="4158"/>
      <c r="BS46" s="4158"/>
      <c r="BT46" s="4158"/>
      <c r="BU46" s="4158"/>
      <c r="BV46" s="4158"/>
      <c r="BW46" s="4158"/>
      <c r="BX46" s="4158"/>
      <c r="BY46" s="4158"/>
      <c r="BZ46" s="4158"/>
      <c r="CA46" s="4158"/>
      <c r="CB46" s="4158"/>
      <c r="CC46" s="4158"/>
      <c r="CD46" s="4158"/>
      <c r="CE46" s="4158"/>
      <c r="CF46" s="4158"/>
      <c r="CG46" s="4158"/>
      <c r="CH46" s="4158"/>
      <c r="CI46" s="4158"/>
      <c r="CJ46" s="4158"/>
      <c r="CK46" s="4158"/>
      <c r="CL46" s="4158"/>
      <c r="CM46" s="4158"/>
      <c r="CN46" s="4158"/>
      <c r="CO46" s="4158"/>
      <c r="CP46" s="4158"/>
      <c r="CQ46" s="4158"/>
      <c r="CR46" s="4158"/>
      <c r="CS46" s="4158"/>
      <c r="CT46" s="4158"/>
      <c r="CU46" s="4158"/>
      <c r="CV46" s="4158"/>
      <c r="CW46" s="4158"/>
      <c r="CX46" s="4158"/>
      <c r="CY46" s="2854"/>
      <c r="CZ46" s="2854">
        <v>11560</v>
      </c>
      <c r="DA46" s="2854">
        <v>11560</v>
      </c>
      <c r="DB46" s="4158"/>
      <c r="DC46" s="4158"/>
      <c r="DD46" s="4158"/>
      <c r="DE46" s="4158"/>
      <c r="DF46" s="4158"/>
      <c r="DG46" s="4158"/>
      <c r="DH46" s="2854"/>
      <c r="DI46" s="4158"/>
      <c r="DJ46" s="2854"/>
      <c r="DK46" s="4158"/>
      <c r="DL46" s="4158"/>
      <c r="DM46" s="2854"/>
      <c r="DN46" s="4158"/>
      <c r="DO46" s="4158"/>
      <c r="DP46" s="4158"/>
      <c r="DQ46" s="4158"/>
      <c r="DR46" s="4158"/>
      <c r="DS46" s="4158"/>
      <c r="DT46" s="4158"/>
      <c r="DU46" s="4158"/>
      <c r="DV46" s="4158"/>
      <c r="DW46" s="4158"/>
      <c r="DX46" s="4158"/>
      <c r="DY46" s="4158"/>
      <c r="DZ46" s="4158"/>
      <c r="EA46" s="4158"/>
      <c r="EB46" s="4158"/>
      <c r="EC46" s="4158"/>
      <c r="ED46" s="4158"/>
      <c r="EE46" s="4158"/>
      <c r="EF46" s="4158"/>
      <c r="EG46" s="4158"/>
      <c r="EH46" s="2854"/>
      <c r="EI46" s="2854"/>
      <c r="EJ46" s="4158"/>
      <c r="EK46" s="4158"/>
      <c r="EL46" s="4158"/>
      <c r="EM46" s="4158"/>
      <c r="EN46" s="4158"/>
      <c r="EO46" s="4158"/>
      <c r="EP46" s="4158"/>
      <c r="EQ46" s="4158"/>
      <c r="ER46" s="4158"/>
      <c r="ES46" s="4158"/>
      <c r="ET46" s="4158"/>
      <c r="EU46" s="4158"/>
      <c r="EV46" s="4158"/>
      <c r="EW46" s="4158"/>
      <c r="EX46" s="4158"/>
      <c r="EY46" s="4158"/>
      <c r="EZ46" s="4158"/>
      <c r="FA46" s="2854"/>
      <c r="FB46" s="4158"/>
      <c r="FC46" s="4158"/>
      <c r="FD46" s="4158"/>
      <c r="FE46" s="4158"/>
      <c r="FF46" s="4158"/>
      <c r="FG46" s="4158"/>
      <c r="FH46" s="4158"/>
      <c r="FI46" s="4158"/>
      <c r="FJ46" s="4158"/>
      <c r="FK46" s="2854">
        <v>11560</v>
      </c>
      <c r="FL46" s="4158"/>
      <c r="FM46" s="4158"/>
      <c r="FN46" s="4158"/>
      <c r="FO46" s="4158"/>
      <c r="FP46" s="4158"/>
      <c r="FQ46" s="4158"/>
      <c r="FR46" s="4158"/>
      <c r="FS46" s="4158"/>
      <c r="FT46" s="4158"/>
      <c r="FU46" s="4158"/>
      <c r="FV46" s="2854"/>
      <c r="FW46" s="4158"/>
      <c r="FX46" s="4158"/>
      <c r="FY46" s="4158"/>
      <c r="FZ46" s="4158"/>
      <c r="GA46" s="4158"/>
      <c r="GB46" s="4158"/>
      <c r="GC46" s="4158"/>
      <c r="GD46" s="4158"/>
      <c r="GE46" s="4158"/>
      <c r="GF46" s="4158"/>
      <c r="GG46" s="4158"/>
      <c r="GH46" s="4158"/>
      <c r="GI46" s="4158"/>
      <c r="GJ46" s="4158"/>
      <c r="GK46" s="4158"/>
      <c r="GL46" s="4158"/>
      <c r="GM46" s="4158"/>
      <c r="GN46" s="4158"/>
      <c r="GO46" s="4158"/>
      <c r="GP46" s="4158"/>
      <c r="GQ46" s="4158"/>
      <c r="GR46" s="4158"/>
      <c r="GS46" s="4158"/>
      <c r="GT46" s="4158"/>
      <c r="GU46" s="4158"/>
      <c r="GV46" s="4158"/>
      <c r="GW46" s="2854"/>
      <c r="GX46" s="4158"/>
      <c r="GY46" s="2854"/>
      <c r="GZ46" s="4158"/>
      <c r="HA46" s="4158"/>
      <c r="HB46" s="4158"/>
      <c r="HC46" s="4158"/>
      <c r="HD46" s="4158"/>
      <c r="HE46" s="2854"/>
      <c r="HF46" s="4158"/>
      <c r="HG46" s="4158"/>
      <c r="HH46" s="4158"/>
      <c r="HI46" s="4158"/>
      <c r="HJ46" s="4158"/>
      <c r="HK46" s="4158"/>
      <c r="HL46" s="4158"/>
      <c r="HM46" s="4158"/>
      <c r="HN46" s="4158"/>
      <c r="HO46" s="4158"/>
      <c r="HP46" s="4158"/>
      <c r="HQ46" s="4158"/>
      <c r="HR46" s="4158"/>
      <c r="HS46" s="4158"/>
      <c r="HT46" s="4158"/>
      <c r="HU46" s="4158"/>
      <c r="HV46" s="4158"/>
      <c r="HW46" s="4158"/>
      <c r="HX46" s="4158"/>
      <c r="HY46" s="4158"/>
      <c r="HZ46" s="4158"/>
      <c r="IA46" s="4158"/>
      <c r="IB46" s="4158"/>
      <c r="IC46" s="4158"/>
      <c r="ID46" s="4158"/>
      <c r="IE46" s="4158"/>
      <c r="IF46" s="4158"/>
      <c r="IG46" s="4158"/>
      <c r="IH46" s="4158"/>
      <c r="II46" s="4158"/>
      <c r="IJ46" s="4158"/>
      <c r="IK46" s="4158"/>
      <c r="IL46" s="4158"/>
      <c r="IM46" s="4158"/>
      <c r="IN46" s="4158"/>
      <c r="IO46" s="2854"/>
      <c r="IP46" s="4158"/>
      <c r="IQ46" s="4159"/>
      <c r="IR46" s="4158"/>
      <c r="IS46" s="4158"/>
      <c r="IT46" s="3987"/>
      <c r="IU46" s="4158"/>
      <c r="IV46" s="4158"/>
      <c r="IW46" s="4158"/>
      <c r="IX46" s="4158"/>
      <c r="IY46" s="4160"/>
      <c r="IZ46" s="4158"/>
      <c r="JA46" s="3814"/>
      <c r="JB46" s="4314"/>
      <c r="JC46" s="4242"/>
      <c r="JD46" s="3814"/>
      <c r="JE46" s="3814"/>
      <c r="JF46" s="3814"/>
      <c r="JG46" s="4161"/>
      <c r="JH46" s="1233"/>
      <c r="JI46" s="1393"/>
      <c r="JJ46" s="1660" t="s">
        <v>6127</v>
      </c>
    </row>
    <row ht="12.75" r="47" spans="1:270" x14ac:dyDescent="0.2">
      <c r="A47" s="1128">
        <v>12</v>
      </c>
      <c r="B47" s="1557" t="str">
        <f si="1" t="shared"/>
        <v/>
      </c>
      <c r="C47" s="1559" t="s">
        <v>1582</v>
      </c>
      <c r="D47" s="1350" t="s">
        <v>5603</v>
      </c>
      <c r="E47" s="4158"/>
      <c r="F47" s="4158"/>
      <c r="G47" s="4158"/>
      <c r="H47" s="4158"/>
      <c r="I47" s="4158"/>
      <c r="J47" s="4158"/>
      <c r="K47" s="4158"/>
      <c r="L47" s="4158"/>
      <c r="M47" s="4158"/>
      <c r="N47" s="4158"/>
      <c r="O47" s="4158"/>
      <c r="P47" s="4158"/>
      <c r="Q47" s="4158"/>
      <c r="R47" s="4158"/>
      <c r="S47" s="4158"/>
      <c r="T47" s="4158"/>
      <c r="U47" s="4158"/>
      <c r="V47" s="4158"/>
      <c r="W47" s="4158"/>
      <c r="X47" s="4158"/>
      <c r="Y47" s="4158"/>
      <c r="Z47" s="4158"/>
      <c r="AA47" s="4158"/>
      <c r="AB47" s="4158"/>
      <c r="AC47" s="4158"/>
      <c r="AD47" s="2854"/>
      <c r="AE47" s="2854"/>
      <c r="AF47" s="2854"/>
      <c r="AG47" s="2854"/>
      <c r="AH47" s="2854"/>
      <c r="AI47" s="4158"/>
      <c r="AJ47" s="4158"/>
      <c r="AK47" s="4158"/>
      <c r="AL47" s="4158"/>
      <c r="AM47" s="2854"/>
      <c r="AN47" s="4158"/>
      <c r="AO47" s="4158"/>
      <c r="AP47" s="4158"/>
      <c r="AQ47" s="4158"/>
      <c r="AR47" s="4158"/>
      <c r="AS47" s="4158"/>
      <c r="AT47" s="4158"/>
      <c r="AU47" s="4158"/>
      <c r="AV47" s="4158"/>
      <c r="AW47" s="4158"/>
      <c r="AX47" s="4158"/>
      <c r="AY47" s="4158"/>
      <c r="AZ47" s="4158"/>
      <c r="BA47" s="4158"/>
      <c r="BB47" s="2854"/>
      <c r="BC47" s="2854"/>
      <c r="BD47" s="4158"/>
      <c r="BE47" s="4158"/>
      <c r="BF47" s="4158"/>
      <c r="BG47" s="4158"/>
      <c r="BH47" s="4158"/>
      <c r="BI47" s="4158"/>
      <c r="BJ47" s="4158"/>
      <c r="BK47" s="4158"/>
      <c r="BL47" s="4158"/>
      <c r="BM47" s="4158"/>
      <c r="BN47" s="4158"/>
      <c r="BO47" s="4158"/>
      <c r="BP47" s="4158"/>
      <c r="BQ47" s="4158"/>
      <c r="BR47" s="4158"/>
      <c r="BS47" s="4158"/>
      <c r="BT47" s="4158"/>
      <c r="BU47" s="4158"/>
      <c r="BV47" s="4158"/>
      <c r="BW47" s="4158"/>
      <c r="BX47" s="4158"/>
      <c r="BY47" s="4158"/>
      <c r="BZ47" s="4158"/>
      <c r="CA47" s="4158"/>
      <c r="CB47" s="4158"/>
      <c r="CC47" s="4158"/>
      <c r="CD47" s="4158"/>
      <c r="CE47" s="4158"/>
      <c r="CF47" s="4158"/>
      <c r="CG47" s="4158"/>
      <c r="CH47" s="4158"/>
      <c r="CI47" s="4158"/>
      <c r="CJ47" s="4158"/>
      <c r="CK47" s="4158"/>
      <c r="CL47" s="4158"/>
      <c r="CM47" s="4158"/>
      <c r="CN47" s="4158"/>
      <c r="CO47" s="4158"/>
      <c r="CP47" s="4158"/>
      <c r="CQ47" s="4158"/>
      <c r="CR47" s="4158"/>
      <c r="CS47" s="4158"/>
      <c r="CT47" s="4158"/>
      <c r="CU47" s="4158"/>
      <c r="CV47" s="4158"/>
      <c r="CW47" s="4158"/>
      <c r="CX47" s="4158"/>
      <c r="CY47" s="2854"/>
      <c r="CZ47" s="2854"/>
      <c r="DA47" s="2854"/>
      <c r="DB47" s="4158"/>
      <c r="DC47" s="4158"/>
      <c r="DD47" s="4158"/>
      <c r="DE47" s="4158"/>
      <c r="DF47" s="4158"/>
      <c r="DG47" s="4158"/>
      <c r="DH47" s="2854"/>
      <c r="DI47" s="4158"/>
      <c r="DJ47" s="2854"/>
      <c r="DK47" s="4158"/>
      <c r="DL47" s="4158"/>
      <c r="DM47" s="2854"/>
      <c r="DN47" s="4158"/>
      <c r="DO47" s="4158"/>
      <c r="DP47" s="4158"/>
      <c r="DQ47" s="4158"/>
      <c r="DR47" s="4158"/>
      <c r="DS47" s="4158"/>
      <c r="DT47" s="4158"/>
      <c r="DU47" s="4158"/>
      <c r="DV47" s="4158"/>
      <c r="DW47" s="4158"/>
      <c r="DX47" s="4158"/>
      <c r="DY47" s="4158"/>
      <c r="DZ47" s="4158"/>
      <c r="EA47" s="4158"/>
      <c r="EB47" s="4158"/>
      <c r="EC47" s="4158"/>
      <c r="ED47" s="4158"/>
      <c r="EE47" s="4158"/>
      <c r="EF47" s="4158"/>
      <c r="EG47" s="4158"/>
      <c r="EH47" s="2854"/>
      <c r="EI47" s="2854"/>
      <c r="EJ47" s="4158"/>
      <c r="EK47" s="4158"/>
      <c r="EL47" s="4158"/>
      <c r="EM47" s="4158"/>
      <c r="EN47" s="4158"/>
      <c r="EO47" s="4158"/>
      <c r="EP47" s="4158"/>
      <c r="EQ47" s="4158"/>
      <c r="ER47" s="4158"/>
      <c r="ES47" s="4158"/>
      <c r="ET47" s="4158"/>
      <c r="EU47" s="4158"/>
      <c r="EV47" s="4158"/>
      <c r="EW47" s="4158"/>
      <c r="EX47" s="4158"/>
      <c r="EY47" s="4158"/>
      <c r="EZ47" s="4158"/>
      <c r="FA47" s="2854"/>
      <c r="FB47" s="4158"/>
      <c r="FC47" s="4158"/>
      <c r="FD47" s="4158"/>
      <c r="FE47" s="4158"/>
      <c r="FF47" s="4158"/>
      <c r="FG47" s="4158"/>
      <c r="FH47" s="4158"/>
      <c r="FI47" s="4158"/>
      <c r="FJ47" s="4158"/>
      <c r="FK47" s="2854"/>
      <c r="FL47" s="4158"/>
      <c r="FM47" s="4158"/>
      <c r="FN47" s="4158"/>
      <c r="FO47" s="4158"/>
      <c r="FP47" s="4158"/>
      <c r="FQ47" s="4158"/>
      <c r="FR47" s="4158"/>
      <c r="FS47" s="4158"/>
      <c r="FT47" s="4158"/>
      <c r="FU47" s="4158"/>
      <c r="FV47" s="2854"/>
      <c r="FW47" s="4158"/>
      <c r="FX47" s="4158"/>
      <c r="FY47" s="4158"/>
      <c r="FZ47" s="4158"/>
      <c r="GA47" s="4158"/>
      <c r="GB47" s="4158"/>
      <c r="GC47" s="4158"/>
      <c r="GD47" s="4158"/>
      <c r="GE47" s="4158"/>
      <c r="GF47" s="4158"/>
      <c r="GG47" s="4158"/>
      <c r="GH47" s="4158"/>
      <c r="GI47" s="4158"/>
      <c r="GJ47" s="4158"/>
      <c r="GK47" s="4158"/>
      <c r="GL47" s="4158"/>
      <c r="GM47" s="4158"/>
      <c r="GN47" s="4158"/>
      <c r="GO47" s="4158"/>
      <c r="GP47" s="4158"/>
      <c r="GQ47" s="4158"/>
      <c r="GR47" s="4158"/>
      <c r="GS47" s="4158"/>
      <c r="GT47" s="4158"/>
      <c r="GU47" s="4158"/>
      <c r="GV47" s="4158"/>
      <c r="GW47" s="2854"/>
      <c r="GX47" s="4158"/>
      <c r="GY47" s="2854"/>
      <c r="GZ47" s="4158"/>
      <c r="HA47" s="4158"/>
      <c r="HB47" s="4158"/>
      <c r="HC47" s="4158"/>
      <c r="HD47" s="4158"/>
      <c r="HE47" s="2854"/>
      <c r="HF47" s="4158"/>
      <c r="HG47" s="4158"/>
      <c r="HH47" s="4158"/>
      <c r="HI47" s="4158"/>
      <c r="HJ47" s="4158"/>
      <c r="HK47" s="4158"/>
      <c r="HL47" s="4158"/>
      <c r="HM47" s="4158"/>
      <c r="HN47" s="4158"/>
      <c r="HO47" s="4158"/>
      <c r="HP47" s="4158"/>
      <c r="HQ47" s="4158"/>
      <c r="HR47" s="4158"/>
      <c r="HS47" s="4158"/>
      <c r="HT47" s="4158"/>
      <c r="HU47" s="4158"/>
      <c r="HV47" s="4158"/>
      <c r="HW47" s="4158"/>
      <c r="HX47" s="4158"/>
      <c r="HY47" s="4158"/>
      <c r="HZ47" s="4158"/>
      <c r="IA47" s="4158"/>
      <c r="IB47" s="4158"/>
      <c r="IC47" s="4158"/>
      <c r="ID47" s="4158"/>
      <c r="IE47" s="4158"/>
      <c r="IF47" s="4158"/>
      <c r="IG47" s="4158"/>
      <c r="IH47" s="4158"/>
      <c r="II47" s="4158"/>
      <c r="IJ47" s="4158"/>
      <c r="IK47" s="4158"/>
      <c r="IL47" s="4158"/>
      <c r="IM47" s="4158"/>
      <c r="IN47" s="4158"/>
      <c r="IO47" s="2854"/>
      <c r="IP47" s="4158"/>
      <c r="IQ47" s="4159"/>
      <c r="IR47" s="4158"/>
      <c r="IS47" s="4158"/>
      <c r="IT47" s="3987"/>
      <c r="IU47" s="4158"/>
      <c r="IV47" s="4158"/>
      <c r="IW47" s="4158"/>
      <c r="IX47" s="4158"/>
      <c r="IY47" s="4160"/>
      <c r="IZ47" s="4158"/>
      <c r="JA47" s="3814"/>
      <c r="JB47" s="4314"/>
      <c r="JC47" s="4242"/>
      <c r="JD47" s="3814"/>
      <c r="JE47" s="3814"/>
      <c r="JF47" s="3814"/>
      <c r="JG47" s="4161"/>
      <c r="JH47" s="1233"/>
      <c r="JI47" s="1393"/>
      <c r="JJ47" s="1660" t="s">
        <v>6110</v>
      </c>
    </row>
    <row ht="12.75" r="48" spans="1:270" x14ac:dyDescent="0.2">
      <c r="A48" s="1128">
        <v>13</v>
      </c>
      <c r="B48" s="1557" t="str">
        <f si="1" t="shared"/>
        <v/>
      </c>
      <c r="C48" s="1559" t="s">
        <v>1583</v>
      </c>
      <c r="D48" s="1350" t="s">
        <v>5647</v>
      </c>
      <c r="E48" s="4158"/>
      <c r="F48" s="4158"/>
      <c r="G48" s="4158"/>
      <c r="H48" s="4158"/>
      <c r="I48" s="4158"/>
      <c r="J48" s="4158"/>
      <c r="K48" s="4158"/>
      <c r="L48" s="4158"/>
      <c r="M48" s="4158"/>
      <c r="N48" s="4158"/>
      <c r="O48" s="4158"/>
      <c r="P48" s="4158"/>
      <c r="Q48" s="4158"/>
      <c r="R48" s="4158"/>
      <c r="S48" s="4158"/>
      <c r="T48" s="4158"/>
      <c r="U48" s="4158"/>
      <c r="V48" s="4158"/>
      <c r="W48" s="4158"/>
      <c r="X48" s="4158"/>
      <c r="Y48" s="4158"/>
      <c r="Z48" s="4158"/>
      <c r="AA48" s="4158"/>
      <c r="AB48" s="4158"/>
      <c r="AC48" s="4158"/>
      <c r="AD48" s="2854"/>
      <c r="AE48" s="2854"/>
      <c r="AF48" s="2854"/>
      <c r="AG48" s="2854"/>
      <c r="AH48" s="2854"/>
      <c r="AI48" s="4158"/>
      <c r="AJ48" s="4158"/>
      <c r="AK48" s="4158"/>
      <c r="AL48" s="4158"/>
      <c r="AM48" s="2854"/>
      <c r="AN48" s="4158"/>
      <c r="AO48" s="4158"/>
      <c r="AP48" s="4158"/>
      <c r="AQ48" s="4158"/>
      <c r="AR48" s="4158"/>
      <c r="AS48" s="4158"/>
      <c r="AT48" s="4158"/>
      <c r="AU48" s="4158"/>
      <c r="AV48" s="4158"/>
      <c r="AW48" s="4158"/>
      <c r="AX48" s="4158"/>
      <c r="AY48" s="4158"/>
      <c r="AZ48" s="4158"/>
      <c r="BA48" s="4158"/>
      <c r="BB48" s="2854"/>
      <c r="BC48" s="2854"/>
      <c r="BD48" s="4158"/>
      <c r="BE48" s="4158"/>
      <c r="BF48" s="4158"/>
      <c r="BG48" s="4158"/>
      <c r="BH48" s="4158"/>
      <c r="BI48" s="4158"/>
      <c r="BJ48" s="4158"/>
      <c r="BK48" s="4158"/>
      <c r="BL48" s="4158"/>
      <c r="BM48" s="4158"/>
      <c r="BN48" s="4158"/>
      <c r="BO48" s="4158"/>
      <c r="BP48" s="4158"/>
      <c r="BQ48" s="4158"/>
      <c r="BR48" s="4158"/>
      <c r="BS48" s="4158"/>
      <c r="BT48" s="4158"/>
      <c r="BU48" s="4158"/>
      <c r="BV48" s="4158"/>
      <c r="BW48" s="4158"/>
      <c r="BX48" s="4158"/>
      <c r="BY48" s="4158"/>
      <c r="BZ48" s="4158"/>
      <c r="CA48" s="4158"/>
      <c r="CB48" s="4158"/>
      <c r="CC48" s="4158"/>
      <c r="CD48" s="4158"/>
      <c r="CE48" s="4158"/>
      <c r="CF48" s="4158"/>
      <c r="CG48" s="4158"/>
      <c r="CH48" s="4158"/>
      <c r="CI48" s="4158"/>
      <c r="CJ48" s="4158"/>
      <c r="CK48" s="4158"/>
      <c r="CL48" s="4158"/>
      <c r="CM48" s="4158"/>
      <c r="CN48" s="4158"/>
      <c r="CO48" s="4158"/>
      <c r="CP48" s="4158"/>
      <c r="CQ48" s="4158"/>
      <c r="CR48" s="4158"/>
      <c r="CS48" s="4158"/>
      <c r="CT48" s="4158"/>
      <c r="CU48" s="4158"/>
      <c r="CV48" s="4158"/>
      <c r="CW48" s="4158"/>
      <c r="CX48" s="4158"/>
      <c r="CY48" s="2854"/>
      <c r="CZ48" s="2854">
        <v>1263</v>
      </c>
      <c r="DA48" s="2854">
        <v>1263</v>
      </c>
      <c r="DB48" s="4158"/>
      <c r="DC48" s="4158"/>
      <c r="DD48" s="4158"/>
      <c r="DE48" s="4158"/>
      <c r="DF48" s="4158"/>
      <c r="DG48" s="4158"/>
      <c r="DH48" s="2854"/>
      <c r="DI48" s="4158"/>
      <c r="DJ48" s="2854"/>
      <c r="DK48" s="4158"/>
      <c r="DL48" s="4158"/>
      <c r="DM48" s="2854"/>
      <c r="DN48" s="4158"/>
      <c r="DO48" s="4158"/>
      <c r="DP48" s="4158"/>
      <c r="DQ48" s="4158"/>
      <c r="DR48" s="4158"/>
      <c r="DS48" s="4158"/>
      <c r="DT48" s="4158"/>
      <c r="DU48" s="4158"/>
      <c r="DV48" s="4158"/>
      <c r="DW48" s="4158"/>
      <c r="DX48" s="4158"/>
      <c r="DY48" s="4158"/>
      <c r="DZ48" s="4158"/>
      <c r="EA48" s="4158"/>
      <c r="EB48" s="4158"/>
      <c r="EC48" s="4158"/>
      <c r="ED48" s="4158"/>
      <c r="EE48" s="4158"/>
      <c r="EF48" s="4158"/>
      <c r="EG48" s="4158"/>
      <c r="EH48" s="2854"/>
      <c r="EI48" s="2854"/>
      <c r="EJ48" s="4158"/>
      <c r="EK48" s="4158"/>
      <c r="EL48" s="4158"/>
      <c r="EM48" s="4158"/>
      <c r="EN48" s="4158"/>
      <c r="EO48" s="4158"/>
      <c r="EP48" s="4158"/>
      <c r="EQ48" s="4158"/>
      <c r="ER48" s="4158"/>
      <c r="ES48" s="4158"/>
      <c r="ET48" s="4158"/>
      <c r="EU48" s="4158"/>
      <c r="EV48" s="4158"/>
      <c r="EW48" s="4158"/>
      <c r="EX48" s="4158"/>
      <c r="EY48" s="4158"/>
      <c r="EZ48" s="4158"/>
      <c r="FA48" s="2854"/>
      <c r="FB48" s="4158"/>
      <c r="FC48" s="4158"/>
      <c r="FD48" s="4158"/>
      <c r="FE48" s="4158"/>
      <c r="FF48" s="4158"/>
      <c r="FG48" s="4158"/>
      <c r="FH48" s="4158"/>
      <c r="FI48" s="4158"/>
      <c r="FJ48" s="4158"/>
      <c r="FK48" s="2854">
        <v>1263</v>
      </c>
      <c r="FL48" s="4158"/>
      <c r="FM48" s="4158"/>
      <c r="FN48" s="4158"/>
      <c r="FO48" s="4158"/>
      <c r="FP48" s="4158"/>
      <c r="FQ48" s="4158"/>
      <c r="FR48" s="4158"/>
      <c r="FS48" s="4158"/>
      <c r="FT48" s="4158"/>
      <c r="FU48" s="4158"/>
      <c r="FV48" s="2854"/>
      <c r="FW48" s="4158"/>
      <c r="FX48" s="4158"/>
      <c r="FY48" s="4158"/>
      <c r="FZ48" s="4158"/>
      <c r="GA48" s="4158"/>
      <c r="GB48" s="4158"/>
      <c r="GC48" s="4158"/>
      <c r="GD48" s="4158"/>
      <c r="GE48" s="4158"/>
      <c r="GF48" s="4158"/>
      <c r="GG48" s="4158"/>
      <c r="GH48" s="4158"/>
      <c r="GI48" s="4158"/>
      <c r="GJ48" s="4158"/>
      <c r="GK48" s="4158"/>
      <c r="GL48" s="4158"/>
      <c r="GM48" s="4158"/>
      <c r="GN48" s="4158"/>
      <c r="GO48" s="4158"/>
      <c r="GP48" s="4158"/>
      <c r="GQ48" s="4158"/>
      <c r="GR48" s="4158"/>
      <c r="GS48" s="4158"/>
      <c r="GT48" s="4158"/>
      <c r="GU48" s="4158"/>
      <c r="GV48" s="4158"/>
      <c r="GW48" s="2854"/>
      <c r="GX48" s="4158"/>
      <c r="GY48" s="2854"/>
      <c r="GZ48" s="4158"/>
      <c r="HA48" s="4158"/>
      <c r="HB48" s="4158"/>
      <c r="HC48" s="4158"/>
      <c r="HD48" s="4158"/>
      <c r="HE48" s="2854"/>
      <c r="HF48" s="4158"/>
      <c r="HG48" s="4158"/>
      <c r="HH48" s="4158"/>
      <c r="HI48" s="4158"/>
      <c r="HJ48" s="4158"/>
      <c r="HK48" s="4158"/>
      <c r="HL48" s="4158"/>
      <c r="HM48" s="4158"/>
      <c r="HN48" s="4158"/>
      <c r="HO48" s="4158"/>
      <c r="HP48" s="4158"/>
      <c r="HQ48" s="4158"/>
      <c r="HR48" s="4158"/>
      <c r="HS48" s="4158"/>
      <c r="HT48" s="4158"/>
      <c r="HU48" s="4158"/>
      <c r="HV48" s="4158"/>
      <c r="HW48" s="4158"/>
      <c r="HX48" s="4158"/>
      <c r="HY48" s="4158"/>
      <c r="HZ48" s="4158"/>
      <c r="IA48" s="4158"/>
      <c r="IB48" s="4158"/>
      <c r="IC48" s="4158"/>
      <c r="ID48" s="4158"/>
      <c r="IE48" s="4158"/>
      <c r="IF48" s="4158"/>
      <c r="IG48" s="4158"/>
      <c r="IH48" s="4158"/>
      <c r="II48" s="4158"/>
      <c r="IJ48" s="4158"/>
      <c r="IK48" s="4158"/>
      <c r="IL48" s="4158"/>
      <c r="IM48" s="4158"/>
      <c r="IN48" s="4158"/>
      <c r="IO48" s="2854"/>
      <c r="IP48" s="4158"/>
      <c r="IQ48" s="4159"/>
      <c r="IR48" s="4158"/>
      <c r="IS48" s="4158"/>
      <c r="IT48" s="3987"/>
      <c r="IU48" s="4158"/>
      <c r="IV48" s="4158"/>
      <c r="IW48" s="4158"/>
      <c r="IX48" s="4158"/>
      <c r="IY48" s="4160"/>
      <c r="IZ48" s="4158"/>
      <c r="JA48" s="3814"/>
      <c r="JB48" s="4314"/>
      <c r="JC48" s="4242"/>
      <c r="JD48" s="3814"/>
      <c r="JE48" s="3814"/>
      <c r="JF48" s="3814"/>
      <c r="JG48" s="4161"/>
      <c r="JH48" s="1233"/>
      <c r="JI48" s="1393"/>
      <c r="JJ48" s="1660" t="s">
        <v>6108</v>
      </c>
    </row>
    <row ht="12.75" r="49" spans="1:270" x14ac:dyDescent="0.2">
      <c r="A49" s="1128">
        <v>14</v>
      </c>
      <c r="B49" s="1557" t="str">
        <f si="1" t="shared"/>
        <v/>
      </c>
      <c r="C49" s="1559" t="s">
        <v>1584</v>
      </c>
      <c r="D49" s="1350" t="s">
        <v>5605</v>
      </c>
      <c r="E49" s="2847"/>
      <c r="F49" s="2847"/>
      <c r="G49" s="2847"/>
      <c r="H49" s="2847"/>
      <c r="I49" s="2847"/>
      <c r="J49" s="2847"/>
      <c r="K49" s="2847"/>
      <c r="L49" s="2847"/>
      <c r="M49" s="2847"/>
      <c r="N49" s="2847"/>
      <c r="O49" s="2847"/>
      <c r="P49" s="2847"/>
      <c r="Q49" s="2847"/>
      <c r="R49" s="2847"/>
      <c r="S49" s="2847"/>
      <c r="T49" s="2847"/>
      <c r="U49" s="2847"/>
      <c r="V49" s="2847"/>
      <c r="W49" s="2847"/>
      <c r="X49" s="2847"/>
      <c r="Y49" s="2847"/>
      <c r="Z49" s="2847"/>
      <c r="AA49" s="2847"/>
      <c r="AB49" s="2847"/>
      <c r="AC49" s="2847"/>
      <c r="AD49" s="2847"/>
      <c r="AE49" s="2847"/>
      <c r="AF49" s="2847"/>
      <c r="AG49" s="2847"/>
      <c r="AH49" s="2847"/>
      <c r="AI49" s="2847"/>
      <c r="AJ49" s="2847"/>
      <c r="AK49" s="2847"/>
      <c r="AL49" s="2847"/>
      <c r="AM49" s="2847"/>
      <c r="AN49" s="2847"/>
      <c r="AO49" s="2847"/>
      <c r="AP49" s="2847"/>
      <c r="AQ49" s="2847"/>
      <c r="AR49" s="2847"/>
      <c r="AS49" s="2847"/>
      <c r="AT49" s="2847"/>
      <c r="AU49" s="2847"/>
      <c r="AV49" s="2847"/>
      <c r="AW49" s="2847"/>
      <c r="AX49" s="2847"/>
      <c r="AY49" s="2847"/>
      <c r="AZ49" s="2847"/>
      <c r="BA49" s="2847"/>
      <c r="BB49" s="2847"/>
      <c r="BC49" s="2847"/>
      <c r="BD49" s="2847"/>
      <c r="BE49" s="2847"/>
      <c r="BF49" s="2847"/>
      <c r="BG49" s="2847"/>
      <c r="BH49" s="2847"/>
      <c r="BI49" s="2847"/>
      <c r="BJ49" s="2847"/>
      <c r="BK49" s="2847"/>
      <c r="BL49" s="2847"/>
      <c r="BM49" s="2847"/>
      <c r="BN49" s="2847"/>
      <c r="BO49" s="2847"/>
      <c r="BP49" s="2847"/>
      <c r="BQ49" s="2847"/>
      <c r="BR49" s="2847"/>
      <c r="BS49" s="2847"/>
      <c r="BT49" s="2847"/>
      <c r="BU49" s="2847"/>
      <c r="BV49" s="2847"/>
      <c r="BW49" s="2847"/>
      <c r="BX49" s="2847"/>
      <c r="BY49" s="2847"/>
      <c r="BZ49" s="2847"/>
      <c r="CA49" s="2847"/>
      <c r="CB49" s="2847"/>
      <c r="CC49" s="2847"/>
      <c r="CD49" s="2847"/>
      <c r="CE49" s="2847"/>
      <c r="CF49" s="2847"/>
      <c r="CG49" s="2847"/>
      <c r="CH49" s="2847"/>
      <c r="CI49" s="2847"/>
      <c r="CJ49" s="2847"/>
      <c r="CK49" s="2847"/>
      <c r="CL49" s="2847"/>
      <c r="CM49" s="2847"/>
      <c r="CN49" s="2847"/>
      <c r="CO49" s="2847"/>
      <c r="CP49" s="2847"/>
      <c r="CQ49" s="2847"/>
      <c r="CR49" s="2847"/>
      <c r="CS49" s="2847"/>
      <c r="CT49" s="2847"/>
      <c r="CU49" s="2847"/>
      <c r="CV49" s="2847"/>
      <c r="CW49" s="2847"/>
      <c r="CX49" s="2847"/>
      <c r="CY49" s="2847">
        <v>5645</v>
      </c>
      <c r="CZ49" s="2847"/>
      <c r="DA49" s="2847"/>
      <c r="DB49" s="2847"/>
      <c r="DC49" s="2847"/>
      <c r="DD49" s="2847"/>
      <c r="DE49" s="2847"/>
      <c r="DF49" s="2847"/>
      <c r="DG49" s="2847"/>
      <c r="DH49" s="2847"/>
      <c r="DI49" s="2847"/>
      <c r="DJ49" s="2847">
        <v>5645</v>
      </c>
      <c r="DK49" s="2847"/>
      <c r="DL49" s="2847"/>
      <c r="DM49" s="2847">
        <v>5645</v>
      </c>
      <c r="DN49" s="2847"/>
      <c r="DO49" s="2847"/>
      <c r="DP49" s="2847"/>
      <c r="DQ49" s="2847"/>
      <c r="DR49" s="2847"/>
      <c r="DS49" s="2847"/>
      <c r="DT49" s="2847"/>
      <c r="DU49" s="2847"/>
      <c r="DV49" s="2847"/>
      <c r="DW49" s="2847"/>
      <c r="DX49" s="2847"/>
      <c r="DY49" s="2847"/>
      <c r="DZ49" s="2847"/>
      <c r="EA49" s="2847"/>
      <c r="EB49" s="2847"/>
      <c r="EC49" s="2847"/>
      <c r="ED49" s="2847"/>
      <c r="EE49" s="2847"/>
      <c r="EF49" s="2847"/>
      <c r="EG49" s="2847"/>
      <c r="EH49" s="2847"/>
      <c r="EI49" s="2847"/>
      <c r="EJ49" s="2847"/>
      <c r="EK49" s="2847"/>
      <c r="EL49" s="2847"/>
      <c r="EM49" s="2847"/>
      <c r="EN49" s="2847"/>
      <c r="EO49" s="2847"/>
      <c r="EP49" s="2847"/>
      <c r="EQ49" s="2847"/>
      <c r="ER49" s="2847"/>
      <c r="ES49" s="2847"/>
      <c r="ET49" s="2847"/>
      <c r="EU49" s="2847"/>
      <c r="EV49" s="2847"/>
      <c r="EW49" s="2847"/>
      <c r="EX49" s="2847"/>
      <c r="EY49" s="2847"/>
      <c r="EZ49" s="2847"/>
      <c r="FA49" s="2847">
        <v>5645</v>
      </c>
      <c r="FB49" s="2847"/>
      <c r="FC49" s="2847"/>
      <c r="FD49" s="2847"/>
      <c r="FE49" s="2847"/>
      <c r="FF49" s="2847"/>
      <c r="FG49" s="2847"/>
      <c r="FH49" s="2847"/>
      <c r="FI49" s="2847"/>
      <c r="FJ49" s="2847"/>
      <c r="FK49" s="2847"/>
      <c r="FL49" s="2847"/>
      <c r="FM49" s="2847"/>
      <c r="FN49" s="2847"/>
      <c r="FO49" s="2847"/>
      <c r="FP49" s="2847"/>
      <c r="FQ49" s="2847"/>
      <c r="FR49" s="2847"/>
      <c r="FS49" s="2847"/>
      <c r="FT49" s="2847"/>
      <c r="FU49" s="2847"/>
      <c r="FV49" s="2847"/>
      <c r="FW49" s="2847"/>
      <c r="FX49" s="2847"/>
      <c r="FY49" s="2847"/>
      <c r="FZ49" s="2847"/>
      <c r="GA49" s="2847"/>
      <c r="GB49" s="2847"/>
      <c r="GC49" s="2847"/>
      <c r="GD49" s="2847"/>
      <c r="GE49" s="2847"/>
      <c r="GF49" s="2847"/>
      <c r="GG49" s="2847"/>
      <c r="GH49" s="2847"/>
      <c r="GI49" s="2847"/>
      <c r="GJ49" s="2847"/>
      <c r="GK49" s="2847"/>
      <c r="GL49" s="2847"/>
      <c r="GM49" s="2847"/>
      <c r="GN49" s="2847"/>
      <c r="GO49" s="2847"/>
      <c r="GP49" s="2847"/>
      <c r="GQ49" s="2847"/>
      <c r="GR49" s="2847"/>
      <c r="GS49" s="2847"/>
      <c r="GT49" s="2847"/>
      <c r="GU49" s="2847"/>
      <c r="GV49" s="2847"/>
      <c r="GW49" s="2847"/>
      <c r="GX49" s="2847"/>
      <c r="GY49" s="2847"/>
      <c r="GZ49" s="2847"/>
      <c r="HA49" s="2847"/>
      <c r="HB49" s="2847"/>
      <c r="HC49" s="2847"/>
      <c r="HD49" s="2847"/>
      <c r="HE49" s="2847"/>
      <c r="HF49" s="2847"/>
      <c r="HG49" s="2847"/>
      <c r="HH49" s="2847"/>
      <c r="HI49" s="2847"/>
      <c r="HJ49" s="2847"/>
      <c r="HK49" s="2847"/>
      <c r="HL49" s="2847"/>
      <c r="HM49" s="2847"/>
      <c r="HN49" s="2847"/>
      <c r="HO49" s="2847"/>
      <c r="HP49" s="2847"/>
      <c r="HQ49" s="2847"/>
      <c r="HR49" s="2847"/>
      <c r="HS49" s="2847"/>
      <c r="HT49" s="2847"/>
      <c r="HU49" s="2847"/>
      <c r="HV49" s="2847"/>
      <c r="HW49" s="2847"/>
      <c r="HX49" s="2847"/>
      <c r="HY49" s="2847"/>
      <c r="HZ49" s="2847"/>
      <c r="IA49" s="2847"/>
      <c r="IB49" s="2847"/>
      <c r="IC49" s="2847"/>
      <c r="ID49" s="2847"/>
      <c r="IE49" s="2847"/>
      <c r="IF49" s="2847"/>
      <c r="IG49" s="2847"/>
      <c r="IH49" s="2847"/>
      <c r="II49" s="2847"/>
      <c r="IJ49" s="2847"/>
      <c r="IK49" s="2847"/>
      <c r="IL49" s="2847"/>
      <c r="IM49" s="2847"/>
      <c r="IN49" s="2847"/>
      <c r="IO49" s="2847"/>
      <c r="IP49" s="2847"/>
      <c r="IQ49" s="3841"/>
      <c r="IR49" s="2847"/>
      <c r="IS49" s="2847"/>
      <c r="IT49" s="3987"/>
      <c r="IU49" s="2847"/>
      <c r="IV49" s="2847"/>
      <c r="IW49" s="2847"/>
      <c r="IX49" s="2847"/>
      <c r="IY49" s="4162">
        <v>63287</v>
      </c>
      <c r="IZ49" s="2847"/>
      <c r="JA49" s="3815"/>
      <c r="JB49" s="4162"/>
      <c r="JC49" s="4243">
        <v>35177</v>
      </c>
      <c r="JD49" s="3815"/>
      <c r="JE49" s="3815"/>
      <c r="JF49" s="3815"/>
      <c r="JG49" s="4163"/>
      <c r="JH49" s="1233"/>
      <c r="JI49" s="1393"/>
      <c r="JJ49" s="1660" t="s">
        <v>6108</v>
      </c>
    </row>
    <row ht="12.75" r="50" spans="1:270" x14ac:dyDescent="0.2">
      <c r="A50" s="1128">
        <v>15</v>
      </c>
      <c r="B50" s="1557" t="str">
        <f si="1" t="shared"/>
        <v/>
      </c>
      <c r="C50" s="1559" t="s">
        <v>1585</v>
      </c>
      <c r="D50" s="1350" t="s">
        <v>5606</v>
      </c>
      <c r="E50" s="4158"/>
      <c r="F50" s="4158"/>
      <c r="G50" s="4158"/>
      <c r="H50" s="4158"/>
      <c r="I50" s="4158"/>
      <c r="J50" s="4158"/>
      <c r="K50" s="4158"/>
      <c r="L50" s="4158"/>
      <c r="M50" s="4158"/>
      <c r="N50" s="4158"/>
      <c r="O50" s="4158"/>
      <c r="P50" s="4158"/>
      <c r="Q50" s="4158"/>
      <c r="R50" s="4158"/>
      <c r="S50" s="4158"/>
      <c r="T50" s="4158"/>
      <c r="U50" s="4158"/>
      <c r="V50" s="4158"/>
      <c r="W50" s="4158"/>
      <c r="X50" s="4158"/>
      <c r="Y50" s="4158"/>
      <c r="Z50" s="4158"/>
      <c r="AA50" s="4158"/>
      <c r="AB50" s="4158"/>
      <c r="AC50" s="4158"/>
      <c r="AD50" s="2854"/>
      <c r="AE50" s="2854"/>
      <c r="AF50" s="2854"/>
      <c r="AG50" s="2854"/>
      <c r="AH50" s="2854"/>
      <c r="AI50" s="4158"/>
      <c r="AJ50" s="4158"/>
      <c r="AK50" s="4158"/>
      <c r="AL50" s="4158"/>
      <c r="AM50" s="2854"/>
      <c r="AN50" s="4158"/>
      <c r="AO50" s="4158"/>
      <c r="AP50" s="4158"/>
      <c r="AQ50" s="4158"/>
      <c r="AR50" s="4158"/>
      <c r="AS50" s="4158"/>
      <c r="AT50" s="4158"/>
      <c r="AU50" s="4158"/>
      <c r="AV50" s="4158"/>
      <c r="AW50" s="4158"/>
      <c r="AX50" s="4158"/>
      <c r="AY50" s="4158"/>
      <c r="AZ50" s="4158"/>
      <c r="BA50" s="4158"/>
      <c r="BB50" s="2854"/>
      <c r="BC50" s="2854"/>
      <c r="BD50" s="4158"/>
      <c r="BE50" s="4158"/>
      <c r="BF50" s="4158"/>
      <c r="BG50" s="4158"/>
      <c r="BH50" s="4158"/>
      <c r="BI50" s="4158"/>
      <c r="BJ50" s="4158"/>
      <c r="BK50" s="4158"/>
      <c r="BL50" s="4158"/>
      <c r="BM50" s="4158"/>
      <c r="BN50" s="4158"/>
      <c r="BO50" s="4158"/>
      <c r="BP50" s="4158"/>
      <c r="BQ50" s="4158"/>
      <c r="BR50" s="4158"/>
      <c r="BS50" s="4158"/>
      <c r="BT50" s="4158"/>
      <c r="BU50" s="4158"/>
      <c r="BV50" s="4158"/>
      <c r="BW50" s="4158"/>
      <c r="BX50" s="4158"/>
      <c r="BY50" s="4158"/>
      <c r="BZ50" s="4158"/>
      <c r="CA50" s="4158"/>
      <c r="CB50" s="4158"/>
      <c r="CC50" s="4158"/>
      <c r="CD50" s="4158"/>
      <c r="CE50" s="4158"/>
      <c r="CF50" s="4158"/>
      <c r="CG50" s="4158"/>
      <c r="CH50" s="4158"/>
      <c r="CI50" s="4158"/>
      <c r="CJ50" s="4158"/>
      <c r="CK50" s="4158"/>
      <c r="CL50" s="4158"/>
      <c r="CM50" s="4158"/>
      <c r="CN50" s="4158"/>
      <c r="CO50" s="4158"/>
      <c r="CP50" s="4158"/>
      <c r="CQ50" s="4158"/>
      <c r="CR50" s="4158"/>
      <c r="CS50" s="4158"/>
      <c r="CT50" s="4158"/>
      <c r="CU50" s="4158"/>
      <c r="CV50" s="4158"/>
      <c r="CW50" s="4158"/>
      <c r="CX50" s="4158"/>
      <c r="CY50" s="2854"/>
      <c r="CZ50" s="2854"/>
      <c r="DA50" s="2854"/>
      <c r="DB50" s="4158"/>
      <c r="DC50" s="4158"/>
      <c r="DD50" s="4158"/>
      <c r="DE50" s="4158"/>
      <c r="DF50" s="4158"/>
      <c r="DG50" s="4158"/>
      <c r="DH50" s="2854"/>
      <c r="DI50" s="4158"/>
      <c r="DJ50" s="2854"/>
      <c r="DK50" s="4158"/>
      <c r="DL50" s="4158"/>
      <c r="DM50" s="2854"/>
      <c r="DN50" s="4158"/>
      <c r="DO50" s="4158"/>
      <c r="DP50" s="4158"/>
      <c r="DQ50" s="4158"/>
      <c r="DR50" s="4158"/>
      <c r="DS50" s="4158"/>
      <c r="DT50" s="4158"/>
      <c r="DU50" s="4158"/>
      <c r="DV50" s="4158"/>
      <c r="DW50" s="4158"/>
      <c r="DX50" s="4158"/>
      <c r="DY50" s="4158"/>
      <c r="DZ50" s="4158"/>
      <c r="EA50" s="4158"/>
      <c r="EB50" s="4158"/>
      <c r="EC50" s="4158"/>
      <c r="ED50" s="4158"/>
      <c r="EE50" s="4158"/>
      <c r="EF50" s="4158"/>
      <c r="EG50" s="4158"/>
      <c r="EH50" s="2854"/>
      <c r="EI50" s="2854"/>
      <c r="EJ50" s="4158"/>
      <c r="EK50" s="4158"/>
      <c r="EL50" s="4158"/>
      <c r="EM50" s="4158"/>
      <c r="EN50" s="4158"/>
      <c r="EO50" s="4158"/>
      <c r="EP50" s="4158"/>
      <c r="EQ50" s="4158"/>
      <c r="ER50" s="4158"/>
      <c r="ES50" s="4158"/>
      <c r="ET50" s="4158"/>
      <c r="EU50" s="4158"/>
      <c r="EV50" s="4158"/>
      <c r="EW50" s="4158"/>
      <c r="EX50" s="4158"/>
      <c r="EY50" s="4158"/>
      <c r="EZ50" s="4158"/>
      <c r="FA50" s="2854"/>
      <c r="FB50" s="4158"/>
      <c r="FC50" s="4158"/>
      <c r="FD50" s="4158"/>
      <c r="FE50" s="4158"/>
      <c r="FF50" s="4158"/>
      <c r="FG50" s="4158"/>
      <c r="FH50" s="4158"/>
      <c r="FI50" s="4158"/>
      <c r="FJ50" s="4158"/>
      <c r="FK50" s="2854"/>
      <c r="FL50" s="4158"/>
      <c r="FM50" s="4158"/>
      <c r="FN50" s="4158"/>
      <c r="FO50" s="4158"/>
      <c r="FP50" s="4158"/>
      <c r="FQ50" s="4158"/>
      <c r="FR50" s="4158"/>
      <c r="FS50" s="4158"/>
      <c r="FT50" s="4158"/>
      <c r="FU50" s="4158"/>
      <c r="FV50" s="2854"/>
      <c r="FW50" s="4158"/>
      <c r="FX50" s="4158"/>
      <c r="FY50" s="4158"/>
      <c r="FZ50" s="4158"/>
      <c r="GA50" s="4158"/>
      <c r="GB50" s="4158"/>
      <c r="GC50" s="4158"/>
      <c r="GD50" s="4158"/>
      <c r="GE50" s="4158"/>
      <c r="GF50" s="4158"/>
      <c r="GG50" s="4158"/>
      <c r="GH50" s="4158"/>
      <c r="GI50" s="4158"/>
      <c r="GJ50" s="4158"/>
      <c r="GK50" s="4158"/>
      <c r="GL50" s="4158"/>
      <c r="GM50" s="4158"/>
      <c r="GN50" s="4158"/>
      <c r="GO50" s="4158"/>
      <c r="GP50" s="4158"/>
      <c r="GQ50" s="4158"/>
      <c r="GR50" s="4158"/>
      <c r="GS50" s="4158"/>
      <c r="GT50" s="4158"/>
      <c r="GU50" s="4158"/>
      <c r="GV50" s="4158"/>
      <c r="GW50" s="2854"/>
      <c r="GX50" s="4158"/>
      <c r="GY50" s="2854"/>
      <c r="GZ50" s="4158"/>
      <c r="HA50" s="4158"/>
      <c r="HB50" s="4158"/>
      <c r="HC50" s="4158"/>
      <c r="HD50" s="4158"/>
      <c r="HE50" s="2854"/>
      <c r="HF50" s="4158"/>
      <c r="HG50" s="4158"/>
      <c r="HH50" s="4158"/>
      <c r="HI50" s="4158"/>
      <c r="HJ50" s="4158"/>
      <c r="HK50" s="4158"/>
      <c r="HL50" s="4158"/>
      <c r="HM50" s="4158"/>
      <c r="HN50" s="4158"/>
      <c r="HO50" s="4158"/>
      <c r="HP50" s="4158"/>
      <c r="HQ50" s="4158"/>
      <c r="HR50" s="4158"/>
      <c r="HS50" s="4158"/>
      <c r="HT50" s="4158"/>
      <c r="HU50" s="4158"/>
      <c r="HV50" s="4158"/>
      <c r="HW50" s="4158"/>
      <c r="HX50" s="4158"/>
      <c r="HY50" s="4158"/>
      <c r="HZ50" s="4158"/>
      <c r="IA50" s="4158"/>
      <c r="IB50" s="4158"/>
      <c r="IC50" s="4158"/>
      <c r="ID50" s="4158"/>
      <c r="IE50" s="4158"/>
      <c r="IF50" s="4158"/>
      <c r="IG50" s="4158"/>
      <c r="IH50" s="4158"/>
      <c r="II50" s="4158"/>
      <c r="IJ50" s="4158"/>
      <c r="IK50" s="4158"/>
      <c r="IL50" s="4158"/>
      <c r="IM50" s="4158"/>
      <c r="IN50" s="4158"/>
      <c r="IO50" s="2854"/>
      <c r="IP50" s="4158"/>
      <c r="IQ50" s="4159">
        <v>27269</v>
      </c>
      <c r="IR50" s="4158"/>
      <c r="IS50" s="4158"/>
      <c r="IT50" s="3987"/>
      <c r="IU50" s="4158"/>
      <c r="IV50" s="4158"/>
      <c r="IW50" s="4158"/>
      <c r="IX50" s="4158"/>
      <c r="IY50" s="4160"/>
      <c r="IZ50" s="4158"/>
      <c r="JA50" s="3814"/>
      <c r="JB50" s="4314"/>
      <c r="JC50" s="4242"/>
      <c r="JD50" s="3814"/>
      <c r="JE50" s="3814"/>
      <c r="JF50" s="3814"/>
      <c r="JG50" s="4161"/>
      <c r="JH50" s="1233"/>
      <c r="JI50" s="1393"/>
      <c r="JJ50" s="1660" t="s">
        <v>6124</v>
      </c>
    </row>
    <row ht="12.75" r="51" spans="1:270" x14ac:dyDescent="0.2">
      <c r="A51" s="1128">
        <v>16</v>
      </c>
      <c r="B51" s="1557" t="str">
        <f si="1" t="shared"/>
        <v/>
      </c>
      <c r="C51" s="1559" t="s">
        <v>1586</v>
      </c>
      <c r="D51" s="1350" t="s">
        <v>7293</v>
      </c>
      <c r="E51" s="4158"/>
      <c r="F51" s="4158"/>
      <c r="G51" s="4158"/>
      <c r="H51" s="4158"/>
      <c r="I51" s="4158"/>
      <c r="J51" s="4158"/>
      <c r="K51" s="4158"/>
      <c r="L51" s="4158"/>
      <c r="M51" s="4158"/>
      <c r="N51" s="4158"/>
      <c r="O51" s="4158"/>
      <c r="P51" s="4158"/>
      <c r="Q51" s="4158"/>
      <c r="R51" s="4158"/>
      <c r="S51" s="4158"/>
      <c r="T51" s="4158"/>
      <c r="U51" s="4158"/>
      <c r="V51" s="4158"/>
      <c r="W51" s="4158"/>
      <c r="X51" s="4158"/>
      <c r="Y51" s="4158"/>
      <c r="Z51" s="4158"/>
      <c r="AA51" s="4158"/>
      <c r="AB51" s="4158"/>
      <c r="AC51" s="4158"/>
      <c r="AD51" s="2854"/>
      <c r="AE51" s="2854"/>
      <c r="AF51" s="2854"/>
      <c r="AG51" s="2854"/>
      <c r="AH51" s="2854"/>
      <c r="AI51" s="4158"/>
      <c r="AJ51" s="4158"/>
      <c r="AK51" s="4158"/>
      <c r="AL51" s="4158"/>
      <c r="AM51" s="2854"/>
      <c r="AN51" s="4158"/>
      <c r="AO51" s="4158"/>
      <c r="AP51" s="4158"/>
      <c r="AQ51" s="4158"/>
      <c r="AR51" s="4158"/>
      <c r="AS51" s="4158"/>
      <c r="AT51" s="4158"/>
      <c r="AU51" s="4158"/>
      <c r="AV51" s="4158"/>
      <c r="AW51" s="4158"/>
      <c r="AX51" s="4158"/>
      <c r="AY51" s="4158"/>
      <c r="AZ51" s="4158"/>
      <c r="BA51" s="4158"/>
      <c r="BB51" s="2854"/>
      <c r="BC51" s="2854" t="s">
        <v>572</v>
      </c>
      <c r="BD51" s="4158"/>
      <c r="BE51" s="4158"/>
      <c r="BF51" s="4158"/>
      <c r="BG51" s="4158"/>
      <c r="BH51" s="4158"/>
      <c r="BI51" s="4158"/>
      <c r="BJ51" s="4158"/>
      <c r="BK51" s="4158"/>
      <c r="BL51" s="4158"/>
      <c r="BM51" s="4158"/>
      <c r="BN51" s="4158"/>
      <c r="BO51" s="4158"/>
      <c r="BP51" s="4158"/>
      <c r="BQ51" s="4158"/>
      <c r="BR51" s="4158"/>
      <c r="BS51" s="4158"/>
      <c r="BT51" s="4158"/>
      <c r="BU51" s="4158"/>
      <c r="BV51" s="4158"/>
      <c r="BW51" s="4158"/>
      <c r="BX51" s="4158"/>
      <c r="BY51" s="4158"/>
      <c r="BZ51" s="4158"/>
      <c r="CA51" s="4158"/>
      <c r="CB51" s="4158"/>
      <c r="CC51" s="4158"/>
      <c r="CD51" s="4158"/>
      <c r="CE51" s="4158"/>
      <c r="CF51" s="4158"/>
      <c r="CG51" s="4158"/>
      <c r="CH51" s="4158"/>
      <c r="CI51" s="4158"/>
      <c r="CJ51" s="4158"/>
      <c r="CK51" s="4158"/>
      <c r="CL51" s="4158"/>
      <c r="CM51" s="4158"/>
      <c r="CN51" s="4158"/>
      <c r="CO51" s="4158"/>
      <c r="CP51" s="4158"/>
      <c r="CQ51" s="4158"/>
      <c r="CR51" s="4158"/>
      <c r="CS51" s="4158"/>
      <c r="CT51" s="4158"/>
      <c r="CU51" s="4158"/>
      <c r="CV51" s="4158"/>
      <c r="CW51" s="4158"/>
      <c r="CX51" s="4158"/>
      <c r="CY51" s="2854"/>
      <c r="CZ51" s="2854"/>
      <c r="DA51" s="2854"/>
      <c r="DB51" s="4158"/>
      <c r="DC51" s="4158"/>
      <c r="DD51" s="4158"/>
      <c r="DE51" s="4158"/>
      <c r="DF51" s="4158"/>
      <c r="DG51" s="4158"/>
      <c r="DH51" s="2854"/>
      <c r="DI51" s="4158"/>
      <c r="DJ51" s="2854"/>
      <c r="DK51" s="4158"/>
      <c r="DL51" s="4158"/>
      <c r="DM51" s="2854"/>
      <c r="DN51" s="4158"/>
      <c r="DO51" s="4158"/>
      <c r="DP51" s="4158"/>
      <c r="DQ51" s="4158"/>
      <c r="DR51" s="4158"/>
      <c r="DS51" s="4158"/>
      <c r="DT51" s="4158"/>
      <c r="DU51" s="4158"/>
      <c r="DV51" s="4158"/>
      <c r="DW51" s="4158"/>
      <c r="DX51" s="4158"/>
      <c r="DY51" s="4158"/>
      <c r="DZ51" s="4158"/>
      <c r="EA51" s="4158"/>
      <c r="EB51" s="4158"/>
      <c r="EC51" s="4158"/>
      <c r="ED51" s="4158"/>
      <c r="EE51" s="4158"/>
      <c r="EF51" s="4158"/>
      <c r="EG51" s="4158"/>
      <c r="EH51" s="2854"/>
      <c r="EI51" s="2854"/>
      <c r="EJ51" s="4158"/>
      <c r="EK51" s="4158"/>
      <c r="EL51" s="4158"/>
      <c r="EM51" s="4158"/>
      <c r="EN51" s="4158"/>
      <c r="EO51" s="4158"/>
      <c r="EP51" s="4158"/>
      <c r="EQ51" s="4158"/>
      <c r="ER51" s="4158"/>
      <c r="ES51" s="4158"/>
      <c r="ET51" s="4158"/>
      <c r="EU51" s="4158"/>
      <c r="EV51" s="4158"/>
      <c r="EW51" s="4158"/>
      <c r="EX51" s="4158"/>
      <c r="EY51" s="4158"/>
      <c r="EZ51" s="4158"/>
      <c r="FA51" s="2854"/>
      <c r="FB51" s="4158"/>
      <c r="FC51" s="4158"/>
      <c r="FD51" s="4158"/>
      <c r="FE51" s="4158"/>
      <c r="FF51" s="4158"/>
      <c r="FG51" s="4158"/>
      <c r="FH51" s="4158"/>
      <c r="FI51" s="4158"/>
      <c r="FJ51" s="4158"/>
      <c r="FK51" s="2854"/>
      <c r="FL51" s="4158"/>
      <c r="FM51" s="4158"/>
      <c r="FN51" s="4158"/>
      <c r="FO51" s="4158"/>
      <c r="FP51" s="4158"/>
      <c r="FQ51" s="4158"/>
      <c r="FR51" s="4158"/>
      <c r="FS51" s="4158"/>
      <c r="FT51" s="4158"/>
      <c r="FU51" s="4158"/>
      <c r="FV51" s="2854"/>
      <c r="FW51" s="4158"/>
      <c r="FX51" s="4158"/>
      <c r="FY51" s="4158"/>
      <c r="FZ51" s="4158"/>
      <c r="GA51" s="4158"/>
      <c r="GB51" s="4158"/>
      <c r="GC51" s="4158"/>
      <c r="GD51" s="4158"/>
      <c r="GE51" s="4158"/>
      <c r="GF51" s="4158"/>
      <c r="GG51" s="4158"/>
      <c r="GH51" s="4158"/>
      <c r="GI51" s="4158"/>
      <c r="GJ51" s="4158"/>
      <c r="GK51" s="4158"/>
      <c r="GL51" s="4158"/>
      <c r="GM51" s="4158"/>
      <c r="GN51" s="4158"/>
      <c r="GO51" s="4158"/>
      <c r="GP51" s="4158"/>
      <c r="GQ51" s="4158"/>
      <c r="GR51" s="4158"/>
      <c r="GS51" s="4158"/>
      <c r="GT51" s="4158"/>
      <c r="GU51" s="4158"/>
      <c r="GV51" s="4158"/>
      <c r="GW51" s="2854"/>
      <c r="GX51" s="4158"/>
      <c r="GY51" s="2854"/>
      <c r="GZ51" s="4158"/>
      <c r="HA51" s="4158"/>
      <c r="HB51" s="4158"/>
      <c r="HC51" s="4158"/>
      <c r="HD51" s="4158"/>
      <c r="HE51" s="2854"/>
      <c r="HF51" s="4158"/>
      <c r="HG51" s="4158"/>
      <c r="HH51" s="4158"/>
      <c r="HI51" s="4158"/>
      <c r="HJ51" s="4158"/>
      <c r="HK51" s="4158"/>
      <c r="HL51" s="4158"/>
      <c r="HM51" s="4158"/>
      <c r="HN51" s="4158"/>
      <c r="HO51" s="4158"/>
      <c r="HP51" s="4158"/>
      <c r="HQ51" s="4158"/>
      <c r="HR51" s="4158"/>
      <c r="HS51" s="4158"/>
      <c r="HT51" s="4158"/>
      <c r="HU51" s="4158"/>
      <c r="HV51" s="4158"/>
      <c r="HW51" s="4158"/>
      <c r="HX51" s="4158"/>
      <c r="HY51" s="4158"/>
      <c r="HZ51" s="4158"/>
      <c r="IA51" s="4158"/>
      <c r="IB51" s="4158"/>
      <c r="IC51" s="4158"/>
      <c r="ID51" s="4158"/>
      <c r="IE51" s="4158"/>
      <c r="IF51" s="4158"/>
      <c r="IG51" s="4158"/>
      <c r="IH51" s="4158"/>
      <c r="II51" s="4158"/>
      <c r="IJ51" s="4158"/>
      <c r="IK51" s="4158"/>
      <c r="IL51" s="4158"/>
      <c r="IM51" s="4158"/>
      <c r="IN51" s="4158"/>
      <c r="IO51" s="2854"/>
      <c r="IP51" s="4158"/>
      <c r="IQ51" s="4159"/>
      <c r="IR51" s="4158"/>
      <c r="IS51" s="4158"/>
      <c r="IT51" s="3987"/>
      <c r="IU51" s="4158"/>
      <c r="IV51" s="4158"/>
      <c r="IW51" s="4158"/>
      <c r="IX51" s="4158"/>
      <c r="IY51" s="4160"/>
      <c r="IZ51" s="4158"/>
      <c r="JA51" s="3814"/>
      <c r="JB51" s="4314"/>
      <c r="JC51" s="4242"/>
      <c r="JD51" s="3814"/>
      <c r="JE51" s="3814"/>
      <c r="JF51" s="3814"/>
      <c r="JG51" s="4161"/>
      <c r="JH51" s="1233"/>
      <c r="JI51" s="1393"/>
      <c r="JJ51" s="2971" t="s">
        <v>6111</v>
      </c>
    </row>
    <row ht="78.75" r="52" spans="1:270" x14ac:dyDescent="0.2">
      <c r="A52" s="1128">
        <v>17</v>
      </c>
      <c r="B52" s="1557" t="str">
        <f si="1" t="shared"/>
        <v/>
      </c>
      <c r="C52" s="1559" t="s">
        <v>1587</v>
      </c>
      <c r="D52" s="1350" t="s">
        <v>5648</v>
      </c>
      <c r="E52" s="4164"/>
      <c r="F52" s="4164"/>
      <c r="G52" s="4164"/>
      <c r="H52" s="4164"/>
      <c r="I52" s="4164"/>
      <c r="J52" s="4164"/>
      <c r="K52" s="4164"/>
      <c r="L52" s="4164"/>
      <c r="M52" s="4164"/>
      <c r="N52" s="4164"/>
      <c r="O52" s="4164"/>
      <c r="P52" s="4164"/>
      <c r="Q52" s="4164"/>
      <c r="R52" s="4164"/>
      <c r="S52" s="4164"/>
      <c r="T52" s="4164"/>
      <c r="U52" s="4164"/>
      <c r="V52" s="4164"/>
      <c r="W52" s="4164"/>
      <c r="X52" s="4164"/>
      <c r="Y52" s="4164"/>
      <c r="Z52" s="4164"/>
      <c r="AA52" s="4164"/>
      <c r="AB52" s="4164"/>
      <c r="AC52" s="4164"/>
      <c r="AD52" s="2855"/>
      <c r="AE52" s="2855"/>
      <c r="AF52" s="2855"/>
      <c r="AG52" s="2855"/>
      <c r="AH52" s="2855"/>
      <c r="AI52" s="4164"/>
      <c r="AJ52" s="4164"/>
      <c r="AK52" s="4164"/>
      <c r="AL52" s="4164"/>
      <c r="AM52" s="2855">
        <f>IF(AM44+AM45+AM46-(AM48+AM49)&gt;0,AM44+AM45+AM46+AM47-(AM48+AM49),AM47)</f>
        <v>62952</v>
      </c>
      <c r="AN52" s="4164"/>
      <c r="AO52" s="4164"/>
      <c r="AP52" s="4164"/>
      <c r="AQ52" s="4164"/>
      <c r="AR52" s="4164"/>
      <c r="AS52" s="4164"/>
      <c r="AT52" s="4164"/>
      <c r="AU52" s="4164"/>
      <c r="AV52" s="4164"/>
      <c r="AW52" s="4164"/>
      <c r="AX52" s="4164"/>
      <c r="AY52" s="4164"/>
      <c r="AZ52" s="4164"/>
      <c r="BA52" s="4164"/>
      <c r="BB52" s="2855">
        <f>IF(BB44+BB45+BB46-(BB48+BB49)&gt;0,BB44+BB45+BB46+BB47-(BB48+BB49),BB47)</f>
        <v>0</v>
      </c>
      <c r="BC52" s="2855">
        <f>IF(BC44+BC45+BC46-(BC48+BC49)&gt;0,BC44+BC45+BC46+BC47-(BC48+BC49),BC47)</f>
        <v>62952</v>
      </c>
      <c r="BD52" s="4164"/>
      <c r="BE52" s="4164"/>
      <c r="BF52" s="4164"/>
      <c r="BG52" s="4164"/>
      <c r="BH52" s="4164"/>
      <c r="BI52" s="4164"/>
      <c r="BJ52" s="4164"/>
      <c r="BK52" s="4164"/>
      <c r="BL52" s="4164"/>
      <c r="BM52" s="4164"/>
      <c r="BN52" s="4164"/>
      <c r="BO52" s="4164"/>
      <c r="BP52" s="4164"/>
      <c r="BQ52" s="4164"/>
      <c r="BR52" s="4164"/>
      <c r="BS52" s="4164"/>
      <c r="BT52" s="4164"/>
      <c r="BU52" s="4164"/>
      <c r="BV52" s="4164"/>
      <c r="BW52" s="4164"/>
      <c r="BX52" s="4164"/>
      <c r="BY52" s="4164"/>
      <c r="BZ52" s="4164"/>
      <c r="CA52" s="4164"/>
      <c r="CB52" s="4164"/>
      <c r="CC52" s="4164"/>
      <c r="CD52" s="4164"/>
      <c r="CE52" s="4164"/>
      <c r="CF52" s="4164"/>
      <c r="CG52" s="4164"/>
      <c r="CH52" s="4164"/>
      <c r="CI52" s="4164"/>
      <c r="CJ52" s="4164"/>
      <c r="CK52" s="4164"/>
      <c r="CL52" s="4164"/>
      <c r="CM52" s="4164"/>
      <c r="CN52" s="4164"/>
      <c r="CO52" s="4164"/>
      <c r="CP52" s="2855">
        <f>IF(CP44+CP45+CP46-(CP48+CP49)&gt;0,CP44+CP45+CP46+CP47-(CP48+CP49),CP47)</f>
        <v>62583</v>
      </c>
      <c r="CQ52" s="4164"/>
      <c r="CR52" s="4164"/>
      <c r="CS52" s="4164"/>
      <c r="CT52" s="4164"/>
      <c r="CU52" s="4164"/>
      <c r="CV52" s="4164"/>
      <c r="CW52" s="4164"/>
      <c r="CX52" s="4164"/>
      <c r="CY52" s="2855">
        <f>IF(CY44+CY45+CY46-(CY48+CY49)&gt;0,CY44+CY45+CY46+CY47-(CY48+CY49),CY47)</f>
        <v>99957</v>
      </c>
      <c r="CZ52" s="2855">
        <f>IF(CZ44+CZ45+CZ46-(CZ48+CZ49)&gt;0,CZ44+CZ45+CZ46+CZ47-(CZ48+CZ49),CZ47)</f>
        <v>188665</v>
      </c>
      <c r="DA52" s="2855">
        <f>IF(DA44+DA45+DA46-(DA48+DA49)&gt;0,DA44+DA45+DA46+DA47-(DA48+DA49),DA47)</f>
        <v>188665</v>
      </c>
      <c r="DB52" s="4164"/>
      <c r="DC52" s="4164"/>
      <c r="DD52" s="4164"/>
      <c r="DE52" s="4164"/>
      <c r="DF52" s="4164"/>
      <c r="DG52" s="4164"/>
      <c r="DH52" s="2855">
        <f>IF(DH44+DH45+DH46-(DH48+DH49)&gt;0,DH44+DH45+DH46+DH47-(DH48+DH49),DH47)</f>
        <v>0</v>
      </c>
      <c r="DI52" s="4164"/>
      <c r="DJ52" s="2855">
        <f>IF(DJ44+DJ45+DJ46-(DJ48+DJ49)&gt;0,DJ44+DJ45+DJ46+DJ47-(DJ48+DJ49),DJ47)</f>
        <v>99957</v>
      </c>
      <c r="DK52" s="4164"/>
      <c r="DL52" s="4164"/>
      <c r="DM52" s="2855">
        <f>IF(DM44+DM45+DM46-(DM48+DM49)&gt;0,DM44+DM45+DM46+DM47-(DM48+DM49),DM47)</f>
        <v>99957</v>
      </c>
      <c r="DN52" s="4164"/>
      <c r="DO52" s="4164"/>
      <c r="DP52" s="4164"/>
      <c r="DQ52" s="4164"/>
      <c r="DR52" s="4164"/>
      <c r="DS52" s="4164"/>
      <c r="DT52" s="4164"/>
      <c r="DU52" s="4164"/>
      <c r="DV52" s="4164"/>
      <c r="DW52" s="4164"/>
      <c r="DX52" s="4164"/>
      <c r="DY52" s="4164"/>
      <c r="DZ52" s="4164"/>
      <c r="EA52" s="4164"/>
      <c r="EB52" s="4164"/>
      <c r="EC52" s="4164"/>
      <c r="ED52" s="4164"/>
      <c r="EE52" s="4164"/>
      <c r="EF52" s="4164"/>
      <c r="EG52" s="4164"/>
      <c r="EH52" s="2855">
        <f>IF(EH44+EH45+EH46-(EH48+EH49)&gt;0,EH44+EH45+EH46+EH47-(EH48+EH49),EH47)</f>
        <v>15515</v>
      </c>
      <c r="EI52" s="2855">
        <f>IF(EI44+EI45+EI46-(EI48+EI49)&gt;0,EI44+EI45+EI46+EI47-(EI48+EI49),EI47)</f>
        <v>11023</v>
      </c>
      <c r="EJ52" s="4164"/>
      <c r="EK52" s="4164"/>
      <c r="EL52" s="4164"/>
      <c r="EM52" s="4164"/>
      <c r="EN52" s="4164"/>
      <c r="EO52" s="4164"/>
      <c r="EP52" s="4164"/>
      <c r="EQ52" s="4164"/>
      <c r="ER52" s="4164"/>
      <c r="ES52" s="4164"/>
      <c r="ET52" s="4164"/>
      <c r="EU52" s="4164"/>
      <c r="EV52" s="4164"/>
      <c r="EW52" s="4164"/>
      <c r="EX52" s="4164"/>
      <c r="EY52" s="4164"/>
      <c r="EZ52" s="4164"/>
      <c r="FA52" s="2855">
        <f>IF(FA44+FA45+FA46-(FA48+FA49)&gt;0,FA44+FA45+FA46+FA47-(FA48+FA49),FA47)</f>
        <v>99957</v>
      </c>
      <c r="FB52" s="4164"/>
      <c r="FC52" s="4164"/>
      <c r="FD52" s="4164"/>
      <c r="FE52" s="4164"/>
      <c r="FF52" s="4164"/>
      <c r="FG52" s="4164"/>
      <c r="FH52" s="4164"/>
      <c r="FI52" s="4164"/>
      <c r="FJ52" s="4164"/>
      <c r="FK52" s="2855">
        <f>IF(FK44+FK45+FK46-(FK48+FK49)&gt;0,FK44+FK45+FK46+FK47-(FK48+FK49),FK47)</f>
        <v>188665</v>
      </c>
      <c r="FL52" s="4164"/>
      <c r="FM52" s="4164"/>
      <c r="FN52" s="4164"/>
      <c r="FO52" s="4164"/>
      <c r="FP52" s="4164"/>
      <c r="FQ52" s="4164"/>
      <c r="FR52" s="4164"/>
      <c r="FS52" s="4164"/>
      <c r="FT52" s="4164"/>
      <c r="FU52" s="4164"/>
      <c r="FV52" s="2855">
        <f>IF(FV44+FV45+FV46-(FV48+FV49)&gt;0,FV44+FV45+FV46+FV47-(FV48+FV49),FV47)</f>
        <v>62952</v>
      </c>
      <c r="FW52" s="4164"/>
      <c r="FX52" s="4164"/>
      <c r="FY52" s="4164"/>
      <c r="FZ52" s="4164"/>
      <c r="GA52" s="4164"/>
      <c r="GB52" s="4164"/>
      <c r="GC52" s="4164"/>
      <c r="GD52" s="4164"/>
      <c r="GE52" s="4164"/>
      <c r="GF52" s="4164"/>
      <c r="GG52" s="4164"/>
      <c r="GH52" s="4164"/>
      <c r="GI52" s="4164"/>
      <c r="GJ52" s="4164"/>
      <c r="GK52" s="4164"/>
      <c r="GL52" s="4164"/>
      <c r="GM52" s="4164"/>
      <c r="GN52" s="4164"/>
      <c r="GO52" s="4164"/>
      <c r="GP52" s="4164"/>
      <c r="GQ52" s="4164"/>
      <c r="GR52" s="4164"/>
      <c r="GS52" s="4164"/>
      <c r="GT52" s="4164"/>
      <c r="GU52" s="4164"/>
      <c r="GV52" s="4164"/>
      <c r="GW52" s="2855">
        <f>IF(GW44+GW45+GW46-(GW48+GW49)&gt;0,GW44+GW45+GW46+GW47-(GW48+GW49),GW47)</f>
        <v>62952</v>
      </c>
      <c r="GX52" s="4164"/>
      <c r="GY52" s="2855">
        <f>IF(GY44+GY45+GY46-(GY48+GY49)&gt;0,GY44+GY45+GY46+GY47-(GY48+GY49),GY47)</f>
        <v>0</v>
      </c>
      <c r="GZ52" s="4164"/>
      <c r="HA52" s="4164"/>
      <c r="HB52" s="4164"/>
      <c r="HC52" s="4164"/>
      <c r="HD52" s="4164"/>
      <c r="HE52" s="2855">
        <f>IF(HE44+HE45+HE46-(HE48+HE49)&gt;0,HE44+HE45+HE46+HE47-(HE48+HE49),HE47)</f>
        <v>490000</v>
      </c>
      <c r="HF52" s="4164"/>
      <c r="HG52" s="4164"/>
      <c r="HH52" s="4164"/>
      <c r="HI52" s="4164"/>
      <c r="HJ52" s="4164"/>
      <c r="HK52" s="4164"/>
      <c r="HL52" s="4164"/>
      <c r="HM52" s="4164"/>
      <c r="HN52" s="4164"/>
      <c r="HO52" s="4164"/>
      <c r="HP52" s="4164"/>
      <c r="HQ52" s="4164"/>
      <c r="HR52" s="4164"/>
      <c r="HS52" s="4164"/>
      <c r="HT52" s="4164"/>
      <c r="HU52" s="4164"/>
      <c r="HV52" s="4164"/>
      <c r="HW52" s="4164"/>
      <c r="HX52" s="4164"/>
      <c r="HY52" s="4164"/>
      <c r="HZ52" s="4164"/>
      <c r="IA52" s="4164"/>
      <c r="IB52" s="4164"/>
      <c r="IC52" s="4164"/>
      <c r="ID52" s="4164"/>
      <c r="IE52" s="4164"/>
      <c r="IF52" s="4164"/>
      <c r="IG52" s="4164"/>
      <c r="IH52" s="4164"/>
      <c r="II52" s="4164"/>
      <c r="IJ52" s="4164"/>
      <c r="IK52" s="4164"/>
      <c r="IL52" s="4164"/>
      <c r="IM52" s="4164"/>
      <c r="IN52" s="4164"/>
      <c r="IO52" s="2855">
        <f>IF(IO44+IO45+IO46-(IO48+IO49)&gt;0,IO44+IO45+IO46+IO47-(IO48+IO49),IO47)</f>
        <v>0</v>
      </c>
      <c r="IP52" s="4164"/>
      <c r="IQ52" s="3840">
        <f>IF(IQ44+IQ45+IQ46-(IQ48+IQ49)&gt;0,IQ44+IQ45+IQ46+IQ47-(IQ48+IQ49),IQ47)</f>
        <v>104753</v>
      </c>
      <c r="IR52" s="4164"/>
      <c r="IS52" s="4164"/>
      <c r="IT52" s="4165">
        <v>228329</v>
      </c>
      <c r="IU52" s="4164"/>
      <c r="IV52" s="4164"/>
      <c r="IW52" s="4164"/>
      <c r="IX52" s="4164"/>
      <c r="IY52" s="4165">
        <v>24423</v>
      </c>
      <c r="IZ52" s="4164"/>
      <c r="JA52" s="3816"/>
      <c r="JB52" s="4315"/>
      <c r="JC52" s="4252">
        <f>IF(JC44+JC45+JC46-(JC48+JC49)&gt;0,JC44+JC45+JC46+JC47-(JC48+JC49),JC47)</f>
        <v>12445</v>
      </c>
      <c r="JD52" s="2855"/>
      <c r="JE52" s="3816"/>
      <c r="JF52" s="3816"/>
      <c r="JG52" s="4166"/>
      <c r="JH52" s="1233"/>
      <c r="JI52" s="1393" t="s">
        <v>5622</v>
      </c>
      <c r="JJ52" s="1660" t="s">
        <v>6124</v>
      </c>
    </row>
    <row ht="22.5" r="53" spans="1:270" x14ac:dyDescent="0.2">
      <c r="A53" s="1128">
        <v>18</v>
      </c>
      <c r="B53" s="1557" t="str">
        <f si="1" t="shared"/>
        <v/>
      </c>
      <c r="C53" s="1559" t="s">
        <v>1588</v>
      </c>
      <c r="D53" s="1350" t="s">
        <v>5608</v>
      </c>
      <c r="E53" s="2847"/>
      <c r="F53" s="2847"/>
      <c r="G53" s="2847"/>
      <c r="H53" s="2847"/>
      <c r="I53" s="2847"/>
      <c r="J53" s="2847"/>
      <c r="K53" s="2847"/>
      <c r="L53" s="2847"/>
      <c r="M53" s="2847"/>
      <c r="N53" s="2847"/>
      <c r="O53" s="2847"/>
      <c r="P53" s="2847"/>
      <c r="Q53" s="2847"/>
      <c r="R53" s="2847"/>
      <c r="S53" s="2847"/>
      <c r="T53" s="2847"/>
      <c r="U53" s="2847"/>
      <c r="V53" s="2847"/>
      <c r="W53" s="2847"/>
      <c r="X53" s="2847"/>
      <c r="Y53" s="2847"/>
      <c r="Z53" s="2847"/>
      <c r="AA53" s="2847"/>
      <c r="AB53" s="2847"/>
      <c r="AC53" s="2847"/>
      <c r="AD53" s="2847"/>
      <c r="AE53" s="2847"/>
      <c r="AF53" s="2847"/>
      <c r="AG53" s="2847"/>
      <c r="AH53" s="2847"/>
      <c r="AI53" s="2847"/>
      <c r="AJ53" s="2847"/>
      <c r="AK53" s="2847"/>
      <c r="AL53" s="2847"/>
      <c r="AM53" s="2847"/>
      <c r="AN53" s="2847"/>
      <c r="AO53" s="2847"/>
      <c r="AP53" s="2847"/>
      <c r="AQ53" s="2847"/>
      <c r="AR53" s="2847"/>
      <c r="AS53" s="2847"/>
      <c r="AT53" s="2847"/>
      <c r="AU53" s="2847"/>
      <c r="AV53" s="2847"/>
      <c r="AW53" s="2847"/>
      <c r="AX53" s="2847"/>
      <c r="AY53" s="2847"/>
      <c r="AZ53" s="2847"/>
      <c r="BA53" s="2847"/>
      <c r="BB53" s="2856"/>
      <c r="BC53" s="2847"/>
      <c r="BD53" s="2847"/>
      <c r="BE53" s="2847"/>
      <c r="BF53" s="2847"/>
      <c r="BG53" s="2847"/>
      <c r="BH53" s="2847"/>
      <c r="BI53" s="2847"/>
      <c r="BJ53" s="2847"/>
      <c r="BK53" s="2847"/>
      <c r="BL53" s="2847"/>
      <c r="BM53" s="2847"/>
      <c r="BN53" s="2847"/>
      <c r="BO53" s="2847"/>
      <c r="BP53" s="2847"/>
      <c r="BQ53" s="2847"/>
      <c r="BR53" s="2847"/>
      <c r="BS53" s="2847"/>
      <c r="BT53" s="2847"/>
      <c r="BU53" s="2847"/>
      <c r="BV53" s="2847"/>
      <c r="BW53" s="2847"/>
      <c r="BX53" s="2847"/>
      <c r="BY53" s="2847"/>
      <c r="BZ53" s="2847"/>
      <c r="CA53" s="2847"/>
      <c r="CB53" s="2847"/>
      <c r="CC53" s="2847"/>
      <c r="CD53" s="2847"/>
      <c r="CE53" s="2847"/>
      <c r="CF53" s="2847"/>
      <c r="CG53" s="2847"/>
      <c r="CH53" s="2847"/>
      <c r="CI53" s="2847"/>
      <c r="CJ53" s="2847"/>
      <c r="CK53" s="2847"/>
      <c r="CL53" s="2847"/>
      <c r="CM53" s="2847"/>
      <c r="CN53" s="2847"/>
      <c r="CO53" s="2847"/>
      <c r="CP53" s="2847"/>
      <c r="CQ53" s="2847"/>
      <c r="CR53" s="2847"/>
      <c r="CS53" s="2847"/>
      <c r="CT53" s="2847"/>
      <c r="CU53" s="2847"/>
      <c r="CV53" s="2847"/>
      <c r="CW53" s="2847"/>
      <c r="CX53" s="2847"/>
      <c r="CY53" s="2847">
        <v>10152</v>
      </c>
      <c r="CZ53" s="2847"/>
      <c r="DA53" s="2847"/>
      <c r="DB53" s="2847"/>
      <c r="DC53" s="2847"/>
      <c r="DD53" s="2847"/>
      <c r="DE53" s="2847"/>
      <c r="DF53" s="2847"/>
      <c r="DG53" s="2847"/>
      <c r="DH53" s="2847"/>
      <c r="DI53" s="2847"/>
      <c r="DJ53" s="2847">
        <v>10152</v>
      </c>
      <c r="DK53" s="2847"/>
      <c r="DL53" s="2847"/>
      <c r="DM53" s="2847">
        <v>10152</v>
      </c>
      <c r="DN53" s="2847"/>
      <c r="DO53" s="2847"/>
      <c r="DP53" s="2847"/>
      <c r="DQ53" s="2847"/>
      <c r="DR53" s="2847"/>
      <c r="DS53" s="2847"/>
      <c r="DT53" s="2847"/>
      <c r="DU53" s="2847"/>
      <c r="DV53" s="2847"/>
      <c r="DW53" s="2847"/>
      <c r="DX53" s="2847"/>
      <c r="DY53" s="2847"/>
      <c r="DZ53" s="2847"/>
      <c r="EA53" s="2847"/>
      <c r="EB53" s="2847"/>
      <c r="EC53" s="2847"/>
      <c r="ED53" s="2847"/>
      <c r="EE53" s="2847"/>
      <c r="EF53" s="2847"/>
      <c r="EG53" s="2847"/>
      <c r="EH53" s="2847">
        <v>2805</v>
      </c>
      <c r="EI53" s="2847"/>
      <c r="EJ53" s="2847"/>
      <c r="EK53" s="2847"/>
      <c r="EL53" s="2847"/>
      <c r="EM53" s="2847"/>
      <c r="EN53" s="2847"/>
      <c r="EO53" s="2847"/>
      <c r="EP53" s="2847"/>
      <c r="EQ53" s="2847"/>
      <c r="ER53" s="2847"/>
      <c r="ES53" s="2847"/>
      <c r="ET53" s="2847"/>
      <c r="EU53" s="2847"/>
      <c r="EV53" s="2847"/>
      <c r="EW53" s="2847"/>
      <c r="EX53" s="2847"/>
      <c r="EY53" s="2847"/>
      <c r="EZ53" s="2847"/>
      <c r="FA53" s="2847">
        <v>10152</v>
      </c>
      <c r="FB53" s="2847"/>
      <c r="FC53" s="2847"/>
      <c r="FD53" s="2847"/>
      <c r="FE53" s="2847"/>
      <c r="FF53" s="2847"/>
      <c r="FG53" s="2847"/>
      <c r="FH53" s="2847"/>
      <c r="FI53" s="2847"/>
      <c r="FJ53" s="2847"/>
      <c r="FK53" s="2847"/>
      <c r="FL53" s="2847"/>
      <c r="FM53" s="2847"/>
      <c r="FN53" s="2847"/>
      <c r="FO53" s="2847"/>
      <c r="FP53" s="2847"/>
      <c r="FQ53" s="2847"/>
      <c r="FR53" s="2847"/>
      <c r="FS53" s="2847"/>
      <c r="FT53" s="2847"/>
      <c r="FU53" s="2847"/>
      <c r="FV53" s="2847"/>
      <c r="FW53" s="2847"/>
      <c r="FX53" s="2847"/>
      <c r="FY53" s="2847"/>
      <c r="FZ53" s="2847"/>
      <c r="GA53" s="2847"/>
      <c r="GB53" s="2847"/>
      <c r="GC53" s="2847"/>
      <c r="GD53" s="2847"/>
      <c r="GE53" s="2847"/>
      <c r="GF53" s="2847"/>
      <c r="GG53" s="2847"/>
      <c r="GH53" s="2847"/>
      <c r="GI53" s="2847"/>
      <c r="GJ53" s="2847"/>
      <c r="GK53" s="2847"/>
      <c r="GL53" s="2847"/>
      <c r="GM53" s="2847"/>
      <c r="GN53" s="2847"/>
      <c r="GO53" s="2847"/>
      <c r="GP53" s="2847"/>
      <c r="GQ53" s="2847"/>
      <c r="GR53" s="2847"/>
      <c r="GS53" s="2847"/>
      <c r="GT53" s="2847"/>
      <c r="GU53" s="2847"/>
      <c r="GV53" s="2847"/>
      <c r="GW53" s="2847"/>
      <c r="GX53" s="2847"/>
      <c r="GY53" s="2856"/>
      <c r="GZ53" s="2847"/>
      <c r="HA53" s="2847"/>
      <c r="HB53" s="2847"/>
      <c r="HC53" s="2847"/>
      <c r="HD53" s="2847"/>
      <c r="HE53" s="2847"/>
      <c r="HF53" s="2847"/>
      <c r="HG53" s="2847"/>
      <c r="HH53" s="2847"/>
      <c r="HI53" s="2847"/>
      <c r="HJ53" s="2847"/>
      <c r="HK53" s="2847"/>
      <c r="HL53" s="2847"/>
      <c r="HM53" s="2847"/>
      <c r="HN53" s="2847"/>
      <c r="HO53" s="2847"/>
      <c r="HP53" s="2847"/>
      <c r="HQ53" s="2847"/>
      <c r="HR53" s="2847"/>
      <c r="HS53" s="2847"/>
      <c r="HT53" s="2847"/>
      <c r="HU53" s="2847"/>
      <c r="HV53" s="2847"/>
      <c r="HW53" s="2847"/>
      <c r="HX53" s="2847"/>
      <c r="HY53" s="2847"/>
      <c r="HZ53" s="2847"/>
      <c r="IA53" s="2847"/>
      <c r="IB53" s="2847"/>
      <c r="IC53" s="2847"/>
      <c r="ID53" s="2847"/>
      <c r="IE53" s="2847"/>
      <c r="IF53" s="2847"/>
      <c r="IG53" s="2847"/>
      <c r="IH53" s="2847"/>
      <c r="II53" s="2847"/>
      <c r="IJ53" s="2847"/>
      <c r="IK53" s="2847"/>
      <c r="IL53" s="2847"/>
      <c r="IM53" s="2847"/>
      <c r="IN53" s="2847"/>
      <c r="IO53" s="2847"/>
      <c r="IP53" s="2847"/>
      <c r="IQ53" s="3841"/>
      <c r="IR53" s="2847"/>
      <c r="IS53" s="2847"/>
      <c r="IT53" s="3987"/>
      <c r="IU53" s="2847"/>
      <c r="IV53" s="2847"/>
      <c r="IW53" s="2847"/>
      <c r="IX53" s="2847"/>
      <c r="IY53" s="4162"/>
      <c r="IZ53" s="2847"/>
      <c r="JA53" s="3815"/>
      <c r="JB53" s="4162"/>
      <c r="JC53" s="4243"/>
      <c r="JD53" s="2847"/>
      <c r="JE53" s="3815"/>
      <c r="JF53" s="3815"/>
      <c r="JG53" s="4163"/>
      <c r="JH53" s="1233"/>
      <c r="JI53" s="1393" t="s">
        <v>5623</v>
      </c>
      <c r="JJ53" s="1660" t="s">
        <v>6108</v>
      </c>
    </row>
    <row ht="12.75" r="54" spans="1:270" x14ac:dyDescent="0.2">
      <c r="A54" s="1128">
        <v>19</v>
      </c>
      <c r="B54" s="1557" t="str">
        <f si="1" t="shared"/>
        <v/>
      </c>
      <c r="C54" s="1559" t="s">
        <v>1589</v>
      </c>
      <c r="D54" s="1350" t="s">
        <v>5609</v>
      </c>
      <c r="E54" s="4164"/>
      <c r="F54" s="4164"/>
      <c r="G54" s="4164"/>
      <c r="H54" s="4164"/>
      <c r="I54" s="4164"/>
      <c r="J54" s="4164"/>
      <c r="K54" s="4164"/>
      <c r="L54" s="4164"/>
      <c r="M54" s="4164"/>
      <c r="N54" s="4164"/>
      <c r="O54" s="4164"/>
      <c r="P54" s="4164"/>
      <c r="Q54" s="4164"/>
      <c r="R54" s="4164"/>
      <c r="S54" s="4164"/>
      <c r="T54" s="4164"/>
      <c r="U54" s="4164"/>
      <c r="V54" s="4164"/>
      <c r="W54" s="4164"/>
      <c r="X54" s="4164"/>
      <c r="Y54" s="4164"/>
      <c r="Z54" s="4164"/>
      <c r="AA54" s="4164"/>
      <c r="AB54" s="4164"/>
      <c r="AC54" s="4164"/>
      <c r="AD54" s="2855"/>
      <c r="AE54" s="2855"/>
      <c r="AF54" s="2855"/>
      <c r="AG54" s="2855"/>
      <c r="AH54" s="2855"/>
      <c r="AI54" s="4164"/>
      <c r="AJ54" s="4164"/>
      <c r="AK54" s="4164"/>
      <c r="AL54" s="4164"/>
      <c r="AM54" s="2855">
        <f>MAX(0,AM52-AM53)</f>
        <v>62952</v>
      </c>
      <c r="AN54" s="4164"/>
      <c r="AO54" s="4164"/>
      <c r="AP54" s="4164"/>
      <c r="AQ54" s="4164"/>
      <c r="AR54" s="4164"/>
      <c r="AS54" s="4164"/>
      <c r="AT54" s="4164"/>
      <c r="AU54" s="4164"/>
      <c r="AV54" s="4164"/>
      <c r="AW54" s="4164"/>
      <c r="AX54" s="4164"/>
      <c r="AY54" s="4164"/>
      <c r="AZ54" s="4164"/>
      <c r="BA54" s="4164"/>
      <c r="BB54" s="2855">
        <f>MAX(0,BB52-BB53)</f>
        <v>0</v>
      </c>
      <c r="BC54" s="2855">
        <f>MAX(0,BC52-BC53)</f>
        <v>62952</v>
      </c>
      <c r="BD54" s="4164"/>
      <c r="BE54" s="4164"/>
      <c r="BF54" s="4164"/>
      <c r="BG54" s="4164"/>
      <c r="BH54" s="4164"/>
      <c r="BI54" s="4164"/>
      <c r="BJ54" s="4164"/>
      <c r="BK54" s="4164"/>
      <c r="BL54" s="4164"/>
      <c r="BM54" s="4164"/>
      <c r="BN54" s="4164"/>
      <c r="BO54" s="4164"/>
      <c r="BP54" s="4164"/>
      <c r="BQ54" s="4164"/>
      <c r="BR54" s="4164"/>
      <c r="BS54" s="4164"/>
      <c r="BT54" s="4164"/>
      <c r="BU54" s="4164"/>
      <c r="BV54" s="4164"/>
      <c r="BW54" s="4164"/>
      <c r="BX54" s="4164"/>
      <c r="BY54" s="4164"/>
      <c r="BZ54" s="4164"/>
      <c r="CA54" s="4164"/>
      <c r="CB54" s="4164"/>
      <c r="CC54" s="4164"/>
      <c r="CD54" s="4164"/>
      <c r="CE54" s="4164"/>
      <c r="CF54" s="4164"/>
      <c r="CG54" s="4164"/>
      <c r="CH54" s="4164"/>
      <c r="CI54" s="4164"/>
      <c r="CJ54" s="4164"/>
      <c r="CK54" s="4164"/>
      <c r="CL54" s="4164"/>
      <c r="CM54" s="4164"/>
      <c r="CN54" s="4164"/>
      <c r="CO54" s="4164"/>
      <c r="CP54" s="2855">
        <f>MAX(0,CP52-CP53)</f>
        <v>62583</v>
      </c>
      <c r="CQ54" s="4164"/>
      <c r="CR54" s="4164"/>
      <c r="CS54" s="4164"/>
      <c r="CT54" s="4164"/>
      <c r="CU54" s="4164"/>
      <c r="CV54" s="4164"/>
      <c r="CW54" s="4164"/>
      <c r="CX54" s="4164"/>
      <c r="CY54" s="2855">
        <f>MAX(0,CY52-CY53)</f>
        <v>89805</v>
      </c>
      <c r="CZ54" s="2855">
        <f>MAX(0,CZ52-CZ53)</f>
        <v>188665</v>
      </c>
      <c r="DA54" s="2855">
        <f>MAX(0,DA52-DA53)</f>
        <v>188665</v>
      </c>
      <c r="DB54" s="4164"/>
      <c r="DC54" s="4164"/>
      <c r="DD54" s="4164"/>
      <c r="DE54" s="4164"/>
      <c r="DF54" s="4164"/>
      <c r="DG54" s="4164"/>
      <c r="DH54" s="2855">
        <v>0</v>
      </c>
      <c r="DI54" s="4164"/>
      <c r="DJ54" s="2855">
        <f>MAX(0,DJ52-DJ53)</f>
        <v>89805</v>
      </c>
      <c r="DK54" s="4164"/>
      <c r="DL54" s="4164"/>
      <c r="DM54" s="2855">
        <f>MAX(0,DM52-DM53)</f>
        <v>89805</v>
      </c>
      <c r="DN54" s="4164"/>
      <c r="DO54" s="4164"/>
      <c r="DP54" s="4164"/>
      <c r="DQ54" s="4164"/>
      <c r="DR54" s="4164"/>
      <c r="DS54" s="4164"/>
      <c r="DT54" s="4164"/>
      <c r="DU54" s="4164"/>
      <c r="DV54" s="4164"/>
      <c r="DW54" s="4164"/>
      <c r="DX54" s="4164"/>
      <c r="DY54" s="4164"/>
      <c r="DZ54" s="4164"/>
      <c r="EA54" s="4164"/>
      <c r="EB54" s="4164"/>
      <c r="EC54" s="4164"/>
      <c r="ED54" s="4164"/>
      <c r="EE54" s="4164"/>
      <c r="EF54" s="4164"/>
      <c r="EG54" s="4164"/>
      <c r="EH54" s="2855">
        <f>MAX(0,EH52-EH53)</f>
        <v>12710</v>
      </c>
      <c r="EI54" s="2855">
        <f>MAX(0,EI52-EI53)</f>
        <v>11023</v>
      </c>
      <c r="EJ54" s="4164"/>
      <c r="EK54" s="4164"/>
      <c r="EL54" s="4164"/>
      <c r="EM54" s="4164"/>
      <c r="EN54" s="4164"/>
      <c r="EO54" s="4164"/>
      <c r="EP54" s="4164"/>
      <c r="EQ54" s="4164"/>
      <c r="ER54" s="4164"/>
      <c r="ES54" s="4164"/>
      <c r="ET54" s="4164"/>
      <c r="EU54" s="4164"/>
      <c r="EV54" s="4164"/>
      <c r="EW54" s="4164"/>
      <c r="EX54" s="4164"/>
      <c r="EY54" s="4164"/>
      <c r="EZ54" s="4164"/>
      <c r="FA54" s="2855">
        <f>MAX(0,FA52-FA53)</f>
        <v>89805</v>
      </c>
      <c r="FB54" s="4164"/>
      <c r="FC54" s="4164"/>
      <c r="FD54" s="4164"/>
      <c r="FE54" s="4164"/>
      <c r="FF54" s="4164"/>
      <c r="FG54" s="4164"/>
      <c r="FH54" s="4164"/>
      <c r="FI54" s="4164"/>
      <c r="FJ54" s="4164"/>
      <c r="FK54" s="2855">
        <f>MAX(0,FK52-FK53)</f>
        <v>188665</v>
      </c>
      <c r="FL54" s="4164"/>
      <c r="FM54" s="4164"/>
      <c r="FN54" s="4164"/>
      <c r="FO54" s="4164"/>
      <c r="FP54" s="4164"/>
      <c r="FQ54" s="4164"/>
      <c r="FR54" s="4164"/>
      <c r="FS54" s="4164"/>
      <c r="FT54" s="4164"/>
      <c r="FU54" s="4164"/>
      <c r="FV54" s="2855">
        <f>MAX(0,FV52-FV53)</f>
        <v>62952</v>
      </c>
      <c r="FW54" s="4164"/>
      <c r="FX54" s="4164"/>
      <c r="FY54" s="4164"/>
      <c r="FZ54" s="4164"/>
      <c r="GA54" s="4164"/>
      <c r="GB54" s="4164"/>
      <c r="GC54" s="4164"/>
      <c r="GD54" s="4164"/>
      <c r="GE54" s="4164"/>
      <c r="GF54" s="4164"/>
      <c r="GG54" s="4164"/>
      <c r="GH54" s="4164"/>
      <c r="GI54" s="4164"/>
      <c r="GJ54" s="4164"/>
      <c r="GK54" s="4164"/>
      <c r="GL54" s="4164"/>
      <c r="GM54" s="4164"/>
      <c r="GN54" s="4164"/>
      <c r="GO54" s="4164"/>
      <c r="GP54" s="4164"/>
      <c r="GQ54" s="4164"/>
      <c r="GR54" s="4164"/>
      <c r="GS54" s="4164"/>
      <c r="GT54" s="4164"/>
      <c r="GU54" s="4164"/>
      <c r="GV54" s="4164"/>
      <c r="GW54" s="2855">
        <f>MAX(0,GW52-GW53)</f>
        <v>62952</v>
      </c>
      <c r="GX54" s="4164"/>
      <c r="GY54" s="2855">
        <f>MAX(0,GY52-GY53)</f>
        <v>0</v>
      </c>
      <c r="GZ54" s="4164"/>
      <c r="HA54" s="4164"/>
      <c r="HB54" s="4164"/>
      <c r="HC54" s="4164"/>
      <c r="HD54" s="4164"/>
      <c r="HE54" s="2855">
        <f>MAX(0,HE52-HE53)</f>
        <v>490000</v>
      </c>
      <c r="HF54" s="4164"/>
      <c r="HG54" s="4164"/>
      <c r="HH54" s="4164"/>
      <c r="HI54" s="4164"/>
      <c r="HJ54" s="4164"/>
      <c r="HK54" s="4164"/>
      <c r="HL54" s="4164"/>
      <c r="HM54" s="4164"/>
      <c r="HN54" s="4164"/>
      <c r="HO54" s="4164"/>
      <c r="HP54" s="4164"/>
      <c r="HQ54" s="4164"/>
      <c r="HR54" s="4164"/>
      <c r="HS54" s="4164"/>
      <c r="HT54" s="4164"/>
      <c r="HU54" s="4164"/>
      <c r="HV54" s="4164"/>
      <c r="HW54" s="4164"/>
      <c r="HX54" s="4164"/>
      <c r="HY54" s="4164"/>
      <c r="HZ54" s="4164"/>
      <c r="IA54" s="4164"/>
      <c r="IB54" s="4164"/>
      <c r="IC54" s="4164"/>
      <c r="ID54" s="4164"/>
      <c r="IE54" s="4164"/>
      <c r="IF54" s="4164"/>
      <c r="IG54" s="4164"/>
      <c r="IH54" s="4164"/>
      <c r="II54" s="4164"/>
      <c r="IJ54" s="4164"/>
      <c r="IK54" s="4164"/>
      <c r="IL54" s="4164"/>
      <c r="IM54" s="4164"/>
      <c r="IN54" s="4164"/>
      <c r="IO54" s="2855">
        <f>MAX(0,IO52-IO53)</f>
        <v>0</v>
      </c>
      <c r="IP54" s="4164"/>
      <c r="IQ54" s="3840">
        <f>MAX(0,IQ52-IQ53)</f>
        <v>104753</v>
      </c>
      <c r="IR54" s="4164"/>
      <c r="IS54" s="4164"/>
      <c r="IT54" s="4252">
        <f>MAX(0,IT52-IT53)</f>
        <v>228329</v>
      </c>
      <c r="IU54" s="4164"/>
      <c r="IV54" s="4164"/>
      <c r="IW54" s="4164"/>
      <c r="IX54" s="4164"/>
      <c r="IY54" s="4162">
        <f>MAX(0,IY52-IY53)</f>
        <v>24423</v>
      </c>
      <c r="IZ54" s="4164"/>
      <c r="JA54" s="4164"/>
      <c r="JB54" s="4162"/>
      <c r="JC54" s="4252">
        <f>MAX(0,JC52-JC53)</f>
        <v>12445</v>
      </c>
      <c r="JD54" s="2855"/>
      <c r="JE54" s="3816"/>
      <c r="JF54" s="3816"/>
      <c r="JG54" s="4166"/>
      <c r="JH54" s="1233"/>
      <c r="JI54" s="1393" t="s">
        <v>5624</v>
      </c>
      <c r="JJ54" s="1660" t="s">
        <v>6124</v>
      </c>
    </row>
    <row ht="12.75" r="55" spans="1:270" x14ac:dyDescent="0.2">
      <c r="A55" s="1128">
        <v>20</v>
      </c>
      <c r="B55" s="1557" t="str">
        <f>IF(PS_B_IND&gt;1,IF(HLOOKUP(PS_B_IND-1,FPS_RANGE,A55)="","",HLOOKUP(PS_B_IND-1,FPS_RANGE,A55)),"")</f>
        <v/>
      </c>
      <c r="C55" s="1559" t="s">
        <v>1590</v>
      </c>
      <c r="D55" s="1350" t="s">
        <v>5610</v>
      </c>
      <c r="E55" s="4158"/>
      <c r="F55" s="4158"/>
      <c r="G55" s="4158"/>
      <c r="H55" s="4158"/>
      <c r="I55" s="4158"/>
      <c r="J55" s="4158"/>
      <c r="K55" s="4158"/>
      <c r="L55" s="4158"/>
      <c r="M55" s="4158"/>
      <c r="N55" s="4158"/>
      <c r="O55" s="4158"/>
      <c r="P55" s="4158"/>
      <c r="Q55" s="4158"/>
      <c r="R55" s="4158"/>
      <c r="S55" s="4158"/>
      <c r="T55" s="4158"/>
      <c r="U55" s="4158"/>
      <c r="V55" s="4158"/>
      <c r="W55" s="4158"/>
      <c r="X55" s="4158"/>
      <c r="Y55" s="4158"/>
      <c r="Z55" s="4158"/>
      <c r="AA55" s="4158"/>
      <c r="AB55" s="4158"/>
      <c r="AC55" s="4158"/>
      <c r="AD55" s="2854"/>
      <c r="AE55" s="2854"/>
      <c r="AF55" s="2854"/>
      <c r="AG55" s="2854"/>
      <c r="AH55" s="2854"/>
      <c r="AI55" s="4158"/>
      <c r="AJ55" s="4158"/>
      <c r="AK55" s="4158"/>
      <c r="AL55" s="4158"/>
      <c r="AM55" s="2854"/>
      <c r="AN55" s="4158"/>
      <c r="AO55" s="4158"/>
      <c r="AP55" s="4158"/>
      <c r="AQ55" s="4158"/>
      <c r="AR55" s="4158"/>
      <c r="AS55" s="4158"/>
      <c r="AT55" s="4158"/>
      <c r="AU55" s="4158"/>
      <c r="AV55" s="4158"/>
      <c r="AW55" s="4158"/>
      <c r="AX55" s="4158"/>
      <c r="AY55" s="4158"/>
      <c r="AZ55" s="4158"/>
      <c r="BA55" s="4158"/>
      <c r="BB55" s="2867"/>
      <c r="BC55" s="2854"/>
      <c r="BD55" s="4158"/>
      <c r="BE55" s="4158"/>
      <c r="BF55" s="4158"/>
      <c r="BG55" s="4158"/>
      <c r="BH55" s="4158"/>
      <c r="BI55" s="4158"/>
      <c r="BJ55" s="4158"/>
      <c r="BK55" s="4158"/>
      <c r="BL55" s="4158"/>
      <c r="BM55" s="4158"/>
      <c r="BN55" s="4158"/>
      <c r="BO55" s="4158"/>
      <c r="BP55" s="4158"/>
      <c r="BQ55" s="4158"/>
      <c r="BR55" s="4158"/>
      <c r="BS55" s="4158"/>
      <c r="BT55" s="4158"/>
      <c r="BU55" s="4158"/>
      <c r="BV55" s="4158"/>
      <c r="BW55" s="4158"/>
      <c r="BX55" s="4158"/>
      <c r="BY55" s="4158"/>
      <c r="BZ55" s="4158"/>
      <c r="CA55" s="4158"/>
      <c r="CB55" s="4158"/>
      <c r="CC55" s="4158"/>
      <c r="CD55" s="4158"/>
      <c r="CE55" s="4158"/>
      <c r="CF55" s="4158"/>
      <c r="CG55" s="4158"/>
      <c r="CH55" s="4158"/>
      <c r="CI55" s="4158"/>
      <c r="CJ55" s="4158"/>
      <c r="CK55" s="4158"/>
      <c r="CL55" s="4158"/>
      <c r="CM55" s="4158"/>
      <c r="CN55" s="4158"/>
      <c r="CO55" s="4158"/>
      <c r="CP55" s="2854"/>
      <c r="CQ55" s="4158"/>
      <c r="CR55" s="4158"/>
      <c r="CS55" s="4158"/>
      <c r="CT55" s="4158"/>
      <c r="CU55" s="4158"/>
      <c r="CV55" s="4158"/>
      <c r="CW55" s="4158"/>
      <c r="CX55" s="4158"/>
      <c r="CY55" s="2854">
        <v>1126</v>
      </c>
      <c r="CZ55" s="2854"/>
      <c r="DA55" s="2854"/>
      <c r="DB55" s="4158"/>
      <c r="DC55" s="4158"/>
      <c r="DD55" s="4158"/>
      <c r="DE55" s="4158"/>
      <c r="DF55" s="4158"/>
      <c r="DG55" s="4158"/>
      <c r="DH55" s="2854"/>
      <c r="DI55" s="4158"/>
      <c r="DJ55" s="2854">
        <v>1126</v>
      </c>
      <c r="DK55" s="4158"/>
      <c r="DL55" s="4158"/>
      <c r="DM55" s="2854">
        <v>1126</v>
      </c>
      <c r="DN55" s="4158"/>
      <c r="DO55" s="4158"/>
      <c r="DP55" s="4158"/>
      <c r="DQ55" s="4158"/>
      <c r="DR55" s="4158"/>
      <c r="DS55" s="4158"/>
      <c r="DT55" s="4158"/>
      <c r="DU55" s="4158"/>
      <c r="DV55" s="4158"/>
      <c r="DW55" s="4158"/>
      <c r="DX55" s="4158"/>
      <c r="DY55" s="4158"/>
      <c r="DZ55" s="4158"/>
      <c r="EA55" s="4158"/>
      <c r="EB55" s="4158"/>
      <c r="EC55" s="4158"/>
      <c r="ED55" s="4158"/>
      <c r="EE55" s="4158"/>
      <c r="EF55" s="4158"/>
      <c r="EG55" s="4158"/>
      <c r="EH55" s="2854"/>
      <c r="EI55" s="2854"/>
      <c r="EJ55" s="4158"/>
      <c r="EK55" s="4158"/>
      <c r="EL55" s="4158"/>
      <c r="EM55" s="4158"/>
      <c r="EN55" s="4158"/>
      <c r="EO55" s="4158"/>
      <c r="EP55" s="4158"/>
      <c r="EQ55" s="4158"/>
      <c r="ER55" s="4158"/>
      <c r="ES55" s="4158"/>
      <c r="ET55" s="4158"/>
      <c r="EU55" s="4158"/>
      <c r="EV55" s="4158"/>
      <c r="EW55" s="4158"/>
      <c r="EX55" s="4158"/>
      <c r="EY55" s="4158"/>
      <c r="EZ55" s="4158"/>
      <c r="FA55" s="2854">
        <v>1126</v>
      </c>
      <c r="FB55" s="4158"/>
      <c r="FC55" s="4158"/>
      <c r="FD55" s="4158"/>
      <c r="FE55" s="4158"/>
      <c r="FF55" s="4158"/>
      <c r="FG55" s="4158"/>
      <c r="FH55" s="4158"/>
      <c r="FI55" s="4158"/>
      <c r="FJ55" s="4158"/>
      <c r="FK55" s="2854"/>
      <c r="FL55" s="4158"/>
      <c r="FM55" s="4158"/>
      <c r="FN55" s="4158"/>
      <c r="FO55" s="4158"/>
      <c r="FP55" s="4158"/>
      <c r="FQ55" s="4158"/>
      <c r="FR55" s="4158"/>
      <c r="FS55" s="4158"/>
      <c r="FT55" s="4158"/>
      <c r="FU55" s="4158"/>
      <c r="FV55" s="2854"/>
      <c r="FW55" s="4158"/>
      <c r="FX55" s="4158"/>
      <c r="FY55" s="4158"/>
      <c r="FZ55" s="4158"/>
      <c r="GA55" s="4158"/>
      <c r="GB55" s="4158"/>
      <c r="GC55" s="4158"/>
      <c r="GD55" s="4158"/>
      <c r="GE55" s="4158"/>
      <c r="GF55" s="4158"/>
      <c r="GG55" s="4158"/>
      <c r="GH55" s="4158"/>
      <c r="GI55" s="4158"/>
      <c r="GJ55" s="4158"/>
      <c r="GK55" s="4158"/>
      <c r="GL55" s="4158"/>
      <c r="GM55" s="4158"/>
      <c r="GN55" s="4158"/>
      <c r="GO55" s="4158"/>
      <c r="GP55" s="4158"/>
      <c r="GQ55" s="4158"/>
      <c r="GR55" s="4158"/>
      <c r="GS55" s="4158"/>
      <c r="GT55" s="4158"/>
      <c r="GU55" s="4158"/>
      <c r="GV55" s="4158"/>
      <c r="GW55" s="2854"/>
      <c r="GX55" s="4158"/>
      <c r="GY55" s="2867"/>
      <c r="GZ55" s="4158"/>
      <c r="HA55" s="4158"/>
      <c r="HB55" s="4158"/>
      <c r="HC55" s="4158"/>
      <c r="HD55" s="4158"/>
      <c r="HE55" s="2854"/>
      <c r="HF55" s="4158"/>
      <c r="HG55" s="4158"/>
      <c r="HH55" s="4158"/>
      <c r="HI55" s="4158"/>
      <c r="HJ55" s="4158"/>
      <c r="HK55" s="4158"/>
      <c r="HL55" s="4158"/>
      <c r="HM55" s="4158"/>
      <c r="HN55" s="4158"/>
      <c r="HO55" s="4158"/>
      <c r="HP55" s="4158"/>
      <c r="HQ55" s="4158"/>
      <c r="HR55" s="4158"/>
      <c r="HS55" s="4158"/>
      <c r="HT55" s="4158"/>
      <c r="HU55" s="4158"/>
      <c r="HV55" s="4158"/>
      <c r="HW55" s="4158"/>
      <c r="HX55" s="4158"/>
      <c r="HY55" s="4158"/>
      <c r="HZ55" s="4158"/>
      <c r="IA55" s="4158"/>
      <c r="IB55" s="4158"/>
      <c r="IC55" s="4158"/>
      <c r="ID55" s="4158"/>
      <c r="IE55" s="4158"/>
      <c r="IF55" s="4158"/>
      <c r="IG55" s="4158"/>
      <c r="IH55" s="4158"/>
      <c r="II55" s="4158"/>
      <c r="IJ55" s="4158"/>
      <c r="IK55" s="4158"/>
      <c r="IL55" s="4158"/>
      <c r="IM55" s="4158"/>
      <c r="IN55" s="4158"/>
      <c r="IO55" s="2854"/>
      <c r="IP55" s="4158"/>
      <c r="IQ55" s="4159"/>
      <c r="IR55" s="4158"/>
      <c r="IS55" s="4158"/>
      <c r="IT55" s="3987"/>
      <c r="IU55" s="4158"/>
      <c r="IV55" s="4158"/>
      <c r="IW55" s="4158"/>
      <c r="IX55" s="4158"/>
      <c r="IY55" s="4160"/>
      <c r="IZ55" s="4158"/>
      <c r="JA55" s="3814"/>
      <c r="JB55" s="4314"/>
      <c r="JC55" s="4242"/>
      <c r="JD55" s="2854"/>
      <c r="JE55" s="3814"/>
      <c r="JF55" s="3814"/>
      <c r="JG55" s="4161"/>
      <c r="JH55" s="1233"/>
      <c r="JI55" s="1393"/>
      <c r="JJ55" s="1660" t="s">
        <v>6108</v>
      </c>
    </row>
    <row ht="12.75" r="56" spans="1:270" x14ac:dyDescent="0.2">
      <c r="A56" s="1128">
        <v>21</v>
      </c>
      <c r="B56" s="1557" t="str">
        <f si="1" t="shared"/>
        <v/>
      </c>
      <c r="C56" s="1559" t="s">
        <v>1591</v>
      </c>
      <c r="D56" s="1350" t="s">
        <v>5468</v>
      </c>
      <c r="E56" s="2848"/>
      <c r="F56" s="2848"/>
      <c r="G56" s="2848"/>
      <c r="H56" s="2848"/>
      <c r="I56" s="2848"/>
      <c r="J56" s="2848"/>
      <c r="K56" s="2848"/>
      <c r="L56" s="2848"/>
      <c r="M56" s="2848"/>
      <c r="N56" s="2848"/>
      <c r="O56" s="2848"/>
      <c r="P56" s="2848"/>
      <c r="Q56" s="2848"/>
      <c r="R56" s="2848"/>
      <c r="S56" s="2848"/>
      <c r="T56" s="2848"/>
      <c r="U56" s="2848"/>
      <c r="V56" s="2848"/>
      <c r="W56" s="2848"/>
      <c r="X56" s="2848"/>
      <c r="Y56" s="2848"/>
      <c r="Z56" s="2848"/>
      <c r="AA56" s="2848"/>
      <c r="AB56" s="2848"/>
      <c r="AC56" s="2848"/>
      <c r="AD56" s="2848"/>
      <c r="AE56" s="2848"/>
      <c r="AF56" s="2848"/>
      <c r="AG56" s="2848"/>
      <c r="AH56" s="2848"/>
      <c r="AI56" s="2848"/>
      <c r="AJ56" s="2848"/>
      <c r="AK56" s="2848"/>
      <c r="AL56" s="2848"/>
      <c r="AM56" s="2848">
        <f>AM54+AM55</f>
        <v>62952</v>
      </c>
      <c r="AN56" s="2848"/>
      <c r="AO56" s="2848"/>
      <c r="AP56" s="2848"/>
      <c r="AQ56" s="2848"/>
      <c r="AR56" s="2848"/>
      <c r="AS56" s="2848"/>
      <c r="AT56" s="2848"/>
      <c r="AU56" s="2848"/>
      <c r="AV56" s="2848"/>
      <c r="AW56" s="2848"/>
      <c r="AX56" s="2848"/>
      <c r="AY56" s="2848"/>
      <c r="AZ56" s="2848"/>
      <c r="BA56" s="2848"/>
      <c r="BB56" s="2848">
        <f>BB54+BB55</f>
        <v>0</v>
      </c>
      <c r="BC56" s="2848">
        <f>BC54+BC55</f>
        <v>62952</v>
      </c>
      <c r="BD56" s="2848"/>
      <c r="BE56" s="2848"/>
      <c r="BF56" s="2848"/>
      <c r="BG56" s="2848"/>
      <c r="BH56" s="2848"/>
      <c r="BI56" s="2848"/>
      <c r="BJ56" s="2848"/>
      <c r="BK56" s="2848"/>
      <c r="BL56" s="2848"/>
      <c r="BM56" s="2848"/>
      <c r="BN56" s="2848"/>
      <c r="BO56" s="2848"/>
      <c r="BP56" s="2848"/>
      <c r="BQ56" s="2848"/>
      <c r="BR56" s="2848"/>
      <c r="BS56" s="2848"/>
      <c r="BT56" s="2848"/>
      <c r="BU56" s="2848"/>
      <c r="BV56" s="2848"/>
      <c r="BW56" s="2848"/>
      <c r="BX56" s="2848"/>
      <c r="BY56" s="2848"/>
      <c r="BZ56" s="2848"/>
      <c r="CA56" s="2848"/>
      <c r="CB56" s="2848"/>
      <c r="CC56" s="2848"/>
      <c r="CD56" s="2848"/>
      <c r="CE56" s="2848"/>
      <c r="CF56" s="2848"/>
      <c r="CG56" s="2848"/>
      <c r="CH56" s="2848"/>
      <c r="CI56" s="2848"/>
      <c r="CJ56" s="2848"/>
      <c r="CK56" s="2848"/>
      <c r="CL56" s="2848"/>
      <c r="CM56" s="2848"/>
      <c r="CN56" s="2848"/>
      <c r="CO56" s="2848"/>
      <c r="CP56" s="2848">
        <f>CP54+CP55</f>
        <v>62583</v>
      </c>
      <c r="CQ56" s="2848"/>
      <c r="CR56" s="2848"/>
      <c r="CS56" s="2848"/>
      <c r="CT56" s="2848"/>
      <c r="CU56" s="2848"/>
      <c r="CV56" s="2848"/>
      <c r="CW56" s="2848"/>
      <c r="CX56" s="2848"/>
      <c r="CY56" s="2848">
        <f>CY54+CY55</f>
        <v>90931</v>
      </c>
      <c r="CZ56" s="2848">
        <f>CZ54+CZ55</f>
        <v>188665</v>
      </c>
      <c r="DA56" s="2848">
        <f>DA54+DA55</f>
        <v>188665</v>
      </c>
      <c r="DB56" s="2848"/>
      <c r="DC56" s="2848"/>
      <c r="DD56" s="2848"/>
      <c r="DE56" s="2848"/>
      <c r="DF56" s="2848"/>
      <c r="DG56" s="2848"/>
      <c r="DH56" s="2848">
        <v>0</v>
      </c>
      <c r="DI56" s="2848"/>
      <c r="DJ56" s="2848">
        <f>DJ54+DJ55</f>
        <v>90931</v>
      </c>
      <c r="DK56" s="2848"/>
      <c r="DL56" s="2848"/>
      <c r="DM56" s="2848">
        <f>DM54+DM55</f>
        <v>90931</v>
      </c>
      <c r="DN56" s="2848"/>
      <c r="DO56" s="2848"/>
      <c r="DP56" s="2848"/>
      <c r="DQ56" s="2848"/>
      <c r="DR56" s="2848"/>
      <c r="DS56" s="2848"/>
      <c r="DT56" s="2848"/>
      <c r="DU56" s="2848"/>
      <c r="DV56" s="2848"/>
      <c r="DW56" s="2848"/>
      <c r="DX56" s="2848"/>
      <c r="DY56" s="2848"/>
      <c r="DZ56" s="2848"/>
      <c r="EA56" s="2848"/>
      <c r="EB56" s="2848"/>
      <c r="EC56" s="2848"/>
      <c r="ED56" s="2848"/>
      <c r="EE56" s="2848"/>
      <c r="EF56" s="2848"/>
      <c r="EG56" s="2848"/>
      <c r="EH56" s="2848">
        <f>EH54+EH55</f>
        <v>12710</v>
      </c>
      <c r="EI56" s="2848">
        <f>EI54+EI55</f>
        <v>11023</v>
      </c>
      <c r="EJ56" s="2848"/>
      <c r="EK56" s="2848"/>
      <c r="EL56" s="2848"/>
      <c r="EM56" s="2848"/>
      <c r="EN56" s="2848"/>
      <c r="EO56" s="2848"/>
      <c r="EP56" s="2848"/>
      <c r="EQ56" s="2848"/>
      <c r="ER56" s="2848"/>
      <c r="ES56" s="2848"/>
      <c r="ET56" s="2848"/>
      <c r="EU56" s="2848"/>
      <c r="EV56" s="2848"/>
      <c r="EW56" s="2848"/>
      <c r="EX56" s="2848"/>
      <c r="EY56" s="2848"/>
      <c r="EZ56" s="2848"/>
      <c r="FA56" s="2848">
        <f>FA54+FA55</f>
        <v>90931</v>
      </c>
      <c r="FB56" s="2848"/>
      <c r="FC56" s="2848"/>
      <c r="FD56" s="2848"/>
      <c r="FE56" s="2848"/>
      <c r="FF56" s="2848"/>
      <c r="FG56" s="2848"/>
      <c r="FH56" s="2848"/>
      <c r="FI56" s="2848"/>
      <c r="FJ56" s="2848"/>
      <c r="FK56" s="2848">
        <f>FK54+FK55</f>
        <v>188665</v>
      </c>
      <c r="FL56" s="2848"/>
      <c r="FM56" s="2848"/>
      <c r="FN56" s="2848"/>
      <c r="FO56" s="2848"/>
      <c r="FP56" s="2848"/>
      <c r="FQ56" s="2848"/>
      <c r="FR56" s="2848"/>
      <c r="FS56" s="2848"/>
      <c r="FT56" s="2848"/>
      <c r="FU56" s="2848"/>
      <c r="FV56" s="2848">
        <f>FV54+FV55</f>
        <v>62952</v>
      </c>
      <c r="FW56" s="2848"/>
      <c r="FX56" s="2848"/>
      <c r="FY56" s="2848"/>
      <c r="FZ56" s="2848"/>
      <c r="GA56" s="2848"/>
      <c r="GB56" s="2848"/>
      <c r="GC56" s="2848"/>
      <c r="GD56" s="2848"/>
      <c r="GE56" s="2848"/>
      <c r="GF56" s="2848"/>
      <c r="GG56" s="2848"/>
      <c r="GH56" s="2848"/>
      <c r="GI56" s="2848"/>
      <c r="GJ56" s="2848"/>
      <c r="GK56" s="2848"/>
      <c r="GL56" s="2848"/>
      <c r="GM56" s="2848"/>
      <c r="GN56" s="2848"/>
      <c r="GO56" s="2848"/>
      <c r="GP56" s="2848"/>
      <c r="GQ56" s="2848"/>
      <c r="GR56" s="2848"/>
      <c r="GS56" s="2848"/>
      <c r="GT56" s="2848"/>
      <c r="GU56" s="2848"/>
      <c r="GV56" s="2848"/>
      <c r="GW56" s="2848">
        <f>GW54+GW55</f>
        <v>62952</v>
      </c>
      <c r="GX56" s="2848"/>
      <c r="GY56" s="2848">
        <f>GY54+GY55</f>
        <v>0</v>
      </c>
      <c r="GZ56" s="2848"/>
      <c r="HA56" s="2848"/>
      <c r="HB56" s="2848"/>
      <c r="HC56" s="2848"/>
      <c r="HD56" s="2848"/>
      <c r="HE56" s="2848">
        <f>HE54+HE55</f>
        <v>490000</v>
      </c>
      <c r="HF56" s="2848"/>
      <c r="HG56" s="2848"/>
      <c r="HH56" s="2848"/>
      <c r="HI56" s="2848"/>
      <c r="HJ56" s="2848"/>
      <c r="HK56" s="2848"/>
      <c r="HL56" s="2848"/>
      <c r="HM56" s="2848"/>
      <c r="HN56" s="2848"/>
      <c r="HO56" s="2848"/>
      <c r="HP56" s="2848"/>
      <c r="HQ56" s="2848"/>
      <c r="HR56" s="2848"/>
      <c r="HS56" s="2848"/>
      <c r="HT56" s="2848"/>
      <c r="HU56" s="2848"/>
      <c r="HV56" s="2848"/>
      <c r="HW56" s="2848"/>
      <c r="HX56" s="2848"/>
      <c r="HY56" s="2848"/>
      <c r="HZ56" s="2848"/>
      <c r="IA56" s="2848"/>
      <c r="IB56" s="2848"/>
      <c r="IC56" s="2848"/>
      <c r="ID56" s="2848"/>
      <c r="IE56" s="2848"/>
      <c r="IF56" s="2848"/>
      <c r="IG56" s="2848"/>
      <c r="IH56" s="2848"/>
      <c r="II56" s="2848"/>
      <c r="IJ56" s="2848"/>
      <c r="IK56" s="2848"/>
      <c r="IL56" s="2848"/>
      <c r="IM56" s="2848"/>
      <c r="IN56" s="2848"/>
      <c r="IO56" s="2848">
        <f>IO54+IO55</f>
        <v>0</v>
      </c>
      <c r="IP56" s="2848"/>
      <c r="IQ56" s="3844">
        <f>IQ54+IQ55</f>
        <v>104753</v>
      </c>
      <c r="IR56" s="2848"/>
      <c r="IS56" s="2848"/>
      <c r="IT56" s="4167">
        <v>228329</v>
      </c>
      <c r="IU56" s="2848"/>
      <c r="IV56" s="2848"/>
      <c r="IW56" s="2848"/>
      <c r="IX56" s="2848"/>
      <c r="IY56" s="4167">
        <v>24423</v>
      </c>
      <c r="IZ56" s="2848"/>
      <c r="JA56" s="3817"/>
      <c r="JB56" s="4167">
        <v>0</v>
      </c>
      <c r="JC56" s="4245">
        <f>JC54+JC55</f>
        <v>12445</v>
      </c>
      <c r="JD56" s="2848"/>
      <c r="JE56" s="3817"/>
      <c r="JF56" s="3817"/>
      <c r="JG56" s="4168"/>
      <c r="JH56" s="1233"/>
      <c r="JI56" s="1393" t="s">
        <v>5625</v>
      </c>
      <c r="JJ56" s="1660" t="s">
        <v>6124</v>
      </c>
    </row>
    <row ht="78.75" r="57" spans="1:270" x14ac:dyDescent="0.2">
      <c r="A57" s="1128">
        <v>22</v>
      </c>
      <c r="B57" s="1557" t="str">
        <f si="1" t="shared"/>
        <v/>
      </c>
      <c r="C57" s="1559" t="s">
        <v>1592</v>
      </c>
      <c r="D57" s="1350" t="s">
        <v>5611</v>
      </c>
      <c r="E57" s="4164"/>
      <c r="F57" s="4164"/>
      <c r="G57" s="4164"/>
      <c r="H57" s="4164"/>
      <c r="I57" s="4164"/>
      <c r="J57" s="4164"/>
      <c r="K57" s="4164"/>
      <c r="L57" s="4164"/>
      <c r="M57" s="4164"/>
      <c r="N57" s="4164"/>
      <c r="O57" s="4164"/>
      <c r="P57" s="4164"/>
      <c r="Q57" s="4164"/>
      <c r="R57" s="4164"/>
      <c r="S57" s="4164"/>
      <c r="T57" s="4164"/>
      <c r="U57" s="4164"/>
      <c r="V57" s="4164"/>
      <c r="W57" s="4164"/>
      <c r="X57" s="4164"/>
      <c r="Y57" s="4164"/>
      <c r="Z57" s="4164"/>
      <c r="AA57" s="4164"/>
      <c r="AB57" s="4164"/>
      <c r="AC57" s="4164"/>
      <c r="AD57" s="2855"/>
      <c r="AE57" s="2855"/>
      <c r="AF57" s="2855"/>
      <c r="AG57" s="2855"/>
      <c r="AH57" s="2855"/>
      <c r="AI57" s="4164"/>
      <c r="AJ57" s="4164"/>
      <c r="AK57" s="4164"/>
      <c r="AL57" s="4164"/>
      <c r="AM57" s="2855">
        <f>MAX(0,(AM48+AM49)-(AM44+AM45+AM46))</f>
        <v>0</v>
      </c>
      <c r="AN57" s="4164"/>
      <c r="AO57" s="4164"/>
      <c r="AP57" s="4164"/>
      <c r="AQ57" s="4164"/>
      <c r="AR57" s="4164"/>
      <c r="AS57" s="4164"/>
      <c r="AT57" s="4164"/>
      <c r="AU57" s="4164"/>
      <c r="AV57" s="4164"/>
      <c r="AW57" s="4164"/>
      <c r="AX57" s="4164"/>
      <c r="AY57" s="4164"/>
      <c r="AZ57" s="4164"/>
      <c r="BA57" s="4164"/>
      <c r="BB57" s="2855">
        <f>MAX(0,(BB48+BB49)-(BB44+BB45+BB46))</f>
        <v>3621</v>
      </c>
      <c r="BC57" s="2855">
        <f>MAX(0,(BC48+BC49)-(BC44+BC45+BC46))</f>
        <v>0</v>
      </c>
      <c r="BD57" s="4164"/>
      <c r="BE57" s="4164"/>
      <c r="BF57" s="4164"/>
      <c r="BG57" s="4164"/>
      <c r="BH57" s="4164"/>
      <c r="BI57" s="4164"/>
      <c r="BJ57" s="4164"/>
      <c r="BK57" s="4164"/>
      <c r="BL57" s="4164"/>
      <c r="BM57" s="4164"/>
      <c r="BN57" s="4164"/>
      <c r="BO57" s="4164"/>
      <c r="BP57" s="4164"/>
      <c r="BQ57" s="4164"/>
      <c r="BR57" s="4164"/>
      <c r="BS57" s="4164"/>
      <c r="BT57" s="4164"/>
      <c r="BU57" s="4164"/>
      <c r="BV57" s="4164"/>
      <c r="BW57" s="4164"/>
      <c r="BX57" s="4164"/>
      <c r="BY57" s="4164"/>
      <c r="BZ57" s="4164"/>
      <c r="CA57" s="4164"/>
      <c r="CB57" s="4164"/>
      <c r="CC57" s="4164"/>
      <c r="CD57" s="4164"/>
      <c r="CE57" s="4164"/>
      <c r="CF57" s="4164"/>
      <c r="CG57" s="4164"/>
      <c r="CH57" s="4164"/>
      <c r="CI57" s="4164"/>
      <c r="CJ57" s="4164"/>
      <c r="CK57" s="4164"/>
      <c r="CL57" s="4164"/>
      <c r="CM57" s="4164"/>
      <c r="CN57" s="4164"/>
      <c r="CO57" s="4164"/>
      <c r="CP57" s="2855">
        <f>MAX(0,(CP48+CP49)-(CP44+CP45+CP46))</f>
        <v>0</v>
      </c>
      <c r="CQ57" s="4164"/>
      <c r="CR57" s="4164"/>
      <c r="CS57" s="4164"/>
      <c r="CT57" s="4164"/>
      <c r="CU57" s="4164"/>
      <c r="CV57" s="4164"/>
      <c r="CW57" s="4164"/>
      <c r="CX57" s="4164"/>
      <c r="CY57" s="2855">
        <f>MAX(0,(CY48+CY49)-(CY44+CY45+CY46))</f>
        <v>0</v>
      </c>
      <c r="CZ57" s="2855">
        <f>MAX(0,(CZ48+CZ49)-(CZ44+CZ45+CZ46))</f>
        <v>0</v>
      </c>
      <c r="DA57" s="2855">
        <f>MAX(0,(DA48+DA49)-(DA44+DA45+DA46))</f>
        <v>0</v>
      </c>
      <c r="DB57" s="4164"/>
      <c r="DC57" s="4164"/>
      <c r="DD57" s="4164"/>
      <c r="DE57" s="4164"/>
      <c r="DF57" s="4164"/>
      <c r="DG57" s="4164"/>
      <c r="DH57" s="2855">
        <f>MAX(0,(DH48+DH49)-(DH44+DH45+DH46))</f>
        <v>5995</v>
      </c>
      <c r="DI57" s="4164"/>
      <c r="DJ57" s="2855">
        <f>MAX(0,(DJ48+DJ49)-(DJ44+DJ45+DJ46))</f>
        <v>0</v>
      </c>
      <c r="DK57" s="4164"/>
      <c r="DL57" s="4164"/>
      <c r="DM57" s="2855">
        <f>MAX(0,(DM48+DM49)-(DM44+DM45+DM46))</f>
        <v>0</v>
      </c>
      <c r="DN57" s="4164"/>
      <c r="DO57" s="4164"/>
      <c r="DP57" s="4164"/>
      <c r="DQ57" s="4164"/>
      <c r="DR57" s="4164"/>
      <c r="DS57" s="4164"/>
      <c r="DT57" s="4164"/>
      <c r="DU57" s="4164"/>
      <c r="DV57" s="4164"/>
      <c r="DW57" s="4164"/>
      <c r="DX57" s="4164"/>
      <c r="DY57" s="4164"/>
      <c r="DZ57" s="4164"/>
      <c r="EA57" s="4164"/>
      <c r="EB57" s="4164"/>
      <c r="EC57" s="4164"/>
      <c r="ED57" s="4164"/>
      <c r="EE57" s="4164"/>
      <c r="EF57" s="4164"/>
      <c r="EG57" s="4164"/>
      <c r="EH57" s="2855">
        <f>MAX(0,(EH48+EH49)-(EH44+EH45+EH46))</f>
        <v>0</v>
      </c>
      <c r="EI57" s="2855">
        <f>MAX(0,(EI48+EI49)-(EI44+EI45+EI46))</f>
        <v>0</v>
      </c>
      <c r="EJ57" s="4164"/>
      <c r="EK57" s="4164"/>
      <c r="EL57" s="4164"/>
      <c r="EM57" s="4164"/>
      <c r="EN57" s="4164"/>
      <c r="EO57" s="4164"/>
      <c r="EP57" s="4164"/>
      <c r="EQ57" s="4164"/>
      <c r="ER57" s="4164"/>
      <c r="ES57" s="4164"/>
      <c r="ET57" s="4164"/>
      <c r="EU57" s="4164"/>
      <c r="EV57" s="4164"/>
      <c r="EW57" s="4164"/>
      <c r="EX57" s="4164"/>
      <c r="EY57" s="4164"/>
      <c r="EZ57" s="4164"/>
      <c r="FA57" s="2855">
        <f>MAX(0,(FA48+FA49)-(FA44+FA45+FA46))</f>
        <v>0</v>
      </c>
      <c r="FB57" s="4164"/>
      <c r="FC57" s="4164"/>
      <c r="FD57" s="4164"/>
      <c r="FE57" s="4164"/>
      <c r="FF57" s="4164"/>
      <c r="FG57" s="4164"/>
      <c r="FH57" s="4164"/>
      <c r="FI57" s="4164"/>
      <c r="FJ57" s="4164"/>
      <c r="FK57" s="2855">
        <f>MAX(0,(FK48+FK49)-(FK44+FK45+FK46))</f>
        <v>0</v>
      </c>
      <c r="FL57" s="4164"/>
      <c r="FM57" s="4164"/>
      <c r="FN57" s="4164"/>
      <c r="FO57" s="4164"/>
      <c r="FP57" s="4164"/>
      <c r="FQ57" s="4164"/>
      <c r="FR57" s="4164"/>
      <c r="FS57" s="4164"/>
      <c r="FT57" s="4164"/>
      <c r="FU57" s="4164"/>
      <c r="FV57" s="2855">
        <f>MAX(0,(FV48+FV49)-(FV44+FV45+FV46))</f>
        <v>0</v>
      </c>
      <c r="FW57" s="4164"/>
      <c r="FX57" s="4164"/>
      <c r="FY57" s="4164"/>
      <c r="FZ57" s="4164"/>
      <c r="GA57" s="4164"/>
      <c r="GB57" s="4164"/>
      <c r="GC57" s="4164"/>
      <c r="GD57" s="4164"/>
      <c r="GE57" s="4164"/>
      <c r="GF57" s="4164"/>
      <c r="GG57" s="4164"/>
      <c r="GH57" s="4164"/>
      <c r="GI57" s="4164"/>
      <c r="GJ57" s="4164"/>
      <c r="GK57" s="4164"/>
      <c r="GL57" s="4164"/>
      <c r="GM57" s="4164"/>
      <c r="GN57" s="4164"/>
      <c r="GO57" s="4164"/>
      <c r="GP57" s="4164"/>
      <c r="GQ57" s="4164"/>
      <c r="GR57" s="4164"/>
      <c r="GS57" s="4164"/>
      <c r="GT57" s="4164"/>
      <c r="GU57" s="4164"/>
      <c r="GV57" s="4164"/>
      <c r="GW57" s="2855">
        <f>MAX(0,(GW48+GW49)-(GW44+GW45+GW46))</f>
        <v>0</v>
      </c>
      <c r="GX57" s="4164"/>
      <c r="GY57" s="2855">
        <f>MAX(0,(GY48+GY49)-(GY44+GY45+GY46))</f>
        <v>53000</v>
      </c>
      <c r="GZ57" s="4164"/>
      <c r="HA57" s="4164"/>
      <c r="HB57" s="4164"/>
      <c r="HC57" s="4164"/>
      <c r="HD57" s="4164"/>
      <c r="HE57" s="2855">
        <f>MAX(0,(HE48+HE49)-(HE44+HE45+HE46))</f>
        <v>0</v>
      </c>
      <c r="HF57" s="4164"/>
      <c r="HG57" s="4164"/>
      <c r="HH57" s="4164"/>
      <c r="HI57" s="4164"/>
      <c r="HJ57" s="4164"/>
      <c r="HK57" s="4164"/>
      <c r="HL57" s="4164"/>
      <c r="HM57" s="4164"/>
      <c r="HN57" s="4164"/>
      <c r="HO57" s="4164"/>
      <c r="HP57" s="4164"/>
      <c r="HQ57" s="4164"/>
      <c r="HR57" s="4164"/>
      <c r="HS57" s="4164"/>
      <c r="HT57" s="4164"/>
      <c r="HU57" s="4164"/>
      <c r="HV57" s="4164"/>
      <c r="HW57" s="4164"/>
      <c r="HX57" s="4164"/>
      <c r="HY57" s="4164"/>
      <c r="HZ57" s="4164"/>
      <c r="IA57" s="4164"/>
      <c r="IB57" s="4164"/>
      <c r="IC57" s="4164"/>
      <c r="ID57" s="4164"/>
      <c r="IE57" s="4164"/>
      <c r="IF57" s="4164"/>
      <c r="IG57" s="4164"/>
      <c r="IH57" s="4164"/>
      <c r="II57" s="4164"/>
      <c r="IJ57" s="4164"/>
      <c r="IK57" s="4164"/>
      <c r="IL57" s="4164"/>
      <c r="IM57" s="4164"/>
      <c r="IN57" s="4164"/>
      <c r="IO57" s="2855">
        <f>MAX(0,(IO48+IO49)-(IO44+IO45+IO46))</f>
        <v>70250</v>
      </c>
      <c r="IP57" s="4164"/>
      <c r="IQ57" s="3840">
        <f>MAX(0,(IQ48+IQ49)-(IQ44+IQ45+IQ46))</f>
        <v>0</v>
      </c>
      <c r="IR57" s="4164"/>
      <c r="IS57" s="4164"/>
      <c r="IT57" s="4165">
        <v>0</v>
      </c>
      <c r="IU57" s="4164"/>
      <c r="IV57" s="4164"/>
      <c r="IW57" s="4164"/>
      <c r="IX57" s="4164"/>
      <c r="IY57" s="4165">
        <v>0</v>
      </c>
      <c r="IZ57" s="4164"/>
      <c r="JA57" s="3816"/>
      <c r="JB57" s="4315">
        <v>1</v>
      </c>
      <c r="JC57" s="4252">
        <f>MAX(0,(JC48+JC49)-(JC44+JC45+JC46))</f>
        <v>0</v>
      </c>
      <c r="JD57" s="2855"/>
      <c r="JE57" s="3816"/>
      <c r="JF57" s="3816"/>
      <c r="JG57" s="4166"/>
      <c r="JH57" s="1233"/>
      <c r="JI57" s="1393" t="s">
        <v>5626</v>
      </c>
      <c r="JJ57" s="1660" t="s">
        <v>6124</v>
      </c>
    </row>
    <row ht="56.25" r="58" spans="1:270" x14ac:dyDescent="0.2">
      <c r="A58" s="1128">
        <v>23</v>
      </c>
      <c r="B58" s="1557" t="str">
        <f si="1" t="shared"/>
        <v/>
      </c>
      <c r="C58" s="1559" t="s">
        <v>1593</v>
      </c>
      <c r="D58" s="1350" t="s">
        <v>5612</v>
      </c>
      <c r="E58" s="2847"/>
      <c r="F58" s="2847"/>
      <c r="G58" s="2847"/>
      <c r="H58" s="2847"/>
      <c r="I58" s="2847"/>
      <c r="J58" s="2847"/>
      <c r="K58" s="2847"/>
      <c r="L58" s="2847"/>
      <c r="M58" s="2847"/>
      <c r="N58" s="2847"/>
      <c r="O58" s="2847"/>
      <c r="P58" s="2847"/>
      <c r="Q58" s="2847"/>
      <c r="R58" s="2847"/>
      <c r="S58" s="2847"/>
      <c r="T58" s="2847"/>
      <c r="U58" s="2847"/>
      <c r="V58" s="2847"/>
      <c r="W58" s="2847"/>
      <c r="X58" s="2847"/>
      <c r="Y58" s="2847"/>
      <c r="Z58" s="2847"/>
      <c r="AA58" s="2847"/>
      <c r="AB58" s="2847"/>
      <c r="AC58" s="2847"/>
      <c r="AD58" s="2847"/>
      <c r="AE58" s="2847"/>
      <c r="AF58" s="2847"/>
      <c r="AG58" s="2847"/>
      <c r="AH58" s="2847"/>
      <c r="AI58" s="2847"/>
      <c r="AJ58" s="2847"/>
      <c r="AK58" s="2847"/>
      <c r="AL58" s="2847"/>
      <c r="AM58" s="2847"/>
      <c r="AN58" s="2847"/>
      <c r="AO58" s="2847"/>
      <c r="AP58" s="2847"/>
      <c r="AQ58" s="2847"/>
      <c r="AR58" s="2847"/>
      <c r="AS58" s="2847"/>
      <c r="AT58" s="2847"/>
      <c r="AU58" s="2847"/>
      <c r="AV58" s="2847"/>
      <c r="AW58" s="2847"/>
      <c r="AX58" s="2847"/>
      <c r="AY58" s="2847"/>
      <c r="AZ58" s="2847"/>
      <c r="BA58" s="2847"/>
      <c r="BB58" s="2847">
        <v>3621</v>
      </c>
      <c r="BC58" s="2847"/>
      <c r="BD58" s="2847"/>
      <c r="BE58" s="2847"/>
      <c r="BF58" s="2847"/>
      <c r="BG58" s="2847"/>
      <c r="BH58" s="2847"/>
      <c r="BI58" s="2847"/>
      <c r="BJ58" s="2847"/>
      <c r="BK58" s="2847"/>
      <c r="BL58" s="2847"/>
      <c r="BM58" s="2847"/>
      <c r="BN58" s="2847"/>
      <c r="BO58" s="2847"/>
      <c r="BP58" s="2847"/>
      <c r="BQ58" s="2847"/>
      <c r="BR58" s="2847"/>
      <c r="BS58" s="2847"/>
      <c r="BT58" s="2847"/>
      <c r="BU58" s="2847"/>
      <c r="BV58" s="2847"/>
      <c r="BW58" s="2847"/>
      <c r="BX58" s="2847"/>
      <c r="BY58" s="2847"/>
      <c r="BZ58" s="2847"/>
      <c r="CA58" s="2847"/>
      <c r="CB58" s="2847"/>
      <c r="CC58" s="2847"/>
      <c r="CD58" s="2847"/>
      <c r="CE58" s="2847"/>
      <c r="CF58" s="2847"/>
      <c r="CG58" s="2847"/>
      <c r="CH58" s="2847"/>
      <c r="CI58" s="2847"/>
      <c r="CJ58" s="2847"/>
      <c r="CK58" s="2847"/>
      <c r="CL58" s="2847"/>
      <c r="CM58" s="2847"/>
      <c r="CN58" s="2847"/>
      <c r="CO58" s="2847"/>
      <c r="CP58" s="2847"/>
      <c r="CQ58" s="2847"/>
      <c r="CR58" s="2847"/>
      <c r="CS58" s="2847"/>
      <c r="CT58" s="2847"/>
      <c r="CU58" s="2847"/>
      <c r="CV58" s="2847"/>
      <c r="CW58" s="2847"/>
      <c r="CX58" s="2847"/>
      <c r="CY58" s="2847"/>
      <c r="CZ58" s="2847"/>
      <c r="DA58" s="2847"/>
      <c r="DB58" s="2847"/>
      <c r="DC58" s="2847"/>
      <c r="DD58" s="2847"/>
      <c r="DE58" s="2847"/>
      <c r="DF58" s="2847"/>
      <c r="DG58" s="2847"/>
      <c r="DH58" s="2847"/>
      <c r="DI58" s="2847"/>
      <c r="DJ58" s="2847"/>
      <c r="DK58" s="2847"/>
      <c r="DL58" s="2847"/>
      <c r="DM58" s="2847"/>
      <c r="DN58" s="2847"/>
      <c r="DO58" s="2847"/>
      <c r="DP58" s="2847"/>
      <c r="DQ58" s="2847"/>
      <c r="DR58" s="2847"/>
      <c r="DS58" s="2847"/>
      <c r="DT58" s="2847"/>
      <c r="DU58" s="2847"/>
      <c r="DV58" s="2847"/>
      <c r="DW58" s="2847"/>
      <c r="DX58" s="2847"/>
      <c r="DY58" s="2847"/>
      <c r="DZ58" s="2847"/>
      <c r="EA58" s="2847"/>
      <c r="EB58" s="2847"/>
      <c r="EC58" s="2847"/>
      <c r="ED58" s="2847"/>
      <c r="EE58" s="2847"/>
      <c r="EF58" s="2847"/>
      <c r="EG58" s="2847"/>
      <c r="EH58" s="2847"/>
      <c r="EI58" s="2847"/>
      <c r="EJ58" s="2847"/>
      <c r="EK58" s="2847"/>
      <c r="EL58" s="2847"/>
      <c r="EM58" s="2847"/>
      <c r="EN58" s="2847"/>
      <c r="EO58" s="2847"/>
      <c r="EP58" s="2847"/>
      <c r="EQ58" s="2847"/>
      <c r="ER58" s="2847"/>
      <c r="ES58" s="2847"/>
      <c r="ET58" s="2847"/>
      <c r="EU58" s="2847"/>
      <c r="EV58" s="2847"/>
      <c r="EW58" s="2847"/>
      <c r="EX58" s="2847"/>
      <c r="EY58" s="2847"/>
      <c r="EZ58" s="2847"/>
      <c r="FA58" s="2847"/>
      <c r="FB58" s="2847"/>
      <c r="FC58" s="2847"/>
      <c r="FD58" s="2847"/>
      <c r="FE58" s="2847"/>
      <c r="FF58" s="2847"/>
      <c r="FG58" s="2847"/>
      <c r="FH58" s="2847"/>
      <c r="FI58" s="2847"/>
      <c r="FJ58" s="2847"/>
      <c r="FK58" s="2847"/>
      <c r="FL58" s="2847"/>
      <c r="FM58" s="2847"/>
      <c r="FN58" s="2847"/>
      <c r="FO58" s="2847"/>
      <c r="FP58" s="2847"/>
      <c r="FQ58" s="2847"/>
      <c r="FR58" s="2847"/>
      <c r="FS58" s="2847"/>
      <c r="FT58" s="2847"/>
      <c r="FU58" s="2847"/>
      <c r="FV58" s="2847"/>
      <c r="FW58" s="2847"/>
      <c r="FX58" s="2847"/>
      <c r="FY58" s="2847"/>
      <c r="FZ58" s="2847"/>
      <c r="GA58" s="2847"/>
      <c r="GB58" s="2847"/>
      <c r="GC58" s="2847"/>
      <c r="GD58" s="2847"/>
      <c r="GE58" s="2847"/>
      <c r="GF58" s="2847"/>
      <c r="GG58" s="2847"/>
      <c r="GH58" s="2847"/>
      <c r="GI58" s="2847"/>
      <c r="GJ58" s="2847"/>
      <c r="GK58" s="2847"/>
      <c r="GL58" s="2847"/>
      <c r="GM58" s="2847"/>
      <c r="GN58" s="2847"/>
      <c r="GO58" s="2847"/>
      <c r="GP58" s="2847"/>
      <c r="GQ58" s="2847"/>
      <c r="GR58" s="2847"/>
      <c r="GS58" s="2847"/>
      <c r="GT58" s="2847"/>
      <c r="GU58" s="2847"/>
      <c r="GV58" s="2847"/>
      <c r="GW58" s="2847"/>
      <c r="GX58" s="2847"/>
      <c r="GY58" s="2847">
        <v>53000</v>
      </c>
      <c r="GZ58" s="2847"/>
      <c r="HA58" s="2847"/>
      <c r="HB58" s="2847"/>
      <c r="HC58" s="2847"/>
      <c r="HD58" s="2847"/>
      <c r="HE58" s="2847"/>
      <c r="HF58" s="2847"/>
      <c r="HG58" s="2847"/>
      <c r="HH58" s="2847"/>
      <c r="HI58" s="2847"/>
      <c r="HJ58" s="2847"/>
      <c r="HK58" s="2847"/>
      <c r="HL58" s="2847"/>
      <c r="HM58" s="2847"/>
      <c r="HN58" s="2847"/>
      <c r="HO58" s="2847"/>
      <c r="HP58" s="2847"/>
      <c r="HQ58" s="2847"/>
      <c r="HR58" s="2847"/>
      <c r="HS58" s="2847"/>
      <c r="HT58" s="2847"/>
      <c r="HU58" s="2847"/>
      <c r="HV58" s="2847"/>
      <c r="HW58" s="2847"/>
      <c r="HX58" s="2847"/>
      <c r="HY58" s="2847"/>
      <c r="HZ58" s="2847"/>
      <c r="IA58" s="2847"/>
      <c r="IB58" s="2847"/>
      <c r="IC58" s="2847"/>
      <c r="ID58" s="2847"/>
      <c r="IE58" s="2847"/>
      <c r="IF58" s="2847"/>
      <c r="IG58" s="2847"/>
      <c r="IH58" s="2847"/>
      <c r="II58" s="2847"/>
      <c r="IJ58" s="2847"/>
      <c r="IK58" s="2847"/>
      <c r="IL58" s="2847"/>
      <c r="IM58" s="2847"/>
      <c r="IN58" s="2847"/>
      <c r="IO58" s="2847">
        <v>50000</v>
      </c>
      <c r="IP58" s="2847"/>
      <c r="IQ58" s="3841"/>
      <c r="IR58" s="2847"/>
      <c r="IS58" s="2847"/>
      <c r="IT58" s="3987"/>
      <c r="IU58" s="2847"/>
      <c r="IV58" s="2847"/>
      <c r="IW58" s="2847"/>
      <c r="IX58" s="2847"/>
      <c r="IY58" s="4162"/>
      <c r="IZ58" s="2847"/>
      <c r="JA58" s="3815"/>
      <c r="JB58" s="4162"/>
      <c r="JC58" s="4243"/>
      <c r="JD58" s="2847"/>
      <c r="JE58" s="3815"/>
      <c r="JF58" s="3815"/>
      <c r="JG58" s="4163"/>
      <c r="JH58" s="1233"/>
      <c r="JI58" s="1393" t="s">
        <v>5627</v>
      </c>
      <c r="JJ58" s="1660" t="s">
        <v>6108</v>
      </c>
    </row>
    <row ht="33.75" r="59" spans="1:270" x14ac:dyDescent="0.2">
      <c r="A59" s="1128">
        <v>24</v>
      </c>
      <c r="B59" s="1557" t="str">
        <f si="1" t="shared"/>
        <v/>
      </c>
      <c r="C59" s="1559" t="s">
        <v>2446</v>
      </c>
      <c r="D59" s="1350" t="s">
        <v>5471</v>
      </c>
      <c r="E59" s="4158"/>
      <c r="F59" s="4158"/>
      <c r="G59" s="4158"/>
      <c r="H59" s="4158"/>
      <c r="I59" s="4158"/>
      <c r="J59" s="4158"/>
      <c r="K59" s="4158"/>
      <c r="L59" s="4158"/>
      <c r="M59" s="4158"/>
      <c r="N59" s="4158"/>
      <c r="O59" s="4158"/>
      <c r="P59" s="4158"/>
      <c r="Q59" s="4158"/>
      <c r="R59" s="4158"/>
      <c r="S59" s="4158"/>
      <c r="T59" s="4158"/>
      <c r="U59" s="4158"/>
      <c r="V59" s="4158"/>
      <c r="W59" s="4158"/>
      <c r="X59" s="4158"/>
      <c r="Y59" s="4158"/>
      <c r="Z59" s="4158"/>
      <c r="AA59" s="4158"/>
      <c r="AB59" s="4158"/>
      <c r="AC59" s="4158"/>
      <c r="AD59" s="2854"/>
      <c r="AE59" s="2854"/>
      <c r="AF59" s="2854"/>
      <c r="AG59" s="2854"/>
      <c r="AH59" s="2854"/>
      <c r="AI59" s="4158"/>
      <c r="AJ59" s="4158"/>
      <c r="AK59" s="4158"/>
      <c r="AL59" s="4158"/>
      <c r="AM59" s="2854"/>
      <c r="AN59" s="4158"/>
      <c r="AO59" s="4158"/>
      <c r="AP59" s="4158"/>
      <c r="AQ59" s="4158"/>
      <c r="AR59" s="4158"/>
      <c r="AS59" s="4158"/>
      <c r="AT59" s="4158"/>
      <c r="AU59" s="4158"/>
      <c r="AV59" s="4158"/>
      <c r="AW59" s="4158"/>
      <c r="AX59" s="4158"/>
      <c r="AY59" s="4158"/>
      <c r="AZ59" s="4158"/>
      <c r="BA59" s="4158"/>
      <c r="BB59" s="2854"/>
      <c r="BC59" s="2854"/>
      <c r="BD59" s="4158"/>
      <c r="BE59" s="4158"/>
      <c r="BF59" s="4158"/>
      <c r="BG59" s="4158"/>
      <c r="BH59" s="4158"/>
      <c r="BI59" s="4158"/>
      <c r="BJ59" s="4158"/>
      <c r="BK59" s="4158"/>
      <c r="BL59" s="4158"/>
      <c r="BM59" s="4158"/>
      <c r="BN59" s="4158"/>
      <c r="BO59" s="4158"/>
      <c r="BP59" s="4158"/>
      <c r="BQ59" s="4158"/>
      <c r="BR59" s="4158"/>
      <c r="BS59" s="4158"/>
      <c r="BT59" s="4158"/>
      <c r="BU59" s="4158"/>
      <c r="BV59" s="4158"/>
      <c r="BW59" s="4158"/>
      <c r="BX59" s="4158"/>
      <c r="BY59" s="4158"/>
      <c r="BZ59" s="4158"/>
      <c r="CA59" s="4158"/>
      <c r="CB59" s="4158"/>
      <c r="CC59" s="4158"/>
      <c r="CD59" s="4158"/>
      <c r="CE59" s="4158"/>
      <c r="CF59" s="4158"/>
      <c r="CG59" s="4158"/>
      <c r="CH59" s="4158"/>
      <c r="CI59" s="4158"/>
      <c r="CJ59" s="4158"/>
      <c r="CK59" s="4158"/>
      <c r="CL59" s="4158"/>
      <c r="CM59" s="4158"/>
      <c r="CN59" s="4158"/>
      <c r="CO59" s="4158"/>
      <c r="CP59" s="2854"/>
      <c r="CQ59" s="4158"/>
      <c r="CR59" s="4158"/>
      <c r="CS59" s="4158"/>
      <c r="CT59" s="4158"/>
      <c r="CU59" s="4158"/>
      <c r="CV59" s="4158"/>
      <c r="CW59" s="4158"/>
      <c r="CX59" s="4158"/>
      <c r="CY59" s="2854"/>
      <c r="CZ59" s="2854"/>
      <c r="DA59" s="2854"/>
      <c r="DB59" s="4158"/>
      <c r="DC59" s="4158"/>
      <c r="DD59" s="4158"/>
      <c r="DE59" s="4158"/>
      <c r="DF59" s="4158"/>
      <c r="DG59" s="4158"/>
      <c r="DH59" s="2854"/>
      <c r="DI59" s="4158"/>
      <c r="DJ59" s="2854"/>
      <c r="DK59" s="4158"/>
      <c r="DL59" s="4158"/>
      <c r="DM59" s="2854"/>
      <c r="DN59" s="4158"/>
      <c r="DO59" s="4158"/>
      <c r="DP59" s="4158"/>
      <c r="DQ59" s="4158"/>
      <c r="DR59" s="4158"/>
      <c r="DS59" s="4158"/>
      <c r="DT59" s="4158"/>
      <c r="DU59" s="4158"/>
      <c r="DV59" s="4158"/>
      <c r="DW59" s="4158"/>
      <c r="DX59" s="4158"/>
      <c r="DY59" s="4158"/>
      <c r="DZ59" s="4158"/>
      <c r="EA59" s="4158"/>
      <c r="EB59" s="4158"/>
      <c r="EC59" s="4158"/>
      <c r="ED59" s="4158"/>
      <c r="EE59" s="4158"/>
      <c r="EF59" s="4158"/>
      <c r="EG59" s="4158"/>
      <c r="EH59" s="2854"/>
      <c r="EI59" s="2854"/>
      <c r="EJ59" s="4158"/>
      <c r="EK59" s="4158"/>
      <c r="EL59" s="4158"/>
      <c r="EM59" s="4158"/>
      <c r="EN59" s="4158"/>
      <c r="EO59" s="4158"/>
      <c r="EP59" s="4158"/>
      <c r="EQ59" s="4158"/>
      <c r="ER59" s="4158"/>
      <c r="ES59" s="4158"/>
      <c r="ET59" s="4158"/>
      <c r="EU59" s="4158"/>
      <c r="EV59" s="4158"/>
      <c r="EW59" s="4158"/>
      <c r="EX59" s="4158"/>
      <c r="EY59" s="4158"/>
      <c r="EZ59" s="4158"/>
      <c r="FA59" s="2854"/>
      <c r="FB59" s="4158"/>
      <c r="FC59" s="4158"/>
      <c r="FD59" s="4158"/>
      <c r="FE59" s="4158"/>
      <c r="FF59" s="4158"/>
      <c r="FG59" s="4158"/>
      <c r="FH59" s="4158"/>
      <c r="FI59" s="4158"/>
      <c r="FJ59" s="4158"/>
      <c r="FK59" s="2854"/>
      <c r="FL59" s="4158"/>
      <c r="FM59" s="4158"/>
      <c r="FN59" s="4158"/>
      <c r="FO59" s="4158"/>
      <c r="FP59" s="4158"/>
      <c r="FQ59" s="4158"/>
      <c r="FR59" s="4158"/>
      <c r="FS59" s="4158"/>
      <c r="FT59" s="4158"/>
      <c r="FU59" s="4158"/>
      <c r="FV59" s="2854"/>
      <c r="FW59" s="4158"/>
      <c r="FX59" s="4158"/>
      <c r="FY59" s="4158"/>
      <c r="FZ59" s="4158"/>
      <c r="GA59" s="4158"/>
      <c r="GB59" s="4158"/>
      <c r="GC59" s="4158"/>
      <c r="GD59" s="4158"/>
      <c r="GE59" s="4158"/>
      <c r="GF59" s="4158"/>
      <c r="GG59" s="4158"/>
      <c r="GH59" s="4158"/>
      <c r="GI59" s="4158"/>
      <c r="GJ59" s="4158"/>
      <c r="GK59" s="4158"/>
      <c r="GL59" s="4158"/>
      <c r="GM59" s="4158"/>
      <c r="GN59" s="4158"/>
      <c r="GO59" s="4158"/>
      <c r="GP59" s="4158"/>
      <c r="GQ59" s="4158"/>
      <c r="GR59" s="4158"/>
      <c r="GS59" s="4158"/>
      <c r="GT59" s="4158"/>
      <c r="GU59" s="4158"/>
      <c r="GV59" s="4158"/>
      <c r="GW59" s="2854"/>
      <c r="GX59" s="4158"/>
      <c r="GY59" s="2854"/>
      <c r="GZ59" s="4158"/>
      <c r="HA59" s="4158"/>
      <c r="HB59" s="4158"/>
      <c r="HC59" s="4158"/>
      <c r="HD59" s="4158"/>
      <c r="HE59" s="2854"/>
      <c r="HF59" s="4158"/>
      <c r="HG59" s="4158"/>
      <c r="HH59" s="4158"/>
      <c r="HI59" s="4158"/>
      <c r="HJ59" s="4158"/>
      <c r="HK59" s="4158"/>
      <c r="HL59" s="4158"/>
      <c r="HM59" s="4158"/>
      <c r="HN59" s="4158"/>
      <c r="HO59" s="4158"/>
      <c r="HP59" s="4158"/>
      <c r="HQ59" s="4158"/>
      <c r="HR59" s="4158"/>
      <c r="HS59" s="4158"/>
      <c r="HT59" s="4158"/>
      <c r="HU59" s="4158"/>
      <c r="HV59" s="4158"/>
      <c r="HW59" s="4158"/>
      <c r="HX59" s="4158"/>
      <c r="HY59" s="4158"/>
      <c r="HZ59" s="4158"/>
      <c r="IA59" s="4158"/>
      <c r="IB59" s="4158"/>
      <c r="IC59" s="4158"/>
      <c r="ID59" s="4158"/>
      <c r="IE59" s="4158"/>
      <c r="IF59" s="4158"/>
      <c r="IG59" s="4158"/>
      <c r="IH59" s="4158"/>
      <c r="II59" s="4158"/>
      <c r="IJ59" s="4158"/>
      <c r="IK59" s="4158"/>
      <c r="IL59" s="4158"/>
      <c r="IM59" s="4158"/>
      <c r="IN59" s="4158"/>
      <c r="IO59" s="2854"/>
      <c r="IP59" s="4158"/>
      <c r="IQ59" s="4159"/>
      <c r="IR59" s="4158"/>
      <c r="IS59" s="4158"/>
      <c r="IT59" s="3987"/>
      <c r="IU59" s="4158"/>
      <c r="IV59" s="4158"/>
      <c r="IW59" s="4158"/>
      <c r="IX59" s="4158"/>
      <c r="IY59" s="4160"/>
      <c r="IZ59" s="4158"/>
      <c r="JA59" s="3814"/>
      <c r="JB59" s="4314"/>
      <c r="JC59" s="4242"/>
      <c r="JD59" s="2854"/>
      <c r="JE59" s="3814"/>
      <c r="JF59" s="3814"/>
      <c r="JG59" s="4161"/>
      <c r="JH59" s="1233"/>
      <c r="JI59" s="1393" t="s">
        <v>5628</v>
      </c>
      <c r="JJ59" s="1660" t="s">
        <v>6108</v>
      </c>
    </row>
    <row ht="12.75" r="60" spans="1:270" x14ac:dyDescent="0.2">
      <c r="A60" s="1128">
        <v>25</v>
      </c>
      <c r="B60" s="1557" t="str">
        <f si="1" t="shared"/>
        <v/>
      </c>
      <c r="C60" s="1559" t="s">
        <v>852</v>
      </c>
      <c r="D60" s="1350" t="s">
        <v>5613</v>
      </c>
      <c r="E60" s="4158"/>
      <c r="F60" s="4158"/>
      <c r="G60" s="4158"/>
      <c r="H60" s="4158"/>
      <c r="I60" s="4158"/>
      <c r="J60" s="4158"/>
      <c r="K60" s="4158"/>
      <c r="L60" s="4158"/>
      <c r="M60" s="4158"/>
      <c r="N60" s="4158"/>
      <c r="O60" s="4158"/>
      <c r="P60" s="4158"/>
      <c r="Q60" s="4158"/>
      <c r="R60" s="4158"/>
      <c r="S60" s="4158"/>
      <c r="T60" s="4158"/>
      <c r="U60" s="4158"/>
      <c r="V60" s="4158"/>
      <c r="W60" s="4158"/>
      <c r="X60" s="4158"/>
      <c r="Y60" s="4158"/>
      <c r="Z60" s="4158"/>
      <c r="AA60" s="4158"/>
      <c r="AB60" s="4158"/>
      <c r="AC60" s="4158"/>
      <c r="AD60" s="2854"/>
      <c r="AE60" s="2854"/>
      <c r="AF60" s="2854"/>
      <c r="AG60" s="2854"/>
      <c r="AH60" s="2854"/>
      <c r="AI60" s="4158"/>
      <c r="AJ60" s="4158"/>
      <c r="AK60" s="4158"/>
      <c r="AL60" s="4158"/>
      <c r="AM60" s="2854"/>
      <c r="AN60" s="4158"/>
      <c r="AO60" s="4158"/>
      <c r="AP60" s="4158"/>
      <c r="AQ60" s="4158"/>
      <c r="AR60" s="4158"/>
      <c r="AS60" s="4158"/>
      <c r="AT60" s="4158"/>
      <c r="AU60" s="4158"/>
      <c r="AV60" s="4158"/>
      <c r="AW60" s="4158"/>
      <c r="AX60" s="4158"/>
      <c r="AY60" s="4158"/>
      <c r="AZ60" s="4158"/>
      <c r="BA60" s="4158"/>
      <c r="BB60" s="2854"/>
      <c r="BC60" s="2854"/>
      <c r="BD60" s="4158"/>
      <c r="BE60" s="4158"/>
      <c r="BF60" s="4158"/>
      <c r="BG60" s="4158"/>
      <c r="BH60" s="4158"/>
      <c r="BI60" s="4158"/>
      <c r="BJ60" s="4158"/>
      <c r="BK60" s="4158"/>
      <c r="BL60" s="4158"/>
      <c r="BM60" s="4158"/>
      <c r="BN60" s="4158"/>
      <c r="BO60" s="4158"/>
      <c r="BP60" s="4158"/>
      <c r="BQ60" s="4158"/>
      <c r="BR60" s="4158"/>
      <c r="BS60" s="4158"/>
      <c r="BT60" s="4158"/>
      <c r="BU60" s="4158"/>
      <c r="BV60" s="4158"/>
      <c r="BW60" s="4158"/>
      <c r="BX60" s="4158"/>
      <c r="BY60" s="4158"/>
      <c r="BZ60" s="4158"/>
      <c r="CA60" s="4158"/>
      <c r="CB60" s="4158"/>
      <c r="CC60" s="4158"/>
      <c r="CD60" s="4158"/>
      <c r="CE60" s="4158"/>
      <c r="CF60" s="4158"/>
      <c r="CG60" s="4158"/>
      <c r="CH60" s="4158"/>
      <c r="CI60" s="4158"/>
      <c r="CJ60" s="4158"/>
      <c r="CK60" s="4158"/>
      <c r="CL60" s="4158"/>
      <c r="CM60" s="4158"/>
      <c r="CN60" s="4158"/>
      <c r="CO60" s="4158"/>
      <c r="CP60" s="2854"/>
      <c r="CQ60" s="4158"/>
      <c r="CR60" s="4158"/>
      <c r="CS60" s="4158"/>
      <c r="CT60" s="4158"/>
      <c r="CU60" s="4158"/>
      <c r="CV60" s="4158"/>
      <c r="CW60" s="4158"/>
      <c r="CX60" s="4158"/>
      <c r="CY60" s="2854"/>
      <c r="CZ60" s="2854"/>
      <c r="DA60" s="2854"/>
      <c r="DB60" s="4158"/>
      <c r="DC60" s="4158"/>
      <c r="DD60" s="4158"/>
      <c r="DE60" s="4158"/>
      <c r="DF60" s="4158"/>
      <c r="DG60" s="4158"/>
      <c r="DH60" s="2854">
        <v>31263</v>
      </c>
      <c r="DI60" s="4158"/>
      <c r="DJ60" s="2854"/>
      <c r="DK60" s="4158"/>
      <c r="DL60" s="4158"/>
      <c r="DM60" s="2854"/>
      <c r="DN60" s="4158"/>
      <c r="DO60" s="4158"/>
      <c r="DP60" s="4158"/>
      <c r="DQ60" s="4158"/>
      <c r="DR60" s="4158"/>
      <c r="DS60" s="4158"/>
      <c r="DT60" s="4158"/>
      <c r="DU60" s="4158"/>
      <c r="DV60" s="4158"/>
      <c r="DW60" s="4158"/>
      <c r="DX60" s="4158"/>
      <c r="DY60" s="4158"/>
      <c r="DZ60" s="4158"/>
      <c r="EA60" s="4158"/>
      <c r="EB60" s="4158"/>
      <c r="EC60" s="4158"/>
      <c r="ED60" s="4158"/>
      <c r="EE60" s="4158"/>
      <c r="EF60" s="4158"/>
      <c r="EG60" s="4158"/>
      <c r="EH60" s="2854"/>
      <c r="EI60" s="2854"/>
      <c r="EJ60" s="4158"/>
      <c r="EK60" s="4158"/>
      <c r="EL60" s="4158"/>
      <c r="EM60" s="4158"/>
      <c r="EN60" s="4158"/>
      <c r="EO60" s="4158"/>
      <c r="EP60" s="4158"/>
      <c r="EQ60" s="4158"/>
      <c r="ER60" s="4158"/>
      <c r="ES60" s="4158"/>
      <c r="ET60" s="4158"/>
      <c r="EU60" s="4158"/>
      <c r="EV60" s="4158"/>
      <c r="EW60" s="4158"/>
      <c r="EX60" s="4158"/>
      <c r="EY60" s="4158"/>
      <c r="EZ60" s="4158"/>
      <c r="FA60" s="2854"/>
      <c r="FB60" s="4158"/>
      <c r="FC60" s="4158"/>
      <c r="FD60" s="4158"/>
      <c r="FE60" s="4158"/>
      <c r="FF60" s="4158"/>
      <c r="FG60" s="4158"/>
      <c r="FH60" s="4158"/>
      <c r="FI60" s="4158"/>
      <c r="FJ60" s="4158"/>
      <c r="FK60" s="2854"/>
      <c r="FL60" s="4158"/>
      <c r="FM60" s="4158"/>
      <c r="FN60" s="4158"/>
      <c r="FO60" s="4158"/>
      <c r="FP60" s="4158"/>
      <c r="FQ60" s="4158"/>
      <c r="FR60" s="4158"/>
      <c r="FS60" s="4158"/>
      <c r="FT60" s="4158"/>
      <c r="FU60" s="4158"/>
      <c r="FV60" s="2854"/>
      <c r="FW60" s="4158"/>
      <c r="FX60" s="4158"/>
      <c r="FY60" s="4158"/>
      <c r="FZ60" s="4158"/>
      <c r="GA60" s="4158"/>
      <c r="GB60" s="4158"/>
      <c r="GC60" s="4158"/>
      <c r="GD60" s="4158"/>
      <c r="GE60" s="4158"/>
      <c r="GF60" s="4158"/>
      <c r="GG60" s="4158"/>
      <c r="GH60" s="4158"/>
      <c r="GI60" s="4158"/>
      <c r="GJ60" s="4158"/>
      <c r="GK60" s="4158"/>
      <c r="GL60" s="4158"/>
      <c r="GM60" s="4158"/>
      <c r="GN60" s="4158"/>
      <c r="GO60" s="4158"/>
      <c r="GP60" s="4158"/>
      <c r="GQ60" s="4158"/>
      <c r="GR60" s="4158"/>
      <c r="GS60" s="4158"/>
      <c r="GT60" s="4158"/>
      <c r="GU60" s="4158"/>
      <c r="GV60" s="4158"/>
      <c r="GW60" s="2854"/>
      <c r="GX60" s="4158"/>
      <c r="GY60" s="2854"/>
      <c r="GZ60" s="4158"/>
      <c r="HA60" s="4158"/>
      <c r="HB60" s="4158"/>
      <c r="HC60" s="4158"/>
      <c r="HD60" s="4158"/>
      <c r="HE60" s="2854"/>
      <c r="HF60" s="4158"/>
      <c r="HG60" s="4158"/>
      <c r="HH60" s="4158"/>
      <c r="HI60" s="4158"/>
      <c r="HJ60" s="4158"/>
      <c r="HK60" s="4158"/>
      <c r="HL60" s="4158"/>
      <c r="HM60" s="4158"/>
      <c r="HN60" s="4158"/>
      <c r="HO60" s="4158"/>
      <c r="HP60" s="4158"/>
      <c r="HQ60" s="4158"/>
      <c r="HR60" s="4158"/>
      <c r="HS60" s="4158"/>
      <c r="HT60" s="4158"/>
      <c r="HU60" s="4158"/>
      <c r="HV60" s="4158"/>
      <c r="HW60" s="4158"/>
      <c r="HX60" s="4158"/>
      <c r="HY60" s="4158"/>
      <c r="HZ60" s="4158"/>
      <c r="IA60" s="4158"/>
      <c r="IB60" s="4158"/>
      <c r="IC60" s="4158"/>
      <c r="ID60" s="4158"/>
      <c r="IE60" s="4158"/>
      <c r="IF60" s="4158"/>
      <c r="IG60" s="4158"/>
      <c r="IH60" s="4158"/>
      <c r="II60" s="4158"/>
      <c r="IJ60" s="4158"/>
      <c r="IK60" s="4158"/>
      <c r="IL60" s="4158"/>
      <c r="IM60" s="4158"/>
      <c r="IN60" s="4158"/>
      <c r="IO60" s="2854">
        <v>20616</v>
      </c>
      <c r="IP60" s="4158"/>
      <c r="IQ60" s="4159"/>
      <c r="IR60" s="4158"/>
      <c r="IS60" s="4158"/>
      <c r="IT60" s="3987"/>
      <c r="IU60" s="4158"/>
      <c r="IV60" s="4158"/>
      <c r="IW60" s="4158"/>
      <c r="IX60" s="4158"/>
      <c r="IY60" s="4160"/>
      <c r="IZ60" s="4158"/>
      <c r="JA60" s="3814"/>
      <c r="JB60" s="4314">
        <v>950</v>
      </c>
      <c r="JC60" s="4242"/>
      <c r="JD60" s="2854"/>
      <c r="JE60" s="3814"/>
      <c r="JF60" s="3814"/>
      <c r="JG60" s="4161"/>
      <c r="JH60" s="1233"/>
      <c r="JI60" s="1393"/>
      <c r="JJ60" s="1660" t="s">
        <v>6124</v>
      </c>
    </row>
    <row ht="12.75" r="61" spans="1:270" x14ac:dyDescent="0.2">
      <c r="A61" s="1128">
        <v>26</v>
      </c>
      <c r="B61" s="1557" t="str">
        <f si="1" t="shared"/>
        <v/>
      </c>
      <c r="C61" s="1559" t="s">
        <v>853</v>
      </c>
      <c r="D61" s="1350" t="str">
        <f>"If your total profits for "&amp;tax_year&amp;" are less than "&amp;DOLLAR(NIC2_SPT,0)&amp;" and you choose to pay Class 2 NICs voluntarily, put 'X' in the box"</f>
        <v>If your total profits for 2019-20 are less than $6,365 and you choose to pay Class 2 NICs voluntarily, put 'X' in the box</v>
      </c>
      <c r="E61" s="2849"/>
      <c r="F61" s="2849"/>
      <c r="G61" s="2849"/>
      <c r="H61" s="2849"/>
      <c r="I61" s="2849"/>
      <c r="J61" s="2849"/>
      <c r="K61" s="2849"/>
      <c r="L61" s="2849"/>
      <c r="M61" s="2849"/>
      <c r="N61" s="2849"/>
      <c r="O61" s="2849"/>
      <c r="P61" s="2849"/>
      <c r="Q61" s="2849"/>
      <c r="R61" s="2849"/>
      <c r="S61" s="2849"/>
      <c r="T61" s="2849"/>
      <c r="U61" s="2849"/>
      <c r="V61" s="2849"/>
      <c r="W61" s="2849"/>
      <c r="X61" s="2849"/>
      <c r="Y61" s="2849"/>
      <c r="Z61" s="2849"/>
      <c r="AA61" s="2849"/>
      <c r="AB61" s="2849"/>
      <c r="AC61" s="2849"/>
      <c r="AD61" s="2849"/>
      <c r="AE61" s="2849"/>
      <c r="AF61" s="2849"/>
      <c r="AG61" s="2849"/>
      <c r="AH61" s="2849"/>
      <c r="AI61" s="2849"/>
      <c r="AJ61" s="2849"/>
      <c r="AK61" s="2849"/>
      <c r="AL61" s="2849"/>
      <c r="AM61" s="2849" t="str">
        <f>IF(PS_B_IND&gt;1,IF(PS_A_IND&gt;1,"",IF(LUN_IND&gt;1,"",IF(SE_B_IND&gt;1,"",IF(SE_A_IND&gt;1,"",IF(AND(AM56&lt;NIC2_SPT,NIC2_Vol,NIC_ex_set=FALSE),"Y","N"))))),"")</f>
        <v/>
      </c>
      <c r="AN61" s="2849"/>
      <c r="AO61" s="2849"/>
      <c r="AP61" s="2849"/>
      <c r="AQ61" s="2849"/>
      <c r="AR61" s="2849"/>
      <c r="AS61" s="2849"/>
      <c r="AT61" s="2849"/>
      <c r="AU61" s="2849"/>
      <c r="AV61" s="2849"/>
      <c r="AW61" s="2849"/>
      <c r="AX61" s="2849"/>
      <c r="AY61" s="2849"/>
      <c r="AZ61" s="2849"/>
      <c r="BA61" s="2849"/>
      <c r="BB61" s="2849" t="str">
        <f>IF(PS_B_IND&gt;1,IF(PS_A_IND&gt;1,"",IF(LUN_IND&gt;1,"",IF(SE_B_IND&gt;1,"",IF(SE_A_IND&gt;1,"",IF(AND(BB56&lt;NIC2_SPT,NIC2_Vol,NIC_ex_set=FALSE),"Y","N"))))),"")</f>
        <v/>
      </c>
      <c r="BC61" s="2849" t="str">
        <f>IF(PS_B_IND&gt;1,IF(PS_A_IND&gt;1,"",IF(LUN_IND&gt;1,"",IF(SE_B_IND&gt;1,"",IF(SE_A_IND&gt;1,"",IF(AND(BC56&lt;NIC2_SPT,NIC2_Vol,NIC_ex_set=FALSE),"Y","N"))))),"")</f>
        <v/>
      </c>
      <c r="BD61" s="2849"/>
      <c r="BE61" s="2849"/>
      <c r="BF61" s="2849"/>
      <c r="BG61" s="2849"/>
      <c r="BH61" s="2849"/>
      <c r="BI61" s="2849"/>
      <c r="BJ61" s="2849"/>
      <c r="BK61" s="2849"/>
      <c r="BL61" s="2849"/>
      <c r="BM61" s="2849"/>
      <c r="BN61" s="2849"/>
      <c r="BO61" s="2849"/>
      <c r="BP61" s="2849"/>
      <c r="BQ61" s="2849"/>
      <c r="BR61" s="2849"/>
      <c r="BS61" s="2849"/>
      <c r="BT61" s="2849"/>
      <c r="BU61" s="2849"/>
      <c r="BV61" s="2849"/>
      <c r="BW61" s="2849"/>
      <c r="BX61" s="2849"/>
      <c r="BY61" s="2849"/>
      <c r="BZ61" s="2849"/>
      <c r="CA61" s="2849"/>
      <c r="CB61" s="2849"/>
      <c r="CC61" s="2849"/>
      <c r="CD61" s="2849"/>
      <c r="CE61" s="2849"/>
      <c r="CF61" s="2849"/>
      <c r="CG61" s="2849"/>
      <c r="CH61" s="2849"/>
      <c r="CI61" s="2849"/>
      <c r="CJ61" s="2849"/>
      <c r="CK61" s="2849"/>
      <c r="CL61" s="2849"/>
      <c r="CM61" s="2849"/>
      <c r="CN61" s="2849"/>
      <c r="CO61" s="2849"/>
      <c r="CP61" s="2849" t="str">
        <f>IF(PS_B_IND&gt;1,IF(PS_A_IND&gt;1,"",IF(LUN_IND&gt;1,"",IF(SE_B_IND&gt;1,"",IF(SE_A_IND&gt;1,"",IF(AND(CP56&lt;NIC2_SPT,NIC2_Vol,NIC_ex_set=FALSE),"Y","N"))))),"")</f>
        <v/>
      </c>
      <c r="CQ61" s="2849"/>
      <c r="CR61" s="2849"/>
      <c r="CS61" s="2849"/>
      <c r="CT61" s="2849"/>
      <c r="CU61" s="2849"/>
      <c r="CV61" s="2849"/>
      <c r="CW61" s="2849"/>
      <c r="CX61" s="2849"/>
      <c r="CY61" s="2849" t="str">
        <f>IF(PS_B_IND&gt;1,IF(PS_A_IND&gt;1,"",IF(LUN_IND&gt;1,"",IF(SE_B_IND&gt;1,"",IF(SE_A_IND&gt;1,"",IF(AND(CY56&lt;NIC2_SPT,NIC2_Vol,NIC_ex_set=FALSE),"Y","N"))))),"")</f>
        <v/>
      </c>
      <c r="CZ61" s="2849" t="str">
        <f>IF(PS_B_IND&gt;1,IF(PS_A_IND&gt;1,"",IF(LUN_IND&gt;1,"",IF(SE_B_IND&gt;1,"",IF(SE_A_IND&gt;1,"",IF(AND(CZ56&lt;NIC2_SPT,NIC2_Vol,NIC_ex_set=FALSE),"Y","N"))))),"")</f>
        <v/>
      </c>
      <c r="DA61" s="2849" t="str">
        <f>IF(PS_B_IND&gt;1,IF(PS_A_IND&gt;1,"",IF(LUN_IND&gt;1,"",IF(SE_B_IND&gt;1,"",IF(SE_A_IND&gt;1,"",IF(AND(DA56&lt;NIC2_SPT,NIC2_Vol,NIC_ex_set=FALSE),"Y","N"))))),"")</f>
        <v/>
      </c>
      <c r="DB61" s="2849"/>
      <c r="DC61" s="2849"/>
      <c r="DD61" s="2849"/>
      <c r="DE61" s="2849"/>
      <c r="DF61" s="2849"/>
      <c r="DG61" s="2849"/>
      <c r="DH61" s="2849" t="str">
        <f>IF(PS_B_IND&gt;1,IF(PS_A_IND&gt;1,"",IF(LUN_IND&gt;1,"",IF(SE_B_IND&gt;1,"",IF(SE_A_IND&gt;1,"",IF(AND(DH56&lt;NIC2_SPT,NIC2_Vol,NIC_ex_set=FALSE),"Y","N"))))),"")</f>
        <v/>
      </c>
      <c r="DI61" s="2849"/>
      <c r="DJ61" s="2849" t="str">
        <f>IF(PS_B_IND&gt;1,IF(PS_A_IND&gt;1,"",IF(LUN_IND&gt;1,"",IF(SE_B_IND&gt;1,"",IF(SE_A_IND&gt;1,"",IF(AND(DJ56&lt;NIC2_SPT,NIC2_Vol,NIC_ex_set=FALSE),"Y","N"))))),"")</f>
        <v/>
      </c>
      <c r="DK61" s="2849"/>
      <c r="DL61" s="2849"/>
      <c r="DM61" s="2849" t="str">
        <f>IF(PS_B_IND&gt;1,IF(PS_A_IND&gt;1,"",IF(LUN_IND&gt;1,"",IF(SE_B_IND&gt;1,"",IF(SE_A_IND&gt;1,"",IF(AND(DM56&lt;NIC2_SPT,NIC2_Vol,NIC_ex_set=FALSE),"Y","N"))))),"")</f>
        <v/>
      </c>
      <c r="DN61" s="2849"/>
      <c r="DO61" s="2849"/>
      <c r="DP61" s="2849"/>
      <c r="DQ61" s="2849"/>
      <c r="DR61" s="2849"/>
      <c r="DS61" s="2849"/>
      <c r="DT61" s="2849"/>
      <c r="DU61" s="2849"/>
      <c r="DV61" s="2849"/>
      <c r="DW61" s="2849"/>
      <c r="DX61" s="2849"/>
      <c r="DY61" s="2849"/>
      <c r="DZ61" s="2849"/>
      <c r="EA61" s="2849"/>
      <c r="EB61" s="2849"/>
      <c r="EC61" s="2849"/>
      <c r="ED61" s="2849"/>
      <c r="EE61" s="2849"/>
      <c r="EF61" s="2849"/>
      <c r="EG61" s="2849"/>
      <c r="EH61" s="2849" t="str">
        <f>IF(PS_B_IND&gt;1,IF(PS_A_IND&gt;1,"",IF(LUN_IND&gt;1,"",IF(SE_B_IND&gt;1,"",IF(SE_A_IND&gt;1,"",IF(AND(EH56&lt;NIC2_SPT,NIC2_Vol,NIC_ex_set=FALSE),"Y","N"))))),"")</f>
        <v/>
      </c>
      <c r="EI61" s="2849" t="str">
        <f>IF(PS_B_IND&gt;1,IF(PS_A_IND&gt;1,"",IF(LUN_IND&gt;1,"",IF(SE_B_IND&gt;1,"",IF(SE_A_IND&gt;1,"",IF(AND(EI56&lt;NIC2_SPT,NIC2_Vol,NIC_ex_set=FALSE),"Y","N"))))),"")</f>
        <v/>
      </c>
      <c r="EJ61" s="2849"/>
      <c r="EK61" s="2849"/>
      <c r="EL61" s="2849"/>
      <c r="EM61" s="2849"/>
      <c r="EN61" s="2849"/>
      <c r="EO61" s="2849"/>
      <c r="EP61" s="2849"/>
      <c r="EQ61" s="2849"/>
      <c r="ER61" s="2849"/>
      <c r="ES61" s="2849"/>
      <c r="ET61" s="2849"/>
      <c r="EU61" s="2849"/>
      <c r="EV61" s="2849"/>
      <c r="EW61" s="2849"/>
      <c r="EX61" s="2849"/>
      <c r="EY61" s="2849"/>
      <c r="EZ61" s="2849"/>
      <c r="FA61" s="2849" t="str">
        <f>IF(PS_B_IND&gt;1,IF(PS_A_IND&gt;1,"",IF(LUN_IND&gt;1,"",IF(SE_B_IND&gt;1,"",IF(SE_A_IND&gt;1,"",IF(AND(FA56&lt;NIC2_SPT,NIC2_Vol,NIC_ex_set=FALSE),"Y","N"))))),"")</f>
        <v/>
      </c>
      <c r="FB61" s="2849"/>
      <c r="FC61" s="2849"/>
      <c r="FD61" s="2849"/>
      <c r="FE61" s="2849"/>
      <c r="FF61" s="2849"/>
      <c r="FG61" s="2849"/>
      <c r="FH61" s="2849"/>
      <c r="FI61" s="2849"/>
      <c r="FJ61" s="2849"/>
      <c r="FK61" s="2849" t="str">
        <f>IF(PS_B_IND&gt;1,IF(PS_A_IND&gt;1,"",IF(LUN_IND&gt;1,"",IF(SE_B_IND&gt;1,"",IF(SE_A_IND&gt;1,"",IF(AND(FK56&lt;NIC2_SPT,NIC2_Vol,NIC_ex_set=FALSE),"Y","N"))))),"")</f>
        <v/>
      </c>
      <c r="FL61" s="2849"/>
      <c r="FM61" s="2849"/>
      <c r="FN61" s="2849"/>
      <c r="FO61" s="2849"/>
      <c r="FP61" s="2849"/>
      <c r="FQ61" s="2849"/>
      <c r="FR61" s="2849"/>
      <c r="FS61" s="2849"/>
      <c r="FT61" s="2849"/>
      <c r="FU61" s="2849"/>
      <c r="FV61" s="2849" t="str">
        <f>IF(PS_B_IND&gt;1,IF(PS_A_IND&gt;1,"",IF(LUN_IND&gt;1,"",IF(SE_B_IND&gt;1,"",IF(SE_A_IND&gt;1,"",IF(AND(FV56&lt;NIC2_SPT,NIC2_Vol,NIC_ex_set=FALSE),"Y","N"))))),"")</f>
        <v/>
      </c>
      <c r="FW61" s="2849"/>
      <c r="FX61" s="2849"/>
      <c r="FY61" s="2849"/>
      <c r="FZ61" s="2849"/>
      <c r="GA61" s="2849"/>
      <c r="GB61" s="2849"/>
      <c r="GC61" s="2849"/>
      <c r="GD61" s="2849"/>
      <c r="GE61" s="2849"/>
      <c r="GF61" s="2849"/>
      <c r="GG61" s="2849"/>
      <c r="GH61" s="2849"/>
      <c r="GI61" s="2849"/>
      <c r="GJ61" s="2849"/>
      <c r="GK61" s="2849"/>
      <c r="GL61" s="2849"/>
      <c r="GM61" s="2849"/>
      <c r="GN61" s="2849"/>
      <c r="GO61" s="2849"/>
      <c r="GP61" s="2849"/>
      <c r="GQ61" s="2849"/>
      <c r="GR61" s="2849"/>
      <c r="GS61" s="2849"/>
      <c r="GT61" s="2849"/>
      <c r="GU61" s="2849"/>
      <c r="GV61" s="2849"/>
      <c r="GW61" s="2849" t="str">
        <f>IF(PS_B_IND&gt;1,IF(PS_A_IND&gt;1,"",IF(LUN_IND&gt;1,"",IF(SE_B_IND&gt;1,"",IF(SE_A_IND&gt;1,"",IF(AND(GW56&lt;NIC2_SPT,NIC2_Vol,NIC_ex_set=FALSE),"Y","N"))))),"")</f>
        <v/>
      </c>
      <c r="GX61" s="2849"/>
      <c r="GY61" s="2849" t="str">
        <f>IF(PS_B_IND&gt;1,IF(PS_A_IND&gt;1,"",IF(LUN_IND&gt;1,"",IF(SE_B_IND&gt;1,"",IF(SE_A_IND&gt;1,"",IF(AND(GY56&lt;NIC2_SPT,NIC2_Vol,NIC_ex_set=FALSE),"Y","N"))))),"")</f>
        <v/>
      </c>
      <c r="GZ61" s="2849"/>
      <c r="HA61" s="2849"/>
      <c r="HB61" s="2849"/>
      <c r="HC61" s="2849"/>
      <c r="HD61" s="2849"/>
      <c r="HE61" s="2849" t="str">
        <f>IF(PS_B_IND&gt;1,IF(PS_A_IND&gt;1,"",IF(LUN_IND&gt;1,"",IF(SE_B_IND&gt;1,"",IF(SE_A_IND&gt;1,"",IF(AND(HE56&lt;NIC2_SPT,NIC2_Vol,NIC_ex_set=FALSE),"Y","N"))))),"")</f>
        <v/>
      </c>
      <c r="HF61" s="2849"/>
      <c r="HG61" s="2849"/>
      <c r="HH61" s="2849"/>
      <c r="HI61" s="2849"/>
      <c r="HJ61" s="2849"/>
      <c r="HK61" s="2849"/>
      <c r="HL61" s="2849"/>
      <c r="HM61" s="2849"/>
      <c r="HN61" s="2849"/>
      <c r="HO61" s="2849"/>
      <c r="HP61" s="2849"/>
      <c r="HQ61" s="2849"/>
      <c r="HR61" s="2849"/>
      <c r="HS61" s="2849"/>
      <c r="HT61" s="2849"/>
      <c r="HU61" s="2849"/>
      <c r="HV61" s="2849"/>
      <c r="HW61" s="2849"/>
      <c r="HX61" s="2849"/>
      <c r="HY61" s="2849"/>
      <c r="HZ61" s="2849"/>
      <c r="IA61" s="2849"/>
      <c r="IB61" s="2849"/>
      <c r="IC61" s="2849"/>
      <c r="ID61" s="2849"/>
      <c r="IE61" s="2849"/>
      <c r="IF61" s="2849"/>
      <c r="IG61" s="2849"/>
      <c r="IH61" s="2849"/>
      <c r="II61" s="2849"/>
      <c r="IJ61" s="2849"/>
      <c r="IK61" s="2849"/>
      <c r="IL61" s="2849"/>
      <c r="IM61" s="2849"/>
      <c r="IN61" s="2849"/>
      <c r="IO61" s="2849" t="str">
        <f>IF(PS_B_IND&gt;1,IF(PS_A_IND&gt;1,"",IF(LUN_IND&gt;1,"",IF(SE_B_IND&gt;1,"",IF(SE_A_IND&gt;1,"",IF(AND(IO56&lt;NIC2_SPT,NIC2_Vol,NIC_ex_set=FALSE),"Y","N"))))),"")</f>
        <v/>
      </c>
      <c r="IP61" s="2849"/>
      <c r="IQ61" s="3843" t="str">
        <f>IF(PS_B_IND&gt;1,IF(PS_A_IND&gt;1,"",IF(LUN_IND&gt;1,"",IF(SE_B_IND&gt;1,"",IF(SE_A_IND&gt;1,"",IF(AND(IQ56&lt;NIC2_SPT,NIC2_Vol,NIC_ex_set=FALSE),"Y","N"))))),"")</f>
        <v/>
      </c>
      <c r="IR61" s="2849"/>
      <c r="IS61" s="2849"/>
      <c r="IT61" s="3989"/>
      <c r="IU61" s="2849"/>
      <c r="IV61" s="2849"/>
      <c r="IW61" s="2849"/>
      <c r="IX61" s="2849"/>
      <c r="IY61" s="4169"/>
      <c r="IZ61" s="2849"/>
      <c r="JA61" s="3818"/>
      <c r="JB61" s="4169"/>
      <c r="JC61" s="4246"/>
      <c r="JD61" s="2849"/>
      <c r="JE61" s="3818"/>
      <c r="JF61" s="3818"/>
      <c r="JG61" s="4170"/>
      <c r="JH61" s="1233"/>
      <c r="JI61" s="1232"/>
      <c r="JJ61" s="1660" t="s">
        <v>6111</v>
      </c>
    </row>
    <row ht="12.75" r="62" spans="1:270" x14ac:dyDescent="0.2">
      <c r="A62" s="1128">
        <v>27</v>
      </c>
      <c r="B62" s="1557" t="str">
        <f si="1" t="shared"/>
        <v/>
      </c>
      <c r="C62" s="1559" t="s">
        <v>854</v>
      </c>
      <c r="D62" s="1350" t="s">
        <v>4833</v>
      </c>
      <c r="E62" s="2849"/>
      <c r="F62" s="2849"/>
      <c r="G62" s="2849"/>
      <c r="H62" s="2849"/>
      <c r="I62" s="2849"/>
      <c r="J62" s="2849"/>
      <c r="K62" s="2849"/>
      <c r="L62" s="2849"/>
      <c r="M62" s="2849"/>
      <c r="N62" s="2849"/>
      <c r="O62" s="2849"/>
      <c r="P62" s="2849"/>
      <c r="Q62" s="2849"/>
      <c r="R62" s="2849"/>
      <c r="S62" s="2849"/>
      <c r="T62" s="2849"/>
      <c r="U62" s="2849"/>
      <c r="V62" s="2849"/>
      <c r="W62" s="2849"/>
      <c r="X62" s="2849"/>
      <c r="Y62" s="2849"/>
      <c r="Z62" s="2849"/>
      <c r="AA62" s="2849"/>
      <c r="AB62" s="2849"/>
      <c r="AC62" s="2849"/>
      <c r="AD62" s="2849"/>
      <c r="AE62" s="2849"/>
      <c r="AF62" s="2849"/>
      <c r="AG62" s="2849"/>
      <c r="AH62" s="2849"/>
      <c r="AI62" s="2849"/>
      <c r="AJ62" s="2849"/>
      <c r="AK62" s="2849"/>
      <c r="AL62" s="2849"/>
      <c r="AM62" s="2849" t="str">
        <f>IF(PS_B_IND&gt;1,IF(PS_A_IND&gt;1,"",IF(LUN_IND&gt;1,"",IF(SE_B_IND&gt;1,"",IF(SE_A_IND&gt;1,"",IF(NIC_ex_set,"Y","N"))))),"")</f>
        <v/>
      </c>
      <c r="AN62" s="2849"/>
      <c r="AO62" s="2849"/>
      <c r="AP62" s="2849"/>
      <c r="AQ62" s="2849"/>
      <c r="AR62" s="2849"/>
      <c r="AS62" s="2849"/>
      <c r="AT62" s="2849"/>
      <c r="AU62" s="2849"/>
      <c r="AV62" s="2849"/>
      <c r="AW62" s="2849"/>
      <c r="AX62" s="2849"/>
      <c r="AY62" s="2849"/>
      <c r="AZ62" s="2849"/>
      <c r="BA62" s="2849"/>
      <c r="BB62" s="2849" t="str">
        <f>IF(PS_B_IND&gt;1,IF(PS_A_IND&gt;1,"",IF(LUN_IND&gt;1,"",IF(SE_B_IND&gt;1,"",IF(SE_A_IND&gt;1,"",IF(NIC_ex_set,"Y","N"))))),"")</f>
        <v/>
      </c>
      <c r="BC62" s="2849" t="str">
        <f>IF(PS_B_IND&gt;1,IF(PS_A_IND&gt;1,"",IF(LUN_IND&gt;1,"",IF(SE_B_IND&gt;1,"",IF(SE_A_IND&gt;1,"",IF(NIC_ex_set,"Y","N"))))),"")</f>
        <v/>
      </c>
      <c r="BD62" s="2849"/>
      <c r="BE62" s="2849"/>
      <c r="BF62" s="2849"/>
      <c r="BG62" s="2849"/>
      <c r="BH62" s="2849"/>
      <c r="BI62" s="2849"/>
      <c r="BJ62" s="2849"/>
      <c r="BK62" s="2849"/>
      <c r="BL62" s="2849"/>
      <c r="BM62" s="2849"/>
      <c r="BN62" s="2849"/>
      <c r="BO62" s="2849"/>
      <c r="BP62" s="2849"/>
      <c r="BQ62" s="2849"/>
      <c r="BR62" s="2849"/>
      <c r="BS62" s="2849"/>
      <c r="BT62" s="2849"/>
      <c r="BU62" s="2849"/>
      <c r="BV62" s="2849"/>
      <c r="BW62" s="2849"/>
      <c r="BX62" s="2849"/>
      <c r="BY62" s="2849"/>
      <c r="BZ62" s="2849"/>
      <c r="CA62" s="2849"/>
      <c r="CB62" s="2849"/>
      <c r="CC62" s="2849"/>
      <c r="CD62" s="2849"/>
      <c r="CE62" s="2849"/>
      <c r="CF62" s="2849"/>
      <c r="CG62" s="2849"/>
      <c r="CH62" s="2849"/>
      <c r="CI62" s="2849"/>
      <c r="CJ62" s="2849"/>
      <c r="CK62" s="2849"/>
      <c r="CL62" s="2849"/>
      <c r="CM62" s="2849"/>
      <c r="CN62" s="2849"/>
      <c r="CO62" s="2849"/>
      <c r="CP62" s="2849" t="str">
        <f>IF(PS_B_IND&gt;1,IF(PS_A_IND&gt;1,"",IF(LUN_IND&gt;1,"",IF(SE_B_IND&gt;1,"",IF(SE_A_IND&gt;1,"",IF(NIC_ex_set,"Y","N"))))),"")</f>
        <v/>
      </c>
      <c r="CQ62" s="2849"/>
      <c r="CR62" s="2849"/>
      <c r="CS62" s="2849"/>
      <c r="CT62" s="2849"/>
      <c r="CU62" s="2849"/>
      <c r="CV62" s="2849"/>
      <c r="CW62" s="2849"/>
      <c r="CX62" s="2849"/>
      <c r="CY62" s="2849" t="str">
        <f>IF(PS_B_IND&gt;1,IF(PS_A_IND&gt;1,"",IF(LUN_IND&gt;1,"",IF(SE_B_IND&gt;1,"",IF(SE_A_IND&gt;1,"",IF(NIC_ex_set,"Y","N"))))),"")</f>
        <v/>
      </c>
      <c r="CZ62" s="2849" t="str">
        <f>IF(PS_B_IND&gt;1,IF(PS_A_IND&gt;1,"",IF(LUN_IND&gt;1,"",IF(SE_B_IND&gt;1,"",IF(SE_A_IND&gt;1,"",IF(NIC_ex_set,"Y","N"))))),"")</f>
        <v/>
      </c>
      <c r="DA62" s="2849" t="str">
        <f>IF(PS_B_IND&gt;1,IF(PS_A_IND&gt;1,"",IF(LUN_IND&gt;1,"",IF(SE_B_IND&gt;1,"",IF(SE_A_IND&gt;1,"",IF(NIC_ex_set,"Y","N"))))),"")</f>
        <v/>
      </c>
      <c r="DB62" s="2849"/>
      <c r="DC62" s="2849"/>
      <c r="DD62" s="2849"/>
      <c r="DE62" s="2849"/>
      <c r="DF62" s="2849"/>
      <c r="DG62" s="2849"/>
      <c r="DH62" s="2849" t="str">
        <f>IF(PS_B_IND&gt;1,IF(PS_A_IND&gt;1,"",IF(LUN_IND&gt;1,"",IF(SE_B_IND&gt;1,"",IF(SE_A_IND&gt;1,"",IF(NIC_ex_set,"Y","N"))))),"")</f>
        <v/>
      </c>
      <c r="DI62" s="2849"/>
      <c r="DJ62" s="2849" t="str">
        <f>IF(PS_B_IND&gt;1,IF(PS_A_IND&gt;1,"",IF(LUN_IND&gt;1,"",IF(SE_B_IND&gt;1,"",IF(SE_A_IND&gt;1,"",IF(NIC_ex_set,"Y","N"))))),"")</f>
        <v/>
      </c>
      <c r="DK62" s="2849"/>
      <c r="DL62" s="2849"/>
      <c r="DM62" s="2849" t="str">
        <f>IF(PS_B_IND&gt;1,IF(PS_A_IND&gt;1,"",IF(LUN_IND&gt;1,"",IF(SE_B_IND&gt;1,"",IF(SE_A_IND&gt;1,"",IF(NIC_ex_set,"Y","N"))))),"")</f>
        <v/>
      </c>
      <c r="DN62" s="2849"/>
      <c r="DO62" s="2849"/>
      <c r="DP62" s="2849"/>
      <c r="DQ62" s="2849"/>
      <c r="DR62" s="2849"/>
      <c r="DS62" s="2849"/>
      <c r="DT62" s="2849"/>
      <c r="DU62" s="2849"/>
      <c r="DV62" s="2849"/>
      <c r="DW62" s="2849"/>
      <c r="DX62" s="2849"/>
      <c r="DY62" s="2849"/>
      <c r="DZ62" s="2849"/>
      <c r="EA62" s="2849"/>
      <c r="EB62" s="2849"/>
      <c r="EC62" s="2849"/>
      <c r="ED62" s="2849"/>
      <c r="EE62" s="2849"/>
      <c r="EF62" s="2849"/>
      <c r="EG62" s="2849"/>
      <c r="EH62" s="2849" t="str">
        <f>IF(PS_B_IND&gt;1,IF(PS_A_IND&gt;1,"",IF(LUN_IND&gt;1,"",IF(SE_B_IND&gt;1,"",IF(SE_A_IND&gt;1,"",IF(NIC_ex_set,"Y","N"))))),"")</f>
        <v/>
      </c>
      <c r="EI62" s="2849" t="str">
        <f>IF(PS_B_IND&gt;1,IF(PS_A_IND&gt;1,"",IF(LUN_IND&gt;1,"",IF(SE_B_IND&gt;1,"",IF(SE_A_IND&gt;1,"",IF(NIC_ex_set,"Y","N"))))),"")</f>
        <v/>
      </c>
      <c r="EJ62" s="2849"/>
      <c r="EK62" s="2849"/>
      <c r="EL62" s="2849"/>
      <c r="EM62" s="2849"/>
      <c r="EN62" s="2849"/>
      <c r="EO62" s="2849"/>
      <c r="EP62" s="2849"/>
      <c r="EQ62" s="2849"/>
      <c r="ER62" s="2849"/>
      <c r="ES62" s="2849"/>
      <c r="ET62" s="2849"/>
      <c r="EU62" s="2849"/>
      <c r="EV62" s="2849"/>
      <c r="EW62" s="2849"/>
      <c r="EX62" s="2849"/>
      <c r="EY62" s="2849"/>
      <c r="EZ62" s="2849"/>
      <c r="FA62" s="2849" t="str">
        <f>IF(PS_B_IND&gt;1,IF(PS_A_IND&gt;1,"",IF(LUN_IND&gt;1,"",IF(SE_B_IND&gt;1,"",IF(SE_A_IND&gt;1,"",IF(NIC_ex_set,"Y","N"))))),"")</f>
        <v/>
      </c>
      <c r="FB62" s="2849"/>
      <c r="FC62" s="2849"/>
      <c r="FD62" s="2849"/>
      <c r="FE62" s="2849"/>
      <c r="FF62" s="2849"/>
      <c r="FG62" s="2849"/>
      <c r="FH62" s="2849"/>
      <c r="FI62" s="2849"/>
      <c r="FJ62" s="2849"/>
      <c r="FK62" s="2849" t="str">
        <f>IF(PS_B_IND&gt;1,IF(PS_A_IND&gt;1,"",IF(LUN_IND&gt;1,"",IF(SE_B_IND&gt;1,"",IF(SE_A_IND&gt;1,"",IF(NIC_ex_set,"Y","N"))))),"")</f>
        <v/>
      </c>
      <c r="FL62" s="2849"/>
      <c r="FM62" s="2849"/>
      <c r="FN62" s="2849"/>
      <c r="FO62" s="2849"/>
      <c r="FP62" s="2849"/>
      <c r="FQ62" s="2849"/>
      <c r="FR62" s="2849"/>
      <c r="FS62" s="2849"/>
      <c r="FT62" s="2849"/>
      <c r="FU62" s="2849"/>
      <c r="FV62" s="2849" t="str">
        <f>IF(PS_B_IND&gt;1,IF(PS_A_IND&gt;1,"",IF(LUN_IND&gt;1,"",IF(SE_B_IND&gt;1,"",IF(SE_A_IND&gt;1,"",IF(NIC_ex_set,"Y","N"))))),"")</f>
        <v/>
      </c>
      <c r="FW62" s="2849"/>
      <c r="FX62" s="2849"/>
      <c r="FY62" s="2849"/>
      <c r="FZ62" s="2849"/>
      <c r="GA62" s="2849"/>
      <c r="GB62" s="2849"/>
      <c r="GC62" s="2849"/>
      <c r="GD62" s="2849"/>
      <c r="GE62" s="2849"/>
      <c r="GF62" s="2849"/>
      <c r="GG62" s="2849"/>
      <c r="GH62" s="2849"/>
      <c r="GI62" s="2849"/>
      <c r="GJ62" s="2849"/>
      <c r="GK62" s="2849"/>
      <c r="GL62" s="2849"/>
      <c r="GM62" s="2849"/>
      <c r="GN62" s="2849"/>
      <c r="GO62" s="2849"/>
      <c r="GP62" s="2849"/>
      <c r="GQ62" s="2849"/>
      <c r="GR62" s="2849"/>
      <c r="GS62" s="2849"/>
      <c r="GT62" s="2849"/>
      <c r="GU62" s="2849"/>
      <c r="GV62" s="2849"/>
      <c r="GW62" s="2849" t="str">
        <f>IF(PS_B_IND&gt;1,IF(PS_A_IND&gt;1,"",IF(LUN_IND&gt;1,"",IF(SE_B_IND&gt;1,"",IF(SE_A_IND&gt;1,"",IF(NIC_ex_set,"Y","N"))))),"")</f>
        <v/>
      </c>
      <c r="GX62" s="2849"/>
      <c r="GY62" s="2849" t="str">
        <f>IF(PS_B_IND&gt;1,IF(PS_A_IND&gt;1,"",IF(LUN_IND&gt;1,"",IF(SE_B_IND&gt;1,"",IF(SE_A_IND&gt;1,"",IF(NIC_ex_set,"Y","N"))))),"")</f>
        <v/>
      </c>
      <c r="GZ62" s="2849"/>
      <c r="HA62" s="2849"/>
      <c r="HB62" s="2849"/>
      <c r="HC62" s="2849"/>
      <c r="HD62" s="2849"/>
      <c r="HE62" s="2849" t="str">
        <f>IF(PS_B_IND&gt;1,IF(PS_A_IND&gt;1,"",IF(LUN_IND&gt;1,"",IF(SE_B_IND&gt;1,"",IF(SE_A_IND&gt;1,"",IF(NIC_ex_set,"Y","N"))))),"")</f>
        <v/>
      </c>
      <c r="HF62" s="2849"/>
      <c r="HG62" s="2849"/>
      <c r="HH62" s="2849"/>
      <c r="HI62" s="2849"/>
      <c r="HJ62" s="2849"/>
      <c r="HK62" s="2849"/>
      <c r="HL62" s="2849"/>
      <c r="HM62" s="2849"/>
      <c r="HN62" s="2849"/>
      <c r="HO62" s="2849"/>
      <c r="HP62" s="2849"/>
      <c r="HQ62" s="2849"/>
      <c r="HR62" s="2849"/>
      <c r="HS62" s="2849"/>
      <c r="HT62" s="2849"/>
      <c r="HU62" s="2849"/>
      <c r="HV62" s="2849"/>
      <c r="HW62" s="2849"/>
      <c r="HX62" s="2849"/>
      <c r="HY62" s="2849"/>
      <c r="HZ62" s="2849"/>
      <c r="IA62" s="2849"/>
      <c r="IB62" s="2849"/>
      <c r="IC62" s="2849"/>
      <c r="ID62" s="2849"/>
      <c r="IE62" s="2849"/>
      <c r="IF62" s="2849"/>
      <c r="IG62" s="2849"/>
      <c r="IH62" s="2849"/>
      <c r="II62" s="2849"/>
      <c r="IJ62" s="2849"/>
      <c r="IK62" s="2849"/>
      <c r="IL62" s="2849"/>
      <c r="IM62" s="2849"/>
      <c r="IN62" s="2849"/>
      <c r="IO62" s="2849" t="str">
        <f>IF(PS_B_IND&gt;1,IF(PS_A_IND&gt;1,"",IF(LUN_IND&gt;1,"",IF(SE_B_IND&gt;1,"",IF(SE_A_IND&gt;1,"",IF(NIC_ex_set,"Y","N"))))),"")</f>
        <v/>
      </c>
      <c r="IP62" s="2849"/>
      <c r="IQ62" s="3843" t="s">
        <v>572</v>
      </c>
      <c r="IR62" s="2849"/>
      <c r="IS62" s="2849"/>
      <c r="IT62" s="3987" t="s">
        <v>572</v>
      </c>
      <c r="IU62" s="2849"/>
      <c r="IV62" s="2849"/>
      <c r="IW62" s="2849"/>
      <c r="IX62" s="2849"/>
      <c r="IY62" s="4169" t="s">
        <v>572</v>
      </c>
      <c r="IZ62" s="2849"/>
      <c r="JA62" s="3818"/>
      <c r="JB62" s="4169"/>
      <c r="JC62" s="4246" t="s">
        <v>572</v>
      </c>
      <c r="JD62" s="2849"/>
      <c r="JE62" s="3818"/>
      <c r="JF62" s="3818"/>
      <c r="JG62" s="4170"/>
      <c r="JH62" s="1233"/>
      <c r="JI62" s="1232"/>
      <c r="JJ62" s="1660" t="s">
        <v>6111</v>
      </c>
    </row>
    <row ht="12.75" r="63" spans="1:270" x14ac:dyDescent="0.2">
      <c r="A63" s="1128">
        <v>28</v>
      </c>
      <c r="B63" s="1557" t="str">
        <f si="1" t="shared"/>
        <v/>
      </c>
      <c r="C63" s="1559" t="s">
        <v>855</v>
      </c>
      <c r="D63" s="1350" t="s">
        <v>5649</v>
      </c>
      <c r="E63" s="2847"/>
      <c r="F63" s="2847"/>
      <c r="G63" s="2847"/>
      <c r="H63" s="2847"/>
      <c r="I63" s="2847"/>
      <c r="J63" s="2847"/>
      <c r="K63" s="2847"/>
      <c r="L63" s="2847"/>
      <c r="M63" s="2847"/>
      <c r="N63" s="2847"/>
      <c r="O63" s="2847"/>
      <c r="P63" s="2847"/>
      <c r="Q63" s="2847"/>
      <c r="R63" s="2847"/>
      <c r="S63" s="2847"/>
      <c r="T63" s="2847"/>
      <c r="U63" s="2847"/>
      <c r="V63" s="2847"/>
      <c r="W63" s="2847"/>
      <c r="X63" s="2847"/>
      <c r="Y63" s="2847"/>
      <c r="Z63" s="2847"/>
      <c r="AA63" s="2847"/>
      <c r="AB63" s="2847"/>
      <c r="AC63" s="2847"/>
      <c r="AD63" s="2847"/>
      <c r="AE63" s="2847"/>
      <c r="AF63" s="2847"/>
      <c r="AG63" s="2847"/>
      <c r="AH63" s="2847"/>
      <c r="AI63" s="2847"/>
      <c r="AJ63" s="2847"/>
      <c r="AK63" s="2847"/>
      <c r="AL63" s="2847"/>
      <c r="AM63" s="2847"/>
      <c r="AN63" s="2847"/>
      <c r="AO63" s="2847"/>
      <c r="AP63" s="2847"/>
      <c r="AQ63" s="2847"/>
      <c r="AR63" s="2847"/>
      <c r="AS63" s="2847"/>
      <c r="AT63" s="2847"/>
      <c r="AU63" s="2847"/>
      <c r="AV63" s="2847"/>
      <c r="AW63" s="2847"/>
      <c r="AX63" s="2847"/>
      <c r="AY63" s="2847"/>
      <c r="AZ63" s="2847"/>
      <c r="BA63" s="2847"/>
      <c r="BB63" s="2847"/>
      <c r="BC63" s="2847"/>
      <c r="BD63" s="2847"/>
      <c r="BE63" s="2847"/>
      <c r="BF63" s="2847"/>
      <c r="BG63" s="2847"/>
      <c r="BH63" s="2847"/>
      <c r="BI63" s="2847"/>
      <c r="BJ63" s="2847"/>
      <c r="BK63" s="2847"/>
      <c r="BL63" s="2847"/>
      <c r="BM63" s="2847"/>
      <c r="BN63" s="2847"/>
      <c r="BO63" s="2847"/>
      <c r="BP63" s="2847"/>
      <c r="BQ63" s="2847"/>
      <c r="BR63" s="2847"/>
      <c r="BS63" s="2847"/>
      <c r="BT63" s="2847"/>
      <c r="BU63" s="2847"/>
      <c r="BV63" s="2847"/>
      <c r="BW63" s="2847"/>
      <c r="BX63" s="2847"/>
      <c r="BY63" s="2847"/>
      <c r="BZ63" s="2847"/>
      <c r="CA63" s="2847"/>
      <c r="CB63" s="2847"/>
      <c r="CC63" s="2847"/>
      <c r="CD63" s="2847"/>
      <c r="CE63" s="2847"/>
      <c r="CF63" s="2847"/>
      <c r="CG63" s="2847"/>
      <c r="CH63" s="2847"/>
      <c r="CI63" s="2847"/>
      <c r="CJ63" s="2847"/>
      <c r="CK63" s="2847"/>
      <c r="CL63" s="2847"/>
      <c r="CM63" s="2847"/>
      <c r="CN63" s="2847"/>
      <c r="CO63" s="2847"/>
      <c r="CP63" s="2847"/>
      <c r="CQ63" s="2847"/>
      <c r="CR63" s="2847"/>
      <c r="CS63" s="2847"/>
      <c r="CT63" s="2847"/>
      <c r="CU63" s="2847"/>
      <c r="CV63" s="2847"/>
      <c r="CW63" s="2847"/>
      <c r="CX63" s="2847"/>
      <c r="CY63" s="2847"/>
      <c r="CZ63" s="2847">
        <v>8269</v>
      </c>
      <c r="DA63" s="2847">
        <v>8269</v>
      </c>
      <c r="DB63" s="2847"/>
      <c r="DC63" s="2847"/>
      <c r="DD63" s="2847"/>
      <c r="DE63" s="2847"/>
      <c r="DF63" s="2847"/>
      <c r="DG63" s="2847"/>
      <c r="DH63" s="2847"/>
      <c r="DI63" s="2847"/>
      <c r="DJ63" s="2847"/>
      <c r="DK63" s="2847"/>
      <c r="DL63" s="2847"/>
      <c r="DM63" s="2847"/>
      <c r="DN63" s="2847"/>
      <c r="DO63" s="2847"/>
      <c r="DP63" s="2847"/>
      <c r="DQ63" s="2847"/>
      <c r="DR63" s="2847"/>
      <c r="DS63" s="2847"/>
      <c r="DT63" s="2847"/>
      <c r="DU63" s="2847"/>
      <c r="DV63" s="2847"/>
      <c r="DW63" s="2847"/>
      <c r="DX63" s="2847"/>
      <c r="DY63" s="2847"/>
      <c r="DZ63" s="2847"/>
      <c r="EA63" s="2847"/>
      <c r="EB63" s="2847"/>
      <c r="EC63" s="2847"/>
      <c r="ED63" s="2847"/>
      <c r="EE63" s="2847"/>
      <c r="EF63" s="2847"/>
      <c r="EG63" s="2847"/>
      <c r="EH63" s="2847"/>
      <c r="EI63" s="2847"/>
      <c r="EJ63" s="2847"/>
      <c r="EK63" s="2847"/>
      <c r="EL63" s="2847"/>
      <c r="EM63" s="2847"/>
      <c r="EN63" s="2847"/>
      <c r="EO63" s="2847"/>
      <c r="EP63" s="2847"/>
      <c r="EQ63" s="2847"/>
      <c r="ER63" s="2847"/>
      <c r="ES63" s="2847"/>
      <c r="ET63" s="2847"/>
      <c r="EU63" s="2847"/>
      <c r="EV63" s="2847"/>
      <c r="EW63" s="2847"/>
      <c r="EX63" s="2847"/>
      <c r="EY63" s="2847"/>
      <c r="EZ63" s="2847"/>
      <c r="FA63" s="2847"/>
      <c r="FB63" s="2847"/>
      <c r="FC63" s="2847"/>
      <c r="FD63" s="2847"/>
      <c r="FE63" s="2847"/>
      <c r="FF63" s="2847"/>
      <c r="FG63" s="2847"/>
      <c r="FH63" s="2847"/>
      <c r="FI63" s="2847"/>
      <c r="FJ63" s="2847"/>
      <c r="FK63" s="2847">
        <v>8269</v>
      </c>
      <c r="FL63" s="2847"/>
      <c r="FM63" s="2847"/>
      <c r="FN63" s="2847"/>
      <c r="FO63" s="2847"/>
      <c r="FP63" s="2847"/>
      <c r="FQ63" s="2847"/>
      <c r="FR63" s="2847"/>
      <c r="FS63" s="2847"/>
      <c r="FT63" s="2847"/>
      <c r="FU63" s="2847"/>
      <c r="FV63" s="2847"/>
      <c r="FW63" s="2847"/>
      <c r="FX63" s="2847"/>
      <c r="FY63" s="2847"/>
      <c r="FZ63" s="2847"/>
      <c r="GA63" s="2847"/>
      <c r="GB63" s="2847"/>
      <c r="GC63" s="2847"/>
      <c r="GD63" s="2847"/>
      <c r="GE63" s="2847"/>
      <c r="GF63" s="2847"/>
      <c r="GG63" s="2847"/>
      <c r="GH63" s="2847"/>
      <c r="GI63" s="2847"/>
      <c r="GJ63" s="2847"/>
      <c r="GK63" s="2847"/>
      <c r="GL63" s="2847"/>
      <c r="GM63" s="2847"/>
      <c r="GN63" s="2847"/>
      <c r="GO63" s="2847"/>
      <c r="GP63" s="2847"/>
      <c r="GQ63" s="2847"/>
      <c r="GR63" s="2847"/>
      <c r="GS63" s="2847"/>
      <c r="GT63" s="2847"/>
      <c r="GU63" s="2847"/>
      <c r="GV63" s="2847"/>
      <c r="GW63" s="2847"/>
      <c r="GX63" s="2847"/>
      <c r="GY63" s="2847"/>
      <c r="GZ63" s="2847"/>
      <c r="HA63" s="2847"/>
      <c r="HB63" s="2847"/>
      <c r="HC63" s="2847"/>
      <c r="HD63" s="2847"/>
      <c r="HE63" s="2847"/>
      <c r="HF63" s="2847"/>
      <c r="HG63" s="2847"/>
      <c r="HH63" s="2847"/>
      <c r="HI63" s="2847"/>
      <c r="HJ63" s="2847"/>
      <c r="HK63" s="2847"/>
      <c r="HL63" s="2847"/>
      <c r="HM63" s="2847"/>
      <c r="HN63" s="2847"/>
      <c r="HO63" s="2847"/>
      <c r="HP63" s="2847"/>
      <c r="HQ63" s="2847"/>
      <c r="HR63" s="2847"/>
      <c r="HS63" s="2847"/>
      <c r="HT63" s="2847"/>
      <c r="HU63" s="2847"/>
      <c r="HV63" s="2847"/>
      <c r="HW63" s="2847"/>
      <c r="HX63" s="2847"/>
      <c r="HY63" s="2847"/>
      <c r="HZ63" s="2847"/>
      <c r="IA63" s="2847"/>
      <c r="IB63" s="2847"/>
      <c r="IC63" s="2847"/>
      <c r="ID63" s="2847"/>
      <c r="IE63" s="2847"/>
      <c r="IF63" s="2847"/>
      <c r="IG63" s="2847"/>
      <c r="IH63" s="2847"/>
      <c r="II63" s="2847"/>
      <c r="IJ63" s="2847"/>
      <c r="IK63" s="2847"/>
      <c r="IL63" s="2847"/>
      <c r="IM63" s="2847"/>
      <c r="IN63" s="2847"/>
      <c r="IO63" s="2847"/>
      <c r="IP63" s="2847"/>
      <c r="IQ63" s="3841"/>
      <c r="IR63" s="2847"/>
      <c r="IS63" s="2847"/>
      <c r="IT63" s="3987"/>
      <c r="IU63" s="2847"/>
      <c r="IV63" s="2847"/>
      <c r="IW63" s="2847"/>
      <c r="IX63" s="2847"/>
      <c r="IY63" s="4162"/>
      <c r="IZ63" s="2847"/>
      <c r="JA63" s="3815"/>
      <c r="JB63" s="4162"/>
      <c r="JC63" s="4243"/>
      <c r="JD63" s="2847"/>
      <c r="JE63" s="3815"/>
      <c r="JF63" s="3815"/>
      <c r="JG63" s="4163"/>
      <c r="JH63" s="1233"/>
      <c r="JI63" s="1393" t="s">
        <v>5629</v>
      </c>
      <c r="JJ63" s="1660" t="s">
        <v>6108</v>
      </c>
    </row>
    <row ht="12.75" r="64" spans="1:270" x14ac:dyDescent="0.2">
      <c r="A64" s="1128">
        <v>29</v>
      </c>
      <c r="B64" s="1557" t="str">
        <f si="1" t="shared"/>
        <v/>
      </c>
      <c r="C64" s="1559" t="s">
        <v>856</v>
      </c>
      <c r="D64" s="1350" t="s">
        <v>5650</v>
      </c>
      <c r="E64" s="4158"/>
      <c r="F64" s="4158"/>
      <c r="G64" s="4158"/>
      <c r="H64" s="4158"/>
      <c r="I64" s="4158"/>
      <c r="J64" s="4158"/>
      <c r="K64" s="4158"/>
      <c r="L64" s="4158"/>
      <c r="M64" s="4158"/>
      <c r="N64" s="4158"/>
      <c r="O64" s="4158"/>
      <c r="P64" s="4158"/>
      <c r="Q64" s="4158"/>
      <c r="R64" s="4158"/>
      <c r="S64" s="4158"/>
      <c r="T64" s="4158"/>
      <c r="U64" s="4158"/>
      <c r="V64" s="4158"/>
      <c r="W64" s="4158"/>
      <c r="X64" s="4158"/>
      <c r="Y64" s="4158"/>
      <c r="Z64" s="4158"/>
      <c r="AA64" s="4158"/>
      <c r="AB64" s="4158"/>
      <c r="AC64" s="4158"/>
      <c r="AD64" s="2854"/>
      <c r="AE64" s="2854"/>
      <c r="AF64" s="2854"/>
      <c r="AG64" s="2854"/>
      <c r="AH64" s="2854"/>
      <c r="AI64" s="4158"/>
      <c r="AJ64" s="4158"/>
      <c r="AK64" s="4158"/>
      <c r="AL64" s="4158"/>
      <c r="AM64" s="2854"/>
      <c r="AN64" s="4158"/>
      <c r="AO64" s="4158"/>
      <c r="AP64" s="4158"/>
      <c r="AQ64" s="4158"/>
      <c r="AR64" s="4158"/>
      <c r="AS64" s="4158"/>
      <c r="AT64" s="4158"/>
      <c r="AU64" s="4158"/>
      <c r="AV64" s="4158"/>
      <c r="AW64" s="4158"/>
      <c r="AX64" s="4158"/>
      <c r="AY64" s="4158"/>
      <c r="AZ64" s="4158"/>
      <c r="BA64" s="4158"/>
      <c r="BB64" s="2854">
        <v>426</v>
      </c>
      <c r="BC64" s="2854"/>
      <c r="BD64" s="4158"/>
      <c r="BE64" s="4158"/>
      <c r="BF64" s="4158"/>
      <c r="BG64" s="4158"/>
      <c r="BH64" s="4158"/>
      <c r="BI64" s="4158"/>
      <c r="BJ64" s="4158"/>
      <c r="BK64" s="4158"/>
      <c r="BL64" s="4158"/>
      <c r="BM64" s="4158"/>
      <c r="BN64" s="4158"/>
      <c r="BO64" s="4158"/>
      <c r="BP64" s="4158"/>
      <c r="BQ64" s="4158"/>
      <c r="BR64" s="4158"/>
      <c r="BS64" s="4158"/>
      <c r="BT64" s="4158"/>
      <c r="BU64" s="4158"/>
      <c r="BV64" s="4158"/>
      <c r="BW64" s="4158"/>
      <c r="BX64" s="4158"/>
      <c r="BY64" s="4158"/>
      <c r="BZ64" s="4158"/>
      <c r="CA64" s="4158"/>
      <c r="CB64" s="4158"/>
      <c r="CC64" s="4158"/>
      <c r="CD64" s="4158"/>
      <c r="CE64" s="4158"/>
      <c r="CF64" s="4158"/>
      <c r="CG64" s="4158"/>
      <c r="CH64" s="4158"/>
      <c r="CI64" s="4158"/>
      <c r="CJ64" s="4158"/>
      <c r="CK64" s="4158"/>
      <c r="CL64" s="4158"/>
      <c r="CM64" s="4158"/>
      <c r="CN64" s="4158"/>
      <c r="CO64" s="4158"/>
      <c r="CP64" s="2854">
        <v>331</v>
      </c>
      <c r="CQ64" s="4158"/>
      <c r="CR64" s="4158"/>
      <c r="CS64" s="4158"/>
      <c r="CT64" s="4158"/>
      <c r="CU64" s="4158"/>
      <c r="CV64" s="4158"/>
      <c r="CW64" s="4158"/>
      <c r="CX64" s="4158"/>
      <c r="CY64" s="2854">
        <v>1265</v>
      </c>
      <c r="CZ64" s="2854">
        <v>21569</v>
      </c>
      <c r="DA64" s="2854">
        <v>21569</v>
      </c>
      <c r="DB64" s="4158"/>
      <c r="DC64" s="4158"/>
      <c r="DD64" s="4158"/>
      <c r="DE64" s="4158"/>
      <c r="DF64" s="4158"/>
      <c r="DG64" s="4158"/>
      <c r="DH64" s="2854"/>
      <c r="DI64" s="4158"/>
      <c r="DJ64" s="2854">
        <v>1265</v>
      </c>
      <c r="DK64" s="4158"/>
      <c r="DL64" s="4158"/>
      <c r="DM64" s="2854">
        <v>1265</v>
      </c>
      <c r="DN64" s="4158"/>
      <c r="DO64" s="4158"/>
      <c r="DP64" s="4158"/>
      <c r="DQ64" s="4158"/>
      <c r="DR64" s="4158"/>
      <c r="DS64" s="4158"/>
      <c r="DT64" s="4158"/>
      <c r="DU64" s="4158"/>
      <c r="DV64" s="4158"/>
      <c r="DW64" s="4158"/>
      <c r="DX64" s="4158"/>
      <c r="DY64" s="4158"/>
      <c r="DZ64" s="4158"/>
      <c r="EA64" s="4158"/>
      <c r="EB64" s="4158"/>
      <c r="EC64" s="4158"/>
      <c r="ED64" s="4158"/>
      <c r="EE64" s="4158"/>
      <c r="EF64" s="4158"/>
      <c r="EG64" s="4158"/>
      <c r="EH64" s="2854"/>
      <c r="EI64" s="2854">
        <v>854</v>
      </c>
      <c r="EJ64" s="4158"/>
      <c r="EK64" s="4158"/>
      <c r="EL64" s="4158"/>
      <c r="EM64" s="4158"/>
      <c r="EN64" s="4158"/>
      <c r="EO64" s="4158"/>
      <c r="EP64" s="4158"/>
      <c r="EQ64" s="4158"/>
      <c r="ER64" s="4158"/>
      <c r="ES64" s="4158"/>
      <c r="ET64" s="4158"/>
      <c r="EU64" s="4158"/>
      <c r="EV64" s="4158"/>
      <c r="EW64" s="4158"/>
      <c r="EX64" s="4158"/>
      <c r="EY64" s="4158"/>
      <c r="EZ64" s="4158"/>
      <c r="FA64" s="2854">
        <v>1265</v>
      </c>
      <c r="FB64" s="4158"/>
      <c r="FC64" s="4158"/>
      <c r="FD64" s="4158"/>
      <c r="FE64" s="4158"/>
      <c r="FF64" s="4158"/>
      <c r="FG64" s="4158"/>
      <c r="FH64" s="4158"/>
      <c r="FI64" s="4158"/>
      <c r="FJ64" s="4158"/>
      <c r="FK64" s="2854">
        <v>21569</v>
      </c>
      <c r="FL64" s="4158"/>
      <c r="FM64" s="4158"/>
      <c r="FN64" s="4158"/>
      <c r="FO64" s="4158"/>
      <c r="FP64" s="4158"/>
      <c r="FQ64" s="4158"/>
      <c r="FR64" s="4158"/>
      <c r="FS64" s="4158"/>
      <c r="FT64" s="4158"/>
      <c r="FU64" s="4158"/>
      <c r="FV64" s="2854"/>
      <c r="FW64" s="4158"/>
      <c r="FX64" s="4158"/>
      <c r="FY64" s="4158"/>
      <c r="FZ64" s="4158"/>
      <c r="GA64" s="4158"/>
      <c r="GB64" s="4158"/>
      <c r="GC64" s="4158"/>
      <c r="GD64" s="4158"/>
      <c r="GE64" s="4158"/>
      <c r="GF64" s="4158"/>
      <c r="GG64" s="4158"/>
      <c r="GH64" s="4158"/>
      <c r="GI64" s="4158"/>
      <c r="GJ64" s="4158"/>
      <c r="GK64" s="4158"/>
      <c r="GL64" s="4158"/>
      <c r="GM64" s="4158"/>
      <c r="GN64" s="4158"/>
      <c r="GO64" s="4158"/>
      <c r="GP64" s="4158"/>
      <c r="GQ64" s="4158"/>
      <c r="GR64" s="4158"/>
      <c r="GS64" s="4158"/>
      <c r="GT64" s="4158"/>
      <c r="GU64" s="4158"/>
      <c r="GV64" s="4158"/>
      <c r="GW64" s="2854"/>
      <c r="GX64" s="4158"/>
      <c r="GY64" s="2854">
        <v>855</v>
      </c>
      <c r="GZ64" s="4158"/>
      <c r="HA64" s="4158"/>
      <c r="HB64" s="4158"/>
      <c r="HC64" s="4158"/>
      <c r="HD64" s="4158"/>
      <c r="HE64" s="2854"/>
      <c r="HF64" s="4158"/>
      <c r="HG64" s="4158"/>
      <c r="HH64" s="4158"/>
      <c r="HI64" s="4158"/>
      <c r="HJ64" s="4158"/>
      <c r="HK64" s="4158"/>
      <c r="HL64" s="4158"/>
      <c r="HM64" s="4158"/>
      <c r="HN64" s="4158"/>
      <c r="HO64" s="4158"/>
      <c r="HP64" s="4158"/>
      <c r="HQ64" s="4158"/>
      <c r="HR64" s="4158"/>
      <c r="HS64" s="4158"/>
      <c r="HT64" s="4158"/>
      <c r="HU64" s="4158"/>
      <c r="HV64" s="4158"/>
      <c r="HW64" s="4158"/>
      <c r="HX64" s="4158"/>
      <c r="HY64" s="4158"/>
      <c r="HZ64" s="4158"/>
      <c r="IA64" s="4158"/>
      <c r="IB64" s="4158"/>
      <c r="IC64" s="4158"/>
      <c r="ID64" s="4158"/>
      <c r="IE64" s="4158"/>
      <c r="IF64" s="4158"/>
      <c r="IG64" s="4158"/>
      <c r="IH64" s="4158"/>
      <c r="II64" s="4158"/>
      <c r="IJ64" s="4158"/>
      <c r="IK64" s="4158"/>
      <c r="IL64" s="4158"/>
      <c r="IM64" s="4158"/>
      <c r="IN64" s="4158"/>
      <c r="IO64" s="2854"/>
      <c r="IP64" s="4158"/>
      <c r="IQ64" s="4159"/>
      <c r="IR64" s="4158"/>
      <c r="IS64" s="4158"/>
      <c r="IT64" s="4160">
        <v>5319</v>
      </c>
      <c r="IU64" s="4158"/>
      <c r="IV64" s="4158"/>
      <c r="IW64" s="4158"/>
      <c r="IX64" s="4158"/>
      <c r="IY64" s="4160">
        <v>14</v>
      </c>
      <c r="IZ64" s="4158"/>
      <c r="JA64" s="3814"/>
      <c r="JB64" s="4314">
        <v>7</v>
      </c>
      <c r="JC64" s="4242">
        <v>14</v>
      </c>
      <c r="JD64" s="2854"/>
      <c r="JE64" s="3814"/>
      <c r="JF64" s="3814"/>
      <c r="JG64" s="4161"/>
      <c r="JH64" s="1233"/>
      <c r="JI64" s="1393"/>
      <c r="JJ64" s="1660" t="s">
        <v>6108</v>
      </c>
    </row>
    <row ht="12.75" r="65" spans="1:270" x14ac:dyDescent="0.2">
      <c r="A65" s="1128">
        <v>30</v>
      </c>
      <c r="B65" s="1557" t="str">
        <f si="1" t="shared"/>
        <v/>
      </c>
      <c r="C65" s="1559" t="s">
        <v>857</v>
      </c>
      <c r="D65" s="1350" t="s">
        <v>5651</v>
      </c>
      <c r="E65" s="4158"/>
      <c r="F65" s="4158"/>
      <c r="G65" s="4158"/>
      <c r="H65" s="4158"/>
      <c r="I65" s="4158"/>
      <c r="J65" s="4158"/>
      <c r="K65" s="4158"/>
      <c r="L65" s="4158"/>
      <c r="M65" s="4158"/>
      <c r="N65" s="4158"/>
      <c r="O65" s="4158"/>
      <c r="P65" s="4158"/>
      <c r="Q65" s="4158"/>
      <c r="R65" s="4158"/>
      <c r="S65" s="4158"/>
      <c r="T65" s="4158"/>
      <c r="U65" s="4158"/>
      <c r="V65" s="4158"/>
      <c r="W65" s="4158"/>
      <c r="X65" s="4158"/>
      <c r="Y65" s="4158"/>
      <c r="Z65" s="4158"/>
      <c r="AA65" s="4158"/>
      <c r="AB65" s="4158"/>
      <c r="AC65" s="4158"/>
      <c r="AD65" s="2854"/>
      <c r="AE65" s="2854"/>
      <c r="AF65" s="2854"/>
      <c r="AG65" s="2854"/>
      <c r="AH65" s="2854"/>
      <c r="AI65" s="4158"/>
      <c r="AJ65" s="4158"/>
      <c r="AK65" s="4158"/>
      <c r="AL65" s="4158"/>
      <c r="AM65" s="2854"/>
      <c r="AN65" s="4158"/>
      <c r="AO65" s="4158"/>
      <c r="AP65" s="4158"/>
      <c r="AQ65" s="4158"/>
      <c r="AR65" s="4158"/>
      <c r="AS65" s="4158"/>
      <c r="AT65" s="4158"/>
      <c r="AU65" s="4158"/>
      <c r="AV65" s="4158"/>
      <c r="AW65" s="4158"/>
      <c r="AX65" s="4158"/>
      <c r="AY65" s="4158"/>
      <c r="AZ65" s="4158"/>
      <c r="BA65" s="4158"/>
      <c r="BB65" s="2854"/>
      <c r="BC65" s="2854"/>
      <c r="BD65" s="4158"/>
      <c r="BE65" s="4158"/>
      <c r="BF65" s="4158"/>
      <c r="BG65" s="4158"/>
      <c r="BH65" s="4158"/>
      <c r="BI65" s="4158"/>
      <c r="BJ65" s="4158"/>
      <c r="BK65" s="4158"/>
      <c r="BL65" s="4158"/>
      <c r="BM65" s="4158"/>
      <c r="BN65" s="4158"/>
      <c r="BO65" s="4158"/>
      <c r="BP65" s="4158"/>
      <c r="BQ65" s="4158"/>
      <c r="BR65" s="4158"/>
      <c r="BS65" s="4158"/>
      <c r="BT65" s="4158"/>
      <c r="BU65" s="4158"/>
      <c r="BV65" s="4158"/>
      <c r="BW65" s="4158"/>
      <c r="BX65" s="4158"/>
      <c r="BY65" s="4158"/>
      <c r="BZ65" s="4158"/>
      <c r="CA65" s="4158"/>
      <c r="CB65" s="4158"/>
      <c r="CC65" s="4158"/>
      <c r="CD65" s="4158"/>
      <c r="CE65" s="4158"/>
      <c r="CF65" s="4158"/>
      <c r="CG65" s="4158"/>
      <c r="CH65" s="4158"/>
      <c r="CI65" s="4158"/>
      <c r="CJ65" s="4158"/>
      <c r="CK65" s="4158"/>
      <c r="CL65" s="4158"/>
      <c r="CM65" s="4158"/>
      <c r="CN65" s="4158"/>
      <c r="CO65" s="4158"/>
      <c r="CP65" s="2854"/>
      <c r="CQ65" s="4158"/>
      <c r="CR65" s="4158"/>
      <c r="CS65" s="4158"/>
      <c r="CT65" s="4158"/>
      <c r="CU65" s="4158"/>
      <c r="CV65" s="4158"/>
      <c r="CW65" s="4158"/>
      <c r="CX65" s="4158"/>
      <c r="CY65" s="2854"/>
      <c r="CZ65" s="2862">
        <v>-4314</v>
      </c>
      <c r="DA65" s="2862">
        <v>-4314</v>
      </c>
      <c r="DB65" s="4158"/>
      <c r="DC65" s="4158"/>
      <c r="DD65" s="4158"/>
      <c r="DE65" s="4158"/>
      <c r="DF65" s="4158"/>
      <c r="DG65" s="4158"/>
      <c r="DH65" s="2854"/>
      <c r="DI65" s="4158"/>
      <c r="DJ65" s="2854"/>
      <c r="DK65" s="4158"/>
      <c r="DL65" s="4158"/>
      <c r="DM65" s="2854"/>
      <c r="DN65" s="4158"/>
      <c r="DO65" s="4158"/>
      <c r="DP65" s="4158"/>
      <c r="DQ65" s="4158"/>
      <c r="DR65" s="4158"/>
      <c r="DS65" s="4158"/>
      <c r="DT65" s="4158"/>
      <c r="DU65" s="4158"/>
      <c r="DV65" s="4158"/>
      <c r="DW65" s="4158"/>
      <c r="DX65" s="4158"/>
      <c r="DY65" s="4158"/>
      <c r="DZ65" s="4158"/>
      <c r="EA65" s="4158"/>
      <c r="EB65" s="4158"/>
      <c r="EC65" s="4158"/>
      <c r="ED65" s="4158"/>
      <c r="EE65" s="4158"/>
      <c r="EF65" s="4158"/>
      <c r="EG65" s="4158"/>
      <c r="EH65" s="2854"/>
      <c r="EI65" s="2854"/>
      <c r="EJ65" s="4158"/>
      <c r="EK65" s="4158"/>
      <c r="EL65" s="4158"/>
      <c r="EM65" s="4158"/>
      <c r="EN65" s="4158"/>
      <c r="EO65" s="4158"/>
      <c r="EP65" s="4158"/>
      <c r="EQ65" s="4158"/>
      <c r="ER65" s="4158"/>
      <c r="ES65" s="4158"/>
      <c r="ET65" s="4158"/>
      <c r="EU65" s="4158"/>
      <c r="EV65" s="4158"/>
      <c r="EW65" s="4158"/>
      <c r="EX65" s="4158"/>
      <c r="EY65" s="4158"/>
      <c r="EZ65" s="4158"/>
      <c r="FA65" s="2854"/>
      <c r="FB65" s="4158"/>
      <c r="FC65" s="4158"/>
      <c r="FD65" s="4158"/>
      <c r="FE65" s="4158"/>
      <c r="FF65" s="4158"/>
      <c r="FG65" s="4158"/>
      <c r="FH65" s="4158"/>
      <c r="FI65" s="4158"/>
      <c r="FJ65" s="4158"/>
      <c r="FK65" s="2862">
        <v>-4314</v>
      </c>
      <c r="FL65" s="4158"/>
      <c r="FM65" s="4158"/>
      <c r="FN65" s="4158"/>
      <c r="FO65" s="4158"/>
      <c r="FP65" s="4158"/>
      <c r="FQ65" s="4158"/>
      <c r="FR65" s="4158"/>
      <c r="FS65" s="4158"/>
      <c r="FT65" s="4158"/>
      <c r="FU65" s="4158"/>
      <c r="FV65" s="2854"/>
      <c r="FW65" s="4158"/>
      <c r="FX65" s="4158"/>
      <c r="FY65" s="4158"/>
      <c r="FZ65" s="4158"/>
      <c r="GA65" s="4158"/>
      <c r="GB65" s="4158"/>
      <c r="GC65" s="4158"/>
      <c r="GD65" s="4158"/>
      <c r="GE65" s="4158"/>
      <c r="GF65" s="4158"/>
      <c r="GG65" s="4158"/>
      <c r="GH65" s="4158"/>
      <c r="GI65" s="4158"/>
      <c r="GJ65" s="4158"/>
      <c r="GK65" s="4158"/>
      <c r="GL65" s="4158"/>
      <c r="GM65" s="4158"/>
      <c r="GN65" s="4158"/>
      <c r="GO65" s="4158"/>
      <c r="GP65" s="4158"/>
      <c r="GQ65" s="4158"/>
      <c r="GR65" s="4158"/>
      <c r="GS65" s="4158"/>
      <c r="GT65" s="4158"/>
      <c r="GU65" s="4158"/>
      <c r="GV65" s="4158"/>
      <c r="GW65" s="2854"/>
      <c r="GX65" s="4158"/>
      <c r="GY65" s="2854"/>
      <c r="GZ65" s="4158"/>
      <c r="HA65" s="4158"/>
      <c r="HB65" s="4158"/>
      <c r="HC65" s="4158"/>
      <c r="HD65" s="4158"/>
      <c r="HE65" s="2854"/>
      <c r="HF65" s="4158"/>
      <c r="HG65" s="4158"/>
      <c r="HH65" s="4158"/>
      <c r="HI65" s="4158"/>
      <c r="HJ65" s="4158"/>
      <c r="HK65" s="4158"/>
      <c r="HL65" s="4158"/>
      <c r="HM65" s="4158"/>
      <c r="HN65" s="4158"/>
      <c r="HO65" s="4158"/>
      <c r="HP65" s="4158"/>
      <c r="HQ65" s="4158"/>
      <c r="HR65" s="4158"/>
      <c r="HS65" s="4158"/>
      <c r="HT65" s="4158"/>
      <c r="HU65" s="4158"/>
      <c r="HV65" s="4158"/>
      <c r="HW65" s="4158"/>
      <c r="HX65" s="4158"/>
      <c r="HY65" s="4158"/>
      <c r="HZ65" s="4158"/>
      <c r="IA65" s="4158"/>
      <c r="IB65" s="4158"/>
      <c r="IC65" s="4158"/>
      <c r="ID65" s="4158"/>
      <c r="IE65" s="4158"/>
      <c r="IF65" s="4158"/>
      <c r="IG65" s="4158"/>
      <c r="IH65" s="4158"/>
      <c r="II65" s="4158"/>
      <c r="IJ65" s="4158"/>
      <c r="IK65" s="4158"/>
      <c r="IL65" s="4158"/>
      <c r="IM65" s="4158"/>
      <c r="IN65" s="4158"/>
      <c r="IO65" s="2854"/>
      <c r="IP65" s="4158"/>
      <c r="IQ65" s="4159"/>
      <c r="IR65" s="4158"/>
      <c r="IS65" s="4158"/>
      <c r="IT65" s="4160"/>
      <c r="IU65" s="4158"/>
      <c r="IV65" s="4158"/>
      <c r="IW65" s="4158"/>
      <c r="IX65" s="4158"/>
      <c r="IY65" s="4160"/>
      <c r="IZ65" s="4158"/>
      <c r="JA65" s="3814"/>
      <c r="JB65" s="4314"/>
      <c r="JC65" s="4242"/>
      <c r="JD65" s="2854"/>
      <c r="JE65" s="3814"/>
      <c r="JF65" s="3814"/>
      <c r="JG65" s="4161"/>
      <c r="JH65" s="1233"/>
      <c r="JI65" s="1393"/>
      <c r="JJ65" s="1660" t="s">
        <v>6110</v>
      </c>
    </row>
    <row ht="12.75" r="66" spans="1:270" x14ac:dyDescent="0.2">
      <c r="A66" s="1128">
        <v>31</v>
      </c>
      <c r="B66" s="1557" t="str">
        <f si="1" t="shared"/>
        <v/>
      </c>
      <c r="C66" s="1559" t="s">
        <v>858</v>
      </c>
      <c r="D66" s="1350" t="s">
        <v>5652</v>
      </c>
      <c r="E66" s="4164"/>
      <c r="F66" s="4164"/>
      <c r="G66" s="4164"/>
      <c r="H66" s="4164"/>
      <c r="I66" s="4164"/>
      <c r="J66" s="4164"/>
      <c r="K66" s="4164"/>
      <c r="L66" s="4164"/>
      <c r="M66" s="4164"/>
      <c r="N66" s="4164"/>
      <c r="O66" s="4164"/>
      <c r="P66" s="4164"/>
      <c r="Q66" s="4164"/>
      <c r="R66" s="4164"/>
      <c r="S66" s="4164"/>
      <c r="T66" s="4164"/>
      <c r="U66" s="4164"/>
      <c r="V66" s="4164"/>
      <c r="W66" s="4164"/>
      <c r="X66" s="4164"/>
      <c r="Y66" s="4164"/>
      <c r="Z66" s="4164"/>
      <c r="AA66" s="4164"/>
      <c r="AB66" s="4164"/>
      <c r="AC66" s="4164"/>
      <c r="AD66" s="2855"/>
      <c r="AE66" s="2855"/>
      <c r="AF66" s="2855"/>
      <c r="AG66" s="2855"/>
      <c r="AH66" s="2855"/>
      <c r="AI66" s="4164"/>
      <c r="AJ66" s="4164"/>
      <c r="AK66" s="4164"/>
      <c r="AL66" s="4164"/>
      <c r="AM66" s="2855">
        <f>AM64+AM65</f>
        <v>0</v>
      </c>
      <c r="AN66" s="4164"/>
      <c r="AO66" s="4164"/>
      <c r="AP66" s="4164"/>
      <c r="AQ66" s="4164"/>
      <c r="AR66" s="4164"/>
      <c r="AS66" s="4164"/>
      <c r="AT66" s="4164"/>
      <c r="AU66" s="4164"/>
      <c r="AV66" s="4164"/>
      <c r="AW66" s="4164"/>
      <c r="AX66" s="4164"/>
      <c r="AY66" s="4164"/>
      <c r="AZ66" s="4164"/>
      <c r="BA66" s="4164"/>
      <c r="BB66" s="2855">
        <f>BB64+BB65</f>
        <v>426</v>
      </c>
      <c r="BC66" s="2855">
        <f>BC64+BC65</f>
        <v>0</v>
      </c>
      <c r="BD66" s="4164"/>
      <c r="BE66" s="4164"/>
      <c r="BF66" s="4164"/>
      <c r="BG66" s="4164"/>
      <c r="BH66" s="4164"/>
      <c r="BI66" s="4164"/>
      <c r="BJ66" s="4164"/>
      <c r="BK66" s="4164"/>
      <c r="BL66" s="4164"/>
      <c r="BM66" s="4164"/>
      <c r="BN66" s="4164"/>
      <c r="BO66" s="4164"/>
      <c r="BP66" s="4164"/>
      <c r="BQ66" s="4164"/>
      <c r="BR66" s="4164"/>
      <c r="BS66" s="4164"/>
      <c r="BT66" s="4164"/>
      <c r="BU66" s="4164"/>
      <c r="BV66" s="4164"/>
      <c r="BW66" s="4164"/>
      <c r="BX66" s="4164"/>
      <c r="BY66" s="4164"/>
      <c r="BZ66" s="4164"/>
      <c r="CA66" s="4164"/>
      <c r="CB66" s="4164"/>
      <c r="CC66" s="4164"/>
      <c r="CD66" s="4164"/>
      <c r="CE66" s="4164"/>
      <c r="CF66" s="4164"/>
      <c r="CG66" s="4164"/>
      <c r="CH66" s="4164"/>
      <c r="CI66" s="4164"/>
      <c r="CJ66" s="4164"/>
      <c r="CK66" s="4164"/>
      <c r="CL66" s="4164"/>
      <c r="CM66" s="4164"/>
      <c r="CN66" s="4164"/>
      <c r="CO66" s="4164"/>
      <c r="CP66" s="2855">
        <f>CP64+CP65</f>
        <v>331</v>
      </c>
      <c r="CQ66" s="4164"/>
      <c r="CR66" s="4164"/>
      <c r="CS66" s="4164"/>
      <c r="CT66" s="4164"/>
      <c r="CU66" s="4164"/>
      <c r="CV66" s="4164"/>
      <c r="CW66" s="4164"/>
      <c r="CX66" s="4164"/>
      <c r="CY66" s="2855">
        <f>CY64+CY65</f>
        <v>1265</v>
      </c>
      <c r="CZ66" s="2855">
        <f>CZ64+CZ65</f>
        <v>17255</v>
      </c>
      <c r="DA66" s="2855">
        <f>DA64+DA65</f>
        <v>17255</v>
      </c>
      <c r="DB66" s="4164"/>
      <c r="DC66" s="4164"/>
      <c r="DD66" s="4164"/>
      <c r="DE66" s="4164"/>
      <c r="DF66" s="4164"/>
      <c r="DG66" s="4164"/>
      <c r="DH66" s="2855">
        <f>DH64+DH65</f>
        <v>0</v>
      </c>
      <c r="DI66" s="4164"/>
      <c r="DJ66" s="2855">
        <f>DJ64+DJ65</f>
        <v>1265</v>
      </c>
      <c r="DK66" s="4164"/>
      <c r="DL66" s="4164"/>
      <c r="DM66" s="2855">
        <f>DM64+DM65</f>
        <v>1265</v>
      </c>
      <c r="DN66" s="4164"/>
      <c r="DO66" s="4164"/>
      <c r="DP66" s="4164"/>
      <c r="DQ66" s="4164"/>
      <c r="DR66" s="4164"/>
      <c r="DS66" s="4164"/>
      <c r="DT66" s="4164"/>
      <c r="DU66" s="4164"/>
      <c r="DV66" s="4164"/>
      <c r="DW66" s="4164"/>
      <c r="DX66" s="4164"/>
      <c r="DY66" s="4164"/>
      <c r="DZ66" s="4164"/>
      <c r="EA66" s="4164"/>
      <c r="EB66" s="4164"/>
      <c r="EC66" s="4164"/>
      <c r="ED66" s="4164"/>
      <c r="EE66" s="4164"/>
      <c r="EF66" s="4164"/>
      <c r="EG66" s="4164"/>
      <c r="EH66" s="2855">
        <f>EH64+EH65</f>
        <v>0</v>
      </c>
      <c r="EI66" s="2855">
        <f>EI64+EI65</f>
        <v>854</v>
      </c>
      <c r="EJ66" s="4164"/>
      <c r="EK66" s="4164"/>
      <c r="EL66" s="4164"/>
      <c r="EM66" s="4164"/>
      <c r="EN66" s="4164"/>
      <c r="EO66" s="4164"/>
      <c r="EP66" s="4164"/>
      <c r="EQ66" s="4164"/>
      <c r="ER66" s="4164"/>
      <c r="ES66" s="4164"/>
      <c r="ET66" s="4164"/>
      <c r="EU66" s="4164"/>
      <c r="EV66" s="4164"/>
      <c r="EW66" s="4164"/>
      <c r="EX66" s="4164"/>
      <c r="EY66" s="4164"/>
      <c r="EZ66" s="4164"/>
      <c r="FA66" s="2855">
        <f>FA64+FA65</f>
        <v>1265</v>
      </c>
      <c r="FB66" s="4164"/>
      <c r="FC66" s="4164"/>
      <c r="FD66" s="4164"/>
      <c r="FE66" s="4164"/>
      <c r="FF66" s="4164"/>
      <c r="FG66" s="4164"/>
      <c r="FH66" s="4164"/>
      <c r="FI66" s="4164"/>
      <c r="FJ66" s="4164"/>
      <c r="FK66" s="2855">
        <f>FK64+FK65</f>
        <v>17255</v>
      </c>
      <c r="FL66" s="4164"/>
      <c r="FM66" s="4164"/>
      <c r="FN66" s="4164"/>
      <c r="FO66" s="4164"/>
      <c r="FP66" s="4164"/>
      <c r="FQ66" s="4164"/>
      <c r="FR66" s="4164"/>
      <c r="FS66" s="4164"/>
      <c r="FT66" s="4164"/>
      <c r="FU66" s="4164"/>
      <c r="FV66" s="2855">
        <f>FV64+FV65</f>
        <v>0</v>
      </c>
      <c r="FW66" s="4164"/>
      <c r="FX66" s="4164"/>
      <c r="FY66" s="4164"/>
      <c r="FZ66" s="4164"/>
      <c r="GA66" s="4164"/>
      <c r="GB66" s="4164"/>
      <c r="GC66" s="4164"/>
      <c r="GD66" s="4164"/>
      <c r="GE66" s="4164"/>
      <c r="GF66" s="4164"/>
      <c r="GG66" s="4164"/>
      <c r="GH66" s="4164"/>
      <c r="GI66" s="4164"/>
      <c r="GJ66" s="4164"/>
      <c r="GK66" s="4164"/>
      <c r="GL66" s="4164"/>
      <c r="GM66" s="4164"/>
      <c r="GN66" s="4164"/>
      <c r="GO66" s="4164"/>
      <c r="GP66" s="4164"/>
      <c r="GQ66" s="4164"/>
      <c r="GR66" s="4164"/>
      <c r="GS66" s="4164"/>
      <c r="GT66" s="4164"/>
      <c r="GU66" s="4164"/>
      <c r="GV66" s="4164"/>
      <c r="GW66" s="2855">
        <f>GW64+GW65</f>
        <v>0</v>
      </c>
      <c r="GX66" s="4164"/>
      <c r="GY66" s="2855">
        <f>GY64+GY65</f>
        <v>855</v>
      </c>
      <c r="GZ66" s="4164"/>
      <c r="HA66" s="4164"/>
      <c r="HB66" s="4164"/>
      <c r="HC66" s="4164"/>
      <c r="HD66" s="4164"/>
      <c r="HE66" s="2855">
        <f>HE64+HE65</f>
        <v>0</v>
      </c>
      <c r="HF66" s="4164"/>
      <c r="HG66" s="4164"/>
      <c r="HH66" s="4164"/>
      <c r="HI66" s="4164"/>
      <c r="HJ66" s="4164"/>
      <c r="HK66" s="4164"/>
      <c r="HL66" s="4164"/>
      <c r="HM66" s="4164"/>
      <c r="HN66" s="4164"/>
      <c r="HO66" s="4164"/>
      <c r="HP66" s="4164"/>
      <c r="HQ66" s="4164"/>
      <c r="HR66" s="4164"/>
      <c r="HS66" s="4164"/>
      <c r="HT66" s="4164"/>
      <c r="HU66" s="4164"/>
      <c r="HV66" s="4164"/>
      <c r="HW66" s="4164"/>
      <c r="HX66" s="4164"/>
      <c r="HY66" s="4164"/>
      <c r="HZ66" s="4164"/>
      <c r="IA66" s="4164"/>
      <c r="IB66" s="4164"/>
      <c r="IC66" s="4164"/>
      <c r="ID66" s="4164"/>
      <c r="IE66" s="4164"/>
      <c r="IF66" s="4164"/>
      <c r="IG66" s="4164"/>
      <c r="IH66" s="4164"/>
      <c r="II66" s="4164"/>
      <c r="IJ66" s="4164"/>
      <c r="IK66" s="4164"/>
      <c r="IL66" s="4164"/>
      <c r="IM66" s="4164"/>
      <c r="IN66" s="4164"/>
      <c r="IO66" s="2855">
        <f>IO64+IO65</f>
        <v>0</v>
      </c>
      <c r="IP66" s="4164"/>
      <c r="IQ66" s="3840">
        <f>IQ64+IQ65</f>
        <v>0</v>
      </c>
      <c r="IR66" s="4164"/>
      <c r="IS66" s="4164"/>
      <c r="IT66" s="4165">
        <v>5319</v>
      </c>
      <c r="IU66" s="4164"/>
      <c r="IV66" s="4164"/>
      <c r="IW66" s="4164"/>
      <c r="IX66" s="4164"/>
      <c r="IY66" s="4165">
        <v>14</v>
      </c>
      <c r="IZ66" s="4164"/>
      <c r="JA66" s="3816"/>
      <c r="JB66" s="4315">
        <v>7</v>
      </c>
      <c r="JC66" s="4252">
        <f>JC64+JC65</f>
        <v>14</v>
      </c>
      <c r="JD66" s="2855"/>
      <c r="JE66" s="3816"/>
      <c r="JF66" s="3816"/>
      <c r="JG66" s="4166"/>
      <c r="JH66" s="1233"/>
      <c r="JI66" s="1393" t="s">
        <v>5630</v>
      </c>
      <c r="JJ66" s="1660" t="s">
        <v>6124</v>
      </c>
    </row>
    <row ht="12.75" r="67" spans="1:270" x14ac:dyDescent="0.2">
      <c r="A67" s="1128">
        <v>32</v>
      </c>
      <c r="B67" s="1557" t="str">
        <f si="1" t="shared"/>
        <v/>
      </c>
      <c r="C67" s="1559" t="s">
        <v>2224</v>
      </c>
      <c r="D67" s="1350" t="s">
        <v>5653</v>
      </c>
      <c r="E67" s="4158"/>
      <c r="F67" s="4158"/>
      <c r="G67" s="4158"/>
      <c r="H67" s="4158"/>
      <c r="I67" s="4158"/>
      <c r="J67" s="4158"/>
      <c r="K67" s="4158"/>
      <c r="L67" s="4158"/>
      <c r="M67" s="4158"/>
      <c r="N67" s="4158"/>
      <c r="O67" s="4158"/>
      <c r="P67" s="4158"/>
      <c r="Q67" s="4158"/>
      <c r="R67" s="4158"/>
      <c r="S67" s="4158"/>
      <c r="T67" s="4158"/>
      <c r="U67" s="4158"/>
      <c r="V67" s="4158"/>
      <c r="W67" s="4158"/>
      <c r="X67" s="4158"/>
      <c r="Y67" s="4158"/>
      <c r="Z67" s="4158"/>
      <c r="AA67" s="4158"/>
      <c r="AB67" s="4158"/>
      <c r="AC67" s="4158"/>
      <c r="AD67" s="2854"/>
      <c r="AE67" s="2854"/>
      <c r="AF67" s="2854"/>
      <c r="AG67" s="2854"/>
      <c r="AH67" s="2854"/>
      <c r="AI67" s="4158"/>
      <c r="AJ67" s="4158"/>
      <c r="AK67" s="4158"/>
      <c r="AL67" s="4158"/>
      <c r="AM67" s="2854"/>
      <c r="AN67" s="4158"/>
      <c r="AO67" s="4158"/>
      <c r="AP67" s="4158"/>
      <c r="AQ67" s="4158"/>
      <c r="AR67" s="4158"/>
      <c r="AS67" s="4158"/>
      <c r="AT67" s="4158"/>
      <c r="AU67" s="4158"/>
      <c r="AV67" s="4158"/>
      <c r="AW67" s="4158"/>
      <c r="AX67" s="4158"/>
      <c r="AY67" s="4158"/>
      <c r="AZ67" s="4158"/>
      <c r="BA67" s="4158"/>
      <c r="BB67" s="2854"/>
      <c r="BC67" s="2854"/>
      <c r="BD67" s="4158"/>
      <c r="BE67" s="4158"/>
      <c r="BF67" s="4158"/>
      <c r="BG67" s="4158"/>
      <c r="BH67" s="4158"/>
      <c r="BI67" s="4158"/>
      <c r="BJ67" s="4158"/>
      <c r="BK67" s="4158"/>
      <c r="BL67" s="4158"/>
      <c r="BM67" s="4158"/>
      <c r="BN67" s="4158"/>
      <c r="BO67" s="4158"/>
      <c r="BP67" s="4158"/>
      <c r="BQ67" s="4158"/>
      <c r="BR67" s="4158"/>
      <c r="BS67" s="4158"/>
      <c r="BT67" s="4158"/>
      <c r="BU67" s="4158"/>
      <c r="BV67" s="4158"/>
      <c r="BW67" s="4158"/>
      <c r="BX67" s="4158"/>
      <c r="BY67" s="4158"/>
      <c r="BZ67" s="4158"/>
      <c r="CA67" s="4158"/>
      <c r="CB67" s="4158"/>
      <c r="CC67" s="4158"/>
      <c r="CD67" s="4158"/>
      <c r="CE67" s="4158"/>
      <c r="CF67" s="4158"/>
      <c r="CG67" s="4158"/>
      <c r="CH67" s="4158"/>
      <c r="CI67" s="4158"/>
      <c r="CJ67" s="4158"/>
      <c r="CK67" s="4158"/>
      <c r="CL67" s="4158"/>
      <c r="CM67" s="4158"/>
      <c r="CN67" s="4158"/>
      <c r="CO67" s="4158"/>
      <c r="CP67" s="2854"/>
      <c r="CQ67" s="4158"/>
      <c r="CR67" s="4158"/>
      <c r="CS67" s="4158"/>
      <c r="CT67" s="4158"/>
      <c r="CU67" s="4158"/>
      <c r="CV67" s="4158"/>
      <c r="CW67" s="4158"/>
      <c r="CX67" s="4158"/>
      <c r="CY67" s="2854">
        <v>245</v>
      </c>
      <c r="CZ67" s="2854">
        <v>1620</v>
      </c>
      <c r="DA67" s="2854">
        <v>1620</v>
      </c>
      <c r="DB67" s="4158"/>
      <c r="DC67" s="4158"/>
      <c r="DD67" s="4158"/>
      <c r="DE67" s="4158"/>
      <c r="DF67" s="4158"/>
      <c r="DG67" s="4158"/>
      <c r="DH67" s="2854"/>
      <c r="DI67" s="4158"/>
      <c r="DJ67" s="2854">
        <v>245</v>
      </c>
      <c r="DK67" s="4158"/>
      <c r="DL67" s="4158"/>
      <c r="DM67" s="2854">
        <v>245</v>
      </c>
      <c r="DN67" s="4158"/>
      <c r="DO67" s="4158"/>
      <c r="DP67" s="4158"/>
      <c r="DQ67" s="4158"/>
      <c r="DR67" s="4158"/>
      <c r="DS67" s="4158"/>
      <c r="DT67" s="4158"/>
      <c r="DU67" s="4158"/>
      <c r="DV67" s="4158"/>
      <c r="DW67" s="4158"/>
      <c r="DX67" s="4158"/>
      <c r="DY67" s="4158"/>
      <c r="DZ67" s="4158"/>
      <c r="EA67" s="4158"/>
      <c r="EB67" s="4158"/>
      <c r="EC67" s="4158"/>
      <c r="ED67" s="4158"/>
      <c r="EE67" s="4158"/>
      <c r="EF67" s="4158"/>
      <c r="EG67" s="4158"/>
      <c r="EH67" s="2854"/>
      <c r="EI67" s="2854"/>
      <c r="EJ67" s="4158"/>
      <c r="EK67" s="4158"/>
      <c r="EL67" s="4158"/>
      <c r="EM67" s="4158"/>
      <c r="EN67" s="4158"/>
      <c r="EO67" s="4158"/>
      <c r="EP67" s="4158"/>
      <c r="EQ67" s="4158"/>
      <c r="ER67" s="4158"/>
      <c r="ES67" s="4158"/>
      <c r="ET67" s="4158"/>
      <c r="EU67" s="4158"/>
      <c r="EV67" s="4158"/>
      <c r="EW67" s="4158"/>
      <c r="EX67" s="4158"/>
      <c r="EY67" s="4158"/>
      <c r="EZ67" s="4158"/>
      <c r="FA67" s="2854">
        <v>245</v>
      </c>
      <c r="FB67" s="4158"/>
      <c r="FC67" s="4158"/>
      <c r="FD67" s="4158"/>
      <c r="FE67" s="4158"/>
      <c r="FF67" s="4158"/>
      <c r="FG67" s="4158"/>
      <c r="FH67" s="4158"/>
      <c r="FI67" s="4158"/>
      <c r="FJ67" s="4158"/>
      <c r="FK67" s="2854">
        <v>1620</v>
      </c>
      <c r="FL67" s="4158"/>
      <c r="FM67" s="4158"/>
      <c r="FN67" s="4158"/>
      <c r="FO67" s="4158"/>
      <c r="FP67" s="4158"/>
      <c r="FQ67" s="4158"/>
      <c r="FR67" s="4158"/>
      <c r="FS67" s="4158"/>
      <c r="FT67" s="4158"/>
      <c r="FU67" s="4158"/>
      <c r="FV67" s="2854"/>
      <c r="FW67" s="4158"/>
      <c r="FX67" s="4158"/>
      <c r="FY67" s="4158"/>
      <c r="FZ67" s="4158"/>
      <c r="GA67" s="4158"/>
      <c r="GB67" s="4158"/>
      <c r="GC67" s="4158"/>
      <c r="GD67" s="4158"/>
      <c r="GE67" s="4158"/>
      <c r="GF67" s="4158"/>
      <c r="GG67" s="4158"/>
      <c r="GH67" s="4158"/>
      <c r="GI67" s="4158"/>
      <c r="GJ67" s="4158"/>
      <c r="GK67" s="4158"/>
      <c r="GL67" s="4158"/>
      <c r="GM67" s="4158"/>
      <c r="GN67" s="4158"/>
      <c r="GO67" s="4158"/>
      <c r="GP67" s="4158"/>
      <c r="GQ67" s="4158"/>
      <c r="GR67" s="4158"/>
      <c r="GS67" s="4158"/>
      <c r="GT67" s="4158"/>
      <c r="GU67" s="4158"/>
      <c r="GV67" s="4158"/>
      <c r="GW67" s="2854"/>
      <c r="GX67" s="4158"/>
      <c r="GY67" s="2854"/>
      <c r="GZ67" s="4158"/>
      <c r="HA67" s="4158"/>
      <c r="HB67" s="4158"/>
      <c r="HC67" s="4158"/>
      <c r="HD67" s="4158"/>
      <c r="HE67" s="2854"/>
      <c r="HF67" s="4158"/>
      <c r="HG67" s="4158"/>
      <c r="HH67" s="4158"/>
      <c r="HI67" s="4158"/>
      <c r="HJ67" s="4158"/>
      <c r="HK67" s="4158"/>
      <c r="HL67" s="4158"/>
      <c r="HM67" s="4158"/>
      <c r="HN67" s="4158"/>
      <c r="HO67" s="4158"/>
      <c r="HP67" s="4158"/>
      <c r="HQ67" s="4158"/>
      <c r="HR67" s="4158"/>
      <c r="HS67" s="4158"/>
      <c r="HT67" s="4158"/>
      <c r="HU67" s="4158"/>
      <c r="HV67" s="4158"/>
      <c r="HW67" s="4158"/>
      <c r="HX67" s="4158"/>
      <c r="HY67" s="4158"/>
      <c r="HZ67" s="4158"/>
      <c r="IA67" s="4158"/>
      <c r="IB67" s="4158"/>
      <c r="IC67" s="4158"/>
      <c r="ID67" s="4158"/>
      <c r="IE67" s="4158"/>
      <c r="IF67" s="4158"/>
      <c r="IG67" s="4158"/>
      <c r="IH67" s="4158"/>
      <c r="II67" s="4158"/>
      <c r="IJ67" s="4158"/>
      <c r="IK67" s="4158"/>
      <c r="IL67" s="4158"/>
      <c r="IM67" s="4158"/>
      <c r="IN67" s="4158"/>
      <c r="IO67" s="2854"/>
      <c r="IP67" s="4158"/>
      <c r="IQ67" s="4159"/>
      <c r="IR67" s="4158"/>
      <c r="IS67" s="4158"/>
      <c r="IT67" s="3987"/>
      <c r="IU67" s="4158"/>
      <c r="IV67" s="4158"/>
      <c r="IW67" s="4158"/>
      <c r="IX67" s="4158"/>
      <c r="IY67" s="4160"/>
      <c r="IZ67" s="4158"/>
      <c r="JA67" s="3814"/>
      <c r="JB67" s="4314"/>
      <c r="JC67" s="4223"/>
      <c r="JD67" s="2854"/>
      <c r="JE67" s="3814"/>
      <c r="JF67" s="3814"/>
      <c r="JG67" s="4161"/>
      <c r="JH67" s="1233"/>
      <c r="JI67" s="1393"/>
      <c r="JJ67" s="1660" t="s">
        <v>6108</v>
      </c>
    </row>
    <row ht="12.75" r="68" spans="1:270" x14ac:dyDescent="0.2">
      <c r="A68" s="1128">
        <v>33</v>
      </c>
      <c r="B68" s="1557" t="str">
        <f si="1" t="shared"/>
        <v/>
      </c>
      <c r="C68" s="1559" t="s">
        <v>2225</v>
      </c>
      <c r="D68" s="1350" t="s">
        <v>5651</v>
      </c>
      <c r="E68" s="4158"/>
      <c r="F68" s="4158"/>
      <c r="G68" s="4158"/>
      <c r="H68" s="4158"/>
      <c r="I68" s="4158"/>
      <c r="J68" s="4158"/>
      <c r="K68" s="4158"/>
      <c r="L68" s="4158"/>
      <c r="M68" s="4158"/>
      <c r="N68" s="4158"/>
      <c r="O68" s="4158"/>
      <c r="P68" s="4158"/>
      <c r="Q68" s="4158"/>
      <c r="R68" s="4158"/>
      <c r="S68" s="4158"/>
      <c r="T68" s="4158"/>
      <c r="U68" s="4158"/>
      <c r="V68" s="4158"/>
      <c r="W68" s="4158"/>
      <c r="X68" s="4158"/>
      <c r="Y68" s="4158"/>
      <c r="Z68" s="4158"/>
      <c r="AA68" s="4158"/>
      <c r="AB68" s="4158"/>
      <c r="AC68" s="4158"/>
      <c r="AD68" s="2854"/>
      <c r="AE68" s="2854"/>
      <c r="AF68" s="2854"/>
      <c r="AG68" s="2854"/>
      <c r="AH68" s="2854"/>
      <c r="AI68" s="4158"/>
      <c r="AJ68" s="4158"/>
      <c r="AK68" s="4158"/>
      <c r="AL68" s="4158"/>
      <c r="AM68" s="2854"/>
      <c r="AN68" s="4158"/>
      <c r="AO68" s="4158"/>
      <c r="AP68" s="4158"/>
      <c r="AQ68" s="4158"/>
      <c r="AR68" s="4158"/>
      <c r="AS68" s="4158"/>
      <c r="AT68" s="4158"/>
      <c r="AU68" s="4158"/>
      <c r="AV68" s="4158"/>
      <c r="AW68" s="4158"/>
      <c r="AX68" s="4158"/>
      <c r="AY68" s="4158"/>
      <c r="AZ68" s="4158"/>
      <c r="BA68" s="4158"/>
      <c r="BB68" s="2854"/>
      <c r="BC68" s="2854"/>
      <c r="BD68" s="4158"/>
      <c r="BE68" s="4158"/>
      <c r="BF68" s="4158"/>
      <c r="BG68" s="4158"/>
      <c r="BH68" s="4158"/>
      <c r="BI68" s="4158"/>
      <c r="BJ68" s="4158"/>
      <c r="BK68" s="4158"/>
      <c r="BL68" s="4158"/>
      <c r="BM68" s="4158"/>
      <c r="BN68" s="4158"/>
      <c r="BO68" s="4158"/>
      <c r="BP68" s="4158"/>
      <c r="BQ68" s="4158"/>
      <c r="BR68" s="4158"/>
      <c r="BS68" s="4158"/>
      <c r="BT68" s="4158"/>
      <c r="BU68" s="4158"/>
      <c r="BV68" s="4158"/>
      <c r="BW68" s="4158"/>
      <c r="BX68" s="4158"/>
      <c r="BY68" s="4158"/>
      <c r="BZ68" s="4158"/>
      <c r="CA68" s="4158"/>
      <c r="CB68" s="4158"/>
      <c r="CC68" s="4158"/>
      <c r="CD68" s="4158"/>
      <c r="CE68" s="4158"/>
      <c r="CF68" s="4158"/>
      <c r="CG68" s="4158"/>
      <c r="CH68" s="4158"/>
      <c r="CI68" s="4158"/>
      <c r="CJ68" s="4158"/>
      <c r="CK68" s="4158"/>
      <c r="CL68" s="4158"/>
      <c r="CM68" s="4158"/>
      <c r="CN68" s="4158"/>
      <c r="CO68" s="4158"/>
      <c r="CP68" s="2854"/>
      <c r="CQ68" s="4158"/>
      <c r="CR68" s="4158"/>
      <c r="CS68" s="4158"/>
      <c r="CT68" s="4158"/>
      <c r="CU68" s="4158"/>
      <c r="CV68" s="4158"/>
      <c r="CW68" s="4158"/>
      <c r="CX68" s="4158"/>
      <c r="CY68" s="2854"/>
      <c r="CZ68" s="2862">
        <v>-324</v>
      </c>
      <c r="DA68" s="2862">
        <v>-324</v>
      </c>
      <c r="DB68" s="4158"/>
      <c r="DC68" s="4158"/>
      <c r="DD68" s="4158"/>
      <c r="DE68" s="4158"/>
      <c r="DF68" s="4158"/>
      <c r="DG68" s="4158"/>
      <c r="DH68" s="2854"/>
      <c r="DI68" s="4158"/>
      <c r="DJ68" s="2854"/>
      <c r="DK68" s="4158"/>
      <c r="DL68" s="4158"/>
      <c r="DM68" s="2854"/>
      <c r="DN68" s="4158"/>
      <c r="DO68" s="4158"/>
      <c r="DP68" s="4158"/>
      <c r="DQ68" s="4158"/>
      <c r="DR68" s="4158"/>
      <c r="DS68" s="4158"/>
      <c r="DT68" s="4158"/>
      <c r="DU68" s="4158"/>
      <c r="DV68" s="4158"/>
      <c r="DW68" s="4158"/>
      <c r="DX68" s="4158"/>
      <c r="DY68" s="4158"/>
      <c r="DZ68" s="4158"/>
      <c r="EA68" s="4158"/>
      <c r="EB68" s="4158"/>
      <c r="EC68" s="4158"/>
      <c r="ED68" s="4158"/>
      <c r="EE68" s="4158"/>
      <c r="EF68" s="4158"/>
      <c r="EG68" s="4158"/>
      <c r="EH68" s="2854"/>
      <c r="EI68" s="2854"/>
      <c r="EJ68" s="4158"/>
      <c r="EK68" s="4158"/>
      <c r="EL68" s="4158"/>
      <c r="EM68" s="4158"/>
      <c r="EN68" s="4158"/>
      <c r="EO68" s="4158"/>
      <c r="EP68" s="4158"/>
      <c r="EQ68" s="4158"/>
      <c r="ER68" s="4158"/>
      <c r="ES68" s="4158"/>
      <c r="ET68" s="4158"/>
      <c r="EU68" s="4158"/>
      <c r="EV68" s="4158"/>
      <c r="EW68" s="4158"/>
      <c r="EX68" s="4158"/>
      <c r="EY68" s="4158"/>
      <c r="EZ68" s="4158"/>
      <c r="FA68" s="2854"/>
      <c r="FB68" s="4158"/>
      <c r="FC68" s="4158"/>
      <c r="FD68" s="4158"/>
      <c r="FE68" s="4158"/>
      <c r="FF68" s="4158"/>
      <c r="FG68" s="4158"/>
      <c r="FH68" s="4158"/>
      <c r="FI68" s="4158"/>
      <c r="FJ68" s="4158"/>
      <c r="FK68" s="2862">
        <v>-324</v>
      </c>
      <c r="FL68" s="4158"/>
      <c r="FM68" s="4158"/>
      <c r="FN68" s="4158"/>
      <c r="FO68" s="4158"/>
      <c r="FP68" s="4158"/>
      <c r="FQ68" s="4158"/>
      <c r="FR68" s="4158"/>
      <c r="FS68" s="4158"/>
      <c r="FT68" s="4158"/>
      <c r="FU68" s="4158"/>
      <c r="FV68" s="2854"/>
      <c r="FW68" s="4158"/>
      <c r="FX68" s="4158"/>
      <c r="FY68" s="4158"/>
      <c r="FZ68" s="4158"/>
      <c r="GA68" s="4158"/>
      <c r="GB68" s="4158"/>
      <c r="GC68" s="4158"/>
      <c r="GD68" s="4158"/>
      <c r="GE68" s="4158"/>
      <c r="GF68" s="4158"/>
      <c r="GG68" s="4158"/>
      <c r="GH68" s="4158"/>
      <c r="GI68" s="4158"/>
      <c r="GJ68" s="4158"/>
      <c r="GK68" s="4158"/>
      <c r="GL68" s="4158"/>
      <c r="GM68" s="4158"/>
      <c r="GN68" s="4158"/>
      <c r="GO68" s="4158"/>
      <c r="GP68" s="4158"/>
      <c r="GQ68" s="4158"/>
      <c r="GR68" s="4158"/>
      <c r="GS68" s="4158"/>
      <c r="GT68" s="4158"/>
      <c r="GU68" s="4158"/>
      <c r="GV68" s="4158"/>
      <c r="GW68" s="2854"/>
      <c r="GX68" s="4158"/>
      <c r="GY68" s="2854"/>
      <c r="GZ68" s="4158"/>
      <c r="HA68" s="4158"/>
      <c r="HB68" s="4158"/>
      <c r="HC68" s="4158"/>
      <c r="HD68" s="4158"/>
      <c r="HE68" s="2854"/>
      <c r="HF68" s="4158"/>
      <c r="HG68" s="4158"/>
      <c r="HH68" s="4158"/>
      <c r="HI68" s="4158"/>
      <c r="HJ68" s="4158"/>
      <c r="HK68" s="4158"/>
      <c r="HL68" s="4158"/>
      <c r="HM68" s="4158"/>
      <c r="HN68" s="4158"/>
      <c r="HO68" s="4158"/>
      <c r="HP68" s="4158"/>
      <c r="HQ68" s="4158"/>
      <c r="HR68" s="4158"/>
      <c r="HS68" s="4158"/>
      <c r="HT68" s="4158"/>
      <c r="HU68" s="4158"/>
      <c r="HV68" s="4158"/>
      <c r="HW68" s="4158"/>
      <c r="HX68" s="4158"/>
      <c r="HY68" s="4158"/>
      <c r="HZ68" s="4158"/>
      <c r="IA68" s="4158"/>
      <c r="IB68" s="4158"/>
      <c r="IC68" s="4158"/>
      <c r="ID68" s="4158"/>
      <c r="IE68" s="4158"/>
      <c r="IF68" s="4158"/>
      <c r="IG68" s="4158"/>
      <c r="IH68" s="4158"/>
      <c r="II68" s="4158"/>
      <c r="IJ68" s="4158"/>
      <c r="IK68" s="4158"/>
      <c r="IL68" s="4158"/>
      <c r="IM68" s="4158"/>
      <c r="IN68" s="4158"/>
      <c r="IO68" s="2854"/>
      <c r="IP68" s="4158"/>
      <c r="IQ68" s="4159"/>
      <c r="IR68" s="4158"/>
      <c r="IS68" s="4158"/>
      <c r="IT68" s="3987"/>
      <c r="IU68" s="4158"/>
      <c r="IV68" s="4158"/>
      <c r="IW68" s="4158"/>
      <c r="IX68" s="4158"/>
      <c r="IY68" s="4160"/>
      <c r="IZ68" s="4158"/>
      <c r="JA68" s="3814"/>
      <c r="JB68" s="4314"/>
      <c r="JC68" s="4223"/>
      <c r="JD68" s="2854"/>
      <c r="JE68" s="3814"/>
      <c r="JF68" s="3814"/>
      <c r="JG68" s="4161"/>
      <c r="JH68" s="1233"/>
      <c r="JI68" s="1393"/>
      <c r="JJ68" s="1660" t="s">
        <v>6110</v>
      </c>
    </row>
    <row ht="12.75" r="69" spans="1:270" x14ac:dyDescent="0.2">
      <c r="A69" s="1128">
        <v>34</v>
      </c>
      <c r="B69" s="1557" t="str">
        <f ref="B69:B76" si="2" t="shared">IF(PS_B_IND&gt;1,IF(HLOOKUP(PS_B_IND-1,FPS_RANGE,A69)="","",HLOOKUP(PS_B_IND-1,FPS_RANGE,A69)),"")</f>
        <v/>
      </c>
      <c r="C69" s="1559" t="s">
        <v>2226</v>
      </c>
      <c r="D69" s="1350" t="s">
        <v>5654</v>
      </c>
      <c r="E69" s="4158"/>
      <c r="F69" s="4158"/>
      <c r="G69" s="4158"/>
      <c r="H69" s="4158"/>
      <c r="I69" s="4158"/>
      <c r="J69" s="4158"/>
      <c r="K69" s="4158"/>
      <c r="L69" s="4158"/>
      <c r="M69" s="4158"/>
      <c r="N69" s="4158"/>
      <c r="O69" s="4158"/>
      <c r="P69" s="4158"/>
      <c r="Q69" s="4158"/>
      <c r="R69" s="4158"/>
      <c r="S69" s="4158"/>
      <c r="T69" s="4158"/>
      <c r="U69" s="4158"/>
      <c r="V69" s="4158"/>
      <c r="W69" s="4158"/>
      <c r="X69" s="4158"/>
      <c r="Y69" s="4158"/>
      <c r="Z69" s="4158"/>
      <c r="AA69" s="4158"/>
      <c r="AB69" s="4158"/>
      <c r="AC69" s="4158"/>
      <c r="AD69" s="2854"/>
      <c r="AE69" s="2854"/>
      <c r="AF69" s="2854"/>
      <c r="AG69" s="2854"/>
      <c r="AH69" s="2854"/>
      <c r="AI69" s="4158"/>
      <c r="AJ69" s="4158"/>
      <c r="AK69" s="4158"/>
      <c r="AL69" s="4158"/>
      <c r="AM69" s="2854"/>
      <c r="AN69" s="4158"/>
      <c r="AO69" s="4158"/>
      <c r="AP69" s="4158"/>
      <c r="AQ69" s="4158"/>
      <c r="AR69" s="4158"/>
      <c r="AS69" s="4158"/>
      <c r="AT69" s="4158"/>
      <c r="AU69" s="4158"/>
      <c r="AV69" s="4158"/>
      <c r="AW69" s="4158"/>
      <c r="AX69" s="4158"/>
      <c r="AY69" s="4158"/>
      <c r="AZ69" s="4158"/>
      <c r="BA69" s="4158"/>
      <c r="BB69" s="2854"/>
      <c r="BC69" s="2854"/>
      <c r="BD69" s="4158"/>
      <c r="BE69" s="4158"/>
      <c r="BF69" s="4158"/>
      <c r="BG69" s="4158"/>
      <c r="BH69" s="4158"/>
      <c r="BI69" s="4158"/>
      <c r="BJ69" s="4158"/>
      <c r="BK69" s="4158"/>
      <c r="BL69" s="4158"/>
      <c r="BM69" s="4158"/>
      <c r="BN69" s="4158"/>
      <c r="BO69" s="4158"/>
      <c r="BP69" s="4158"/>
      <c r="BQ69" s="4158"/>
      <c r="BR69" s="4158"/>
      <c r="BS69" s="4158"/>
      <c r="BT69" s="4158"/>
      <c r="BU69" s="4158"/>
      <c r="BV69" s="4158"/>
      <c r="BW69" s="4158"/>
      <c r="BX69" s="4158"/>
      <c r="BY69" s="4158"/>
      <c r="BZ69" s="4158"/>
      <c r="CA69" s="4158"/>
      <c r="CB69" s="4158"/>
      <c r="CC69" s="4158"/>
      <c r="CD69" s="4158"/>
      <c r="CE69" s="4158"/>
      <c r="CF69" s="4158"/>
      <c r="CG69" s="4158"/>
      <c r="CH69" s="4158"/>
      <c r="CI69" s="4158"/>
      <c r="CJ69" s="4158"/>
      <c r="CK69" s="4158"/>
      <c r="CL69" s="4158"/>
      <c r="CM69" s="4158"/>
      <c r="CN69" s="4158"/>
      <c r="CO69" s="4158"/>
      <c r="CP69" s="2854"/>
      <c r="CQ69" s="4158"/>
      <c r="CR69" s="4158"/>
      <c r="CS69" s="4158"/>
      <c r="CT69" s="4158"/>
      <c r="CU69" s="4158"/>
      <c r="CV69" s="4158"/>
      <c r="CW69" s="4158"/>
      <c r="CX69" s="4158"/>
      <c r="CY69" s="2854">
        <v>24</v>
      </c>
      <c r="CZ69" s="2854"/>
      <c r="DA69" s="2854"/>
      <c r="DB69" s="4158"/>
      <c r="DC69" s="4158"/>
      <c r="DD69" s="4158"/>
      <c r="DE69" s="4158"/>
      <c r="DF69" s="4158"/>
      <c r="DG69" s="4158"/>
      <c r="DH69" s="2854"/>
      <c r="DI69" s="4158"/>
      <c r="DJ69" s="2854">
        <v>24</v>
      </c>
      <c r="DK69" s="4158"/>
      <c r="DL69" s="4158"/>
      <c r="DM69" s="2854">
        <v>24</v>
      </c>
      <c r="DN69" s="4158"/>
      <c r="DO69" s="4158"/>
      <c r="DP69" s="4158"/>
      <c r="DQ69" s="4158"/>
      <c r="DR69" s="4158"/>
      <c r="DS69" s="4158"/>
      <c r="DT69" s="4158"/>
      <c r="DU69" s="4158"/>
      <c r="DV69" s="4158"/>
      <c r="DW69" s="4158"/>
      <c r="DX69" s="4158"/>
      <c r="DY69" s="4158"/>
      <c r="DZ69" s="4158"/>
      <c r="EA69" s="4158"/>
      <c r="EB69" s="4158"/>
      <c r="EC69" s="4158"/>
      <c r="ED69" s="4158"/>
      <c r="EE69" s="4158"/>
      <c r="EF69" s="4158"/>
      <c r="EG69" s="4158"/>
      <c r="EH69" s="2854"/>
      <c r="EI69" s="2854"/>
      <c r="EJ69" s="4158"/>
      <c r="EK69" s="4158"/>
      <c r="EL69" s="4158"/>
      <c r="EM69" s="4158"/>
      <c r="EN69" s="4158"/>
      <c r="EO69" s="4158"/>
      <c r="EP69" s="4158"/>
      <c r="EQ69" s="4158"/>
      <c r="ER69" s="4158"/>
      <c r="ES69" s="4158"/>
      <c r="ET69" s="4158"/>
      <c r="EU69" s="4158"/>
      <c r="EV69" s="4158"/>
      <c r="EW69" s="4158"/>
      <c r="EX69" s="4158"/>
      <c r="EY69" s="4158"/>
      <c r="EZ69" s="4158"/>
      <c r="FA69" s="2854">
        <v>24</v>
      </c>
      <c r="FB69" s="4158"/>
      <c r="FC69" s="4158"/>
      <c r="FD69" s="4158"/>
      <c r="FE69" s="4158"/>
      <c r="FF69" s="4158"/>
      <c r="FG69" s="4158"/>
      <c r="FH69" s="4158"/>
      <c r="FI69" s="4158"/>
      <c r="FJ69" s="4158"/>
      <c r="FK69" s="2854"/>
      <c r="FL69" s="4158"/>
      <c r="FM69" s="4158"/>
      <c r="FN69" s="4158"/>
      <c r="FO69" s="4158"/>
      <c r="FP69" s="4158"/>
      <c r="FQ69" s="4158"/>
      <c r="FR69" s="4158"/>
      <c r="FS69" s="4158"/>
      <c r="FT69" s="4158"/>
      <c r="FU69" s="4158"/>
      <c r="FV69" s="2854"/>
      <c r="FW69" s="4158"/>
      <c r="FX69" s="4158"/>
      <c r="FY69" s="4158"/>
      <c r="FZ69" s="4158"/>
      <c r="GA69" s="4158"/>
      <c r="GB69" s="4158"/>
      <c r="GC69" s="4158"/>
      <c r="GD69" s="4158"/>
      <c r="GE69" s="4158"/>
      <c r="GF69" s="4158"/>
      <c r="GG69" s="4158"/>
      <c r="GH69" s="4158"/>
      <c r="GI69" s="4158"/>
      <c r="GJ69" s="4158"/>
      <c r="GK69" s="4158"/>
      <c r="GL69" s="4158"/>
      <c r="GM69" s="4158"/>
      <c r="GN69" s="4158"/>
      <c r="GO69" s="4158"/>
      <c r="GP69" s="4158"/>
      <c r="GQ69" s="4158"/>
      <c r="GR69" s="4158"/>
      <c r="GS69" s="4158"/>
      <c r="GT69" s="4158"/>
      <c r="GU69" s="4158"/>
      <c r="GV69" s="4158"/>
      <c r="GW69" s="2854"/>
      <c r="GX69" s="4158"/>
      <c r="GY69" s="2854"/>
      <c r="GZ69" s="4158"/>
      <c r="HA69" s="4158"/>
      <c r="HB69" s="4158"/>
      <c r="HC69" s="4158"/>
      <c r="HD69" s="4158"/>
      <c r="HE69" s="2854"/>
      <c r="HF69" s="4158"/>
      <c r="HG69" s="4158"/>
      <c r="HH69" s="4158"/>
      <c r="HI69" s="4158"/>
      <c r="HJ69" s="4158"/>
      <c r="HK69" s="4158"/>
      <c r="HL69" s="4158"/>
      <c r="HM69" s="4158"/>
      <c r="HN69" s="4158"/>
      <c r="HO69" s="4158"/>
      <c r="HP69" s="4158"/>
      <c r="HQ69" s="4158"/>
      <c r="HR69" s="4158"/>
      <c r="HS69" s="4158"/>
      <c r="HT69" s="4158"/>
      <c r="HU69" s="4158"/>
      <c r="HV69" s="4158"/>
      <c r="HW69" s="4158"/>
      <c r="HX69" s="4158"/>
      <c r="HY69" s="4158"/>
      <c r="HZ69" s="4158"/>
      <c r="IA69" s="4158"/>
      <c r="IB69" s="4158"/>
      <c r="IC69" s="4158"/>
      <c r="ID69" s="4158"/>
      <c r="IE69" s="4158"/>
      <c r="IF69" s="4158"/>
      <c r="IG69" s="4158"/>
      <c r="IH69" s="4158"/>
      <c r="II69" s="4158"/>
      <c r="IJ69" s="4158"/>
      <c r="IK69" s="4158"/>
      <c r="IL69" s="4158"/>
      <c r="IM69" s="4158"/>
      <c r="IN69" s="4158"/>
      <c r="IO69" s="2854"/>
      <c r="IP69" s="4158"/>
      <c r="IQ69" s="4159"/>
      <c r="IR69" s="4158"/>
      <c r="IS69" s="4158"/>
      <c r="IT69" s="3987"/>
      <c r="IU69" s="4158"/>
      <c r="IV69" s="4158"/>
      <c r="IW69" s="4158"/>
      <c r="IX69" s="4158"/>
      <c r="IY69" s="4160"/>
      <c r="IZ69" s="4158"/>
      <c r="JA69" s="3814"/>
      <c r="JB69" s="4314"/>
      <c r="JC69" s="4223"/>
      <c r="JD69" s="2854"/>
      <c r="JE69" s="3814"/>
      <c r="JF69" s="3814"/>
      <c r="JG69" s="4161"/>
      <c r="JH69" s="1233"/>
      <c r="JI69" s="1393"/>
      <c r="JJ69" s="1660" t="s">
        <v>6108</v>
      </c>
    </row>
    <row ht="12.75" r="70" spans="1:270" x14ac:dyDescent="0.2">
      <c r="A70" s="1128">
        <v>35</v>
      </c>
      <c r="B70" s="1557" t="str">
        <f si="2" t="shared"/>
        <v/>
      </c>
      <c r="C70" s="1559" t="s">
        <v>2227</v>
      </c>
      <c r="D70" s="1350" t="s">
        <v>5655</v>
      </c>
      <c r="E70" s="4164"/>
      <c r="F70" s="4164"/>
      <c r="G70" s="4164"/>
      <c r="H70" s="4164"/>
      <c r="I70" s="4164"/>
      <c r="J70" s="4164"/>
      <c r="K70" s="4164"/>
      <c r="L70" s="4164"/>
      <c r="M70" s="4164"/>
      <c r="N70" s="4164"/>
      <c r="O70" s="4164"/>
      <c r="P70" s="4164"/>
      <c r="Q70" s="4164"/>
      <c r="R70" s="4164"/>
      <c r="S70" s="4164"/>
      <c r="T70" s="4164"/>
      <c r="U70" s="4164"/>
      <c r="V70" s="4164"/>
      <c r="W70" s="4164"/>
      <c r="X70" s="4164"/>
      <c r="Y70" s="4164"/>
      <c r="Z70" s="4164"/>
      <c r="AA70" s="4164"/>
      <c r="AB70" s="4164"/>
      <c r="AC70" s="4164"/>
      <c r="AD70" s="2855"/>
      <c r="AE70" s="2855"/>
      <c r="AF70" s="2855"/>
      <c r="AG70" s="2855"/>
      <c r="AH70" s="2855"/>
      <c r="AI70" s="4164"/>
      <c r="AJ70" s="4164"/>
      <c r="AK70" s="4164"/>
      <c r="AL70" s="4164"/>
      <c r="AM70" s="2855">
        <f>MAX(0,AM67+AM68-AM69)</f>
        <v>0</v>
      </c>
      <c r="AN70" s="4164"/>
      <c r="AO70" s="4164"/>
      <c r="AP70" s="4164"/>
      <c r="AQ70" s="4164"/>
      <c r="AR70" s="4164"/>
      <c r="AS70" s="4164"/>
      <c r="AT70" s="4164"/>
      <c r="AU70" s="4164"/>
      <c r="AV70" s="4164"/>
      <c r="AW70" s="4164"/>
      <c r="AX70" s="4164"/>
      <c r="AY70" s="4164"/>
      <c r="AZ70" s="4164"/>
      <c r="BA70" s="4164"/>
      <c r="BB70" s="2855">
        <f>MAX(0,BB67+BB68-BB69)</f>
        <v>0</v>
      </c>
      <c r="BC70" s="2855">
        <f>MAX(0,BC67+BC68-BC69)</f>
        <v>0</v>
      </c>
      <c r="BD70" s="4164"/>
      <c r="BE70" s="4164"/>
      <c r="BF70" s="4164"/>
      <c r="BG70" s="4164"/>
      <c r="BH70" s="4164"/>
      <c r="BI70" s="4164"/>
      <c r="BJ70" s="4164"/>
      <c r="BK70" s="4164"/>
      <c r="BL70" s="4164"/>
      <c r="BM70" s="4164"/>
      <c r="BN70" s="4164"/>
      <c r="BO70" s="4164"/>
      <c r="BP70" s="4164"/>
      <c r="BQ70" s="4164"/>
      <c r="BR70" s="4164"/>
      <c r="BS70" s="4164"/>
      <c r="BT70" s="4164"/>
      <c r="BU70" s="4164"/>
      <c r="BV70" s="4164"/>
      <c r="BW70" s="4164"/>
      <c r="BX70" s="4164"/>
      <c r="BY70" s="4164"/>
      <c r="BZ70" s="4164"/>
      <c r="CA70" s="4164"/>
      <c r="CB70" s="4164"/>
      <c r="CC70" s="4164"/>
      <c r="CD70" s="4164"/>
      <c r="CE70" s="4164"/>
      <c r="CF70" s="4164"/>
      <c r="CG70" s="4164"/>
      <c r="CH70" s="4164"/>
      <c r="CI70" s="4164"/>
      <c r="CJ70" s="4164"/>
      <c r="CK70" s="4164"/>
      <c r="CL70" s="4164"/>
      <c r="CM70" s="4164"/>
      <c r="CN70" s="4164"/>
      <c r="CO70" s="4164"/>
      <c r="CP70" s="2855">
        <f>MAX(0,CP67+CP68-CP69)</f>
        <v>0</v>
      </c>
      <c r="CQ70" s="4164"/>
      <c r="CR70" s="4164"/>
      <c r="CS70" s="4164"/>
      <c r="CT70" s="4164"/>
      <c r="CU70" s="4164"/>
      <c r="CV70" s="4164"/>
      <c r="CW70" s="4164"/>
      <c r="CX70" s="4164"/>
      <c r="CY70" s="2855">
        <f>MAX(0,CY67+CY68-CY69)</f>
        <v>221</v>
      </c>
      <c r="CZ70" s="2855">
        <f>MAX(0,CZ67+CZ68-CZ69)</f>
        <v>1296</v>
      </c>
      <c r="DA70" s="2855">
        <f>MAX(0,DA67+DA68-DA69)</f>
        <v>1296</v>
      </c>
      <c r="DB70" s="4164"/>
      <c r="DC70" s="4164"/>
      <c r="DD70" s="4164"/>
      <c r="DE70" s="4164"/>
      <c r="DF70" s="4164"/>
      <c r="DG70" s="4164"/>
      <c r="DH70" s="2855">
        <f>MAX(0,DH67+DH68-DH69)</f>
        <v>0</v>
      </c>
      <c r="DI70" s="4164"/>
      <c r="DJ70" s="2855">
        <f>MAX(0,DJ67+DJ68-DJ69)</f>
        <v>221</v>
      </c>
      <c r="DK70" s="4164"/>
      <c r="DL70" s="4164"/>
      <c r="DM70" s="2855">
        <f>MAX(0,DM67+DM68-DM69)</f>
        <v>221</v>
      </c>
      <c r="DN70" s="4164"/>
      <c r="DO70" s="4164"/>
      <c r="DP70" s="4164"/>
      <c r="DQ70" s="4164"/>
      <c r="DR70" s="4164"/>
      <c r="DS70" s="4164"/>
      <c r="DT70" s="4164"/>
      <c r="DU70" s="4164"/>
      <c r="DV70" s="4164"/>
      <c r="DW70" s="4164"/>
      <c r="DX70" s="4164"/>
      <c r="DY70" s="4164"/>
      <c r="DZ70" s="4164"/>
      <c r="EA70" s="4164"/>
      <c r="EB70" s="4164"/>
      <c r="EC70" s="4164"/>
      <c r="ED70" s="4164"/>
      <c r="EE70" s="4164"/>
      <c r="EF70" s="4164"/>
      <c r="EG70" s="4164"/>
      <c r="EH70" s="2855">
        <f>MAX(0,EH67+EH68-EH69)</f>
        <v>0</v>
      </c>
      <c r="EI70" s="2855">
        <f>MAX(0,EI67+EI68-EI69)</f>
        <v>0</v>
      </c>
      <c r="EJ70" s="4164"/>
      <c r="EK70" s="4164"/>
      <c r="EL70" s="4164"/>
      <c r="EM70" s="4164"/>
      <c r="EN70" s="4164"/>
      <c r="EO70" s="4164"/>
      <c r="EP70" s="4164"/>
      <c r="EQ70" s="4164"/>
      <c r="ER70" s="4164"/>
      <c r="ES70" s="4164"/>
      <c r="ET70" s="4164"/>
      <c r="EU70" s="4164"/>
      <c r="EV70" s="4164"/>
      <c r="EW70" s="4164"/>
      <c r="EX70" s="4164"/>
      <c r="EY70" s="4164"/>
      <c r="EZ70" s="4164"/>
      <c r="FA70" s="2855">
        <f>MAX(0,FA67+FA68-FA69)</f>
        <v>221</v>
      </c>
      <c r="FB70" s="4164"/>
      <c r="FC70" s="4164"/>
      <c r="FD70" s="4164"/>
      <c r="FE70" s="4164"/>
      <c r="FF70" s="4164"/>
      <c r="FG70" s="4164"/>
      <c r="FH70" s="4164"/>
      <c r="FI70" s="4164"/>
      <c r="FJ70" s="4164"/>
      <c r="FK70" s="2855">
        <f>MAX(0,FK67+FK68-FK69)</f>
        <v>1296</v>
      </c>
      <c r="FL70" s="4164"/>
      <c r="FM70" s="4164"/>
      <c r="FN70" s="4164"/>
      <c r="FO70" s="4164"/>
      <c r="FP70" s="4164"/>
      <c r="FQ70" s="4164"/>
      <c r="FR70" s="4164"/>
      <c r="FS70" s="4164"/>
      <c r="FT70" s="4164"/>
      <c r="FU70" s="4164"/>
      <c r="FV70" s="2855">
        <f>MAX(0,FV67+FV68-FV69)</f>
        <v>0</v>
      </c>
      <c r="FW70" s="4164"/>
      <c r="FX70" s="4164"/>
      <c r="FY70" s="4164"/>
      <c r="FZ70" s="4164"/>
      <c r="GA70" s="4164"/>
      <c r="GB70" s="4164"/>
      <c r="GC70" s="4164"/>
      <c r="GD70" s="4164"/>
      <c r="GE70" s="4164"/>
      <c r="GF70" s="4164"/>
      <c r="GG70" s="4164"/>
      <c r="GH70" s="4164"/>
      <c r="GI70" s="4164"/>
      <c r="GJ70" s="4164"/>
      <c r="GK70" s="4164"/>
      <c r="GL70" s="4164"/>
      <c r="GM70" s="4164"/>
      <c r="GN70" s="4164"/>
      <c r="GO70" s="4164"/>
      <c r="GP70" s="4164"/>
      <c r="GQ70" s="4164"/>
      <c r="GR70" s="4164"/>
      <c r="GS70" s="4164"/>
      <c r="GT70" s="4164"/>
      <c r="GU70" s="4164"/>
      <c r="GV70" s="4164"/>
      <c r="GW70" s="2855">
        <f>MAX(0,GW67+GW68-GW69)</f>
        <v>0</v>
      </c>
      <c r="GX70" s="4164"/>
      <c r="GY70" s="2855">
        <f>MAX(0,GY67+GY68-GY69)</f>
        <v>0</v>
      </c>
      <c r="GZ70" s="4164"/>
      <c r="HA70" s="4164"/>
      <c r="HB70" s="4164"/>
      <c r="HC70" s="4164"/>
      <c r="HD70" s="4164"/>
      <c r="HE70" s="2855">
        <f>MAX(0,HE67+HE68-HE69)</f>
        <v>0</v>
      </c>
      <c r="HF70" s="4164"/>
      <c r="HG70" s="4164"/>
      <c r="HH70" s="4164"/>
      <c r="HI70" s="4164"/>
      <c r="HJ70" s="4164"/>
      <c r="HK70" s="4164"/>
      <c r="HL70" s="4164"/>
      <c r="HM70" s="4164"/>
      <c r="HN70" s="4164"/>
      <c r="HO70" s="4164"/>
      <c r="HP70" s="4164"/>
      <c r="HQ70" s="4164"/>
      <c r="HR70" s="4164"/>
      <c r="HS70" s="4164"/>
      <c r="HT70" s="4164"/>
      <c r="HU70" s="4164"/>
      <c r="HV70" s="4164"/>
      <c r="HW70" s="4164"/>
      <c r="HX70" s="4164"/>
      <c r="HY70" s="4164"/>
      <c r="HZ70" s="4164"/>
      <c r="IA70" s="4164"/>
      <c r="IB70" s="4164"/>
      <c r="IC70" s="4164"/>
      <c r="ID70" s="4164"/>
      <c r="IE70" s="4164"/>
      <c r="IF70" s="4164"/>
      <c r="IG70" s="4164"/>
      <c r="IH70" s="4164"/>
      <c r="II70" s="4164"/>
      <c r="IJ70" s="4164"/>
      <c r="IK70" s="4164"/>
      <c r="IL70" s="4164"/>
      <c r="IM70" s="4164"/>
      <c r="IN70" s="4164"/>
      <c r="IO70" s="2855">
        <f>MAX(0,IO67+IO68-IO69)</f>
        <v>0</v>
      </c>
      <c r="IP70" s="4164"/>
      <c r="IQ70" s="3840">
        <f>MAX(0,IQ67+IQ68-IQ69)</f>
        <v>0</v>
      </c>
      <c r="IR70" s="4164"/>
      <c r="IS70" s="4164"/>
      <c r="IT70" s="3987"/>
      <c r="IU70" s="4164"/>
      <c r="IV70" s="4164"/>
      <c r="IW70" s="4164"/>
      <c r="IX70" s="4164"/>
      <c r="IY70" s="4165"/>
      <c r="IZ70" s="4164"/>
      <c r="JA70" s="3816"/>
      <c r="JB70" s="4315"/>
      <c r="JC70" s="4252">
        <f>MAX(0,JC67+JC68-JC69)</f>
        <v>0</v>
      </c>
      <c r="JD70" s="2855"/>
      <c r="JE70" s="3816"/>
      <c r="JF70" s="3816"/>
      <c r="JG70" s="4166"/>
      <c r="JH70" s="1233"/>
      <c r="JI70" s="1393" t="s">
        <v>5631</v>
      </c>
      <c r="JJ70" s="1660" t="s">
        <v>6110</v>
      </c>
    </row>
    <row ht="12.75" r="71" spans="1:270" x14ac:dyDescent="0.2">
      <c r="A71" s="1128">
        <v>36</v>
      </c>
      <c r="B71" s="1557" t="str">
        <f si="2" t="shared"/>
        <v/>
      </c>
      <c r="C71" s="1559" t="s">
        <v>2228</v>
      </c>
      <c r="D71" s="1350" t="s">
        <v>5656</v>
      </c>
      <c r="E71" s="2848"/>
      <c r="F71" s="2848"/>
      <c r="G71" s="2848"/>
      <c r="H71" s="2848"/>
      <c r="I71" s="2848"/>
      <c r="J71" s="2848"/>
      <c r="K71" s="2848"/>
      <c r="L71" s="2848"/>
      <c r="M71" s="2848"/>
      <c r="N71" s="2848"/>
      <c r="O71" s="2848"/>
      <c r="P71" s="2848"/>
      <c r="Q71" s="2848"/>
      <c r="R71" s="2848"/>
      <c r="S71" s="2848"/>
      <c r="T71" s="2848"/>
      <c r="U71" s="2848"/>
      <c r="V71" s="2848"/>
      <c r="W71" s="2848"/>
      <c r="X71" s="2848"/>
      <c r="Y71" s="2848"/>
      <c r="Z71" s="2848"/>
      <c r="AA71" s="2848"/>
      <c r="AB71" s="2848"/>
      <c r="AC71" s="2848"/>
      <c r="AD71" s="2848"/>
      <c r="AE71" s="2848"/>
      <c r="AF71" s="2848"/>
      <c r="AG71" s="2848"/>
      <c r="AH71" s="2848"/>
      <c r="AI71" s="2848"/>
      <c r="AJ71" s="2848"/>
      <c r="AK71" s="2848"/>
      <c r="AL71" s="2848"/>
      <c r="AM71" s="2848">
        <f>AM66+AM70</f>
        <v>0</v>
      </c>
      <c r="AN71" s="2848"/>
      <c r="AO71" s="2848"/>
      <c r="AP71" s="2848"/>
      <c r="AQ71" s="2848"/>
      <c r="AR71" s="2848"/>
      <c r="AS71" s="2848"/>
      <c r="AT71" s="2848"/>
      <c r="AU71" s="2848"/>
      <c r="AV71" s="2848"/>
      <c r="AW71" s="2848"/>
      <c r="AX71" s="2848"/>
      <c r="AY71" s="2848"/>
      <c r="AZ71" s="2848"/>
      <c r="BA71" s="2848"/>
      <c r="BB71" s="2848">
        <f>BB66+BB70</f>
        <v>426</v>
      </c>
      <c r="BC71" s="2848">
        <f>BC66+BC70</f>
        <v>0</v>
      </c>
      <c r="BD71" s="2848"/>
      <c r="BE71" s="2848"/>
      <c r="BF71" s="2848"/>
      <c r="BG71" s="2848"/>
      <c r="BH71" s="2848"/>
      <c r="BI71" s="2848"/>
      <c r="BJ71" s="2848"/>
      <c r="BK71" s="2848"/>
      <c r="BL71" s="2848"/>
      <c r="BM71" s="2848"/>
      <c r="BN71" s="2848"/>
      <c r="BO71" s="2848"/>
      <c r="BP71" s="2848"/>
      <c r="BQ71" s="2848"/>
      <c r="BR71" s="2848"/>
      <c r="BS71" s="2848"/>
      <c r="BT71" s="2848"/>
      <c r="BU71" s="2848"/>
      <c r="BV71" s="2848"/>
      <c r="BW71" s="2848"/>
      <c r="BX71" s="2848"/>
      <c r="BY71" s="2848"/>
      <c r="BZ71" s="2848"/>
      <c r="CA71" s="2848"/>
      <c r="CB71" s="2848"/>
      <c r="CC71" s="2848"/>
      <c r="CD71" s="2848"/>
      <c r="CE71" s="2848"/>
      <c r="CF71" s="2848"/>
      <c r="CG71" s="2848"/>
      <c r="CH71" s="2848"/>
      <c r="CI71" s="2848"/>
      <c r="CJ71" s="2848"/>
      <c r="CK71" s="2848"/>
      <c r="CL71" s="2848"/>
      <c r="CM71" s="2848"/>
      <c r="CN71" s="2848"/>
      <c r="CO71" s="2848"/>
      <c r="CP71" s="2848">
        <f>CP66+CP70</f>
        <v>331</v>
      </c>
      <c r="CQ71" s="2848"/>
      <c r="CR71" s="2848"/>
      <c r="CS71" s="2848"/>
      <c r="CT71" s="2848"/>
      <c r="CU71" s="2848"/>
      <c r="CV71" s="2848"/>
      <c r="CW71" s="2848"/>
      <c r="CX71" s="2848"/>
      <c r="CY71" s="2848">
        <f>CY66+CY70</f>
        <v>1486</v>
      </c>
      <c r="CZ71" s="2848">
        <f>CZ66+CZ70</f>
        <v>18551</v>
      </c>
      <c r="DA71" s="2848">
        <f>DA66+DA70</f>
        <v>18551</v>
      </c>
      <c r="DB71" s="2848"/>
      <c r="DC71" s="2848"/>
      <c r="DD71" s="2848"/>
      <c r="DE71" s="2848"/>
      <c r="DF71" s="2848"/>
      <c r="DG71" s="2848"/>
      <c r="DH71" s="2848">
        <f>DH66+DH70</f>
        <v>0</v>
      </c>
      <c r="DI71" s="2848"/>
      <c r="DJ71" s="2848">
        <f>DJ66+DJ70</f>
        <v>1486</v>
      </c>
      <c r="DK71" s="2848"/>
      <c r="DL71" s="2848"/>
      <c r="DM71" s="2848">
        <f>DM66+DM70</f>
        <v>1486</v>
      </c>
      <c r="DN71" s="2848"/>
      <c r="DO71" s="2848"/>
      <c r="DP71" s="2848"/>
      <c r="DQ71" s="2848"/>
      <c r="DR71" s="2848"/>
      <c r="DS71" s="2848"/>
      <c r="DT71" s="2848"/>
      <c r="DU71" s="2848"/>
      <c r="DV71" s="2848"/>
      <c r="DW71" s="2848"/>
      <c r="DX71" s="2848"/>
      <c r="DY71" s="2848"/>
      <c r="DZ71" s="2848"/>
      <c r="EA71" s="2848"/>
      <c r="EB71" s="2848"/>
      <c r="EC71" s="2848"/>
      <c r="ED71" s="2848"/>
      <c r="EE71" s="2848"/>
      <c r="EF71" s="2848"/>
      <c r="EG71" s="2848"/>
      <c r="EH71" s="2848">
        <f>EH66+EH70</f>
        <v>0</v>
      </c>
      <c r="EI71" s="2848">
        <f>EI66+EI70</f>
        <v>854</v>
      </c>
      <c r="EJ71" s="2848"/>
      <c r="EK71" s="2848"/>
      <c r="EL71" s="2848"/>
      <c r="EM71" s="2848"/>
      <c r="EN71" s="2848"/>
      <c r="EO71" s="2848"/>
      <c r="EP71" s="2848"/>
      <c r="EQ71" s="2848"/>
      <c r="ER71" s="2848"/>
      <c r="ES71" s="2848"/>
      <c r="ET71" s="2848"/>
      <c r="EU71" s="2848"/>
      <c r="EV71" s="2848"/>
      <c r="EW71" s="2848"/>
      <c r="EX71" s="2848"/>
      <c r="EY71" s="2848"/>
      <c r="EZ71" s="2848"/>
      <c r="FA71" s="2848">
        <f>FA66+FA70</f>
        <v>1486</v>
      </c>
      <c r="FB71" s="2848"/>
      <c r="FC71" s="2848"/>
      <c r="FD71" s="2848"/>
      <c r="FE71" s="2848"/>
      <c r="FF71" s="2848"/>
      <c r="FG71" s="2848"/>
      <c r="FH71" s="2848"/>
      <c r="FI71" s="2848"/>
      <c r="FJ71" s="2848"/>
      <c r="FK71" s="2848">
        <f>FK66+FK70</f>
        <v>18551</v>
      </c>
      <c r="FL71" s="2848"/>
      <c r="FM71" s="2848"/>
      <c r="FN71" s="2848"/>
      <c r="FO71" s="2848"/>
      <c r="FP71" s="2848"/>
      <c r="FQ71" s="2848"/>
      <c r="FR71" s="2848"/>
      <c r="FS71" s="2848"/>
      <c r="FT71" s="2848"/>
      <c r="FU71" s="2848"/>
      <c r="FV71" s="2848">
        <f>FV66+FV70</f>
        <v>0</v>
      </c>
      <c r="FW71" s="2848"/>
      <c r="FX71" s="2848"/>
      <c r="FY71" s="2848"/>
      <c r="FZ71" s="2848"/>
      <c r="GA71" s="2848"/>
      <c r="GB71" s="2848"/>
      <c r="GC71" s="2848"/>
      <c r="GD71" s="2848"/>
      <c r="GE71" s="2848"/>
      <c r="GF71" s="2848"/>
      <c r="GG71" s="2848"/>
      <c r="GH71" s="2848"/>
      <c r="GI71" s="2848"/>
      <c r="GJ71" s="2848"/>
      <c r="GK71" s="2848"/>
      <c r="GL71" s="2848"/>
      <c r="GM71" s="2848"/>
      <c r="GN71" s="2848"/>
      <c r="GO71" s="2848"/>
      <c r="GP71" s="2848"/>
      <c r="GQ71" s="2848"/>
      <c r="GR71" s="2848"/>
      <c r="GS71" s="2848"/>
      <c r="GT71" s="2848"/>
      <c r="GU71" s="2848"/>
      <c r="GV71" s="2848"/>
      <c r="GW71" s="2848">
        <f>GW66+GW70</f>
        <v>0</v>
      </c>
      <c r="GX71" s="2848"/>
      <c r="GY71" s="2848">
        <f>GY66+GY70</f>
        <v>855</v>
      </c>
      <c r="GZ71" s="2848"/>
      <c r="HA71" s="2848"/>
      <c r="HB71" s="2848"/>
      <c r="HC71" s="2848"/>
      <c r="HD71" s="2848"/>
      <c r="HE71" s="2848">
        <f>HE66+HE70</f>
        <v>0</v>
      </c>
      <c r="HF71" s="2848"/>
      <c r="HG71" s="2848"/>
      <c r="HH71" s="2848"/>
      <c r="HI71" s="2848"/>
      <c r="HJ71" s="2848"/>
      <c r="HK71" s="2848"/>
      <c r="HL71" s="2848"/>
      <c r="HM71" s="2848"/>
      <c r="HN71" s="2848"/>
      <c r="HO71" s="2848"/>
      <c r="HP71" s="2848"/>
      <c r="HQ71" s="2848"/>
      <c r="HR71" s="2848"/>
      <c r="HS71" s="2848"/>
      <c r="HT71" s="2848"/>
      <c r="HU71" s="2848"/>
      <c r="HV71" s="2848"/>
      <c r="HW71" s="2848"/>
      <c r="HX71" s="2848"/>
      <c r="HY71" s="2848"/>
      <c r="HZ71" s="2848"/>
      <c r="IA71" s="2848"/>
      <c r="IB71" s="2848"/>
      <c r="IC71" s="2848"/>
      <c r="ID71" s="2848"/>
      <c r="IE71" s="2848"/>
      <c r="IF71" s="2848"/>
      <c r="IG71" s="2848"/>
      <c r="IH71" s="2848"/>
      <c r="II71" s="2848"/>
      <c r="IJ71" s="2848"/>
      <c r="IK71" s="2848"/>
      <c r="IL71" s="2848"/>
      <c r="IM71" s="2848"/>
      <c r="IN71" s="2848"/>
      <c r="IO71" s="2848">
        <f>IO66+IO70</f>
        <v>0</v>
      </c>
      <c r="IP71" s="2848"/>
      <c r="IQ71" s="3844">
        <f>IQ66+IQ70</f>
        <v>0</v>
      </c>
      <c r="IR71" s="2848"/>
      <c r="IS71" s="2848"/>
      <c r="IT71" s="3987">
        <f>IT66+IT70</f>
        <v>5319</v>
      </c>
      <c r="IU71" s="4164"/>
      <c r="IV71" s="4164"/>
      <c r="IW71" s="4164"/>
      <c r="IX71" s="4164"/>
      <c r="IY71" s="4165">
        <f>IY66+IY70</f>
        <v>14</v>
      </c>
      <c r="IZ71" s="4164"/>
      <c r="JA71" s="4164"/>
      <c r="JB71" s="4315">
        <f>JB66+JB70</f>
        <v>7</v>
      </c>
      <c r="JC71" s="4245">
        <f>JC66+JC70</f>
        <v>14</v>
      </c>
      <c r="JD71" s="2848"/>
      <c r="JE71" s="3817"/>
      <c r="JF71" s="3817"/>
      <c r="JG71" s="4168"/>
      <c r="JH71" s="1233"/>
      <c r="JI71" s="1393" t="s">
        <v>5632</v>
      </c>
      <c r="JJ71" s="1660" t="s">
        <v>6124</v>
      </c>
    </row>
    <row ht="12.75" r="72" spans="1:270" x14ac:dyDescent="0.2">
      <c r="A72" s="1128">
        <v>37</v>
      </c>
      <c r="B72" s="1557" t="str">
        <f si="2" t="shared"/>
        <v/>
      </c>
      <c r="C72" s="1559" t="s">
        <v>2229</v>
      </c>
      <c r="D72" s="1350" t="s">
        <v>5657</v>
      </c>
      <c r="E72" s="4151"/>
      <c r="F72" s="4151"/>
      <c r="G72" s="4151"/>
      <c r="H72" s="4151"/>
      <c r="I72" s="4151"/>
      <c r="J72" s="4151"/>
      <c r="K72" s="4151"/>
      <c r="L72" s="4151"/>
      <c r="M72" s="4151"/>
      <c r="N72" s="4151"/>
      <c r="O72" s="4151"/>
      <c r="P72" s="4151"/>
      <c r="Q72" s="4151"/>
      <c r="R72" s="4151"/>
      <c r="S72" s="4151"/>
      <c r="T72" s="4151"/>
      <c r="U72" s="4151"/>
      <c r="V72" s="4151"/>
      <c r="W72" s="4151"/>
      <c r="X72" s="4151"/>
      <c r="Y72" s="4151"/>
      <c r="Z72" s="4151"/>
      <c r="AA72" s="4151"/>
      <c r="AB72" s="4151"/>
      <c r="AC72" s="4151"/>
      <c r="AD72" s="2864"/>
      <c r="AE72" s="2864"/>
      <c r="AF72" s="2864"/>
      <c r="AG72" s="2864"/>
      <c r="AH72" s="2864"/>
      <c r="AI72" s="4151"/>
      <c r="AJ72" s="4151"/>
      <c r="AK72" s="4151"/>
      <c r="AL72" s="4151"/>
      <c r="AM72" s="2854">
        <v>0</v>
      </c>
      <c r="AN72" s="4151"/>
      <c r="AO72" s="4151"/>
      <c r="AP72" s="4151"/>
      <c r="AQ72" s="4151"/>
      <c r="AR72" s="4151"/>
      <c r="AS72" s="4151"/>
      <c r="AT72" s="4151"/>
      <c r="AU72" s="4151"/>
      <c r="AV72" s="4151"/>
      <c r="AW72" s="4151"/>
      <c r="AX72" s="4151"/>
      <c r="AY72" s="4151"/>
      <c r="AZ72" s="4151"/>
      <c r="BA72" s="4151"/>
      <c r="BB72" s="2854">
        <v>6421</v>
      </c>
      <c r="BC72" s="2854">
        <v>0</v>
      </c>
      <c r="BD72" s="4151"/>
      <c r="BE72" s="4151"/>
      <c r="BF72" s="4151"/>
      <c r="BG72" s="4151"/>
      <c r="BH72" s="4151"/>
      <c r="BI72" s="4151"/>
      <c r="BJ72" s="4151"/>
      <c r="BK72" s="4151"/>
      <c r="BL72" s="4151"/>
      <c r="BM72" s="4151"/>
      <c r="BN72" s="4151"/>
      <c r="BO72" s="4151"/>
      <c r="BP72" s="4151"/>
      <c r="BQ72" s="4151"/>
      <c r="BR72" s="4151"/>
      <c r="BS72" s="4151"/>
      <c r="BT72" s="4151"/>
      <c r="BU72" s="4151"/>
      <c r="BV72" s="4151"/>
      <c r="BW72" s="4151"/>
      <c r="BX72" s="4151"/>
      <c r="BY72" s="4151"/>
      <c r="BZ72" s="4151"/>
      <c r="CA72" s="4151"/>
      <c r="CB72" s="4151"/>
      <c r="CC72" s="4151"/>
      <c r="CD72" s="4151"/>
      <c r="CE72" s="4151"/>
      <c r="CF72" s="4151"/>
      <c r="CG72" s="4151"/>
      <c r="CH72" s="4151"/>
      <c r="CI72" s="4151"/>
      <c r="CJ72" s="4151"/>
      <c r="CK72" s="4151"/>
      <c r="CL72" s="4151"/>
      <c r="CM72" s="4151"/>
      <c r="CN72" s="4151"/>
      <c r="CO72" s="4151"/>
      <c r="CP72" s="2854">
        <v>0</v>
      </c>
      <c r="CQ72" s="4151"/>
      <c r="CR72" s="4151"/>
      <c r="CS72" s="4151"/>
      <c r="CT72" s="4151"/>
      <c r="CU72" s="4151"/>
      <c r="CV72" s="4151"/>
      <c r="CW72" s="4151"/>
      <c r="CX72" s="4151"/>
      <c r="CY72" s="2862">
        <v>-6400</v>
      </c>
      <c r="CZ72" s="2854">
        <v>0</v>
      </c>
      <c r="DA72" s="2854">
        <v>0</v>
      </c>
      <c r="DB72" s="4151"/>
      <c r="DC72" s="4151"/>
      <c r="DD72" s="4151"/>
      <c r="DE72" s="4151"/>
      <c r="DF72" s="4151"/>
      <c r="DG72" s="4151"/>
      <c r="DH72" s="2864">
        <v>0</v>
      </c>
      <c r="DI72" s="4151"/>
      <c r="DJ72" s="2862">
        <v>-6400</v>
      </c>
      <c r="DK72" s="4151"/>
      <c r="DL72" s="4151"/>
      <c r="DM72" s="2862">
        <v>-6400</v>
      </c>
      <c r="DN72" s="4151"/>
      <c r="DO72" s="4151"/>
      <c r="DP72" s="4151"/>
      <c r="DQ72" s="4151"/>
      <c r="DR72" s="4151"/>
      <c r="DS72" s="4151"/>
      <c r="DT72" s="4151"/>
      <c r="DU72" s="4151"/>
      <c r="DV72" s="4151"/>
      <c r="DW72" s="4151"/>
      <c r="DX72" s="4151"/>
      <c r="DY72" s="4151"/>
      <c r="DZ72" s="4151"/>
      <c r="EA72" s="4151"/>
      <c r="EB72" s="4151"/>
      <c r="EC72" s="4151"/>
      <c r="ED72" s="4151"/>
      <c r="EE72" s="4151"/>
      <c r="EF72" s="4151"/>
      <c r="EG72" s="4151"/>
      <c r="EH72" s="2854">
        <v>5500</v>
      </c>
      <c r="EI72" s="2864">
        <v>-5000</v>
      </c>
      <c r="EJ72" s="4151"/>
      <c r="EK72" s="4151"/>
      <c r="EL72" s="4151"/>
      <c r="EM72" s="4151"/>
      <c r="EN72" s="4151"/>
      <c r="EO72" s="4151"/>
      <c r="EP72" s="4151"/>
      <c r="EQ72" s="4151"/>
      <c r="ER72" s="4151"/>
      <c r="ES72" s="4151"/>
      <c r="ET72" s="4151"/>
      <c r="EU72" s="4151"/>
      <c r="EV72" s="4151"/>
      <c r="EW72" s="4151"/>
      <c r="EX72" s="4151"/>
      <c r="EY72" s="4151"/>
      <c r="EZ72" s="4151"/>
      <c r="FA72" s="2862">
        <v>-6400</v>
      </c>
      <c r="FB72" s="4151"/>
      <c r="FC72" s="4151"/>
      <c r="FD72" s="4151"/>
      <c r="FE72" s="4151"/>
      <c r="FF72" s="4151"/>
      <c r="FG72" s="4151"/>
      <c r="FH72" s="4151"/>
      <c r="FI72" s="4151"/>
      <c r="FJ72" s="4151"/>
      <c r="FK72" s="2854">
        <v>0</v>
      </c>
      <c r="FL72" s="4151"/>
      <c r="FM72" s="4151"/>
      <c r="FN72" s="4151"/>
      <c r="FO72" s="4151"/>
      <c r="FP72" s="4151"/>
      <c r="FQ72" s="4151"/>
      <c r="FR72" s="4151"/>
      <c r="FS72" s="4151"/>
      <c r="FT72" s="4151"/>
      <c r="FU72" s="4151"/>
      <c r="FV72" s="2854">
        <v>0</v>
      </c>
      <c r="FW72" s="4151"/>
      <c r="FX72" s="4151"/>
      <c r="FY72" s="4151"/>
      <c r="FZ72" s="4151"/>
      <c r="GA72" s="4151"/>
      <c r="GB72" s="4151"/>
      <c r="GC72" s="4151"/>
      <c r="GD72" s="4151"/>
      <c r="GE72" s="4151"/>
      <c r="GF72" s="4151"/>
      <c r="GG72" s="4151"/>
      <c r="GH72" s="4151"/>
      <c r="GI72" s="4151"/>
      <c r="GJ72" s="4151"/>
      <c r="GK72" s="4151"/>
      <c r="GL72" s="4151"/>
      <c r="GM72" s="4151"/>
      <c r="GN72" s="4151"/>
      <c r="GO72" s="4151"/>
      <c r="GP72" s="4151"/>
      <c r="GQ72" s="4151"/>
      <c r="GR72" s="4151"/>
      <c r="GS72" s="4151"/>
      <c r="GT72" s="4151"/>
      <c r="GU72" s="4151"/>
      <c r="GV72" s="4151"/>
      <c r="GW72" s="2854">
        <v>0</v>
      </c>
      <c r="GX72" s="4151"/>
      <c r="GY72" s="2864">
        <v>-3000</v>
      </c>
      <c r="GZ72" s="4151"/>
      <c r="HA72" s="4151"/>
      <c r="HB72" s="4151"/>
      <c r="HC72" s="4151"/>
      <c r="HD72" s="4151"/>
      <c r="HE72" s="2864">
        <v>0</v>
      </c>
      <c r="HF72" s="4151"/>
      <c r="HG72" s="4151"/>
      <c r="HH72" s="4151"/>
      <c r="HI72" s="4151"/>
      <c r="HJ72" s="4151"/>
      <c r="HK72" s="4151"/>
      <c r="HL72" s="4151"/>
      <c r="HM72" s="4151"/>
      <c r="HN72" s="4151"/>
      <c r="HO72" s="4151"/>
      <c r="HP72" s="4151"/>
      <c r="HQ72" s="4151"/>
      <c r="HR72" s="4151"/>
      <c r="HS72" s="4151"/>
      <c r="HT72" s="4151"/>
      <c r="HU72" s="4151"/>
      <c r="HV72" s="4151"/>
      <c r="HW72" s="4151"/>
      <c r="HX72" s="4151"/>
      <c r="HY72" s="4151"/>
      <c r="HZ72" s="4151"/>
      <c r="IA72" s="4151"/>
      <c r="IB72" s="4151"/>
      <c r="IC72" s="4151"/>
      <c r="ID72" s="4151"/>
      <c r="IE72" s="4151"/>
      <c r="IF72" s="4151"/>
      <c r="IG72" s="4151"/>
      <c r="IH72" s="4151"/>
      <c r="II72" s="4151"/>
      <c r="IJ72" s="4151"/>
      <c r="IK72" s="4151"/>
      <c r="IL72" s="4151"/>
      <c r="IM72" s="4151"/>
      <c r="IN72" s="4151"/>
      <c r="IO72" s="2864"/>
      <c r="IP72" s="4151"/>
      <c r="IQ72" s="4152">
        <v>106</v>
      </c>
      <c r="IR72" s="4151"/>
      <c r="IS72" s="4151"/>
      <c r="IT72" s="3987"/>
      <c r="IU72" s="4151"/>
      <c r="IV72" s="4151"/>
      <c r="IW72" s="4151"/>
      <c r="IX72" s="4151"/>
      <c r="IY72" s="4153"/>
      <c r="IZ72" s="4151"/>
      <c r="JA72" s="3812"/>
      <c r="JB72" s="4313">
        <v>269</v>
      </c>
      <c r="JC72" s="4241"/>
      <c r="JD72" s="2854"/>
      <c r="JE72" s="3812"/>
      <c r="JF72" s="3812"/>
      <c r="JG72" s="4154"/>
      <c r="JH72" s="1233"/>
      <c r="JI72" s="1393"/>
      <c r="JJ72" s="1660" t="s">
        <v>6110</v>
      </c>
    </row>
    <row ht="12.75" r="73" spans="1:270" x14ac:dyDescent="0.2">
      <c r="A73" s="1128">
        <v>38</v>
      </c>
      <c r="B73" s="1557" t="str">
        <f si="2" t="shared"/>
        <v/>
      </c>
      <c r="C73" s="1559" t="s">
        <v>2230</v>
      </c>
      <c r="D73" s="1350" t="s">
        <v>5658</v>
      </c>
      <c r="E73" s="4158"/>
      <c r="F73" s="4158"/>
      <c r="G73" s="4158"/>
      <c r="H73" s="4158"/>
      <c r="I73" s="4158"/>
      <c r="J73" s="4158"/>
      <c r="K73" s="4158"/>
      <c r="L73" s="4158"/>
      <c r="M73" s="4158"/>
      <c r="N73" s="4158"/>
      <c r="O73" s="4158"/>
      <c r="P73" s="4158"/>
      <c r="Q73" s="4158"/>
      <c r="R73" s="4158"/>
      <c r="S73" s="4158"/>
      <c r="T73" s="4158"/>
      <c r="U73" s="4158"/>
      <c r="V73" s="4158"/>
      <c r="W73" s="4158"/>
      <c r="X73" s="4158"/>
      <c r="Y73" s="4158"/>
      <c r="Z73" s="4158"/>
      <c r="AA73" s="4158"/>
      <c r="AB73" s="4158"/>
      <c r="AC73" s="4158"/>
      <c r="AD73" s="2854"/>
      <c r="AE73" s="2854"/>
      <c r="AF73" s="2854"/>
      <c r="AG73" s="2854"/>
      <c r="AH73" s="2854"/>
      <c r="AI73" s="4158"/>
      <c r="AJ73" s="4158"/>
      <c r="AK73" s="4158"/>
      <c r="AL73" s="4158"/>
      <c r="AM73" s="2854">
        <v>0</v>
      </c>
      <c r="AN73" s="4158"/>
      <c r="AO73" s="4158"/>
      <c r="AP73" s="4158"/>
      <c r="AQ73" s="4158"/>
      <c r="AR73" s="4158"/>
      <c r="AS73" s="4158"/>
      <c r="AT73" s="4158"/>
      <c r="AU73" s="4158"/>
      <c r="AV73" s="4158"/>
      <c r="AW73" s="4158"/>
      <c r="AX73" s="4158"/>
      <c r="AY73" s="4158"/>
      <c r="AZ73" s="4158"/>
      <c r="BA73" s="4158"/>
      <c r="BB73" s="2854">
        <v>0</v>
      </c>
      <c r="BC73" s="2854">
        <v>0</v>
      </c>
      <c r="BD73" s="4158"/>
      <c r="BE73" s="4158"/>
      <c r="BF73" s="4158"/>
      <c r="BG73" s="4158"/>
      <c r="BH73" s="4158"/>
      <c r="BI73" s="4158"/>
      <c r="BJ73" s="4158"/>
      <c r="BK73" s="4158"/>
      <c r="BL73" s="4158"/>
      <c r="BM73" s="4158"/>
      <c r="BN73" s="4158"/>
      <c r="BO73" s="4158"/>
      <c r="BP73" s="4158"/>
      <c r="BQ73" s="4158"/>
      <c r="BR73" s="4158"/>
      <c r="BS73" s="4158"/>
      <c r="BT73" s="4158"/>
      <c r="BU73" s="4158"/>
      <c r="BV73" s="4158"/>
      <c r="BW73" s="4158"/>
      <c r="BX73" s="4158"/>
      <c r="BY73" s="4158"/>
      <c r="BZ73" s="4158"/>
      <c r="CA73" s="4158"/>
      <c r="CB73" s="4158"/>
      <c r="CC73" s="4158"/>
      <c r="CD73" s="4158"/>
      <c r="CE73" s="4158"/>
      <c r="CF73" s="4158"/>
      <c r="CG73" s="4158"/>
      <c r="CH73" s="4158"/>
      <c r="CI73" s="4158"/>
      <c r="CJ73" s="4158"/>
      <c r="CK73" s="4158"/>
      <c r="CL73" s="4158"/>
      <c r="CM73" s="4158"/>
      <c r="CN73" s="4158"/>
      <c r="CO73" s="4158"/>
      <c r="CP73" s="2854">
        <v>0</v>
      </c>
      <c r="CQ73" s="4158"/>
      <c r="CR73" s="4158"/>
      <c r="CS73" s="4158"/>
      <c r="CT73" s="4158"/>
      <c r="CU73" s="4158"/>
      <c r="CV73" s="4158"/>
      <c r="CW73" s="4158"/>
      <c r="CX73" s="4158"/>
      <c r="CY73" s="2854">
        <v>0</v>
      </c>
      <c r="CZ73" s="2854">
        <v>0</v>
      </c>
      <c r="DA73" s="2854">
        <v>0</v>
      </c>
      <c r="DB73" s="4158"/>
      <c r="DC73" s="4158"/>
      <c r="DD73" s="4158"/>
      <c r="DE73" s="4158"/>
      <c r="DF73" s="4158"/>
      <c r="DG73" s="4158"/>
      <c r="DH73" s="2854">
        <v>0</v>
      </c>
      <c r="DI73" s="4158"/>
      <c r="DJ73" s="2854">
        <v>0</v>
      </c>
      <c r="DK73" s="4158"/>
      <c r="DL73" s="4158"/>
      <c r="DM73" s="2854">
        <v>0</v>
      </c>
      <c r="DN73" s="4158"/>
      <c r="DO73" s="4158"/>
      <c r="DP73" s="4158"/>
      <c r="DQ73" s="4158"/>
      <c r="DR73" s="4158"/>
      <c r="DS73" s="4158"/>
      <c r="DT73" s="4158"/>
      <c r="DU73" s="4158"/>
      <c r="DV73" s="4158"/>
      <c r="DW73" s="4158"/>
      <c r="DX73" s="4158"/>
      <c r="DY73" s="4158"/>
      <c r="DZ73" s="4158"/>
      <c r="EA73" s="4158"/>
      <c r="EB73" s="4158"/>
      <c r="EC73" s="4158"/>
      <c r="ED73" s="4158"/>
      <c r="EE73" s="4158"/>
      <c r="EF73" s="4158"/>
      <c r="EG73" s="4158"/>
      <c r="EH73" s="2854">
        <v>0</v>
      </c>
      <c r="EI73" s="2854">
        <v>0</v>
      </c>
      <c r="EJ73" s="4158"/>
      <c r="EK73" s="4158"/>
      <c r="EL73" s="4158"/>
      <c r="EM73" s="4158"/>
      <c r="EN73" s="4158"/>
      <c r="EO73" s="4158"/>
      <c r="EP73" s="4158"/>
      <c r="EQ73" s="4158"/>
      <c r="ER73" s="4158"/>
      <c r="ES73" s="4158"/>
      <c r="ET73" s="4158"/>
      <c r="EU73" s="4158"/>
      <c r="EV73" s="4158"/>
      <c r="EW73" s="4158"/>
      <c r="EX73" s="4158"/>
      <c r="EY73" s="4158"/>
      <c r="EZ73" s="4158"/>
      <c r="FA73" s="2854">
        <v>0</v>
      </c>
      <c r="FB73" s="4158"/>
      <c r="FC73" s="4158"/>
      <c r="FD73" s="4158"/>
      <c r="FE73" s="4158"/>
      <c r="FF73" s="4158"/>
      <c r="FG73" s="4158"/>
      <c r="FH73" s="4158"/>
      <c r="FI73" s="4158"/>
      <c r="FJ73" s="4158"/>
      <c r="FK73" s="2854">
        <v>0</v>
      </c>
      <c r="FL73" s="4158"/>
      <c r="FM73" s="4158"/>
      <c r="FN73" s="4158"/>
      <c r="FO73" s="4158"/>
      <c r="FP73" s="4158"/>
      <c r="FQ73" s="4158"/>
      <c r="FR73" s="4158"/>
      <c r="FS73" s="4158"/>
      <c r="FT73" s="4158"/>
      <c r="FU73" s="4158"/>
      <c r="FV73" s="2854">
        <v>0</v>
      </c>
      <c r="FW73" s="4158"/>
      <c r="FX73" s="4158"/>
      <c r="FY73" s="4158"/>
      <c r="FZ73" s="4158"/>
      <c r="GA73" s="4158"/>
      <c r="GB73" s="4158"/>
      <c r="GC73" s="4158"/>
      <c r="GD73" s="4158"/>
      <c r="GE73" s="4158"/>
      <c r="GF73" s="4158"/>
      <c r="GG73" s="4158"/>
      <c r="GH73" s="4158"/>
      <c r="GI73" s="4158"/>
      <c r="GJ73" s="4158"/>
      <c r="GK73" s="4158"/>
      <c r="GL73" s="4158"/>
      <c r="GM73" s="4158"/>
      <c r="GN73" s="4158"/>
      <c r="GO73" s="4158"/>
      <c r="GP73" s="4158"/>
      <c r="GQ73" s="4158"/>
      <c r="GR73" s="4158"/>
      <c r="GS73" s="4158"/>
      <c r="GT73" s="4158"/>
      <c r="GU73" s="4158"/>
      <c r="GV73" s="4158"/>
      <c r="GW73" s="2854">
        <v>0</v>
      </c>
      <c r="GX73" s="4158"/>
      <c r="GY73" s="2854">
        <v>0</v>
      </c>
      <c r="GZ73" s="4158"/>
      <c r="HA73" s="4158"/>
      <c r="HB73" s="4158"/>
      <c r="HC73" s="4158"/>
      <c r="HD73" s="4158"/>
      <c r="HE73" s="2854">
        <v>0</v>
      </c>
      <c r="HF73" s="4158"/>
      <c r="HG73" s="4158"/>
      <c r="HH73" s="4158"/>
      <c r="HI73" s="4158"/>
      <c r="HJ73" s="4158"/>
      <c r="HK73" s="4158"/>
      <c r="HL73" s="4158"/>
      <c r="HM73" s="4158"/>
      <c r="HN73" s="4158"/>
      <c r="HO73" s="4158"/>
      <c r="HP73" s="4158"/>
      <c r="HQ73" s="4158"/>
      <c r="HR73" s="4158"/>
      <c r="HS73" s="4158"/>
      <c r="HT73" s="4158"/>
      <c r="HU73" s="4158"/>
      <c r="HV73" s="4158"/>
      <c r="HW73" s="4158"/>
      <c r="HX73" s="4158"/>
      <c r="HY73" s="4158"/>
      <c r="HZ73" s="4158"/>
      <c r="IA73" s="4158"/>
      <c r="IB73" s="4158"/>
      <c r="IC73" s="4158"/>
      <c r="ID73" s="4158"/>
      <c r="IE73" s="4158"/>
      <c r="IF73" s="4158"/>
      <c r="IG73" s="4158"/>
      <c r="IH73" s="4158"/>
      <c r="II73" s="4158"/>
      <c r="IJ73" s="4158"/>
      <c r="IK73" s="4158"/>
      <c r="IL73" s="4158"/>
      <c r="IM73" s="4158"/>
      <c r="IN73" s="4158"/>
      <c r="IO73" s="2854">
        <v>0</v>
      </c>
      <c r="IP73" s="4158"/>
      <c r="IQ73" s="4159"/>
      <c r="IR73" s="4158"/>
      <c r="IS73" s="4158"/>
      <c r="IT73" s="3987"/>
      <c r="IU73" s="4158"/>
      <c r="IV73" s="4158"/>
      <c r="IW73" s="4158"/>
      <c r="IX73" s="4158"/>
      <c r="IY73" s="4160"/>
      <c r="IZ73" s="4158"/>
      <c r="JA73" s="3814"/>
      <c r="JB73" s="4314"/>
      <c r="JC73" s="4242"/>
      <c r="JD73" s="2854"/>
      <c r="JE73" s="3814"/>
      <c r="JF73" s="3814"/>
      <c r="JG73" s="4161"/>
      <c r="JH73" s="1233"/>
      <c r="JI73" s="1393"/>
      <c r="JJ73" s="1660" t="s">
        <v>6110</v>
      </c>
    </row>
    <row ht="22.5" r="74" spans="1:270" x14ac:dyDescent="0.2">
      <c r="A74" s="1128">
        <v>39</v>
      </c>
      <c r="B74" s="1557" t="str">
        <f si="2" t="shared"/>
        <v/>
      </c>
      <c r="C74" s="1559" t="s">
        <v>2231</v>
      </c>
      <c r="D74" s="1350" t="s">
        <v>5659</v>
      </c>
      <c r="E74" s="2847"/>
      <c r="F74" s="2847"/>
      <c r="G74" s="2847"/>
      <c r="H74" s="2847"/>
      <c r="I74" s="2847"/>
      <c r="J74" s="2847"/>
      <c r="K74" s="2847"/>
      <c r="L74" s="2847"/>
      <c r="M74" s="2847"/>
      <c r="N74" s="2847"/>
      <c r="O74" s="2847"/>
      <c r="P74" s="2847"/>
      <c r="Q74" s="2847"/>
      <c r="R74" s="2847"/>
      <c r="S74" s="2847"/>
      <c r="T74" s="2847"/>
      <c r="U74" s="2847"/>
      <c r="V74" s="2847"/>
      <c r="W74" s="2847"/>
      <c r="X74" s="2847"/>
      <c r="Y74" s="2847"/>
      <c r="Z74" s="2847"/>
      <c r="AA74" s="2847"/>
      <c r="AB74" s="2847"/>
      <c r="AC74" s="2847"/>
      <c r="AD74" s="2847"/>
      <c r="AE74" s="2847"/>
      <c r="AF74" s="2847"/>
      <c r="AG74" s="2847"/>
      <c r="AH74" s="2847"/>
      <c r="AI74" s="2847"/>
      <c r="AJ74" s="2847"/>
      <c r="AK74" s="2847"/>
      <c r="AL74" s="2847"/>
      <c r="AM74" s="2847"/>
      <c r="AN74" s="2847"/>
      <c r="AO74" s="2847"/>
      <c r="AP74" s="2847"/>
      <c r="AQ74" s="2847"/>
      <c r="AR74" s="2847"/>
      <c r="AS74" s="2847"/>
      <c r="AT74" s="2847"/>
      <c r="AU74" s="2847"/>
      <c r="AV74" s="2847"/>
      <c r="AW74" s="2847"/>
      <c r="AX74" s="2847"/>
      <c r="AY74" s="2847"/>
      <c r="AZ74" s="2847"/>
      <c r="BA74" s="2847"/>
      <c r="BB74" s="2847">
        <v>365</v>
      </c>
      <c r="BC74" s="2847"/>
      <c r="BD74" s="2847"/>
      <c r="BE74" s="2847"/>
      <c r="BF74" s="2847"/>
      <c r="BG74" s="2847"/>
      <c r="BH74" s="2847"/>
      <c r="BI74" s="2847"/>
      <c r="BJ74" s="2847"/>
      <c r="BK74" s="2847"/>
      <c r="BL74" s="2847"/>
      <c r="BM74" s="2847"/>
      <c r="BN74" s="2847"/>
      <c r="BO74" s="2847"/>
      <c r="BP74" s="2847"/>
      <c r="BQ74" s="2847"/>
      <c r="BR74" s="2847"/>
      <c r="BS74" s="2847"/>
      <c r="BT74" s="2847"/>
      <c r="BU74" s="2847"/>
      <c r="BV74" s="2847"/>
      <c r="BW74" s="2847"/>
      <c r="BX74" s="2847"/>
      <c r="BY74" s="2847"/>
      <c r="BZ74" s="2847"/>
      <c r="CA74" s="2847"/>
      <c r="CB74" s="2847"/>
      <c r="CC74" s="2847"/>
      <c r="CD74" s="2847"/>
      <c r="CE74" s="2847"/>
      <c r="CF74" s="2847"/>
      <c r="CG74" s="2847"/>
      <c r="CH74" s="2847"/>
      <c r="CI74" s="2847"/>
      <c r="CJ74" s="2847"/>
      <c r="CK74" s="2847"/>
      <c r="CL74" s="2847"/>
      <c r="CM74" s="2847"/>
      <c r="CN74" s="2847"/>
      <c r="CO74" s="2847"/>
      <c r="CP74" s="2847"/>
      <c r="CQ74" s="2847"/>
      <c r="CR74" s="2847"/>
      <c r="CS74" s="2847"/>
      <c r="CT74" s="2847"/>
      <c r="CU74" s="2847"/>
      <c r="CV74" s="2847"/>
      <c r="CW74" s="2847"/>
      <c r="CX74" s="2847"/>
      <c r="CY74" s="2847"/>
      <c r="CZ74" s="2847"/>
      <c r="DA74" s="2847"/>
      <c r="DB74" s="2847"/>
      <c r="DC74" s="2847"/>
      <c r="DD74" s="2847"/>
      <c r="DE74" s="2847"/>
      <c r="DF74" s="2847"/>
      <c r="DG74" s="2847"/>
      <c r="DH74" s="2847"/>
      <c r="DI74" s="2847"/>
      <c r="DJ74" s="2847"/>
      <c r="DK74" s="2847"/>
      <c r="DL74" s="2847"/>
      <c r="DM74" s="2847"/>
      <c r="DN74" s="2847"/>
      <c r="DO74" s="2847"/>
      <c r="DP74" s="2847"/>
      <c r="DQ74" s="2847"/>
      <c r="DR74" s="2847"/>
      <c r="DS74" s="2847"/>
      <c r="DT74" s="2847"/>
      <c r="DU74" s="2847"/>
      <c r="DV74" s="2847"/>
      <c r="DW74" s="2847"/>
      <c r="DX74" s="2847"/>
      <c r="DY74" s="2847"/>
      <c r="DZ74" s="2847"/>
      <c r="EA74" s="2847"/>
      <c r="EB74" s="2847"/>
      <c r="EC74" s="2847"/>
      <c r="ED74" s="2847"/>
      <c r="EE74" s="2847"/>
      <c r="EF74" s="2847"/>
      <c r="EG74" s="2847"/>
      <c r="EH74" s="2847">
        <v>5500</v>
      </c>
      <c r="EI74" s="2847"/>
      <c r="EJ74" s="2847"/>
      <c r="EK74" s="2847"/>
      <c r="EL74" s="2847"/>
      <c r="EM74" s="2847"/>
      <c r="EN74" s="2847"/>
      <c r="EO74" s="2847"/>
      <c r="EP74" s="2847"/>
      <c r="EQ74" s="2847"/>
      <c r="ER74" s="2847"/>
      <c r="ES74" s="2847"/>
      <c r="ET74" s="2847"/>
      <c r="EU74" s="2847"/>
      <c r="EV74" s="2847"/>
      <c r="EW74" s="2847"/>
      <c r="EX74" s="2847"/>
      <c r="EY74" s="2847"/>
      <c r="EZ74" s="2847"/>
      <c r="FA74" s="2847"/>
      <c r="FB74" s="2847"/>
      <c r="FC74" s="2847"/>
      <c r="FD74" s="2847"/>
      <c r="FE74" s="2847"/>
      <c r="FF74" s="2847"/>
      <c r="FG74" s="2847"/>
      <c r="FH74" s="2847"/>
      <c r="FI74" s="2847"/>
      <c r="FJ74" s="2847"/>
      <c r="FK74" s="2847"/>
      <c r="FL74" s="2847"/>
      <c r="FM74" s="2847"/>
      <c r="FN74" s="2847"/>
      <c r="FO74" s="2847"/>
      <c r="FP74" s="2847"/>
      <c r="FQ74" s="2847"/>
      <c r="FR74" s="2847"/>
      <c r="FS74" s="2847"/>
      <c r="FT74" s="2847"/>
      <c r="FU74" s="2847"/>
      <c r="FV74" s="2847"/>
      <c r="FW74" s="2847"/>
      <c r="FX74" s="2847"/>
      <c r="FY74" s="2847"/>
      <c r="FZ74" s="2847"/>
      <c r="GA74" s="2847"/>
      <c r="GB74" s="2847"/>
      <c r="GC74" s="2847"/>
      <c r="GD74" s="2847"/>
      <c r="GE74" s="2847"/>
      <c r="GF74" s="2847"/>
      <c r="GG74" s="2847"/>
      <c r="GH74" s="2847"/>
      <c r="GI74" s="2847"/>
      <c r="GJ74" s="2847"/>
      <c r="GK74" s="2847"/>
      <c r="GL74" s="2847"/>
      <c r="GM74" s="2847"/>
      <c r="GN74" s="2847"/>
      <c r="GO74" s="2847"/>
      <c r="GP74" s="2847"/>
      <c r="GQ74" s="2847"/>
      <c r="GR74" s="2847"/>
      <c r="GS74" s="2847"/>
      <c r="GT74" s="2847"/>
      <c r="GU74" s="2847"/>
      <c r="GV74" s="2847"/>
      <c r="GW74" s="2847"/>
      <c r="GX74" s="2847"/>
      <c r="GY74" s="2847"/>
      <c r="GZ74" s="2847"/>
      <c r="HA74" s="2847"/>
      <c r="HB74" s="2847"/>
      <c r="HC74" s="2847"/>
      <c r="HD74" s="2847"/>
      <c r="HE74" s="2847"/>
      <c r="HF74" s="2847"/>
      <c r="HG74" s="2847"/>
      <c r="HH74" s="2847"/>
      <c r="HI74" s="2847"/>
      <c r="HJ74" s="2847"/>
      <c r="HK74" s="2847"/>
      <c r="HL74" s="2847"/>
      <c r="HM74" s="2847"/>
      <c r="HN74" s="2847"/>
      <c r="HO74" s="2847"/>
      <c r="HP74" s="2847"/>
      <c r="HQ74" s="2847"/>
      <c r="HR74" s="2847"/>
      <c r="HS74" s="2847"/>
      <c r="HT74" s="2847"/>
      <c r="HU74" s="2847"/>
      <c r="HV74" s="2847"/>
      <c r="HW74" s="2847"/>
      <c r="HX74" s="2847"/>
      <c r="HY74" s="2847"/>
      <c r="HZ74" s="2847"/>
      <c r="IA74" s="2847"/>
      <c r="IB74" s="2847"/>
      <c r="IC74" s="2847"/>
      <c r="ID74" s="2847"/>
      <c r="IE74" s="2847"/>
      <c r="IF74" s="2847"/>
      <c r="IG74" s="2847"/>
      <c r="IH74" s="2847"/>
      <c r="II74" s="2847"/>
      <c r="IJ74" s="2847"/>
      <c r="IK74" s="2847"/>
      <c r="IL74" s="2847"/>
      <c r="IM74" s="2847"/>
      <c r="IN74" s="2847"/>
      <c r="IO74" s="2847"/>
      <c r="IP74" s="2847"/>
      <c r="IQ74" s="3841"/>
      <c r="IR74" s="2847"/>
      <c r="IS74" s="2847"/>
      <c r="IT74" s="3987"/>
      <c r="IU74" s="2847"/>
      <c r="IV74" s="2847"/>
      <c r="IW74" s="2847"/>
      <c r="IX74" s="2847"/>
      <c r="IY74" s="4162"/>
      <c r="IZ74" s="2847"/>
      <c r="JA74" s="3815"/>
      <c r="JB74" s="4162"/>
      <c r="JC74" s="4243"/>
      <c r="JD74" s="2847"/>
      <c r="JE74" s="3815"/>
      <c r="JF74" s="3815"/>
      <c r="JG74" s="4163"/>
      <c r="JH74" s="1233"/>
      <c r="JI74" s="1393" t="s">
        <v>5633</v>
      </c>
      <c r="JJ74" s="1660" t="s">
        <v>6108</v>
      </c>
    </row>
    <row ht="45" r="75" spans="1:270" x14ac:dyDescent="0.2">
      <c r="A75" s="1128">
        <v>40</v>
      </c>
      <c r="B75" s="1557" t="str">
        <f si="2" t="shared"/>
        <v/>
      </c>
      <c r="C75" s="1559" t="s">
        <v>2232</v>
      </c>
      <c r="D75" s="1350" t="str">
        <f>"Loss set off against "&amp;tax_year&amp;" total income"</f>
        <v>Loss set off against 2019-20 total income</v>
      </c>
      <c r="E75" s="2847"/>
      <c r="F75" s="2847"/>
      <c r="G75" s="2847"/>
      <c r="H75" s="2847"/>
      <c r="I75" s="2847"/>
      <c r="J75" s="2847"/>
      <c r="K75" s="2847"/>
      <c r="L75" s="2847"/>
      <c r="M75" s="2847"/>
      <c r="N75" s="2847"/>
      <c r="O75" s="2847"/>
      <c r="P75" s="2847"/>
      <c r="Q75" s="2847"/>
      <c r="R75" s="2847"/>
      <c r="S75" s="2847"/>
      <c r="T75" s="2847"/>
      <c r="U75" s="2847"/>
      <c r="V75" s="2847"/>
      <c r="W75" s="2847"/>
      <c r="X75" s="2847"/>
      <c r="Y75" s="2847"/>
      <c r="Z75" s="2847"/>
      <c r="AA75" s="2847"/>
      <c r="AB75" s="2847"/>
      <c r="AC75" s="2847"/>
      <c r="AD75" s="2847"/>
      <c r="AE75" s="2847"/>
      <c r="AF75" s="2847"/>
      <c r="AG75" s="2847"/>
      <c r="AH75" s="2847"/>
      <c r="AI75" s="2847"/>
      <c r="AJ75" s="2847"/>
      <c r="AK75" s="2847"/>
      <c r="AL75" s="2847"/>
      <c r="AM75" s="2847"/>
      <c r="AN75" s="2847"/>
      <c r="AO75" s="2847"/>
      <c r="AP75" s="2847"/>
      <c r="AQ75" s="2847"/>
      <c r="AR75" s="2847"/>
      <c r="AS75" s="2847"/>
      <c r="AT75" s="2847"/>
      <c r="AU75" s="2847"/>
      <c r="AV75" s="2847"/>
      <c r="AW75" s="2847"/>
      <c r="AX75" s="2847"/>
      <c r="AY75" s="2847"/>
      <c r="AZ75" s="2847"/>
      <c r="BA75" s="2847"/>
      <c r="BB75" s="2847"/>
      <c r="BC75" s="2847"/>
      <c r="BD75" s="2847"/>
      <c r="BE75" s="2847"/>
      <c r="BF75" s="2847"/>
      <c r="BG75" s="2847"/>
      <c r="BH75" s="2847"/>
      <c r="BI75" s="2847"/>
      <c r="BJ75" s="2847"/>
      <c r="BK75" s="2847"/>
      <c r="BL75" s="2847"/>
      <c r="BM75" s="2847"/>
      <c r="BN75" s="2847"/>
      <c r="BO75" s="2847"/>
      <c r="BP75" s="2847"/>
      <c r="BQ75" s="2847"/>
      <c r="BR75" s="2847"/>
      <c r="BS75" s="2847"/>
      <c r="BT75" s="2847"/>
      <c r="BU75" s="2847"/>
      <c r="BV75" s="2847"/>
      <c r="BW75" s="2847"/>
      <c r="BX75" s="2847"/>
      <c r="BY75" s="2847"/>
      <c r="BZ75" s="2847"/>
      <c r="CA75" s="2847"/>
      <c r="CB75" s="2847"/>
      <c r="CC75" s="2847"/>
      <c r="CD75" s="2847"/>
      <c r="CE75" s="2847"/>
      <c r="CF75" s="2847"/>
      <c r="CG75" s="2847"/>
      <c r="CH75" s="2847"/>
      <c r="CI75" s="2847"/>
      <c r="CJ75" s="2847"/>
      <c r="CK75" s="2847"/>
      <c r="CL75" s="2847"/>
      <c r="CM75" s="2847"/>
      <c r="CN75" s="2847"/>
      <c r="CO75" s="2847"/>
      <c r="CP75" s="2847"/>
      <c r="CQ75" s="2847"/>
      <c r="CR75" s="2847"/>
      <c r="CS75" s="2847"/>
      <c r="CT75" s="2847"/>
      <c r="CU75" s="2847"/>
      <c r="CV75" s="2847"/>
      <c r="CW75" s="2847"/>
      <c r="CX75" s="2847"/>
      <c r="CY75" s="2847">
        <v>6400</v>
      </c>
      <c r="CZ75" s="2847"/>
      <c r="DA75" s="2847"/>
      <c r="DB75" s="2847"/>
      <c r="DC75" s="2847"/>
      <c r="DD75" s="2847"/>
      <c r="DE75" s="2847"/>
      <c r="DF75" s="2847"/>
      <c r="DG75" s="2847"/>
      <c r="DH75" s="2847"/>
      <c r="DI75" s="2847"/>
      <c r="DJ75" s="2847">
        <v>6400</v>
      </c>
      <c r="DK75" s="2847"/>
      <c r="DL75" s="2847"/>
      <c r="DM75" s="2847">
        <v>6400</v>
      </c>
      <c r="DN75" s="2847"/>
      <c r="DO75" s="2847"/>
      <c r="DP75" s="2847"/>
      <c r="DQ75" s="2847"/>
      <c r="DR75" s="2847"/>
      <c r="DS75" s="2847"/>
      <c r="DT75" s="2847"/>
      <c r="DU75" s="2847"/>
      <c r="DV75" s="2847"/>
      <c r="DW75" s="2847"/>
      <c r="DX75" s="2847"/>
      <c r="DY75" s="2847"/>
      <c r="DZ75" s="2847"/>
      <c r="EA75" s="2847"/>
      <c r="EB75" s="2847"/>
      <c r="EC75" s="2847"/>
      <c r="ED75" s="2847"/>
      <c r="EE75" s="2847"/>
      <c r="EF75" s="2847"/>
      <c r="EG75" s="2847"/>
      <c r="EH75" s="2847"/>
      <c r="EI75" s="2847"/>
      <c r="EJ75" s="2847"/>
      <c r="EK75" s="2847"/>
      <c r="EL75" s="2847"/>
      <c r="EM75" s="2847"/>
      <c r="EN75" s="2847"/>
      <c r="EO75" s="2847"/>
      <c r="EP75" s="2847"/>
      <c r="EQ75" s="2847"/>
      <c r="ER75" s="2847"/>
      <c r="ES75" s="2847"/>
      <c r="ET75" s="2847"/>
      <c r="EU75" s="2847"/>
      <c r="EV75" s="2847"/>
      <c r="EW75" s="2847"/>
      <c r="EX75" s="2847"/>
      <c r="EY75" s="2847"/>
      <c r="EZ75" s="2847"/>
      <c r="FA75" s="2847">
        <v>6400</v>
      </c>
      <c r="FB75" s="2847"/>
      <c r="FC75" s="2847"/>
      <c r="FD75" s="2847"/>
      <c r="FE75" s="2847"/>
      <c r="FF75" s="2847"/>
      <c r="FG75" s="2847"/>
      <c r="FH75" s="2847"/>
      <c r="FI75" s="2847"/>
      <c r="FJ75" s="2847"/>
      <c r="FK75" s="2847"/>
      <c r="FL75" s="2847"/>
      <c r="FM75" s="2847"/>
      <c r="FN75" s="2847"/>
      <c r="FO75" s="2847"/>
      <c r="FP75" s="2847"/>
      <c r="FQ75" s="2847"/>
      <c r="FR75" s="2847"/>
      <c r="FS75" s="2847"/>
      <c r="FT75" s="2847"/>
      <c r="FU75" s="2847"/>
      <c r="FV75" s="2847"/>
      <c r="FW75" s="2847"/>
      <c r="FX75" s="2847"/>
      <c r="FY75" s="2847"/>
      <c r="FZ75" s="2847"/>
      <c r="GA75" s="2847"/>
      <c r="GB75" s="2847"/>
      <c r="GC75" s="2847"/>
      <c r="GD75" s="2847"/>
      <c r="GE75" s="2847"/>
      <c r="GF75" s="2847"/>
      <c r="GG75" s="2847"/>
      <c r="GH75" s="2847"/>
      <c r="GI75" s="2847"/>
      <c r="GJ75" s="2847"/>
      <c r="GK75" s="2847"/>
      <c r="GL75" s="2847"/>
      <c r="GM75" s="2847"/>
      <c r="GN75" s="2847"/>
      <c r="GO75" s="2847"/>
      <c r="GP75" s="2847"/>
      <c r="GQ75" s="2847"/>
      <c r="GR75" s="2847"/>
      <c r="GS75" s="2847"/>
      <c r="GT75" s="2847"/>
      <c r="GU75" s="2847"/>
      <c r="GV75" s="2847"/>
      <c r="GW75" s="2847"/>
      <c r="GX75" s="2847"/>
      <c r="GY75" s="2847">
        <v>3000</v>
      </c>
      <c r="GZ75" s="2847"/>
      <c r="HA75" s="2847"/>
      <c r="HB75" s="2847"/>
      <c r="HC75" s="2847"/>
      <c r="HD75" s="2847"/>
      <c r="HE75" s="2847">
        <v>190000</v>
      </c>
      <c r="HF75" s="2847"/>
      <c r="HG75" s="2847"/>
      <c r="HH75" s="2847"/>
      <c r="HI75" s="2847"/>
      <c r="HJ75" s="2847"/>
      <c r="HK75" s="2847"/>
      <c r="HL75" s="2847"/>
      <c r="HM75" s="2847"/>
      <c r="HN75" s="2847"/>
      <c r="HO75" s="2847"/>
      <c r="HP75" s="2847"/>
      <c r="HQ75" s="2847"/>
      <c r="HR75" s="2847"/>
      <c r="HS75" s="2847"/>
      <c r="HT75" s="2847"/>
      <c r="HU75" s="2847"/>
      <c r="HV75" s="2847"/>
      <c r="HW75" s="2847"/>
      <c r="HX75" s="2847"/>
      <c r="HY75" s="2847"/>
      <c r="HZ75" s="2847"/>
      <c r="IA75" s="2847"/>
      <c r="IB75" s="2847"/>
      <c r="IC75" s="2847"/>
      <c r="ID75" s="2847"/>
      <c r="IE75" s="2847"/>
      <c r="IF75" s="2847"/>
      <c r="IG75" s="2847"/>
      <c r="IH75" s="2847"/>
      <c r="II75" s="2847"/>
      <c r="IJ75" s="2847"/>
      <c r="IK75" s="2847"/>
      <c r="IL75" s="2847"/>
      <c r="IM75" s="2847"/>
      <c r="IN75" s="2847"/>
      <c r="IO75" s="2847"/>
      <c r="IP75" s="2847"/>
      <c r="IQ75" s="3841"/>
      <c r="IR75" s="2847"/>
      <c r="IS75" s="2847"/>
      <c r="IT75" s="3987"/>
      <c r="IU75" s="2847"/>
      <c r="IV75" s="2847"/>
      <c r="IW75" s="2847"/>
      <c r="IX75" s="2847"/>
      <c r="IY75" s="4162"/>
      <c r="IZ75" s="2847"/>
      <c r="JA75" s="3815"/>
      <c r="JB75" s="4162"/>
      <c r="JC75" s="4243"/>
      <c r="JD75" s="2847"/>
      <c r="JE75" s="3815"/>
      <c r="JF75" s="3815"/>
      <c r="JG75" s="4163"/>
      <c r="JH75" s="1233"/>
      <c r="JI75" s="1393" t="s">
        <v>5634</v>
      </c>
      <c r="JJ75" s="1660" t="s">
        <v>6108</v>
      </c>
    </row>
    <row ht="12.75" r="76" spans="1:270" x14ac:dyDescent="0.2">
      <c r="A76" s="1128">
        <v>41</v>
      </c>
      <c r="B76" s="1557" t="str">
        <f si="2" t="shared"/>
        <v/>
      </c>
      <c r="C76" s="1559" t="s">
        <v>2233</v>
      </c>
      <c r="D76" s="1350" t="s">
        <v>5660</v>
      </c>
      <c r="E76" s="4158"/>
      <c r="F76" s="4158"/>
      <c r="G76" s="4158"/>
      <c r="H76" s="4158"/>
      <c r="I76" s="4158"/>
      <c r="J76" s="4158"/>
      <c r="K76" s="4158"/>
      <c r="L76" s="4158"/>
      <c r="M76" s="4158"/>
      <c r="N76" s="4158"/>
      <c r="O76" s="4158"/>
      <c r="P76" s="4158"/>
      <c r="Q76" s="4158"/>
      <c r="R76" s="4158"/>
      <c r="S76" s="4158"/>
      <c r="T76" s="4158"/>
      <c r="U76" s="4158"/>
      <c r="V76" s="4158"/>
      <c r="W76" s="4158"/>
      <c r="X76" s="4158"/>
      <c r="Y76" s="4158"/>
      <c r="Z76" s="4158"/>
      <c r="AA76" s="4158"/>
      <c r="AB76" s="4158"/>
      <c r="AC76" s="4158"/>
      <c r="AD76" s="2854"/>
      <c r="AE76" s="2854"/>
      <c r="AF76" s="2854"/>
      <c r="AG76" s="2854"/>
      <c r="AH76" s="2854"/>
      <c r="AI76" s="4158"/>
      <c r="AJ76" s="4158"/>
      <c r="AK76" s="4158"/>
      <c r="AL76" s="4158"/>
      <c r="AM76" s="2854"/>
      <c r="AN76" s="4158"/>
      <c r="AO76" s="4158"/>
      <c r="AP76" s="4158"/>
      <c r="AQ76" s="4158"/>
      <c r="AR76" s="4158"/>
      <c r="AS76" s="4158"/>
      <c r="AT76" s="4158"/>
      <c r="AU76" s="4158"/>
      <c r="AV76" s="4158"/>
      <c r="AW76" s="4158"/>
      <c r="AX76" s="4158"/>
      <c r="AY76" s="4158"/>
      <c r="AZ76" s="4158"/>
      <c r="BA76" s="4158"/>
      <c r="BB76" s="2854"/>
      <c r="BC76" s="2854"/>
      <c r="BD76" s="4158"/>
      <c r="BE76" s="4158"/>
      <c r="BF76" s="4158"/>
      <c r="BG76" s="4158"/>
      <c r="BH76" s="4158"/>
      <c r="BI76" s="4158"/>
      <c r="BJ76" s="4158"/>
      <c r="BK76" s="4158"/>
      <c r="BL76" s="4158"/>
      <c r="BM76" s="4158"/>
      <c r="BN76" s="4158"/>
      <c r="BO76" s="4158"/>
      <c r="BP76" s="4158"/>
      <c r="BQ76" s="4158"/>
      <c r="BR76" s="4158"/>
      <c r="BS76" s="4158"/>
      <c r="BT76" s="4158"/>
      <c r="BU76" s="4158"/>
      <c r="BV76" s="4158"/>
      <c r="BW76" s="4158"/>
      <c r="BX76" s="4158"/>
      <c r="BY76" s="4158"/>
      <c r="BZ76" s="4158"/>
      <c r="CA76" s="4158"/>
      <c r="CB76" s="4158"/>
      <c r="CC76" s="4158"/>
      <c r="CD76" s="4158"/>
      <c r="CE76" s="4158"/>
      <c r="CF76" s="4158"/>
      <c r="CG76" s="4158"/>
      <c r="CH76" s="4158"/>
      <c r="CI76" s="4158"/>
      <c r="CJ76" s="4158"/>
      <c r="CK76" s="4158"/>
      <c r="CL76" s="4158"/>
      <c r="CM76" s="4158"/>
      <c r="CN76" s="4158"/>
      <c r="CO76" s="4158"/>
      <c r="CP76" s="2854"/>
      <c r="CQ76" s="4158"/>
      <c r="CR76" s="4158"/>
      <c r="CS76" s="4158"/>
      <c r="CT76" s="4158"/>
      <c r="CU76" s="4158"/>
      <c r="CV76" s="4158"/>
      <c r="CW76" s="4158"/>
      <c r="CX76" s="4158"/>
      <c r="CY76" s="2854"/>
      <c r="CZ76" s="2854"/>
      <c r="DA76" s="2854"/>
      <c r="DB76" s="4158"/>
      <c r="DC76" s="4158"/>
      <c r="DD76" s="4158"/>
      <c r="DE76" s="4158"/>
      <c r="DF76" s="4158"/>
      <c r="DG76" s="4158"/>
      <c r="DH76" s="2854"/>
      <c r="DI76" s="4158"/>
      <c r="DJ76" s="2854"/>
      <c r="DK76" s="4158"/>
      <c r="DL76" s="4158"/>
      <c r="DM76" s="2854"/>
      <c r="DN76" s="4158"/>
      <c r="DO76" s="4158"/>
      <c r="DP76" s="4158"/>
      <c r="DQ76" s="4158"/>
      <c r="DR76" s="4158"/>
      <c r="DS76" s="4158"/>
      <c r="DT76" s="4158"/>
      <c r="DU76" s="4158"/>
      <c r="DV76" s="4158"/>
      <c r="DW76" s="4158"/>
      <c r="DX76" s="4158"/>
      <c r="DY76" s="4158"/>
      <c r="DZ76" s="4158"/>
      <c r="EA76" s="4158"/>
      <c r="EB76" s="4158"/>
      <c r="EC76" s="4158"/>
      <c r="ED76" s="4158"/>
      <c r="EE76" s="4158"/>
      <c r="EF76" s="4158"/>
      <c r="EG76" s="4158"/>
      <c r="EH76" s="2854"/>
      <c r="EI76" s="2854"/>
      <c r="EJ76" s="4158"/>
      <c r="EK76" s="4158"/>
      <c r="EL76" s="4158"/>
      <c r="EM76" s="4158"/>
      <c r="EN76" s="4158"/>
      <c r="EO76" s="4158"/>
      <c r="EP76" s="4158"/>
      <c r="EQ76" s="4158"/>
      <c r="ER76" s="4158"/>
      <c r="ES76" s="4158"/>
      <c r="ET76" s="4158"/>
      <c r="EU76" s="4158"/>
      <c r="EV76" s="4158"/>
      <c r="EW76" s="4158"/>
      <c r="EX76" s="4158"/>
      <c r="EY76" s="4158"/>
      <c r="EZ76" s="4158"/>
      <c r="FA76" s="2854"/>
      <c r="FB76" s="4158"/>
      <c r="FC76" s="4158"/>
      <c r="FD76" s="4158"/>
      <c r="FE76" s="4158"/>
      <c r="FF76" s="4158"/>
      <c r="FG76" s="4158"/>
      <c r="FH76" s="4158"/>
      <c r="FI76" s="4158"/>
      <c r="FJ76" s="4158"/>
      <c r="FK76" s="2854"/>
      <c r="FL76" s="4158"/>
      <c r="FM76" s="4158"/>
      <c r="FN76" s="4158"/>
      <c r="FO76" s="4158"/>
      <c r="FP76" s="4158"/>
      <c r="FQ76" s="4158"/>
      <c r="FR76" s="4158"/>
      <c r="FS76" s="4158"/>
      <c r="FT76" s="4158"/>
      <c r="FU76" s="4158"/>
      <c r="FV76" s="2854"/>
      <c r="FW76" s="4158"/>
      <c r="FX76" s="4158"/>
      <c r="FY76" s="4158"/>
      <c r="FZ76" s="4158"/>
      <c r="GA76" s="4158"/>
      <c r="GB76" s="4158"/>
      <c r="GC76" s="4158"/>
      <c r="GD76" s="4158"/>
      <c r="GE76" s="4158"/>
      <c r="GF76" s="4158"/>
      <c r="GG76" s="4158"/>
      <c r="GH76" s="4158"/>
      <c r="GI76" s="4158"/>
      <c r="GJ76" s="4158"/>
      <c r="GK76" s="4158"/>
      <c r="GL76" s="4158"/>
      <c r="GM76" s="4158"/>
      <c r="GN76" s="4158"/>
      <c r="GO76" s="4158"/>
      <c r="GP76" s="4158"/>
      <c r="GQ76" s="4158"/>
      <c r="GR76" s="4158"/>
      <c r="GS76" s="4158"/>
      <c r="GT76" s="4158"/>
      <c r="GU76" s="4158"/>
      <c r="GV76" s="4158"/>
      <c r="GW76" s="2854"/>
      <c r="GX76" s="4158"/>
      <c r="GY76" s="2854">
        <v>0</v>
      </c>
      <c r="GZ76" s="4158"/>
      <c r="HA76" s="4158"/>
      <c r="HB76" s="4158"/>
      <c r="HC76" s="4158"/>
      <c r="HD76" s="4158"/>
      <c r="HE76" s="2854"/>
      <c r="HF76" s="4158"/>
      <c r="HG76" s="4158"/>
      <c r="HH76" s="4158"/>
      <c r="HI76" s="4158"/>
      <c r="HJ76" s="4158"/>
      <c r="HK76" s="4158"/>
      <c r="HL76" s="4158"/>
      <c r="HM76" s="4158"/>
      <c r="HN76" s="4158"/>
      <c r="HO76" s="4158"/>
      <c r="HP76" s="4158"/>
      <c r="HQ76" s="4158"/>
      <c r="HR76" s="4158"/>
      <c r="HS76" s="4158"/>
      <c r="HT76" s="4158"/>
      <c r="HU76" s="4158"/>
      <c r="HV76" s="4158"/>
      <c r="HW76" s="4158"/>
      <c r="HX76" s="4158"/>
      <c r="HY76" s="4158"/>
      <c r="HZ76" s="4158"/>
      <c r="IA76" s="4158"/>
      <c r="IB76" s="4158"/>
      <c r="IC76" s="4158"/>
      <c r="ID76" s="4158"/>
      <c r="IE76" s="4158"/>
      <c r="IF76" s="4158"/>
      <c r="IG76" s="4158"/>
      <c r="IH76" s="4158"/>
      <c r="II76" s="4158"/>
      <c r="IJ76" s="4158"/>
      <c r="IK76" s="4158"/>
      <c r="IL76" s="4158"/>
      <c r="IM76" s="4158"/>
      <c r="IN76" s="4158"/>
      <c r="IO76" s="2854"/>
      <c r="IP76" s="4158"/>
      <c r="IQ76" s="4159">
        <v>106</v>
      </c>
      <c r="IR76" s="4158"/>
      <c r="IS76" s="4158"/>
      <c r="IT76" s="3987"/>
      <c r="IU76" s="4158"/>
      <c r="IV76" s="4158"/>
      <c r="IW76" s="4158"/>
      <c r="IX76" s="4158"/>
      <c r="IY76" s="4160"/>
      <c r="IZ76" s="4158"/>
      <c r="JA76" s="3814"/>
      <c r="JB76" s="4314"/>
      <c r="JC76" s="4242"/>
      <c r="JD76" s="2854"/>
      <c r="JE76" s="3814"/>
      <c r="JF76" s="3814"/>
      <c r="JG76" s="4161"/>
      <c r="JH76" s="1233"/>
      <c r="JI76" s="1393"/>
      <c r="JJ76" s="1660" t="s">
        <v>6124</v>
      </c>
    </row>
    <row ht="45" r="77" spans="1:270" x14ac:dyDescent="0.2">
      <c r="A77" s="1128">
        <v>42</v>
      </c>
      <c r="B77" s="1557" t="str">
        <f>IF(PS_B_IND&gt;1,IF(HLOOKUP(PS_B_IND-1,FPS_RANGE,A77)="","",HLOOKUP(PS_B_IND-1,FPS_RANGE,A77)),"")</f>
        <v/>
      </c>
      <c r="C77" s="1559" t="s">
        <v>2234</v>
      </c>
      <c r="D77" s="1350" t="s">
        <v>5661</v>
      </c>
      <c r="E77" s="4164"/>
      <c r="F77" s="4164"/>
      <c r="G77" s="4164"/>
      <c r="H77" s="4164"/>
      <c r="I77" s="4164"/>
      <c r="J77" s="4164"/>
      <c r="K77" s="4164"/>
      <c r="L77" s="4164"/>
      <c r="M77" s="4164"/>
      <c r="N77" s="4164"/>
      <c r="O77" s="4164"/>
      <c r="P77" s="4164"/>
      <c r="Q77" s="4164"/>
      <c r="R77" s="4164"/>
      <c r="S77" s="4164"/>
      <c r="T77" s="4164"/>
      <c r="U77" s="4164"/>
      <c r="V77" s="4164"/>
      <c r="W77" s="4164"/>
      <c r="X77" s="4164"/>
      <c r="Y77" s="4164"/>
      <c r="Z77" s="4164"/>
      <c r="AA77" s="4164"/>
      <c r="AB77" s="4164"/>
      <c r="AC77" s="4164"/>
      <c r="AD77" s="2855"/>
      <c r="AE77" s="2855"/>
      <c r="AF77" s="2855"/>
      <c r="AG77" s="2855"/>
      <c r="AH77" s="2855"/>
      <c r="AI77" s="4164"/>
      <c r="AJ77" s="4164"/>
      <c r="AK77" s="4164"/>
      <c r="AL77" s="4164"/>
      <c r="AM77" s="2855">
        <f>MAX(0,AM72+AM73-AM74)</f>
        <v>0</v>
      </c>
      <c r="AN77" s="4164"/>
      <c r="AO77" s="4164"/>
      <c r="AP77" s="4164"/>
      <c r="AQ77" s="4164"/>
      <c r="AR77" s="4164"/>
      <c r="AS77" s="4164"/>
      <c r="AT77" s="4164"/>
      <c r="AU77" s="4164"/>
      <c r="AV77" s="4164"/>
      <c r="AW77" s="4164"/>
      <c r="AX77" s="4164"/>
      <c r="AY77" s="4164"/>
      <c r="AZ77" s="4164"/>
      <c r="BA77" s="4164"/>
      <c r="BB77" s="2855">
        <f>MAX(0,BB72+BB73-BB74)</f>
        <v>6056</v>
      </c>
      <c r="BC77" s="2855">
        <f>MAX(0,BC72+BC73-BC74)</f>
        <v>0</v>
      </c>
      <c r="BD77" s="4164"/>
      <c r="BE77" s="4164"/>
      <c r="BF77" s="4164"/>
      <c r="BG77" s="4164"/>
      <c r="BH77" s="4164"/>
      <c r="BI77" s="4164"/>
      <c r="BJ77" s="4164"/>
      <c r="BK77" s="4164"/>
      <c r="BL77" s="4164"/>
      <c r="BM77" s="4164"/>
      <c r="BN77" s="4164"/>
      <c r="BO77" s="4164"/>
      <c r="BP77" s="4164"/>
      <c r="BQ77" s="4164"/>
      <c r="BR77" s="4164"/>
      <c r="BS77" s="4164"/>
      <c r="BT77" s="4164"/>
      <c r="BU77" s="4164"/>
      <c r="BV77" s="4164"/>
      <c r="BW77" s="4164"/>
      <c r="BX77" s="4164"/>
      <c r="BY77" s="4164"/>
      <c r="BZ77" s="4164"/>
      <c r="CA77" s="4164"/>
      <c r="CB77" s="4164"/>
      <c r="CC77" s="4164"/>
      <c r="CD77" s="4164"/>
      <c r="CE77" s="4164"/>
      <c r="CF77" s="4164"/>
      <c r="CG77" s="4164"/>
      <c r="CH77" s="4164"/>
      <c r="CI77" s="4164"/>
      <c r="CJ77" s="4164"/>
      <c r="CK77" s="4164"/>
      <c r="CL77" s="4164"/>
      <c r="CM77" s="4164"/>
      <c r="CN77" s="4164"/>
      <c r="CO77" s="4164"/>
      <c r="CP77" s="2855">
        <f>MAX(0,CP72+CP73-CP74)</f>
        <v>0</v>
      </c>
      <c r="CQ77" s="4164"/>
      <c r="CR77" s="4164"/>
      <c r="CS77" s="4164"/>
      <c r="CT77" s="4164"/>
      <c r="CU77" s="4164"/>
      <c r="CV77" s="4164"/>
      <c r="CW77" s="4164"/>
      <c r="CX77" s="4164"/>
      <c r="CY77" s="2855">
        <f>MAX(0,CY72+CY73-CY74)</f>
        <v>0</v>
      </c>
      <c r="CZ77" s="2855">
        <f>MAX(0,CZ72+CZ73-CZ74)</f>
        <v>0</v>
      </c>
      <c r="DA77" s="2855">
        <f>MAX(0,DA72+DA73-DA74)</f>
        <v>0</v>
      </c>
      <c r="DB77" s="4164"/>
      <c r="DC77" s="4164"/>
      <c r="DD77" s="4164"/>
      <c r="DE77" s="4164"/>
      <c r="DF77" s="4164"/>
      <c r="DG77" s="4164"/>
      <c r="DH77" s="2855">
        <f>MAX(0,DH72+DH73-DH74)</f>
        <v>0</v>
      </c>
      <c r="DI77" s="4164"/>
      <c r="DJ77" s="2855">
        <f>MAX(0,DJ72+DJ73-DJ74)</f>
        <v>0</v>
      </c>
      <c r="DK77" s="4164"/>
      <c r="DL77" s="4164"/>
      <c r="DM77" s="2855">
        <f>MAX(0,DM72+DM73-DM74)</f>
        <v>0</v>
      </c>
      <c r="DN77" s="4164"/>
      <c r="DO77" s="4164"/>
      <c r="DP77" s="4164"/>
      <c r="DQ77" s="4164"/>
      <c r="DR77" s="4164"/>
      <c r="DS77" s="4164"/>
      <c r="DT77" s="4164"/>
      <c r="DU77" s="4164"/>
      <c r="DV77" s="4164"/>
      <c r="DW77" s="4164"/>
      <c r="DX77" s="4164"/>
      <c r="DY77" s="4164"/>
      <c r="DZ77" s="4164"/>
      <c r="EA77" s="4164"/>
      <c r="EB77" s="4164"/>
      <c r="EC77" s="4164"/>
      <c r="ED77" s="4164"/>
      <c r="EE77" s="4164"/>
      <c r="EF77" s="4164"/>
      <c r="EG77" s="4164"/>
      <c r="EH77" s="2855">
        <f>MAX(0,EH72+EH73-EH74)</f>
        <v>0</v>
      </c>
      <c r="EI77" s="2855">
        <f>MAX(0,EI72+EI73-EI74)</f>
        <v>0</v>
      </c>
      <c r="EJ77" s="4164"/>
      <c r="EK77" s="4164"/>
      <c r="EL77" s="4164"/>
      <c r="EM77" s="4164"/>
      <c r="EN77" s="4164"/>
      <c r="EO77" s="4164"/>
      <c r="EP77" s="4164"/>
      <c r="EQ77" s="4164"/>
      <c r="ER77" s="4164"/>
      <c r="ES77" s="4164"/>
      <c r="ET77" s="4164"/>
      <c r="EU77" s="4164"/>
      <c r="EV77" s="4164"/>
      <c r="EW77" s="4164"/>
      <c r="EX77" s="4164"/>
      <c r="EY77" s="4164"/>
      <c r="EZ77" s="4164"/>
      <c r="FA77" s="2855">
        <f>MAX(0,FA72+FA73-FA74)</f>
        <v>0</v>
      </c>
      <c r="FB77" s="4164"/>
      <c r="FC77" s="4164"/>
      <c r="FD77" s="4164"/>
      <c r="FE77" s="4164"/>
      <c r="FF77" s="4164"/>
      <c r="FG77" s="4164"/>
      <c r="FH77" s="4164"/>
      <c r="FI77" s="4164"/>
      <c r="FJ77" s="4164"/>
      <c r="FK77" s="2855">
        <f>MAX(0,FK72+FK73-FK74)</f>
        <v>0</v>
      </c>
      <c r="FL77" s="4164"/>
      <c r="FM77" s="4164"/>
      <c r="FN77" s="4164"/>
      <c r="FO77" s="4164"/>
      <c r="FP77" s="4164"/>
      <c r="FQ77" s="4164"/>
      <c r="FR77" s="4164"/>
      <c r="FS77" s="4164"/>
      <c r="FT77" s="4164"/>
      <c r="FU77" s="4164"/>
      <c r="FV77" s="2855">
        <f>MAX(0,FV72+FV73-FV74)</f>
        <v>0</v>
      </c>
      <c r="FW77" s="4164"/>
      <c r="FX77" s="4164"/>
      <c r="FY77" s="4164"/>
      <c r="FZ77" s="4164"/>
      <c r="GA77" s="4164"/>
      <c r="GB77" s="4164"/>
      <c r="GC77" s="4164"/>
      <c r="GD77" s="4164"/>
      <c r="GE77" s="4164"/>
      <c r="GF77" s="4164"/>
      <c r="GG77" s="4164"/>
      <c r="GH77" s="4164"/>
      <c r="GI77" s="4164"/>
      <c r="GJ77" s="4164"/>
      <c r="GK77" s="4164"/>
      <c r="GL77" s="4164"/>
      <c r="GM77" s="4164"/>
      <c r="GN77" s="4164"/>
      <c r="GO77" s="4164"/>
      <c r="GP77" s="4164"/>
      <c r="GQ77" s="4164"/>
      <c r="GR77" s="4164"/>
      <c r="GS77" s="4164"/>
      <c r="GT77" s="4164"/>
      <c r="GU77" s="4164"/>
      <c r="GV77" s="4164"/>
      <c r="GW77" s="2855">
        <f>MAX(0,GW72+GW73-GW74)</f>
        <v>0</v>
      </c>
      <c r="GX77" s="4164"/>
      <c r="GY77" s="2855">
        <f>MAX(0,GY72+GY73-GY74)</f>
        <v>0</v>
      </c>
      <c r="GZ77" s="4164"/>
      <c r="HA77" s="4164"/>
      <c r="HB77" s="4164"/>
      <c r="HC77" s="4164"/>
      <c r="HD77" s="4164"/>
      <c r="HE77" s="2855">
        <f>MAX(0,HE72+HE73-HE74)</f>
        <v>0</v>
      </c>
      <c r="HF77" s="4164"/>
      <c r="HG77" s="4164"/>
      <c r="HH77" s="4164"/>
      <c r="HI77" s="4164"/>
      <c r="HJ77" s="4164"/>
      <c r="HK77" s="4164"/>
      <c r="HL77" s="4164"/>
      <c r="HM77" s="4164"/>
      <c r="HN77" s="4164"/>
      <c r="HO77" s="4164"/>
      <c r="HP77" s="4164"/>
      <c r="HQ77" s="4164"/>
      <c r="HR77" s="4164"/>
      <c r="HS77" s="4164"/>
      <c r="HT77" s="4164"/>
      <c r="HU77" s="4164"/>
      <c r="HV77" s="4164"/>
      <c r="HW77" s="4164"/>
      <c r="HX77" s="4164"/>
      <c r="HY77" s="4164"/>
      <c r="HZ77" s="4164"/>
      <c r="IA77" s="4164"/>
      <c r="IB77" s="4164"/>
      <c r="IC77" s="4164"/>
      <c r="ID77" s="4164"/>
      <c r="IE77" s="4164"/>
      <c r="IF77" s="4164"/>
      <c r="IG77" s="4164"/>
      <c r="IH77" s="4164"/>
      <c r="II77" s="4164"/>
      <c r="IJ77" s="4164"/>
      <c r="IK77" s="4164"/>
      <c r="IL77" s="4164"/>
      <c r="IM77" s="4164"/>
      <c r="IN77" s="4164"/>
      <c r="IO77" s="2855">
        <f>MAX(0,IO72+IO73-IO74)</f>
        <v>0</v>
      </c>
      <c r="IP77" s="4164"/>
      <c r="IQ77" s="4252">
        <f>MAX(0,IQ72+IQ73-IQ74)</f>
        <v>106</v>
      </c>
      <c r="IR77" s="4158"/>
      <c r="IS77" s="4158"/>
      <c r="IT77" s="4314">
        <f>MAX(0,IT72+IT73-IT74)</f>
        <v>0</v>
      </c>
      <c r="IU77" s="4158"/>
      <c r="IV77" s="4158"/>
      <c r="IW77" s="4158"/>
      <c r="IX77" s="4158"/>
      <c r="IY77" s="4314">
        <f>MAX(0,IY72+IY73-IY74)</f>
        <v>0</v>
      </c>
      <c r="IZ77" s="4158"/>
      <c r="JA77" s="4158"/>
      <c r="JB77" s="4314">
        <f>MAX(0,JB72+JB73-JB74)</f>
        <v>269</v>
      </c>
      <c r="JC77" s="4252">
        <f>MAX(0,JC72+JC73-JC74)</f>
        <v>0</v>
      </c>
      <c r="JD77" s="2855"/>
      <c r="JE77" s="3816"/>
      <c r="JF77" s="3816"/>
      <c r="JG77" s="4166"/>
      <c r="JH77" s="1233"/>
      <c r="JI77" s="1393" t="s">
        <v>5635</v>
      </c>
      <c r="JJ77" s="1660" t="s">
        <v>6124</v>
      </c>
    </row>
    <row ht="12.75" r="78" spans="1:270" x14ac:dyDescent="0.2">
      <c r="A78" s="1128">
        <v>43</v>
      </c>
      <c r="B78" s="1557" t="str">
        <f>IF(PS_B_IND&gt;1,IF(HLOOKUP(PS_B_IND-1,FPS_RANGE,A78)="","",HLOOKUP(PS_B_IND-1,FPS_RANGE,A78)),"")</f>
        <v/>
      </c>
      <c r="C78" s="1559" t="s">
        <v>6559</v>
      </c>
      <c r="D78" s="1350" t="s">
        <v>6279</v>
      </c>
      <c r="E78" s="4158"/>
      <c r="F78" s="4158"/>
      <c r="G78" s="4158"/>
      <c r="H78" s="4158"/>
      <c r="I78" s="4158"/>
      <c r="J78" s="4158"/>
      <c r="K78" s="4158"/>
      <c r="L78" s="4158"/>
      <c r="M78" s="4158"/>
      <c r="N78" s="4158"/>
      <c r="O78" s="4158"/>
      <c r="P78" s="4158"/>
      <c r="Q78" s="4158"/>
      <c r="R78" s="4158"/>
      <c r="S78" s="4158"/>
      <c r="T78" s="4158"/>
      <c r="U78" s="4158"/>
      <c r="V78" s="4158"/>
      <c r="W78" s="4158"/>
      <c r="X78" s="4158"/>
      <c r="Y78" s="4158"/>
      <c r="Z78" s="4158"/>
      <c r="AA78" s="4158"/>
      <c r="AB78" s="4158"/>
      <c r="AC78" s="4158"/>
      <c r="AD78" s="2854"/>
      <c r="AE78" s="2854"/>
      <c r="AF78" s="2854"/>
      <c r="AG78" s="2854"/>
      <c r="AH78" s="2854"/>
      <c r="AI78" s="4158"/>
      <c r="AJ78" s="4158"/>
      <c r="AK78" s="4158"/>
      <c r="AL78" s="4158"/>
      <c r="AM78" s="2854"/>
      <c r="AN78" s="4158"/>
      <c r="AO78" s="4158"/>
      <c r="AP78" s="4158"/>
      <c r="AQ78" s="4158"/>
      <c r="AR78" s="4158"/>
      <c r="AS78" s="4158"/>
      <c r="AT78" s="4158"/>
      <c r="AU78" s="4158"/>
      <c r="AV78" s="4158"/>
      <c r="AW78" s="4158"/>
      <c r="AX78" s="4158"/>
      <c r="AY78" s="4158"/>
      <c r="AZ78" s="4158"/>
      <c r="BA78" s="4158"/>
      <c r="BB78" s="2854">
        <v>200</v>
      </c>
      <c r="BC78" s="2854"/>
      <c r="BD78" s="4158"/>
      <c r="BE78" s="4158"/>
      <c r="BF78" s="4158"/>
      <c r="BG78" s="4158"/>
      <c r="BH78" s="4158"/>
      <c r="BI78" s="4158"/>
      <c r="BJ78" s="4158"/>
      <c r="BK78" s="4158"/>
      <c r="BL78" s="4158"/>
      <c r="BM78" s="4158"/>
      <c r="BN78" s="4158"/>
      <c r="BO78" s="4158"/>
      <c r="BP78" s="4158"/>
      <c r="BQ78" s="4158"/>
      <c r="BR78" s="4158"/>
      <c r="BS78" s="4158"/>
      <c r="BT78" s="4158"/>
      <c r="BU78" s="4158"/>
      <c r="BV78" s="4158"/>
      <c r="BW78" s="4158"/>
      <c r="BX78" s="4158"/>
      <c r="BY78" s="4158"/>
      <c r="BZ78" s="4158"/>
      <c r="CA78" s="4158"/>
      <c r="CB78" s="4158"/>
      <c r="CC78" s="4158"/>
      <c r="CD78" s="4158"/>
      <c r="CE78" s="4158"/>
      <c r="CF78" s="4158"/>
      <c r="CG78" s="4158"/>
      <c r="CH78" s="4158"/>
      <c r="CI78" s="4158"/>
      <c r="CJ78" s="4158"/>
      <c r="CK78" s="4158"/>
      <c r="CL78" s="4158"/>
      <c r="CM78" s="4158"/>
      <c r="CN78" s="4158"/>
      <c r="CO78" s="4158"/>
      <c r="CP78" s="2854"/>
      <c r="CQ78" s="4158"/>
      <c r="CR78" s="4158"/>
      <c r="CS78" s="4158"/>
      <c r="CT78" s="4158"/>
      <c r="CU78" s="4158"/>
      <c r="CV78" s="4158"/>
      <c r="CW78" s="4158"/>
      <c r="CX78" s="4158"/>
      <c r="CY78" s="2854"/>
      <c r="CZ78" s="2854"/>
      <c r="DA78" s="2854"/>
      <c r="DB78" s="4158"/>
      <c r="DC78" s="4158"/>
      <c r="DD78" s="4158"/>
      <c r="DE78" s="4158"/>
      <c r="DF78" s="4158"/>
      <c r="DG78" s="4158"/>
      <c r="DH78" s="2854"/>
      <c r="DI78" s="4158"/>
      <c r="DJ78" s="2854"/>
      <c r="DK78" s="4158"/>
      <c r="DL78" s="4158"/>
      <c r="DM78" s="2854"/>
      <c r="DN78" s="4158"/>
      <c r="DO78" s="4158"/>
      <c r="DP78" s="4158"/>
      <c r="DQ78" s="4158"/>
      <c r="DR78" s="4158"/>
      <c r="DS78" s="4158"/>
      <c r="DT78" s="4158"/>
      <c r="DU78" s="4158"/>
      <c r="DV78" s="4158"/>
      <c r="DW78" s="4158"/>
      <c r="DX78" s="4158"/>
      <c r="DY78" s="4158"/>
      <c r="DZ78" s="4158"/>
      <c r="EA78" s="4158"/>
      <c r="EB78" s="4158"/>
      <c r="EC78" s="4158"/>
      <c r="ED78" s="4158"/>
      <c r="EE78" s="4158"/>
      <c r="EF78" s="4158"/>
      <c r="EG78" s="4158"/>
      <c r="EH78" s="2854"/>
      <c r="EI78" s="2854"/>
      <c r="EJ78" s="4158"/>
      <c r="EK78" s="4158"/>
      <c r="EL78" s="4158"/>
      <c r="EM78" s="4158"/>
      <c r="EN78" s="4158"/>
      <c r="EO78" s="4158"/>
      <c r="EP78" s="4158"/>
      <c r="EQ78" s="4158"/>
      <c r="ER78" s="4158"/>
      <c r="ES78" s="4158"/>
      <c r="ET78" s="4158"/>
      <c r="EU78" s="4158"/>
      <c r="EV78" s="4158"/>
      <c r="EW78" s="4158"/>
      <c r="EX78" s="4158"/>
      <c r="EY78" s="4158"/>
      <c r="EZ78" s="4158"/>
      <c r="FA78" s="2854"/>
      <c r="FB78" s="4158"/>
      <c r="FC78" s="4158"/>
      <c r="FD78" s="4158"/>
      <c r="FE78" s="4158"/>
      <c r="FF78" s="4158"/>
      <c r="FG78" s="4158"/>
      <c r="FH78" s="4158"/>
      <c r="FI78" s="4158"/>
      <c r="FJ78" s="4158"/>
      <c r="FK78" s="2854"/>
      <c r="FL78" s="4158"/>
      <c r="FM78" s="4158"/>
      <c r="FN78" s="4158"/>
      <c r="FO78" s="4158"/>
      <c r="FP78" s="4158"/>
      <c r="FQ78" s="4158"/>
      <c r="FR78" s="4158"/>
      <c r="FS78" s="4158"/>
      <c r="FT78" s="4158"/>
      <c r="FU78" s="4158"/>
      <c r="FV78" s="2854"/>
      <c r="FW78" s="4158"/>
      <c r="FX78" s="4158"/>
      <c r="FY78" s="4158"/>
      <c r="FZ78" s="4158"/>
      <c r="GA78" s="4158"/>
      <c r="GB78" s="4158"/>
      <c r="GC78" s="4158"/>
      <c r="GD78" s="4158"/>
      <c r="GE78" s="4158"/>
      <c r="GF78" s="4158"/>
      <c r="GG78" s="4158"/>
      <c r="GH78" s="4158"/>
      <c r="GI78" s="4158"/>
      <c r="GJ78" s="4158"/>
      <c r="GK78" s="4158"/>
      <c r="GL78" s="4158"/>
      <c r="GM78" s="4158"/>
      <c r="GN78" s="4158"/>
      <c r="GO78" s="4158"/>
      <c r="GP78" s="4158"/>
      <c r="GQ78" s="4158"/>
      <c r="GR78" s="4158"/>
      <c r="GS78" s="4158"/>
      <c r="GT78" s="4158"/>
      <c r="GU78" s="4158"/>
      <c r="GV78" s="4158"/>
      <c r="GW78" s="2854"/>
      <c r="GX78" s="4158"/>
      <c r="GY78" s="2854"/>
      <c r="GZ78" s="4158"/>
      <c r="HA78" s="4158"/>
      <c r="HB78" s="4158"/>
      <c r="HC78" s="4158"/>
      <c r="HD78" s="4158"/>
      <c r="HE78" s="2854"/>
      <c r="HF78" s="4158"/>
      <c r="HG78" s="4158"/>
      <c r="HH78" s="4158"/>
      <c r="HI78" s="4158"/>
      <c r="HJ78" s="4158"/>
      <c r="HK78" s="4158"/>
      <c r="HL78" s="4158"/>
      <c r="HM78" s="4158"/>
      <c r="HN78" s="4158"/>
      <c r="HO78" s="4158"/>
      <c r="HP78" s="4158"/>
      <c r="HQ78" s="4158"/>
      <c r="HR78" s="4158"/>
      <c r="HS78" s="4158"/>
      <c r="HT78" s="4158"/>
      <c r="HU78" s="4158"/>
      <c r="HV78" s="4158"/>
      <c r="HW78" s="4158"/>
      <c r="HX78" s="4158"/>
      <c r="HY78" s="4158"/>
      <c r="HZ78" s="4158"/>
      <c r="IA78" s="4158"/>
      <c r="IB78" s="4158"/>
      <c r="IC78" s="4158"/>
      <c r="ID78" s="4158"/>
      <c r="IE78" s="4158"/>
      <c r="IF78" s="4158"/>
      <c r="IG78" s="4158"/>
      <c r="IH78" s="4158"/>
      <c r="II78" s="4158"/>
      <c r="IJ78" s="4158"/>
      <c r="IK78" s="4158"/>
      <c r="IL78" s="4158"/>
      <c r="IM78" s="4158"/>
      <c r="IN78" s="4158"/>
      <c r="IO78" s="2854"/>
      <c r="IP78" s="4158"/>
      <c r="IQ78" s="4159"/>
      <c r="IR78" s="4158"/>
      <c r="IS78" s="4158"/>
      <c r="IT78" s="3987"/>
      <c r="IU78" s="4158"/>
      <c r="IV78" s="4158"/>
      <c r="IW78" s="4158"/>
      <c r="IX78" s="4158"/>
      <c r="IY78" s="4160"/>
      <c r="IZ78" s="4158"/>
      <c r="JA78" s="3814"/>
      <c r="JB78" s="4314"/>
      <c r="JC78" s="4242"/>
      <c r="JD78" s="2854"/>
      <c r="JE78" s="3814"/>
      <c r="JF78" s="3814"/>
      <c r="JG78" s="4161"/>
      <c r="JH78" s="1233"/>
      <c r="JI78" s="1393"/>
      <c r="JJ78" s="2911"/>
    </row>
    <row ht="12.75" r="79" spans="1:270" x14ac:dyDescent="0.2">
      <c r="A79" s="1128">
        <v>44</v>
      </c>
      <c r="B79" s="1557" t="str">
        <f>IF(PS_B_IND&gt;1,IF(HLOOKUP(PS_B_IND-1,FPS_RANGE,A79)="","",HLOOKUP(PS_B_IND-1,FPS_RANGE,A79)),"")</f>
        <v/>
      </c>
      <c r="C79" s="1559" t="s">
        <v>6855</v>
      </c>
      <c r="D79" s="1350" t="s">
        <v>6857</v>
      </c>
      <c r="E79" s="4158"/>
      <c r="F79" s="4158"/>
      <c r="G79" s="4158"/>
      <c r="H79" s="4158"/>
      <c r="I79" s="4158"/>
      <c r="J79" s="4158"/>
      <c r="K79" s="4158"/>
      <c r="L79" s="4158"/>
      <c r="M79" s="4158"/>
      <c r="N79" s="4158"/>
      <c r="O79" s="4158"/>
      <c r="P79" s="4158"/>
      <c r="Q79" s="4158"/>
      <c r="R79" s="4158"/>
      <c r="S79" s="4158"/>
      <c r="T79" s="4158"/>
      <c r="U79" s="4158"/>
      <c r="V79" s="4158"/>
      <c r="W79" s="4158"/>
      <c r="X79" s="4158"/>
      <c r="Y79" s="4158"/>
      <c r="Z79" s="4158"/>
      <c r="AA79" s="4158"/>
      <c r="AB79" s="4158"/>
      <c r="AC79" s="4158"/>
      <c r="AD79" s="2854"/>
      <c r="AE79" s="2854"/>
      <c r="AF79" s="2854"/>
      <c r="AG79" s="2854"/>
      <c r="AH79" s="2854"/>
      <c r="AI79" s="4158"/>
      <c r="AJ79" s="4158"/>
      <c r="AK79" s="4158"/>
      <c r="AL79" s="4158"/>
      <c r="AM79" s="2854"/>
      <c r="AN79" s="4158"/>
      <c r="AO79" s="4158"/>
      <c r="AP79" s="4158"/>
      <c r="AQ79" s="4158"/>
      <c r="AR79" s="4158"/>
      <c r="AS79" s="4158"/>
      <c r="AT79" s="4158"/>
      <c r="AU79" s="4158"/>
      <c r="AV79" s="4158"/>
      <c r="AW79" s="4158"/>
      <c r="AX79" s="4158"/>
      <c r="AY79" s="4158"/>
      <c r="AZ79" s="4158"/>
      <c r="BA79" s="4158"/>
      <c r="BB79" s="2854">
        <v>40</v>
      </c>
      <c r="BC79" s="2854"/>
      <c r="BD79" s="4158"/>
      <c r="BE79" s="4158"/>
      <c r="BF79" s="4158"/>
      <c r="BG79" s="4158"/>
      <c r="BH79" s="4158"/>
      <c r="BI79" s="4158"/>
      <c r="BJ79" s="4158"/>
      <c r="BK79" s="4158"/>
      <c r="BL79" s="4158"/>
      <c r="BM79" s="4158"/>
      <c r="BN79" s="4158"/>
      <c r="BO79" s="4158"/>
      <c r="BP79" s="4158"/>
      <c r="BQ79" s="4158"/>
      <c r="BR79" s="4158"/>
      <c r="BS79" s="4158"/>
      <c r="BT79" s="4158"/>
      <c r="BU79" s="4158"/>
      <c r="BV79" s="4158"/>
      <c r="BW79" s="4158"/>
      <c r="BX79" s="4158"/>
      <c r="BY79" s="4158"/>
      <c r="BZ79" s="4158"/>
      <c r="CA79" s="4158"/>
      <c r="CB79" s="4158"/>
      <c r="CC79" s="4158"/>
      <c r="CD79" s="4158"/>
      <c r="CE79" s="4158"/>
      <c r="CF79" s="4158"/>
      <c r="CG79" s="4158"/>
      <c r="CH79" s="4158"/>
      <c r="CI79" s="4158"/>
      <c r="CJ79" s="4158"/>
      <c r="CK79" s="4158"/>
      <c r="CL79" s="4158"/>
      <c r="CM79" s="4158"/>
      <c r="CN79" s="4158"/>
      <c r="CO79" s="4158"/>
      <c r="CP79" s="2854"/>
      <c r="CQ79" s="4158"/>
      <c r="CR79" s="4158"/>
      <c r="CS79" s="4158"/>
      <c r="CT79" s="4158"/>
      <c r="CU79" s="4158"/>
      <c r="CV79" s="4158"/>
      <c r="CW79" s="4158"/>
      <c r="CX79" s="4158"/>
      <c r="CY79" s="2854"/>
      <c r="CZ79" s="2854"/>
      <c r="DA79" s="2854"/>
      <c r="DB79" s="4158"/>
      <c r="DC79" s="4158"/>
      <c r="DD79" s="4158"/>
      <c r="DE79" s="4158"/>
      <c r="DF79" s="4158"/>
      <c r="DG79" s="4158"/>
      <c r="DH79" s="2854"/>
      <c r="DI79" s="4158"/>
      <c r="DJ79" s="2854"/>
      <c r="DK79" s="4158"/>
      <c r="DL79" s="4158"/>
      <c r="DM79" s="2854"/>
      <c r="DN79" s="4158"/>
      <c r="DO79" s="4158"/>
      <c r="DP79" s="4158"/>
      <c r="DQ79" s="4158"/>
      <c r="DR79" s="4158"/>
      <c r="DS79" s="4158"/>
      <c r="DT79" s="4158"/>
      <c r="DU79" s="4158"/>
      <c r="DV79" s="4158"/>
      <c r="DW79" s="4158"/>
      <c r="DX79" s="4158"/>
      <c r="DY79" s="4158"/>
      <c r="DZ79" s="4158"/>
      <c r="EA79" s="4158"/>
      <c r="EB79" s="4158"/>
      <c r="EC79" s="4158"/>
      <c r="ED79" s="4158"/>
      <c r="EE79" s="4158"/>
      <c r="EF79" s="4158"/>
      <c r="EG79" s="4158"/>
      <c r="EH79" s="2854"/>
      <c r="EI79" s="2854"/>
      <c r="EJ79" s="4158"/>
      <c r="EK79" s="4158"/>
      <c r="EL79" s="4158"/>
      <c r="EM79" s="4158"/>
      <c r="EN79" s="4158"/>
      <c r="EO79" s="4158"/>
      <c r="EP79" s="4158"/>
      <c r="EQ79" s="4158"/>
      <c r="ER79" s="4158"/>
      <c r="ES79" s="4158"/>
      <c r="ET79" s="4158"/>
      <c r="EU79" s="4158"/>
      <c r="EV79" s="4158"/>
      <c r="EW79" s="4158"/>
      <c r="EX79" s="4158"/>
      <c r="EY79" s="4158"/>
      <c r="EZ79" s="4158"/>
      <c r="FA79" s="2854"/>
      <c r="FB79" s="4158"/>
      <c r="FC79" s="4158"/>
      <c r="FD79" s="4158"/>
      <c r="FE79" s="4158"/>
      <c r="FF79" s="4158"/>
      <c r="FG79" s="4158"/>
      <c r="FH79" s="4158"/>
      <c r="FI79" s="4158"/>
      <c r="FJ79" s="4158"/>
      <c r="FK79" s="2854"/>
      <c r="FL79" s="4158"/>
      <c r="FM79" s="4158"/>
      <c r="FN79" s="4158"/>
      <c r="FO79" s="4158"/>
      <c r="FP79" s="4158"/>
      <c r="FQ79" s="4158"/>
      <c r="FR79" s="4158"/>
      <c r="FS79" s="4158"/>
      <c r="FT79" s="4158"/>
      <c r="FU79" s="4158"/>
      <c r="FV79" s="2854"/>
      <c r="FW79" s="4158"/>
      <c r="FX79" s="4158"/>
      <c r="FY79" s="4158"/>
      <c r="FZ79" s="4158"/>
      <c r="GA79" s="4158"/>
      <c r="GB79" s="4158"/>
      <c r="GC79" s="4158"/>
      <c r="GD79" s="4158"/>
      <c r="GE79" s="4158"/>
      <c r="GF79" s="4158"/>
      <c r="GG79" s="4158"/>
      <c r="GH79" s="4158"/>
      <c r="GI79" s="4158"/>
      <c r="GJ79" s="4158"/>
      <c r="GK79" s="4158"/>
      <c r="GL79" s="4158"/>
      <c r="GM79" s="4158"/>
      <c r="GN79" s="4158"/>
      <c r="GO79" s="4158"/>
      <c r="GP79" s="4158"/>
      <c r="GQ79" s="4158"/>
      <c r="GR79" s="4158"/>
      <c r="GS79" s="4158"/>
      <c r="GT79" s="4158"/>
      <c r="GU79" s="4158"/>
      <c r="GV79" s="4158"/>
      <c r="GW79" s="2854"/>
      <c r="GX79" s="4158"/>
      <c r="GY79" s="2854"/>
      <c r="GZ79" s="4158"/>
      <c r="HA79" s="4158"/>
      <c r="HB79" s="4158"/>
      <c r="HC79" s="4158"/>
      <c r="HD79" s="4158"/>
      <c r="HE79" s="2854"/>
      <c r="HF79" s="4158"/>
      <c r="HG79" s="4158"/>
      <c r="HH79" s="4158"/>
      <c r="HI79" s="4158"/>
      <c r="HJ79" s="4158"/>
      <c r="HK79" s="4158"/>
      <c r="HL79" s="4158"/>
      <c r="HM79" s="4158"/>
      <c r="HN79" s="4158"/>
      <c r="HO79" s="4158"/>
      <c r="HP79" s="4158"/>
      <c r="HQ79" s="4158"/>
      <c r="HR79" s="4158"/>
      <c r="HS79" s="4158"/>
      <c r="HT79" s="4158"/>
      <c r="HU79" s="4158"/>
      <c r="HV79" s="4158"/>
      <c r="HW79" s="4158"/>
      <c r="HX79" s="4158"/>
      <c r="HY79" s="4158"/>
      <c r="HZ79" s="4158"/>
      <c r="IA79" s="4158"/>
      <c r="IB79" s="4158"/>
      <c r="IC79" s="4158"/>
      <c r="ID79" s="4158"/>
      <c r="IE79" s="4158"/>
      <c r="IF79" s="4158"/>
      <c r="IG79" s="4158"/>
      <c r="IH79" s="4158"/>
      <c r="II79" s="4158"/>
      <c r="IJ79" s="4158"/>
      <c r="IK79" s="4158"/>
      <c r="IL79" s="4158"/>
      <c r="IM79" s="4158"/>
      <c r="IN79" s="4158"/>
      <c r="IO79" s="2854"/>
      <c r="IP79" s="4158"/>
      <c r="IQ79" s="4159"/>
      <c r="IR79" s="4158"/>
      <c r="IS79" s="4158"/>
      <c r="IT79" s="3987"/>
      <c r="IU79" s="4158"/>
      <c r="IV79" s="4158"/>
      <c r="IW79" s="4158"/>
      <c r="IX79" s="4158"/>
      <c r="IY79" s="4160"/>
      <c r="IZ79" s="4158"/>
      <c r="JA79" s="3814"/>
      <c r="JB79" s="4314"/>
      <c r="JC79" s="4242"/>
      <c r="JD79" s="2854"/>
      <c r="JE79" s="3814"/>
      <c r="JF79" s="3814"/>
      <c r="JG79" s="4161"/>
      <c r="JH79" s="1233"/>
      <c r="JI79" s="1393"/>
      <c r="JJ79" s="2911" t="s">
        <v>6124</v>
      </c>
    </row>
    <row ht="12.75" r="80" spans="1:270" x14ac:dyDescent="0.2">
      <c r="A80" s="1128">
        <v>45</v>
      </c>
      <c r="B80" s="1557" t="str">
        <f>IF(PS_B_IND&gt;1,IF(HLOOKUP(PS_B_IND-1,FPS_RANGE,A80)="","",HLOOKUP(PS_B_IND-1,FPS_RANGE,A80)),"")</f>
        <v/>
      </c>
      <c r="C80" s="1559" t="s">
        <v>6450</v>
      </c>
      <c r="D80" s="1350" t="s">
        <v>6272</v>
      </c>
      <c r="E80" s="4158"/>
      <c r="F80" s="4158"/>
      <c r="G80" s="4158"/>
      <c r="H80" s="4158"/>
      <c r="I80" s="4158"/>
      <c r="J80" s="4158"/>
      <c r="K80" s="4158"/>
      <c r="L80" s="4158"/>
      <c r="M80" s="4158"/>
      <c r="N80" s="4158"/>
      <c r="O80" s="4158"/>
      <c r="P80" s="4158"/>
      <c r="Q80" s="4158"/>
      <c r="R80" s="4158"/>
      <c r="S80" s="4158"/>
      <c r="T80" s="4158"/>
      <c r="U80" s="4158"/>
      <c r="V80" s="4158"/>
      <c r="W80" s="4158"/>
      <c r="X80" s="4158"/>
      <c r="Y80" s="4158"/>
      <c r="Z80" s="4158"/>
      <c r="AA80" s="4158"/>
      <c r="AB80" s="4158"/>
      <c r="AC80" s="4158"/>
      <c r="AD80" s="2854"/>
      <c r="AE80" s="2854"/>
      <c r="AF80" s="2854"/>
      <c r="AG80" s="2854"/>
      <c r="AH80" s="2854"/>
      <c r="AI80" s="4158"/>
      <c r="AJ80" s="4158"/>
      <c r="AK80" s="4158"/>
      <c r="AL80" s="4158"/>
      <c r="AM80" s="2854"/>
      <c r="AN80" s="4158"/>
      <c r="AO80" s="4158"/>
      <c r="AP80" s="4158"/>
      <c r="AQ80" s="4158"/>
      <c r="AR80" s="4158"/>
      <c r="AS80" s="4158"/>
      <c r="AT80" s="4158"/>
      <c r="AU80" s="4158"/>
      <c r="AV80" s="4158"/>
      <c r="AW80" s="4158"/>
      <c r="AX80" s="4158"/>
      <c r="AY80" s="4158"/>
      <c r="AZ80" s="4158"/>
      <c r="BA80" s="4158"/>
      <c r="BB80" s="2854"/>
      <c r="BC80" s="2854"/>
      <c r="BD80" s="4158"/>
      <c r="BE80" s="4158"/>
      <c r="BF80" s="4158"/>
      <c r="BG80" s="4158"/>
      <c r="BH80" s="4158"/>
      <c r="BI80" s="4158"/>
      <c r="BJ80" s="4158"/>
      <c r="BK80" s="4158"/>
      <c r="BL80" s="4158"/>
      <c r="BM80" s="4158"/>
      <c r="BN80" s="4158"/>
      <c r="BO80" s="4158"/>
      <c r="BP80" s="4158"/>
      <c r="BQ80" s="4158"/>
      <c r="BR80" s="4158"/>
      <c r="BS80" s="4158"/>
      <c r="BT80" s="4158"/>
      <c r="BU80" s="4158"/>
      <c r="BV80" s="4158"/>
      <c r="BW80" s="4158"/>
      <c r="BX80" s="4158"/>
      <c r="BY80" s="4158"/>
      <c r="BZ80" s="4158"/>
      <c r="CA80" s="4158"/>
      <c r="CB80" s="4158"/>
      <c r="CC80" s="4158"/>
      <c r="CD80" s="4158"/>
      <c r="CE80" s="4158"/>
      <c r="CF80" s="4158"/>
      <c r="CG80" s="4158"/>
      <c r="CH80" s="4158"/>
      <c r="CI80" s="4158"/>
      <c r="CJ80" s="4158"/>
      <c r="CK80" s="4158"/>
      <c r="CL80" s="4158"/>
      <c r="CM80" s="4158"/>
      <c r="CN80" s="4158"/>
      <c r="CO80" s="4158"/>
      <c r="CP80" s="2854"/>
      <c r="CQ80" s="4158"/>
      <c r="CR80" s="4158"/>
      <c r="CS80" s="4158"/>
      <c r="CT80" s="4158"/>
      <c r="CU80" s="4158"/>
      <c r="CV80" s="4158"/>
      <c r="CW80" s="4158"/>
      <c r="CX80" s="4158"/>
      <c r="CY80" s="2854"/>
      <c r="CZ80" s="2854"/>
      <c r="DA80" s="2854"/>
      <c r="DB80" s="4158"/>
      <c r="DC80" s="4158"/>
      <c r="DD80" s="4158"/>
      <c r="DE80" s="4158"/>
      <c r="DF80" s="4158"/>
      <c r="DG80" s="4158"/>
      <c r="DH80" s="2854"/>
      <c r="DI80" s="4158"/>
      <c r="DJ80" s="2854"/>
      <c r="DK80" s="4158"/>
      <c r="DL80" s="4158"/>
      <c r="DM80" s="2854"/>
      <c r="DN80" s="4158"/>
      <c r="DO80" s="4158"/>
      <c r="DP80" s="4158"/>
      <c r="DQ80" s="4158"/>
      <c r="DR80" s="4158"/>
      <c r="DS80" s="4158"/>
      <c r="DT80" s="4158"/>
      <c r="DU80" s="4158"/>
      <c r="DV80" s="4158"/>
      <c r="DW80" s="4158"/>
      <c r="DX80" s="4158"/>
      <c r="DY80" s="4158"/>
      <c r="DZ80" s="4158"/>
      <c r="EA80" s="4158"/>
      <c r="EB80" s="4158"/>
      <c r="EC80" s="4158"/>
      <c r="ED80" s="4158"/>
      <c r="EE80" s="4158"/>
      <c r="EF80" s="4158"/>
      <c r="EG80" s="4158"/>
      <c r="EH80" s="2854"/>
      <c r="EI80" s="2854"/>
      <c r="EJ80" s="4158"/>
      <c r="EK80" s="4158"/>
      <c r="EL80" s="4158"/>
      <c r="EM80" s="4158"/>
      <c r="EN80" s="4158"/>
      <c r="EO80" s="4158"/>
      <c r="EP80" s="4158"/>
      <c r="EQ80" s="4158"/>
      <c r="ER80" s="4158"/>
      <c r="ES80" s="4158"/>
      <c r="ET80" s="4158"/>
      <c r="EU80" s="4158"/>
      <c r="EV80" s="4158"/>
      <c r="EW80" s="4158"/>
      <c r="EX80" s="4158"/>
      <c r="EY80" s="4158"/>
      <c r="EZ80" s="4158"/>
      <c r="FA80" s="2854"/>
      <c r="FB80" s="4158"/>
      <c r="FC80" s="4158"/>
      <c r="FD80" s="4158"/>
      <c r="FE80" s="4158"/>
      <c r="FF80" s="4158"/>
      <c r="FG80" s="4158"/>
      <c r="FH80" s="4158"/>
      <c r="FI80" s="4158"/>
      <c r="FJ80" s="4158"/>
      <c r="FK80" s="2854"/>
      <c r="FL80" s="4158"/>
      <c r="FM80" s="4158"/>
      <c r="FN80" s="4158"/>
      <c r="FO80" s="4158"/>
      <c r="FP80" s="4158"/>
      <c r="FQ80" s="4158"/>
      <c r="FR80" s="4158"/>
      <c r="FS80" s="4158"/>
      <c r="FT80" s="4158"/>
      <c r="FU80" s="4158"/>
      <c r="FV80" s="2854"/>
      <c r="FW80" s="4158"/>
      <c r="FX80" s="4158"/>
      <c r="FY80" s="4158"/>
      <c r="FZ80" s="4158"/>
      <c r="GA80" s="4158"/>
      <c r="GB80" s="4158"/>
      <c r="GC80" s="4158"/>
      <c r="GD80" s="4158"/>
      <c r="GE80" s="4158"/>
      <c r="GF80" s="4158"/>
      <c r="GG80" s="4158"/>
      <c r="GH80" s="4158"/>
      <c r="GI80" s="4158"/>
      <c r="GJ80" s="4158"/>
      <c r="GK80" s="4158"/>
      <c r="GL80" s="4158"/>
      <c r="GM80" s="4158"/>
      <c r="GN80" s="4158"/>
      <c r="GO80" s="4158"/>
      <c r="GP80" s="4158"/>
      <c r="GQ80" s="4158"/>
      <c r="GR80" s="4158"/>
      <c r="GS80" s="4158"/>
      <c r="GT80" s="4158"/>
      <c r="GU80" s="4158"/>
      <c r="GV80" s="4158"/>
      <c r="GW80" s="2854"/>
      <c r="GX80" s="4158"/>
      <c r="GY80" s="2854"/>
      <c r="GZ80" s="4158"/>
      <c r="HA80" s="4158"/>
      <c r="HB80" s="4158"/>
      <c r="HC80" s="4158"/>
      <c r="HD80" s="4158"/>
      <c r="HE80" s="2854"/>
      <c r="HF80" s="4158"/>
      <c r="HG80" s="4158"/>
      <c r="HH80" s="4158"/>
      <c r="HI80" s="4158"/>
      <c r="HJ80" s="4158"/>
      <c r="HK80" s="4158"/>
      <c r="HL80" s="4158"/>
      <c r="HM80" s="4158"/>
      <c r="HN80" s="4158"/>
      <c r="HO80" s="4158"/>
      <c r="HP80" s="4158"/>
      <c r="HQ80" s="4158"/>
      <c r="HR80" s="4158"/>
      <c r="HS80" s="4158"/>
      <c r="HT80" s="4158"/>
      <c r="HU80" s="4158"/>
      <c r="HV80" s="4158"/>
      <c r="HW80" s="4158"/>
      <c r="HX80" s="4158"/>
      <c r="HY80" s="4158"/>
      <c r="HZ80" s="4158"/>
      <c r="IA80" s="4158"/>
      <c r="IB80" s="4158"/>
      <c r="IC80" s="4158"/>
      <c r="ID80" s="4158"/>
      <c r="IE80" s="4158"/>
      <c r="IF80" s="4158"/>
      <c r="IG80" s="4158"/>
      <c r="IH80" s="4158"/>
      <c r="II80" s="4158"/>
      <c r="IJ80" s="4158"/>
      <c r="IK80" s="4158"/>
      <c r="IL80" s="4158"/>
      <c r="IM80" s="4158"/>
      <c r="IN80" s="4158"/>
      <c r="IO80" s="2854"/>
      <c r="IP80" s="4158"/>
      <c r="IQ80" s="4159"/>
      <c r="IR80" s="4158"/>
      <c r="IS80" s="4158"/>
      <c r="IT80" s="3987"/>
      <c r="IU80" s="4158"/>
      <c r="IV80" s="4158"/>
      <c r="IW80" s="4158"/>
      <c r="IX80" s="4158"/>
      <c r="IY80" s="4160"/>
      <c r="IZ80" s="4158"/>
      <c r="JA80" s="3814"/>
      <c r="JB80" s="4314"/>
      <c r="JC80" s="4242"/>
      <c r="JD80" s="2854"/>
      <c r="JE80" s="3814"/>
      <c r="JF80" s="3814"/>
      <c r="JG80" s="4161"/>
      <c r="JH80" s="1233"/>
      <c r="JI80" s="1947"/>
      <c r="JJ80" s="2911"/>
    </row>
    <row ht="12.75" r="81" spans="1:270" x14ac:dyDescent="0.2">
      <c r="A81" s="1128">
        <v>46</v>
      </c>
      <c r="B81" s="1557" t="str">
        <f ref="B81:B105" si="3" t="shared">IF(PS_B_IND&gt;1,IF(HLOOKUP(PS_B_IND-1,FPS_RANGE,A81)="","",HLOOKUP(PS_B_IND-1,FPS_RANGE,A81)),"")</f>
        <v/>
      </c>
      <c r="C81" s="1559" t="s">
        <v>2235</v>
      </c>
      <c r="D81" s="1350" t="s">
        <v>5662</v>
      </c>
      <c r="E81" s="4158"/>
      <c r="F81" s="4158"/>
      <c r="G81" s="4158"/>
      <c r="H81" s="4158"/>
      <c r="I81" s="4158"/>
      <c r="J81" s="4158"/>
      <c r="K81" s="4158"/>
      <c r="L81" s="4158"/>
      <c r="M81" s="4158"/>
      <c r="N81" s="4158"/>
      <c r="O81" s="4158"/>
      <c r="P81" s="4158"/>
      <c r="Q81" s="4158"/>
      <c r="R81" s="4158"/>
      <c r="S81" s="4158"/>
      <c r="T81" s="4158"/>
      <c r="U81" s="4158"/>
      <c r="V81" s="4158"/>
      <c r="W81" s="4158"/>
      <c r="X81" s="4158"/>
      <c r="Y81" s="4158"/>
      <c r="Z81" s="4158"/>
      <c r="AA81" s="4158"/>
      <c r="AB81" s="4158"/>
      <c r="AC81" s="4158"/>
      <c r="AD81" s="2854"/>
      <c r="AE81" s="2854"/>
      <c r="AF81" s="2854"/>
      <c r="AG81" s="2854"/>
      <c r="AH81" s="2854"/>
      <c r="AI81" s="4158"/>
      <c r="AJ81" s="4158"/>
      <c r="AK81" s="4158"/>
      <c r="AL81" s="4158"/>
      <c r="AM81" s="2854"/>
      <c r="AN81" s="4158"/>
      <c r="AO81" s="4158"/>
      <c r="AP81" s="4158"/>
      <c r="AQ81" s="4158"/>
      <c r="AR81" s="4158"/>
      <c r="AS81" s="4158"/>
      <c r="AT81" s="4158"/>
      <c r="AU81" s="4158"/>
      <c r="AV81" s="4158"/>
      <c r="AW81" s="4158"/>
      <c r="AX81" s="4158"/>
      <c r="AY81" s="4158"/>
      <c r="AZ81" s="4158"/>
      <c r="BA81" s="4158"/>
      <c r="BB81" s="2854">
        <v>627</v>
      </c>
      <c r="BC81" s="2854"/>
      <c r="BD81" s="4158"/>
      <c r="BE81" s="4158"/>
      <c r="BF81" s="4158"/>
      <c r="BG81" s="4158"/>
      <c r="BH81" s="4158"/>
      <c r="BI81" s="4158"/>
      <c r="BJ81" s="4158"/>
      <c r="BK81" s="4158"/>
      <c r="BL81" s="4158"/>
      <c r="BM81" s="4158"/>
      <c r="BN81" s="4158"/>
      <c r="BO81" s="4158"/>
      <c r="BP81" s="4158"/>
      <c r="BQ81" s="4158"/>
      <c r="BR81" s="4158"/>
      <c r="BS81" s="4158"/>
      <c r="BT81" s="4158"/>
      <c r="BU81" s="4158"/>
      <c r="BV81" s="4158"/>
      <c r="BW81" s="4158"/>
      <c r="BX81" s="4158"/>
      <c r="BY81" s="4158"/>
      <c r="BZ81" s="4158"/>
      <c r="CA81" s="4158"/>
      <c r="CB81" s="4158"/>
      <c r="CC81" s="4158"/>
      <c r="CD81" s="4158"/>
      <c r="CE81" s="4158"/>
      <c r="CF81" s="4158"/>
      <c r="CG81" s="4158"/>
      <c r="CH81" s="4158"/>
      <c r="CI81" s="4158"/>
      <c r="CJ81" s="4158"/>
      <c r="CK81" s="4158"/>
      <c r="CL81" s="4158"/>
      <c r="CM81" s="4158"/>
      <c r="CN81" s="4158"/>
      <c r="CO81" s="4158"/>
      <c r="CP81" s="2854"/>
      <c r="CQ81" s="4158"/>
      <c r="CR81" s="4158"/>
      <c r="CS81" s="4158"/>
      <c r="CT81" s="4158"/>
      <c r="CU81" s="4158"/>
      <c r="CV81" s="4158"/>
      <c r="CW81" s="4158"/>
      <c r="CX81" s="4158"/>
      <c r="CY81" s="2854">
        <v>2126</v>
      </c>
      <c r="CZ81" s="2854"/>
      <c r="DA81" s="2854"/>
      <c r="DB81" s="4158"/>
      <c r="DC81" s="4158"/>
      <c r="DD81" s="4158"/>
      <c r="DE81" s="4158"/>
      <c r="DF81" s="4158"/>
      <c r="DG81" s="4158"/>
      <c r="DH81" s="2854"/>
      <c r="DI81" s="4158"/>
      <c r="DJ81" s="2854">
        <v>2126</v>
      </c>
      <c r="DK81" s="4158"/>
      <c r="DL81" s="4158"/>
      <c r="DM81" s="2854">
        <v>2126</v>
      </c>
      <c r="DN81" s="4158"/>
      <c r="DO81" s="4158"/>
      <c r="DP81" s="4158"/>
      <c r="DQ81" s="4158"/>
      <c r="DR81" s="4158"/>
      <c r="DS81" s="4158"/>
      <c r="DT81" s="4158"/>
      <c r="DU81" s="4158"/>
      <c r="DV81" s="4158"/>
      <c r="DW81" s="4158"/>
      <c r="DX81" s="4158"/>
      <c r="DY81" s="4158"/>
      <c r="DZ81" s="4158"/>
      <c r="EA81" s="4158"/>
      <c r="EB81" s="4158"/>
      <c r="EC81" s="4158"/>
      <c r="ED81" s="4158"/>
      <c r="EE81" s="4158"/>
      <c r="EF81" s="4158"/>
      <c r="EG81" s="4158"/>
      <c r="EH81" s="2854"/>
      <c r="EI81" s="2854"/>
      <c r="EJ81" s="4158"/>
      <c r="EK81" s="4158"/>
      <c r="EL81" s="4158"/>
      <c r="EM81" s="4158"/>
      <c r="EN81" s="4158"/>
      <c r="EO81" s="4158"/>
      <c r="EP81" s="4158"/>
      <c r="EQ81" s="4158"/>
      <c r="ER81" s="4158"/>
      <c r="ES81" s="4158"/>
      <c r="ET81" s="4158"/>
      <c r="EU81" s="4158"/>
      <c r="EV81" s="4158"/>
      <c r="EW81" s="4158"/>
      <c r="EX81" s="4158"/>
      <c r="EY81" s="4158"/>
      <c r="EZ81" s="4158"/>
      <c r="FA81" s="2854">
        <v>2126</v>
      </c>
      <c r="FB81" s="4158"/>
      <c r="FC81" s="4158"/>
      <c r="FD81" s="4158"/>
      <c r="FE81" s="4158"/>
      <c r="FF81" s="4158"/>
      <c r="FG81" s="4158"/>
      <c r="FH81" s="4158"/>
      <c r="FI81" s="4158"/>
      <c r="FJ81" s="4158"/>
      <c r="FK81" s="2854"/>
      <c r="FL81" s="4158"/>
      <c r="FM81" s="4158"/>
      <c r="FN81" s="4158"/>
      <c r="FO81" s="4158"/>
      <c r="FP81" s="4158"/>
      <c r="FQ81" s="4158"/>
      <c r="FR81" s="4158"/>
      <c r="FS81" s="4158"/>
      <c r="FT81" s="4158"/>
      <c r="FU81" s="4158"/>
      <c r="FV81" s="2854"/>
      <c r="FW81" s="4158"/>
      <c r="FX81" s="4158"/>
      <c r="FY81" s="4158"/>
      <c r="FZ81" s="4158"/>
      <c r="GA81" s="4158"/>
      <c r="GB81" s="4158"/>
      <c r="GC81" s="4158"/>
      <c r="GD81" s="4158"/>
      <c r="GE81" s="4158"/>
      <c r="GF81" s="4158"/>
      <c r="GG81" s="4158"/>
      <c r="GH81" s="4158"/>
      <c r="GI81" s="4158"/>
      <c r="GJ81" s="4158"/>
      <c r="GK81" s="4158"/>
      <c r="GL81" s="4158"/>
      <c r="GM81" s="4158"/>
      <c r="GN81" s="4158"/>
      <c r="GO81" s="4158"/>
      <c r="GP81" s="4158"/>
      <c r="GQ81" s="4158"/>
      <c r="GR81" s="4158"/>
      <c r="GS81" s="4158"/>
      <c r="GT81" s="4158"/>
      <c r="GU81" s="4158"/>
      <c r="GV81" s="4158"/>
      <c r="GW81" s="2854"/>
      <c r="GX81" s="4158"/>
      <c r="GY81" s="2854"/>
      <c r="GZ81" s="4158"/>
      <c r="HA81" s="4158"/>
      <c r="HB81" s="4158"/>
      <c r="HC81" s="4158"/>
      <c r="HD81" s="4158"/>
      <c r="HE81" s="2854"/>
      <c r="HF81" s="4158"/>
      <c r="HG81" s="4158"/>
      <c r="HH81" s="4158"/>
      <c r="HI81" s="4158"/>
      <c r="HJ81" s="4158"/>
      <c r="HK81" s="4158"/>
      <c r="HL81" s="4158"/>
      <c r="HM81" s="4158"/>
      <c r="HN81" s="4158"/>
      <c r="HO81" s="4158"/>
      <c r="HP81" s="4158"/>
      <c r="HQ81" s="4158"/>
      <c r="HR81" s="4158"/>
      <c r="HS81" s="4158"/>
      <c r="HT81" s="4158"/>
      <c r="HU81" s="4158"/>
      <c r="HV81" s="4158"/>
      <c r="HW81" s="4158"/>
      <c r="HX81" s="4158"/>
      <c r="HY81" s="4158"/>
      <c r="HZ81" s="4158"/>
      <c r="IA81" s="4158"/>
      <c r="IB81" s="4158"/>
      <c r="IC81" s="4158"/>
      <c r="ID81" s="4158"/>
      <c r="IE81" s="4158"/>
      <c r="IF81" s="4158"/>
      <c r="IG81" s="4158"/>
      <c r="IH81" s="4158"/>
      <c r="II81" s="4158"/>
      <c r="IJ81" s="4158"/>
      <c r="IK81" s="4158"/>
      <c r="IL81" s="4158"/>
      <c r="IM81" s="4158"/>
      <c r="IN81" s="4158"/>
      <c r="IO81" s="2854"/>
      <c r="IP81" s="4158"/>
      <c r="IQ81" s="4159"/>
      <c r="IR81" s="4158"/>
      <c r="IS81" s="4158"/>
      <c r="IT81" s="3987"/>
      <c r="IU81" s="4158"/>
      <c r="IV81" s="4158"/>
      <c r="IW81" s="4158"/>
      <c r="IX81" s="4158"/>
      <c r="IY81" s="4160"/>
      <c r="IZ81" s="4158"/>
      <c r="JA81" s="3814"/>
      <c r="JB81" s="4314"/>
      <c r="JC81" s="4242"/>
      <c r="JD81" s="2854"/>
      <c r="JE81" s="3814"/>
      <c r="JF81" s="3814"/>
      <c r="JG81" s="4161"/>
      <c r="JH81" s="1233"/>
      <c r="JI81" s="1393"/>
      <c r="JJ81" s="1660" t="s">
        <v>6124</v>
      </c>
    </row>
    <row ht="12.75" r="82" spans="1:270" x14ac:dyDescent="0.2">
      <c r="A82" s="1128">
        <v>47</v>
      </c>
      <c r="B82" s="1557" t="str">
        <f si="3" t="shared"/>
        <v/>
      </c>
      <c r="C82" s="1559" t="s">
        <v>2236</v>
      </c>
      <c r="D82" s="1350" t="s">
        <v>5663</v>
      </c>
      <c r="E82" s="4158"/>
      <c r="F82" s="4158"/>
      <c r="G82" s="4158"/>
      <c r="H82" s="4158"/>
      <c r="I82" s="4158"/>
      <c r="J82" s="4158"/>
      <c r="K82" s="4158"/>
      <c r="L82" s="4158"/>
      <c r="M82" s="4158"/>
      <c r="N82" s="4158"/>
      <c r="O82" s="4158"/>
      <c r="P82" s="4158"/>
      <c r="Q82" s="4158"/>
      <c r="R82" s="4158"/>
      <c r="S82" s="4158"/>
      <c r="T82" s="4158"/>
      <c r="U82" s="4158"/>
      <c r="V82" s="4158"/>
      <c r="W82" s="4158"/>
      <c r="X82" s="4158"/>
      <c r="Y82" s="4158"/>
      <c r="Z82" s="4158"/>
      <c r="AA82" s="4158"/>
      <c r="AB82" s="4158"/>
      <c r="AC82" s="4158"/>
      <c r="AD82" s="2854"/>
      <c r="AE82" s="2854"/>
      <c r="AF82" s="2854"/>
      <c r="AG82" s="2854"/>
      <c r="AH82" s="2854"/>
      <c r="AI82" s="4158"/>
      <c r="AJ82" s="4158"/>
      <c r="AK82" s="4158"/>
      <c r="AL82" s="4158"/>
      <c r="AM82" s="2854"/>
      <c r="AN82" s="4158"/>
      <c r="AO82" s="4158"/>
      <c r="AP82" s="4158"/>
      <c r="AQ82" s="4158"/>
      <c r="AR82" s="4158"/>
      <c r="AS82" s="4158"/>
      <c r="AT82" s="4158"/>
      <c r="AU82" s="4158"/>
      <c r="AV82" s="4158"/>
      <c r="AW82" s="4158"/>
      <c r="AX82" s="4158"/>
      <c r="AY82" s="4158"/>
      <c r="AZ82" s="4158"/>
      <c r="BA82" s="4158"/>
      <c r="BB82" s="2854"/>
      <c r="BC82" s="2854"/>
      <c r="BD82" s="4158"/>
      <c r="BE82" s="4158"/>
      <c r="BF82" s="4158"/>
      <c r="BG82" s="4158"/>
      <c r="BH82" s="4158"/>
      <c r="BI82" s="4158"/>
      <c r="BJ82" s="4158"/>
      <c r="BK82" s="4158"/>
      <c r="BL82" s="4158"/>
      <c r="BM82" s="4158"/>
      <c r="BN82" s="4158"/>
      <c r="BO82" s="4158"/>
      <c r="BP82" s="4158"/>
      <c r="BQ82" s="4158"/>
      <c r="BR82" s="4158"/>
      <c r="BS82" s="4158"/>
      <c r="BT82" s="4158"/>
      <c r="BU82" s="4158"/>
      <c r="BV82" s="4158"/>
      <c r="BW82" s="4158"/>
      <c r="BX82" s="4158"/>
      <c r="BY82" s="4158"/>
      <c r="BZ82" s="4158"/>
      <c r="CA82" s="4158"/>
      <c r="CB82" s="4158"/>
      <c r="CC82" s="4158"/>
      <c r="CD82" s="4158"/>
      <c r="CE82" s="4158"/>
      <c r="CF82" s="4158"/>
      <c r="CG82" s="4158"/>
      <c r="CH82" s="4158"/>
      <c r="CI82" s="4158"/>
      <c r="CJ82" s="4158"/>
      <c r="CK82" s="4158"/>
      <c r="CL82" s="4158"/>
      <c r="CM82" s="4158"/>
      <c r="CN82" s="4158"/>
      <c r="CO82" s="4158"/>
      <c r="CP82" s="2854"/>
      <c r="CQ82" s="4158"/>
      <c r="CR82" s="4158"/>
      <c r="CS82" s="4158"/>
      <c r="CT82" s="4158"/>
      <c r="CU82" s="4158"/>
      <c r="CV82" s="4158"/>
      <c r="CW82" s="4158"/>
      <c r="CX82" s="4158"/>
      <c r="CY82" s="2854"/>
      <c r="CZ82" s="2854"/>
      <c r="DA82" s="2854"/>
      <c r="DB82" s="4158"/>
      <c r="DC82" s="4158"/>
      <c r="DD82" s="4158"/>
      <c r="DE82" s="4158"/>
      <c r="DF82" s="4158"/>
      <c r="DG82" s="4158"/>
      <c r="DH82" s="2854"/>
      <c r="DI82" s="4158"/>
      <c r="DJ82" s="2854"/>
      <c r="DK82" s="4158"/>
      <c r="DL82" s="4158"/>
      <c r="DM82" s="2854"/>
      <c r="DN82" s="4158"/>
      <c r="DO82" s="4158"/>
      <c r="DP82" s="4158"/>
      <c r="DQ82" s="4158"/>
      <c r="DR82" s="4158"/>
      <c r="DS82" s="4158"/>
      <c r="DT82" s="4158"/>
      <c r="DU82" s="4158"/>
      <c r="DV82" s="4158"/>
      <c r="DW82" s="4158"/>
      <c r="DX82" s="4158"/>
      <c r="DY82" s="4158"/>
      <c r="DZ82" s="4158"/>
      <c r="EA82" s="4158"/>
      <c r="EB82" s="4158"/>
      <c r="EC82" s="4158"/>
      <c r="ED82" s="4158"/>
      <c r="EE82" s="4158"/>
      <c r="EF82" s="4158"/>
      <c r="EG82" s="4158"/>
      <c r="EH82" s="2854"/>
      <c r="EI82" s="2854"/>
      <c r="EJ82" s="4158"/>
      <c r="EK82" s="4158"/>
      <c r="EL82" s="4158"/>
      <c r="EM82" s="4158"/>
      <c r="EN82" s="4158"/>
      <c r="EO82" s="4158"/>
      <c r="EP82" s="4158"/>
      <c r="EQ82" s="4158"/>
      <c r="ER82" s="4158"/>
      <c r="ES82" s="4158"/>
      <c r="ET82" s="4158"/>
      <c r="EU82" s="4158"/>
      <c r="EV82" s="4158"/>
      <c r="EW82" s="4158"/>
      <c r="EX82" s="4158"/>
      <c r="EY82" s="4158"/>
      <c r="EZ82" s="4158"/>
      <c r="FA82" s="2854"/>
      <c r="FB82" s="4158"/>
      <c r="FC82" s="4158"/>
      <c r="FD82" s="4158"/>
      <c r="FE82" s="4158"/>
      <c r="FF82" s="4158"/>
      <c r="FG82" s="4158"/>
      <c r="FH82" s="4158"/>
      <c r="FI82" s="4158"/>
      <c r="FJ82" s="4158"/>
      <c r="FK82" s="2854"/>
      <c r="FL82" s="4158"/>
      <c r="FM82" s="4158"/>
      <c r="FN82" s="4158"/>
      <c r="FO82" s="4158"/>
      <c r="FP82" s="4158"/>
      <c r="FQ82" s="4158"/>
      <c r="FR82" s="4158"/>
      <c r="FS82" s="4158"/>
      <c r="FT82" s="4158"/>
      <c r="FU82" s="4158"/>
      <c r="FV82" s="2854"/>
      <c r="FW82" s="4158"/>
      <c r="FX82" s="4158"/>
      <c r="FY82" s="4158"/>
      <c r="FZ82" s="4158"/>
      <c r="GA82" s="4158"/>
      <c r="GB82" s="4158"/>
      <c r="GC82" s="4158"/>
      <c r="GD82" s="4158"/>
      <c r="GE82" s="4158"/>
      <c r="GF82" s="4158"/>
      <c r="GG82" s="4158"/>
      <c r="GH82" s="4158"/>
      <c r="GI82" s="4158"/>
      <c r="GJ82" s="4158"/>
      <c r="GK82" s="4158"/>
      <c r="GL82" s="4158"/>
      <c r="GM82" s="4158"/>
      <c r="GN82" s="4158"/>
      <c r="GO82" s="4158"/>
      <c r="GP82" s="4158"/>
      <c r="GQ82" s="4158"/>
      <c r="GR82" s="4158"/>
      <c r="GS82" s="4158"/>
      <c r="GT82" s="4158"/>
      <c r="GU82" s="4158"/>
      <c r="GV82" s="4158"/>
      <c r="GW82" s="2854"/>
      <c r="GX82" s="4158"/>
      <c r="GY82" s="2854"/>
      <c r="GZ82" s="4158"/>
      <c r="HA82" s="4158"/>
      <c r="HB82" s="4158"/>
      <c r="HC82" s="4158"/>
      <c r="HD82" s="4158"/>
      <c r="HE82" s="2854"/>
      <c r="HF82" s="4158"/>
      <c r="HG82" s="4158"/>
      <c r="HH82" s="4158"/>
      <c r="HI82" s="4158"/>
      <c r="HJ82" s="4158"/>
      <c r="HK82" s="4158"/>
      <c r="HL82" s="4158"/>
      <c r="HM82" s="4158"/>
      <c r="HN82" s="4158"/>
      <c r="HO82" s="4158"/>
      <c r="HP82" s="4158"/>
      <c r="HQ82" s="4158"/>
      <c r="HR82" s="4158"/>
      <c r="HS82" s="4158"/>
      <c r="HT82" s="4158"/>
      <c r="HU82" s="4158"/>
      <c r="HV82" s="4158"/>
      <c r="HW82" s="4158"/>
      <c r="HX82" s="4158"/>
      <c r="HY82" s="4158"/>
      <c r="HZ82" s="4158"/>
      <c r="IA82" s="4158"/>
      <c r="IB82" s="4158"/>
      <c r="IC82" s="4158"/>
      <c r="ID82" s="4158"/>
      <c r="IE82" s="4158"/>
      <c r="IF82" s="4158"/>
      <c r="IG82" s="4158"/>
      <c r="IH82" s="4158"/>
      <c r="II82" s="4158"/>
      <c r="IJ82" s="4158"/>
      <c r="IK82" s="4158"/>
      <c r="IL82" s="4158"/>
      <c r="IM82" s="4158"/>
      <c r="IN82" s="4158"/>
      <c r="IO82" s="2854"/>
      <c r="IP82" s="4158"/>
      <c r="IQ82" s="4159"/>
      <c r="IR82" s="4158"/>
      <c r="IS82" s="4158"/>
      <c r="IT82" s="3987"/>
      <c r="IU82" s="4158"/>
      <c r="IV82" s="4158"/>
      <c r="IW82" s="4158"/>
      <c r="IX82" s="4158"/>
      <c r="IY82" s="4160"/>
      <c r="IZ82" s="4158"/>
      <c r="JA82" s="3814"/>
      <c r="JB82" s="4314"/>
      <c r="JC82" s="4242"/>
      <c r="JD82" s="2854"/>
      <c r="JE82" s="3814"/>
      <c r="JF82" s="3814"/>
      <c r="JG82" s="4161"/>
      <c r="JH82" s="1233"/>
      <c r="JI82" s="1393" t="s">
        <v>5037</v>
      </c>
      <c r="JJ82" s="1660" t="s">
        <v>6110</v>
      </c>
    </row>
    <row ht="56.25" r="83" spans="1:270" x14ac:dyDescent="0.2">
      <c r="A83" s="1128">
        <v>48</v>
      </c>
      <c r="B83" s="1557" t="str">
        <f si="3" t="shared"/>
        <v/>
      </c>
      <c r="C83" s="1559" t="s">
        <v>2237</v>
      </c>
      <c r="D83" s="1350" t="s">
        <v>5664</v>
      </c>
      <c r="E83" s="4171"/>
      <c r="F83" s="4171"/>
      <c r="G83" s="4171"/>
      <c r="H83" s="4171"/>
      <c r="I83" s="4171"/>
      <c r="J83" s="4171"/>
      <c r="K83" s="4171"/>
      <c r="L83" s="4171"/>
      <c r="M83" s="4171"/>
      <c r="N83" s="4171"/>
      <c r="O83" s="4171"/>
      <c r="P83" s="4171"/>
      <c r="Q83" s="4171"/>
      <c r="R83" s="4171"/>
      <c r="S83" s="4171"/>
      <c r="T83" s="4171"/>
      <c r="U83" s="4171"/>
      <c r="V83" s="4171"/>
      <c r="W83" s="4171"/>
      <c r="X83" s="4171"/>
      <c r="Y83" s="4171"/>
      <c r="Z83" s="4171"/>
      <c r="AA83" s="4171"/>
      <c r="AB83" s="4171"/>
      <c r="AC83" s="4171"/>
      <c r="AD83" s="2867"/>
      <c r="AE83" s="2867"/>
      <c r="AF83" s="2867"/>
      <c r="AG83" s="2867"/>
      <c r="AH83" s="2867"/>
      <c r="AI83" s="4171"/>
      <c r="AJ83" s="4171"/>
      <c r="AK83" s="4171"/>
      <c r="AL83" s="4171"/>
      <c r="AM83" s="2867"/>
      <c r="AN83" s="4171"/>
      <c r="AO83" s="4171"/>
      <c r="AP83" s="4171"/>
      <c r="AQ83" s="4171"/>
      <c r="AR83" s="4171"/>
      <c r="AS83" s="4171"/>
      <c r="AT83" s="4171"/>
      <c r="AU83" s="4171"/>
      <c r="AV83" s="4171"/>
      <c r="AW83" s="4171"/>
      <c r="AX83" s="4171"/>
      <c r="AY83" s="4171"/>
      <c r="AZ83" s="4171"/>
      <c r="BA83" s="4171"/>
      <c r="BB83" s="2878">
        <f>MAX(0,BB81+BB82)</f>
        <v>627</v>
      </c>
      <c r="BC83" s="2867"/>
      <c r="BD83" s="4171"/>
      <c r="BE83" s="4171"/>
      <c r="BF83" s="4171"/>
      <c r="BG83" s="4171"/>
      <c r="BH83" s="4171"/>
      <c r="BI83" s="4171"/>
      <c r="BJ83" s="4171"/>
      <c r="BK83" s="4171"/>
      <c r="BL83" s="4171"/>
      <c r="BM83" s="4171"/>
      <c r="BN83" s="4171"/>
      <c r="BO83" s="4171"/>
      <c r="BP83" s="4171"/>
      <c r="BQ83" s="4171"/>
      <c r="BR83" s="4171"/>
      <c r="BS83" s="4171"/>
      <c r="BT83" s="4171"/>
      <c r="BU83" s="4171"/>
      <c r="BV83" s="4171"/>
      <c r="BW83" s="4171"/>
      <c r="BX83" s="4171"/>
      <c r="BY83" s="4171"/>
      <c r="BZ83" s="4171"/>
      <c r="CA83" s="4171"/>
      <c r="CB83" s="4171"/>
      <c r="CC83" s="4171"/>
      <c r="CD83" s="4171"/>
      <c r="CE83" s="4171"/>
      <c r="CF83" s="4171"/>
      <c r="CG83" s="4171"/>
      <c r="CH83" s="4171"/>
      <c r="CI83" s="4171"/>
      <c r="CJ83" s="4171"/>
      <c r="CK83" s="4171"/>
      <c r="CL83" s="4171"/>
      <c r="CM83" s="4171"/>
      <c r="CN83" s="4171"/>
      <c r="CO83" s="4171"/>
      <c r="CP83" s="2867"/>
      <c r="CQ83" s="4171"/>
      <c r="CR83" s="4171"/>
      <c r="CS83" s="4171"/>
      <c r="CT83" s="4171"/>
      <c r="CU83" s="4171"/>
      <c r="CV83" s="4171"/>
      <c r="CW83" s="4171"/>
      <c r="CX83" s="4171"/>
      <c r="CY83" s="2878">
        <f>MAX(0,CY81+CY82)</f>
        <v>2126</v>
      </c>
      <c r="CZ83" s="2867"/>
      <c r="DA83" s="2867"/>
      <c r="DB83" s="4171"/>
      <c r="DC83" s="4171"/>
      <c r="DD83" s="4171"/>
      <c r="DE83" s="4171"/>
      <c r="DF83" s="4171"/>
      <c r="DG83" s="4171"/>
      <c r="DH83" s="2867"/>
      <c r="DI83" s="4171"/>
      <c r="DJ83" s="2878">
        <f>MAX(0,DJ81+DJ82)</f>
        <v>2126</v>
      </c>
      <c r="DK83" s="4171"/>
      <c r="DL83" s="4171"/>
      <c r="DM83" s="2878">
        <f>MAX(0,DM81+DM82)</f>
        <v>2126</v>
      </c>
      <c r="DN83" s="4171"/>
      <c r="DO83" s="4171"/>
      <c r="DP83" s="4171"/>
      <c r="DQ83" s="4171"/>
      <c r="DR83" s="4171"/>
      <c r="DS83" s="4171"/>
      <c r="DT83" s="4171"/>
      <c r="DU83" s="4171"/>
      <c r="DV83" s="4171"/>
      <c r="DW83" s="4171"/>
      <c r="DX83" s="4171"/>
      <c r="DY83" s="4171"/>
      <c r="DZ83" s="4171"/>
      <c r="EA83" s="4171"/>
      <c r="EB83" s="4171"/>
      <c r="EC83" s="4171"/>
      <c r="ED83" s="4171"/>
      <c r="EE83" s="4171"/>
      <c r="EF83" s="4171"/>
      <c r="EG83" s="4171"/>
      <c r="EH83" s="2867"/>
      <c r="EI83" s="2867"/>
      <c r="EJ83" s="4171"/>
      <c r="EK83" s="4171"/>
      <c r="EL83" s="4171"/>
      <c r="EM83" s="4171"/>
      <c r="EN83" s="4171"/>
      <c r="EO83" s="4171"/>
      <c r="EP83" s="4171"/>
      <c r="EQ83" s="4171"/>
      <c r="ER83" s="4171"/>
      <c r="ES83" s="4171"/>
      <c r="ET83" s="4171"/>
      <c r="EU83" s="4171"/>
      <c r="EV83" s="4171"/>
      <c r="EW83" s="4171"/>
      <c r="EX83" s="4171"/>
      <c r="EY83" s="4171"/>
      <c r="EZ83" s="4171"/>
      <c r="FA83" s="2878">
        <f>MAX(0,FA81+FA82)</f>
        <v>2126</v>
      </c>
      <c r="FB83" s="4171"/>
      <c r="FC83" s="4171"/>
      <c r="FD83" s="4171"/>
      <c r="FE83" s="4171"/>
      <c r="FF83" s="4171"/>
      <c r="FG83" s="4171"/>
      <c r="FH83" s="4171"/>
      <c r="FI83" s="4171"/>
      <c r="FJ83" s="4171"/>
      <c r="FK83" s="2867"/>
      <c r="FL83" s="4171"/>
      <c r="FM83" s="4171"/>
      <c r="FN83" s="4171"/>
      <c r="FO83" s="4171"/>
      <c r="FP83" s="4171"/>
      <c r="FQ83" s="4171"/>
      <c r="FR83" s="4171"/>
      <c r="FS83" s="4171"/>
      <c r="FT83" s="4171"/>
      <c r="FU83" s="4171"/>
      <c r="FV83" s="2867"/>
      <c r="FW83" s="4171"/>
      <c r="FX83" s="4171"/>
      <c r="FY83" s="4171"/>
      <c r="FZ83" s="4171"/>
      <c r="GA83" s="4171"/>
      <c r="GB83" s="4171"/>
      <c r="GC83" s="4171"/>
      <c r="GD83" s="4171"/>
      <c r="GE83" s="4171"/>
      <c r="GF83" s="4171"/>
      <c r="GG83" s="4171"/>
      <c r="GH83" s="4171"/>
      <c r="GI83" s="4171"/>
      <c r="GJ83" s="4171"/>
      <c r="GK83" s="4171"/>
      <c r="GL83" s="4171"/>
      <c r="GM83" s="4171"/>
      <c r="GN83" s="4171"/>
      <c r="GO83" s="4171"/>
      <c r="GP83" s="4171"/>
      <c r="GQ83" s="4171"/>
      <c r="GR83" s="4171"/>
      <c r="GS83" s="4171"/>
      <c r="GT83" s="4171"/>
      <c r="GU83" s="4171"/>
      <c r="GV83" s="4171"/>
      <c r="GW83" s="2867"/>
      <c r="GX83" s="4171"/>
      <c r="GY83" s="2867"/>
      <c r="GZ83" s="4171"/>
      <c r="HA83" s="4171"/>
      <c r="HB83" s="4171"/>
      <c r="HC83" s="4171"/>
      <c r="HD83" s="4171"/>
      <c r="HE83" s="2867"/>
      <c r="HF83" s="4171"/>
      <c r="HG83" s="4171"/>
      <c r="HH83" s="4171"/>
      <c r="HI83" s="4171"/>
      <c r="HJ83" s="4171"/>
      <c r="HK83" s="4171"/>
      <c r="HL83" s="4171"/>
      <c r="HM83" s="4171"/>
      <c r="HN83" s="4171"/>
      <c r="HO83" s="4171"/>
      <c r="HP83" s="4171"/>
      <c r="HQ83" s="4171"/>
      <c r="HR83" s="4171"/>
      <c r="HS83" s="4171"/>
      <c r="HT83" s="4171"/>
      <c r="HU83" s="4171"/>
      <c r="HV83" s="4171"/>
      <c r="HW83" s="4171"/>
      <c r="HX83" s="4171"/>
      <c r="HY83" s="4171"/>
      <c r="HZ83" s="4171"/>
      <c r="IA83" s="4171"/>
      <c r="IB83" s="4171"/>
      <c r="IC83" s="4171"/>
      <c r="ID83" s="4171"/>
      <c r="IE83" s="4171"/>
      <c r="IF83" s="4171"/>
      <c r="IG83" s="4171"/>
      <c r="IH83" s="4171"/>
      <c r="II83" s="4171"/>
      <c r="IJ83" s="4171"/>
      <c r="IK83" s="4171"/>
      <c r="IL83" s="4171"/>
      <c r="IM83" s="4171"/>
      <c r="IN83" s="4171"/>
      <c r="IO83" s="2867"/>
      <c r="IP83" s="4171"/>
      <c r="IQ83" s="4159"/>
      <c r="IR83" s="4171"/>
      <c r="IS83" s="4171"/>
      <c r="IT83" s="3987"/>
      <c r="IU83" s="4171"/>
      <c r="IV83" s="4171"/>
      <c r="IW83" s="4171"/>
      <c r="IX83" s="4171"/>
      <c r="IY83" s="4160"/>
      <c r="IZ83" s="4171"/>
      <c r="JA83" s="3819"/>
      <c r="JB83" s="4314"/>
      <c r="JC83" s="4242"/>
      <c r="JD83" s="2867"/>
      <c r="JE83" s="3819"/>
      <c r="JF83" s="3819"/>
      <c r="JG83" s="4172"/>
      <c r="JH83" s="1233"/>
      <c r="JI83" s="1393" t="s">
        <v>5636</v>
      </c>
      <c r="JJ83" s="1660" t="s">
        <v>6124</v>
      </c>
    </row>
    <row ht="12.75" r="84" spans="1:270" x14ac:dyDescent="0.2">
      <c r="A84" s="1128">
        <v>49</v>
      </c>
      <c r="B84" s="1557" t="str">
        <f si="3" t="shared"/>
        <v/>
      </c>
      <c r="C84" s="1559" t="s">
        <v>2238</v>
      </c>
      <c r="D84" s="1350" t="s">
        <v>5665</v>
      </c>
      <c r="E84" s="4158"/>
      <c r="F84" s="4158"/>
      <c r="G84" s="4158"/>
      <c r="H84" s="4158"/>
      <c r="I84" s="4158"/>
      <c r="J84" s="4158"/>
      <c r="K84" s="4158"/>
      <c r="L84" s="4158"/>
      <c r="M84" s="4158"/>
      <c r="N84" s="4158"/>
      <c r="O84" s="4158"/>
      <c r="P84" s="4158"/>
      <c r="Q84" s="4158"/>
      <c r="R84" s="4158"/>
      <c r="S84" s="4158"/>
      <c r="T84" s="4158"/>
      <c r="U84" s="4158"/>
      <c r="V84" s="4158"/>
      <c r="W84" s="4158"/>
      <c r="X84" s="4158"/>
      <c r="Y84" s="4158"/>
      <c r="Z84" s="4158"/>
      <c r="AA84" s="4158"/>
      <c r="AB84" s="4158"/>
      <c r="AC84" s="4158"/>
      <c r="AD84" s="2854"/>
      <c r="AE84" s="2854"/>
      <c r="AF84" s="2854"/>
      <c r="AG84" s="2854"/>
      <c r="AH84" s="2854"/>
      <c r="AI84" s="4158"/>
      <c r="AJ84" s="4158"/>
      <c r="AK84" s="4158"/>
      <c r="AL84" s="4158"/>
      <c r="AM84" s="2854"/>
      <c r="AN84" s="4158"/>
      <c r="AO84" s="4158"/>
      <c r="AP84" s="4158"/>
      <c r="AQ84" s="4158"/>
      <c r="AR84" s="4158"/>
      <c r="AS84" s="4158"/>
      <c r="AT84" s="4158"/>
      <c r="AU84" s="4158"/>
      <c r="AV84" s="4158"/>
      <c r="AW84" s="4158"/>
      <c r="AX84" s="4158"/>
      <c r="AY84" s="4158"/>
      <c r="AZ84" s="4158"/>
      <c r="BA84" s="4158"/>
      <c r="BB84" s="2854"/>
      <c r="BC84" s="2854"/>
      <c r="BD84" s="4158"/>
      <c r="BE84" s="4158"/>
      <c r="BF84" s="4158"/>
      <c r="BG84" s="4158"/>
      <c r="BH84" s="4158"/>
      <c r="BI84" s="4158"/>
      <c r="BJ84" s="4158"/>
      <c r="BK84" s="4158"/>
      <c r="BL84" s="4158"/>
      <c r="BM84" s="4158"/>
      <c r="BN84" s="4158"/>
      <c r="BO84" s="4158"/>
      <c r="BP84" s="4158"/>
      <c r="BQ84" s="4158"/>
      <c r="BR84" s="4158"/>
      <c r="BS84" s="4158"/>
      <c r="BT84" s="4158"/>
      <c r="BU84" s="4158"/>
      <c r="BV84" s="4158"/>
      <c r="BW84" s="4158"/>
      <c r="BX84" s="4158"/>
      <c r="BY84" s="4158"/>
      <c r="BZ84" s="4158"/>
      <c r="CA84" s="4158"/>
      <c r="CB84" s="4158"/>
      <c r="CC84" s="4158"/>
      <c r="CD84" s="4158"/>
      <c r="CE84" s="4158"/>
      <c r="CF84" s="4158"/>
      <c r="CG84" s="4158"/>
      <c r="CH84" s="4158"/>
      <c r="CI84" s="4158"/>
      <c r="CJ84" s="4158"/>
      <c r="CK84" s="4158"/>
      <c r="CL84" s="4158"/>
      <c r="CM84" s="4158"/>
      <c r="CN84" s="4158"/>
      <c r="CO84" s="4158"/>
      <c r="CP84" s="2854"/>
      <c r="CQ84" s="4158"/>
      <c r="CR84" s="4158"/>
      <c r="CS84" s="4158"/>
      <c r="CT84" s="4158"/>
      <c r="CU84" s="4158"/>
      <c r="CV84" s="4158"/>
      <c r="CW84" s="4158"/>
      <c r="CX84" s="4158"/>
      <c r="CY84" s="2854">
        <v>16570</v>
      </c>
      <c r="CZ84" s="2854">
        <v>13625</v>
      </c>
      <c r="DA84" s="2854">
        <v>13625</v>
      </c>
      <c r="DB84" s="4158"/>
      <c r="DC84" s="4158"/>
      <c r="DD84" s="4158"/>
      <c r="DE84" s="4158"/>
      <c r="DF84" s="4158"/>
      <c r="DG84" s="4158"/>
      <c r="DH84" s="2854"/>
      <c r="DI84" s="4158"/>
      <c r="DJ84" s="2854">
        <v>16570</v>
      </c>
      <c r="DK84" s="4158"/>
      <c r="DL84" s="4158"/>
      <c r="DM84" s="2854">
        <v>16570</v>
      </c>
      <c r="DN84" s="4158"/>
      <c r="DO84" s="4158"/>
      <c r="DP84" s="4158"/>
      <c r="DQ84" s="4158"/>
      <c r="DR84" s="4158"/>
      <c r="DS84" s="4158"/>
      <c r="DT84" s="4158"/>
      <c r="DU84" s="4158"/>
      <c r="DV84" s="4158"/>
      <c r="DW84" s="4158"/>
      <c r="DX84" s="4158"/>
      <c r="DY84" s="4158"/>
      <c r="DZ84" s="4158"/>
      <c r="EA84" s="4158"/>
      <c r="EB84" s="4158"/>
      <c r="EC84" s="4158"/>
      <c r="ED84" s="4158"/>
      <c r="EE84" s="4158"/>
      <c r="EF84" s="4158"/>
      <c r="EG84" s="4158"/>
      <c r="EH84" s="2854"/>
      <c r="EI84" s="2854">
        <v>1589</v>
      </c>
      <c r="EJ84" s="4158"/>
      <c r="EK84" s="4158"/>
      <c r="EL84" s="4158"/>
      <c r="EM84" s="4158"/>
      <c r="EN84" s="4158"/>
      <c r="EO84" s="4158"/>
      <c r="EP84" s="4158"/>
      <c r="EQ84" s="4158"/>
      <c r="ER84" s="4158"/>
      <c r="ES84" s="4158"/>
      <c r="ET84" s="4158"/>
      <c r="EU84" s="4158"/>
      <c r="EV84" s="4158"/>
      <c r="EW84" s="4158"/>
      <c r="EX84" s="4158"/>
      <c r="EY84" s="4158"/>
      <c r="EZ84" s="4158"/>
      <c r="FA84" s="2854">
        <v>16570</v>
      </c>
      <c r="FB84" s="4158"/>
      <c r="FC84" s="4158"/>
      <c r="FD84" s="4158"/>
      <c r="FE84" s="4158"/>
      <c r="FF84" s="4158"/>
      <c r="FG84" s="4158"/>
      <c r="FH84" s="4158"/>
      <c r="FI84" s="4158"/>
      <c r="FJ84" s="4158"/>
      <c r="FK84" s="2854">
        <v>13625</v>
      </c>
      <c r="FL84" s="4158"/>
      <c r="FM84" s="4158"/>
      <c r="FN84" s="4158"/>
      <c r="FO84" s="4158"/>
      <c r="FP84" s="4158"/>
      <c r="FQ84" s="4158"/>
      <c r="FR84" s="4158"/>
      <c r="FS84" s="4158"/>
      <c r="FT84" s="4158"/>
      <c r="FU84" s="4158"/>
      <c r="FV84" s="2854"/>
      <c r="FW84" s="4158"/>
      <c r="FX84" s="4158"/>
      <c r="FY84" s="4158"/>
      <c r="FZ84" s="4158"/>
      <c r="GA84" s="4158"/>
      <c r="GB84" s="4158"/>
      <c r="GC84" s="4158"/>
      <c r="GD84" s="4158"/>
      <c r="GE84" s="4158"/>
      <c r="GF84" s="4158"/>
      <c r="GG84" s="4158"/>
      <c r="GH84" s="4158"/>
      <c r="GI84" s="4158"/>
      <c r="GJ84" s="4158"/>
      <c r="GK84" s="4158"/>
      <c r="GL84" s="4158"/>
      <c r="GM84" s="4158"/>
      <c r="GN84" s="4158"/>
      <c r="GO84" s="4158"/>
      <c r="GP84" s="4158"/>
      <c r="GQ84" s="4158"/>
      <c r="GR84" s="4158"/>
      <c r="GS84" s="4158"/>
      <c r="GT84" s="4158"/>
      <c r="GU84" s="4158"/>
      <c r="GV84" s="4158"/>
      <c r="GW84" s="2854"/>
      <c r="GX84" s="4158"/>
      <c r="GY84" s="2854">
        <v>1589</v>
      </c>
      <c r="GZ84" s="4158"/>
      <c r="HA84" s="4158"/>
      <c r="HB84" s="4158"/>
      <c r="HC84" s="4158"/>
      <c r="HD84" s="4158"/>
      <c r="HE84" s="2854"/>
      <c r="HF84" s="4158"/>
      <c r="HG84" s="4158"/>
      <c r="HH84" s="4158"/>
      <c r="HI84" s="4158"/>
      <c r="HJ84" s="4158"/>
      <c r="HK84" s="4158"/>
      <c r="HL84" s="4158"/>
      <c r="HM84" s="4158"/>
      <c r="HN84" s="4158"/>
      <c r="HO84" s="4158"/>
      <c r="HP84" s="4158"/>
      <c r="HQ84" s="4158"/>
      <c r="HR84" s="4158"/>
      <c r="HS84" s="4158"/>
      <c r="HT84" s="4158"/>
      <c r="HU84" s="4158"/>
      <c r="HV84" s="4158"/>
      <c r="HW84" s="4158"/>
      <c r="HX84" s="4158"/>
      <c r="HY84" s="4158"/>
      <c r="HZ84" s="4158"/>
      <c r="IA84" s="4158"/>
      <c r="IB84" s="4158"/>
      <c r="IC84" s="4158"/>
      <c r="ID84" s="4158"/>
      <c r="IE84" s="4158"/>
      <c r="IF84" s="4158"/>
      <c r="IG84" s="4158"/>
      <c r="IH84" s="4158"/>
      <c r="II84" s="4158"/>
      <c r="IJ84" s="4158"/>
      <c r="IK84" s="4158"/>
      <c r="IL84" s="4158"/>
      <c r="IM84" s="4158"/>
      <c r="IN84" s="4158"/>
      <c r="IO84" s="2854"/>
      <c r="IP84" s="4158"/>
      <c r="IQ84" s="4159"/>
      <c r="IR84" s="4158"/>
      <c r="IS84" s="4158"/>
      <c r="IT84" s="3987"/>
      <c r="IU84" s="4158"/>
      <c r="IV84" s="4158"/>
      <c r="IW84" s="4158"/>
      <c r="IX84" s="4158"/>
      <c r="IY84" s="4160"/>
      <c r="IZ84" s="4158"/>
      <c r="JA84" s="3814"/>
      <c r="JB84" s="4314"/>
      <c r="JC84" s="4242"/>
      <c r="JD84" s="2854"/>
      <c r="JE84" s="3814"/>
      <c r="JF84" s="3814"/>
      <c r="JG84" s="4161"/>
      <c r="JH84" s="1233"/>
      <c r="JI84" s="1393"/>
      <c r="JJ84" s="1660" t="s">
        <v>6108</v>
      </c>
    </row>
    <row ht="12.75" r="85" spans="1:270" x14ac:dyDescent="0.2">
      <c r="A85" s="1128">
        <v>50</v>
      </c>
      <c r="B85" s="1557" t="str">
        <f si="3" t="shared"/>
        <v/>
      </c>
      <c r="C85" s="1559" t="s">
        <v>33</v>
      </c>
      <c r="D85" s="1350" t="s">
        <v>5666</v>
      </c>
      <c r="E85" s="4158"/>
      <c r="F85" s="4158"/>
      <c r="G85" s="4158"/>
      <c r="H85" s="4158"/>
      <c r="I85" s="4158"/>
      <c r="J85" s="4158"/>
      <c r="K85" s="4158"/>
      <c r="L85" s="4158"/>
      <c r="M85" s="4158"/>
      <c r="N85" s="4158"/>
      <c r="O85" s="4158"/>
      <c r="P85" s="4158"/>
      <c r="Q85" s="4158"/>
      <c r="R85" s="4158"/>
      <c r="S85" s="4158"/>
      <c r="T85" s="4158"/>
      <c r="U85" s="4158"/>
      <c r="V85" s="4158"/>
      <c r="W85" s="4158"/>
      <c r="X85" s="4158"/>
      <c r="Y85" s="4158"/>
      <c r="Z85" s="4158"/>
      <c r="AA85" s="4158"/>
      <c r="AB85" s="4158"/>
      <c r="AC85" s="4158"/>
      <c r="AD85" s="2854"/>
      <c r="AE85" s="2854"/>
      <c r="AF85" s="2854"/>
      <c r="AG85" s="2854"/>
      <c r="AH85" s="2854"/>
      <c r="AI85" s="4158"/>
      <c r="AJ85" s="4158"/>
      <c r="AK85" s="4158"/>
      <c r="AL85" s="4158"/>
      <c r="AM85" s="2854"/>
      <c r="AN85" s="4158"/>
      <c r="AO85" s="4158"/>
      <c r="AP85" s="4158"/>
      <c r="AQ85" s="4158"/>
      <c r="AR85" s="4158"/>
      <c r="AS85" s="4158"/>
      <c r="AT85" s="4158"/>
      <c r="AU85" s="4158"/>
      <c r="AV85" s="4158"/>
      <c r="AW85" s="4158"/>
      <c r="AX85" s="4158"/>
      <c r="AY85" s="4158"/>
      <c r="AZ85" s="4158"/>
      <c r="BA85" s="4158"/>
      <c r="BB85" s="2854"/>
      <c r="BC85" s="2854"/>
      <c r="BD85" s="4158"/>
      <c r="BE85" s="4158"/>
      <c r="BF85" s="4158"/>
      <c r="BG85" s="4158"/>
      <c r="BH85" s="4158"/>
      <c r="BI85" s="4158"/>
      <c r="BJ85" s="4158"/>
      <c r="BK85" s="4158"/>
      <c r="BL85" s="4158"/>
      <c r="BM85" s="4158"/>
      <c r="BN85" s="4158"/>
      <c r="BO85" s="4158"/>
      <c r="BP85" s="4158"/>
      <c r="BQ85" s="4158"/>
      <c r="BR85" s="4158"/>
      <c r="BS85" s="4158"/>
      <c r="BT85" s="4158"/>
      <c r="BU85" s="4158"/>
      <c r="BV85" s="4158"/>
      <c r="BW85" s="4158"/>
      <c r="BX85" s="4158"/>
      <c r="BY85" s="4158"/>
      <c r="BZ85" s="4158"/>
      <c r="CA85" s="4158"/>
      <c r="CB85" s="4158"/>
      <c r="CC85" s="4158"/>
      <c r="CD85" s="4158"/>
      <c r="CE85" s="4158"/>
      <c r="CF85" s="4158"/>
      <c r="CG85" s="4158"/>
      <c r="CH85" s="4158"/>
      <c r="CI85" s="4158"/>
      <c r="CJ85" s="4158"/>
      <c r="CK85" s="4158"/>
      <c r="CL85" s="4158"/>
      <c r="CM85" s="4158"/>
      <c r="CN85" s="4158"/>
      <c r="CO85" s="4158"/>
      <c r="CP85" s="2854"/>
      <c r="CQ85" s="4158"/>
      <c r="CR85" s="4158"/>
      <c r="CS85" s="4158"/>
      <c r="CT85" s="4158"/>
      <c r="CU85" s="4158"/>
      <c r="CV85" s="4158"/>
      <c r="CW85" s="4158"/>
      <c r="CX85" s="4158"/>
      <c r="CY85" s="2854"/>
      <c r="CZ85" s="2862">
        <v>-2725</v>
      </c>
      <c r="DA85" s="2862">
        <v>-2725</v>
      </c>
      <c r="DB85" s="4158"/>
      <c r="DC85" s="4158"/>
      <c r="DD85" s="4158"/>
      <c r="DE85" s="4158"/>
      <c r="DF85" s="4158"/>
      <c r="DG85" s="4158"/>
      <c r="DH85" s="2854"/>
      <c r="DI85" s="4158"/>
      <c r="DJ85" s="2854"/>
      <c r="DK85" s="4158"/>
      <c r="DL85" s="4158"/>
      <c r="DM85" s="2854"/>
      <c r="DN85" s="4158"/>
      <c r="DO85" s="4158"/>
      <c r="DP85" s="4158"/>
      <c r="DQ85" s="4158"/>
      <c r="DR85" s="4158"/>
      <c r="DS85" s="4158"/>
      <c r="DT85" s="4158"/>
      <c r="DU85" s="4158"/>
      <c r="DV85" s="4158"/>
      <c r="DW85" s="4158"/>
      <c r="DX85" s="4158"/>
      <c r="DY85" s="4158"/>
      <c r="DZ85" s="4158"/>
      <c r="EA85" s="4158"/>
      <c r="EB85" s="4158"/>
      <c r="EC85" s="4158"/>
      <c r="ED85" s="4158"/>
      <c r="EE85" s="4158"/>
      <c r="EF85" s="4158"/>
      <c r="EG85" s="4158"/>
      <c r="EH85" s="2854"/>
      <c r="EI85" s="2854"/>
      <c r="EJ85" s="4158"/>
      <c r="EK85" s="4158"/>
      <c r="EL85" s="4158"/>
      <c r="EM85" s="4158"/>
      <c r="EN85" s="4158"/>
      <c r="EO85" s="4158"/>
      <c r="EP85" s="4158"/>
      <c r="EQ85" s="4158"/>
      <c r="ER85" s="4158"/>
      <c r="ES85" s="4158"/>
      <c r="ET85" s="4158"/>
      <c r="EU85" s="4158"/>
      <c r="EV85" s="4158"/>
      <c r="EW85" s="4158"/>
      <c r="EX85" s="4158"/>
      <c r="EY85" s="4158"/>
      <c r="EZ85" s="4158"/>
      <c r="FA85" s="2854"/>
      <c r="FB85" s="4158"/>
      <c r="FC85" s="4158"/>
      <c r="FD85" s="4158"/>
      <c r="FE85" s="4158"/>
      <c r="FF85" s="4158"/>
      <c r="FG85" s="4158"/>
      <c r="FH85" s="4158"/>
      <c r="FI85" s="4158"/>
      <c r="FJ85" s="4158"/>
      <c r="FK85" s="2862">
        <v>-2725</v>
      </c>
      <c r="FL85" s="4158"/>
      <c r="FM85" s="4158"/>
      <c r="FN85" s="4158"/>
      <c r="FO85" s="4158"/>
      <c r="FP85" s="4158"/>
      <c r="FQ85" s="4158"/>
      <c r="FR85" s="4158"/>
      <c r="FS85" s="4158"/>
      <c r="FT85" s="4158"/>
      <c r="FU85" s="4158"/>
      <c r="FV85" s="2854"/>
      <c r="FW85" s="4158"/>
      <c r="FX85" s="4158"/>
      <c r="FY85" s="4158"/>
      <c r="FZ85" s="4158"/>
      <c r="GA85" s="4158"/>
      <c r="GB85" s="4158"/>
      <c r="GC85" s="4158"/>
      <c r="GD85" s="4158"/>
      <c r="GE85" s="4158"/>
      <c r="GF85" s="4158"/>
      <c r="GG85" s="4158"/>
      <c r="GH85" s="4158"/>
      <c r="GI85" s="4158"/>
      <c r="GJ85" s="4158"/>
      <c r="GK85" s="4158"/>
      <c r="GL85" s="4158"/>
      <c r="GM85" s="4158"/>
      <c r="GN85" s="4158"/>
      <c r="GO85" s="4158"/>
      <c r="GP85" s="4158"/>
      <c r="GQ85" s="4158"/>
      <c r="GR85" s="4158"/>
      <c r="GS85" s="4158"/>
      <c r="GT85" s="4158"/>
      <c r="GU85" s="4158"/>
      <c r="GV85" s="4158"/>
      <c r="GW85" s="2854"/>
      <c r="GX85" s="4158"/>
      <c r="GY85" s="2854"/>
      <c r="GZ85" s="4158"/>
      <c r="HA85" s="4158"/>
      <c r="HB85" s="4158"/>
      <c r="HC85" s="4158"/>
      <c r="HD85" s="4158"/>
      <c r="HE85" s="2854"/>
      <c r="HF85" s="4158"/>
      <c r="HG85" s="4158"/>
      <c r="HH85" s="4158"/>
      <c r="HI85" s="4158"/>
      <c r="HJ85" s="4158"/>
      <c r="HK85" s="4158"/>
      <c r="HL85" s="4158"/>
      <c r="HM85" s="4158"/>
      <c r="HN85" s="4158"/>
      <c r="HO85" s="4158"/>
      <c r="HP85" s="4158"/>
      <c r="HQ85" s="4158"/>
      <c r="HR85" s="4158"/>
      <c r="HS85" s="4158"/>
      <c r="HT85" s="4158"/>
      <c r="HU85" s="4158"/>
      <c r="HV85" s="4158"/>
      <c r="HW85" s="4158"/>
      <c r="HX85" s="4158"/>
      <c r="HY85" s="4158"/>
      <c r="HZ85" s="4158"/>
      <c r="IA85" s="4158"/>
      <c r="IB85" s="4158"/>
      <c r="IC85" s="4158"/>
      <c r="ID85" s="4158"/>
      <c r="IE85" s="4158"/>
      <c r="IF85" s="4158"/>
      <c r="IG85" s="4158"/>
      <c r="IH85" s="4158"/>
      <c r="II85" s="4158"/>
      <c r="IJ85" s="4158"/>
      <c r="IK85" s="4158"/>
      <c r="IL85" s="4158"/>
      <c r="IM85" s="4158"/>
      <c r="IN85" s="4158"/>
      <c r="IO85" s="2854"/>
      <c r="IP85" s="4158"/>
      <c r="IQ85" s="4159"/>
      <c r="IR85" s="4158"/>
      <c r="IS85" s="4158"/>
      <c r="IT85" s="3987"/>
      <c r="IU85" s="4158"/>
      <c r="IV85" s="4158"/>
      <c r="IW85" s="4158"/>
      <c r="IX85" s="4158"/>
      <c r="IY85" s="4160"/>
      <c r="IZ85" s="4158"/>
      <c r="JA85" s="3814"/>
      <c r="JB85" s="4314"/>
      <c r="JC85" s="4242"/>
      <c r="JD85" s="2854"/>
      <c r="JE85" s="3814"/>
      <c r="JF85" s="3814"/>
      <c r="JG85" s="4161"/>
      <c r="JH85" s="1233"/>
      <c r="JI85" s="1393"/>
      <c r="JJ85" s="1660" t="s">
        <v>6110</v>
      </c>
    </row>
    <row ht="22.5" r="86" spans="1:270" x14ac:dyDescent="0.2">
      <c r="A86" s="1128">
        <v>51</v>
      </c>
      <c r="B86" s="1557" t="str">
        <f si="3" t="shared"/>
        <v/>
      </c>
      <c r="C86" s="1559" t="s">
        <v>34</v>
      </c>
      <c r="D86" s="1350" t="s">
        <v>5667</v>
      </c>
      <c r="E86" s="2847"/>
      <c r="F86" s="2847"/>
      <c r="G86" s="2847"/>
      <c r="H86" s="2847"/>
      <c r="I86" s="2847"/>
      <c r="J86" s="2847"/>
      <c r="K86" s="2847"/>
      <c r="L86" s="2847"/>
      <c r="M86" s="2847"/>
      <c r="N86" s="2847"/>
      <c r="O86" s="2847"/>
      <c r="P86" s="2847"/>
      <c r="Q86" s="2847"/>
      <c r="R86" s="2847"/>
      <c r="S86" s="2847"/>
      <c r="T86" s="2847"/>
      <c r="U86" s="2847"/>
      <c r="V86" s="2847"/>
      <c r="W86" s="2847"/>
      <c r="X86" s="2847"/>
      <c r="Y86" s="2847"/>
      <c r="Z86" s="2847"/>
      <c r="AA86" s="2847"/>
      <c r="AB86" s="2847"/>
      <c r="AC86" s="2847"/>
      <c r="AD86" s="2847"/>
      <c r="AE86" s="2847"/>
      <c r="AF86" s="2847"/>
      <c r="AG86" s="2847"/>
      <c r="AH86" s="2847"/>
      <c r="AI86" s="2847"/>
      <c r="AJ86" s="2847"/>
      <c r="AK86" s="2847"/>
      <c r="AL86" s="2847"/>
      <c r="AM86" s="2847"/>
      <c r="AN86" s="2847"/>
      <c r="AO86" s="2847"/>
      <c r="AP86" s="2847"/>
      <c r="AQ86" s="2847"/>
      <c r="AR86" s="2847"/>
      <c r="AS86" s="2847"/>
      <c r="AT86" s="2847"/>
      <c r="AU86" s="2847"/>
      <c r="AV86" s="2847"/>
      <c r="AW86" s="2847"/>
      <c r="AX86" s="2847"/>
      <c r="AY86" s="2847"/>
      <c r="AZ86" s="2847"/>
      <c r="BA86" s="2847"/>
      <c r="BB86" s="2847"/>
      <c r="BC86" s="2847"/>
      <c r="BD86" s="2847"/>
      <c r="BE86" s="2847"/>
      <c r="BF86" s="2847"/>
      <c r="BG86" s="2847"/>
      <c r="BH86" s="2847"/>
      <c r="BI86" s="2847"/>
      <c r="BJ86" s="2847"/>
      <c r="BK86" s="2847"/>
      <c r="BL86" s="2847"/>
      <c r="BM86" s="2847"/>
      <c r="BN86" s="2847"/>
      <c r="BO86" s="2847"/>
      <c r="BP86" s="2847"/>
      <c r="BQ86" s="2847"/>
      <c r="BR86" s="2847"/>
      <c r="BS86" s="2847"/>
      <c r="BT86" s="2847"/>
      <c r="BU86" s="2847"/>
      <c r="BV86" s="2847"/>
      <c r="BW86" s="2847"/>
      <c r="BX86" s="2847"/>
      <c r="BY86" s="2847"/>
      <c r="BZ86" s="2847"/>
      <c r="CA86" s="2847"/>
      <c r="CB86" s="2847"/>
      <c r="CC86" s="2847"/>
      <c r="CD86" s="2847"/>
      <c r="CE86" s="2847"/>
      <c r="CF86" s="2847"/>
      <c r="CG86" s="2847"/>
      <c r="CH86" s="2847"/>
      <c r="CI86" s="2847"/>
      <c r="CJ86" s="2847"/>
      <c r="CK86" s="2847"/>
      <c r="CL86" s="2847"/>
      <c r="CM86" s="2847"/>
      <c r="CN86" s="2847"/>
      <c r="CO86" s="2847"/>
      <c r="CP86" s="2847"/>
      <c r="CQ86" s="2847"/>
      <c r="CR86" s="2847"/>
      <c r="CS86" s="2847"/>
      <c r="CT86" s="2847"/>
      <c r="CU86" s="2847"/>
      <c r="CV86" s="2847"/>
      <c r="CW86" s="2847"/>
      <c r="CX86" s="2847"/>
      <c r="CY86" s="2847">
        <v>9225</v>
      </c>
      <c r="CZ86" s="2847">
        <v>1122</v>
      </c>
      <c r="DA86" s="2847">
        <v>1122</v>
      </c>
      <c r="DB86" s="2847"/>
      <c r="DC86" s="2847"/>
      <c r="DD86" s="2847"/>
      <c r="DE86" s="2847"/>
      <c r="DF86" s="2847"/>
      <c r="DG86" s="2847"/>
      <c r="DH86" s="2847"/>
      <c r="DI86" s="2847"/>
      <c r="DJ86" s="2847">
        <v>9225</v>
      </c>
      <c r="DK86" s="2847"/>
      <c r="DL86" s="2847"/>
      <c r="DM86" s="2847">
        <v>9225</v>
      </c>
      <c r="DN86" s="2847"/>
      <c r="DO86" s="2847"/>
      <c r="DP86" s="2847"/>
      <c r="DQ86" s="2847"/>
      <c r="DR86" s="2847"/>
      <c r="DS86" s="2847"/>
      <c r="DT86" s="2847"/>
      <c r="DU86" s="2847"/>
      <c r="DV86" s="2847"/>
      <c r="DW86" s="2847"/>
      <c r="DX86" s="2847"/>
      <c r="DY86" s="2847"/>
      <c r="DZ86" s="2847"/>
      <c r="EA86" s="2847"/>
      <c r="EB86" s="2847"/>
      <c r="EC86" s="2847"/>
      <c r="ED86" s="2847"/>
      <c r="EE86" s="2847"/>
      <c r="EF86" s="2847"/>
      <c r="EG86" s="2847"/>
      <c r="EH86" s="2847"/>
      <c r="EI86" s="2847">
        <v>20</v>
      </c>
      <c r="EJ86" s="2847"/>
      <c r="EK86" s="2847"/>
      <c r="EL86" s="2847"/>
      <c r="EM86" s="2847"/>
      <c r="EN86" s="2847"/>
      <c r="EO86" s="2847"/>
      <c r="EP86" s="2847"/>
      <c r="EQ86" s="2847"/>
      <c r="ER86" s="2847"/>
      <c r="ES86" s="2847"/>
      <c r="ET86" s="2847"/>
      <c r="EU86" s="2847"/>
      <c r="EV86" s="2847"/>
      <c r="EW86" s="2847"/>
      <c r="EX86" s="2847"/>
      <c r="EY86" s="2847"/>
      <c r="EZ86" s="2847"/>
      <c r="FA86" s="2847">
        <v>9225</v>
      </c>
      <c r="FB86" s="2847"/>
      <c r="FC86" s="2847"/>
      <c r="FD86" s="2847"/>
      <c r="FE86" s="2847"/>
      <c r="FF86" s="2847"/>
      <c r="FG86" s="2847"/>
      <c r="FH86" s="2847"/>
      <c r="FI86" s="2847"/>
      <c r="FJ86" s="2847"/>
      <c r="FK86" s="2847">
        <v>1122</v>
      </c>
      <c r="FL86" s="2847"/>
      <c r="FM86" s="2847"/>
      <c r="FN86" s="2847"/>
      <c r="FO86" s="2847"/>
      <c r="FP86" s="2847"/>
      <c r="FQ86" s="2847"/>
      <c r="FR86" s="2847"/>
      <c r="FS86" s="2847"/>
      <c r="FT86" s="2847"/>
      <c r="FU86" s="2847"/>
      <c r="FV86" s="2847"/>
      <c r="FW86" s="2847"/>
      <c r="FX86" s="2847"/>
      <c r="FY86" s="2847"/>
      <c r="FZ86" s="2847"/>
      <c r="GA86" s="2847"/>
      <c r="GB86" s="2847"/>
      <c r="GC86" s="2847"/>
      <c r="GD86" s="2847"/>
      <c r="GE86" s="2847"/>
      <c r="GF86" s="2847"/>
      <c r="GG86" s="2847"/>
      <c r="GH86" s="2847"/>
      <c r="GI86" s="2847"/>
      <c r="GJ86" s="2847"/>
      <c r="GK86" s="2847"/>
      <c r="GL86" s="2847"/>
      <c r="GM86" s="2847"/>
      <c r="GN86" s="2847"/>
      <c r="GO86" s="2847"/>
      <c r="GP86" s="2847"/>
      <c r="GQ86" s="2847"/>
      <c r="GR86" s="2847"/>
      <c r="GS86" s="2847"/>
      <c r="GT86" s="2847"/>
      <c r="GU86" s="2847"/>
      <c r="GV86" s="2847"/>
      <c r="GW86" s="2847"/>
      <c r="GX86" s="2847"/>
      <c r="GY86" s="2847">
        <v>20</v>
      </c>
      <c r="GZ86" s="2847"/>
      <c r="HA86" s="2847"/>
      <c r="HB86" s="2847"/>
      <c r="HC86" s="2847"/>
      <c r="HD86" s="2847"/>
      <c r="HE86" s="2847"/>
      <c r="HF86" s="2847"/>
      <c r="HG86" s="2847"/>
      <c r="HH86" s="2847"/>
      <c r="HI86" s="2847"/>
      <c r="HJ86" s="2847"/>
      <c r="HK86" s="2847"/>
      <c r="HL86" s="2847"/>
      <c r="HM86" s="2847"/>
      <c r="HN86" s="2847"/>
      <c r="HO86" s="2847"/>
      <c r="HP86" s="2847"/>
      <c r="HQ86" s="2847"/>
      <c r="HR86" s="2847"/>
      <c r="HS86" s="2847"/>
      <c r="HT86" s="2847"/>
      <c r="HU86" s="2847"/>
      <c r="HV86" s="2847"/>
      <c r="HW86" s="2847"/>
      <c r="HX86" s="2847"/>
      <c r="HY86" s="2847"/>
      <c r="HZ86" s="2847"/>
      <c r="IA86" s="2847"/>
      <c r="IB86" s="2847"/>
      <c r="IC86" s="2847"/>
      <c r="ID86" s="2847"/>
      <c r="IE86" s="2847"/>
      <c r="IF86" s="2847"/>
      <c r="IG86" s="2847"/>
      <c r="IH86" s="2847"/>
      <c r="II86" s="2847"/>
      <c r="IJ86" s="2847"/>
      <c r="IK86" s="2847"/>
      <c r="IL86" s="2847"/>
      <c r="IM86" s="2847"/>
      <c r="IN86" s="2847"/>
      <c r="IO86" s="2847"/>
      <c r="IP86" s="2847"/>
      <c r="IQ86" s="3841"/>
      <c r="IR86" s="2847"/>
      <c r="IS86" s="2847"/>
      <c r="IT86" s="3987"/>
      <c r="IU86" s="2847"/>
      <c r="IV86" s="2847"/>
      <c r="IW86" s="2847"/>
      <c r="IX86" s="2847"/>
      <c r="IY86" s="4162"/>
      <c r="IZ86" s="2847"/>
      <c r="JA86" s="3815"/>
      <c r="JB86" s="4162"/>
      <c r="JC86" s="4243"/>
      <c r="JD86" s="2847"/>
      <c r="JE86" s="3815"/>
      <c r="JF86" s="3815"/>
      <c r="JG86" s="4163"/>
      <c r="JH86" s="1233"/>
      <c r="JI86" s="1393" t="s">
        <v>5637</v>
      </c>
      <c r="JJ86" s="1660" t="s">
        <v>6129</v>
      </c>
    </row>
    <row ht="22.5" r="87" spans="1:270" x14ac:dyDescent="0.2">
      <c r="A87" s="1128">
        <v>52</v>
      </c>
      <c r="B87" s="1557" t="str">
        <f si="3" t="shared"/>
        <v/>
      </c>
      <c r="C87" s="1559" t="s">
        <v>35</v>
      </c>
      <c r="D87" s="1350" t="s">
        <v>5668</v>
      </c>
      <c r="E87" s="4173"/>
      <c r="F87" s="4173"/>
      <c r="G87" s="4173"/>
      <c r="H87" s="4173"/>
      <c r="I87" s="4173"/>
      <c r="J87" s="4173"/>
      <c r="K87" s="4173"/>
      <c r="L87" s="4173"/>
      <c r="M87" s="4173"/>
      <c r="N87" s="4173"/>
      <c r="O87" s="4173"/>
      <c r="P87" s="4173"/>
      <c r="Q87" s="4173"/>
      <c r="R87" s="4173"/>
      <c r="S87" s="4173"/>
      <c r="T87" s="4173"/>
      <c r="U87" s="4173"/>
      <c r="V87" s="4173"/>
      <c r="W87" s="4173"/>
      <c r="X87" s="4173"/>
      <c r="Y87" s="4173"/>
      <c r="Z87" s="4173"/>
      <c r="AA87" s="4173"/>
      <c r="AB87" s="4173"/>
      <c r="AC87" s="4173"/>
      <c r="AD87" s="2868"/>
      <c r="AE87" s="2868"/>
      <c r="AF87" s="2868"/>
      <c r="AG87" s="2868"/>
      <c r="AH87" s="2868"/>
      <c r="AI87" s="4173"/>
      <c r="AJ87" s="4173"/>
      <c r="AK87" s="4173"/>
      <c r="AL87" s="4173"/>
      <c r="AM87" s="2868"/>
      <c r="AN87" s="4173"/>
      <c r="AO87" s="4173"/>
      <c r="AP87" s="4173"/>
      <c r="AQ87" s="4173"/>
      <c r="AR87" s="4173"/>
      <c r="AS87" s="4173"/>
      <c r="AT87" s="4173"/>
      <c r="AU87" s="4173"/>
      <c r="AV87" s="4173"/>
      <c r="AW87" s="4173"/>
      <c r="AX87" s="4173"/>
      <c r="AY87" s="4173"/>
      <c r="AZ87" s="4173"/>
      <c r="BA87" s="4173"/>
      <c r="BB87" s="2868"/>
      <c r="BC87" s="2868"/>
      <c r="BD87" s="4173"/>
      <c r="BE87" s="4173"/>
      <c r="BF87" s="4173"/>
      <c r="BG87" s="4173"/>
      <c r="BH87" s="4173"/>
      <c r="BI87" s="4173"/>
      <c r="BJ87" s="4173"/>
      <c r="BK87" s="4173"/>
      <c r="BL87" s="4173"/>
      <c r="BM87" s="4173"/>
      <c r="BN87" s="4173"/>
      <c r="BO87" s="4173"/>
      <c r="BP87" s="4173"/>
      <c r="BQ87" s="4173"/>
      <c r="BR87" s="4173"/>
      <c r="BS87" s="4173"/>
      <c r="BT87" s="4173"/>
      <c r="BU87" s="4173"/>
      <c r="BV87" s="4173"/>
      <c r="BW87" s="4173"/>
      <c r="BX87" s="4173"/>
      <c r="BY87" s="4173"/>
      <c r="BZ87" s="4173"/>
      <c r="CA87" s="4173"/>
      <c r="CB87" s="4173"/>
      <c r="CC87" s="4173"/>
      <c r="CD87" s="4173"/>
      <c r="CE87" s="4173"/>
      <c r="CF87" s="4173"/>
      <c r="CG87" s="4173"/>
      <c r="CH87" s="4173"/>
      <c r="CI87" s="4173"/>
      <c r="CJ87" s="4173"/>
      <c r="CK87" s="4173"/>
      <c r="CL87" s="4173"/>
      <c r="CM87" s="4173"/>
      <c r="CN87" s="4173"/>
      <c r="CO87" s="4173"/>
      <c r="CP87" s="2868"/>
      <c r="CQ87" s="4173"/>
      <c r="CR87" s="4173"/>
      <c r="CS87" s="4173"/>
      <c r="CT87" s="4173"/>
      <c r="CU87" s="4173"/>
      <c r="CV87" s="4173"/>
      <c r="CW87" s="4173"/>
      <c r="CX87" s="4173"/>
      <c r="CY87" s="2855">
        <f>MAX(0,CY84+CY85-CY86)</f>
        <v>7345</v>
      </c>
      <c r="CZ87" s="2855">
        <f>MAX(0,CZ84+CZ85-CZ86)</f>
        <v>9778</v>
      </c>
      <c r="DA87" s="2855">
        <f>MAX(0,DA84+DA85-DA86)</f>
        <v>9778</v>
      </c>
      <c r="DB87" s="4173"/>
      <c r="DC87" s="4173"/>
      <c r="DD87" s="4173"/>
      <c r="DE87" s="4173"/>
      <c r="DF87" s="4173"/>
      <c r="DG87" s="4173"/>
      <c r="DH87" s="2868"/>
      <c r="DI87" s="4173"/>
      <c r="DJ87" s="2855">
        <f>MAX(0,DJ84+DJ85-DJ86)</f>
        <v>7345</v>
      </c>
      <c r="DK87" s="4173"/>
      <c r="DL87" s="4173"/>
      <c r="DM87" s="2855">
        <f>MAX(0,DM84+DM85-DM86)</f>
        <v>7345</v>
      </c>
      <c r="DN87" s="4173"/>
      <c r="DO87" s="4173"/>
      <c r="DP87" s="4173"/>
      <c r="DQ87" s="4173"/>
      <c r="DR87" s="4173"/>
      <c r="DS87" s="4173"/>
      <c r="DT87" s="4173"/>
      <c r="DU87" s="4173"/>
      <c r="DV87" s="4173"/>
      <c r="DW87" s="4173"/>
      <c r="DX87" s="4173"/>
      <c r="DY87" s="4173"/>
      <c r="DZ87" s="4173"/>
      <c r="EA87" s="4173"/>
      <c r="EB87" s="4173"/>
      <c r="EC87" s="4173"/>
      <c r="ED87" s="4173"/>
      <c r="EE87" s="4173"/>
      <c r="EF87" s="4173"/>
      <c r="EG87" s="4173"/>
      <c r="EH87" s="2868"/>
      <c r="EI87" s="2855">
        <f>MAX(0,EI84+EI85-EI86)</f>
        <v>1569</v>
      </c>
      <c r="EJ87" s="4173"/>
      <c r="EK87" s="4173"/>
      <c r="EL87" s="4173"/>
      <c r="EM87" s="4173"/>
      <c r="EN87" s="4173"/>
      <c r="EO87" s="4173"/>
      <c r="EP87" s="4173"/>
      <c r="EQ87" s="4173"/>
      <c r="ER87" s="4173"/>
      <c r="ES87" s="4173"/>
      <c r="ET87" s="4173"/>
      <c r="EU87" s="4173"/>
      <c r="EV87" s="4173"/>
      <c r="EW87" s="4173"/>
      <c r="EX87" s="4173"/>
      <c r="EY87" s="4173"/>
      <c r="EZ87" s="4173"/>
      <c r="FA87" s="2855">
        <f>MAX(0,FA84+FA85-FA86)</f>
        <v>7345</v>
      </c>
      <c r="FB87" s="4173"/>
      <c r="FC87" s="4173"/>
      <c r="FD87" s="4173"/>
      <c r="FE87" s="4173"/>
      <c r="FF87" s="4173"/>
      <c r="FG87" s="4173"/>
      <c r="FH87" s="4173"/>
      <c r="FI87" s="4173"/>
      <c r="FJ87" s="4173"/>
      <c r="FK87" s="2855">
        <f>MAX(0,FK84+FK85-FK86)</f>
        <v>9778</v>
      </c>
      <c r="FL87" s="4173"/>
      <c r="FM87" s="4173"/>
      <c r="FN87" s="4173"/>
      <c r="FO87" s="4173"/>
      <c r="FP87" s="4173"/>
      <c r="FQ87" s="4173"/>
      <c r="FR87" s="4173"/>
      <c r="FS87" s="4173"/>
      <c r="FT87" s="4173"/>
      <c r="FU87" s="4173"/>
      <c r="FV87" s="2868"/>
      <c r="FW87" s="4173"/>
      <c r="FX87" s="4173"/>
      <c r="FY87" s="4173"/>
      <c r="FZ87" s="4173"/>
      <c r="GA87" s="4173"/>
      <c r="GB87" s="4173"/>
      <c r="GC87" s="4173"/>
      <c r="GD87" s="4173"/>
      <c r="GE87" s="4173"/>
      <c r="GF87" s="4173"/>
      <c r="GG87" s="4173"/>
      <c r="GH87" s="4173"/>
      <c r="GI87" s="4173"/>
      <c r="GJ87" s="4173"/>
      <c r="GK87" s="4173"/>
      <c r="GL87" s="4173"/>
      <c r="GM87" s="4173"/>
      <c r="GN87" s="4173"/>
      <c r="GO87" s="4173"/>
      <c r="GP87" s="4173"/>
      <c r="GQ87" s="4173"/>
      <c r="GR87" s="4173"/>
      <c r="GS87" s="4173"/>
      <c r="GT87" s="4173"/>
      <c r="GU87" s="4173"/>
      <c r="GV87" s="4173"/>
      <c r="GW87" s="2868"/>
      <c r="GX87" s="4173"/>
      <c r="GY87" s="2855">
        <f>MAX(0,GY84+GY85-GY86)</f>
        <v>1569</v>
      </c>
      <c r="GZ87" s="4173"/>
      <c r="HA87" s="4173"/>
      <c r="HB87" s="4173"/>
      <c r="HC87" s="4173"/>
      <c r="HD87" s="4173"/>
      <c r="HE87" s="2868"/>
      <c r="HF87" s="4173"/>
      <c r="HG87" s="4173"/>
      <c r="HH87" s="4173"/>
      <c r="HI87" s="4173"/>
      <c r="HJ87" s="4173"/>
      <c r="HK87" s="4173"/>
      <c r="HL87" s="4173"/>
      <c r="HM87" s="4173"/>
      <c r="HN87" s="4173"/>
      <c r="HO87" s="4173"/>
      <c r="HP87" s="4173"/>
      <c r="HQ87" s="4173"/>
      <c r="HR87" s="4173"/>
      <c r="HS87" s="4173"/>
      <c r="HT87" s="4173"/>
      <c r="HU87" s="4173"/>
      <c r="HV87" s="4173"/>
      <c r="HW87" s="4173"/>
      <c r="HX87" s="4173"/>
      <c r="HY87" s="4173"/>
      <c r="HZ87" s="4173"/>
      <c r="IA87" s="4173"/>
      <c r="IB87" s="4173"/>
      <c r="IC87" s="4173"/>
      <c r="ID87" s="4173"/>
      <c r="IE87" s="4173"/>
      <c r="IF87" s="4173"/>
      <c r="IG87" s="4173"/>
      <c r="IH87" s="4173"/>
      <c r="II87" s="4173"/>
      <c r="IJ87" s="4173"/>
      <c r="IK87" s="4173"/>
      <c r="IL87" s="4173"/>
      <c r="IM87" s="4173"/>
      <c r="IN87" s="4173"/>
      <c r="IO87" s="2868"/>
      <c r="IP87" s="4173"/>
      <c r="IQ87" s="4174"/>
      <c r="IR87" s="4173"/>
      <c r="IS87" s="4173"/>
      <c r="IT87" s="3987"/>
      <c r="IU87" s="4173"/>
      <c r="IV87" s="4173"/>
      <c r="IW87" s="4173"/>
      <c r="IX87" s="4173"/>
      <c r="IY87" s="4165"/>
      <c r="IZ87" s="4173"/>
      <c r="JA87" s="3820"/>
      <c r="JB87" s="4315"/>
      <c r="JC87" s="4244"/>
      <c r="JD87" s="2868"/>
      <c r="JE87" s="3820"/>
      <c r="JF87" s="3820"/>
      <c r="JG87" s="4175"/>
      <c r="JH87" s="1233"/>
      <c r="JI87" s="1393" t="s">
        <v>5638</v>
      </c>
      <c r="JJ87" s="1660" t="s">
        <v>6124</v>
      </c>
    </row>
    <row ht="12.75" r="88" spans="1:270" x14ac:dyDescent="0.2">
      <c r="A88" s="1128">
        <v>53</v>
      </c>
      <c r="B88" s="1557" t="str">
        <f si="3" t="shared"/>
        <v/>
      </c>
      <c r="C88" s="1559" t="s">
        <v>2583</v>
      </c>
      <c r="D88" s="1350" t="s">
        <v>5669</v>
      </c>
      <c r="E88" s="4158"/>
      <c r="F88" s="4158"/>
      <c r="G88" s="4158"/>
      <c r="H88" s="4158"/>
      <c r="I88" s="4158"/>
      <c r="J88" s="4158"/>
      <c r="K88" s="4158"/>
      <c r="L88" s="4158"/>
      <c r="M88" s="4158"/>
      <c r="N88" s="4158"/>
      <c r="O88" s="4158"/>
      <c r="P88" s="4158"/>
      <c r="Q88" s="4158"/>
      <c r="R88" s="4158"/>
      <c r="S88" s="4158"/>
      <c r="T88" s="4158"/>
      <c r="U88" s="4158"/>
      <c r="V88" s="4158"/>
      <c r="W88" s="4158"/>
      <c r="X88" s="4158"/>
      <c r="Y88" s="4158"/>
      <c r="Z88" s="4158"/>
      <c r="AA88" s="4158"/>
      <c r="AB88" s="4158"/>
      <c r="AC88" s="4158"/>
      <c r="AD88" s="2854"/>
      <c r="AE88" s="2854"/>
      <c r="AF88" s="2854"/>
      <c r="AG88" s="2854"/>
      <c r="AH88" s="2854"/>
      <c r="AI88" s="4158"/>
      <c r="AJ88" s="4158"/>
      <c r="AK88" s="4158"/>
      <c r="AL88" s="4158"/>
      <c r="AM88" s="2854"/>
      <c r="AN88" s="4158"/>
      <c r="AO88" s="4158"/>
      <c r="AP88" s="4158"/>
      <c r="AQ88" s="4158"/>
      <c r="AR88" s="4158"/>
      <c r="AS88" s="4158"/>
      <c r="AT88" s="4158"/>
      <c r="AU88" s="4158"/>
      <c r="AV88" s="4158"/>
      <c r="AW88" s="4158"/>
      <c r="AX88" s="4158"/>
      <c r="AY88" s="4158"/>
      <c r="AZ88" s="4158"/>
      <c r="BA88" s="4158"/>
      <c r="BB88" s="2854"/>
      <c r="BC88" s="2854"/>
      <c r="BD88" s="4158"/>
      <c r="BE88" s="4158"/>
      <c r="BF88" s="4158"/>
      <c r="BG88" s="4158"/>
      <c r="BH88" s="4158"/>
      <c r="BI88" s="4158"/>
      <c r="BJ88" s="4158"/>
      <c r="BK88" s="4158"/>
      <c r="BL88" s="4158"/>
      <c r="BM88" s="4158"/>
      <c r="BN88" s="4158"/>
      <c r="BO88" s="4158"/>
      <c r="BP88" s="4158"/>
      <c r="BQ88" s="4158"/>
      <c r="BR88" s="4158"/>
      <c r="BS88" s="4158"/>
      <c r="BT88" s="4158"/>
      <c r="BU88" s="4158"/>
      <c r="BV88" s="4158"/>
      <c r="BW88" s="4158"/>
      <c r="BX88" s="4158"/>
      <c r="BY88" s="4158"/>
      <c r="BZ88" s="4158"/>
      <c r="CA88" s="4158"/>
      <c r="CB88" s="4158"/>
      <c r="CC88" s="4158"/>
      <c r="CD88" s="4158"/>
      <c r="CE88" s="4158"/>
      <c r="CF88" s="4158"/>
      <c r="CG88" s="4158"/>
      <c r="CH88" s="4158"/>
      <c r="CI88" s="4158"/>
      <c r="CJ88" s="4158"/>
      <c r="CK88" s="4158"/>
      <c r="CL88" s="4158"/>
      <c r="CM88" s="4158"/>
      <c r="CN88" s="4158"/>
      <c r="CO88" s="4158"/>
      <c r="CP88" s="2854"/>
      <c r="CQ88" s="4158"/>
      <c r="CR88" s="4158"/>
      <c r="CS88" s="4158"/>
      <c r="CT88" s="4158"/>
      <c r="CU88" s="4158"/>
      <c r="CV88" s="4158"/>
      <c r="CW88" s="4158"/>
      <c r="CX88" s="4158"/>
      <c r="CY88" s="2854"/>
      <c r="CZ88" s="2854"/>
      <c r="DA88" s="2854"/>
      <c r="DB88" s="4158"/>
      <c r="DC88" s="4158"/>
      <c r="DD88" s="4158"/>
      <c r="DE88" s="4158"/>
      <c r="DF88" s="4158"/>
      <c r="DG88" s="4158"/>
      <c r="DH88" s="2854"/>
      <c r="DI88" s="4158"/>
      <c r="DJ88" s="2854"/>
      <c r="DK88" s="4158"/>
      <c r="DL88" s="4158"/>
      <c r="DM88" s="2854"/>
      <c r="DN88" s="4158"/>
      <c r="DO88" s="4158"/>
      <c r="DP88" s="4158"/>
      <c r="DQ88" s="4158"/>
      <c r="DR88" s="4158"/>
      <c r="DS88" s="4158"/>
      <c r="DT88" s="4158"/>
      <c r="DU88" s="4158"/>
      <c r="DV88" s="4158"/>
      <c r="DW88" s="4158"/>
      <c r="DX88" s="4158"/>
      <c r="DY88" s="4158"/>
      <c r="DZ88" s="4158"/>
      <c r="EA88" s="4158"/>
      <c r="EB88" s="4158"/>
      <c r="EC88" s="4158"/>
      <c r="ED88" s="4158"/>
      <c r="EE88" s="4158"/>
      <c r="EF88" s="4158"/>
      <c r="EG88" s="4158"/>
      <c r="EH88" s="2854"/>
      <c r="EI88" s="2854"/>
      <c r="EJ88" s="4158"/>
      <c r="EK88" s="4158"/>
      <c r="EL88" s="4158"/>
      <c r="EM88" s="4158"/>
      <c r="EN88" s="4158"/>
      <c r="EO88" s="4158"/>
      <c r="EP88" s="4158"/>
      <c r="EQ88" s="4158"/>
      <c r="ER88" s="4158"/>
      <c r="ES88" s="4158"/>
      <c r="ET88" s="4158"/>
      <c r="EU88" s="4158"/>
      <c r="EV88" s="4158"/>
      <c r="EW88" s="4158"/>
      <c r="EX88" s="4158"/>
      <c r="EY88" s="4158"/>
      <c r="EZ88" s="4158"/>
      <c r="FA88" s="2854"/>
      <c r="FB88" s="4158"/>
      <c r="FC88" s="4158"/>
      <c r="FD88" s="4158"/>
      <c r="FE88" s="4158"/>
      <c r="FF88" s="4158"/>
      <c r="FG88" s="4158"/>
      <c r="FH88" s="4158"/>
      <c r="FI88" s="4158"/>
      <c r="FJ88" s="4158"/>
      <c r="FK88" s="2854"/>
      <c r="FL88" s="4158"/>
      <c r="FM88" s="4158"/>
      <c r="FN88" s="4158"/>
      <c r="FO88" s="4158"/>
      <c r="FP88" s="4158"/>
      <c r="FQ88" s="4158"/>
      <c r="FR88" s="4158"/>
      <c r="FS88" s="4158"/>
      <c r="FT88" s="4158"/>
      <c r="FU88" s="4158"/>
      <c r="FV88" s="2854"/>
      <c r="FW88" s="4158"/>
      <c r="FX88" s="4158"/>
      <c r="FY88" s="4158"/>
      <c r="FZ88" s="4158"/>
      <c r="GA88" s="4158"/>
      <c r="GB88" s="4158"/>
      <c r="GC88" s="4158"/>
      <c r="GD88" s="4158"/>
      <c r="GE88" s="4158"/>
      <c r="GF88" s="4158"/>
      <c r="GG88" s="4158"/>
      <c r="GH88" s="4158"/>
      <c r="GI88" s="4158"/>
      <c r="GJ88" s="4158"/>
      <c r="GK88" s="4158"/>
      <c r="GL88" s="4158"/>
      <c r="GM88" s="4158"/>
      <c r="GN88" s="4158"/>
      <c r="GO88" s="4158"/>
      <c r="GP88" s="4158"/>
      <c r="GQ88" s="4158"/>
      <c r="GR88" s="4158"/>
      <c r="GS88" s="4158"/>
      <c r="GT88" s="4158"/>
      <c r="GU88" s="4158"/>
      <c r="GV88" s="4158"/>
      <c r="GW88" s="2854"/>
      <c r="GX88" s="4158"/>
      <c r="GY88" s="2854"/>
      <c r="GZ88" s="4158"/>
      <c r="HA88" s="4158"/>
      <c r="HB88" s="4158"/>
      <c r="HC88" s="4158"/>
      <c r="HD88" s="4158"/>
      <c r="HE88" s="2854"/>
      <c r="HF88" s="4158"/>
      <c r="HG88" s="4158"/>
      <c r="HH88" s="4158"/>
      <c r="HI88" s="4158"/>
      <c r="HJ88" s="4158"/>
      <c r="HK88" s="4158"/>
      <c r="HL88" s="4158"/>
      <c r="HM88" s="4158"/>
      <c r="HN88" s="4158"/>
      <c r="HO88" s="4158"/>
      <c r="HP88" s="4158"/>
      <c r="HQ88" s="4158"/>
      <c r="HR88" s="4158"/>
      <c r="HS88" s="4158"/>
      <c r="HT88" s="4158"/>
      <c r="HU88" s="4158"/>
      <c r="HV88" s="4158"/>
      <c r="HW88" s="4158"/>
      <c r="HX88" s="4158"/>
      <c r="HY88" s="4158"/>
      <c r="HZ88" s="4158"/>
      <c r="IA88" s="4158"/>
      <c r="IB88" s="4158"/>
      <c r="IC88" s="4158"/>
      <c r="ID88" s="4158"/>
      <c r="IE88" s="4158"/>
      <c r="IF88" s="4158"/>
      <c r="IG88" s="4158"/>
      <c r="IH88" s="4158"/>
      <c r="II88" s="4158"/>
      <c r="IJ88" s="4158"/>
      <c r="IK88" s="4158"/>
      <c r="IL88" s="4158"/>
      <c r="IM88" s="4158"/>
      <c r="IN88" s="4158"/>
      <c r="IO88" s="2854"/>
      <c r="IP88" s="4158"/>
      <c r="IQ88" s="4159"/>
      <c r="IR88" s="4158"/>
      <c r="IS88" s="4158"/>
      <c r="IT88" s="3987"/>
      <c r="IU88" s="4158"/>
      <c r="IV88" s="4158"/>
      <c r="IW88" s="4158"/>
      <c r="IX88" s="4158"/>
      <c r="IY88" s="4160"/>
      <c r="IZ88" s="4158"/>
      <c r="JA88" s="3814"/>
      <c r="JB88" s="4314"/>
      <c r="JC88" s="4242"/>
      <c r="JD88" s="2854"/>
      <c r="JE88" s="3814"/>
      <c r="JF88" s="3814"/>
      <c r="JG88" s="4161"/>
      <c r="JH88" s="1233"/>
      <c r="JI88" s="1393"/>
      <c r="JJ88" s="1660" t="s">
        <v>6108</v>
      </c>
    </row>
    <row ht="12.75" r="89" spans="1:270" x14ac:dyDescent="0.2">
      <c r="A89" s="1128">
        <v>54</v>
      </c>
      <c r="B89" s="1557" t="str">
        <f si="3" t="shared"/>
        <v/>
      </c>
      <c r="C89" s="1559" t="s">
        <v>2584</v>
      </c>
      <c r="D89" s="1350" t="s">
        <v>5670</v>
      </c>
      <c r="E89" s="4158"/>
      <c r="F89" s="4158"/>
      <c r="G89" s="4158"/>
      <c r="H89" s="4158"/>
      <c r="I89" s="4158"/>
      <c r="J89" s="4158"/>
      <c r="K89" s="4158"/>
      <c r="L89" s="4158"/>
      <c r="M89" s="4158"/>
      <c r="N89" s="4158"/>
      <c r="O89" s="4158"/>
      <c r="P89" s="4158"/>
      <c r="Q89" s="4158"/>
      <c r="R89" s="4158"/>
      <c r="S89" s="4158"/>
      <c r="T89" s="4158"/>
      <c r="U89" s="4158"/>
      <c r="V89" s="4158"/>
      <c r="W89" s="4158"/>
      <c r="X89" s="4158"/>
      <c r="Y89" s="4158"/>
      <c r="Z89" s="4158"/>
      <c r="AA89" s="4158"/>
      <c r="AB89" s="4158"/>
      <c r="AC89" s="4158"/>
      <c r="AD89" s="2854"/>
      <c r="AE89" s="2854"/>
      <c r="AF89" s="2854"/>
      <c r="AG89" s="2854"/>
      <c r="AH89" s="2854"/>
      <c r="AI89" s="4158"/>
      <c r="AJ89" s="4158"/>
      <c r="AK89" s="4158"/>
      <c r="AL89" s="4158"/>
      <c r="AM89" s="2854"/>
      <c r="AN89" s="4158"/>
      <c r="AO89" s="4158"/>
      <c r="AP89" s="4158"/>
      <c r="AQ89" s="4158"/>
      <c r="AR89" s="4158"/>
      <c r="AS89" s="4158"/>
      <c r="AT89" s="4158"/>
      <c r="AU89" s="4158"/>
      <c r="AV89" s="4158"/>
      <c r="AW89" s="4158"/>
      <c r="AX89" s="4158"/>
      <c r="AY89" s="4158"/>
      <c r="AZ89" s="4158"/>
      <c r="BA89" s="4158"/>
      <c r="BB89" s="2854"/>
      <c r="BC89" s="2854"/>
      <c r="BD89" s="4158"/>
      <c r="BE89" s="4158"/>
      <c r="BF89" s="4158"/>
      <c r="BG89" s="4158"/>
      <c r="BH89" s="4158"/>
      <c r="BI89" s="4158"/>
      <c r="BJ89" s="4158"/>
      <c r="BK89" s="4158"/>
      <c r="BL89" s="4158"/>
      <c r="BM89" s="4158"/>
      <c r="BN89" s="4158"/>
      <c r="BO89" s="4158"/>
      <c r="BP89" s="4158"/>
      <c r="BQ89" s="4158"/>
      <c r="BR89" s="4158"/>
      <c r="BS89" s="4158"/>
      <c r="BT89" s="4158"/>
      <c r="BU89" s="4158"/>
      <c r="BV89" s="4158"/>
      <c r="BW89" s="4158"/>
      <c r="BX89" s="4158"/>
      <c r="BY89" s="4158"/>
      <c r="BZ89" s="4158"/>
      <c r="CA89" s="4158"/>
      <c r="CB89" s="4158"/>
      <c r="CC89" s="4158"/>
      <c r="CD89" s="4158"/>
      <c r="CE89" s="4158"/>
      <c r="CF89" s="4158"/>
      <c r="CG89" s="4158"/>
      <c r="CH89" s="4158"/>
      <c r="CI89" s="4158"/>
      <c r="CJ89" s="4158"/>
      <c r="CK89" s="4158"/>
      <c r="CL89" s="4158"/>
      <c r="CM89" s="4158"/>
      <c r="CN89" s="4158"/>
      <c r="CO89" s="4158"/>
      <c r="CP89" s="2854"/>
      <c r="CQ89" s="4158"/>
      <c r="CR89" s="4158"/>
      <c r="CS89" s="4158"/>
      <c r="CT89" s="4158"/>
      <c r="CU89" s="4158"/>
      <c r="CV89" s="4158"/>
      <c r="CW89" s="4158"/>
      <c r="CX89" s="4158"/>
      <c r="CY89" s="2854"/>
      <c r="CZ89" s="2854"/>
      <c r="DA89" s="2854"/>
      <c r="DB89" s="4158"/>
      <c r="DC89" s="4158"/>
      <c r="DD89" s="4158"/>
      <c r="DE89" s="4158"/>
      <c r="DF89" s="4158"/>
      <c r="DG89" s="4158"/>
      <c r="DH89" s="2854"/>
      <c r="DI89" s="4158"/>
      <c r="DJ89" s="2854"/>
      <c r="DK89" s="4158"/>
      <c r="DL89" s="4158"/>
      <c r="DM89" s="2854"/>
      <c r="DN89" s="4158"/>
      <c r="DO89" s="4158"/>
      <c r="DP89" s="4158"/>
      <c r="DQ89" s="4158"/>
      <c r="DR89" s="4158"/>
      <c r="DS89" s="4158"/>
      <c r="DT89" s="4158"/>
      <c r="DU89" s="4158"/>
      <c r="DV89" s="4158"/>
      <c r="DW89" s="4158"/>
      <c r="DX89" s="4158"/>
      <c r="DY89" s="4158"/>
      <c r="DZ89" s="4158"/>
      <c r="EA89" s="4158"/>
      <c r="EB89" s="4158"/>
      <c r="EC89" s="4158"/>
      <c r="ED89" s="4158"/>
      <c r="EE89" s="4158"/>
      <c r="EF89" s="4158"/>
      <c r="EG89" s="4158"/>
      <c r="EH89" s="2854"/>
      <c r="EI89" s="2854"/>
      <c r="EJ89" s="4158"/>
      <c r="EK89" s="4158"/>
      <c r="EL89" s="4158"/>
      <c r="EM89" s="4158"/>
      <c r="EN89" s="4158"/>
      <c r="EO89" s="4158"/>
      <c r="EP89" s="4158"/>
      <c r="EQ89" s="4158"/>
      <c r="ER89" s="4158"/>
      <c r="ES89" s="4158"/>
      <c r="ET89" s="4158"/>
      <c r="EU89" s="4158"/>
      <c r="EV89" s="4158"/>
      <c r="EW89" s="4158"/>
      <c r="EX89" s="4158"/>
      <c r="EY89" s="4158"/>
      <c r="EZ89" s="4158"/>
      <c r="FA89" s="2854"/>
      <c r="FB89" s="4158"/>
      <c r="FC89" s="4158"/>
      <c r="FD89" s="4158"/>
      <c r="FE89" s="4158"/>
      <c r="FF89" s="4158"/>
      <c r="FG89" s="4158"/>
      <c r="FH89" s="4158"/>
      <c r="FI89" s="4158"/>
      <c r="FJ89" s="4158"/>
      <c r="FK89" s="2854"/>
      <c r="FL89" s="4158"/>
      <c r="FM89" s="4158"/>
      <c r="FN89" s="4158"/>
      <c r="FO89" s="4158"/>
      <c r="FP89" s="4158"/>
      <c r="FQ89" s="4158"/>
      <c r="FR89" s="4158"/>
      <c r="FS89" s="4158"/>
      <c r="FT89" s="4158"/>
      <c r="FU89" s="4158"/>
      <c r="FV89" s="2854"/>
      <c r="FW89" s="4158"/>
      <c r="FX89" s="4158"/>
      <c r="FY89" s="4158"/>
      <c r="FZ89" s="4158"/>
      <c r="GA89" s="4158"/>
      <c r="GB89" s="4158"/>
      <c r="GC89" s="4158"/>
      <c r="GD89" s="4158"/>
      <c r="GE89" s="4158"/>
      <c r="GF89" s="4158"/>
      <c r="GG89" s="4158"/>
      <c r="GH89" s="4158"/>
      <c r="GI89" s="4158"/>
      <c r="GJ89" s="4158"/>
      <c r="GK89" s="4158"/>
      <c r="GL89" s="4158"/>
      <c r="GM89" s="4158"/>
      <c r="GN89" s="4158"/>
      <c r="GO89" s="4158"/>
      <c r="GP89" s="4158"/>
      <c r="GQ89" s="4158"/>
      <c r="GR89" s="4158"/>
      <c r="GS89" s="4158"/>
      <c r="GT89" s="4158"/>
      <c r="GU89" s="4158"/>
      <c r="GV89" s="4158"/>
      <c r="GW89" s="2854"/>
      <c r="GX89" s="4158"/>
      <c r="GY89" s="2854"/>
      <c r="GZ89" s="4158"/>
      <c r="HA89" s="4158"/>
      <c r="HB89" s="4158"/>
      <c r="HC89" s="4158"/>
      <c r="HD89" s="4158"/>
      <c r="HE89" s="2854"/>
      <c r="HF89" s="4158"/>
      <c r="HG89" s="4158"/>
      <c r="HH89" s="4158"/>
      <c r="HI89" s="4158"/>
      <c r="HJ89" s="4158"/>
      <c r="HK89" s="4158"/>
      <c r="HL89" s="4158"/>
      <c r="HM89" s="4158"/>
      <c r="HN89" s="4158"/>
      <c r="HO89" s="4158"/>
      <c r="HP89" s="4158"/>
      <c r="HQ89" s="4158"/>
      <c r="HR89" s="4158"/>
      <c r="HS89" s="4158"/>
      <c r="HT89" s="4158"/>
      <c r="HU89" s="4158"/>
      <c r="HV89" s="4158"/>
      <c r="HW89" s="4158"/>
      <c r="HX89" s="4158"/>
      <c r="HY89" s="4158"/>
      <c r="HZ89" s="4158"/>
      <c r="IA89" s="4158"/>
      <c r="IB89" s="4158"/>
      <c r="IC89" s="4158"/>
      <c r="ID89" s="4158"/>
      <c r="IE89" s="4158"/>
      <c r="IF89" s="4158"/>
      <c r="IG89" s="4158"/>
      <c r="IH89" s="4158"/>
      <c r="II89" s="4158"/>
      <c r="IJ89" s="4158"/>
      <c r="IK89" s="4158"/>
      <c r="IL89" s="4158"/>
      <c r="IM89" s="4158"/>
      <c r="IN89" s="4158"/>
      <c r="IO89" s="2854"/>
      <c r="IP89" s="4158"/>
      <c r="IQ89" s="4159"/>
      <c r="IR89" s="4158"/>
      <c r="IS89" s="4158"/>
      <c r="IT89" s="3987"/>
      <c r="IU89" s="4158"/>
      <c r="IV89" s="4158"/>
      <c r="IW89" s="4158"/>
      <c r="IX89" s="4158"/>
      <c r="IY89" s="4160"/>
      <c r="IZ89" s="4158"/>
      <c r="JA89" s="3814"/>
      <c r="JB89" s="4314"/>
      <c r="JC89" s="4242"/>
      <c r="JD89" s="2854"/>
      <c r="JE89" s="3814"/>
      <c r="JF89" s="3814"/>
      <c r="JG89" s="4161"/>
      <c r="JH89" s="1233"/>
      <c r="JI89" s="1393"/>
      <c r="JJ89" s="1660" t="s">
        <v>6110</v>
      </c>
    </row>
    <row ht="12.75" r="90" spans="1:270" x14ac:dyDescent="0.2">
      <c r="A90" s="1128">
        <v>55</v>
      </c>
      <c r="B90" s="1557" t="str">
        <f si="3" t="shared"/>
        <v/>
      </c>
      <c r="C90" s="1559" t="s">
        <v>2585</v>
      </c>
      <c r="D90" s="1350" t="s">
        <v>5671</v>
      </c>
      <c r="E90" s="4158"/>
      <c r="F90" s="4158"/>
      <c r="G90" s="4158"/>
      <c r="H90" s="4158"/>
      <c r="I90" s="4158"/>
      <c r="J90" s="4158"/>
      <c r="K90" s="4158"/>
      <c r="L90" s="4158"/>
      <c r="M90" s="4158"/>
      <c r="N90" s="4158"/>
      <c r="O90" s="4158"/>
      <c r="P90" s="4158"/>
      <c r="Q90" s="4158"/>
      <c r="R90" s="4158"/>
      <c r="S90" s="4158"/>
      <c r="T90" s="4158"/>
      <c r="U90" s="4158"/>
      <c r="V90" s="4158"/>
      <c r="W90" s="4158"/>
      <c r="X90" s="4158"/>
      <c r="Y90" s="4158"/>
      <c r="Z90" s="4158"/>
      <c r="AA90" s="4158"/>
      <c r="AB90" s="4158"/>
      <c r="AC90" s="4158"/>
      <c r="AD90" s="2854"/>
      <c r="AE90" s="2854"/>
      <c r="AF90" s="2854"/>
      <c r="AG90" s="2854"/>
      <c r="AH90" s="2854"/>
      <c r="AI90" s="4158"/>
      <c r="AJ90" s="4158"/>
      <c r="AK90" s="4158"/>
      <c r="AL90" s="4158"/>
      <c r="AM90" s="2854"/>
      <c r="AN90" s="4158"/>
      <c r="AO90" s="4158"/>
      <c r="AP90" s="4158"/>
      <c r="AQ90" s="4158"/>
      <c r="AR90" s="4158"/>
      <c r="AS90" s="4158"/>
      <c r="AT90" s="4158"/>
      <c r="AU90" s="4158"/>
      <c r="AV90" s="4158"/>
      <c r="AW90" s="4158"/>
      <c r="AX90" s="4158"/>
      <c r="AY90" s="4158"/>
      <c r="AZ90" s="4158"/>
      <c r="BA90" s="4158"/>
      <c r="BB90" s="2854"/>
      <c r="BC90" s="2854"/>
      <c r="BD90" s="4158"/>
      <c r="BE90" s="4158"/>
      <c r="BF90" s="4158"/>
      <c r="BG90" s="4158"/>
      <c r="BH90" s="4158"/>
      <c r="BI90" s="4158"/>
      <c r="BJ90" s="4158"/>
      <c r="BK90" s="4158"/>
      <c r="BL90" s="4158"/>
      <c r="BM90" s="4158"/>
      <c r="BN90" s="4158"/>
      <c r="BO90" s="4158"/>
      <c r="BP90" s="4158"/>
      <c r="BQ90" s="4158"/>
      <c r="BR90" s="4158"/>
      <c r="BS90" s="4158"/>
      <c r="BT90" s="4158"/>
      <c r="BU90" s="4158"/>
      <c r="BV90" s="4158"/>
      <c r="BW90" s="4158"/>
      <c r="BX90" s="4158"/>
      <c r="BY90" s="4158"/>
      <c r="BZ90" s="4158"/>
      <c r="CA90" s="4158"/>
      <c r="CB90" s="4158"/>
      <c r="CC90" s="4158"/>
      <c r="CD90" s="4158"/>
      <c r="CE90" s="4158"/>
      <c r="CF90" s="4158"/>
      <c r="CG90" s="4158"/>
      <c r="CH90" s="4158"/>
      <c r="CI90" s="4158"/>
      <c r="CJ90" s="4158"/>
      <c r="CK90" s="4158"/>
      <c r="CL90" s="4158"/>
      <c r="CM90" s="4158"/>
      <c r="CN90" s="4158"/>
      <c r="CO90" s="4158"/>
      <c r="CP90" s="2854"/>
      <c r="CQ90" s="4158"/>
      <c r="CR90" s="4158"/>
      <c r="CS90" s="4158"/>
      <c r="CT90" s="4158"/>
      <c r="CU90" s="4158"/>
      <c r="CV90" s="4158"/>
      <c r="CW90" s="4158"/>
      <c r="CX90" s="4158"/>
      <c r="CY90" s="2854"/>
      <c r="CZ90" s="2854"/>
      <c r="DA90" s="2854"/>
      <c r="DB90" s="4158"/>
      <c r="DC90" s="4158"/>
      <c r="DD90" s="4158"/>
      <c r="DE90" s="4158"/>
      <c r="DF90" s="4158"/>
      <c r="DG90" s="4158"/>
      <c r="DH90" s="2854"/>
      <c r="DI90" s="4158"/>
      <c r="DJ90" s="2854"/>
      <c r="DK90" s="4158"/>
      <c r="DL90" s="4158"/>
      <c r="DM90" s="2854"/>
      <c r="DN90" s="4158"/>
      <c r="DO90" s="4158"/>
      <c r="DP90" s="4158"/>
      <c r="DQ90" s="4158"/>
      <c r="DR90" s="4158"/>
      <c r="DS90" s="4158"/>
      <c r="DT90" s="4158"/>
      <c r="DU90" s="4158"/>
      <c r="DV90" s="4158"/>
      <c r="DW90" s="4158"/>
      <c r="DX90" s="4158"/>
      <c r="DY90" s="4158"/>
      <c r="DZ90" s="4158"/>
      <c r="EA90" s="4158"/>
      <c r="EB90" s="4158"/>
      <c r="EC90" s="4158"/>
      <c r="ED90" s="4158"/>
      <c r="EE90" s="4158"/>
      <c r="EF90" s="4158"/>
      <c r="EG90" s="4158"/>
      <c r="EH90" s="2854"/>
      <c r="EI90" s="2854"/>
      <c r="EJ90" s="4158"/>
      <c r="EK90" s="4158"/>
      <c r="EL90" s="4158"/>
      <c r="EM90" s="4158"/>
      <c r="EN90" s="4158"/>
      <c r="EO90" s="4158"/>
      <c r="EP90" s="4158"/>
      <c r="EQ90" s="4158"/>
      <c r="ER90" s="4158"/>
      <c r="ES90" s="4158"/>
      <c r="ET90" s="4158"/>
      <c r="EU90" s="4158"/>
      <c r="EV90" s="4158"/>
      <c r="EW90" s="4158"/>
      <c r="EX90" s="4158"/>
      <c r="EY90" s="4158"/>
      <c r="EZ90" s="4158"/>
      <c r="FA90" s="2854"/>
      <c r="FB90" s="4158"/>
      <c r="FC90" s="4158"/>
      <c r="FD90" s="4158"/>
      <c r="FE90" s="4158"/>
      <c r="FF90" s="4158"/>
      <c r="FG90" s="4158"/>
      <c r="FH90" s="4158"/>
      <c r="FI90" s="4158"/>
      <c r="FJ90" s="4158"/>
      <c r="FK90" s="2854"/>
      <c r="FL90" s="4158"/>
      <c r="FM90" s="4158"/>
      <c r="FN90" s="4158"/>
      <c r="FO90" s="4158"/>
      <c r="FP90" s="4158"/>
      <c r="FQ90" s="4158"/>
      <c r="FR90" s="4158"/>
      <c r="FS90" s="4158"/>
      <c r="FT90" s="4158"/>
      <c r="FU90" s="4158"/>
      <c r="FV90" s="2854"/>
      <c r="FW90" s="4158"/>
      <c r="FX90" s="4158"/>
      <c r="FY90" s="4158"/>
      <c r="FZ90" s="4158"/>
      <c r="GA90" s="4158"/>
      <c r="GB90" s="4158"/>
      <c r="GC90" s="4158"/>
      <c r="GD90" s="4158"/>
      <c r="GE90" s="4158"/>
      <c r="GF90" s="4158"/>
      <c r="GG90" s="4158"/>
      <c r="GH90" s="4158"/>
      <c r="GI90" s="4158"/>
      <c r="GJ90" s="4158"/>
      <c r="GK90" s="4158"/>
      <c r="GL90" s="4158"/>
      <c r="GM90" s="4158"/>
      <c r="GN90" s="4158"/>
      <c r="GO90" s="4158"/>
      <c r="GP90" s="4158"/>
      <c r="GQ90" s="4158"/>
      <c r="GR90" s="4158"/>
      <c r="GS90" s="4158"/>
      <c r="GT90" s="4158"/>
      <c r="GU90" s="4158"/>
      <c r="GV90" s="4158"/>
      <c r="GW90" s="2854"/>
      <c r="GX90" s="4158"/>
      <c r="GY90" s="2854"/>
      <c r="GZ90" s="4158"/>
      <c r="HA90" s="4158"/>
      <c r="HB90" s="4158"/>
      <c r="HC90" s="4158"/>
      <c r="HD90" s="4158"/>
      <c r="HE90" s="2854"/>
      <c r="HF90" s="4158"/>
      <c r="HG90" s="4158"/>
      <c r="HH90" s="4158"/>
      <c r="HI90" s="4158"/>
      <c r="HJ90" s="4158"/>
      <c r="HK90" s="4158"/>
      <c r="HL90" s="4158"/>
      <c r="HM90" s="4158"/>
      <c r="HN90" s="4158"/>
      <c r="HO90" s="4158"/>
      <c r="HP90" s="4158"/>
      <c r="HQ90" s="4158"/>
      <c r="HR90" s="4158"/>
      <c r="HS90" s="4158"/>
      <c r="HT90" s="4158"/>
      <c r="HU90" s="4158"/>
      <c r="HV90" s="4158"/>
      <c r="HW90" s="4158"/>
      <c r="HX90" s="4158"/>
      <c r="HY90" s="4158"/>
      <c r="HZ90" s="4158"/>
      <c r="IA90" s="4158"/>
      <c r="IB90" s="4158"/>
      <c r="IC90" s="4158"/>
      <c r="ID90" s="4158"/>
      <c r="IE90" s="4158"/>
      <c r="IF90" s="4158"/>
      <c r="IG90" s="4158"/>
      <c r="IH90" s="4158"/>
      <c r="II90" s="4158"/>
      <c r="IJ90" s="4158"/>
      <c r="IK90" s="4158"/>
      <c r="IL90" s="4158"/>
      <c r="IM90" s="4158"/>
      <c r="IN90" s="4158"/>
      <c r="IO90" s="2854"/>
      <c r="IP90" s="4158"/>
      <c r="IQ90" s="4159"/>
      <c r="IR90" s="4158"/>
      <c r="IS90" s="4158"/>
      <c r="IT90" s="3987"/>
      <c r="IU90" s="4158"/>
      <c r="IV90" s="4158"/>
      <c r="IW90" s="4158"/>
      <c r="IX90" s="4158"/>
      <c r="IY90" s="4160"/>
      <c r="IZ90" s="4158"/>
      <c r="JA90" s="3814"/>
      <c r="JB90" s="4314"/>
      <c r="JC90" s="4242"/>
      <c r="JD90" s="2854"/>
      <c r="JE90" s="3814"/>
      <c r="JF90" s="3814"/>
      <c r="JG90" s="4161"/>
      <c r="JH90" s="1233"/>
      <c r="JI90" s="1393"/>
      <c r="JJ90" s="1660" t="s">
        <v>6108</v>
      </c>
    </row>
    <row ht="12.75" r="91" spans="1:270" x14ac:dyDescent="0.2">
      <c r="A91" s="1128">
        <v>56</v>
      </c>
      <c r="B91" s="1557" t="str">
        <f si="3" t="shared"/>
        <v/>
      </c>
      <c r="C91" s="1559" t="s">
        <v>2586</v>
      </c>
      <c r="D91" s="1350" t="s">
        <v>5672</v>
      </c>
      <c r="E91" s="4158"/>
      <c r="F91" s="4158"/>
      <c r="G91" s="4158"/>
      <c r="H91" s="4158"/>
      <c r="I91" s="4158"/>
      <c r="J91" s="4158"/>
      <c r="K91" s="4158"/>
      <c r="L91" s="4158"/>
      <c r="M91" s="4158"/>
      <c r="N91" s="4158"/>
      <c r="O91" s="4158"/>
      <c r="P91" s="4158"/>
      <c r="Q91" s="4158"/>
      <c r="R91" s="4158"/>
      <c r="S91" s="4158"/>
      <c r="T91" s="4158"/>
      <c r="U91" s="4158"/>
      <c r="V91" s="4158"/>
      <c r="W91" s="4158"/>
      <c r="X91" s="4158"/>
      <c r="Y91" s="4158"/>
      <c r="Z91" s="4158"/>
      <c r="AA91" s="4158"/>
      <c r="AB91" s="4158"/>
      <c r="AC91" s="4158"/>
      <c r="AD91" s="2854"/>
      <c r="AE91" s="2854"/>
      <c r="AF91" s="2854"/>
      <c r="AG91" s="2854"/>
      <c r="AH91" s="2854"/>
      <c r="AI91" s="4158"/>
      <c r="AJ91" s="4158"/>
      <c r="AK91" s="4158"/>
      <c r="AL91" s="4158"/>
      <c r="AM91" s="2854"/>
      <c r="AN91" s="4158"/>
      <c r="AO91" s="4158"/>
      <c r="AP91" s="4158"/>
      <c r="AQ91" s="4158"/>
      <c r="AR91" s="4158"/>
      <c r="AS91" s="4158"/>
      <c r="AT91" s="4158"/>
      <c r="AU91" s="4158"/>
      <c r="AV91" s="4158"/>
      <c r="AW91" s="4158"/>
      <c r="AX91" s="4158"/>
      <c r="AY91" s="4158"/>
      <c r="AZ91" s="4158"/>
      <c r="BA91" s="4158"/>
      <c r="BB91" s="2854"/>
      <c r="BC91" s="2854"/>
      <c r="BD91" s="4158"/>
      <c r="BE91" s="4158"/>
      <c r="BF91" s="4158"/>
      <c r="BG91" s="4158"/>
      <c r="BH91" s="4158"/>
      <c r="BI91" s="4158"/>
      <c r="BJ91" s="4158"/>
      <c r="BK91" s="4158"/>
      <c r="BL91" s="4158"/>
      <c r="BM91" s="4158"/>
      <c r="BN91" s="4158"/>
      <c r="BO91" s="4158"/>
      <c r="BP91" s="4158"/>
      <c r="BQ91" s="4158"/>
      <c r="BR91" s="4158"/>
      <c r="BS91" s="4158"/>
      <c r="BT91" s="4158"/>
      <c r="BU91" s="4158"/>
      <c r="BV91" s="4158"/>
      <c r="BW91" s="4158"/>
      <c r="BX91" s="4158"/>
      <c r="BY91" s="4158"/>
      <c r="BZ91" s="4158"/>
      <c r="CA91" s="4158"/>
      <c r="CB91" s="4158"/>
      <c r="CC91" s="4158"/>
      <c r="CD91" s="4158"/>
      <c r="CE91" s="4158"/>
      <c r="CF91" s="4158"/>
      <c r="CG91" s="4158"/>
      <c r="CH91" s="4158"/>
      <c r="CI91" s="4158"/>
      <c r="CJ91" s="4158"/>
      <c r="CK91" s="4158"/>
      <c r="CL91" s="4158"/>
      <c r="CM91" s="4158"/>
      <c r="CN91" s="4158"/>
      <c r="CO91" s="4158"/>
      <c r="CP91" s="2854"/>
      <c r="CQ91" s="4158"/>
      <c r="CR91" s="4158"/>
      <c r="CS91" s="4158"/>
      <c r="CT91" s="4158"/>
      <c r="CU91" s="4158"/>
      <c r="CV91" s="4158"/>
      <c r="CW91" s="4158"/>
      <c r="CX91" s="4158"/>
      <c r="CY91" s="2854"/>
      <c r="CZ91" s="2854">
        <v>6791</v>
      </c>
      <c r="DA91" s="2854">
        <v>6791</v>
      </c>
      <c r="DB91" s="4158"/>
      <c r="DC91" s="4158"/>
      <c r="DD91" s="4158"/>
      <c r="DE91" s="4158"/>
      <c r="DF91" s="4158"/>
      <c r="DG91" s="4158"/>
      <c r="DH91" s="2854"/>
      <c r="DI91" s="4158"/>
      <c r="DJ91" s="2854"/>
      <c r="DK91" s="4158"/>
      <c r="DL91" s="4158"/>
      <c r="DM91" s="2854"/>
      <c r="DN91" s="4158"/>
      <c r="DO91" s="4158"/>
      <c r="DP91" s="4158"/>
      <c r="DQ91" s="4158"/>
      <c r="DR91" s="4158"/>
      <c r="DS91" s="4158"/>
      <c r="DT91" s="4158"/>
      <c r="DU91" s="4158"/>
      <c r="DV91" s="4158"/>
      <c r="DW91" s="4158"/>
      <c r="DX91" s="4158"/>
      <c r="DY91" s="4158"/>
      <c r="DZ91" s="4158"/>
      <c r="EA91" s="4158"/>
      <c r="EB91" s="4158"/>
      <c r="EC91" s="4158"/>
      <c r="ED91" s="4158"/>
      <c r="EE91" s="4158"/>
      <c r="EF91" s="4158"/>
      <c r="EG91" s="4158"/>
      <c r="EH91" s="2854"/>
      <c r="EI91" s="2854">
        <v>9861</v>
      </c>
      <c r="EJ91" s="4158"/>
      <c r="EK91" s="4158"/>
      <c r="EL91" s="4158"/>
      <c r="EM91" s="4158"/>
      <c r="EN91" s="4158"/>
      <c r="EO91" s="4158"/>
      <c r="EP91" s="4158"/>
      <c r="EQ91" s="4158"/>
      <c r="ER91" s="4158"/>
      <c r="ES91" s="4158"/>
      <c r="ET91" s="4158"/>
      <c r="EU91" s="4158"/>
      <c r="EV91" s="4158"/>
      <c r="EW91" s="4158"/>
      <c r="EX91" s="4158"/>
      <c r="EY91" s="4158"/>
      <c r="EZ91" s="4158"/>
      <c r="FA91" s="2854"/>
      <c r="FB91" s="4158"/>
      <c r="FC91" s="4158"/>
      <c r="FD91" s="4158"/>
      <c r="FE91" s="4158"/>
      <c r="FF91" s="4158"/>
      <c r="FG91" s="4158"/>
      <c r="FH91" s="4158"/>
      <c r="FI91" s="4158"/>
      <c r="FJ91" s="4158"/>
      <c r="FK91" s="2854">
        <v>6791</v>
      </c>
      <c r="FL91" s="4158"/>
      <c r="FM91" s="4158"/>
      <c r="FN91" s="4158"/>
      <c r="FO91" s="4158"/>
      <c r="FP91" s="4158"/>
      <c r="FQ91" s="4158"/>
      <c r="FR91" s="4158"/>
      <c r="FS91" s="4158"/>
      <c r="FT91" s="4158"/>
      <c r="FU91" s="4158"/>
      <c r="FV91" s="2854"/>
      <c r="FW91" s="4158"/>
      <c r="FX91" s="4158"/>
      <c r="FY91" s="4158"/>
      <c r="FZ91" s="4158"/>
      <c r="GA91" s="4158"/>
      <c r="GB91" s="4158"/>
      <c r="GC91" s="4158"/>
      <c r="GD91" s="4158"/>
      <c r="GE91" s="4158"/>
      <c r="GF91" s="4158"/>
      <c r="GG91" s="4158"/>
      <c r="GH91" s="4158"/>
      <c r="GI91" s="4158"/>
      <c r="GJ91" s="4158"/>
      <c r="GK91" s="4158"/>
      <c r="GL91" s="4158"/>
      <c r="GM91" s="4158"/>
      <c r="GN91" s="4158"/>
      <c r="GO91" s="4158"/>
      <c r="GP91" s="4158"/>
      <c r="GQ91" s="4158"/>
      <c r="GR91" s="4158"/>
      <c r="GS91" s="4158"/>
      <c r="GT91" s="4158"/>
      <c r="GU91" s="4158"/>
      <c r="GV91" s="4158"/>
      <c r="GW91" s="2854"/>
      <c r="GX91" s="4158"/>
      <c r="GY91" s="2854">
        <v>9862</v>
      </c>
      <c r="GZ91" s="4158"/>
      <c r="HA91" s="4158"/>
      <c r="HB91" s="4158"/>
      <c r="HC91" s="4158"/>
      <c r="HD91" s="4158"/>
      <c r="HE91" s="2854"/>
      <c r="HF91" s="4158"/>
      <c r="HG91" s="4158"/>
      <c r="HH91" s="4158"/>
      <c r="HI91" s="4158"/>
      <c r="HJ91" s="4158"/>
      <c r="HK91" s="4158"/>
      <c r="HL91" s="4158"/>
      <c r="HM91" s="4158"/>
      <c r="HN91" s="4158"/>
      <c r="HO91" s="4158"/>
      <c r="HP91" s="4158"/>
      <c r="HQ91" s="4158"/>
      <c r="HR91" s="4158"/>
      <c r="HS91" s="4158"/>
      <c r="HT91" s="4158"/>
      <c r="HU91" s="4158"/>
      <c r="HV91" s="4158"/>
      <c r="HW91" s="4158"/>
      <c r="HX91" s="4158"/>
      <c r="HY91" s="4158"/>
      <c r="HZ91" s="4158"/>
      <c r="IA91" s="4158"/>
      <c r="IB91" s="4158"/>
      <c r="IC91" s="4158"/>
      <c r="ID91" s="4158"/>
      <c r="IE91" s="4158"/>
      <c r="IF91" s="4158"/>
      <c r="IG91" s="4158"/>
      <c r="IH91" s="4158"/>
      <c r="II91" s="4158"/>
      <c r="IJ91" s="4158"/>
      <c r="IK91" s="4158"/>
      <c r="IL91" s="4158"/>
      <c r="IM91" s="4158"/>
      <c r="IN91" s="4158"/>
      <c r="IO91" s="2854"/>
      <c r="IP91" s="4158"/>
      <c r="IQ91" s="4159"/>
      <c r="IR91" s="4158"/>
      <c r="IS91" s="4158"/>
      <c r="IT91" s="3987"/>
      <c r="IU91" s="4158"/>
      <c r="IV91" s="4158"/>
      <c r="IW91" s="4158"/>
      <c r="IX91" s="4158"/>
      <c r="IY91" s="4160"/>
      <c r="IZ91" s="4158"/>
      <c r="JA91" s="3814"/>
      <c r="JB91" s="4314"/>
      <c r="JC91" s="4242"/>
      <c r="JD91" s="2854"/>
      <c r="JE91" s="3814"/>
      <c r="JF91" s="3814"/>
      <c r="JG91" s="4161"/>
      <c r="JH91" s="1233"/>
      <c r="JI91" s="1393"/>
      <c r="JJ91" s="1660" t="s">
        <v>6108</v>
      </c>
    </row>
    <row ht="12.75" r="92" spans="1:270" x14ac:dyDescent="0.2">
      <c r="A92" s="1128">
        <v>57</v>
      </c>
      <c r="B92" s="1557" t="str">
        <f si="3" t="shared"/>
        <v/>
      </c>
      <c r="C92" s="1559" t="s">
        <v>2587</v>
      </c>
      <c r="D92" s="1350" t="s">
        <v>5673</v>
      </c>
      <c r="E92" s="4158"/>
      <c r="F92" s="4158"/>
      <c r="G92" s="4158"/>
      <c r="H92" s="4158"/>
      <c r="I92" s="4158"/>
      <c r="J92" s="4158"/>
      <c r="K92" s="4158"/>
      <c r="L92" s="4158"/>
      <c r="M92" s="4158"/>
      <c r="N92" s="4158"/>
      <c r="O92" s="4158"/>
      <c r="P92" s="4158"/>
      <c r="Q92" s="4158"/>
      <c r="R92" s="4158"/>
      <c r="S92" s="4158"/>
      <c r="T92" s="4158"/>
      <c r="U92" s="4158"/>
      <c r="V92" s="4158"/>
      <c r="W92" s="4158"/>
      <c r="X92" s="4158"/>
      <c r="Y92" s="4158"/>
      <c r="Z92" s="4158"/>
      <c r="AA92" s="4158"/>
      <c r="AB92" s="4158"/>
      <c r="AC92" s="4158"/>
      <c r="AD92" s="2854"/>
      <c r="AE92" s="2854"/>
      <c r="AF92" s="2854"/>
      <c r="AG92" s="2854"/>
      <c r="AH92" s="2854"/>
      <c r="AI92" s="4158"/>
      <c r="AJ92" s="4158"/>
      <c r="AK92" s="4158"/>
      <c r="AL92" s="4158"/>
      <c r="AM92" s="2854"/>
      <c r="AN92" s="4158"/>
      <c r="AO92" s="4158"/>
      <c r="AP92" s="4158"/>
      <c r="AQ92" s="4158"/>
      <c r="AR92" s="4158"/>
      <c r="AS92" s="4158"/>
      <c r="AT92" s="4158"/>
      <c r="AU92" s="4158"/>
      <c r="AV92" s="4158"/>
      <c r="AW92" s="4158"/>
      <c r="AX92" s="4158"/>
      <c r="AY92" s="4158"/>
      <c r="AZ92" s="4158"/>
      <c r="BA92" s="4158"/>
      <c r="BB92" s="2854"/>
      <c r="BC92" s="2854"/>
      <c r="BD92" s="4158"/>
      <c r="BE92" s="4158"/>
      <c r="BF92" s="4158"/>
      <c r="BG92" s="4158"/>
      <c r="BH92" s="4158"/>
      <c r="BI92" s="4158"/>
      <c r="BJ92" s="4158"/>
      <c r="BK92" s="4158"/>
      <c r="BL92" s="4158"/>
      <c r="BM92" s="4158"/>
      <c r="BN92" s="4158"/>
      <c r="BO92" s="4158"/>
      <c r="BP92" s="4158"/>
      <c r="BQ92" s="4158"/>
      <c r="BR92" s="4158"/>
      <c r="BS92" s="4158"/>
      <c r="BT92" s="4158"/>
      <c r="BU92" s="4158"/>
      <c r="BV92" s="4158"/>
      <c r="BW92" s="4158"/>
      <c r="BX92" s="4158"/>
      <c r="BY92" s="4158"/>
      <c r="BZ92" s="4158"/>
      <c r="CA92" s="4158"/>
      <c r="CB92" s="4158"/>
      <c r="CC92" s="4158"/>
      <c r="CD92" s="4158"/>
      <c r="CE92" s="4158"/>
      <c r="CF92" s="4158"/>
      <c r="CG92" s="4158"/>
      <c r="CH92" s="4158"/>
      <c r="CI92" s="4158"/>
      <c r="CJ92" s="4158"/>
      <c r="CK92" s="4158"/>
      <c r="CL92" s="4158"/>
      <c r="CM92" s="4158"/>
      <c r="CN92" s="4158"/>
      <c r="CO92" s="4158"/>
      <c r="CP92" s="2854"/>
      <c r="CQ92" s="4158"/>
      <c r="CR92" s="4158"/>
      <c r="CS92" s="4158"/>
      <c r="CT92" s="4158"/>
      <c r="CU92" s="4158"/>
      <c r="CV92" s="4158"/>
      <c r="CW92" s="4158"/>
      <c r="CX92" s="4158"/>
      <c r="CY92" s="2854"/>
      <c r="CZ92" s="2862">
        <v>-1359</v>
      </c>
      <c r="DA92" s="2862">
        <v>-1359</v>
      </c>
      <c r="DB92" s="4158"/>
      <c r="DC92" s="4158"/>
      <c r="DD92" s="4158"/>
      <c r="DE92" s="4158"/>
      <c r="DF92" s="4158"/>
      <c r="DG92" s="4158"/>
      <c r="DH92" s="2854"/>
      <c r="DI92" s="4158"/>
      <c r="DJ92" s="2854"/>
      <c r="DK92" s="4158"/>
      <c r="DL92" s="4158"/>
      <c r="DM92" s="2854"/>
      <c r="DN92" s="4158"/>
      <c r="DO92" s="4158"/>
      <c r="DP92" s="4158"/>
      <c r="DQ92" s="4158"/>
      <c r="DR92" s="4158"/>
      <c r="DS92" s="4158"/>
      <c r="DT92" s="4158"/>
      <c r="DU92" s="4158"/>
      <c r="DV92" s="4158"/>
      <c r="DW92" s="4158"/>
      <c r="DX92" s="4158"/>
      <c r="DY92" s="4158"/>
      <c r="DZ92" s="4158"/>
      <c r="EA92" s="4158"/>
      <c r="EB92" s="4158"/>
      <c r="EC92" s="4158"/>
      <c r="ED92" s="4158"/>
      <c r="EE92" s="4158"/>
      <c r="EF92" s="4158"/>
      <c r="EG92" s="4158"/>
      <c r="EH92" s="2854"/>
      <c r="EI92" s="2854"/>
      <c r="EJ92" s="4158"/>
      <c r="EK92" s="4158"/>
      <c r="EL92" s="4158"/>
      <c r="EM92" s="4158"/>
      <c r="EN92" s="4158"/>
      <c r="EO92" s="4158"/>
      <c r="EP92" s="4158"/>
      <c r="EQ92" s="4158"/>
      <c r="ER92" s="4158"/>
      <c r="ES92" s="4158"/>
      <c r="ET92" s="4158"/>
      <c r="EU92" s="4158"/>
      <c r="EV92" s="4158"/>
      <c r="EW92" s="4158"/>
      <c r="EX92" s="4158"/>
      <c r="EY92" s="4158"/>
      <c r="EZ92" s="4158"/>
      <c r="FA92" s="2854"/>
      <c r="FB92" s="4158"/>
      <c r="FC92" s="4158"/>
      <c r="FD92" s="4158"/>
      <c r="FE92" s="4158"/>
      <c r="FF92" s="4158"/>
      <c r="FG92" s="4158"/>
      <c r="FH92" s="4158"/>
      <c r="FI92" s="4158"/>
      <c r="FJ92" s="4158"/>
      <c r="FK92" s="2862">
        <v>-1359</v>
      </c>
      <c r="FL92" s="4158"/>
      <c r="FM92" s="4158"/>
      <c r="FN92" s="4158"/>
      <c r="FO92" s="4158"/>
      <c r="FP92" s="4158"/>
      <c r="FQ92" s="4158"/>
      <c r="FR92" s="4158"/>
      <c r="FS92" s="4158"/>
      <c r="FT92" s="4158"/>
      <c r="FU92" s="4158"/>
      <c r="FV92" s="2854"/>
      <c r="FW92" s="4158"/>
      <c r="FX92" s="4158"/>
      <c r="FY92" s="4158"/>
      <c r="FZ92" s="4158"/>
      <c r="GA92" s="4158"/>
      <c r="GB92" s="4158"/>
      <c r="GC92" s="4158"/>
      <c r="GD92" s="4158"/>
      <c r="GE92" s="4158"/>
      <c r="GF92" s="4158"/>
      <c r="GG92" s="4158"/>
      <c r="GH92" s="4158"/>
      <c r="GI92" s="4158"/>
      <c r="GJ92" s="4158"/>
      <c r="GK92" s="4158"/>
      <c r="GL92" s="4158"/>
      <c r="GM92" s="4158"/>
      <c r="GN92" s="4158"/>
      <c r="GO92" s="4158"/>
      <c r="GP92" s="4158"/>
      <c r="GQ92" s="4158"/>
      <c r="GR92" s="4158"/>
      <c r="GS92" s="4158"/>
      <c r="GT92" s="4158"/>
      <c r="GU92" s="4158"/>
      <c r="GV92" s="4158"/>
      <c r="GW92" s="2854"/>
      <c r="GX92" s="4158"/>
      <c r="GY92" s="2854"/>
      <c r="GZ92" s="4158"/>
      <c r="HA92" s="4158"/>
      <c r="HB92" s="4158"/>
      <c r="HC92" s="4158"/>
      <c r="HD92" s="4158"/>
      <c r="HE92" s="2854"/>
      <c r="HF92" s="4158"/>
      <c r="HG92" s="4158"/>
      <c r="HH92" s="4158"/>
      <c r="HI92" s="4158"/>
      <c r="HJ92" s="4158"/>
      <c r="HK92" s="4158"/>
      <c r="HL92" s="4158"/>
      <c r="HM92" s="4158"/>
      <c r="HN92" s="4158"/>
      <c r="HO92" s="4158"/>
      <c r="HP92" s="4158"/>
      <c r="HQ92" s="4158"/>
      <c r="HR92" s="4158"/>
      <c r="HS92" s="4158"/>
      <c r="HT92" s="4158"/>
      <c r="HU92" s="4158"/>
      <c r="HV92" s="4158"/>
      <c r="HW92" s="4158"/>
      <c r="HX92" s="4158"/>
      <c r="HY92" s="4158"/>
      <c r="HZ92" s="4158"/>
      <c r="IA92" s="4158"/>
      <c r="IB92" s="4158"/>
      <c r="IC92" s="4158"/>
      <c r="ID92" s="4158"/>
      <c r="IE92" s="4158"/>
      <c r="IF92" s="4158"/>
      <c r="IG92" s="4158"/>
      <c r="IH92" s="4158"/>
      <c r="II92" s="4158"/>
      <c r="IJ92" s="4158"/>
      <c r="IK92" s="4158"/>
      <c r="IL92" s="4158"/>
      <c r="IM92" s="4158"/>
      <c r="IN92" s="4158"/>
      <c r="IO92" s="2854"/>
      <c r="IP92" s="4158"/>
      <c r="IQ92" s="4159"/>
      <c r="IR92" s="4158"/>
      <c r="IS92" s="4158"/>
      <c r="IT92" s="3987"/>
      <c r="IU92" s="4158"/>
      <c r="IV92" s="4158"/>
      <c r="IW92" s="4158"/>
      <c r="IX92" s="4158"/>
      <c r="IY92" s="4160"/>
      <c r="IZ92" s="4158"/>
      <c r="JA92" s="3814"/>
      <c r="JB92" s="4314"/>
      <c r="JC92" s="4242"/>
      <c r="JD92" s="2854"/>
      <c r="JE92" s="3814"/>
      <c r="JF92" s="3814"/>
      <c r="JG92" s="4161"/>
      <c r="JH92" s="1233"/>
      <c r="JI92" s="1393"/>
      <c r="JJ92" s="1660" t="s">
        <v>6110</v>
      </c>
    </row>
    <row ht="12.75" r="93" spans="1:270" x14ac:dyDescent="0.2">
      <c r="A93" s="1128">
        <v>58</v>
      </c>
      <c r="B93" s="1557" t="str">
        <f si="3" t="shared"/>
        <v/>
      </c>
      <c r="C93" s="1559" t="s">
        <v>699</v>
      </c>
      <c r="D93" s="1350" t="s">
        <v>5674</v>
      </c>
      <c r="E93" s="4158"/>
      <c r="F93" s="4158"/>
      <c r="G93" s="4158"/>
      <c r="H93" s="4158"/>
      <c r="I93" s="4158"/>
      <c r="J93" s="4158"/>
      <c r="K93" s="4158"/>
      <c r="L93" s="4158"/>
      <c r="M93" s="4158"/>
      <c r="N93" s="4158"/>
      <c r="O93" s="4158"/>
      <c r="P93" s="4158"/>
      <c r="Q93" s="4158"/>
      <c r="R93" s="4158"/>
      <c r="S93" s="4158"/>
      <c r="T93" s="4158"/>
      <c r="U93" s="4158"/>
      <c r="V93" s="4158"/>
      <c r="W93" s="4158"/>
      <c r="X93" s="4158"/>
      <c r="Y93" s="4158"/>
      <c r="Z93" s="4158"/>
      <c r="AA93" s="4158"/>
      <c r="AB93" s="4158"/>
      <c r="AC93" s="4158"/>
      <c r="AD93" s="2854"/>
      <c r="AE93" s="2854"/>
      <c r="AF93" s="2854"/>
      <c r="AG93" s="2854"/>
      <c r="AH93" s="2854"/>
      <c r="AI93" s="4158"/>
      <c r="AJ93" s="4158"/>
      <c r="AK93" s="4158"/>
      <c r="AL93" s="4158"/>
      <c r="AM93" s="2854"/>
      <c r="AN93" s="4158"/>
      <c r="AO93" s="4158"/>
      <c r="AP93" s="4158"/>
      <c r="AQ93" s="4158"/>
      <c r="AR93" s="4158"/>
      <c r="AS93" s="4158"/>
      <c r="AT93" s="4158"/>
      <c r="AU93" s="4158"/>
      <c r="AV93" s="4158"/>
      <c r="AW93" s="4158"/>
      <c r="AX93" s="4158"/>
      <c r="AY93" s="4158"/>
      <c r="AZ93" s="4158"/>
      <c r="BA93" s="4158"/>
      <c r="BB93" s="2854"/>
      <c r="BC93" s="2854"/>
      <c r="BD93" s="4158"/>
      <c r="BE93" s="4158"/>
      <c r="BF93" s="4158"/>
      <c r="BG93" s="4158"/>
      <c r="BH93" s="4158"/>
      <c r="BI93" s="4158"/>
      <c r="BJ93" s="4158"/>
      <c r="BK93" s="4158"/>
      <c r="BL93" s="4158"/>
      <c r="BM93" s="4158"/>
      <c r="BN93" s="4158"/>
      <c r="BO93" s="4158"/>
      <c r="BP93" s="4158"/>
      <c r="BQ93" s="4158"/>
      <c r="BR93" s="4158"/>
      <c r="BS93" s="4158"/>
      <c r="BT93" s="4158"/>
      <c r="BU93" s="4158"/>
      <c r="BV93" s="4158"/>
      <c r="BW93" s="4158"/>
      <c r="BX93" s="4158"/>
      <c r="BY93" s="4158"/>
      <c r="BZ93" s="4158"/>
      <c r="CA93" s="4158"/>
      <c r="CB93" s="4158"/>
      <c r="CC93" s="4158"/>
      <c r="CD93" s="4158"/>
      <c r="CE93" s="4158"/>
      <c r="CF93" s="4158"/>
      <c r="CG93" s="4158"/>
      <c r="CH93" s="4158"/>
      <c r="CI93" s="4158"/>
      <c r="CJ93" s="4158"/>
      <c r="CK93" s="4158"/>
      <c r="CL93" s="4158"/>
      <c r="CM93" s="4158"/>
      <c r="CN93" s="4158"/>
      <c r="CO93" s="4158"/>
      <c r="CP93" s="2854"/>
      <c r="CQ93" s="4158"/>
      <c r="CR93" s="4158"/>
      <c r="CS93" s="4158"/>
      <c r="CT93" s="4158"/>
      <c r="CU93" s="4158"/>
      <c r="CV93" s="4158"/>
      <c r="CW93" s="4158"/>
      <c r="CX93" s="4158"/>
      <c r="CY93" s="2854"/>
      <c r="CZ93" s="2854">
        <v>671</v>
      </c>
      <c r="DA93" s="2854">
        <v>671</v>
      </c>
      <c r="DB93" s="4158"/>
      <c r="DC93" s="4158"/>
      <c r="DD93" s="4158"/>
      <c r="DE93" s="4158"/>
      <c r="DF93" s="4158"/>
      <c r="DG93" s="4158"/>
      <c r="DH93" s="2854"/>
      <c r="DI93" s="4158"/>
      <c r="DJ93" s="2854"/>
      <c r="DK93" s="4158"/>
      <c r="DL93" s="4158"/>
      <c r="DM93" s="2854"/>
      <c r="DN93" s="4158"/>
      <c r="DO93" s="4158"/>
      <c r="DP93" s="4158"/>
      <c r="DQ93" s="4158"/>
      <c r="DR93" s="4158"/>
      <c r="DS93" s="4158"/>
      <c r="DT93" s="4158"/>
      <c r="DU93" s="4158"/>
      <c r="DV93" s="4158"/>
      <c r="DW93" s="4158"/>
      <c r="DX93" s="4158"/>
      <c r="DY93" s="4158"/>
      <c r="DZ93" s="4158"/>
      <c r="EA93" s="4158"/>
      <c r="EB93" s="4158"/>
      <c r="EC93" s="4158"/>
      <c r="ED93" s="4158"/>
      <c r="EE93" s="4158"/>
      <c r="EF93" s="4158"/>
      <c r="EG93" s="4158"/>
      <c r="EH93" s="2854"/>
      <c r="EI93" s="2854"/>
      <c r="EJ93" s="4158"/>
      <c r="EK93" s="4158"/>
      <c r="EL93" s="4158"/>
      <c r="EM93" s="4158"/>
      <c r="EN93" s="4158"/>
      <c r="EO93" s="4158"/>
      <c r="EP93" s="4158"/>
      <c r="EQ93" s="4158"/>
      <c r="ER93" s="4158"/>
      <c r="ES93" s="4158"/>
      <c r="ET93" s="4158"/>
      <c r="EU93" s="4158"/>
      <c r="EV93" s="4158"/>
      <c r="EW93" s="4158"/>
      <c r="EX93" s="4158"/>
      <c r="EY93" s="4158"/>
      <c r="EZ93" s="4158"/>
      <c r="FA93" s="2854"/>
      <c r="FB93" s="4158"/>
      <c r="FC93" s="4158"/>
      <c r="FD93" s="4158"/>
      <c r="FE93" s="4158"/>
      <c r="FF93" s="4158"/>
      <c r="FG93" s="4158"/>
      <c r="FH93" s="4158"/>
      <c r="FI93" s="4158"/>
      <c r="FJ93" s="4158"/>
      <c r="FK93" s="2854">
        <v>671</v>
      </c>
      <c r="FL93" s="4158"/>
      <c r="FM93" s="4158"/>
      <c r="FN93" s="4158"/>
      <c r="FO93" s="4158"/>
      <c r="FP93" s="4158"/>
      <c r="FQ93" s="4158"/>
      <c r="FR93" s="4158"/>
      <c r="FS93" s="4158"/>
      <c r="FT93" s="4158"/>
      <c r="FU93" s="4158"/>
      <c r="FV93" s="2854"/>
      <c r="FW93" s="4158"/>
      <c r="FX93" s="4158"/>
      <c r="FY93" s="4158"/>
      <c r="FZ93" s="4158"/>
      <c r="GA93" s="4158"/>
      <c r="GB93" s="4158"/>
      <c r="GC93" s="4158"/>
      <c r="GD93" s="4158"/>
      <c r="GE93" s="4158"/>
      <c r="GF93" s="4158"/>
      <c r="GG93" s="4158"/>
      <c r="GH93" s="4158"/>
      <c r="GI93" s="4158"/>
      <c r="GJ93" s="4158"/>
      <c r="GK93" s="4158"/>
      <c r="GL93" s="4158"/>
      <c r="GM93" s="4158"/>
      <c r="GN93" s="4158"/>
      <c r="GO93" s="4158"/>
      <c r="GP93" s="4158"/>
      <c r="GQ93" s="4158"/>
      <c r="GR93" s="4158"/>
      <c r="GS93" s="4158"/>
      <c r="GT93" s="4158"/>
      <c r="GU93" s="4158"/>
      <c r="GV93" s="4158"/>
      <c r="GW93" s="2854"/>
      <c r="GX93" s="4158"/>
      <c r="GY93" s="2854"/>
      <c r="GZ93" s="4158"/>
      <c r="HA93" s="4158"/>
      <c r="HB93" s="4158"/>
      <c r="HC93" s="4158"/>
      <c r="HD93" s="4158"/>
      <c r="HE93" s="2854"/>
      <c r="HF93" s="4158"/>
      <c r="HG93" s="4158"/>
      <c r="HH93" s="4158"/>
      <c r="HI93" s="4158"/>
      <c r="HJ93" s="4158"/>
      <c r="HK93" s="4158"/>
      <c r="HL93" s="4158"/>
      <c r="HM93" s="4158"/>
      <c r="HN93" s="4158"/>
      <c r="HO93" s="4158"/>
      <c r="HP93" s="4158"/>
      <c r="HQ93" s="4158"/>
      <c r="HR93" s="4158"/>
      <c r="HS93" s="4158"/>
      <c r="HT93" s="4158"/>
      <c r="HU93" s="4158"/>
      <c r="HV93" s="4158"/>
      <c r="HW93" s="4158"/>
      <c r="HX93" s="4158"/>
      <c r="HY93" s="4158"/>
      <c r="HZ93" s="4158"/>
      <c r="IA93" s="4158"/>
      <c r="IB93" s="4158"/>
      <c r="IC93" s="4158"/>
      <c r="ID93" s="4158"/>
      <c r="IE93" s="4158"/>
      <c r="IF93" s="4158"/>
      <c r="IG93" s="4158"/>
      <c r="IH93" s="4158"/>
      <c r="II93" s="4158"/>
      <c r="IJ93" s="4158"/>
      <c r="IK93" s="4158"/>
      <c r="IL93" s="4158"/>
      <c r="IM93" s="4158"/>
      <c r="IN93" s="4158"/>
      <c r="IO93" s="2854"/>
      <c r="IP93" s="4158"/>
      <c r="IQ93" s="4159"/>
      <c r="IR93" s="4158"/>
      <c r="IS93" s="4158"/>
      <c r="IT93" s="3987"/>
      <c r="IU93" s="4158"/>
      <c r="IV93" s="4158"/>
      <c r="IW93" s="4158"/>
      <c r="IX93" s="4158"/>
      <c r="IY93" s="4160"/>
      <c r="IZ93" s="4158"/>
      <c r="JA93" s="3814"/>
      <c r="JB93" s="4314"/>
      <c r="JC93" s="4242"/>
      <c r="JD93" s="2854"/>
      <c r="JE93" s="3814"/>
      <c r="JF93" s="3814"/>
      <c r="JG93" s="4161"/>
      <c r="JH93" s="1233"/>
      <c r="JI93" s="1393"/>
      <c r="JJ93" s="1660" t="s">
        <v>6124</v>
      </c>
    </row>
    <row ht="12.75" r="94" spans="1:270" x14ac:dyDescent="0.2">
      <c r="A94" s="1128">
        <v>59</v>
      </c>
      <c r="B94" s="1557" t="str">
        <f si="3" t="shared"/>
        <v/>
      </c>
      <c r="C94" s="1559" t="s">
        <v>700</v>
      </c>
      <c r="D94" s="1350" t="s">
        <v>5675</v>
      </c>
      <c r="E94" s="4164"/>
      <c r="F94" s="4164"/>
      <c r="G94" s="4164"/>
      <c r="H94" s="4164"/>
      <c r="I94" s="4164"/>
      <c r="J94" s="4164"/>
      <c r="K94" s="4164"/>
      <c r="L94" s="4164"/>
      <c r="M94" s="4164"/>
      <c r="N94" s="4164"/>
      <c r="O94" s="4164"/>
      <c r="P94" s="4164"/>
      <c r="Q94" s="4164"/>
      <c r="R94" s="4164"/>
      <c r="S94" s="4164"/>
      <c r="T94" s="4164"/>
      <c r="U94" s="4164"/>
      <c r="V94" s="4164"/>
      <c r="W94" s="4164"/>
      <c r="X94" s="4164"/>
      <c r="Y94" s="4164"/>
      <c r="Z94" s="4164"/>
      <c r="AA94" s="4164"/>
      <c r="AB94" s="4164"/>
      <c r="AC94" s="4164"/>
      <c r="AD94" s="2855"/>
      <c r="AE94" s="2855"/>
      <c r="AF94" s="2855"/>
      <c r="AG94" s="2855"/>
      <c r="AH94" s="2855"/>
      <c r="AI94" s="4164"/>
      <c r="AJ94" s="4164"/>
      <c r="AK94" s="4164"/>
      <c r="AL94" s="4164"/>
      <c r="AM94" s="2855">
        <f>MAX(0,AM91+AM92-AM93)</f>
        <v>0</v>
      </c>
      <c r="AN94" s="4164"/>
      <c r="AO94" s="4164"/>
      <c r="AP94" s="4164"/>
      <c r="AQ94" s="4164"/>
      <c r="AR94" s="4164"/>
      <c r="AS94" s="4164"/>
      <c r="AT94" s="4164"/>
      <c r="AU94" s="4164"/>
      <c r="AV94" s="4164"/>
      <c r="AW94" s="4164"/>
      <c r="AX94" s="4164"/>
      <c r="AY94" s="4164"/>
      <c r="AZ94" s="4164"/>
      <c r="BA94" s="4164"/>
      <c r="BB94" s="2855">
        <f>MAX(0,BB91+BB92-BB93)</f>
        <v>0</v>
      </c>
      <c r="BC94" s="2855">
        <f>MAX(0,BC91+BC92-BC93)</f>
        <v>0</v>
      </c>
      <c r="BD94" s="4164"/>
      <c r="BE94" s="4164"/>
      <c r="BF94" s="4164"/>
      <c r="BG94" s="4164"/>
      <c r="BH94" s="4164"/>
      <c r="BI94" s="4164"/>
      <c r="BJ94" s="4164"/>
      <c r="BK94" s="4164"/>
      <c r="BL94" s="4164"/>
      <c r="BM94" s="4164"/>
      <c r="BN94" s="4164"/>
      <c r="BO94" s="4164"/>
      <c r="BP94" s="4164"/>
      <c r="BQ94" s="4164"/>
      <c r="BR94" s="4164"/>
      <c r="BS94" s="4164"/>
      <c r="BT94" s="4164"/>
      <c r="BU94" s="4164"/>
      <c r="BV94" s="4164"/>
      <c r="BW94" s="4164"/>
      <c r="BX94" s="4164"/>
      <c r="BY94" s="4164"/>
      <c r="BZ94" s="4164"/>
      <c r="CA94" s="4164"/>
      <c r="CB94" s="4164"/>
      <c r="CC94" s="4164"/>
      <c r="CD94" s="4164"/>
      <c r="CE94" s="4164"/>
      <c r="CF94" s="4164"/>
      <c r="CG94" s="4164"/>
      <c r="CH94" s="4164"/>
      <c r="CI94" s="4164"/>
      <c r="CJ94" s="4164"/>
      <c r="CK94" s="4164"/>
      <c r="CL94" s="4164"/>
      <c r="CM94" s="4164"/>
      <c r="CN94" s="4164"/>
      <c r="CO94" s="4164"/>
      <c r="CP94" s="2855">
        <f>MAX(0,CP91+CP92-CP93)</f>
        <v>0</v>
      </c>
      <c r="CQ94" s="4164"/>
      <c r="CR94" s="4164"/>
      <c r="CS94" s="4164"/>
      <c r="CT94" s="4164"/>
      <c r="CU94" s="4164"/>
      <c r="CV94" s="4164"/>
      <c r="CW94" s="4164"/>
      <c r="CX94" s="4164"/>
      <c r="CY94" s="2855">
        <f>MAX(0,CY91+CY92-CY93)</f>
        <v>0</v>
      </c>
      <c r="CZ94" s="2855">
        <f>MAX(0,CZ91+CZ92-CZ93)</f>
        <v>4761</v>
      </c>
      <c r="DA94" s="2855">
        <f>MAX(0,DA91+DA92-DA93)</f>
        <v>4761</v>
      </c>
      <c r="DB94" s="4164"/>
      <c r="DC94" s="4164"/>
      <c r="DD94" s="4164"/>
      <c r="DE94" s="4164"/>
      <c r="DF94" s="4164"/>
      <c r="DG94" s="4164"/>
      <c r="DH94" s="2855">
        <f>MAX(0,DH91+DH92-DH93)</f>
        <v>0</v>
      </c>
      <c r="DI94" s="4164"/>
      <c r="DJ94" s="2855">
        <f>MAX(0,DJ91+DJ92-DJ93)</f>
        <v>0</v>
      </c>
      <c r="DK94" s="4164"/>
      <c r="DL94" s="4164"/>
      <c r="DM94" s="2855">
        <f>MAX(0,DM91+DM92-DM93)</f>
        <v>0</v>
      </c>
      <c r="DN94" s="4164"/>
      <c r="DO94" s="4164"/>
      <c r="DP94" s="4164"/>
      <c r="DQ94" s="4164"/>
      <c r="DR94" s="4164"/>
      <c r="DS94" s="4164"/>
      <c r="DT94" s="4164"/>
      <c r="DU94" s="4164"/>
      <c r="DV94" s="4164"/>
      <c r="DW94" s="4164"/>
      <c r="DX94" s="4164"/>
      <c r="DY94" s="4164"/>
      <c r="DZ94" s="4164"/>
      <c r="EA94" s="4164"/>
      <c r="EB94" s="4164"/>
      <c r="EC94" s="4164"/>
      <c r="ED94" s="4164"/>
      <c r="EE94" s="4164"/>
      <c r="EF94" s="4164"/>
      <c r="EG94" s="4164"/>
      <c r="EH94" s="2855">
        <f>MAX(0,EH91+EH92-EH93)</f>
        <v>0</v>
      </c>
      <c r="EI94" s="2855">
        <f>MAX(0,EI91+EI92-EI93)</f>
        <v>9861</v>
      </c>
      <c r="EJ94" s="4164"/>
      <c r="EK94" s="4164"/>
      <c r="EL94" s="4164"/>
      <c r="EM94" s="4164"/>
      <c r="EN94" s="4164"/>
      <c r="EO94" s="4164"/>
      <c r="EP94" s="4164"/>
      <c r="EQ94" s="4164"/>
      <c r="ER94" s="4164"/>
      <c r="ES94" s="4164"/>
      <c r="ET94" s="4164"/>
      <c r="EU94" s="4164"/>
      <c r="EV94" s="4164"/>
      <c r="EW94" s="4164"/>
      <c r="EX94" s="4164"/>
      <c r="EY94" s="4164"/>
      <c r="EZ94" s="4164"/>
      <c r="FA94" s="2855">
        <f>MAX(0,FA91+FA92-FA93)</f>
        <v>0</v>
      </c>
      <c r="FB94" s="4164"/>
      <c r="FC94" s="4164"/>
      <c r="FD94" s="4164"/>
      <c r="FE94" s="4164"/>
      <c r="FF94" s="4164"/>
      <c r="FG94" s="4164"/>
      <c r="FH94" s="4164"/>
      <c r="FI94" s="4164"/>
      <c r="FJ94" s="4164"/>
      <c r="FK94" s="2855">
        <f>MAX(0,FK91+FK92-FK93)</f>
        <v>4761</v>
      </c>
      <c r="FL94" s="4164"/>
      <c r="FM94" s="4164"/>
      <c r="FN94" s="4164"/>
      <c r="FO94" s="4164"/>
      <c r="FP94" s="4164"/>
      <c r="FQ94" s="4164"/>
      <c r="FR94" s="4164"/>
      <c r="FS94" s="4164"/>
      <c r="FT94" s="4164"/>
      <c r="FU94" s="4164"/>
      <c r="FV94" s="2855">
        <f>MAX(0,FV91+FV92-FV93)</f>
        <v>0</v>
      </c>
      <c r="FW94" s="4164"/>
      <c r="FX94" s="4164"/>
      <c r="FY94" s="4164"/>
      <c r="FZ94" s="4164"/>
      <c r="GA94" s="4164"/>
      <c r="GB94" s="4164"/>
      <c r="GC94" s="4164"/>
      <c r="GD94" s="4164"/>
      <c r="GE94" s="4164"/>
      <c r="GF94" s="4164"/>
      <c r="GG94" s="4164"/>
      <c r="GH94" s="4164"/>
      <c r="GI94" s="4164"/>
      <c r="GJ94" s="4164"/>
      <c r="GK94" s="4164"/>
      <c r="GL94" s="4164"/>
      <c r="GM94" s="4164"/>
      <c r="GN94" s="4164"/>
      <c r="GO94" s="4164"/>
      <c r="GP94" s="4164"/>
      <c r="GQ94" s="4164"/>
      <c r="GR94" s="4164"/>
      <c r="GS94" s="4164"/>
      <c r="GT94" s="4164"/>
      <c r="GU94" s="4164"/>
      <c r="GV94" s="4164"/>
      <c r="GW94" s="2855">
        <f>MAX(0,GW91+GW92-GW93)</f>
        <v>0</v>
      </c>
      <c r="GX94" s="4164"/>
      <c r="GY94" s="2855">
        <f>MAX(0,GY91+GY92-GY93)</f>
        <v>9862</v>
      </c>
      <c r="GZ94" s="4164"/>
      <c r="HA94" s="4164"/>
      <c r="HB94" s="4164"/>
      <c r="HC94" s="4164"/>
      <c r="HD94" s="4164"/>
      <c r="HE94" s="2855">
        <f>MAX(0,HE91+HE92-HE93)</f>
        <v>0</v>
      </c>
      <c r="HF94" s="4164"/>
      <c r="HG94" s="4164"/>
      <c r="HH94" s="4164"/>
      <c r="HI94" s="4164"/>
      <c r="HJ94" s="4164"/>
      <c r="HK94" s="4164"/>
      <c r="HL94" s="4164"/>
      <c r="HM94" s="4164"/>
      <c r="HN94" s="4164"/>
      <c r="HO94" s="4164"/>
      <c r="HP94" s="4164"/>
      <c r="HQ94" s="4164"/>
      <c r="HR94" s="4164"/>
      <c r="HS94" s="4164"/>
      <c r="HT94" s="4164"/>
      <c r="HU94" s="4164"/>
      <c r="HV94" s="4164"/>
      <c r="HW94" s="4164"/>
      <c r="HX94" s="4164"/>
      <c r="HY94" s="4164"/>
      <c r="HZ94" s="4164"/>
      <c r="IA94" s="4164"/>
      <c r="IB94" s="4164"/>
      <c r="IC94" s="4164"/>
      <c r="ID94" s="4164"/>
      <c r="IE94" s="4164"/>
      <c r="IF94" s="4164"/>
      <c r="IG94" s="4164"/>
      <c r="IH94" s="4164"/>
      <c r="II94" s="4164"/>
      <c r="IJ94" s="4164"/>
      <c r="IK94" s="4164"/>
      <c r="IL94" s="4164"/>
      <c r="IM94" s="4164"/>
      <c r="IN94" s="4164"/>
      <c r="IO94" s="2855">
        <f>MAX(0,IO91+IO92-IO93)</f>
        <v>0</v>
      </c>
      <c r="IP94" s="4164"/>
      <c r="IQ94" s="3840">
        <f>MAX(0,IQ91+IQ92-IQ93)</f>
        <v>0</v>
      </c>
      <c r="IR94" s="4164"/>
      <c r="IS94" s="4164"/>
      <c r="IT94" s="4160">
        <f>MAX(0,IT91+IT92-IT93)</f>
        <v>0</v>
      </c>
      <c r="IU94" s="4164"/>
      <c r="IV94" s="4164"/>
      <c r="IW94" s="4164"/>
      <c r="IX94" s="4164"/>
      <c r="IY94" s="4160">
        <f>MAX(0,IY91+IY92-IY93)</f>
        <v>0</v>
      </c>
      <c r="IZ94" s="4164"/>
      <c r="JA94" s="3816"/>
      <c r="JB94" s="4315"/>
      <c r="JC94" s="4242">
        <f>MAX(0,JC91+JC92-JC93)</f>
        <v>0</v>
      </c>
      <c r="JD94" s="2855"/>
      <c r="JE94" s="3816"/>
      <c r="JF94" s="3816"/>
      <c r="JG94" s="4166"/>
      <c r="JH94" s="1233"/>
      <c r="JI94" s="1393" t="s">
        <v>5639</v>
      </c>
      <c r="JJ94" s="1660" t="s">
        <v>6124</v>
      </c>
    </row>
    <row ht="12.75" r="95" spans="1:270" x14ac:dyDescent="0.2">
      <c r="A95" s="1128">
        <v>60</v>
      </c>
      <c r="B95" s="1557" t="str">
        <f si="3" t="shared"/>
        <v/>
      </c>
      <c r="C95" s="1559" t="s">
        <v>701</v>
      </c>
      <c r="D95" s="1350" t="s">
        <v>5676</v>
      </c>
      <c r="E95" s="4158"/>
      <c r="F95" s="4158"/>
      <c r="G95" s="4158"/>
      <c r="H95" s="4158"/>
      <c r="I95" s="4158"/>
      <c r="J95" s="4158"/>
      <c r="K95" s="4158"/>
      <c r="L95" s="4158"/>
      <c r="M95" s="4158"/>
      <c r="N95" s="4158"/>
      <c r="O95" s="4158"/>
      <c r="P95" s="4158"/>
      <c r="Q95" s="4158"/>
      <c r="R95" s="4158"/>
      <c r="S95" s="4158"/>
      <c r="T95" s="4158"/>
      <c r="U95" s="4158"/>
      <c r="V95" s="4158"/>
      <c r="W95" s="4158"/>
      <c r="X95" s="4158"/>
      <c r="Y95" s="4158"/>
      <c r="Z95" s="4158"/>
      <c r="AA95" s="4158"/>
      <c r="AB95" s="4158"/>
      <c r="AC95" s="4158"/>
      <c r="AD95" s="2854"/>
      <c r="AE95" s="2854"/>
      <c r="AF95" s="2854"/>
      <c r="AG95" s="2854"/>
      <c r="AH95" s="2854"/>
      <c r="AI95" s="4158"/>
      <c r="AJ95" s="4158"/>
      <c r="AK95" s="4158"/>
      <c r="AL95" s="4158"/>
      <c r="AM95" s="2854"/>
      <c r="AN95" s="4158"/>
      <c r="AO95" s="4158"/>
      <c r="AP95" s="4158"/>
      <c r="AQ95" s="4158"/>
      <c r="AR95" s="4158"/>
      <c r="AS95" s="4158"/>
      <c r="AT95" s="4158"/>
      <c r="AU95" s="4158"/>
      <c r="AV95" s="4158"/>
      <c r="AW95" s="4158"/>
      <c r="AX95" s="4158"/>
      <c r="AY95" s="4158"/>
      <c r="AZ95" s="4158"/>
      <c r="BA95" s="4158"/>
      <c r="BB95" s="2854">
        <v>1421</v>
      </c>
      <c r="BC95" s="2854"/>
      <c r="BD95" s="4158"/>
      <c r="BE95" s="4158"/>
      <c r="BF95" s="4158"/>
      <c r="BG95" s="4158"/>
      <c r="BH95" s="4158"/>
      <c r="BI95" s="4158"/>
      <c r="BJ95" s="4158"/>
      <c r="BK95" s="4158"/>
      <c r="BL95" s="4158"/>
      <c r="BM95" s="4158"/>
      <c r="BN95" s="4158"/>
      <c r="BO95" s="4158"/>
      <c r="BP95" s="4158"/>
      <c r="BQ95" s="4158"/>
      <c r="BR95" s="4158"/>
      <c r="BS95" s="4158"/>
      <c r="BT95" s="4158"/>
      <c r="BU95" s="4158"/>
      <c r="BV95" s="4158"/>
      <c r="BW95" s="4158"/>
      <c r="BX95" s="4158"/>
      <c r="BY95" s="4158"/>
      <c r="BZ95" s="4158"/>
      <c r="CA95" s="4158"/>
      <c r="CB95" s="4158"/>
      <c r="CC95" s="4158"/>
      <c r="CD95" s="4158"/>
      <c r="CE95" s="4158"/>
      <c r="CF95" s="4158"/>
      <c r="CG95" s="4158"/>
      <c r="CH95" s="4158"/>
      <c r="CI95" s="4158"/>
      <c r="CJ95" s="4158"/>
      <c r="CK95" s="4158"/>
      <c r="CL95" s="4158"/>
      <c r="CM95" s="4158"/>
      <c r="CN95" s="4158"/>
      <c r="CO95" s="4158"/>
      <c r="CP95" s="2854"/>
      <c r="CQ95" s="4158"/>
      <c r="CR95" s="4158"/>
      <c r="CS95" s="4158"/>
      <c r="CT95" s="4158"/>
      <c r="CU95" s="4158"/>
      <c r="CV95" s="4158"/>
      <c r="CW95" s="4158"/>
      <c r="CX95" s="4158"/>
      <c r="CY95" s="2854"/>
      <c r="CZ95" s="2854">
        <v>10640</v>
      </c>
      <c r="DA95" s="2854">
        <v>10640</v>
      </c>
      <c r="DB95" s="4158"/>
      <c r="DC95" s="4158"/>
      <c r="DD95" s="4158"/>
      <c r="DE95" s="4158"/>
      <c r="DF95" s="4158"/>
      <c r="DG95" s="4158"/>
      <c r="DH95" s="2854"/>
      <c r="DI95" s="4158"/>
      <c r="DJ95" s="2854"/>
      <c r="DK95" s="4158"/>
      <c r="DL95" s="4158"/>
      <c r="DM95" s="2854"/>
      <c r="DN95" s="4158"/>
      <c r="DO95" s="4158"/>
      <c r="DP95" s="4158"/>
      <c r="DQ95" s="4158"/>
      <c r="DR95" s="4158"/>
      <c r="DS95" s="4158"/>
      <c r="DT95" s="4158"/>
      <c r="DU95" s="4158"/>
      <c r="DV95" s="4158"/>
      <c r="DW95" s="4158"/>
      <c r="DX95" s="4158"/>
      <c r="DY95" s="4158"/>
      <c r="DZ95" s="4158"/>
      <c r="EA95" s="4158"/>
      <c r="EB95" s="4158"/>
      <c r="EC95" s="4158"/>
      <c r="ED95" s="4158"/>
      <c r="EE95" s="4158"/>
      <c r="EF95" s="4158"/>
      <c r="EG95" s="4158"/>
      <c r="EH95" s="2854"/>
      <c r="EI95" s="2854"/>
      <c r="EJ95" s="4158"/>
      <c r="EK95" s="4158"/>
      <c r="EL95" s="4158"/>
      <c r="EM95" s="4158"/>
      <c r="EN95" s="4158"/>
      <c r="EO95" s="4158"/>
      <c r="EP95" s="4158"/>
      <c r="EQ95" s="4158"/>
      <c r="ER95" s="4158"/>
      <c r="ES95" s="4158"/>
      <c r="ET95" s="4158"/>
      <c r="EU95" s="4158"/>
      <c r="EV95" s="4158"/>
      <c r="EW95" s="4158"/>
      <c r="EX95" s="4158"/>
      <c r="EY95" s="4158"/>
      <c r="EZ95" s="4158"/>
      <c r="FA95" s="2854"/>
      <c r="FB95" s="4158"/>
      <c r="FC95" s="4158"/>
      <c r="FD95" s="4158"/>
      <c r="FE95" s="4158"/>
      <c r="FF95" s="4158"/>
      <c r="FG95" s="4158"/>
      <c r="FH95" s="4158"/>
      <c r="FI95" s="4158"/>
      <c r="FJ95" s="4158"/>
      <c r="FK95" s="2854">
        <v>10640</v>
      </c>
      <c r="FL95" s="4158"/>
      <c r="FM95" s="4158"/>
      <c r="FN95" s="4158"/>
      <c r="FO95" s="4158"/>
      <c r="FP95" s="4158"/>
      <c r="FQ95" s="4158"/>
      <c r="FR95" s="4158"/>
      <c r="FS95" s="4158"/>
      <c r="FT95" s="4158"/>
      <c r="FU95" s="4158"/>
      <c r="FV95" s="2854"/>
      <c r="FW95" s="4158"/>
      <c r="FX95" s="4158"/>
      <c r="FY95" s="4158"/>
      <c r="FZ95" s="4158"/>
      <c r="GA95" s="4158"/>
      <c r="GB95" s="4158"/>
      <c r="GC95" s="4158"/>
      <c r="GD95" s="4158"/>
      <c r="GE95" s="4158"/>
      <c r="GF95" s="4158"/>
      <c r="GG95" s="4158"/>
      <c r="GH95" s="4158"/>
      <c r="GI95" s="4158"/>
      <c r="GJ95" s="4158"/>
      <c r="GK95" s="4158"/>
      <c r="GL95" s="4158"/>
      <c r="GM95" s="4158"/>
      <c r="GN95" s="4158"/>
      <c r="GO95" s="4158"/>
      <c r="GP95" s="4158"/>
      <c r="GQ95" s="4158"/>
      <c r="GR95" s="4158"/>
      <c r="GS95" s="4158"/>
      <c r="GT95" s="4158"/>
      <c r="GU95" s="4158"/>
      <c r="GV95" s="4158"/>
      <c r="GW95" s="2854"/>
      <c r="GX95" s="4158"/>
      <c r="GY95" s="2854"/>
      <c r="GZ95" s="4158"/>
      <c r="HA95" s="4158"/>
      <c r="HB95" s="4158"/>
      <c r="HC95" s="4158"/>
      <c r="HD95" s="4158"/>
      <c r="HE95" s="2854"/>
      <c r="HF95" s="4158"/>
      <c r="HG95" s="4158"/>
      <c r="HH95" s="4158"/>
      <c r="HI95" s="4158"/>
      <c r="HJ95" s="4158"/>
      <c r="HK95" s="4158"/>
      <c r="HL95" s="4158"/>
      <c r="HM95" s="4158"/>
      <c r="HN95" s="4158"/>
      <c r="HO95" s="4158"/>
      <c r="HP95" s="4158"/>
      <c r="HQ95" s="4158"/>
      <c r="HR95" s="4158"/>
      <c r="HS95" s="4158"/>
      <c r="HT95" s="4158"/>
      <c r="HU95" s="4158"/>
      <c r="HV95" s="4158"/>
      <c r="HW95" s="4158"/>
      <c r="HX95" s="4158"/>
      <c r="HY95" s="4158"/>
      <c r="HZ95" s="4158"/>
      <c r="IA95" s="4158"/>
      <c r="IB95" s="4158"/>
      <c r="IC95" s="4158"/>
      <c r="ID95" s="4158"/>
      <c r="IE95" s="4158"/>
      <c r="IF95" s="4158"/>
      <c r="IG95" s="4158"/>
      <c r="IH95" s="4158"/>
      <c r="II95" s="4158"/>
      <c r="IJ95" s="4158"/>
      <c r="IK95" s="4158"/>
      <c r="IL95" s="4158"/>
      <c r="IM95" s="4158"/>
      <c r="IN95" s="4158"/>
      <c r="IO95" s="2854"/>
      <c r="IP95" s="4158"/>
      <c r="IQ95" s="4159"/>
      <c r="IR95" s="4158"/>
      <c r="IS95" s="4158"/>
      <c r="IT95" s="3987"/>
      <c r="IU95" s="4158"/>
      <c r="IV95" s="4158"/>
      <c r="IW95" s="4158"/>
      <c r="IX95" s="4158"/>
      <c r="IY95" s="4160"/>
      <c r="IZ95" s="4158"/>
      <c r="JA95" s="3814"/>
      <c r="JB95" s="4314"/>
      <c r="JC95" s="4242"/>
      <c r="JD95" s="2854"/>
      <c r="JE95" s="3814"/>
      <c r="JF95" s="3814"/>
      <c r="JG95" s="4161"/>
      <c r="JH95" s="1233"/>
      <c r="JI95" s="1393"/>
      <c r="JJ95" s="1660" t="s">
        <v>6108</v>
      </c>
    </row>
    <row ht="12.75" r="96" spans="1:270" x14ac:dyDescent="0.2">
      <c r="A96" s="1128">
        <v>61</v>
      </c>
      <c r="B96" s="1557" t="str">
        <f si="3" t="shared"/>
        <v/>
      </c>
      <c r="C96" s="1559" t="s">
        <v>702</v>
      </c>
      <c r="D96" s="1350" t="s">
        <v>5677</v>
      </c>
      <c r="E96" s="4158"/>
      <c r="F96" s="4158"/>
      <c r="G96" s="4158"/>
      <c r="H96" s="4158"/>
      <c r="I96" s="4158"/>
      <c r="J96" s="4158"/>
      <c r="K96" s="4158"/>
      <c r="L96" s="4158"/>
      <c r="M96" s="4158"/>
      <c r="N96" s="4158"/>
      <c r="O96" s="4158"/>
      <c r="P96" s="4158"/>
      <c r="Q96" s="4158"/>
      <c r="R96" s="4158"/>
      <c r="S96" s="4158"/>
      <c r="T96" s="4158"/>
      <c r="U96" s="4158"/>
      <c r="V96" s="4158"/>
      <c r="W96" s="4158"/>
      <c r="X96" s="4158"/>
      <c r="Y96" s="4158"/>
      <c r="Z96" s="4158"/>
      <c r="AA96" s="4158"/>
      <c r="AB96" s="4158"/>
      <c r="AC96" s="4158"/>
      <c r="AD96" s="2854"/>
      <c r="AE96" s="2854"/>
      <c r="AF96" s="2854"/>
      <c r="AG96" s="2854"/>
      <c r="AH96" s="2854"/>
      <c r="AI96" s="4158"/>
      <c r="AJ96" s="4158"/>
      <c r="AK96" s="4158"/>
      <c r="AL96" s="4158"/>
      <c r="AM96" s="2854"/>
      <c r="AN96" s="4158"/>
      <c r="AO96" s="4158"/>
      <c r="AP96" s="4158"/>
      <c r="AQ96" s="4158"/>
      <c r="AR96" s="4158"/>
      <c r="AS96" s="4158"/>
      <c r="AT96" s="4158"/>
      <c r="AU96" s="4158"/>
      <c r="AV96" s="4158"/>
      <c r="AW96" s="4158"/>
      <c r="AX96" s="4158"/>
      <c r="AY96" s="4158"/>
      <c r="AZ96" s="4158"/>
      <c r="BA96" s="4158"/>
      <c r="BB96" s="2854"/>
      <c r="BC96" s="2854"/>
      <c r="BD96" s="4158"/>
      <c r="BE96" s="4158"/>
      <c r="BF96" s="4158"/>
      <c r="BG96" s="4158"/>
      <c r="BH96" s="4158"/>
      <c r="BI96" s="4158"/>
      <c r="BJ96" s="4158"/>
      <c r="BK96" s="4158"/>
      <c r="BL96" s="4158"/>
      <c r="BM96" s="4158"/>
      <c r="BN96" s="4158"/>
      <c r="BO96" s="4158"/>
      <c r="BP96" s="4158"/>
      <c r="BQ96" s="4158"/>
      <c r="BR96" s="4158"/>
      <c r="BS96" s="4158"/>
      <c r="BT96" s="4158"/>
      <c r="BU96" s="4158"/>
      <c r="BV96" s="4158"/>
      <c r="BW96" s="4158"/>
      <c r="BX96" s="4158"/>
      <c r="BY96" s="4158"/>
      <c r="BZ96" s="4158"/>
      <c r="CA96" s="4158"/>
      <c r="CB96" s="4158"/>
      <c r="CC96" s="4158"/>
      <c r="CD96" s="4158"/>
      <c r="CE96" s="4158"/>
      <c r="CF96" s="4158"/>
      <c r="CG96" s="4158"/>
      <c r="CH96" s="4158"/>
      <c r="CI96" s="4158"/>
      <c r="CJ96" s="4158"/>
      <c r="CK96" s="4158"/>
      <c r="CL96" s="4158"/>
      <c r="CM96" s="4158"/>
      <c r="CN96" s="4158"/>
      <c r="CO96" s="4158"/>
      <c r="CP96" s="2854"/>
      <c r="CQ96" s="4158"/>
      <c r="CR96" s="4158"/>
      <c r="CS96" s="4158"/>
      <c r="CT96" s="4158"/>
      <c r="CU96" s="4158"/>
      <c r="CV96" s="4158"/>
      <c r="CW96" s="4158"/>
      <c r="CX96" s="4158"/>
      <c r="CY96" s="2854"/>
      <c r="CZ96" s="2862">
        <v>-2128</v>
      </c>
      <c r="DA96" s="2862">
        <v>-2128</v>
      </c>
      <c r="DB96" s="4158"/>
      <c r="DC96" s="4158"/>
      <c r="DD96" s="4158"/>
      <c r="DE96" s="4158"/>
      <c r="DF96" s="4158"/>
      <c r="DG96" s="4158"/>
      <c r="DH96" s="2854"/>
      <c r="DI96" s="4158"/>
      <c r="DJ96" s="2854"/>
      <c r="DK96" s="4158"/>
      <c r="DL96" s="4158"/>
      <c r="DM96" s="2854"/>
      <c r="DN96" s="4158"/>
      <c r="DO96" s="4158"/>
      <c r="DP96" s="4158"/>
      <c r="DQ96" s="4158"/>
      <c r="DR96" s="4158"/>
      <c r="DS96" s="4158"/>
      <c r="DT96" s="4158"/>
      <c r="DU96" s="4158"/>
      <c r="DV96" s="4158"/>
      <c r="DW96" s="4158"/>
      <c r="DX96" s="4158"/>
      <c r="DY96" s="4158"/>
      <c r="DZ96" s="4158"/>
      <c r="EA96" s="4158"/>
      <c r="EB96" s="4158"/>
      <c r="EC96" s="4158"/>
      <c r="ED96" s="4158"/>
      <c r="EE96" s="4158"/>
      <c r="EF96" s="4158"/>
      <c r="EG96" s="4158"/>
      <c r="EH96" s="2854"/>
      <c r="EI96" s="2854"/>
      <c r="EJ96" s="4158"/>
      <c r="EK96" s="4158"/>
      <c r="EL96" s="4158"/>
      <c r="EM96" s="4158"/>
      <c r="EN96" s="4158"/>
      <c r="EO96" s="4158"/>
      <c r="EP96" s="4158"/>
      <c r="EQ96" s="4158"/>
      <c r="ER96" s="4158"/>
      <c r="ES96" s="4158"/>
      <c r="ET96" s="4158"/>
      <c r="EU96" s="4158"/>
      <c r="EV96" s="4158"/>
      <c r="EW96" s="4158"/>
      <c r="EX96" s="4158"/>
      <c r="EY96" s="4158"/>
      <c r="EZ96" s="4158"/>
      <c r="FA96" s="2854"/>
      <c r="FB96" s="4158"/>
      <c r="FC96" s="4158"/>
      <c r="FD96" s="4158"/>
      <c r="FE96" s="4158"/>
      <c r="FF96" s="4158"/>
      <c r="FG96" s="4158"/>
      <c r="FH96" s="4158"/>
      <c r="FI96" s="4158"/>
      <c r="FJ96" s="4158"/>
      <c r="FK96" s="2862">
        <v>-2128</v>
      </c>
      <c r="FL96" s="4158"/>
      <c r="FM96" s="4158"/>
      <c r="FN96" s="4158"/>
      <c r="FO96" s="4158"/>
      <c r="FP96" s="4158"/>
      <c r="FQ96" s="4158"/>
      <c r="FR96" s="4158"/>
      <c r="FS96" s="4158"/>
      <c r="FT96" s="4158"/>
      <c r="FU96" s="4158"/>
      <c r="FV96" s="2854"/>
      <c r="FW96" s="4158"/>
      <c r="FX96" s="4158"/>
      <c r="FY96" s="4158"/>
      <c r="FZ96" s="4158"/>
      <c r="GA96" s="4158"/>
      <c r="GB96" s="4158"/>
      <c r="GC96" s="4158"/>
      <c r="GD96" s="4158"/>
      <c r="GE96" s="4158"/>
      <c r="GF96" s="4158"/>
      <c r="GG96" s="4158"/>
      <c r="GH96" s="4158"/>
      <c r="GI96" s="4158"/>
      <c r="GJ96" s="4158"/>
      <c r="GK96" s="4158"/>
      <c r="GL96" s="4158"/>
      <c r="GM96" s="4158"/>
      <c r="GN96" s="4158"/>
      <c r="GO96" s="4158"/>
      <c r="GP96" s="4158"/>
      <c r="GQ96" s="4158"/>
      <c r="GR96" s="4158"/>
      <c r="GS96" s="4158"/>
      <c r="GT96" s="4158"/>
      <c r="GU96" s="4158"/>
      <c r="GV96" s="4158"/>
      <c r="GW96" s="2854"/>
      <c r="GX96" s="4158"/>
      <c r="GY96" s="2854"/>
      <c r="GZ96" s="4158"/>
      <c r="HA96" s="4158"/>
      <c r="HB96" s="4158"/>
      <c r="HC96" s="4158"/>
      <c r="HD96" s="4158"/>
      <c r="HE96" s="2854"/>
      <c r="HF96" s="4158"/>
      <c r="HG96" s="4158"/>
      <c r="HH96" s="4158"/>
      <c r="HI96" s="4158"/>
      <c r="HJ96" s="4158"/>
      <c r="HK96" s="4158"/>
      <c r="HL96" s="4158"/>
      <c r="HM96" s="4158"/>
      <c r="HN96" s="4158"/>
      <c r="HO96" s="4158"/>
      <c r="HP96" s="4158"/>
      <c r="HQ96" s="4158"/>
      <c r="HR96" s="4158"/>
      <c r="HS96" s="4158"/>
      <c r="HT96" s="4158"/>
      <c r="HU96" s="4158"/>
      <c r="HV96" s="4158"/>
      <c r="HW96" s="4158"/>
      <c r="HX96" s="4158"/>
      <c r="HY96" s="4158"/>
      <c r="HZ96" s="4158"/>
      <c r="IA96" s="4158"/>
      <c r="IB96" s="4158"/>
      <c r="IC96" s="4158"/>
      <c r="ID96" s="4158"/>
      <c r="IE96" s="4158"/>
      <c r="IF96" s="4158"/>
      <c r="IG96" s="4158"/>
      <c r="IH96" s="4158"/>
      <c r="II96" s="4158"/>
      <c r="IJ96" s="4158"/>
      <c r="IK96" s="4158"/>
      <c r="IL96" s="4158"/>
      <c r="IM96" s="4158"/>
      <c r="IN96" s="4158"/>
      <c r="IO96" s="2854"/>
      <c r="IP96" s="4158"/>
      <c r="IQ96" s="4159"/>
      <c r="IR96" s="4158"/>
      <c r="IS96" s="4158"/>
      <c r="IT96" s="3987"/>
      <c r="IU96" s="4158"/>
      <c r="IV96" s="4158"/>
      <c r="IW96" s="4158"/>
      <c r="IX96" s="4158"/>
      <c r="IY96" s="4160"/>
      <c r="IZ96" s="4158"/>
      <c r="JA96" s="3814"/>
      <c r="JB96" s="4314"/>
      <c r="JC96" s="4242"/>
      <c r="JD96" s="2854"/>
      <c r="JE96" s="3814"/>
      <c r="JF96" s="3814"/>
      <c r="JG96" s="4161"/>
      <c r="JH96" s="1233"/>
      <c r="JI96" s="1393"/>
      <c r="JJ96" s="1660" t="s">
        <v>6110</v>
      </c>
    </row>
    <row ht="22.5" r="97" spans="1:270" x14ac:dyDescent="0.2">
      <c r="A97" s="1128">
        <v>62</v>
      </c>
      <c r="B97" s="1557" t="str">
        <f si="3" t="shared"/>
        <v/>
      </c>
      <c r="C97" s="1560" t="s">
        <v>703</v>
      </c>
      <c r="D97" s="1350" t="s">
        <v>5678</v>
      </c>
      <c r="E97" s="2847"/>
      <c r="F97" s="2847"/>
      <c r="G97" s="2847"/>
      <c r="H97" s="2847"/>
      <c r="I97" s="2847"/>
      <c r="J97" s="2847"/>
      <c r="K97" s="2847"/>
      <c r="L97" s="2847"/>
      <c r="M97" s="2847"/>
      <c r="N97" s="2847"/>
      <c r="O97" s="2847"/>
      <c r="P97" s="2847"/>
      <c r="Q97" s="2847"/>
      <c r="R97" s="2847"/>
      <c r="S97" s="2847"/>
      <c r="T97" s="2847"/>
      <c r="U97" s="2847"/>
      <c r="V97" s="2847"/>
      <c r="W97" s="2847"/>
      <c r="X97" s="2847"/>
      <c r="Y97" s="2847"/>
      <c r="Z97" s="2847"/>
      <c r="AA97" s="2847"/>
      <c r="AB97" s="2847"/>
      <c r="AC97" s="2847"/>
      <c r="AD97" s="2847"/>
      <c r="AE97" s="2847"/>
      <c r="AF97" s="2847"/>
      <c r="AG97" s="2847"/>
      <c r="AH97" s="2847"/>
      <c r="AI97" s="2847"/>
      <c r="AJ97" s="2847"/>
      <c r="AK97" s="2847"/>
      <c r="AL97" s="2847"/>
      <c r="AM97" s="2847"/>
      <c r="AN97" s="2847"/>
      <c r="AO97" s="2847"/>
      <c r="AP97" s="2847"/>
      <c r="AQ97" s="2847"/>
      <c r="AR97" s="2847"/>
      <c r="AS97" s="2847"/>
      <c r="AT97" s="2847"/>
      <c r="AU97" s="2847"/>
      <c r="AV97" s="2847"/>
      <c r="AW97" s="2847"/>
      <c r="AX97" s="2847"/>
      <c r="AY97" s="2847"/>
      <c r="AZ97" s="2847"/>
      <c r="BA97" s="2847"/>
      <c r="BB97" s="2847"/>
      <c r="BC97" s="2847"/>
      <c r="BD97" s="2847"/>
      <c r="BE97" s="2847"/>
      <c r="BF97" s="2847"/>
      <c r="BG97" s="2847"/>
      <c r="BH97" s="2847"/>
      <c r="BI97" s="2847"/>
      <c r="BJ97" s="2847"/>
      <c r="BK97" s="2847"/>
      <c r="BL97" s="2847"/>
      <c r="BM97" s="2847"/>
      <c r="BN97" s="2847"/>
      <c r="BO97" s="2847"/>
      <c r="BP97" s="2847"/>
      <c r="BQ97" s="2847"/>
      <c r="BR97" s="2847"/>
      <c r="BS97" s="2847"/>
      <c r="BT97" s="2847"/>
      <c r="BU97" s="2847"/>
      <c r="BV97" s="2847"/>
      <c r="BW97" s="2847"/>
      <c r="BX97" s="2847"/>
      <c r="BY97" s="2847"/>
      <c r="BZ97" s="2847"/>
      <c r="CA97" s="2847"/>
      <c r="CB97" s="2847"/>
      <c r="CC97" s="2847"/>
      <c r="CD97" s="2847"/>
      <c r="CE97" s="2847"/>
      <c r="CF97" s="2847"/>
      <c r="CG97" s="2847"/>
      <c r="CH97" s="2847"/>
      <c r="CI97" s="2847"/>
      <c r="CJ97" s="2847"/>
      <c r="CK97" s="2847"/>
      <c r="CL97" s="2847"/>
      <c r="CM97" s="2847"/>
      <c r="CN97" s="2847"/>
      <c r="CO97" s="2847"/>
      <c r="CP97" s="2847"/>
      <c r="CQ97" s="2847"/>
      <c r="CR97" s="2847"/>
      <c r="CS97" s="2847"/>
      <c r="CT97" s="2847"/>
      <c r="CU97" s="2847"/>
      <c r="CV97" s="2847"/>
      <c r="CW97" s="2847"/>
      <c r="CX97" s="2847"/>
      <c r="CY97" s="2847"/>
      <c r="CZ97" s="2847"/>
      <c r="DA97" s="2847"/>
      <c r="DB97" s="2847"/>
      <c r="DC97" s="2847"/>
      <c r="DD97" s="2847"/>
      <c r="DE97" s="2847"/>
      <c r="DF97" s="2847"/>
      <c r="DG97" s="2847"/>
      <c r="DH97" s="2847"/>
      <c r="DI97" s="2847"/>
      <c r="DJ97" s="2847"/>
      <c r="DK97" s="2847"/>
      <c r="DL97" s="2847"/>
      <c r="DM97" s="2847"/>
      <c r="DN97" s="2847"/>
      <c r="DO97" s="2847"/>
      <c r="DP97" s="2847"/>
      <c r="DQ97" s="2847"/>
      <c r="DR97" s="2847"/>
      <c r="DS97" s="2847"/>
      <c r="DT97" s="2847"/>
      <c r="DU97" s="2847"/>
      <c r="DV97" s="2847"/>
      <c r="DW97" s="2847"/>
      <c r="DX97" s="2847"/>
      <c r="DY97" s="2847"/>
      <c r="DZ97" s="2847"/>
      <c r="EA97" s="2847"/>
      <c r="EB97" s="2847"/>
      <c r="EC97" s="2847"/>
      <c r="ED97" s="2847"/>
      <c r="EE97" s="2847"/>
      <c r="EF97" s="2847"/>
      <c r="EG97" s="2847"/>
      <c r="EH97" s="2847"/>
      <c r="EI97" s="2847"/>
      <c r="EJ97" s="2847"/>
      <c r="EK97" s="2847"/>
      <c r="EL97" s="2847"/>
      <c r="EM97" s="2847"/>
      <c r="EN97" s="2847"/>
      <c r="EO97" s="2847"/>
      <c r="EP97" s="2847"/>
      <c r="EQ97" s="2847"/>
      <c r="ER97" s="2847"/>
      <c r="ES97" s="2847"/>
      <c r="ET97" s="2847"/>
      <c r="EU97" s="2847"/>
      <c r="EV97" s="2847"/>
      <c r="EW97" s="2847"/>
      <c r="EX97" s="2847"/>
      <c r="EY97" s="2847"/>
      <c r="EZ97" s="2847"/>
      <c r="FA97" s="2847"/>
      <c r="FB97" s="2847"/>
      <c r="FC97" s="2847"/>
      <c r="FD97" s="2847"/>
      <c r="FE97" s="2847"/>
      <c r="FF97" s="2847"/>
      <c r="FG97" s="2847"/>
      <c r="FH97" s="2847"/>
      <c r="FI97" s="2847"/>
      <c r="FJ97" s="2847"/>
      <c r="FK97" s="2847"/>
      <c r="FL97" s="2847"/>
      <c r="FM97" s="2847"/>
      <c r="FN97" s="2847"/>
      <c r="FO97" s="2847"/>
      <c r="FP97" s="2847"/>
      <c r="FQ97" s="2847"/>
      <c r="FR97" s="2847"/>
      <c r="FS97" s="2847"/>
      <c r="FT97" s="2847"/>
      <c r="FU97" s="2847"/>
      <c r="FV97" s="2847"/>
      <c r="FW97" s="2847"/>
      <c r="FX97" s="2847"/>
      <c r="FY97" s="2847"/>
      <c r="FZ97" s="2847"/>
      <c r="GA97" s="2847"/>
      <c r="GB97" s="2847"/>
      <c r="GC97" s="2847"/>
      <c r="GD97" s="2847"/>
      <c r="GE97" s="2847"/>
      <c r="GF97" s="2847"/>
      <c r="GG97" s="2847"/>
      <c r="GH97" s="2847"/>
      <c r="GI97" s="2847"/>
      <c r="GJ97" s="2847"/>
      <c r="GK97" s="2847"/>
      <c r="GL97" s="2847"/>
      <c r="GM97" s="2847"/>
      <c r="GN97" s="2847"/>
      <c r="GO97" s="2847"/>
      <c r="GP97" s="2847"/>
      <c r="GQ97" s="2847"/>
      <c r="GR97" s="2847"/>
      <c r="GS97" s="2847"/>
      <c r="GT97" s="2847"/>
      <c r="GU97" s="2847"/>
      <c r="GV97" s="2847"/>
      <c r="GW97" s="2847"/>
      <c r="GX97" s="2847"/>
      <c r="GY97" s="2847"/>
      <c r="GZ97" s="2847"/>
      <c r="HA97" s="2847"/>
      <c r="HB97" s="2847"/>
      <c r="HC97" s="2847"/>
      <c r="HD97" s="2847"/>
      <c r="HE97" s="2847"/>
      <c r="HF97" s="2847"/>
      <c r="HG97" s="2847"/>
      <c r="HH97" s="2847"/>
      <c r="HI97" s="2847"/>
      <c r="HJ97" s="2847"/>
      <c r="HK97" s="2847"/>
      <c r="HL97" s="2847"/>
      <c r="HM97" s="2847"/>
      <c r="HN97" s="2847"/>
      <c r="HO97" s="2847"/>
      <c r="HP97" s="2847"/>
      <c r="HQ97" s="2847"/>
      <c r="HR97" s="2847"/>
      <c r="HS97" s="2847"/>
      <c r="HT97" s="2847"/>
      <c r="HU97" s="2847"/>
      <c r="HV97" s="2847"/>
      <c r="HW97" s="2847"/>
      <c r="HX97" s="2847"/>
      <c r="HY97" s="2847"/>
      <c r="HZ97" s="2847"/>
      <c r="IA97" s="2847"/>
      <c r="IB97" s="2847"/>
      <c r="IC97" s="2847"/>
      <c r="ID97" s="2847"/>
      <c r="IE97" s="2847"/>
      <c r="IF97" s="2847"/>
      <c r="IG97" s="2847"/>
      <c r="IH97" s="2847"/>
      <c r="II97" s="2847"/>
      <c r="IJ97" s="2847"/>
      <c r="IK97" s="2847"/>
      <c r="IL97" s="2847"/>
      <c r="IM97" s="2847"/>
      <c r="IN97" s="2847"/>
      <c r="IO97" s="2847"/>
      <c r="IP97" s="2847"/>
      <c r="IQ97" s="3841"/>
      <c r="IR97" s="2847"/>
      <c r="IS97" s="2847"/>
      <c r="IT97" s="3987"/>
      <c r="IU97" s="2847"/>
      <c r="IV97" s="2847"/>
      <c r="IW97" s="2847"/>
      <c r="IX97" s="2847"/>
      <c r="IY97" s="4162"/>
      <c r="IZ97" s="2847"/>
      <c r="JA97" s="3815"/>
      <c r="JB97" s="4162"/>
      <c r="JC97" s="4243"/>
      <c r="JD97" s="2847"/>
      <c r="JE97" s="3815"/>
      <c r="JF97" s="3815"/>
      <c r="JG97" s="4163"/>
      <c r="JH97" s="1233"/>
      <c r="JI97" s="1393" t="s">
        <v>5640</v>
      </c>
      <c r="JJ97" s="1660" t="s">
        <v>6108</v>
      </c>
    </row>
    <row ht="12.75" r="98" spans="1:270" x14ac:dyDescent="0.2">
      <c r="A98" s="1128">
        <v>63</v>
      </c>
      <c r="B98" s="1557" t="str">
        <f si="3" t="shared"/>
        <v/>
      </c>
      <c r="C98" s="1559" t="s">
        <v>704</v>
      </c>
      <c r="D98" s="1350" t="s">
        <v>5674</v>
      </c>
      <c r="E98" s="4158"/>
      <c r="F98" s="4158"/>
      <c r="G98" s="4158"/>
      <c r="H98" s="4158"/>
      <c r="I98" s="4158"/>
      <c r="J98" s="4158"/>
      <c r="K98" s="4158"/>
      <c r="L98" s="4158"/>
      <c r="M98" s="4158"/>
      <c r="N98" s="4158"/>
      <c r="O98" s="4158"/>
      <c r="P98" s="4158"/>
      <c r="Q98" s="4158"/>
      <c r="R98" s="4158"/>
      <c r="S98" s="4158"/>
      <c r="T98" s="4158"/>
      <c r="U98" s="4158"/>
      <c r="V98" s="4158"/>
      <c r="W98" s="4158"/>
      <c r="X98" s="4158"/>
      <c r="Y98" s="4158"/>
      <c r="Z98" s="4158"/>
      <c r="AA98" s="4158"/>
      <c r="AB98" s="4158"/>
      <c r="AC98" s="4158"/>
      <c r="AD98" s="2854"/>
      <c r="AE98" s="2854"/>
      <c r="AF98" s="2854"/>
      <c r="AG98" s="2854"/>
      <c r="AH98" s="2854"/>
      <c r="AI98" s="4158"/>
      <c r="AJ98" s="4158"/>
      <c r="AK98" s="4158"/>
      <c r="AL98" s="4158"/>
      <c r="AM98" s="2854"/>
      <c r="AN98" s="4158"/>
      <c r="AO98" s="4158"/>
      <c r="AP98" s="4158"/>
      <c r="AQ98" s="4158"/>
      <c r="AR98" s="4158"/>
      <c r="AS98" s="4158"/>
      <c r="AT98" s="4158"/>
      <c r="AU98" s="4158"/>
      <c r="AV98" s="4158"/>
      <c r="AW98" s="4158"/>
      <c r="AX98" s="4158"/>
      <c r="AY98" s="4158"/>
      <c r="AZ98" s="4158"/>
      <c r="BA98" s="4158"/>
      <c r="BB98" s="2854">
        <v>142</v>
      </c>
      <c r="BC98" s="2854"/>
      <c r="BD98" s="4158"/>
      <c r="BE98" s="4158"/>
      <c r="BF98" s="4158"/>
      <c r="BG98" s="4158"/>
      <c r="BH98" s="4158"/>
      <c r="BI98" s="4158"/>
      <c r="BJ98" s="4158"/>
      <c r="BK98" s="4158"/>
      <c r="BL98" s="4158"/>
      <c r="BM98" s="4158"/>
      <c r="BN98" s="4158"/>
      <c r="BO98" s="4158"/>
      <c r="BP98" s="4158"/>
      <c r="BQ98" s="4158"/>
      <c r="BR98" s="4158"/>
      <c r="BS98" s="4158"/>
      <c r="BT98" s="4158"/>
      <c r="BU98" s="4158"/>
      <c r="BV98" s="4158"/>
      <c r="BW98" s="4158"/>
      <c r="BX98" s="4158"/>
      <c r="BY98" s="4158"/>
      <c r="BZ98" s="4158"/>
      <c r="CA98" s="4158"/>
      <c r="CB98" s="4158"/>
      <c r="CC98" s="4158"/>
      <c r="CD98" s="4158"/>
      <c r="CE98" s="4158"/>
      <c r="CF98" s="4158"/>
      <c r="CG98" s="4158"/>
      <c r="CH98" s="4158"/>
      <c r="CI98" s="4158"/>
      <c r="CJ98" s="4158"/>
      <c r="CK98" s="4158"/>
      <c r="CL98" s="4158"/>
      <c r="CM98" s="4158"/>
      <c r="CN98" s="4158"/>
      <c r="CO98" s="4158"/>
      <c r="CP98" s="2854"/>
      <c r="CQ98" s="4158"/>
      <c r="CR98" s="4158"/>
      <c r="CS98" s="4158"/>
      <c r="CT98" s="4158"/>
      <c r="CU98" s="4158"/>
      <c r="CV98" s="4158"/>
      <c r="CW98" s="4158"/>
      <c r="CX98" s="4158"/>
      <c r="CY98" s="2854"/>
      <c r="CZ98" s="2854">
        <v>1064</v>
      </c>
      <c r="DA98" s="2854">
        <v>1064</v>
      </c>
      <c r="DB98" s="4158"/>
      <c r="DC98" s="4158"/>
      <c r="DD98" s="4158"/>
      <c r="DE98" s="4158"/>
      <c r="DF98" s="4158"/>
      <c r="DG98" s="4158"/>
      <c r="DH98" s="2854"/>
      <c r="DI98" s="4158"/>
      <c r="DJ98" s="2854"/>
      <c r="DK98" s="4158"/>
      <c r="DL98" s="4158"/>
      <c r="DM98" s="2854"/>
      <c r="DN98" s="4158"/>
      <c r="DO98" s="4158"/>
      <c r="DP98" s="4158"/>
      <c r="DQ98" s="4158"/>
      <c r="DR98" s="4158"/>
      <c r="DS98" s="4158"/>
      <c r="DT98" s="4158"/>
      <c r="DU98" s="4158"/>
      <c r="DV98" s="4158"/>
      <c r="DW98" s="4158"/>
      <c r="DX98" s="4158"/>
      <c r="DY98" s="4158"/>
      <c r="DZ98" s="4158"/>
      <c r="EA98" s="4158"/>
      <c r="EB98" s="4158"/>
      <c r="EC98" s="4158"/>
      <c r="ED98" s="4158"/>
      <c r="EE98" s="4158"/>
      <c r="EF98" s="4158"/>
      <c r="EG98" s="4158"/>
      <c r="EH98" s="2854"/>
      <c r="EI98" s="2854"/>
      <c r="EJ98" s="4158"/>
      <c r="EK98" s="4158"/>
      <c r="EL98" s="4158"/>
      <c r="EM98" s="4158"/>
      <c r="EN98" s="4158"/>
      <c r="EO98" s="4158"/>
      <c r="EP98" s="4158"/>
      <c r="EQ98" s="4158"/>
      <c r="ER98" s="4158"/>
      <c r="ES98" s="4158"/>
      <c r="ET98" s="4158"/>
      <c r="EU98" s="4158"/>
      <c r="EV98" s="4158"/>
      <c r="EW98" s="4158"/>
      <c r="EX98" s="4158"/>
      <c r="EY98" s="4158"/>
      <c r="EZ98" s="4158"/>
      <c r="FA98" s="2854"/>
      <c r="FB98" s="4158"/>
      <c r="FC98" s="4158"/>
      <c r="FD98" s="4158"/>
      <c r="FE98" s="4158"/>
      <c r="FF98" s="4158"/>
      <c r="FG98" s="4158"/>
      <c r="FH98" s="4158"/>
      <c r="FI98" s="4158"/>
      <c r="FJ98" s="4158"/>
      <c r="FK98" s="2854">
        <v>1064</v>
      </c>
      <c r="FL98" s="4158"/>
      <c r="FM98" s="4158"/>
      <c r="FN98" s="4158"/>
      <c r="FO98" s="4158"/>
      <c r="FP98" s="4158"/>
      <c r="FQ98" s="4158"/>
      <c r="FR98" s="4158"/>
      <c r="FS98" s="4158"/>
      <c r="FT98" s="4158"/>
      <c r="FU98" s="4158"/>
      <c r="FV98" s="2854"/>
      <c r="FW98" s="4158"/>
      <c r="FX98" s="4158"/>
      <c r="FY98" s="4158"/>
      <c r="FZ98" s="4158"/>
      <c r="GA98" s="4158"/>
      <c r="GB98" s="4158"/>
      <c r="GC98" s="4158"/>
      <c r="GD98" s="4158"/>
      <c r="GE98" s="4158"/>
      <c r="GF98" s="4158"/>
      <c r="GG98" s="4158"/>
      <c r="GH98" s="4158"/>
      <c r="GI98" s="4158"/>
      <c r="GJ98" s="4158"/>
      <c r="GK98" s="4158"/>
      <c r="GL98" s="4158"/>
      <c r="GM98" s="4158"/>
      <c r="GN98" s="4158"/>
      <c r="GO98" s="4158"/>
      <c r="GP98" s="4158"/>
      <c r="GQ98" s="4158"/>
      <c r="GR98" s="4158"/>
      <c r="GS98" s="4158"/>
      <c r="GT98" s="4158"/>
      <c r="GU98" s="4158"/>
      <c r="GV98" s="4158"/>
      <c r="GW98" s="2854"/>
      <c r="GX98" s="4158"/>
      <c r="GY98" s="2854"/>
      <c r="GZ98" s="4158"/>
      <c r="HA98" s="4158"/>
      <c r="HB98" s="4158"/>
      <c r="HC98" s="4158"/>
      <c r="HD98" s="4158"/>
      <c r="HE98" s="2854"/>
      <c r="HF98" s="4158"/>
      <c r="HG98" s="4158"/>
      <c r="HH98" s="4158"/>
      <c r="HI98" s="4158"/>
      <c r="HJ98" s="4158"/>
      <c r="HK98" s="4158"/>
      <c r="HL98" s="4158"/>
      <c r="HM98" s="4158"/>
      <c r="HN98" s="4158"/>
      <c r="HO98" s="4158"/>
      <c r="HP98" s="4158"/>
      <c r="HQ98" s="4158"/>
      <c r="HR98" s="4158"/>
      <c r="HS98" s="4158"/>
      <c r="HT98" s="4158"/>
      <c r="HU98" s="4158"/>
      <c r="HV98" s="4158"/>
      <c r="HW98" s="4158"/>
      <c r="HX98" s="4158"/>
      <c r="HY98" s="4158"/>
      <c r="HZ98" s="4158"/>
      <c r="IA98" s="4158"/>
      <c r="IB98" s="4158"/>
      <c r="IC98" s="4158"/>
      <c r="ID98" s="4158"/>
      <c r="IE98" s="4158"/>
      <c r="IF98" s="4158"/>
      <c r="IG98" s="4158"/>
      <c r="IH98" s="4158"/>
      <c r="II98" s="4158"/>
      <c r="IJ98" s="4158"/>
      <c r="IK98" s="4158"/>
      <c r="IL98" s="4158"/>
      <c r="IM98" s="4158"/>
      <c r="IN98" s="4158"/>
      <c r="IO98" s="2854"/>
      <c r="IP98" s="4158"/>
      <c r="IQ98" s="4159"/>
      <c r="IR98" s="4158"/>
      <c r="IS98" s="4158"/>
      <c r="IT98" s="3987"/>
      <c r="IU98" s="4158"/>
      <c r="IV98" s="4158"/>
      <c r="IW98" s="4158"/>
      <c r="IX98" s="4158"/>
      <c r="IY98" s="4160"/>
      <c r="IZ98" s="4158"/>
      <c r="JA98" s="3814"/>
      <c r="JB98" s="4314"/>
      <c r="JC98" s="4242"/>
      <c r="JD98" s="2854"/>
      <c r="JE98" s="3814"/>
      <c r="JF98" s="3814"/>
      <c r="JG98" s="4161"/>
      <c r="JH98" s="1233"/>
      <c r="JI98" s="1393"/>
      <c r="JJ98" s="1660" t="s">
        <v>6108</v>
      </c>
    </row>
    <row ht="56.25" r="99" spans="1:270" x14ac:dyDescent="0.2">
      <c r="A99" s="1128">
        <v>64</v>
      </c>
      <c r="B99" s="1557" t="str">
        <f si="3" t="shared"/>
        <v/>
      </c>
      <c r="C99" s="1559" t="s">
        <v>705</v>
      </c>
      <c r="D99" s="1350" t="s">
        <v>5679</v>
      </c>
      <c r="E99" s="2847"/>
      <c r="F99" s="2847"/>
      <c r="G99" s="2847"/>
      <c r="H99" s="2847"/>
      <c r="I99" s="2847"/>
      <c r="J99" s="2847"/>
      <c r="K99" s="2847"/>
      <c r="L99" s="2847"/>
      <c r="M99" s="2847"/>
      <c r="N99" s="2847"/>
      <c r="O99" s="2847"/>
      <c r="P99" s="2847"/>
      <c r="Q99" s="2847"/>
      <c r="R99" s="2847"/>
      <c r="S99" s="2847"/>
      <c r="T99" s="2847"/>
      <c r="U99" s="2847"/>
      <c r="V99" s="2847"/>
      <c r="W99" s="2847"/>
      <c r="X99" s="2847"/>
      <c r="Y99" s="2847"/>
      <c r="Z99" s="2847"/>
      <c r="AA99" s="2847"/>
      <c r="AB99" s="2847"/>
      <c r="AC99" s="2847"/>
      <c r="AD99" s="2847"/>
      <c r="AE99" s="2847"/>
      <c r="AF99" s="2847"/>
      <c r="AG99" s="2847"/>
      <c r="AH99" s="2847"/>
      <c r="AI99" s="2847"/>
      <c r="AJ99" s="2847"/>
      <c r="AK99" s="2847"/>
      <c r="AL99" s="2847"/>
      <c r="AM99" s="2847"/>
      <c r="AN99" s="2847"/>
      <c r="AO99" s="2847"/>
      <c r="AP99" s="2847"/>
      <c r="AQ99" s="2847"/>
      <c r="AR99" s="2847"/>
      <c r="AS99" s="2847"/>
      <c r="AT99" s="2847"/>
      <c r="AU99" s="2847"/>
      <c r="AV99" s="2847"/>
      <c r="AW99" s="2847"/>
      <c r="AX99" s="2847"/>
      <c r="AY99" s="2847"/>
      <c r="AZ99" s="2847"/>
      <c r="BA99" s="2847"/>
      <c r="BB99" s="2855">
        <f>MAX(0,BB95+BB96-(BB97+BB98))</f>
        <v>1279</v>
      </c>
      <c r="BC99" s="2847"/>
      <c r="BD99" s="2847"/>
      <c r="BE99" s="2847"/>
      <c r="BF99" s="2847"/>
      <c r="BG99" s="2847"/>
      <c r="BH99" s="2847"/>
      <c r="BI99" s="2847"/>
      <c r="BJ99" s="2847"/>
      <c r="BK99" s="2847"/>
      <c r="BL99" s="2847"/>
      <c r="BM99" s="2847"/>
      <c r="BN99" s="2847"/>
      <c r="BO99" s="2847"/>
      <c r="BP99" s="2847"/>
      <c r="BQ99" s="2847"/>
      <c r="BR99" s="2847"/>
      <c r="BS99" s="2847"/>
      <c r="BT99" s="2847"/>
      <c r="BU99" s="2847"/>
      <c r="BV99" s="2847"/>
      <c r="BW99" s="2847"/>
      <c r="BX99" s="2847"/>
      <c r="BY99" s="2847"/>
      <c r="BZ99" s="2847"/>
      <c r="CA99" s="2847"/>
      <c r="CB99" s="2847"/>
      <c r="CC99" s="2847"/>
      <c r="CD99" s="2847"/>
      <c r="CE99" s="2847"/>
      <c r="CF99" s="2847"/>
      <c r="CG99" s="2847"/>
      <c r="CH99" s="2847"/>
      <c r="CI99" s="2847"/>
      <c r="CJ99" s="2847"/>
      <c r="CK99" s="2847"/>
      <c r="CL99" s="2847"/>
      <c r="CM99" s="2847"/>
      <c r="CN99" s="2847"/>
      <c r="CO99" s="2847"/>
      <c r="CP99" s="2847"/>
      <c r="CQ99" s="2847"/>
      <c r="CR99" s="2847"/>
      <c r="CS99" s="2847"/>
      <c r="CT99" s="2847"/>
      <c r="CU99" s="2847"/>
      <c r="CV99" s="2847"/>
      <c r="CW99" s="2847"/>
      <c r="CX99" s="2847"/>
      <c r="CY99" s="2847"/>
      <c r="CZ99" s="2855">
        <f>MAX(0,CZ95+CZ96-(CZ97+CZ98))</f>
        <v>7448</v>
      </c>
      <c r="DA99" s="2855">
        <f>MAX(0,DA95+DA96-(DA97+DA98))</f>
        <v>7448</v>
      </c>
      <c r="DB99" s="2847"/>
      <c r="DC99" s="2847"/>
      <c r="DD99" s="2847"/>
      <c r="DE99" s="2847"/>
      <c r="DF99" s="2847"/>
      <c r="DG99" s="2847"/>
      <c r="DH99" s="2847"/>
      <c r="DI99" s="2847"/>
      <c r="DJ99" s="2847"/>
      <c r="DK99" s="2847"/>
      <c r="DL99" s="2847"/>
      <c r="DM99" s="2847"/>
      <c r="DN99" s="2847"/>
      <c r="DO99" s="2847"/>
      <c r="DP99" s="2847"/>
      <c r="DQ99" s="2847"/>
      <c r="DR99" s="2847"/>
      <c r="DS99" s="2847"/>
      <c r="DT99" s="2847"/>
      <c r="DU99" s="2847"/>
      <c r="DV99" s="2847"/>
      <c r="DW99" s="2847"/>
      <c r="DX99" s="2847"/>
      <c r="DY99" s="2847"/>
      <c r="DZ99" s="2847"/>
      <c r="EA99" s="2847"/>
      <c r="EB99" s="2847"/>
      <c r="EC99" s="2847"/>
      <c r="ED99" s="2847"/>
      <c r="EE99" s="2847"/>
      <c r="EF99" s="2847"/>
      <c r="EG99" s="2847"/>
      <c r="EH99" s="2847"/>
      <c r="EI99" s="2847"/>
      <c r="EJ99" s="2847"/>
      <c r="EK99" s="2847"/>
      <c r="EL99" s="2847"/>
      <c r="EM99" s="2847"/>
      <c r="EN99" s="2847"/>
      <c r="EO99" s="2847"/>
      <c r="EP99" s="2847"/>
      <c r="EQ99" s="2847"/>
      <c r="ER99" s="2847"/>
      <c r="ES99" s="2847"/>
      <c r="ET99" s="2847"/>
      <c r="EU99" s="2847"/>
      <c r="EV99" s="2847"/>
      <c r="EW99" s="2847"/>
      <c r="EX99" s="2847"/>
      <c r="EY99" s="2847"/>
      <c r="EZ99" s="2847"/>
      <c r="FA99" s="2847"/>
      <c r="FB99" s="2847"/>
      <c r="FC99" s="2847"/>
      <c r="FD99" s="2847"/>
      <c r="FE99" s="2847"/>
      <c r="FF99" s="2847"/>
      <c r="FG99" s="2847"/>
      <c r="FH99" s="2847"/>
      <c r="FI99" s="2847"/>
      <c r="FJ99" s="2847"/>
      <c r="FK99" s="2855">
        <f>MAX(0,FK95+FK96-(FK97+FK98))</f>
        <v>7448</v>
      </c>
      <c r="FL99" s="2847"/>
      <c r="FM99" s="2847"/>
      <c r="FN99" s="2847"/>
      <c r="FO99" s="2847"/>
      <c r="FP99" s="2847"/>
      <c r="FQ99" s="2847"/>
      <c r="FR99" s="2847"/>
      <c r="FS99" s="2847"/>
      <c r="FT99" s="2847"/>
      <c r="FU99" s="2847"/>
      <c r="FV99" s="2847"/>
      <c r="FW99" s="2847"/>
      <c r="FX99" s="2847"/>
      <c r="FY99" s="2847"/>
      <c r="FZ99" s="2847"/>
      <c r="GA99" s="2847"/>
      <c r="GB99" s="2847"/>
      <c r="GC99" s="2847"/>
      <c r="GD99" s="2847"/>
      <c r="GE99" s="2847"/>
      <c r="GF99" s="2847"/>
      <c r="GG99" s="2847"/>
      <c r="GH99" s="2847"/>
      <c r="GI99" s="2847"/>
      <c r="GJ99" s="2847"/>
      <c r="GK99" s="2847"/>
      <c r="GL99" s="2847"/>
      <c r="GM99" s="2847"/>
      <c r="GN99" s="2847"/>
      <c r="GO99" s="2847"/>
      <c r="GP99" s="2847"/>
      <c r="GQ99" s="2847"/>
      <c r="GR99" s="2847"/>
      <c r="GS99" s="2847"/>
      <c r="GT99" s="2847"/>
      <c r="GU99" s="2847"/>
      <c r="GV99" s="2847"/>
      <c r="GW99" s="2847"/>
      <c r="GX99" s="2847"/>
      <c r="GY99" s="2847"/>
      <c r="GZ99" s="2847"/>
      <c r="HA99" s="2847"/>
      <c r="HB99" s="2847"/>
      <c r="HC99" s="2847"/>
      <c r="HD99" s="2847"/>
      <c r="HE99" s="2847"/>
      <c r="HF99" s="2847"/>
      <c r="HG99" s="2847"/>
      <c r="HH99" s="2847"/>
      <c r="HI99" s="2847"/>
      <c r="HJ99" s="2847"/>
      <c r="HK99" s="2847"/>
      <c r="HL99" s="2847"/>
      <c r="HM99" s="2847"/>
      <c r="HN99" s="2847"/>
      <c r="HO99" s="2847"/>
      <c r="HP99" s="2847"/>
      <c r="HQ99" s="2847"/>
      <c r="HR99" s="2847"/>
      <c r="HS99" s="2847"/>
      <c r="HT99" s="2847"/>
      <c r="HU99" s="2847"/>
      <c r="HV99" s="2847"/>
      <c r="HW99" s="2847"/>
      <c r="HX99" s="2847"/>
      <c r="HY99" s="2847"/>
      <c r="HZ99" s="2847"/>
      <c r="IA99" s="2847"/>
      <c r="IB99" s="2847"/>
      <c r="IC99" s="2847"/>
      <c r="ID99" s="2847"/>
      <c r="IE99" s="2847"/>
      <c r="IF99" s="2847"/>
      <c r="IG99" s="2847"/>
      <c r="IH99" s="2847"/>
      <c r="II99" s="2847"/>
      <c r="IJ99" s="2847"/>
      <c r="IK99" s="2847"/>
      <c r="IL99" s="2847"/>
      <c r="IM99" s="2847"/>
      <c r="IN99" s="2847"/>
      <c r="IO99" s="2847">
        <f>MAX(0,IO95+IO96-(IO97+IO98))</f>
        <v>0</v>
      </c>
      <c r="IP99" s="2847"/>
      <c r="IQ99" s="3841"/>
      <c r="IR99" s="2847"/>
      <c r="IS99" s="2847"/>
      <c r="IT99" s="3987"/>
      <c r="IU99" s="2847"/>
      <c r="IV99" s="2847"/>
      <c r="IW99" s="2847"/>
      <c r="IX99" s="2847"/>
      <c r="IY99" s="4162"/>
      <c r="IZ99" s="2847"/>
      <c r="JA99" s="3815"/>
      <c r="JB99" s="4162"/>
      <c r="JC99" s="4243"/>
      <c r="JD99" s="2847"/>
      <c r="JE99" s="3815"/>
      <c r="JF99" s="3815"/>
      <c r="JG99" s="4163"/>
      <c r="JH99" s="1233"/>
      <c r="JI99" s="1393" t="s">
        <v>5641</v>
      </c>
      <c r="JJ99" s="1660" t="s">
        <v>6124</v>
      </c>
    </row>
    <row ht="12.75" r="100" spans="1:270" x14ac:dyDescent="0.2">
      <c r="A100" s="1128">
        <v>65</v>
      </c>
      <c r="B100" s="1557" t="str">
        <f si="3" t="shared"/>
        <v/>
      </c>
      <c r="C100" s="1559" t="s">
        <v>2807</v>
      </c>
      <c r="D100" s="1350" t="s">
        <v>5680</v>
      </c>
      <c r="E100" s="4158"/>
      <c r="F100" s="4158"/>
      <c r="G100" s="4158"/>
      <c r="H100" s="4158"/>
      <c r="I100" s="4158"/>
      <c r="J100" s="4158"/>
      <c r="K100" s="4158"/>
      <c r="L100" s="4158"/>
      <c r="M100" s="4158"/>
      <c r="N100" s="4158"/>
      <c r="O100" s="4158"/>
      <c r="P100" s="4158"/>
      <c r="Q100" s="4158"/>
      <c r="R100" s="4158"/>
      <c r="S100" s="4158"/>
      <c r="T100" s="4158"/>
      <c r="U100" s="4158"/>
      <c r="V100" s="4158"/>
      <c r="W100" s="4158"/>
      <c r="X100" s="4158"/>
      <c r="Y100" s="4158"/>
      <c r="Z100" s="4158"/>
      <c r="AA100" s="4158"/>
      <c r="AB100" s="4158"/>
      <c r="AC100" s="4158"/>
      <c r="AD100" s="2854"/>
      <c r="AE100" s="2854"/>
      <c r="AF100" s="2854"/>
      <c r="AG100" s="2854"/>
      <c r="AH100" s="2854"/>
      <c r="AI100" s="4158"/>
      <c r="AJ100" s="4158"/>
      <c r="AK100" s="4158"/>
      <c r="AL100" s="4158"/>
      <c r="AM100" s="2854"/>
      <c r="AN100" s="4158"/>
      <c r="AO100" s="4158"/>
      <c r="AP100" s="4158"/>
      <c r="AQ100" s="4158"/>
      <c r="AR100" s="4158"/>
      <c r="AS100" s="4158"/>
      <c r="AT100" s="4158"/>
      <c r="AU100" s="4158"/>
      <c r="AV100" s="4158"/>
      <c r="AW100" s="4158"/>
      <c r="AX100" s="4158"/>
      <c r="AY100" s="4158"/>
      <c r="AZ100" s="4158"/>
      <c r="BA100" s="4158"/>
      <c r="BB100" s="2854"/>
      <c r="BC100" s="2854"/>
      <c r="BD100" s="4158"/>
      <c r="BE100" s="4158"/>
      <c r="BF100" s="4158"/>
      <c r="BG100" s="4158"/>
      <c r="BH100" s="4158"/>
      <c r="BI100" s="4158"/>
      <c r="BJ100" s="4158"/>
      <c r="BK100" s="4158"/>
      <c r="BL100" s="4158"/>
      <c r="BM100" s="4158"/>
      <c r="BN100" s="4158"/>
      <c r="BO100" s="4158"/>
      <c r="BP100" s="4158"/>
      <c r="BQ100" s="4158"/>
      <c r="BR100" s="4158"/>
      <c r="BS100" s="4158"/>
      <c r="BT100" s="4158"/>
      <c r="BU100" s="4158"/>
      <c r="BV100" s="4158"/>
      <c r="BW100" s="4158"/>
      <c r="BX100" s="4158"/>
      <c r="BY100" s="4158"/>
      <c r="BZ100" s="4158"/>
      <c r="CA100" s="4158"/>
      <c r="CB100" s="4158"/>
      <c r="CC100" s="4158"/>
      <c r="CD100" s="4158"/>
      <c r="CE100" s="4158"/>
      <c r="CF100" s="4158"/>
      <c r="CG100" s="4158"/>
      <c r="CH100" s="4158"/>
      <c r="CI100" s="4158"/>
      <c r="CJ100" s="4158"/>
      <c r="CK100" s="4158"/>
      <c r="CL100" s="4158"/>
      <c r="CM100" s="4158"/>
      <c r="CN100" s="4158"/>
      <c r="CO100" s="4158"/>
      <c r="CP100" s="2854"/>
      <c r="CQ100" s="4158"/>
      <c r="CR100" s="4158"/>
      <c r="CS100" s="4158"/>
      <c r="CT100" s="4158"/>
      <c r="CU100" s="4158"/>
      <c r="CV100" s="4158"/>
      <c r="CW100" s="4158"/>
      <c r="CX100" s="4158"/>
      <c r="CY100" s="2854"/>
      <c r="CZ100" s="2854"/>
      <c r="DA100" s="2854"/>
      <c r="DB100" s="4158"/>
      <c r="DC100" s="4158"/>
      <c r="DD100" s="4158"/>
      <c r="DE100" s="4158"/>
      <c r="DF100" s="4158"/>
      <c r="DG100" s="4158"/>
      <c r="DH100" s="2854"/>
      <c r="DI100" s="4158"/>
      <c r="DJ100" s="2854"/>
      <c r="DK100" s="4158"/>
      <c r="DL100" s="4158"/>
      <c r="DM100" s="2854"/>
      <c r="DN100" s="4158"/>
      <c r="DO100" s="4158"/>
      <c r="DP100" s="4158"/>
      <c r="DQ100" s="4158"/>
      <c r="DR100" s="4158"/>
      <c r="DS100" s="4158"/>
      <c r="DT100" s="4158"/>
      <c r="DU100" s="4158"/>
      <c r="DV100" s="4158"/>
      <c r="DW100" s="4158"/>
      <c r="DX100" s="4158"/>
      <c r="DY100" s="4158"/>
      <c r="DZ100" s="4158"/>
      <c r="EA100" s="4158"/>
      <c r="EB100" s="4158"/>
      <c r="EC100" s="4158"/>
      <c r="ED100" s="4158"/>
      <c r="EE100" s="4158"/>
      <c r="EF100" s="4158"/>
      <c r="EG100" s="4158"/>
      <c r="EH100" s="2854"/>
      <c r="EI100" s="2854"/>
      <c r="EJ100" s="4158"/>
      <c r="EK100" s="4158"/>
      <c r="EL100" s="4158"/>
      <c r="EM100" s="4158"/>
      <c r="EN100" s="4158"/>
      <c r="EO100" s="4158"/>
      <c r="EP100" s="4158"/>
      <c r="EQ100" s="4158"/>
      <c r="ER100" s="4158"/>
      <c r="ES100" s="4158"/>
      <c r="ET100" s="4158"/>
      <c r="EU100" s="4158"/>
      <c r="EV100" s="4158"/>
      <c r="EW100" s="4158"/>
      <c r="EX100" s="4158"/>
      <c r="EY100" s="4158"/>
      <c r="EZ100" s="4158"/>
      <c r="FA100" s="2854"/>
      <c r="FB100" s="4158"/>
      <c r="FC100" s="4158"/>
      <c r="FD100" s="4158"/>
      <c r="FE100" s="4158"/>
      <c r="FF100" s="4158"/>
      <c r="FG100" s="4158"/>
      <c r="FH100" s="4158"/>
      <c r="FI100" s="4158"/>
      <c r="FJ100" s="4158"/>
      <c r="FK100" s="2854"/>
      <c r="FL100" s="4158"/>
      <c r="FM100" s="4158"/>
      <c r="FN100" s="4158"/>
      <c r="FO100" s="4158"/>
      <c r="FP100" s="4158"/>
      <c r="FQ100" s="4158"/>
      <c r="FR100" s="4158"/>
      <c r="FS100" s="4158"/>
      <c r="FT100" s="4158"/>
      <c r="FU100" s="4158"/>
      <c r="FV100" s="2854"/>
      <c r="FW100" s="4158"/>
      <c r="FX100" s="4158"/>
      <c r="FY100" s="4158"/>
      <c r="FZ100" s="4158"/>
      <c r="GA100" s="4158"/>
      <c r="GB100" s="4158"/>
      <c r="GC100" s="4158"/>
      <c r="GD100" s="4158"/>
      <c r="GE100" s="4158"/>
      <c r="GF100" s="4158"/>
      <c r="GG100" s="4158"/>
      <c r="GH100" s="4158"/>
      <c r="GI100" s="4158"/>
      <c r="GJ100" s="4158"/>
      <c r="GK100" s="4158"/>
      <c r="GL100" s="4158"/>
      <c r="GM100" s="4158"/>
      <c r="GN100" s="4158"/>
      <c r="GO100" s="4158"/>
      <c r="GP100" s="4158"/>
      <c r="GQ100" s="4158"/>
      <c r="GR100" s="4158"/>
      <c r="GS100" s="4158"/>
      <c r="GT100" s="4158"/>
      <c r="GU100" s="4158"/>
      <c r="GV100" s="4158"/>
      <c r="GW100" s="2854"/>
      <c r="GX100" s="4158"/>
      <c r="GY100" s="2854"/>
      <c r="GZ100" s="4158"/>
      <c r="HA100" s="4158"/>
      <c r="HB100" s="4158"/>
      <c r="HC100" s="4158"/>
      <c r="HD100" s="4158"/>
      <c r="HE100" s="2854"/>
      <c r="HF100" s="4158"/>
      <c r="HG100" s="4158"/>
      <c r="HH100" s="4158"/>
      <c r="HI100" s="4158"/>
      <c r="HJ100" s="4158"/>
      <c r="HK100" s="4158"/>
      <c r="HL100" s="4158"/>
      <c r="HM100" s="4158"/>
      <c r="HN100" s="4158"/>
      <c r="HO100" s="4158"/>
      <c r="HP100" s="4158"/>
      <c r="HQ100" s="4158"/>
      <c r="HR100" s="4158"/>
      <c r="HS100" s="4158"/>
      <c r="HT100" s="4158"/>
      <c r="HU100" s="4158"/>
      <c r="HV100" s="4158"/>
      <c r="HW100" s="4158"/>
      <c r="HX100" s="4158"/>
      <c r="HY100" s="4158"/>
      <c r="HZ100" s="4158"/>
      <c r="IA100" s="4158"/>
      <c r="IB100" s="4158"/>
      <c r="IC100" s="4158"/>
      <c r="ID100" s="4158"/>
      <c r="IE100" s="4158"/>
      <c r="IF100" s="4158"/>
      <c r="IG100" s="4158"/>
      <c r="IH100" s="4158"/>
      <c r="II100" s="4158"/>
      <c r="IJ100" s="4158"/>
      <c r="IK100" s="4158"/>
      <c r="IL100" s="4158"/>
      <c r="IM100" s="4158"/>
      <c r="IN100" s="4158"/>
      <c r="IO100" s="2854"/>
      <c r="IP100" s="4158"/>
      <c r="IQ100" s="4159"/>
      <c r="IR100" s="4158"/>
      <c r="IS100" s="4158"/>
      <c r="IT100" s="3987"/>
      <c r="IU100" s="4158"/>
      <c r="IV100" s="4158"/>
      <c r="IW100" s="4158"/>
      <c r="IX100" s="4158"/>
      <c r="IY100" s="4160"/>
      <c r="IZ100" s="4158"/>
      <c r="JA100" s="3814"/>
      <c r="JB100" s="4314"/>
      <c r="JC100" s="4242"/>
      <c r="JD100" s="2854"/>
      <c r="JE100" s="3814"/>
      <c r="JF100" s="3814"/>
      <c r="JG100" s="4161"/>
      <c r="JH100" s="1233"/>
      <c r="JI100" s="1393"/>
      <c r="JJ100" s="1660" t="s">
        <v>6108</v>
      </c>
    </row>
    <row ht="12.75" r="101" spans="1:270" x14ac:dyDescent="0.2">
      <c r="A101" s="1128">
        <v>66</v>
      </c>
      <c r="B101" s="1557" t="str">
        <f si="3" t="shared"/>
        <v/>
      </c>
      <c r="C101" s="1559" t="s">
        <v>2808</v>
      </c>
      <c r="D101" s="1350" t="s">
        <v>5681</v>
      </c>
      <c r="E101" s="4158"/>
      <c r="F101" s="4158"/>
      <c r="G101" s="4158"/>
      <c r="H101" s="4158"/>
      <c r="I101" s="4158"/>
      <c r="J101" s="4158"/>
      <c r="K101" s="4158"/>
      <c r="L101" s="4158"/>
      <c r="M101" s="4158"/>
      <c r="N101" s="4158"/>
      <c r="O101" s="4158"/>
      <c r="P101" s="4158"/>
      <c r="Q101" s="4158"/>
      <c r="R101" s="4158"/>
      <c r="S101" s="4158"/>
      <c r="T101" s="4158"/>
      <c r="U101" s="4158"/>
      <c r="V101" s="4158"/>
      <c r="W101" s="4158"/>
      <c r="X101" s="4158"/>
      <c r="Y101" s="4158"/>
      <c r="Z101" s="4158"/>
      <c r="AA101" s="4158"/>
      <c r="AB101" s="4158"/>
      <c r="AC101" s="4158"/>
      <c r="AD101" s="2854"/>
      <c r="AE101" s="2854"/>
      <c r="AF101" s="2854"/>
      <c r="AG101" s="2854"/>
      <c r="AH101" s="2854"/>
      <c r="AI101" s="4158"/>
      <c r="AJ101" s="4158"/>
      <c r="AK101" s="4158"/>
      <c r="AL101" s="4158"/>
      <c r="AM101" s="2854"/>
      <c r="AN101" s="4158"/>
      <c r="AO101" s="4158"/>
      <c r="AP101" s="4158"/>
      <c r="AQ101" s="4158"/>
      <c r="AR101" s="4158"/>
      <c r="AS101" s="4158"/>
      <c r="AT101" s="4158"/>
      <c r="AU101" s="4158"/>
      <c r="AV101" s="4158"/>
      <c r="AW101" s="4158"/>
      <c r="AX101" s="4158"/>
      <c r="AY101" s="4158"/>
      <c r="AZ101" s="4158"/>
      <c r="BA101" s="4158"/>
      <c r="BB101" s="2854"/>
      <c r="BC101" s="2854"/>
      <c r="BD101" s="4158"/>
      <c r="BE101" s="4158"/>
      <c r="BF101" s="4158"/>
      <c r="BG101" s="4158"/>
      <c r="BH101" s="4158"/>
      <c r="BI101" s="4158"/>
      <c r="BJ101" s="4158"/>
      <c r="BK101" s="4158"/>
      <c r="BL101" s="4158"/>
      <c r="BM101" s="4158"/>
      <c r="BN101" s="4158"/>
      <c r="BO101" s="4158"/>
      <c r="BP101" s="4158"/>
      <c r="BQ101" s="4158"/>
      <c r="BR101" s="4158"/>
      <c r="BS101" s="4158"/>
      <c r="BT101" s="4158"/>
      <c r="BU101" s="4158"/>
      <c r="BV101" s="4158"/>
      <c r="BW101" s="4158"/>
      <c r="BX101" s="4158"/>
      <c r="BY101" s="4158"/>
      <c r="BZ101" s="4158"/>
      <c r="CA101" s="4158"/>
      <c r="CB101" s="4158"/>
      <c r="CC101" s="4158"/>
      <c r="CD101" s="4158"/>
      <c r="CE101" s="4158"/>
      <c r="CF101" s="4158"/>
      <c r="CG101" s="4158"/>
      <c r="CH101" s="4158"/>
      <c r="CI101" s="4158"/>
      <c r="CJ101" s="4158"/>
      <c r="CK101" s="4158"/>
      <c r="CL101" s="4158"/>
      <c r="CM101" s="4158"/>
      <c r="CN101" s="4158"/>
      <c r="CO101" s="4158"/>
      <c r="CP101" s="2854"/>
      <c r="CQ101" s="4158"/>
      <c r="CR101" s="4158"/>
      <c r="CS101" s="4158"/>
      <c r="CT101" s="4158"/>
      <c r="CU101" s="4158"/>
      <c r="CV101" s="4158"/>
      <c r="CW101" s="4158"/>
      <c r="CX101" s="4158"/>
      <c r="CY101" s="2854"/>
      <c r="CZ101" s="2854"/>
      <c r="DA101" s="2854"/>
      <c r="DB101" s="4158"/>
      <c r="DC101" s="4158"/>
      <c r="DD101" s="4158"/>
      <c r="DE101" s="4158"/>
      <c r="DF101" s="4158"/>
      <c r="DG101" s="4158"/>
      <c r="DH101" s="2854"/>
      <c r="DI101" s="4158"/>
      <c r="DJ101" s="2854"/>
      <c r="DK101" s="4158"/>
      <c r="DL101" s="4158"/>
      <c r="DM101" s="2854"/>
      <c r="DN101" s="4158"/>
      <c r="DO101" s="4158"/>
      <c r="DP101" s="4158"/>
      <c r="DQ101" s="4158"/>
      <c r="DR101" s="4158"/>
      <c r="DS101" s="4158"/>
      <c r="DT101" s="4158"/>
      <c r="DU101" s="4158"/>
      <c r="DV101" s="4158"/>
      <c r="DW101" s="4158"/>
      <c r="DX101" s="4158"/>
      <c r="DY101" s="4158"/>
      <c r="DZ101" s="4158"/>
      <c r="EA101" s="4158"/>
      <c r="EB101" s="4158"/>
      <c r="EC101" s="4158"/>
      <c r="ED101" s="4158"/>
      <c r="EE101" s="4158"/>
      <c r="EF101" s="4158"/>
      <c r="EG101" s="4158"/>
      <c r="EH101" s="2854"/>
      <c r="EI101" s="2854"/>
      <c r="EJ101" s="4158"/>
      <c r="EK101" s="4158"/>
      <c r="EL101" s="4158"/>
      <c r="EM101" s="4158"/>
      <c r="EN101" s="4158"/>
      <c r="EO101" s="4158"/>
      <c r="EP101" s="4158"/>
      <c r="EQ101" s="4158"/>
      <c r="ER101" s="4158"/>
      <c r="ES101" s="4158"/>
      <c r="ET101" s="4158"/>
      <c r="EU101" s="4158"/>
      <c r="EV101" s="4158"/>
      <c r="EW101" s="4158"/>
      <c r="EX101" s="4158"/>
      <c r="EY101" s="4158"/>
      <c r="EZ101" s="4158"/>
      <c r="FA101" s="2854"/>
      <c r="FB101" s="4158"/>
      <c r="FC101" s="4158"/>
      <c r="FD101" s="4158"/>
      <c r="FE101" s="4158"/>
      <c r="FF101" s="4158"/>
      <c r="FG101" s="4158"/>
      <c r="FH101" s="4158"/>
      <c r="FI101" s="4158"/>
      <c r="FJ101" s="4158"/>
      <c r="FK101" s="2854"/>
      <c r="FL101" s="4158"/>
      <c r="FM101" s="4158"/>
      <c r="FN101" s="4158"/>
      <c r="FO101" s="4158"/>
      <c r="FP101" s="4158"/>
      <c r="FQ101" s="4158"/>
      <c r="FR101" s="4158"/>
      <c r="FS101" s="4158"/>
      <c r="FT101" s="4158"/>
      <c r="FU101" s="4158"/>
      <c r="FV101" s="2854"/>
      <c r="FW101" s="4158"/>
      <c r="FX101" s="4158"/>
      <c r="FY101" s="4158"/>
      <c r="FZ101" s="4158"/>
      <c r="GA101" s="4158"/>
      <c r="GB101" s="4158"/>
      <c r="GC101" s="4158"/>
      <c r="GD101" s="4158"/>
      <c r="GE101" s="4158"/>
      <c r="GF101" s="4158"/>
      <c r="GG101" s="4158"/>
      <c r="GH101" s="4158"/>
      <c r="GI101" s="4158"/>
      <c r="GJ101" s="4158"/>
      <c r="GK101" s="4158"/>
      <c r="GL101" s="4158"/>
      <c r="GM101" s="4158"/>
      <c r="GN101" s="4158"/>
      <c r="GO101" s="4158"/>
      <c r="GP101" s="4158"/>
      <c r="GQ101" s="4158"/>
      <c r="GR101" s="4158"/>
      <c r="GS101" s="4158"/>
      <c r="GT101" s="4158"/>
      <c r="GU101" s="4158"/>
      <c r="GV101" s="4158"/>
      <c r="GW101" s="2854"/>
      <c r="GX101" s="4158"/>
      <c r="GY101" s="2854"/>
      <c r="GZ101" s="4158"/>
      <c r="HA101" s="4158"/>
      <c r="HB101" s="4158"/>
      <c r="HC101" s="4158"/>
      <c r="HD101" s="4158"/>
      <c r="HE101" s="2854"/>
      <c r="HF101" s="4158"/>
      <c r="HG101" s="4158"/>
      <c r="HH101" s="4158"/>
      <c r="HI101" s="4158"/>
      <c r="HJ101" s="4158"/>
      <c r="HK101" s="4158"/>
      <c r="HL101" s="4158"/>
      <c r="HM101" s="4158"/>
      <c r="HN101" s="4158"/>
      <c r="HO101" s="4158"/>
      <c r="HP101" s="4158"/>
      <c r="HQ101" s="4158"/>
      <c r="HR101" s="4158"/>
      <c r="HS101" s="4158"/>
      <c r="HT101" s="4158"/>
      <c r="HU101" s="4158"/>
      <c r="HV101" s="4158"/>
      <c r="HW101" s="4158"/>
      <c r="HX101" s="4158"/>
      <c r="HY101" s="4158"/>
      <c r="HZ101" s="4158"/>
      <c r="IA101" s="4158"/>
      <c r="IB101" s="4158"/>
      <c r="IC101" s="4158"/>
      <c r="ID101" s="4158"/>
      <c r="IE101" s="4158"/>
      <c r="IF101" s="4158"/>
      <c r="IG101" s="4158"/>
      <c r="IH101" s="4158"/>
      <c r="II101" s="4158"/>
      <c r="IJ101" s="4158"/>
      <c r="IK101" s="4158"/>
      <c r="IL101" s="4158"/>
      <c r="IM101" s="4158"/>
      <c r="IN101" s="4158"/>
      <c r="IO101" s="2854"/>
      <c r="IP101" s="4158"/>
      <c r="IQ101" s="4159"/>
      <c r="IR101" s="4158"/>
      <c r="IS101" s="4158"/>
      <c r="IT101" s="3987"/>
      <c r="IU101" s="4158"/>
      <c r="IV101" s="4158"/>
      <c r="IW101" s="4158"/>
      <c r="IX101" s="4158"/>
      <c r="IY101" s="4160"/>
      <c r="IZ101" s="4158"/>
      <c r="JA101" s="3814"/>
      <c r="JB101" s="4314"/>
      <c r="JC101" s="4242"/>
      <c r="JD101" s="2854"/>
      <c r="JE101" s="3814"/>
      <c r="JF101" s="3814"/>
      <c r="JG101" s="4161"/>
      <c r="JH101" s="1233"/>
      <c r="JI101" s="1393"/>
      <c r="JJ101" s="1660" t="s">
        <v>6110</v>
      </c>
    </row>
    <row ht="12.75" r="102" spans="1:270" x14ac:dyDescent="0.2">
      <c r="A102" s="1128">
        <v>67</v>
      </c>
      <c r="B102" s="1557" t="str">
        <f si="3" t="shared"/>
        <v/>
      </c>
      <c r="C102" s="1559" t="s">
        <v>2809</v>
      </c>
      <c r="D102" s="1350" t="s">
        <v>5682</v>
      </c>
      <c r="E102" s="4158"/>
      <c r="F102" s="4158"/>
      <c r="G102" s="4158"/>
      <c r="H102" s="4158"/>
      <c r="I102" s="4158"/>
      <c r="J102" s="4158"/>
      <c r="K102" s="4158"/>
      <c r="L102" s="4158"/>
      <c r="M102" s="4158"/>
      <c r="N102" s="4158"/>
      <c r="O102" s="4158"/>
      <c r="P102" s="4158"/>
      <c r="Q102" s="4158"/>
      <c r="R102" s="4158"/>
      <c r="S102" s="4158"/>
      <c r="T102" s="4158"/>
      <c r="U102" s="4158"/>
      <c r="V102" s="4158"/>
      <c r="W102" s="4158"/>
      <c r="X102" s="4158"/>
      <c r="Y102" s="4158"/>
      <c r="Z102" s="4158"/>
      <c r="AA102" s="4158"/>
      <c r="AB102" s="4158"/>
      <c r="AC102" s="4158"/>
      <c r="AD102" s="2854"/>
      <c r="AE102" s="2854"/>
      <c r="AF102" s="2854"/>
      <c r="AG102" s="2854"/>
      <c r="AH102" s="2854"/>
      <c r="AI102" s="4158"/>
      <c r="AJ102" s="4158"/>
      <c r="AK102" s="4158"/>
      <c r="AL102" s="4158"/>
      <c r="AM102" s="2854"/>
      <c r="AN102" s="4158"/>
      <c r="AO102" s="4158"/>
      <c r="AP102" s="4158"/>
      <c r="AQ102" s="4158"/>
      <c r="AR102" s="4158"/>
      <c r="AS102" s="4158"/>
      <c r="AT102" s="4158"/>
      <c r="AU102" s="4158"/>
      <c r="AV102" s="4158"/>
      <c r="AW102" s="4158"/>
      <c r="AX102" s="4158"/>
      <c r="AY102" s="4158"/>
      <c r="AZ102" s="4158"/>
      <c r="BA102" s="4158"/>
      <c r="BB102" s="2854"/>
      <c r="BC102" s="2854"/>
      <c r="BD102" s="4158"/>
      <c r="BE102" s="4158"/>
      <c r="BF102" s="4158"/>
      <c r="BG102" s="4158"/>
      <c r="BH102" s="4158"/>
      <c r="BI102" s="4158"/>
      <c r="BJ102" s="4158"/>
      <c r="BK102" s="4158"/>
      <c r="BL102" s="4158"/>
      <c r="BM102" s="4158"/>
      <c r="BN102" s="4158"/>
      <c r="BO102" s="4158"/>
      <c r="BP102" s="4158"/>
      <c r="BQ102" s="4158"/>
      <c r="BR102" s="4158"/>
      <c r="BS102" s="4158"/>
      <c r="BT102" s="4158"/>
      <c r="BU102" s="4158"/>
      <c r="BV102" s="4158"/>
      <c r="BW102" s="4158"/>
      <c r="BX102" s="4158"/>
      <c r="BY102" s="4158"/>
      <c r="BZ102" s="4158"/>
      <c r="CA102" s="4158"/>
      <c r="CB102" s="4158"/>
      <c r="CC102" s="4158"/>
      <c r="CD102" s="4158"/>
      <c r="CE102" s="4158"/>
      <c r="CF102" s="4158"/>
      <c r="CG102" s="4158"/>
      <c r="CH102" s="4158"/>
      <c r="CI102" s="4158"/>
      <c r="CJ102" s="4158"/>
      <c r="CK102" s="4158"/>
      <c r="CL102" s="4158"/>
      <c r="CM102" s="4158"/>
      <c r="CN102" s="4158"/>
      <c r="CO102" s="4158"/>
      <c r="CP102" s="2854"/>
      <c r="CQ102" s="4158"/>
      <c r="CR102" s="4158"/>
      <c r="CS102" s="4158"/>
      <c r="CT102" s="4158"/>
      <c r="CU102" s="4158"/>
      <c r="CV102" s="4158"/>
      <c r="CW102" s="4158"/>
      <c r="CX102" s="4158"/>
      <c r="CY102" s="2854"/>
      <c r="CZ102" s="2854"/>
      <c r="DA102" s="2854"/>
      <c r="DB102" s="4158"/>
      <c r="DC102" s="4158"/>
      <c r="DD102" s="4158"/>
      <c r="DE102" s="4158"/>
      <c r="DF102" s="4158"/>
      <c r="DG102" s="4158"/>
      <c r="DH102" s="2854"/>
      <c r="DI102" s="4158"/>
      <c r="DJ102" s="2854"/>
      <c r="DK102" s="4158"/>
      <c r="DL102" s="4158"/>
      <c r="DM102" s="2854"/>
      <c r="DN102" s="4158"/>
      <c r="DO102" s="4158"/>
      <c r="DP102" s="4158"/>
      <c r="DQ102" s="4158"/>
      <c r="DR102" s="4158"/>
      <c r="DS102" s="4158"/>
      <c r="DT102" s="4158"/>
      <c r="DU102" s="4158"/>
      <c r="DV102" s="4158"/>
      <c r="DW102" s="4158"/>
      <c r="DX102" s="4158"/>
      <c r="DY102" s="4158"/>
      <c r="DZ102" s="4158"/>
      <c r="EA102" s="4158"/>
      <c r="EB102" s="4158"/>
      <c r="EC102" s="4158"/>
      <c r="ED102" s="4158"/>
      <c r="EE102" s="4158"/>
      <c r="EF102" s="4158"/>
      <c r="EG102" s="4158"/>
      <c r="EH102" s="2854"/>
      <c r="EI102" s="2854"/>
      <c r="EJ102" s="4158"/>
      <c r="EK102" s="4158"/>
      <c r="EL102" s="4158"/>
      <c r="EM102" s="4158"/>
      <c r="EN102" s="4158"/>
      <c r="EO102" s="4158"/>
      <c r="EP102" s="4158"/>
      <c r="EQ102" s="4158"/>
      <c r="ER102" s="4158"/>
      <c r="ES102" s="4158"/>
      <c r="ET102" s="4158"/>
      <c r="EU102" s="4158"/>
      <c r="EV102" s="4158"/>
      <c r="EW102" s="4158"/>
      <c r="EX102" s="4158"/>
      <c r="EY102" s="4158"/>
      <c r="EZ102" s="4158"/>
      <c r="FA102" s="2854"/>
      <c r="FB102" s="4158"/>
      <c r="FC102" s="4158"/>
      <c r="FD102" s="4158"/>
      <c r="FE102" s="4158"/>
      <c r="FF102" s="4158"/>
      <c r="FG102" s="4158"/>
      <c r="FH102" s="4158"/>
      <c r="FI102" s="4158"/>
      <c r="FJ102" s="4158"/>
      <c r="FK102" s="2854"/>
      <c r="FL102" s="4158"/>
      <c r="FM102" s="4158"/>
      <c r="FN102" s="4158"/>
      <c r="FO102" s="4158"/>
      <c r="FP102" s="4158"/>
      <c r="FQ102" s="4158"/>
      <c r="FR102" s="4158"/>
      <c r="FS102" s="4158"/>
      <c r="FT102" s="4158"/>
      <c r="FU102" s="4158"/>
      <c r="FV102" s="2854"/>
      <c r="FW102" s="4158"/>
      <c r="FX102" s="4158"/>
      <c r="FY102" s="4158"/>
      <c r="FZ102" s="4158"/>
      <c r="GA102" s="4158"/>
      <c r="GB102" s="4158"/>
      <c r="GC102" s="4158"/>
      <c r="GD102" s="4158"/>
      <c r="GE102" s="4158"/>
      <c r="GF102" s="4158"/>
      <c r="GG102" s="4158"/>
      <c r="GH102" s="4158"/>
      <c r="GI102" s="4158"/>
      <c r="GJ102" s="4158"/>
      <c r="GK102" s="4158"/>
      <c r="GL102" s="4158"/>
      <c r="GM102" s="4158"/>
      <c r="GN102" s="4158"/>
      <c r="GO102" s="4158"/>
      <c r="GP102" s="4158"/>
      <c r="GQ102" s="4158"/>
      <c r="GR102" s="4158"/>
      <c r="GS102" s="4158"/>
      <c r="GT102" s="4158"/>
      <c r="GU102" s="4158"/>
      <c r="GV102" s="4158"/>
      <c r="GW102" s="2854"/>
      <c r="GX102" s="4158"/>
      <c r="GY102" s="2854"/>
      <c r="GZ102" s="4158"/>
      <c r="HA102" s="4158"/>
      <c r="HB102" s="4158"/>
      <c r="HC102" s="4158"/>
      <c r="HD102" s="4158"/>
      <c r="HE102" s="2854"/>
      <c r="HF102" s="4158"/>
      <c r="HG102" s="4158"/>
      <c r="HH102" s="4158"/>
      <c r="HI102" s="4158"/>
      <c r="HJ102" s="4158"/>
      <c r="HK102" s="4158"/>
      <c r="HL102" s="4158"/>
      <c r="HM102" s="4158"/>
      <c r="HN102" s="4158"/>
      <c r="HO102" s="4158"/>
      <c r="HP102" s="4158"/>
      <c r="HQ102" s="4158"/>
      <c r="HR102" s="4158"/>
      <c r="HS102" s="4158"/>
      <c r="HT102" s="4158"/>
      <c r="HU102" s="4158"/>
      <c r="HV102" s="4158"/>
      <c r="HW102" s="4158"/>
      <c r="HX102" s="4158"/>
      <c r="HY102" s="4158"/>
      <c r="HZ102" s="4158"/>
      <c r="IA102" s="4158"/>
      <c r="IB102" s="4158"/>
      <c r="IC102" s="4158"/>
      <c r="ID102" s="4158"/>
      <c r="IE102" s="4158"/>
      <c r="IF102" s="4158"/>
      <c r="IG102" s="4158"/>
      <c r="IH102" s="4158"/>
      <c r="II102" s="4158"/>
      <c r="IJ102" s="4158"/>
      <c r="IK102" s="4158"/>
      <c r="IL102" s="4158"/>
      <c r="IM102" s="4158"/>
      <c r="IN102" s="4158"/>
      <c r="IO102" s="2854"/>
      <c r="IP102" s="4158"/>
      <c r="IQ102" s="4159"/>
      <c r="IR102" s="4158"/>
      <c r="IS102" s="4158"/>
      <c r="IT102" s="3987"/>
      <c r="IU102" s="4158"/>
      <c r="IV102" s="4158"/>
      <c r="IW102" s="4158"/>
      <c r="IX102" s="4158"/>
      <c r="IY102" s="4160"/>
      <c r="IZ102" s="4158"/>
      <c r="JA102" s="3814"/>
      <c r="JB102" s="4314"/>
      <c r="JC102" s="4242"/>
      <c r="JD102" s="2854"/>
      <c r="JE102" s="3814"/>
      <c r="JF102" s="3814"/>
      <c r="JG102" s="4161"/>
      <c r="JH102" s="1233"/>
      <c r="JI102" s="1393"/>
      <c r="JJ102" s="1660" t="s">
        <v>6124</v>
      </c>
    </row>
    <row ht="12.75" r="103" spans="1:270" x14ac:dyDescent="0.2">
      <c r="A103" s="1128">
        <v>68</v>
      </c>
      <c r="B103" s="1557" t="str">
        <f>IF(PS_B_IND&gt;1,IF(HLOOKUP(PS_B_IND-1,FPS_RANGE,A103)="","",HLOOKUP(PS_B_IND-1,FPS_RANGE,A103)),"")</f>
        <v/>
      </c>
      <c r="C103" s="1559" t="s">
        <v>6558</v>
      </c>
      <c r="D103" s="1350" t="s">
        <v>6279</v>
      </c>
      <c r="E103" s="4158"/>
      <c r="F103" s="4158"/>
      <c r="G103" s="4158"/>
      <c r="H103" s="4158"/>
      <c r="I103" s="4158"/>
      <c r="J103" s="4158"/>
      <c r="K103" s="4158"/>
      <c r="L103" s="4158"/>
      <c r="M103" s="4158"/>
      <c r="N103" s="4158"/>
      <c r="O103" s="4158"/>
      <c r="P103" s="4158"/>
      <c r="Q103" s="4158"/>
      <c r="R103" s="4158"/>
      <c r="S103" s="4158"/>
      <c r="T103" s="4158"/>
      <c r="U103" s="4158"/>
      <c r="V103" s="4158"/>
      <c r="W103" s="4158"/>
      <c r="X103" s="4158"/>
      <c r="Y103" s="4158"/>
      <c r="Z103" s="4158"/>
      <c r="AA103" s="4158"/>
      <c r="AB103" s="4158"/>
      <c r="AC103" s="4158"/>
      <c r="AD103" s="2854"/>
      <c r="AE103" s="2854"/>
      <c r="AF103" s="2854"/>
      <c r="AG103" s="2854"/>
      <c r="AH103" s="2854"/>
      <c r="AI103" s="4158"/>
      <c r="AJ103" s="4158"/>
      <c r="AK103" s="4158"/>
      <c r="AL103" s="4158"/>
      <c r="AM103" s="2854"/>
      <c r="AN103" s="4158"/>
      <c r="AO103" s="4158"/>
      <c r="AP103" s="4158"/>
      <c r="AQ103" s="4158"/>
      <c r="AR103" s="4158"/>
      <c r="AS103" s="4158"/>
      <c r="AT103" s="4158"/>
      <c r="AU103" s="4158"/>
      <c r="AV103" s="4158"/>
      <c r="AW103" s="4158"/>
      <c r="AX103" s="4158"/>
      <c r="AY103" s="4158"/>
      <c r="AZ103" s="4158"/>
      <c r="BA103" s="4158"/>
      <c r="BB103" s="2854"/>
      <c r="BC103" s="2854"/>
      <c r="BD103" s="4158"/>
      <c r="BE103" s="4158"/>
      <c r="BF103" s="4158"/>
      <c r="BG103" s="4158"/>
      <c r="BH103" s="4158"/>
      <c r="BI103" s="4158"/>
      <c r="BJ103" s="4158"/>
      <c r="BK103" s="4158"/>
      <c r="BL103" s="4158"/>
      <c r="BM103" s="4158"/>
      <c r="BN103" s="4158"/>
      <c r="BO103" s="4158"/>
      <c r="BP103" s="4158"/>
      <c r="BQ103" s="4158"/>
      <c r="BR103" s="4158"/>
      <c r="BS103" s="4158"/>
      <c r="BT103" s="4158"/>
      <c r="BU103" s="4158"/>
      <c r="BV103" s="4158"/>
      <c r="BW103" s="4158"/>
      <c r="BX103" s="4158"/>
      <c r="BY103" s="4158"/>
      <c r="BZ103" s="4158"/>
      <c r="CA103" s="4158"/>
      <c r="CB103" s="4158"/>
      <c r="CC103" s="4158"/>
      <c r="CD103" s="4158"/>
      <c r="CE103" s="4158"/>
      <c r="CF103" s="4158"/>
      <c r="CG103" s="4158"/>
      <c r="CH103" s="4158"/>
      <c r="CI103" s="4158"/>
      <c r="CJ103" s="4158"/>
      <c r="CK103" s="4158"/>
      <c r="CL103" s="4158"/>
      <c r="CM103" s="4158"/>
      <c r="CN103" s="4158"/>
      <c r="CO103" s="4158"/>
      <c r="CP103" s="2854"/>
      <c r="CQ103" s="4158"/>
      <c r="CR103" s="4158"/>
      <c r="CS103" s="4158"/>
      <c r="CT103" s="4158"/>
      <c r="CU103" s="4158"/>
      <c r="CV103" s="4158"/>
      <c r="CW103" s="4158"/>
      <c r="CX103" s="4158"/>
      <c r="CY103" s="2854"/>
      <c r="CZ103" s="2854">
        <v>400</v>
      </c>
      <c r="DA103" s="2854">
        <v>450</v>
      </c>
      <c r="DB103" s="4158"/>
      <c r="DC103" s="4158"/>
      <c r="DD103" s="4158"/>
      <c r="DE103" s="4158"/>
      <c r="DF103" s="4158"/>
      <c r="DG103" s="4158"/>
      <c r="DH103" s="2854"/>
      <c r="DI103" s="4158"/>
      <c r="DJ103" s="2854"/>
      <c r="DK103" s="4158"/>
      <c r="DL103" s="4158"/>
      <c r="DM103" s="2854"/>
      <c r="DN103" s="4158"/>
      <c r="DO103" s="4158"/>
      <c r="DP103" s="4158"/>
      <c r="DQ103" s="4158"/>
      <c r="DR103" s="4158"/>
      <c r="DS103" s="4158"/>
      <c r="DT103" s="4158"/>
      <c r="DU103" s="4158"/>
      <c r="DV103" s="4158"/>
      <c r="DW103" s="4158"/>
      <c r="DX103" s="4158"/>
      <c r="DY103" s="4158"/>
      <c r="DZ103" s="4158"/>
      <c r="EA103" s="4158"/>
      <c r="EB103" s="4158"/>
      <c r="EC103" s="4158"/>
      <c r="ED103" s="4158"/>
      <c r="EE103" s="4158"/>
      <c r="EF103" s="4158"/>
      <c r="EG103" s="4158"/>
      <c r="EH103" s="2854"/>
      <c r="EI103" s="2854"/>
      <c r="EJ103" s="4158"/>
      <c r="EK103" s="4158"/>
      <c r="EL103" s="4158"/>
      <c r="EM103" s="4158"/>
      <c r="EN103" s="4158"/>
      <c r="EO103" s="4158"/>
      <c r="EP103" s="4158"/>
      <c r="EQ103" s="4158"/>
      <c r="ER103" s="4158"/>
      <c r="ES103" s="4158"/>
      <c r="ET103" s="4158"/>
      <c r="EU103" s="4158"/>
      <c r="EV103" s="4158"/>
      <c r="EW103" s="4158"/>
      <c r="EX103" s="4158"/>
      <c r="EY103" s="4158"/>
      <c r="EZ103" s="4158"/>
      <c r="FA103" s="2854"/>
      <c r="FB103" s="4158"/>
      <c r="FC103" s="4158"/>
      <c r="FD103" s="4158"/>
      <c r="FE103" s="4158"/>
      <c r="FF103" s="4158"/>
      <c r="FG103" s="4158"/>
      <c r="FH103" s="4158"/>
      <c r="FI103" s="4158"/>
      <c r="FJ103" s="4158"/>
      <c r="FK103" s="2854">
        <v>450</v>
      </c>
      <c r="FL103" s="4158"/>
      <c r="FM103" s="4158"/>
      <c r="FN103" s="4158"/>
      <c r="FO103" s="4158"/>
      <c r="FP103" s="4158"/>
      <c r="FQ103" s="4158"/>
      <c r="FR103" s="4158"/>
      <c r="FS103" s="4158"/>
      <c r="FT103" s="4158"/>
      <c r="FU103" s="4158"/>
      <c r="FV103" s="2854"/>
      <c r="FW103" s="4158"/>
      <c r="FX103" s="4158"/>
      <c r="FY103" s="4158"/>
      <c r="FZ103" s="4158"/>
      <c r="GA103" s="4158"/>
      <c r="GB103" s="4158"/>
      <c r="GC103" s="4158"/>
      <c r="GD103" s="4158"/>
      <c r="GE103" s="4158"/>
      <c r="GF103" s="4158"/>
      <c r="GG103" s="4158"/>
      <c r="GH103" s="4158"/>
      <c r="GI103" s="4158"/>
      <c r="GJ103" s="4158"/>
      <c r="GK103" s="4158"/>
      <c r="GL103" s="4158"/>
      <c r="GM103" s="4158"/>
      <c r="GN103" s="4158"/>
      <c r="GO103" s="4158"/>
      <c r="GP103" s="4158"/>
      <c r="GQ103" s="4158"/>
      <c r="GR103" s="4158"/>
      <c r="GS103" s="4158"/>
      <c r="GT103" s="4158"/>
      <c r="GU103" s="4158"/>
      <c r="GV103" s="4158"/>
      <c r="GW103" s="2854"/>
      <c r="GX103" s="4158"/>
      <c r="GY103" s="2854"/>
      <c r="GZ103" s="4158"/>
      <c r="HA103" s="4158"/>
      <c r="HB103" s="4158"/>
      <c r="HC103" s="4158"/>
      <c r="HD103" s="4158"/>
      <c r="HE103" s="2854"/>
      <c r="HF103" s="4158"/>
      <c r="HG103" s="4158"/>
      <c r="HH103" s="4158"/>
      <c r="HI103" s="4158"/>
      <c r="HJ103" s="4158"/>
      <c r="HK103" s="4158"/>
      <c r="HL103" s="4158"/>
      <c r="HM103" s="4158"/>
      <c r="HN103" s="4158"/>
      <c r="HO103" s="4158"/>
      <c r="HP103" s="4158"/>
      <c r="HQ103" s="4158"/>
      <c r="HR103" s="4158"/>
      <c r="HS103" s="4158"/>
      <c r="HT103" s="4158"/>
      <c r="HU103" s="4158"/>
      <c r="HV103" s="4158"/>
      <c r="HW103" s="4158"/>
      <c r="HX103" s="4158"/>
      <c r="HY103" s="4158"/>
      <c r="HZ103" s="4158"/>
      <c r="IA103" s="4158"/>
      <c r="IB103" s="4158"/>
      <c r="IC103" s="4158"/>
      <c r="ID103" s="4158"/>
      <c r="IE103" s="4158"/>
      <c r="IF103" s="4158"/>
      <c r="IG103" s="4158"/>
      <c r="IH103" s="4158"/>
      <c r="II103" s="4158"/>
      <c r="IJ103" s="4158"/>
      <c r="IK103" s="4158"/>
      <c r="IL103" s="4158"/>
      <c r="IM103" s="4158"/>
      <c r="IN103" s="4158"/>
      <c r="IO103" s="2854"/>
      <c r="IP103" s="4158"/>
      <c r="IQ103" s="4159"/>
      <c r="IR103" s="4158"/>
      <c r="IS103" s="4158"/>
      <c r="IT103" s="3987"/>
      <c r="IU103" s="4158"/>
      <c r="IV103" s="4158"/>
      <c r="IW103" s="4158"/>
      <c r="IX103" s="4158"/>
      <c r="IY103" s="4160"/>
      <c r="IZ103" s="4158"/>
      <c r="JA103" s="3814"/>
      <c r="JB103" s="4314"/>
      <c r="JC103" s="4242"/>
      <c r="JD103" s="2854"/>
      <c r="JE103" s="3814"/>
      <c r="JF103" s="3814"/>
      <c r="JG103" s="4161"/>
      <c r="JH103" s="1233"/>
      <c r="JI103" s="1393"/>
      <c r="JJ103" s="2907"/>
    </row>
    <row ht="12.75" r="104" spans="1:270" x14ac:dyDescent="0.2">
      <c r="A104" s="1128">
        <v>69</v>
      </c>
      <c r="B104" s="1557" t="str">
        <f>IF(PS_B_IND&gt;1,IF(HLOOKUP(PS_B_IND-1,FPS_RANGE,A104)="","",HLOOKUP(PS_B_IND-1,FPS_RANGE,A104)),"")</f>
        <v/>
      </c>
      <c r="C104" s="1559" t="s">
        <v>6856</v>
      </c>
      <c r="D104" s="1350" t="s">
        <v>6857</v>
      </c>
      <c r="E104" s="4158"/>
      <c r="F104" s="4158"/>
      <c r="G104" s="4158"/>
      <c r="H104" s="4158"/>
      <c r="I104" s="4158"/>
      <c r="J104" s="4158"/>
      <c r="K104" s="4158"/>
      <c r="L104" s="4158"/>
      <c r="M104" s="4158"/>
      <c r="N104" s="4158"/>
      <c r="O104" s="4158"/>
      <c r="P104" s="4158"/>
      <c r="Q104" s="4158"/>
      <c r="R104" s="4158"/>
      <c r="S104" s="4158"/>
      <c r="T104" s="4158"/>
      <c r="U104" s="4158"/>
      <c r="V104" s="4158"/>
      <c r="W104" s="4158"/>
      <c r="X104" s="4158"/>
      <c r="Y104" s="4158"/>
      <c r="Z104" s="4158"/>
      <c r="AA104" s="4158"/>
      <c r="AB104" s="4158"/>
      <c r="AC104" s="4158"/>
      <c r="AD104" s="2854"/>
      <c r="AE104" s="2854"/>
      <c r="AF104" s="2854"/>
      <c r="AG104" s="2854"/>
      <c r="AH104" s="2854"/>
      <c r="AI104" s="4158"/>
      <c r="AJ104" s="4158"/>
      <c r="AK104" s="4158"/>
      <c r="AL104" s="4158"/>
      <c r="AM104" s="2854"/>
      <c r="AN104" s="4158"/>
      <c r="AO104" s="4158"/>
      <c r="AP104" s="4158"/>
      <c r="AQ104" s="4158"/>
      <c r="AR104" s="4158"/>
      <c r="AS104" s="4158"/>
      <c r="AT104" s="4158"/>
      <c r="AU104" s="4158"/>
      <c r="AV104" s="4158"/>
      <c r="AW104" s="4158"/>
      <c r="AX104" s="4158"/>
      <c r="AY104" s="4158"/>
      <c r="AZ104" s="4158"/>
      <c r="BA104" s="4158"/>
      <c r="BB104" s="2854"/>
      <c r="BC104" s="2854"/>
      <c r="BD104" s="4158"/>
      <c r="BE104" s="4158"/>
      <c r="BF104" s="4158"/>
      <c r="BG104" s="4158"/>
      <c r="BH104" s="4158"/>
      <c r="BI104" s="4158"/>
      <c r="BJ104" s="4158"/>
      <c r="BK104" s="4158"/>
      <c r="BL104" s="4158"/>
      <c r="BM104" s="4158"/>
      <c r="BN104" s="4158"/>
      <c r="BO104" s="4158"/>
      <c r="BP104" s="4158"/>
      <c r="BQ104" s="4158"/>
      <c r="BR104" s="4158"/>
      <c r="BS104" s="4158"/>
      <c r="BT104" s="4158"/>
      <c r="BU104" s="4158"/>
      <c r="BV104" s="4158"/>
      <c r="BW104" s="4158"/>
      <c r="BX104" s="4158"/>
      <c r="BY104" s="4158"/>
      <c r="BZ104" s="4158"/>
      <c r="CA104" s="4158"/>
      <c r="CB104" s="4158"/>
      <c r="CC104" s="4158"/>
      <c r="CD104" s="4158"/>
      <c r="CE104" s="4158"/>
      <c r="CF104" s="4158"/>
      <c r="CG104" s="4158"/>
      <c r="CH104" s="4158"/>
      <c r="CI104" s="4158"/>
      <c r="CJ104" s="4158"/>
      <c r="CK104" s="4158"/>
      <c r="CL104" s="4158"/>
      <c r="CM104" s="4158"/>
      <c r="CN104" s="4158"/>
      <c r="CO104" s="4158"/>
      <c r="CP104" s="2854"/>
      <c r="CQ104" s="4158"/>
      <c r="CR104" s="4158"/>
      <c r="CS104" s="4158"/>
      <c r="CT104" s="4158"/>
      <c r="CU104" s="4158"/>
      <c r="CV104" s="4158"/>
      <c r="CW104" s="4158"/>
      <c r="CX104" s="4158"/>
      <c r="CY104" s="2854"/>
      <c r="CZ104" s="2854">
        <v>50</v>
      </c>
      <c r="DA104" s="2854"/>
      <c r="DB104" s="4158"/>
      <c r="DC104" s="4158"/>
      <c r="DD104" s="4158"/>
      <c r="DE104" s="4158"/>
      <c r="DF104" s="4158"/>
      <c r="DG104" s="4158"/>
      <c r="DH104" s="2854"/>
      <c r="DI104" s="4158"/>
      <c r="DJ104" s="2854"/>
      <c r="DK104" s="4158"/>
      <c r="DL104" s="4158"/>
      <c r="DM104" s="2854"/>
      <c r="DN104" s="4158"/>
      <c r="DO104" s="4158"/>
      <c r="DP104" s="4158"/>
      <c r="DQ104" s="4158"/>
      <c r="DR104" s="4158"/>
      <c r="DS104" s="4158"/>
      <c r="DT104" s="4158"/>
      <c r="DU104" s="4158"/>
      <c r="DV104" s="4158"/>
      <c r="DW104" s="4158"/>
      <c r="DX104" s="4158"/>
      <c r="DY104" s="4158"/>
      <c r="DZ104" s="4158"/>
      <c r="EA104" s="4158"/>
      <c r="EB104" s="4158"/>
      <c r="EC104" s="4158"/>
      <c r="ED104" s="4158"/>
      <c r="EE104" s="4158"/>
      <c r="EF104" s="4158"/>
      <c r="EG104" s="4158"/>
      <c r="EH104" s="2854"/>
      <c r="EI104" s="2854"/>
      <c r="EJ104" s="4158"/>
      <c r="EK104" s="4158"/>
      <c r="EL104" s="4158"/>
      <c r="EM104" s="4158"/>
      <c r="EN104" s="4158"/>
      <c r="EO104" s="4158"/>
      <c r="EP104" s="4158"/>
      <c r="EQ104" s="4158"/>
      <c r="ER104" s="4158"/>
      <c r="ES104" s="4158"/>
      <c r="ET104" s="4158"/>
      <c r="EU104" s="4158"/>
      <c r="EV104" s="4158"/>
      <c r="EW104" s="4158"/>
      <c r="EX104" s="4158"/>
      <c r="EY104" s="4158"/>
      <c r="EZ104" s="4158"/>
      <c r="FA104" s="2854"/>
      <c r="FB104" s="4158"/>
      <c r="FC104" s="4158"/>
      <c r="FD104" s="4158"/>
      <c r="FE104" s="4158"/>
      <c r="FF104" s="4158"/>
      <c r="FG104" s="4158"/>
      <c r="FH104" s="4158"/>
      <c r="FI104" s="4158"/>
      <c r="FJ104" s="4158"/>
      <c r="FK104" s="2854"/>
      <c r="FL104" s="4158"/>
      <c r="FM104" s="4158"/>
      <c r="FN104" s="4158"/>
      <c r="FO104" s="4158"/>
      <c r="FP104" s="4158"/>
      <c r="FQ104" s="4158"/>
      <c r="FR104" s="4158"/>
      <c r="FS104" s="4158"/>
      <c r="FT104" s="4158"/>
      <c r="FU104" s="4158"/>
      <c r="FV104" s="2854"/>
      <c r="FW104" s="4158"/>
      <c r="FX104" s="4158"/>
      <c r="FY104" s="4158"/>
      <c r="FZ104" s="4158"/>
      <c r="GA104" s="4158"/>
      <c r="GB104" s="4158"/>
      <c r="GC104" s="4158"/>
      <c r="GD104" s="4158"/>
      <c r="GE104" s="4158"/>
      <c r="GF104" s="4158"/>
      <c r="GG104" s="4158"/>
      <c r="GH104" s="4158"/>
      <c r="GI104" s="4158"/>
      <c r="GJ104" s="4158"/>
      <c r="GK104" s="4158"/>
      <c r="GL104" s="4158"/>
      <c r="GM104" s="4158"/>
      <c r="GN104" s="4158"/>
      <c r="GO104" s="4158"/>
      <c r="GP104" s="4158"/>
      <c r="GQ104" s="4158"/>
      <c r="GR104" s="4158"/>
      <c r="GS104" s="4158"/>
      <c r="GT104" s="4158"/>
      <c r="GU104" s="4158"/>
      <c r="GV104" s="4158"/>
      <c r="GW104" s="2854"/>
      <c r="GX104" s="4158"/>
      <c r="GY104" s="2854"/>
      <c r="GZ104" s="4158"/>
      <c r="HA104" s="4158"/>
      <c r="HB104" s="4158"/>
      <c r="HC104" s="4158"/>
      <c r="HD104" s="4158"/>
      <c r="HE104" s="2854"/>
      <c r="HF104" s="4158"/>
      <c r="HG104" s="4158"/>
      <c r="HH104" s="4158"/>
      <c r="HI104" s="4158"/>
      <c r="HJ104" s="4158"/>
      <c r="HK104" s="4158"/>
      <c r="HL104" s="4158"/>
      <c r="HM104" s="4158"/>
      <c r="HN104" s="4158"/>
      <c r="HO104" s="4158"/>
      <c r="HP104" s="4158"/>
      <c r="HQ104" s="4158"/>
      <c r="HR104" s="4158"/>
      <c r="HS104" s="4158"/>
      <c r="HT104" s="4158"/>
      <c r="HU104" s="4158"/>
      <c r="HV104" s="4158"/>
      <c r="HW104" s="4158"/>
      <c r="HX104" s="4158"/>
      <c r="HY104" s="4158"/>
      <c r="HZ104" s="4158"/>
      <c r="IA104" s="4158"/>
      <c r="IB104" s="4158"/>
      <c r="IC104" s="4158"/>
      <c r="ID104" s="4158"/>
      <c r="IE104" s="4158"/>
      <c r="IF104" s="4158"/>
      <c r="IG104" s="4158"/>
      <c r="IH104" s="4158"/>
      <c r="II104" s="4158"/>
      <c r="IJ104" s="4158"/>
      <c r="IK104" s="4158"/>
      <c r="IL104" s="4158"/>
      <c r="IM104" s="4158"/>
      <c r="IN104" s="4158"/>
      <c r="IO104" s="2854"/>
      <c r="IP104" s="4158"/>
      <c r="IQ104" s="4159"/>
      <c r="IR104" s="4158"/>
      <c r="IS104" s="4158"/>
      <c r="IT104" s="3987"/>
      <c r="IU104" s="4158"/>
      <c r="IV104" s="4158"/>
      <c r="IW104" s="4158"/>
      <c r="IX104" s="4158"/>
      <c r="IY104" s="4160"/>
      <c r="IZ104" s="4158"/>
      <c r="JA104" s="3814"/>
      <c r="JB104" s="4314"/>
      <c r="JC104" s="4242"/>
      <c r="JD104" s="2854"/>
      <c r="JE104" s="3814"/>
      <c r="JF104" s="3814"/>
      <c r="JG104" s="4161"/>
      <c r="JH104" s="1233"/>
      <c r="JI104" s="1393"/>
      <c r="JJ104" s="2971"/>
    </row>
    <row ht="12.75" r="105" spans="1:270" x14ac:dyDescent="0.2">
      <c r="A105" s="1128">
        <v>70</v>
      </c>
      <c r="B105" s="1557" t="str">
        <f si="3" t="shared"/>
        <v/>
      </c>
      <c r="C105" s="1559" t="s">
        <v>6451</v>
      </c>
      <c r="D105" s="1350" t="s">
        <v>6272</v>
      </c>
      <c r="E105" s="4158"/>
      <c r="F105" s="4158"/>
      <c r="G105" s="4158"/>
      <c r="H105" s="4158"/>
      <c r="I105" s="4158"/>
      <c r="J105" s="4158"/>
      <c r="K105" s="4158"/>
      <c r="L105" s="4158"/>
      <c r="M105" s="4158"/>
      <c r="N105" s="4158"/>
      <c r="O105" s="4158"/>
      <c r="P105" s="4158"/>
      <c r="Q105" s="4158"/>
      <c r="R105" s="4158"/>
      <c r="S105" s="4158"/>
      <c r="T105" s="4158"/>
      <c r="U105" s="4158"/>
      <c r="V105" s="4158"/>
      <c r="W105" s="4158"/>
      <c r="X105" s="4158"/>
      <c r="Y105" s="4158"/>
      <c r="Z105" s="4158"/>
      <c r="AA105" s="4158"/>
      <c r="AB105" s="4158"/>
      <c r="AC105" s="4158"/>
      <c r="AD105" s="2854"/>
      <c r="AE105" s="2854"/>
      <c r="AF105" s="2854"/>
      <c r="AG105" s="2854"/>
      <c r="AH105" s="2854"/>
      <c r="AI105" s="4158"/>
      <c r="AJ105" s="4158"/>
      <c r="AK105" s="4158"/>
      <c r="AL105" s="4158"/>
      <c r="AM105" s="2854"/>
      <c r="AN105" s="4158"/>
      <c r="AO105" s="4158"/>
      <c r="AP105" s="4158"/>
      <c r="AQ105" s="4158"/>
      <c r="AR105" s="4158"/>
      <c r="AS105" s="4158"/>
      <c r="AT105" s="4158"/>
      <c r="AU105" s="4158"/>
      <c r="AV105" s="4158"/>
      <c r="AW105" s="4158"/>
      <c r="AX105" s="4158"/>
      <c r="AY105" s="4158"/>
      <c r="AZ105" s="4158"/>
      <c r="BA105" s="4158"/>
      <c r="BB105" s="2854"/>
      <c r="BC105" s="2854"/>
      <c r="BD105" s="4158"/>
      <c r="BE105" s="4158"/>
      <c r="BF105" s="4158"/>
      <c r="BG105" s="4158"/>
      <c r="BH105" s="4158"/>
      <c r="BI105" s="4158"/>
      <c r="BJ105" s="4158"/>
      <c r="BK105" s="4158"/>
      <c r="BL105" s="4158"/>
      <c r="BM105" s="4158"/>
      <c r="BN105" s="4158"/>
      <c r="BO105" s="4158"/>
      <c r="BP105" s="4158"/>
      <c r="BQ105" s="4158"/>
      <c r="BR105" s="4158"/>
      <c r="BS105" s="4158"/>
      <c r="BT105" s="4158"/>
      <c r="BU105" s="4158"/>
      <c r="BV105" s="4158"/>
      <c r="BW105" s="4158"/>
      <c r="BX105" s="4158"/>
      <c r="BY105" s="4158"/>
      <c r="BZ105" s="4158"/>
      <c r="CA105" s="4158"/>
      <c r="CB105" s="4158"/>
      <c r="CC105" s="4158"/>
      <c r="CD105" s="4158"/>
      <c r="CE105" s="4158"/>
      <c r="CF105" s="4158"/>
      <c r="CG105" s="4158"/>
      <c r="CH105" s="4158"/>
      <c r="CI105" s="4158"/>
      <c r="CJ105" s="4158"/>
      <c r="CK105" s="4158"/>
      <c r="CL105" s="4158"/>
      <c r="CM105" s="4158"/>
      <c r="CN105" s="4158"/>
      <c r="CO105" s="4158"/>
      <c r="CP105" s="2854"/>
      <c r="CQ105" s="4158"/>
      <c r="CR105" s="4158"/>
      <c r="CS105" s="4158"/>
      <c r="CT105" s="4158"/>
      <c r="CU105" s="4158"/>
      <c r="CV105" s="4158"/>
      <c r="CW105" s="4158"/>
      <c r="CX105" s="4158"/>
      <c r="CY105" s="2854"/>
      <c r="CZ105" s="2854"/>
      <c r="DA105" s="2854"/>
      <c r="DB105" s="4158"/>
      <c r="DC105" s="4158"/>
      <c r="DD105" s="4158"/>
      <c r="DE105" s="4158"/>
      <c r="DF105" s="4158"/>
      <c r="DG105" s="4158"/>
      <c r="DH105" s="2854"/>
      <c r="DI105" s="4158"/>
      <c r="DJ105" s="2854"/>
      <c r="DK105" s="4158"/>
      <c r="DL105" s="4158"/>
      <c r="DM105" s="2854"/>
      <c r="DN105" s="4158"/>
      <c r="DO105" s="4158"/>
      <c r="DP105" s="4158"/>
      <c r="DQ105" s="4158"/>
      <c r="DR105" s="4158"/>
      <c r="DS105" s="4158"/>
      <c r="DT105" s="4158"/>
      <c r="DU105" s="4158"/>
      <c r="DV105" s="4158"/>
      <c r="DW105" s="4158"/>
      <c r="DX105" s="4158"/>
      <c r="DY105" s="4158"/>
      <c r="DZ105" s="4158"/>
      <c r="EA105" s="4158"/>
      <c r="EB105" s="4158"/>
      <c r="EC105" s="4158"/>
      <c r="ED105" s="4158"/>
      <c r="EE105" s="4158"/>
      <c r="EF105" s="4158"/>
      <c r="EG105" s="4158"/>
      <c r="EH105" s="2854"/>
      <c r="EI105" s="2854"/>
      <c r="EJ105" s="4158"/>
      <c r="EK105" s="4158"/>
      <c r="EL105" s="4158"/>
      <c r="EM105" s="4158"/>
      <c r="EN105" s="4158"/>
      <c r="EO105" s="4158"/>
      <c r="EP105" s="4158"/>
      <c r="EQ105" s="4158"/>
      <c r="ER105" s="4158"/>
      <c r="ES105" s="4158"/>
      <c r="ET105" s="4158"/>
      <c r="EU105" s="4158"/>
      <c r="EV105" s="4158"/>
      <c r="EW105" s="4158"/>
      <c r="EX105" s="4158"/>
      <c r="EY105" s="4158"/>
      <c r="EZ105" s="4158"/>
      <c r="FA105" s="2854"/>
      <c r="FB105" s="4158"/>
      <c r="FC105" s="4158"/>
      <c r="FD105" s="4158"/>
      <c r="FE105" s="4158"/>
      <c r="FF105" s="4158"/>
      <c r="FG105" s="4158"/>
      <c r="FH105" s="4158"/>
      <c r="FI105" s="4158"/>
      <c r="FJ105" s="4158"/>
      <c r="FK105" s="2854"/>
      <c r="FL105" s="4158"/>
      <c r="FM105" s="4158"/>
      <c r="FN105" s="4158"/>
      <c r="FO105" s="4158"/>
      <c r="FP105" s="4158"/>
      <c r="FQ105" s="4158"/>
      <c r="FR105" s="4158"/>
      <c r="FS105" s="4158"/>
      <c r="FT105" s="4158"/>
      <c r="FU105" s="4158"/>
      <c r="FV105" s="2854"/>
      <c r="FW105" s="4158"/>
      <c r="FX105" s="4158"/>
      <c r="FY105" s="4158"/>
      <c r="FZ105" s="4158"/>
      <c r="GA105" s="4158"/>
      <c r="GB105" s="4158"/>
      <c r="GC105" s="4158"/>
      <c r="GD105" s="4158"/>
      <c r="GE105" s="4158"/>
      <c r="GF105" s="4158"/>
      <c r="GG105" s="4158"/>
      <c r="GH105" s="4158"/>
      <c r="GI105" s="4158"/>
      <c r="GJ105" s="4158"/>
      <c r="GK105" s="4158"/>
      <c r="GL105" s="4158"/>
      <c r="GM105" s="4158"/>
      <c r="GN105" s="4158"/>
      <c r="GO105" s="4158"/>
      <c r="GP105" s="4158"/>
      <c r="GQ105" s="4158"/>
      <c r="GR105" s="4158"/>
      <c r="GS105" s="4158"/>
      <c r="GT105" s="4158"/>
      <c r="GU105" s="4158"/>
      <c r="GV105" s="4158"/>
      <c r="GW105" s="2854"/>
      <c r="GX105" s="4158"/>
      <c r="GY105" s="2854"/>
      <c r="GZ105" s="4158"/>
      <c r="HA105" s="4158"/>
      <c r="HB105" s="4158"/>
      <c r="HC105" s="4158"/>
      <c r="HD105" s="4158"/>
      <c r="HE105" s="2854"/>
      <c r="HF105" s="4158"/>
      <c r="HG105" s="4158"/>
      <c r="HH105" s="4158"/>
      <c r="HI105" s="4158"/>
      <c r="HJ105" s="4158"/>
      <c r="HK105" s="4158"/>
      <c r="HL105" s="4158"/>
      <c r="HM105" s="4158"/>
      <c r="HN105" s="4158"/>
      <c r="HO105" s="4158"/>
      <c r="HP105" s="4158"/>
      <c r="HQ105" s="4158"/>
      <c r="HR105" s="4158"/>
      <c r="HS105" s="4158"/>
      <c r="HT105" s="4158"/>
      <c r="HU105" s="4158"/>
      <c r="HV105" s="4158"/>
      <c r="HW105" s="4158"/>
      <c r="HX105" s="4158"/>
      <c r="HY105" s="4158"/>
      <c r="HZ105" s="4158"/>
      <c r="IA105" s="4158"/>
      <c r="IB105" s="4158"/>
      <c r="IC105" s="4158"/>
      <c r="ID105" s="4158"/>
      <c r="IE105" s="4158"/>
      <c r="IF105" s="4158"/>
      <c r="IG105" s="4158"/>
      <c r="IH105" s="4158"/>
      <c r="II105" s="4158"/>
      <c r="IJ105" s="4158"/>
      <c r="IK105" s="4158"/>
      <c r="IL105" s="4158"/>
      <c r="IM105" s="4158"/>
      <c r="IN105" s="4158"/>
      <c r="IO105" s="2854">
        <f>MAX(0,IO101-IO102)</f>
        <v>0</v>
      </c>
      <c r="IP105" s="4158"/>
      <c r="IQ105" s="4159"/>
      <c r="IR105" s="4158"/>
      <c r="IS105" s="4158"/>
      <c r="IT105" s="3987"/>
      <c r="IU105" s="4158"/>
      <c r="IV105" s="4158"/>
      <c r="IW105" s="4158"/>
      <c r="IX105" s="4158"/>
      <c r="IY105" s="4160"/>
      <c r="IZ105" s="4158"/>
      <c r="JA105" s="3814"/>
      <c r="JB105" s="4314"/>
      <c r="JC105" s="4242"/>
      <c r="JD105" s="2854"/>
      <c r="JE105" s="3814"/>
      <c r="JF105" s="3814"/>
      <c r="JG105" s="4161"/>
      <c r="JH105" s="1233"/>
      <c r="JI105" s="1393"/>
      <c r="JJ105" s="2907"/>
    </row>
    <row ht="22.5" r="106" spans="1:270" x14ac:dyDescent="0.2">
      <c r="A106" s="1128">
        <v>71</v>
      </c>
      <c r="B106" s="1557" t="str">
        <f>IF(PS_B_IND&gt;1,IF(HLOOKUP(PS_B_IND-1,FPS_RANGE,A106)="","",HLOOKUP(PS_B_IND-1,FPS_RANGE,A106)),"")</f>
        <v/>
      </c>
      <c r="C106" s="1559" t="s">
        <v>2810</v>
      </c>
      <c r="D106" s="1350" t="s">
        <v>5683</v>
      </c>
      <c r="E106" s="4164"/>
      <c r="F106" s="4164"/>
      <c r="G106" s="4164"/>
      <c r="H106" s="4164"/>
      <c r="I106" s="4164"/>
      <c r="J106" s="4164"/>
      <c r="K106" s="4164"/>
      <c r="L106" s="4164"/>
      <c r="M106" s="4164"/>
      <c r="N106" s="4164"/>
      <c r="O106" s="4164"/>
      <c r="P106" s="4164"/>
      <c r="Q106" s="4164"/>
      <c r="R106" s="4164"/>
      <c r="S106" s="4164"/>
      <c r="T106" s="4164"/>
      <c r="U106" s="4164"/>
      <c r="V106" s="4164"/>
      <c r="W106" s="4164"/>
      <c r="X106" s="4164"/>
      <c r="Y106" s="4164"/>
      <c r="Z106" s="4164"/>
      <c r="AA106" s="4164"/>
      <c r="AB106" s="4164"/>
      <c r="AC106" s="4164"/>
      <c r="AD106" s="2855"/>
      <c r="AE106" s="2855"/>
      <c r="AF106" s="2855"/>
      <c r="AG106" s="2855"/>
      <c r="AH106" s="2855"/>
      <c r="AI106" s="4164"/>
      <c r="AJ106" s="4164"/>
      <c r="AK106" s="4164"/>
      <c r="AL106" s="4164"/>
      <c r="AM106" s="2855">
        <f>MAX(0,AM77+AM83+AM87+AM94+AM99)</f>
        <v>0</v>
      </c>
      <c r="AN106" s="4164"/>
      <c r="AO106" s="4164"/>
      <c r="AP106" s="4164"/>
      <c r="AQ106" s="4164"/>
      <c r="AR106" s="4164"/>
      <c r="AS106" s="4164"/>
      <c r="AT106" s="4164"/>
      <c r="AU106" s="4164"/>
      <c r="AV106" s="4164"/>
      <c r="AW106" s="4164"/>
      <c r="AX106" s="4164"/>
      <c r="AY106" s="4164"/>
      <c r="AZ106" s="4164"/>
      <c r="BA106" s="4164"/>
      <c r="BB106" s="2855">
        <f>MAX(0,BB77+BB83+BB87+BB94+BB99)</f>
        <v>7962</v>
      </c>
      <c r="BC106" s="2855">
        <f>MAX(0,BC77+BC83+BC87+BC94+BC99)</f>
        <v>0</v>
      </c>
      <c r="BD106" s="4164"/>
      <c r="BE106" s="4164"/>
      <c r="BF106" s="4164"/>
      <c r="BG106" s="4164"/>
      <c r="BH106" s="4164"/>
      <c r="BI106" s="4164"/>
      <c r="BJ106" s="4164"/>
      <c r="BK106" s="4164"/>
      <c r="BL106" s="4164"/>
      <c r="BM106" s="4164"/>
      <c r="BN106" s="4164"/>
      <c r="BO106" s="4164"/>
      <c r="BP106" s="4164"/>
      <c r="BQ106" s="4164"/>
      <c r="BR106" s="4164"/>
      <c r="BS106" s="4164"/>
      <c r="BT106" s="4164"/>
      <c r="BU106" s="4164"/>
      <c r="BV106" s="4164"/>
      <c r="BW106" s="4164"/>
      <c r="BX106" s="4164"/>
      <c r="BY106" s="4164"/>
      <c r="BZ106" s="4164"/>
      <c r="CA106" s="4164"/>
      <c r="CB106" s="4164"/>
      <c r="CC106" s="4164"/>
      <c r="CD106" s="4164"/>
      <c r="CE106" s="4164"/>
      <c r="CF106" s="4164"/>
      <c r="CG106" s="4164"/>
      <c r="CH106" s="4164"/>
      <c r="CI106" s="4164"/>
      <c r="CJ106" s="4164"/>
      <c r="CK106" s="4164"/>
      <c r="CL106" s="4164"/>
      <c r="CM106" s="4164"/>
      <c r="CN106" s="4164"/>
      <c r="CO106" s="4164"/>
      <c r="CP106" s="2855">
        <f>MAX(0,CP77+CP83+CP87+CP94+CP99)</f>
        <v>0</v>
      </c>
      <c r="CQ106" s="4164"/>
      <c r="CR106" s="4164"/>
      <c r="CS106" s="4164"/>
      <c r="CT106" s="4164"/>
      <c r="CU106" s="4164"/>
      <c r="CV106" s="4164"/>
      <c r="CW106" s="4164"/>
      <c r="CX106" s="4164"/>
      <c r="CY106" s="2855">
        <f>MAX(0,CY77+CY83+CY87+CY94+CY99)</f>
        <v>9471</v>
      </c>
      <c r="CZ106" s="2855">
        <f>MAX(0,CZ77+CZ83+CZ87+CZ94+CZ99)</f>
        <v>21987</v>
      </c>
      <c r="DA106" s="2855">
        <f>MAX(0,DA77+DA83+DA87+DA94+DA99)</f>
        <v>21987</v>
      </c>
      <c r="DB106" s="4164"/>
      <c r="DC106" s="4164"/>
      <c r="DD106" s="4164"/>
      <c r="DE106" s="4164"/>
      <c r="DF106" s="4164"/>
      <c r="DG106" s="4164"/>
      <c r="DH106" s="2855">
        <f>MAX(0,DH77+DH83+DH87+DH94+DH99)</f>
        <v>0</v>
      </c>
      <c r="DI106" s="4164"/>
      <c r="DJ106" s="2855">
        <f>MAX(0,DJ77+DJ83+DJ87+DJ94+DJ99)</f>
        <v>9471</v>
      </c>
      <c r="DK106" s="4164"/>
      <c r="DL106" s="4164"/>
      <c r="DM106" s="2855">
        <f>MAX(0,DM77+DM83+DM87+DM94+DM99)</f>
        <v>9471</v>
      </c>
      <c r="DN106" s="4164"/>
      <c r="DO106" s="4164"/>
      <c r="DP106" s="4164"/>
      <c r="DQ106" s="4164"/>
      <c r="DR106" s="4164"/>
      <c r="DS106" s="4164"/>
      <c r="DT106" s="4164"/>
      <c r="DU106" s="4164"/>
      <c r="DV106" s="4164"/>
      <c r="DW106" s="4164"/>
      <c r="DX106" s="4164"/>
      <c r="DY106" s="4164"/>
      <c r="DZ106" s="4164"/>
      <c r="EA106" s="4164"/>
      <c r="EB106" s="4164"/>
      <c r="EC106" s="4164"/>
      <c r="ED106" s="4164"/>
      <c r="EE106" s="4164"/>
      <c r="EF106" s="4164"/>
      <c r="EG106" s="4164"/>
      <c r="EH106" s="2855">
        <f>MAX(0,EH77+EH83+EH87+EH94+EH99)</f>
        <v>0</v>
      </c>
      <c r="EI106" s="2855">
        <f>MAX(0,EI77+EI83+EI87+EI94+EI99)</f>
        <v>11430</v>
      </c>
      <c r="EJ106" s="4164"/>
      <c r="EK106" s="4164"/>
      <c r="EL106" s="4164"/>
      <c r="EM106" s="4164"/>
      <c r="EN106" s="4164"/>
      <c r="EO106" s="4164"/>
      <c r="EP106" s="4164"/>
      <c r="EQ106" s="4164"/>
      <c r="ER106" s="4164"/>
      <c r="ES106" s="4164"/>
      <c r="ET106" s="4164"/>
      <c r="EU106" s="4164"/>
      <c r="EV106" s="4164"/>
      <c r="EW106" s="4164"/>
      <c r="EX106" s="4164"/>
      <c r="EY106" s="4164"/>
      <c r="EZ106" s="4164"/>
      <c r="FA106" s="2855">
        <f>MAX(0,FA77+FA83+FA87+FA94+FA99)</f>
        <v>9471</v>
      </c>
      <c r="FB106" s="4164"/>
      <c r="FC106" s="4164"/>
      <c r="FD106" s="4164"/>
      <c r="FE106" s="4164"/>
      <c r="FF106" s="4164"/>
      <c r="FG106" s="4164"/>
      <c r="FH106" s="4164"/>
      <c r="FI106" s="4164"/>
      <c r="FJ106" s="4164"/>
      <c r="FK106" s="2855">
        <f>MAX(0,FK77+FK83+FK87+FK94+FK99)</f>
        <v>21987</v>
      </c>
      <c r="FL106" s="4164"/>
      <c r="FM106" s="4164"/>
      <c r="FN106" s="4164"/>
      <c r="FO106" s="4164"/>
      <c r="FP106" s="4164"/>
      <c r="FQ106" s="4164"/>
      <c r="FR106" s="4164"/>
      <c r="FS106" s="4164"/>
      <c r="FT106" s="4164"/>
      <c r="FU106" s="4164"/>
      <c r="FV106" s="2855">
        <f>MAX(0,FV77+FV83+FV87+FV94+FV99)</f>
        <v>0</v>
      </c>
      <c r="FW106" s="4164"/>
      <c r="FX106" s="4164"/>
      <c r="FY106" s="4164"/>
      <c r="FZ106" s="4164"/>
      <c r="GA106" s="4164"/>
      <c r="GB106" s="4164"/>
      <c r="GC106" s="4164"/>
      <c r="GD106" s="4164"/>
      <c r="GE106" s="4164"/>
      <c r="GF106" s="4164"/>
      <c r="GG106" s="4164"/>
      <c r="GH106" s="4164"/>
      <c r="GI106" s="4164"/>
      <c r="GJ106" s="4164"/>
      <c r="GK106" s="4164"/>
      <c r="GL106" s="4164"/>
      <c r="GM106" s="4164"/>
      <c r="GN106" s="4164"/>
      <c r="GO106" s="4164"/>
      <c r="GP106" s="4164"/>
      <c r="GQ106" s="4164"/>
      <c r="GR106" s="4164"/>
      <c r="GS106" s="4164"/>
      <c r="GT106" s="4164"/>
      <c r="GU106" s="4164"/>
      <c r="GV106" s="4164"/>
      <c r="GW106" s="2855">
        <f>MAX(0,GW77+GW83+GW87+GW94+GW99)</f>
        <v>0</v>
      </c>
      <c r="GX106" s="4164"/>
      <c r="GY106" s="2855">
        <f>MAX(0,GY77+GY83+GY87+GY94+GY99)</f>
        <v>11431</v>
      </c>
      <c r="GZ106" s="4164"/>
      <c r="HA106" s="4164"/>
      <c r="HB106" s="4164"/>
      <c r="HC106" s="4164"/>
      <c r="HD106" s="4164"/>
      <c r="HE106" s="2855">
        <f>MAX(0,HE77+HE83+HE87+HE94+HE99)</f>
        <v>0</v>
      </c>
      <c r="HF106" s="4164"/>
      <c r="HG106" s="4164"/>
      <c r="HH106" s="4164"/>
      <c r="HI106" s="4164"/>
      <c r="HJ106" s="4164"/>
      <c r="HK106" s="4164"/>
      <c r="HL106" s="4164"/>
      <c r="HM106" s="4164"/>
      <c r="HN106" s="4164"/>
      <c r="HO106" s="4164"/>
      <c r="HP106" s="4164"/>
      <c r="HQ106" s="4164"/>
      <c r="HR106" s="4164"/>
      <c r="HS106" s="4164"/>
      <c r="HT106" s="4164"/>
      <c r="HU106" s="4164"/>
      <c r="HV106" s="4164"/>
      <c r="HW106" s="4164"/>
      <c r="HX106" s="4164"/>
      <c r="HY106" s="4164"/>
      <c r="HZ106" s="4164"/>
      <c r="IA106" s="4164"/>
      <c r="IB106" s="4164"/>
      <c r="IC106" s="4164"/>
      <c r="ID106" s="4164"/>
      <c r="IE106" s="4164"/>
      <c r="IF106" s="4164"/>
      <c r="IG106" s="4164"/>
      <c r="IH106" s="4164"/>
      <c r="II106" s="4164"/>
      <c r="IJ106" s="4164"/>
      <c r="IK106" s="4164"/>
      <c r="IL106" s="4164"/>
      <c r="IM106" s="4164"/>
      <c r="IN106" s="4164"/>
      <c r="IO106" s="2855">
        <f>MAX(0,IO82+IO85+IO89+IO96+IO101)</f>
        <v>0</v>
      </c>
      <c r="IP106" s="2855">
        <f>MAX(0,IP82+IP85+IP89+IP96+IP101)</f>
        <v>0</v>
      </c>
      <c r="IQ106" s="2855">
        <f>MAX(0,IQ77+IQ83+IQ88+IQ94+IQ99)</f>
        <v>106</v>
      </c>
      <c r="IR106" s="2855"/>
      <c r="IS106" s="2855"/>
      <c r="IT106" s="2855">
        <f>MAX(0,IT77+IT83+IT88+IT94+IT99)</f>
        <v>0</v>
      </c>
      <c r="IU106" s="2855"/>
      <c r="IV106" s="2855"/>
      <c r="IW106" s="2855"/>
      <c r="IX106" s="2855"/>
      <c r="IY106" s="2855">
        <f>MAX(0,IY77+IY83+IY88+IY94+IY99)</f>
        <v>0</v>
      </c>
      <c r="IZ106" s="2855"/>
      <c r="JA106" s="2855"/>
      <c r="JB106" s="2855">
        <f>MAX(0,JB77+JB83+JB88+JB94+JB99)</f>
        <v>269</v>
      </c>
      <c r="JC106" s="2855">
        <f>MAX(0,JC77+JC83+JC88+JC94+JC99)</f>
        <v>0</v>
      </c>
      <c r="JD106" s="2855"/>
      <c r="JE106" s="3816"/>
      <c r="JF106" s="3816"/>
      <c r="JG106" s="4166"/>
      <c r="JH106" s="1233"/>
      <c r="JI106" s="1393" t="s">
        <v>5642</v>
      </c>
      <c r="JJ106" s="1660" t="s">
        <v>6124</v>
      </c>
    </row>
    <row ht="12.75" r="107" spans="1:270" x14ac:dyDescent="0.2">
      <c r="A107" s="1128">
        <v>72</v>
      </c>
      <c r="B107" s="1557" t="str">
        <f ref="B107:B122" si="4" t="shared">IF(PS_B_IND&gt;1,IF(HLOOKUP(PS_B_IND-1,FPS_RANGE,A107)="","",HLOOKUP(PS_B_IND-1,FPS_RANGE,A107)),"")</f>
        <v/>
      </c>
      <c r="C107" s="1559" t="s">
        <v>2811</v>
      </c>
      <c r="D107" s="1350" t="s">
        <v>5534</v>
      </c>
      <c r="E107" s="4176"/>
      <c r="F107" s="4176"/>
      <c r="G107" s="4176"/>
      <c r="H107" s="4176"/>
      <c r="I107" s="4176"/>
      <c r="J107" s="4176"/>
      <c r="K107" s="4176"/>
      <c r="L107" s="4176"/>
      <c r="M107" s="4176"/>
      <c r="N107" s="4176"/>
      <c r="O107" s="4176"/>
      <c r="P107" s="4176"/>
      <c r="Q107" s="4176"/>
      <c r="R107" s="4176"/>
      <c r="S107" s="4176"/>
      <c r="T107" s="4176"/>
      <c r="U107" s="4176"/>
      <c r="V107" s="4176"/>
      <c r="W107" s="4176"/>
      <c r="X107" s="4176"/>
      <c r="Y107" s="4176"/>
      <c r="Z107" s="4176"/>
      <c r="AA107" s="4176"/>
      <c r="AB107" s="4176"/>
      <c r="AC107" s="4176"/>
      <c r="AD107" s="2499"/>
      <c r="AE107" s="2499"/>
      <c r="AF107" s="2499"/>
      <c r="AG107" s="2499"/>
      <c r="AH107" s="2499"/>
      <c r="AI107" s="4176"/>
      <c r="AJ107" s="4176"/>
      <c r="AK107" s="4176"/>
      <c r="AL107" s="4176"/>
      <c r="AM107" s="2499"/>
      <c r="AN107" s="4176"/>
      <c r="AO107" s="4176"/>
      <c r="AP107" s="4176"/>
      <c r="AQ107" s="4176"/>
      <c r="AR107" s="4176"/>
      <c r="AS107" s="4176"/>
      <c r="AT107" s="4176"/>
      <c r="AU107" s="4176"/>
      <c r="AV107" s="4176"/>
      <c r="AW107" s="4176"/>
      <c r="AX107" s="4176"/>
      <c r="AY107" s="4176"/>
      <c r="AZ107" s="4176"/>
      <c r="BA107" s="4176"/>
      <c r="BB107" s="2499"/>
      <c r="BC107" s="2499"/>
      <c r="BD107" s="4176"/>
      <c r="BE107" s="4176"/>
      <c r="BF107" s="4176"/>
      <c r="BG107" s="4176"/>
      <c r="BH107" s="4176"/>
      <c r="BI107" s="4176"/>
      <c r="BJ107" s="4176"/>
      <c r="BK107" s="4176"/>
      <c r="BL107" s="4176"/>
      <c r="BM107" s="4176"/>
      <c r="BN107" s="4176"/>
      <c r="BO107" s="4176"/>
      <c r="BP107" s="4176"/>
      <c r="BQ107" s="4176"/>
      <c r="BR107" s="4176"/>
      <c r="BS107" s="4176"/>
      <c r="BT107" s="4176"/>
      <c r="BU107" s="4176"/>
      <c r="BV107" s="4176"/>
      <c r="BW107" s="4176"/>
      <c r="BX107" s="4176"/>
      <c r="BY107" s="4176"/>
      <c r="BZ107" s="4176"/>
      <c r="CA107" s="4176"/>
      <c r="CB107" s="4176"/>
      <c r="CC107" s="4176"/>
      <c r="CD107" s="4176"/>
      <c r="CE107" s="4176"/>
      <c r="CF107" s="4176"/>
      <c r="CG107" s="4176"/>
      <c r="CH107" s="4176"/>
      <c r="CI107" s="4176"/>
      <c r="CJ107" s="4176"/>
      <c r="CK107" s="4176"/>
      <c r="CL107" s="4176"/>
      <c r="CM107" s="4176"/>
      <c r="CN107" s="4176"/>
      <c r="CO107" s="4176"/>
      <c r="CP107" s="2499"/>
      <c r="CQ107" s="4176"/>
      <c r="CR107" s="4176"/>
      <c r="CS107" s="4176"/>
      <c r="CT107" s="4176"/>
      <c r="CU107" s="4176"/>
      <c r="CV107" s="4176"/>
      <c r="CW107" s="4176"/>
      <c r="CX107" s="4176"/>
      <c r="CY107" s="2870">
        <v>1622</v>
      </c>
      <c r="CZ107" s="2499"/>
      <c r="DA107" s="2499"/>
      <c r="DB107" s="4176"/>
      <c r="DC107" s="4176"/>
      <c r="DD107" s="4176"/>
      <c r="DE107" s="4176"/>
      <c r="DF107" s="4176"/>
      <c r="DG107" s="4176"/>
      <c r="DH107" s="2499"/>
      <c r="DI107" s="4176"/>
      <c r="DJ107" s="2870">
        <v>1622</v>
      </c>
      <c r="DK107" s="4176"/>
      <c r="DL107" s="4176"/>
      <c r="DM107" s="2870">
        <v>1622</v>
      </c>
      <c r="DN107" s="4176"/>
      <c r="DO107" s="4176"/>
      <c r="DP107" s="4176"/>
      <c r="DQ107" s="4176"/>
      <c r="DR107" s="4176"/>
      <c r="DS107" s="4176"/>
      <c r="DT107" s="4176"/>
      <c r="DU107" s="4176"/>
      <c r="DV107" s="4176"/>
      <c r="DW107" s="4176"/>
      <c r="DX107" s="4176"/>
      <c r="DY107" s="4176"/>
      <c r="DZ107" s="4176"/>
      <c r="EA107" s="4176"/>
      <c r="EB107" s="4176"/>
      <c r="EC107" s="4176"/>
      <c r="ED107" s="4176"/>
      <c r="EE107" s="4176"/>
      <c r="EF107" s="4176"/>
      <c r="EG107" s="4176"/>
      <c r="EH107" s="2499"/>
      <c r="EI107" s="2499"/>
      <c r="EJ107" s="4176"/>
      <c r="EK107" s="4176"/>
      <c r="EL107" s="4176"/>
      <c r="EM107" s="4176"/>
      <c r="EN107" s="4176"/>
      <c r="EO107" s="4176"/>
      <c r="EP107" s="4176"/>
      <c r="EQ107" s="4176"/>
      <c r="ER107" s="4176"/>
      <c r="ES107" s="4176"/>
      <c r="ET107" s="4176"/>
      <c r="EU107" s="4176"/>
      <c r="EV107" s="4176"/>
      <c r="EW107" s="4176"/>
      <c r="EX107" s="4176"/>
      <c r="EY107" s="4176"/>
      <c r="EZ107" s="4176"/>
      <c r="FA107" s="2870">
        <v>1622</v>
      </c>
      <c r="FB107" s="4176"/>
      <c r="FC107" s="4176"/>
      <c r="FD107" s="4176"/>
      <c r="FE107" s="4176"/>
      <c r="FF107" s="4176"/>
      <c r="FG107" s="4176"/>
      <c r="FH107" s="4176"/>
      <c r="FI107" s="4176"/>
      <c r="FJ107" s="4176"/>
      <c r="FK107" s="2499"/>
      <c r="FL107" s="4176"/>
      <c r="FM107" s="4176"/>
      <c r="FN107" s="4176"/>
      <c r="FO107" s="4176"/>
      <c r="FP107" s="4176"/>
      <c r="FQ107" s="4176"/>
      <c r="FR107" s="4176"/>
      <c r="FS107" s="4176"/>
      <c r="FT107" s="4176"/>
      <c r="FU107" s="4176"/>
      <c r="FV107" s="2499"/>
      <c r="FW107" s="4176"/>
      <c r="FX107" s="4176"/>
      <c r="FY107" s="4176"/>
      <c r="FZ107" s="4176"/>
      <c r="GA107" s="4176"/>
      <c r="GB107" s="4176"/>
      <c r="GC107" s="4176"/>
      <c r="GD107" s="4176"/>
      <c r="GE107" s="4176"/>
      <c r="GF107" s="4176"/>
      <c r="GG107" s="4176"/>
      <c r="GH107" s="4176"/>
      <c r="GI107" s="4176"/>
      <c r="GJ107" s="4176"/>
      <c r="GK107" s="4176"/>
      <c r="GL107" s="4176"/>
      <c r="GM107" s="4176"/>
      <c r="GN107" s="4176"/>
      <c r="GO107" s="4176"/>
      <c r="GP107" s="4176"/>
      <c r="GQ107" s="4176"/>
      <c r="GR107" s="4176"/>
      <c r="GS107" s="4176"/>
      <c r="GT107" s="4176"/>
      <c r="GU107" s="4176"/>
      <c r="GV107" s="4176"/>
      <c r="GW107" s="2499"/>
      <c r="GX107" s="4176"/>
      <c r="GY107" s="2499"/>
      <c r="GZ107" s="4176"/>
      <c r="HA107" s="4176"/>
      <c r="HB107" s="4176"/>
      <c r="HC107" s="4176"/>
      <c r="HD107" s="4176"/>
      <c r="HE107" s="2499"/>
      <c r="HF107" s="4176"/>
      <c r="HG107" s="4176"/>
      <c r="HH107" s="4176"/>
      <c r="HI107" s="4176"/>
      <c r="HJ107" s="4176"/>
      <c r="HK107" s="4176"/>
      <c r="HL107" s="4176"/>
      <c r="HM107" s="4176"/>
      <c r="HN107" s="4176"/>
      <c r="HO107" s="4176"/>
      <c r="HP107" s="4176"/>
      <c r="HQ107" s="4176"/>
      <c r="HR107" s="4176"/>
      <c r="HS107" s="4176"/>
      <c r="HT107" s="4176"/>
      <c r="HU107" s="4176"/>
      <c r="HV107" s="4176"/>
      <c r="HW107" s="4176"/>
      <c r="HX107" s="4176"/>
      <c r="HY107" s="4176"/>
      <c r="HZ107" s="4176"/>
      <c r="IA107" s="4176"/>
      <c r="IB107" s="4176"/>
      <c r="IC107" s="4176"/>
      <c r="ID107" s="4176"/>
      <c r="IE107" s="4176"/>
      <c r="IF107" s="4176"/>
      <c r="IG107" s="4176"/>
      <c r="IH107" s="4176"/>
      <c r="II107" s="4176"/>
      <c r="IJ107" s="4176"/>
      <c r="IK107" s="4176"/>
      <c r="IL107" s="4176"/>
      <c r="IM107" s="4176"/>
      <c r="IN107" s="4176"/>
      <c r="IO107" s="2499"/>
      <c r="IP107" s="4176"/>
      <c r="IQ107" s="4177"/>
      <c r="IR107" s="4176"/>
      <c r="IS107" s="4176"/>
      <c r="IT107" s="3987"/>
      <c r="IU107" s="4176"/>
      <c r="IV107" s="4176"/>
      <c r="IW107" s="4176"/>
      <c r="IX107" s="4176"/>
      <c r="IY107" s="4178"/>
      <c r="IZ107" s="4176"/>
      <c r="JA107" s="3821"/>
      <c r="JB107" s="4316"/>
      <c r="JC107" s="4247"/>
      <c r="JD107" s="2499"/>
      <c r="JE107" s="3821"/>
      <c r="JF107" s="3821"/>
      <c r="JG107" s="4179"/>
      <c r="JH107" s="1233"/>
      <c r="JI107" s="1393"/>
      <c r="JJ107" s="1660" t="s">
        <v>6108</v>
      </c>
    </row>
    <row ht="12.75" r="108" spans="1:270" x14ac:dyDescent="0.2">
      <c r="A108" s="1128">
        <v>73</v>
      </c>
      <c r="B108" s="1557" t="str">
        <f si="4" t="shared"/>
        <v/>
      </c>
      <c r="C108" s="1559" t="s">
        <v>2812</v>
      </c>
      <c r="D108" s="1350" t="s">
        <v>5606</v>
      </c>
      <c r="E108" s="4176"/>
      <c r="F108" s="4176"/>
      <c r="G108" s="4176"/>
      <c r="H108" s="4176"/>
      <c r="I108" s="4176"/>
      <c r="J108" s="4176"/>
      <c r="K108" s="4176"/>
      <c r="L108" s="4176"/>
      <c r="M108" s="4176"/>
      <c r="N108" s="4176"/>
      <c r="O108" s="4176"/>
      <c r="P108" s="4176"/>
      <c r="Q108" s="4176"/>
      <c r="R108" s="4176"/>
      <c r="S108" s="4176"/>
      <c r="T108" s="4176"/>
      <c r="U108" s="4176"/>
      <c r="V108" s="4176"/>
      <c r="W108" s="4176"/>
      <c r="X108" s="4176"/>
      <c r="Y108" s="4176"/>
      <c r="Z108" s="4176"/>
      <c r="AA108" s="4176"/>
      <c r="AB108" s="4176"/>
      <c r="AC108" s="4176"/>
      <c r="AD108" s="2499"/>
      <c r="AE108" s="2499"/>
      <c r="AF108" s="2499"/>
      <c r="AG108" s="2499"/>
      <c r="AH108" s="2499"/>
      <c r="AI108" s="4176"/>
      <c r="AJ108" s="4176"/>
      <c r="AK108" s="4176"/>
      <c r="AL108" s="4176"/>
      <c r="AM108" s="2499"/>
      <c r="AN108" s="4176"/>
      <c r="AO108" s="4176"/>
      <c r="AP108" s="4176"/>
      <c r="AQ108" s="4176"/>
      <c r="AR108" s="4176"/>
      <c r="AS108" s="4176"/>
      <c r="AT108" s="4176"/>
      <c r="AU108" s="4176"/>
      <c r="AV108" s="4176"/>
      <c r="AW108" s="4176"/>
      <c r="AX108" s="4176"/>
      <c r="AY108" s="4176"/>
      <c r="AZ108" s="4176"/>
      <c r="BA108" s="4176"/>
      <c r="BB108" s="2499"/>
      <c r="BC108" s="2499"/>
      <c r="BD108" s="4176"/>
      <c r="BE108" s="4176"/>
      <c r="BF108" s="4176"/>
      <c r="BG108" s="4176"/>
      <c r="BH108" s="4176"/>
      <c r="BI108" s="4176"/>
      <c r="BJ108" s="4176"/>
      <c r="BK108" s="4176"/>
      <c r="BL108" s="4176"/>
      <c r="BM108" s="4176"/>
      <c r="BN108" s="4176"/>
      <c r="BO108" s="4176"/>
      <c r="BP108" s="4176"/>
      <c r="BQ108" s="4176"/>
      <c r="BR108" s="4176"/>
      <c r="BS108" s="4176"/>
      <c r="BT108" s="4176"/>
      <c r="BU108" s="4176"/>
      <c r="BV108" s="4176"/>
      <c r="BW108" s="4176"/>
      <c r="BX108" s="4176"/>
      <c r="BY108" s="4176"/>
      <c r="BZ108" s="4176"/>
      <c r="CA108" s="4176"/>
      <c r="CB108" s="4176"/>
      <c r="CC108" s="4176"/>
      <c r="CD108" s="4176"/>
      <c r="CE108" s="4176"/>
      <c r="CF108" s="4176"/>
      <c r="CG108" s="4176"/>
      <c r="CH108" s="4176"/>
      <c r="CI108" s="4176"/>
      <c r="CJ108" s="4176"/>
      <c r="CK108" s="4176"/>
      <c r="CL108" s="4176"/>
      <c r="CM108" s="4176"/>
      <c r="CN108" s="4176"/>
      <c r="CO108" s="4176"/>
      <c r="CP108" s="2499"/>
      <c r="CQ108" s="4176"/>
      <c r="CR108" s="4176"/>
      <c r="CS108" s="4176"/>
      <c r="CT108" s="4176"/>
      <c r="CU108" s="4176"/>
      <c r="CV108" s="4176"/>
      <c r="CW108" s="4176"/>
      <c r="CX108" s="4176"/>
      <c r="CY108" s="2499"/>
      <c r="CZ108" s="2499"/>
      <c r="DA108" s="2499"/>
      <c r="DB108" s="4176"/>
      <c r="DC108" s="4176"/>
      <c r="DD108" s="4176"/>
      <c r="DE108" s="4176"/>
      <c r="DF108" s="4176"/>
      <c r="DG108" s="4176"/>
      <c r="DH108" s="2499"/>
      <c r="DI108" s="4176"/>
      <c r="DJ108" s="2499"/>
      <c r="DK108" s="4176"/>
      <c r="DL108" s="4176"/>
      <c r="DM108" s="2499"/>
      <c r="DN108" s="4176"/>
      <c r="DO108" s="4176"/>
      <c r="DP108" s="4176"/>
      <c r="DQ108" s="4176"/>
      <c r="DR108" s="4176"/>
      <c r="DS108" s="4176"/>
      <c r="DT108" s="4176"/>
      <c r="DU108" s="4176"/>
      <c r="DV108" s="4176"/>
      <c r="DW108" s="4176"/>
      <c r="DX108" s="4176"/>
      <c r="DY108" s="4176"/>
      <c r="DZ108" s="4176"/>
      <c r="EA108" s="4176"/>
      <c r="EB108" s="4176"/>
      <c r="EC108" s="4176"/>
      <c r="ED108" s="4176"/>
      <c r="EE108" s="4176"/>
      <c r="EF108" s="4176"/>
      <c r="EG108" s="4176"/>
      <c r="EH108" s="2499"/>
      <c r="EI108" s="2499"/>
      <c r="EJ108" s="4176"/>
      <c r="EK108" s="4176"/>
      <c r="EL108" s="4176"/>
      <c r="EM108" s="4176"/>
      <c r="EN108" s="4176"/>
      <c r="EO108" s="4176"/>
      <c r="EP108" s="4176"/>
      <c r="EQ108" s="4176"/>
      <c r="ER108" s="4176"/>
      <c r="ES108" s="4176"/>
      <c r="ET108" s="4176"/>
      <c r="EU108" s="4176"/>
      <c r="EV108" s="4176"/>
      <c r="EW108" s="4176"/>
      <c r="EX108" s="4176"/>
      <c r="EY108" s="4176"/>
      <c r="EZ108" s="4176"/>
      <c r="FA108" s="2499"/>
      <c r="FB108" s="4176"/>
      <c r="FC108" s="4176"/>
      <c r="FD108" s="4176"/>
      <c r="FE108" s="4176"/>
      <c r="FF108" s="4176"/>
      <c r="FG108" s="4176"/>
      <c r="FH108" s="4176"/>
      <c r="FI108" s="4176"/>
      <c r="FJ108" s="4176"/>
      <c r="FK108" s="2499"/>
      <c r="FL108" s="4176"/>
      <c r="FM108" s="4176"/>
      <c r="FN108" s="4176"/>
      <c r="FO108" s="4176"/>
      <c r="FP108" s="4176"/>
      <c r="FQ108" s="4176"/>
      <c r="FR108" s="4176"/>
      <c r="FS108" s="4176"/>
      <c r="FT108" s="4176"/>
      <c r="FU108" s="4176"/>
      <c r="FV108" s="2499"/>
      <c r="FW108" s="4176"/>
      <c r="FX108" s="4176"/>
      <c r="FY108" s="4176"/>
      <c r="FZ108" s="4176"/>
      <c r="GA108" s="4176"/>
      <c r="GB108" s="4176"/>
      <c r="GC108" s="4176"/>
      <c r="GD108" s="4176"/>
      <c r="GE108" s="4176"/>
      <c r="GF108" s="4176"/>
      <c r="GG108" s="4176"/>
      <c r="GH108" s="4176"/>
      <c r="GI108" s="4176"/>
      <c r="GJ108" s="4176"/>
      <c r="GK108" s="4176"/>
      <c r="GL108" s="4176"/>
      <c r="GM108" s="4176"/>
      <c r="GN108" s="4176"/>
      <c r="GO108" s="4176"/>
      <c r="GP108" s="4176"/>
      <c r="GQ108" s="4176"/>
      <c r="GR108" s="4176"/>
      <c r="GS108" s="4176"/>
      <c r="GT108" s="4176"/>
      <c r="GU108" s="4176"/>
      <c r="GV108" s="4176"/>
      <c r="GW108" s="2499"/>
      <c r="GX108" s="4176"/>
      <c r="GY108" s="2499"/>
      <c r="GZ108" s="4176"/>
      <c r="HA108" s="4176"/>
      <c r="HB108" s="4176"/>
      <c r="HC108" s="4176"/>
      <c r="HD108" s="4176"/>
      <c r="HE108" s="2499"/>
      <c r="HF108" s="4176"/>
      <c r="HG108" s="4176"/>
      <c r="HH108" s="4176"/>
      <c r="HI108" s="4176"/>
      <c r="HJ108" s="4176"/>
      <c r="HK108" s="4176"/>
      <c r="HL108" s="4176"/>
      <c r="HM108" s="4176"/>
      <c r="HN108" s="4176"/>
      <c r="HO108" s="4176"/>
      <c r="HP108" s="4176"/>
      <c r="HQ108" s="4176"/>
      <c r="HR108" s="4176"/>
      <c r="HS108" s="4176"/>
      <c r="HT108" s="4176"/>
      <c r="HU108" s="4176"/>
      <c r="HV108" s="4176"/>
      <c r="HW108" s="4176"/>
      <c r="HX108" s="4176"/>
      <c r="HY108" s="4176"/>
      <c r="HZ108" s="4176"/>
      <c r="IA108" s="4176"/>
      <c r="IB108" s="4176"/>
      <c r="IC108" s="4176"/>
      <c r="ID108" s="4176"/>
      <c r="IE108" s="4176"/>
      <c r="IF108" s="4176"/>
      <c r="IG108" s="4176"/>
      <c r="IH108" s="4176"/>
      <c r="II108" s="4176"/>
      <c r="IJ108" s="4176"/>
      <c r="IK108" s="4176"/>
      <c r="IL108" s="4176"/>
      <c r="IM108" s="4176"/>
      <c r="IN108" s="4176"/>
      <c r="IO108" s="2499"/>
      <c r="IP108" s="4176"/>
      <c r="IQ108" s="4177"/>
      <c r="IR108" s="4176"/>
      <c r="IS108" s="4176"/>
      <c r="IT108" s="3987"/>
      <c r="IU108" s="4176"/>
      <c r="IV108" s="4176"/>
      <c r="IW108" s="4176"/>
      <c r="IX108" s="4176"/>
      <c r="IY108" s="4178"/>
      <c r="IZ108" s="4176"/>
      <c r="JA108" s="3821"/>
      <c r="JB108" s="4316"/>
      <c r="JC108" s="4247"/>
      <c r="JD108" s="2499"/>
      <c r="JE108" s="3821"/>
      <c r="JF108" s="3821"/>
      <c r="JG108" s="4179"/>
      <c r="JH108" s="1233"/>
      <c r="JI108" s="1393"/>
      <c r="JJ108" s="1660" t="s">
        <v>6124</v>
      </c>
    </row>
    <row ht="12.75" r="109" spans="1:270" x14ac:dyDescent="0.2">
      <c r="A109" s="1128">
        <v>74</v>
      </c>
      <c r="B109" s="1557" t="str">
        <f si="4" t="shared"/>
        <v/>
      </c>
      <c r="C109" s="1559" t="s">
        <v>1499</v>
      </c>
      <c r="D109" s="1350" t="s">
        <v>5684</v>
      </c>
      <c r="E109" s="4180"/>
      <c r="F109" s="4180"/>
      <c r="G109" s="4180"/>
      <c r="H109" s="4180"/>
      <c r="I109" s="4180"/>
      <c r="J109" s="4180"/>
      <c r="K109" s="4180"/>
      <c r="L109" s="4180"/>
      <c r="M109" s="4180"/>
      <c r="N109" s="4180"/>
      <c r="O109" s="4180"/>
      <c r="P109" s="4180"/>
      <c r="Q109" s="4180"/>
      <c r="R109" s="4180"/>
      <c r="S109" s="4180"/>
      <c r="T109" s="4180"/>
      <c r="U109" s="4180"/>
      <c r="V109" s="4180"/>
      <c r="W109" s="4180"/>
      <c r="X109" s="4180"/>
      <c r="Y109" s="4180"/>
      <c r="Z109" s="4180"/>
      <c r="AA109" s="4180"/>
      <c r="AB109" s="4180"/>
      <c r="AC109" s="4180"/>
      <c r="AD109" s="2869"/>
      <c r="AE109" s="2869"/>
      <c r="AF109" s="2869"/>
      <c r="AG109" s="2869"/>
      <c r="AH109" s="2869"/>
      <c r="AI109" s="4180"/>
      <c r="AJ109" s="4180"/>
      <c r="AK109" s="4180"/>
      <c r="AL109" s="4180"/>
      <c r="AM109" s="2869">
        <f>MAX(0,AM106-AM107)</f>
        <v>0</v>
      </c>
      <c r="AN109" s="4180"/>
      <c r="AO109" s="4180"/>
      <c r="AP109" s="4180"/>
      <c r="AQ109" s="4180"/>
      <c r="AR109" s="4180"/>
      <c r="AS109" s="4180"/>
      <c r="AT109" s="4180"/>
      <c r="AU109" s="4180"/>
      <c r="AV109" s="4180"/>
      <c r="AW109" s="4180"/>
      <c r="AX109" s="4180"/>
      <c r="AY109" s="4180"/>
      <c r="AZ109" s="4180"/>
      <c r="BA109" s="4180"/>
      <c r="BB109" s="2869">
        <f>MAX(0,BB106-BB107)</f>
        <v>7962</v>
      </c>
      <c r="BC109" s="2869">
        <f>MAX(0,BC106-BC107)</f>
        <v>0</v>
      </c>
      <c r="BD109" s="4180"/>
      <c r="BE109" s="4180"/>
      <c r="BF109" s="4180"/>
      <c r="BG109" s="4180"/>
      <c r="BH109" s="4180"/>
      <c r="BI109" s="4180"/>
      <c r="BJ109" s="4180"/>
      <c r="BK109" s="4180"/>
      <c r="BL109" s="4180"/>
      <c r="BM109" s="4180"/>
      <c r="BN109" s="4180"/>
      <c r="BO109" s="4180"/>
      <c r="BP109" s="4180"/>
      <c r="BQ109" s="4180"/>
      <c r="BR109" s="4180"/>
      <c r="BS109" s="4180"/>
      <c r="BT109" s="4180"/>
      <c r="BU109" s="4180"/>
      <c r="BV109" s="4180"/>
      <c r="BW109" s="4180"/>
      <c r="BX109" s="4180"/>
      <c r="BY109" s="4180"/>
      <c r="BZ109" s="4180"/>
      <c r="CA109" s="4180"/>
      <c r="CB109" s="4180"/>
      <c r="CC109" s="4180"/>
      <c r="CD109" s="4180"/>
      <c r="CE109" s="4180"/>
      <c r="CF109" s="4180"/>
      <c r="CG109" s="4180"/>
      <c r="CH109" s="4180"/>
      <c r="CI109" s="4180"/>
      <c r="CJ109" s="4180"/>
      <c r="CK109" s="4180"/>
      <c r="CL109" s="4180"/>
      <c r="CM109" s="4180"/>
      <c r="CN109" s="4180"/>
      <c r="CO109" s="4180"/>
      <c r="CP109" s="2869">
        <f>MAX(0,CP106-CP107)</f>
        <v>0</v>
      </c>
      <c r="CQ109" s="4180"/>
      <c r="CR109" s="4180"/>
      <c r="CS109" s="4180"/>
      <c r="CT109" s="4180"/>
      <c r="CU109" s="4180"/>
      <c r="CV109" s="4180"/>
      <c r="CW109" s="4180"/>
      <c r="CX109" s="4180"/>
      <c r="CY109" s="2869">
        <f>MAX(0,CY106-CY107)</f>
        <v>7849</v>
      </c>
      <c r="CZ109" s="2869">
        <f>MAX(0,CZ106-CZ107)</f>
        <v>21987</v>
      </c>
      <c r="DA109" s="2869">
        <f>MAX(0,DA106-DA107)</f>
        <v>21987</v>
      </c>
      <c r="DB109" s="4180"/>
      <c r="DC109" s="4180"/>
      <c r="DD109" s="4180"/>
      <c r="DE109" s="4180"/>
      <c r="DF109" s="4180"/>
      <c r="DG109" s="4180"/>
      <c r="DH109" s="2869">
        <f>MAX(0,DH106-DH107)</f>
        <v>0</v>
      </c>
      <c r="DI109" s="4180"/>
      <c r="DJ109" s="2869">
        <f>MAX(0,DJ106-DJ107)</f>
        <v>7849</v>
      </c>
      <c r="DK109" s="4180"/>
      <c r="DL109" s="4180"/>
      <c r="DM109" s="2869">
        <f>MAX(0,DM106-DM107)</f>
        <v>7849</v>
      </c>
      <c r="DN109" s="4180"/>
      <c r="DO109" s="4180"/>
      <c r="DP109" s="4180"/>
      <c r="DQ109" s="4180"/>
      <c r="DR109" s="4180"/>
      <c r="DS109" s="4180"/>
      <c r="DT109" s="4180"/>
      <c r="DU109" s="4180"/>
      <c r="DV109" s="4180"/>
      <c r="DW109" s="4180"/>
      <c r="DX109" s="4180"/>
      <c r="DY109" s="4180"/>
      <c r="DZ109" s="4180"/>
      <c r="EA109" s="4180"/>
      <c r="EB109" s="4180"/>
      <c r="EC109" s="4180"/>
      <c r="ED109" s="4180"/>
      <c r="EE109" s="4180"/>
      <c r="EF109" s="4180"/>
      <c r="EG109" s="4180"/>
      <c r="EH109" s="2869">
        <f>MAX(0,EH106-EH107)</f>
        <v>0</v>
      </c>
      <c r="EI109" s="2869">
        <f>MAX(0,EI106-EI107)</f>
        <v>11430</v>
      </c>
      <c r="EJ109" s="4180"/>
      <c r="EK109" s="4180"/>
      <c r="EL109" s="4180"/>
      <c r="EM109" s="4180"/>
      <c r="EN109" s="4180"/>
      <c r="EO109" s="4180"/>
      <c r="EP109" s="4180"/>
      <c r="EQ109" s="4180"/>
      <c r="ER109" s="4180"/>
      <c r="ES109" s="4180"/>
      <c r="ET109" s="4180"/>
      <c r="EU109" s="4180"/>
      <c r="EV109" s="4180"/>
      <c r="EW109" s="4180"/>
      <c r="EX109" s="4180"/>
      <c r="EY109" s="4180"/>
      <c r="EZ109" s="4180"/>
      <c r="FA109" s="2869">
        <f>MAX(0,FA106-FA107)</f>
        <v>7849</v>
      </c>
      <c r="FB109" s="4180"/>
      <c r="FC109" s="4180"/>
      <c r="FD109" s="4180"/>
      <c r="FE109" s="4180"/>
      <c r="FF109" s="4180"/>
      <c r="FG109" s="4180"/>
      <c r="FH109" s="4180"/>
      <c r="FI109" s="4180"/>
      <c r="FJ109" s="4180"/>
      <c r="FK109" s="2869">
        <f>MAX(0,FK106-FK107)</f>
        <v>21987</v>
      </c>
      <c r="FL109" s="4180"/>
      <c r="FM109" s="4180"/>
      <c r="FN109" s="4180"/>
      <c r="FO109" s="4180"/>
      <c r="FP109" s="4180"/>
      <c r="FQ109" s="4180"/>
      <c r="FR109" s="4180"/>
      <c r="FS109" s="4180"/>
      <c r="FT109" s="4180"/>
      <c r="FU109" s="4180"/>
      <c r="FV109" s="2869">
        <f>MAX(0,FV106-FV107)</f>
        <v>0</v>
      </c>
      <c r="FW109" s="4180"/>
      <c r="FX109" s="4180"/>
      <c r="FY109" s="4180"/>
      <c r="FZ109" s="4180"/>
      <c r="GA109" s="4180"/>
      <c r="GB109" s="4180"/>
      <c r="GC109" s="4180"/>
      <c r="GD109" s="4180"/>
      <c r="GE109" s="4180"/>
      <c r="GF109" s="4180"/>
      <c r="GG109" s="4180"/>
      <c r="GH109" s="4180"/>
      <c r="GI109" s="4180"/>
      <c r="GJ109" s="4180"/>
      <c r="GK109" s="4180"/>
      <c r="GL109" s="4180"/>
      <c r="GM109" s="4180"/>
      <c r="GN109" s="4180"/>
      <c r="GO109" s="4180"/>
      <c r="GP109" s="4180"/>
      <c r="GQ109" s="4180"/>
      <c r="GR109" s="4180"/>
      <c r="GS109" s="4180"/>
      <c r="GT109" s="4180"/>
      <c r="GU109" s="4180"/>
      <c r="GV109" s="4180"/>
      <c r="GW109" s="2869">
        <f>MAX(0,GW106-GW107)</f>
        <v>0</v>
      </c>
      <c r="GX109" s="4180"/>
      <c r="GY109" s="2869">
        <f>MAX(0,GY106-GY107)</f>
        <v>11431</v>
      </c>
      <c r="GZ109" s="4180"/>
      <c r="HA109" s="4180"/>
      <c r="HB109" s="4180"/>
      <c r="HC109" s="4180"/>
      <c r="HD109" s="4180"/>
      <c r="HE109" s="2869">
        <f>MAX(0,HE106-HE107)</f>
        <v>0</v>
      </c>
      <c r="HF109" s="4180"/>
      <c r="HG109" s="4180"/>
      <c r="HH109" s="4180"/>
      <c r="HI109" s="4180"/>
      <c r="HJ109" s="4180"/>
      <c r="HK109" s="4180"/>
      <c r="HL109" s="4180"/>
      <c r="HM109" s="4180"/>
      <c r="HN109" s="4180"/>
      <c r="HO109" s="4180"/>
      <c r="HP109" s="4180"/>
      <c r="HQ109" s="4180"/>
      <c r="HR109" s="4180"/>
      <c r="HS109" s="4180"/>
      <c r="HT109" s="4180"/>
      <c r="HU109" s="4180"/>
      <c r="HV109" s="4180"/>
      <c r="HW109" s="4180"/>
      <c r="HX109" s="4180"/>
      <c r="HY109" s="4180"/>
      <c r="HZ109" s="4180"/>
      <c r="IA109" s="4180"/>
      <c r="IB109" s="4180"/>
      <c r="IC109" s="4180"/>
      <c r="ID109" s="4180"/>
      <c r="IE109" s="4180"/>
      <c r="IF109" s="4180"/>
      <c r="IG109" s="4180"/>
      <c r="IH109" s="4180"/>
      <c r="II109" s="4180"/>
      <c r="IJ109" s="4180"/>
      <c r="IK109" s="4180"/>
      <c r="IL109" s="4180"/>
      <c r="IM109" s="4180"/>
      <c r="IN109" s="4180"/>
      <c r="IO109" s="2869">
        <f>MAX(0,IO106-IO107)</f>
        <v>0</v>
      </c>
      <c r="IP109" s="4180"/>
      <c r="IQ109" s="3847">
        <f>MAX(0,IQ106-IQ107)</f>
        <v>106</v>
      </c>
      <c r="IR109" s="4180"/>
      <c r="IS109" s="4180"/>
      <c r="IT109" s="3987"/>
      <c r="IU109" s="4180"/>
      <c r="IV109" s="4180"/>
      <c r="IW109" s="4180"/>
      <c r="IX109" s="4180"/>
      <c r="IY109" s="4181"/>
      <c r="IZ109" s="4180"/>
      <c r="JA109" s="3822"/>
      <c r="JB109" s="4317">
        <v>269</v>
      </c>
      <c r="JC109" s="4242">
        <v>0</v>
      </c>
      <c r="JD109" s="2869"/>
      <c r="JE109" s="3822"/>
      <c r="JF109" s="3822"/>
      <c r="JG109" s="4182"/>
      <c r="JH109" s="1233"/>
      <c r="JI109" s="1393" t="s">
        <v>5643</v>
      </c>
      <c r="JJ109" s="1660" t="s">
        <v>6124</v>
      </c>
    </row>
    <row ht="12.75" r="110" spans="1:270" x14ac:dyDescent="0.2">
      <c r="A110" s="1128">
        <v>75</v>
      </c>
      <c r="B110" s="1557" t="str">
        <f si="4" t="shared"/>
        <v/>
      </c>
      <c r="C110" s="1559" t="s">
        <v>1500</v>
      </c>
      <c r="D110" s="1350" t="s">
        <v>5753</v>
      </c>
      <c r="E110" s="4183"/>
      <c r="F110" s="4183"/>
      <c r="G110" s="4183"/>
      <c r="H110" s="4183"/>
      <c r="I110" s="4183"/>
      <c r="J110" s="4183"/>
      <c r="K110" s="4183"/>
      <c r="L110" s="4183"/>
      <c r="M110" s="4183"/>
      <c r="N110" s="4183"/>
      <c r="O110" s="4183"/>
      <c r="P110" s="4183"/>
      <c r="Q110" s="4183"/>
      <c r="R110" s="4183"/>
      <c r="S110" s="4183"/>
      <c r="T110" s="4183"/>
      <c r="U110" s="4183"/>
      <c r="V110" s="4183"/>
      <c r="W110" s="4183"/>
      <c r="X110" s="4183"/>
      <c r="Y110" s="4183"/>
      <c r="Z110" s="4183"/>
      <c r="AA110" s="4183"/>
      <c r="AB110" s="4183"/>
      <c r="AC110" s="4183"/>
      <c r="AD110" s="2870"/>
      <c r="AE110" s="2870"/>
      <c r="AF110" s="2870"/>
      <c r="AG110" s="2870"/>
      <c r="AH110" s="2870"/>
      <c r="AI110" s="4183"/>
      <c r="AJ110" s="4183"/>
      <c r="AK110" s="4183"/>
      <c r="AL110" s="4183"/>
      <c r="AM110" s="2870">
        <v>390</v>
      </c>
      <c r="AN110" s="4183"/>
      <c r="AO110" s="4183"/>
      <c r="AP110" s="4183"/>
      <c r="AQ110" s="4183"/>
      <c r="AR110" s="4183"/>
      <c r="AS110" s="4183"/>
      <c r="AT110" s="4183"/>
      <c r="AU110" s="4183"/>
      <c r="AV110" s="4183"/>
      <c r="AW110" s="4183"/>
      <c r="AX110" s="4183"/>
      <c r="AY110" s="4183"/>
      <c r="AZ110" s="4183"/>
      <c r="BA110" s="4183"/>
      <c r="BB110" s="2870">
        <v>748</v>
      </c>
      <c r="BC110" s="2870">
        <v>390</v>
      </c>
      <c r="BD110" s="4183"/>
      <c r="BE110" s="4183"/>
      <c r="BF110" s="4183"/>
      <c r="BG110" s="4183"/>
      <c r="BH110" s="4183"/>
      <c r="BI110" s="4183"/>
      <c r="BJ110" s="4183"/>
      <c r="BK110" s="4183"/>
      <c r="BL110" s="4183"/>
      <c r="BM110" s="4183"/>
      <c r="BN110" s="4183"/>
      <c r="BO110" s="4183"/>
      <c r="BP110" s="4183"/>
      <c r="BQ110" s="4183"/>
      <c r="BR110" s="4183"/>
      <c r="BS110" s="4183"/>
      <c r="BT110" s="4183"/>
      <c r="BU110" s="4183"/>
      <c r="BV110" s="4183"/>
      <c r="BW110" s="4183"/>
      <c r="BX110" s="4183"/>
      <c r="BY110" s="4183"/>
      <c r="BZ110" s="4183"/>
      <c r="CA110" s="4183"/>
      <c r="CB110" s="4183"/>
      <c r="CC110" s="4183"/>
      <c r="CD110" s="4183"/>
      <c r="CE110" s="4183"/>
      <c r="CF110" s="4183"/>
      <c r="CG110" s="4183"/>
      <c r="CH110" s="4183"/>
      <c r="CI110" s="4183"/>
      <c r="CJ110" s="4183"/>
      <c r="CK110" s="4183"/>
      <c r="CL110" s="4183"/>
      <c r="CM110" s="4183"/>
      <c r="CN110" s="4183"/>
      <c r="CO110" s="4183"/>
      <c r="CP110" s="2870"/>
      <c r="CQ110" s="4183"/>
      <c r="CR110" s="4183"/>
      <c r="CS110" s="4183"/>
      <c r="CT110" s="4183"/>
      <c r="CU110" s="4183"/>
      <c r="CV110" s="4183"/>
      <c r="CW110" s="4183"/>
      <c r="CX110" s="4183"/>
      <c r="CY110" s="2870"/>
      <c r="CZ110" s="2870">
        <v>1365</v>
      </c>
      <c r="DA110" s="2870">
        <v>1365</v>
      </c>
      <c r="DB110" s="4183"/>
      <c r="DC110" s="4183"/>
      <c r="DD110" s="4183"/>
      <c r="DE110" s="4183"/>
      <c r="DF110" s="4183"/>
      <c r="DG110" s="4183"/>
      <c r="DH110" s="2870"/>
      <c r="DI110" s="4183"/>
      <c r="DJ110" s="2870"/>
      <c r="DK110" s="4183"/>
      <c r="DL110" s="4183"/>
      <c r="DM110" s="2870"/>
      <c r="DN110" s="4183"/>
      <c r="DO110" s="4183"/>
      <c r="DP110" s="4183"/>
      <c r="DQ110" s="4183"/>
      <c r="DR110" s="4183"/>
      <c r="DS110" s="4183"/>
      <c r="DT110" s="4183"/>
      <c r="DU110" s="4183"/>
      <c r="DV110" s="4183"/>
      <c r="DW110" s="4183"/>
      <c r="DX110" s="4183"/>
      <c r="DY110" s="4183"/>
      <c r="DZ110" s="4183"/>
      <c r="EA110" s="4183"/>
      <c r="EB110" s="4183"/>
      <c r="EC110" s="4183"/>
      <c r="ED110" s="4183"/>
      <c r="EE110" s="4183"/>
      <c r="EF110" s="4183"/>
      <c r="EG110" s="4183"/>
      <c r="EH110" s="2870"/>
      <c r="EI110" s="2870"/>
      <c r="EJ110" s="4183"/>
      <c r="EK110" s="4183"/>
      <c r="EL110" s="4183"/>
      <c r="EM110" s="4183"/>
      <c r="EN110" s="4183"/>
      <c r="EO110" s="4183"/>
      <c r="EP110" s="4183"/>
      <c r="EQ110" s="4183"/>
      <c r="ER110" s="4183"/>
      <c r="ES110" s="4183"/>
      <c r="ET110" s="4183"/>
      <c r="EU110" s="4183"/>
      <c r="EV110" s="4183"/>
      <c r="EW110" s="4183"/>
      <c r="EX110" s="4183"/>
      <c r="EY110" s="4183"/>
      <c r="EZ110" s="4183"/>
      <c r="FA110" s="2870"/>
      <c r="FB110" s="4183"/>
      <c r="FC110" s="4183"/>
      <c r="FD110" s="4183"/>
      <c r="FE110" s="4183"/>
      <c r="FF110" s="4183"/>
      <c r="FG110" s="4183"/>
      <c r="FH110" s="4183"/>
      <c r="FI110" s="4183"/>
      <c r="FJ110" s="4183"/>
      <c r="FK110" s="2870">
        <v>1365</v>
      </c>
      <c r="FL110" s="4183"/>
      <c r="FM110" s="4183"/>
      <c r="FN110" s="4183"/>
      <c r="FO110" s="4183"/>
      <c r="FP110" s="4183"/>
      <c r="FQ110" s="4183"/>
      <c r="FR110" s="4183"/>
      <c r="FS110" s="4183"/>
      <c r="FT110" s="4183"/>
      <c r="FU110" s="4183"/>
      <c r="FV110" s="2870">
        <v>390</v>
      </c>
      <c r="FW110" s="4183"/>
      <c r="FX110" s="4183"/>
      <c r="FY110" s="4183"/>
      <c r="FZ110" s="4183"/>
      <c r="GA110" s="4183"/>
      <c r="GB110" s="4183"/>
      <c r="GC110" s="4183"/>
      <c r="GD110" s="4183"/>
      <c r="GE110" s="4183"/>
      <c r="GF110" s="4183"/>
      <c r="GG110" s="4183"/>
      <c r="GH110" s="4183"/>
      <c r="GI110" s="4183"/>
      <c r="GJ110" s="4183"/>
      <c r="GK110" s="4183"/>
      <c r="GL110" s="4183"/>
      <c r="GM110" s="4183"/>
      <c r="GN110" s="4183"/>
      <c r="GO110" s="4183"/>
      <c r="GP110" s="4183"/>
      <c r="GQ110" s="4183"/>
      <c r="GR110" s="4183"/>
      <c r="GS110" s="4183"/>
      <c r="GT110" s="4183"/>
      <c r="GU110" s="4183"/>
      <c r="GV110" s="4183"/>
      <c r="GW110" s="2870">
        <v>390</v>
      </c>
      <c r="GX110" s="4183"/>
      <c r="GY110" s="2870"/>
      <c r="GZ110" s="4183"/>
      <c r="HA110" s="4183"/>
      <c r="HB110" s="4183"/>
      <c r="HC110" s="4183"/>
      <c r="HD110" s="4183"/>
      <c r="HE110" s="2870"/>
      <c r="HF110" s="4183"/>
      <c r="HG110" s="4183"/>
      <c r="HH110" s="4183"/>
      <c r="HI110" s="4183"/>
      <c r="HJ110" s="4183"/>
      <c r="HK110" s="4183"/>
      <c r="HL110" s="4183"/>
      <c r="HM110" s="4183"/>
      <c r="HN110" s="4183"/>
      <c r="HO110" s="4183"/>
      <c r="HP110" s="4183"/>
      <c r="HQ110" s="4183"/>
      <c r="HR110" s="4183"/>
      <c r="HS110" s="4183"/>
      <c r="HT110" s="4183"/>
      <c r="HU110" s="4183"/>
      <c r="HV110" s="4183"/>
      <c r="HW110" s="4183"/>
      <c r="HX110" s="4183"/>
      <c r="HY110" s="4183"/>
      <c r="HZ110" s="4183"/>
      <c r="IA110" s="4183"/>
      <c r="IB110" s="4183"/>
      <c r="IC110" s="4183"/>
      <c r="ID110" s="4183"/>
      <c r="IE110" s="4183"/>
      <c r="IF110" s="4183"/>
      <c r="IG110" s="4183"/>
      <c r="IH110" s="4183"/>
      <c r="II110" s="4183"/>
      <c r="IJ110" s="4183"/>
      <c r="IK110" s="4183"/>
      <c r="IL110" s="4183"/>
      <c r="IM110" s="4183"/>
      <c r="IN110" s="4183"/>
      <c r="IO110" s="2870"/>
      <c r="IP110" s="4183"/>
      <c r="IQ110" s="4184">
        <v>11608</v>
      </c>
      <c r="IR110" s="4183"/>
      <c r="IS110" s="4183"/>
      <c r="IT110" s="3987"/>
      <c r="IU110" s="4183"/>
      <c r="IV110" s="4183"/>
      <c r="IW110" s="4183"/>
      <c r="IX110" s="4183"/>
      <c r="IY110" s="4185"/>
      <c r="IZ110" s="4183"/>
      <c r="JA110" s="3823"/>
      <c r="JB110" s="4318"/>
      <c r="JC110" s="4248"/>
      <c r="JD110" s="2870"/>
      <c r="JE110" s="3823"/>
      <c r="JF110" s="3823"/>
      <c r="JG110" s="4186"/>
      <c r="JH110" s="1233"/>
      <c r="JI110" s="1393"/>
      <c r="JJ110" s="1660" t="s">
        <v>6108</v>
      </c>
    </row>
    <row ht="12.75" r="111" spans="1:270" x14ac:dyDescent="0.2">
      <c r="A111" s="1128">
        <v>76</v>
      </c>
      <c r="B111" s="1557" t="str">
        <f si="4" t="shared"/>
        <v/>
      </c>
      <c r="C111" s="1559" t="s">
        <v>1501</v>
      </c>
      <c r="D111" s="1350" t="s">
        <v>5685</v>
      </c>
      <c r="E111" s="4183"/>
      <c r="F111" s="4183"/>
      <c r="G111" s="4183"/>
      <c r="H111" s="4183"/>
      <c r="I111" s="4183"/>
      <c r="J111" s="4183"/>
      <c r="K111" s="4183"/>
      <c r="L111" s="4183"/>
      <c r="M111" s="4183"/>
      <c r="N111" s="4183"/>
      <c r="O111" s="4183"/>
      <c r="P111" s="4183"/>
      <c r="Q111" s="4183"/>
      <c r="R111" s="4183"/>
      <c r="S111" s="4183"/>
      <c r="T111" s="4183"/>
      <c r="U111" s="4183"/>
      <c r="V111" s="4183"/>
      <c r="W111" s="4183"/>
      <c r="X111" s="4183"/>
      <c r="Y111" s="4183"/>
      <c r="Z111" s="4183"/>
      <c r="AA111" s="4183"/>
      <c r="AB111" s="4183"/>
      <c r="AC111" s="4183"/>
      <c r="AD111" s="2870"/>
      <c r="AE111" s="2870"/>
      <c r="AF111" s="2870"/>
      <c r="AG111" s="2870"/>
      <c r="AH111" s="2870"/>
      <c r="AI111" s="4183"/>
      <c r="AJ111" s="4183"/>
      <c r="AK111" s="4183"/>
      <c r="AL111" s="4183"/>
      <c r="AM111" s="2870"/>
      <c r="AN111" s="4183"/>
      <c r="AO111" s="4183"/>
      <c r="AP111" s="4183"/>
      <c r="AQ111" s="4183"/>
      <c r="AR111" s="4183"/>
      <c r="AS111" s="4183"/>
      <c r="AT111" s="4183"/>
      <c r="AU111" s="4183"/>
      <c r="AV111" s="4183"/>
      <c r="AW111" s="4183"/>
      <c r="AX111" s="4183"/>
      <c r="AY111" s="4183"/>
      <c r="AZ111" s="4183"/>
      <c r="BA111" s="4183"/>
      <c r="BB111" s="2870"/>
      <c r="BC111" s="2870"/>
      <c r="BD111" s="4183"/>
      <c r="BE111" s="4183"/>
      <c r="BF111" s="4183"/>
      <c r="BG111" s="4183"/>
      <c r="BH111" s="4183"/>
      <c r="BI111" s="4183"/>
      <c r="BJ111" s="4183"/>
      <c r="BK111" s="4183"/>
      <c r="BL111" s="4183"/>
      <c r="BM111" s="4183"/>
      <c r="BN111" s="4183"/>
      <c r="BO111" s="4183"/>
      <c r="BP111" s="4183"/>
      <c r="BQ111" s="4183"/>
      <c r="BR111" s="4183"/>
      <c r="BS111" s="4183"/>
      <c r="BT111" s="4183"/>
      <c r="BU111" s="4183"/>
      <c r="BV111" s="4183"/>
      <c r="BW111" s="4183"/>
      <c r="BX111" s="4183"/>
      <c r="BY111" s="4183"/>
      <c r="BZ111" s="4183"/>
      <c r="CA111" s="4183"/>
      <c r="CB111" s="4183"/>
      <c r="CC111" s="4183"/>
      <c r="CD111" s="4183"/>
      <c r="CE111" s="4183"/>
      <c r="CF111" s="4183"/>
      <c r="CG111" s="4183"/>
      <c r="CH111" s="4183"/>
      <c r="CI111" s="4183"/>
      <c r="CJ111" s="4183"/>
      <c r="CK111" s="4183"/>
      <c r="CL111" s="4183"/>
      <c r="CM111" s="4183"/>
      <c r="CN111" s="4183"/>
      <c r="CO111" s="4183"/>
      <c r="CP111" s="2870"/>
      <c r="CQ111" s="4183"/>
      <c r="CR111" s="4183"/>
      <c r="CS111" s="4183"/>
      <c r="CT111" s="4183"/>
      <c r="CU111" s="4183"/>
      <c r="CV111" s="4183"/>
      <c r="CW111" s="4183"/>
      <c r="CX111" s="4183"/>
      <c r="CY111" s="2870"/>
      <c r="CZ111" s="2870"/>
      <c r="DA111" s="2870"/>
      <c r="DB111" s="4183"/>
      <c r="DC111" s="4183"/>
      <c r="DD111" s="4183"/>
      <c r="DE111" s="4183"/>
      <c r="DF111" s="4183"/>
      <c r="DG111" s="4183"/>
      <c r="DH111" s="2870"/>
      <c r="DI111" s="4183"/>
      <c r="DJ111" s="2870"/>
      <c r="DK111" s="4183"/>
      <c r="DL111" s="4183"/>
      <c r="DM111" s="2870"/>
      <c r="DN111" s="4183"/>
      <c r="DO111" s="4183"/>
      <c r="DP111" s="4183"/>
      <c r="DQ111" s="4183"/>
      <c r="DR111" s="4183"/>
      <c r="DS111" s="4183"/>
      <c r="DT111" s="4183"/>
      <c r="DU111" s="4183"/>
      <c r="DV111" s="4183"/>
      <c r="DW111" s="4183"/>
      <c r="DX111" s="4183"/>
      <c r="DY111" s="4183"/>
      <c r="DZ111" s="4183"/>
      <c r="EA111" s="4183"/>
      <c r="EB111" s="4183"/>
      <c r="EC111" s="4183"/>
      <c r="ED111" s="4183"/>
      <c r="EE111" s="4183"/>
      <c r="EF111" s="4183"/>
      <c r="EG111" s="4183"/>
      <c r="EH111" s="2870"/>
      <c r="EI111" s="2870"/>
      <c r="EJ111" s="4183"/>
      <c r="EK111" s="4183"/>
      <c r="EL111" s="4183"/>
      <c r="EM111" s="4183"/>
      <c r="EN111" s="4183"/>
      <c r="EO111" s="4183"/>
      <c r="EP111" s="4183"/>
      <c r="EQ111" s="4183"/>
      <c r="ER111" s="4183"/>
      <c r="ES111" s="4183"/>
      <c r="ET111" s="4183"/>
      <c r="EU111" s="4183"/>
      <c r="EV111" s="4183"/>
      <c r="EW111" s="4183"/>
      <c r="EX111" s="4183"/>
      <c r="EY111" s="4183"/>
      <c r="EZ111" s="4183"/>
      <c r="FA111" s="2870"/>
      <c r="FB111" s="4183"/>
      <c r="FC111" s="4183"/>
      <c r="FD111" s="4183"/>
      <c r="FE111" s="4183"/>
      <c r="FF111" s="4183"/>
      <c r="FG111" s="4183"/>
      <c r="FH111" s="4183"/>
      <c r="FI111" s="4183"/>
      <c r="FJ111" s="4183"/>
      <c r="FK111" s="2870"/>
      <c r="FL111" s="4183"/>
      <c r="FM111" s="4183"/>
      <c r="FN111" s="4183"/>
      <c r="FO111" s="4183"/>
      <c r="FP111" s="4183"/>
      <c r="FQ111" s="4183"/>
      <c r="FR111" s="4183"/>
      <c r="FS111" s="4183"/>
      <c r="FT111" s="4183"/>
      <c r="FU111" s="4183"/>
      <c r="FV111" s="2870"/>
      <c r="FW111" s="4183"/>
      <c r="FX111" s="4183"/>
      <c r="FY111" s="4183"/>
      <c r="FZ111" s="4183"/>
      <c r="GA111" s="4183"/>
      <c r="GB111" s="4183"/>
      <c r="GC111" s="4183"/>
      <c r="GD111" s="4183"/>
      <c r="GE111" s="4183"/>
      <c r="GF111" s="4183"/>
      <c r="GG111" s="4183"/>
      <c r="GH111" s="4183"/>
      <c r="GI111" s="4183"/>
      <c r="GJ111" s="4183"/>
      <c r="GK111" s="4183"/>
      <c r="GL111" s="4183"/>
      <c r="GM111" s="4183"/>
      <c r="GN111" s="4183"/>
      <c r="GO111" s="4183"/>
      <c r="GP111" s="4183"/>
      <c r="GQ111" s="4183"/>
      <c r="GR111" s="4183"/>
      <c r="GS111" s="4183"/>
      <c r="GT111" s="4183"/>
      <c r="GU111" s="4183"/>
      <c r="GV111" s="4183"/>
      <c r="GW111" s="2870"/>
      <c r="GX111" s="4183"/>
      <c r="GY111" s="2870"/>
      <c r="GZ111" s="4183"/>
      <c r="HA111" s="4183"/>
      <c r="HB111" s="4183"/>
      <c r="HC111" s="4183"/>
      <c r="HD111" s="4183"/>
      <c r="HE111" s="2870"/>
      <c r="HF111" s="4183"/>
      <c r="HG111" s="4183"/>
      <c r="HH111" s="4183"/>
      <c r="HI111" s="4183"/>
      <c r="HJ111" s="4183"/>
      <c r="HK111" s="4183"/>
      <c r="HL111" s="4183"/>
      <c r="HM111" s="4183"/>
      <c r="HN111" s="4183"/>
      <c r="HO111" s="4183"/>
      <c r="HP111" s="4183"/>
      <c r="HQ111" s="4183"/>
      <c r="HR111" s="4183"/>
      <c r="HS111" s="4183"/>
      <c r="HT111" s="4183"/>
      <c r="HU111" s="4183"/>
      <c r="HV111" s="4183"/>
      <c r="HW111" s="4183"/>
      <c r="HX111" s="4183"/>
      <c r="HY111" s="4183"/>
      <c r="HZ111" s="4183"/>
      <c r="IA111" s="4183"/>
      <c r="IB111" s="4183"/>
      <c r="IC111" s="4183"/>
      <c r="ID111" s="4183"/>
      <c r="IE111" s="4183"/>
      <c r="IF111" s="4183"/>
      <c r="IG111" s="4183"/>
      <c r="IH111" s="4183"/>
      <c r="II111" s="4183"/>
      <c r="IJ111" s="4183"/>
      <c r="IK111" s="4183"/>
      <c r="IL111" s="4183"/>
      <c r="IM111" s="4183"/>
      <c r="IN111" s="4183"/>
      <c r="IO111" s="2870"/>
      <c r="IP111" s="4183"/>
      <c r="IQ111" s="4184"/>
      <c r="IR111" s="4183"/>
      <c r="IS111" s="4183"/>
      <c r="IT111" s="3987"/>
      <c r="IU111" s="4183"/>
      <c r="IV111" s="4183"/>
      <c r="IW111" s="4183"/>
      <c r="IX111" s="4183"/>
      <c r="IY111" s="4185"/>
      <c r="IZ111" s="4183"/>
      <c r="JA111" s="3823"/>
      <c r="JB111" s="4318"/>
      <c r="JC111" s="4248"/>
      <c r="JD111" s="2870"/>
      <c r="JE111" s="3823"/>
      <c r="JF111" s="3823"/>
      <c r="JG111" s="4186"/>
      <c r="JH111" s="1233"/>
      <c r="JI111" s="1393"/>
      <c r="JJ111" s="1660" t="s">
        <v>6108</v>
      </c>
    </row>
    <row ht="12.75" r="112" spans="1:270" x14ac:dyDescent="0.2">
      <c r="A112" s="1128">
        <v>77</v>
      </c>
      <c r="B112" s="1557" t="str">
        <f si="4" t="shared"/>
        <v/>
      </c>
      <c r="C112" s="1559" t="s">
        <v>1137</v>
      </c>
      <c r="D112" s="1350" t="s">
        <v>5754</v>
      </c>
      <c r="E112" s="2872"/>
      <c r="F112" s="2872"/>
      <c r="G112" s="2872"/>
      <c r="H112" s="2872"/>
      <c r="I112" s="2872"/>
      <c r="J112" s="2872"/>
      <c r="K112" s="2872"/>
      <c r="L112" s="2872"/>
      <c r="M112" s="2872"/>
      <c r="N112" s="2872"/>
      <c r="O112" s="2872"/>
      <c r="P112" s="2872"/>
      <c r="Q112" s="2872"/>
      <c r="R112" s="2872"/>
      <c r="S112" s="2872"/>
      <c r="T112" s="2872"/>
      <c r="U112" s="2872"/>
      <c r="V112" s="2872"/>
      <c r="W112" s="2872"/>
      <c r="X112" s="2872"/>
      <c r="Y112" s="2872"/>
      <c r="Z112" s="2872"/>
      <c r="AA112" s="2872"/>
      <c r="AB112" s="2872"/>
      <c r="AC112" s="2872"/>
      <c r="AD112" s="2872"/>
      <c r="AE112" s="2872"/>
      <c r="AF112" s="2872"/>
      <c r="AG112" s="2872"/>
      <c r="AH112" s="2872"/>
      <c r="AI112" s="2872"/>
      <c r="AJ112" s="2872"/>
      <c r="AK112" s="2872"/>
      <c r="AL112" s="2872"/>
      <c r="AM112" s="2871">
        <f>MAX(0,AM110-AM111)</f>
        <v>390</v>
      </c>
      <c r="AN112" s="2872"/>
      <c r="AO112" s="2872"/>
      <c r="AP112" s="2872"/>
      <c r="AQ112" s="2872"/>
      <c r="AR112" s="2872"/>
      <c r="AS112" s="2872"/>
      <c r="AT112" s="2872"/>
      <c r="AU112" s="2872"/>
      <c r="AV112" s="2872"/>
      <c r="AW112" s="2872"/>
      <c r="AX112" s="2872"/>
      <c r="AY112" s="2872"/>
      <c r="AZ112" s="2872"/>
      <c r="BA112" s="2872"/>
      <c r="BB112" s="2871">
        <f>MAX(0,BB110-BB111)</f>
        <v>748</v>
      </c>
      <c r="BC112" s="2871">
        <f>MAX(0,BC110-BC111)</f>
        <v>390</v>
      </c>
      <c r="BD112" s="2872"/>
      <c r="BE112" s="2872"/>
      <c r="BF112" s="2872"/>
      <c r="BG112" s="2872"/>
      <c r="BH112" s="2872"/>
      <c r="BI112" s="2872"/>
      <c r="BJ112" s="2872"/>
      <c r="BK112" s="2872"/>
      <c r="BL112" s="2872"/>
      <c r="BM112" s="2872"/>
      <c r="BN112" s="2872"/>
      <c r="BO112" s="2872"/>
      <c r="BP112" s="2872"/>
      <c r="BQ112" s="2872"/>
      <c r="BR112" s="2872"/>
      <c r="BS112" s="2872"/>
      <c r="BT112" s="2872"/>
      <c r="BU112" s="2872"/>
      <c r="BV112" s="2872"/>
      <c r="BW112" s="2872"/>
      <c r="BX112" s="2872"/>
      <c r="BY112" s="2872"/>
      <c r="BZ112" s="2872"/>
      <c r="CA112" s="2872"/>
      <c r="CB112" s="2872"/>
      <c r="CC112" s="2872"/>
      <c r="CD112" s="2872"/>
      <c r="CE112" s="2872"/>
      <c r="CF112" s="2872"/>
      <c r="CG112" s="2872"/>
      <c r="CH112" s="2872"/>
      <c r="CI112" s="2872"/>
      <c r="CJ112" s="2872"/>
      <c r="CK112" s="2872"/>
      <c r="CL112" s="2872"/>
      <c r="CM112" s="2872"/>
      <c r="CN112" s="2872"/>
      <c r="CO112" s="2872"/>
      <c r="CP112" s="2871">
        <f>MAX(0,CP110-CP111)</f>
        <v>0</v>
      </c>
      <c r="CQ112" s="2872"/>
      <c r="CR112" s="2872"/>
      <c r="CS112" s="2872"/>
      <c r="CT112" s="2872"/>
      <c r="CU112" s="2872"/>
      <c r="CV112" s="2872"/>
      <c r="CW112" s="2872"/>
      <c r="CX112" s="2872"/>
      <c r="CY112" s="2872"/>
      <c r="CZ112" s="2871">
        <f>MAX(0,CZ110-CZ111)</f>
        <v>1365</v>
      </c>
      <c r="DA112" s="2871">
        <f>MAX(0,DA110-DA111)</f>
        <v>1365</v>
      </c>
      <c r="DB112" s="2872"/>
      <c r="DC112" s="2872"/>
      <c r="DD112" s="2872"/>
      <c r="DE112" s="2872"/>
      <c r="DF112" s="2872"/>
      <c r="DG112" s="2872"/>
      <c r="DH112" s="2872"/>
      <c r="DI112" s="2872"/>
      <c r="DJ112" s="2872"/>
      <c r="DK112" s="2872"/>
      <c r="DL112" s="2872"/>
      <c r="DM112" s="2872"/>
      <c r="DN112" s="2872"/>
      <c r="DO112" s="2872"/>
      <c r="DP112" s="2872"/>
      <c r="DQ112" s="2872"/>
      <c r="DR112" s="2872"/>
      <c r="DS112" s="2872"/>
      <c r="DT112" s="2872"/>
      <c r="DU112" s="2872"/>
      <c r="DV112" s="2872"/>
      <c r="DW112" s="2872"/>
      <c r="DX112" s="2872"/>
      <c r="DY112" s="2872"/>
      <c r="DZ112" s="2872"/>
      <c r="EA112" s="2872"/>
      <c r="EB112" s="2872"/>
      <c r="EC112" s="2872"/>
      <c r="ED112" s="2872"/>
      <c r="EE112" s="2872"/>
      <c r="EF112" s="2872"/>
      <c r="EG112" s="2872"/>
      <c r="EH112" s="2872"/>
      <c r="EI112" s="2872"/>
      <c r="EJ112" s="2872"/>
      <c r="EK112" s="2872"/>
      <c r="EL112" s="2872"/>
      <c r="EM112" s="2872"/>
      <c r="EN112" s="2872"/>
      <c r="EO112" s="2872"/>
      <c r="EP112" s="2872"/>
      <c r="EQ112" s="2872"/>
      <c r="ER112" s="2872"/>
      <c r="ES112" s="2872"/>
      <c r="ET112" s="2872"/>
      <c r="EU112" s="2872"/>
      <c r="EV112" s="2872"/>
      <c r="EW112" s="2872"/>
      <c r="EX112" s="2872"/>
      <c r="EY112" s="2872"/>
      <c r="EZ112" s="2872"/>
      <c r="FA112" s="2872"/>
      <c r="FB112" s="2872"/>
      <c r="FC112" s="2872"/>
      <c r="FD112" s="2872"/>
      <c r="FE112" s="2872"/>
      <c r="FF112" s="2872"/>
      <c r="FG112" s="2872"/>
      <c r="FH112" s="2872"/>
      <c r="FI112" s="2872"/>
      <c r="FJ112" s="2872"/>
      <c r="FK112" s="2871">
        <f>MAX(0,FK110-FK111)</f>
        <v>1365</v>
      </c>
      <c r="FL112" s="2872"/>
      <c r="FM112" s="2872"/>
      <c r="FN112" s="2872"/>
      <c r="FO112" s="2872"/>
      <c r="FP112" s="2872"/>
      <c r="FQ112" s="2872"/>
      <c r="FR112" s="2872"/>
      <c r="FS112" s="2872"/>
      <c r="FT112" s="2872"/>
      <c r="FU112" s="2872"/>
      <c r="FV112" s="2871">
        <f>MAX(0,FV110-FV111)</f>
        <v>390</v>
      </c>
      <c r="FW112" s="2872"/>
      <c r="FX112" s="2872"/>
      <c r="FY112" s="2872"/>
      <c r="FZ112" s="2872"/>
      <c r="GA112" s="2872"/>
      <c r="GB112" s="2872"/>
      <c r="GC112" s="2872"/>
      <c r="GD112" s="2872"/>
      <c r="GE112" s="2872"/>
      <c r="GF112" s="2872"/>
      <c r="GG112" s="2872"/>
      <c r="GH112" s="2872"/>
      <c r="GI112" s="2872"/>
      <c r="GJ112" s="2872"/>
      <c r="GK112" s="2872"/>
      <c r="GL112" s="2872"/>
      <c r="GM112" s="2872"/>
      <c r="GN112" s="2872"/>
      <c r="GO112" s="2872"/>
      <c r="GP112" s="2872"/>
      <c r="GQ112" s="2872"/>
      <c r="GR112" s="2872"/>
      <c r="GS112" s="2872"/>
      <c r="GT112" s="2872"/>
      <c r="GU112" s="2872"/>
      <c r="GV112" s="2872"/>
      <c r="GW112" s="2871">
        <f>MAX(0,GW110-GW111)</f>
        <v>390</v>
      </c>
      <c r="GX112" s="2872"/>
      <c r="GY112" s="2872"/>
      <c r="GZ112" s="2872"/>
      <c r="HA112" s="2872"/>
      <c r="HB112" s="2872"/>
      <c r="HC112" s="2872"/>
      <c r="HD112" s="2872"/>
      <c r="HE112" s="2872"/>
      <c r="HF112" s="2872"/>
      <c r="HG112" s="2872"/>
      <c r="HH112" s="2872"/>
      <c r="HI112" s="2872"/>
      <c r="HJ112" s="2872"/>
      <c r="HK112" s="2872"/>
      <c r="HL112" s="2872"/>
      <c r="HM112" s="2872"/>
      <c r="HN112" s="2872"/>
      <c r="HO112" s="2872"/>
      <c r="HP112" s="2872"/>
      <c r="HQ112" s="2872"/>
      <c r="HR112" s="2872"/>
      <c r="HS112" s="2872"/>
      <c r="HT112" s="2872"/>
      <c r="HU112" s="2872"/>
      <c r="HV112" s="2872"/>
      <c r="HW112" s="2872"/>
      <c r="HX112" s="2872"/>
      <c r="HY112" s="2872"/>
      <c r="HZ112" s="2872"/>
      <c r="IA112" s="2872"/>
      <c r="IB112" s="2872"/>
      <c r="IC112" s="2872"/>
      <c r="ID112" s="2872"/>
      <c r="IE112" s="2872"/>
      <c r="IF112" s="2872"/>
      <c r="IG112" s="2872"/>
      <c r="IH112" s="2872"/>
      <c r="II112" s="2872"/>
      <c r="IJ112" s="2872"/>
      <c r="IK112" s="2872"/>
      <c r="IL112" s="2872"/>
      <c r="IM112" s="2872"/>
      <c r="IN112" s="2872"/>
      <c r="IO112" s="2872"/>
      <c r="IP112" s="2872"/>
      <c r="IQ112" s="3848">
        <v>11608</v>
      </c>
      <c r="IR112" s="2872"/>
      <c r="IS112" s="2872"/>
      <c r="IT112" s="3987"/>
      <c r="IU112" s="2872"/>
      <c r="IV112" s="2872"/>
      <c r="IW112" s="2872"/>
      <c r="IX112" s="2872"/>
      <c r="IY112" s="4187"/>
      <c r="IZ112" s="2872"/>
      <c r="JA112" s="3824"/>
      <c r="JB112" s="4187"/>
      <c r="JC112" s="4242">
        <v>0</v>
      </c>
      <c r="JD112" s="2870"/>
      <c r="JE112" s="3824"/>
      <c r="JF112" s="3824"/>
      <c r="JG112" s="4188"/>
      <c r="JH112" s="1233"/>
      <c r="JI112" s="1393" t="s">
        <v>5644</v>
      </c>
      <c r="JJ112" s="1660" t="s">
        <v>6124</v>
      </c>
    </row>
    <row ht="12.75" r="113" spans="1:270" x14ac:dyDescent="0.2">
      <c r="A113" s="1128">
        <v>78</v>
      </c>
      <c r="B113" s="1557" t="str">
        <f si="4" t="shared"/>
        <v/>
      </c>
      <c r="C113" s="1559" t="s">
        <v>1138</v>
      </c>
      <c r="D113" s="1350" t="s">
        <v>5686</v>
      </c>
      <c r="E113" s="4189"/>
      <c r="F113" s="4189"/>
      <c r="G113" s="4189"/>
      <c r="H113" s="4189"/>
      <c r="I113" s="4189"/>
      <c r="J113" s="4189"/>
      <c r="K113" s="4189"/>
      <c r="L113" s="4189"/>
      <c r="M113" s="4189"/>
      <c r="N113" s="4189"/>
      <c r="O113" s="4189"/>
      <c r="P113" s="4189"/>
      <c r="Q113" s="4189"/>
      <c r="R113" s="4189"/>
      <c r="S113" s="4189"/>
      <c r="T113" s="4189"/>
      <c r="U113" s="4189"/>
      <c r="V113" s="4189"/>
      <c r="W113" s="4189"/>
      <c r="X113" s="4189"/>
      <c r="Y113" s="4189"/>
      <c r="Z113" s="4189"/>
      <c r="AA113" s="4189"/>
      <c r="AB113" s="4189"/>
      <c r="AC113" s="4189"/>
      <c r="AD113" s="2876"/>
      <c r="AE113" s="2876"/>
      <c r="AF113" s="2876"/>
      <c r="AG113" s="2876"/>
      <c r="AH113" s="2876"/>
      <c r="AI113" s="4189"/>
      <c r="AJ113" s="4189"/>
      <c r="AK113" s="4189"/>
      <c r="AL113" s="4189"/>
      <c r="AM113" s="2870"/>
      <c r="AN113" s="4189"/>
      <c r="AO113" s="4189"/>
      <c r="AP113" s="4189"/>
      <c r="AQ113" s="4189"/>
      <c r="AR113" s="4189"/>
      <c r="AS113" s="4189"/>
      <c r="AT113" s="4189"/>
      <c r="AU113" s="4189"/>
      <c r="AV113" s="4189"/>
      <c r="AW113" s="4189"/>
      <c r="AX113" s="4189"/>
      <c r="AY113" s="4189"/>
      <c r="AZ113" s="4189"/>
      <c r="BA113" s="4189"/>
      <c r="BB113" s="2870">
        <v>1256</v>
      </c>
      <c r="BC113" s="2870"/>
      <c r="BD113" s="4189"/>
      <c r="BE113" s="4189"/>
      <c r="BF113" s="4189"/>
      <c r="BG113" s="4189"/>
      <c r="BH113" s="4189"/>
      <c r="BI113" s="4189"/>
      <c r="BJ113" s="4189"/>
      <c r="BK113" s="4189"/>
      <c r="BL113" s="4189"/>
      <c r="BM113" s="4189"/>
      <c r="BN113" s="4189"/>
      <c r="BO113" s="4189"/>
      <c r="BP113" s="4189"/>
      <c r="BQ113" s="4189"/>
      <c r="BR113" s="4189"/>
      <c r="BS113" s="4189"/>
      <c r="BT113" s="4189"/>
      <c r="BU113" s="4189"/>
      <c r="BV113" s="4189"/>
      <c r="BW113" s="4189"/>
      <c r="BX113" s="4189"/>
      <c r="BY113" s="4189"/>
      <c r="BZ113" s="4189"/>
      <c r="CA113" s="4189"/>
      <c r="CB113" s="4189"/>
      <c r="CC113" s="4189"/>
      <c r="CD113" s="4189"/>
      <c r="CE113" s="4189"/>
      <c r="CF113" s="4189"/>
      <c r="CG113" s="4189"/>
      <c r="CH113" s="4189"/>
      <c r="CI113" s="4189"/>
      <c r="CJ113" s="4189"/>
      <c r="CK113" s="4189"/>
      <c r="CL113" s="4189"/>
      <c r="CM113" s="4189"/>
      <c r="CN113" s="4189"/>
      <c r="CO113" s="4189"/>
      <c r="CP113" s="2870"/>
      <c r="CQ113" s="4189"/>
      <c r="CR113" s="4189"/>
      <c r="CS113" s="4189"/>
      <c r="CT113" s="4189"/>
      <c r="CU113" s="4189"/>
      <c r="CV113" s="4189"/>
      <c r="CW113" s="4189"/>
      <c r="CX113" s="4189"/>
      <c r="CY113" s="2876"/>
      <c r="CZ113" s="2870">
        <v>5462</v>
      </c>
      <c r="DA113" s="2870">
        <v>5462</v>
      </c>
      <c r="DB113" s="4189"/>
      <c r="DC113" s="4189"/>
      <c r="DD113" s="4189"/>
      <c r="DE113" s="4189"/>
      <c r="DF113" s="4189"/>
      <c r="DG113" s="4189"/>
      <c r="DH113" s="2876"/>
      <c r="DI113" s="4189"/>
      <c r="DJ113" s="2876"/>
      <c r="DK113" s="4189"/>
      <c r="DL113" s="4189"/>
      <c r="DM113" s="2876"/>
      <c r="DN113" s="4189"/>
      <c r="DO113" s="4189"/>
      <c r="DP113" s="4189"/>
      <c r="DQ113" s="4189"/>
      <c r="DR113" s="4189"/>
      <c r="DS113" s="4189"/>
      <c r="DT113" s="4189"/>
      <c r="DU113" s="4189"/>
      <c r="DV113" s="4189"/>
      <c r="DW113" s="4189"/>
      <c r="DX113" s="4189"/>
      <c r="DY113" s="4189"/>
      <c r="DZ113" s="4189"/>
      <c r="EA113" s="4189"/>
      <c r="EB113" s="4189"/>
      <c r="EC113" s="4189"/>
      <c r="ED113" s="4189"/>
      <c r="EE113" s="4189"/>
      <c r="EF113" s="4189"/>
      <c r="EG113" s="4189"/>
      <c r="EH113" s="2876"/>
      <c r="EI113" s="2876"/>
      <c r="EJ113" s="4189"/>
      <c r="EK113" s="4189"/>
      <c r="EL113" s="4189"/>
      <c r="EM113" s="4189"/>
      <c r="EN113" s="4189"/>
      <c r="EO113" s="4189"/>
      <c r="EP113" s="4189"/>
      <c r="EQ113" s="4189"/>
      <c r="ER113" s="4189"/>
      <c r="ES113" s="4189"/>
      <c r="ET113" s="4189"/>
      <c r="EU113" s="4189"/>
      <c r="EV113" s="4189"/>
      <c r="EW113" s="4189"/>
      <c r="EX113" s="4189"/>
      <c r="EY113" s="4189"/>
      <c r="EZ113" s="4189"/>
      <c r="FA113" s="2876"/>
      <c r="FB113" s="4189"/>
      <c r="FC113" s="4189"/>
      <c r="FD113" s="4189"/>
      <c r="FE113" s="4189"/>
      <c r="FF113" s="4189"/>
      <c r="FG113" s="4189"/>
      <c r="FH113" s="4189"/>
      <c r="FI113" s="4189"/>
      <c r="FJ113" s="4189"/>
      <c r="FK113" s="2870">
        <v>5462</v>
      </c>
      <c r="FL113" s="4189"/>
      <c r="FM113" s="4189"/>
      <c r="FN113" s="4189"/>
      <c r="FO113" s="4189"/>
      <c r="FP113" s="4189"/>
      <c r="FQ113" s="4189"/>
      <c r="FR113" s="4189"/>
      <c r="FS113" s="4189"/>
      <c r="FT113" s="4189"/>
      <c r="FU113" s="4189"/>
      <c r="FV113" s="2870"/>
      <c r="FW113" s="4189"/>
      <c r="FX113" s="4189"/>
      <c r="FY113" s="4189"/>
      <c r="FZ113" s="4189"/>
      <c r="GA113" s="4189"/>
      <c r="GB113" s="4189"/>
      <c r="GC113" s="4189"/>
      <c r="GD113" s="4189"/>
      <c r="GE113" s="4189"/>
      <c r="GF113" s="4189"/>
      <c r="GG113" s="4189"/>
      <c r="GH113" s="4189"/>
      <c r="GI113" s="4189"/>
      <c r="GJ113" s="4189"/>
      <c r="GK113" s="4189"/>
      <c r="GL113" s="4189"/>
      <c r="GM113" s="4189"/>
      <c r="GN113" s="4189"/>
      <c r="GO113" s="4189"/>
      <c r="GP113" s="4189"/>
      <c r="GQ113" s="4189"/>
      <c r="GR113" s="4189"/>
      <c r="GS113" s="4189"/>
      <c r="GT113" s="4189"/>
      <c r="GU113" s="4189"/>
      <c r="GV113" s="4189"/>
      <c r="GW113" s="2870"/>
      <c r="GX113" s="4189"/>
      <c r="GY113" s="2876"/>
      <c r="GZ113" s="4189"/>
      <c r="HA113" s="4189"/>
      <c r="HB113" s="4189"/>
      <c r="HC113" s="4189"/>
      <c r="HD113" s="4189"/>
      <c r="HE113" s="2876"/>
      <c r="HF113" s="4189"/>
      <c r="HG113" s="4189"/>
      <c r="HH113" s="4189"/>
      <c r="HI113" s="4189"/>
      <c r="HJ113" s="4189"/>
      <c r="HK113" s="4189"/>
      <c r="HL113" s="4189"/>
      <c r="HM113" s="4189"/>
      <c r="HN113" s="4189"/>
      <c r="HO113" s="4189"/>
      <c r="HP113" s="4189"/>
      <c r="HQ113" s="4189"/>
      <c r="HR113" s="4189"/>
      <c r="HS113" s="4189"/>
      <c r="HT113" s="4189"/>
      <c r="HU113" s="4189"/>
      <c r="HV113" s="4189"/>
      <c r="HW113" s="4189"/>
      <c r="HX113" s="4189"/>
      <c r="HY113" s="4189"/>
      <c r="HZ113" s="4189"/>
      <c r="IA113" s="4189"/>
      <c r="IB113" s="4189"/>
      <c r="IC113" s="4189"/>
      <c r="ID113" s="4189"/>
      <c r="IE113" s="4189"/>
      <c r="IF113" s="4189"/>
      <c r="IG113" s="4189"/>
      <c r="IH113" s="4189"/>
      <c r="II113" s="4189"/>
      <c r="IJ113" s="4189"/>
      <c r="IK113" s="4189"/>
      <c r="IL113" s="4189"/>
      <c r="IM113" s="4189"/>
      <c r="IN113" s="4189"/>
      <c r="IO113" s="2876"/>
      <c r="IP113" s="4189"/>
      <c r="IQ113" s="4184"/>
      <c r="IR113" s="4189"/>
      <c r="IS113" s="4189"/>
      <c r="IT113" s="3987"/>
      <c r="IU113" s="4189"/>
      <c r="IV113" s="4189"/>
      <c r="IW113" s="4189"/>
      <c r="IX113" s="4189"/>
      <c r="IY113" s="4185"/>
      <c r="IZ113" s="4189"/>
      <c r="JA113" s="3825"/>
      <c r="JB113" s="4318"/>
      <c r="JC113" s="4248"/>
      <c r="JD113" s="2870"/>
      <c r="JE113" s="3825"/>
      <c r="JF113" s="3825"/>
      <c r="JG113" s="4190"/>
      <c r="JH113" s="1233"/>
      <c r="JI113" s="1393"/>
      <c r="JJ113" s="1660" t="s">
        <v>6108</v>
      </c>
    </row>
    <row ht="12.75" r="114" spans="1:270" x14ac:dyDescent="0.2">
      <c r="A114" s="1128">
        <v>79</v>
      </c>
      <c r="B114" s="1557" t="str">
        <f si="4" t="shared"/>
        <v/>
      </c>
      <c r="C114" s="1559" t="s">
        <v>1139</v>
      </c>
      <c r="D114" s="1350" t="s">
        <v>5687</v>
      </c>
      <c r="E114" s="4189"/>
      <c r="F114" s="4189"/>
      <c r="G114" s="4189"/>
      <c r="H114" s="4189"/>
      <c r="I114" s="4189"/>
      <c r="J114" s="4189"/>
      <c r="K114" s="4189"/>
      <c r="L114" s="4189"/>
      <c r="M114" s="4189"/>
      <c r="N114" s="4189"/>
      <c r="O114" s="4189"/>
      <c r="P114" s="4189"/>
      <c r="Q114" s="4189"/>
      <c r="R114" s="4189"/>
      <c r="S114" s="4189"/>
      <c r="T114" s="4189"/>
      <c r="U114" s="4189"/>
      <c r="V114" s="4189"/>
      <c r="W114" s="4189"/>
      <c r="X114" s="4189"/>
      <c r="Y114" s="4189"/>
      <c r="Z114" s="4189"/>
      <c r="AA114" s="4189"/>
      <c r="AB114" s="4189"/>
      <c r="AC114" s="4189"/>
      <c r="AD114" s="2876"/>
      <c r="AE114" s="2876"/>
      <c r="AF114" s="2876"/>
      <c r="AG114" s="2876"/>
      <c r="AH114" s="2876"/>
      <c r="AI114" s="4189"/>
      <c r="AJ114" s="4189"/>
      <c r="AK114" s="4189"/>
      <c r="AL114" s="4189"/>
      <c r="AM114" s="2870"/>
      <c r="AN114" s="4189"/>
      <c r="AO114" s="4189"/>
      <c r="AP114" s="4189"/>
      <c r="AQ114" s="4189"/>
      <c r="AR114" s="4189"/>
      <c r="AS114" s="4189"/>
      <c r="AT114" s="4189"/>
      <c r="AU114" s="4189"/>
      <c r="AV114" s="4189"/>
      <c r="AW114" s="4189"/>
      <c r="AX114" s="4189"/>
      <c r="AY114" s="4189"/>
      <c r="AZ114" s="4189"/>
      <c r="BA114" s="4189"/>
      <c r="BB114" s="2870"/>
      <c r="BC114" s="2870"/>
      <c r="BD114" s="4189"/>
      <c r="BE114" s="4189"/>
      <c r="BF114" s="4189"/>
      <c r="BG114" s="4189"/>
      <c r="BH114" s="4189"/>
      <c r="BI114" s="4189"/>
      <c r="BJ114" s="4189"/>
      <c r="BK114" s="4189"/>
      <c r="BL114" s="4189"/>
      <c r="BM114" s="4189"/>
      <c r="BN114" s="4189"/>
      <c r="BO114" s="4189"/>
      <c r="BP114" s="4189"/>
      <c r="BQ114" s="4189"/>
      <c r="BR114" s="4189"/>
      <c r="BS114" s="4189"/>
      <c r="BT114" s="4189"/>
      <c r="BU114" s="4189"/>
      <c r="BV114" s="4189"/>
      <c r="BW114" s="4189"/>
      <c r="BX114" s="4189"/>
      <c r="BY114" s="4189"/>
      <c r="BZ114" s="4189"/>
      <c r="CA114" s="4189"/>
      <c r="CB114" s="4189"/>
      <c r="CC114" s="4189"/>
      <c r="CD114" s="4189"/>
      <c r="CE114" s="4189"/>
      <c r="CF114" s="4189"/>
      <c r="CG114" s="4189"/>
      <c r="CH114" s="4189"/>
      <c r="CI114" s="4189"/>
      <c r="CJ114" s="4189"/>
      <c r="CK114" s="4189"/>
      <c r="CL114" s="4189"/>
      <c r="CM114" s="4189"/>
      <c r="CN114" s="4189"/>
      <c r="CO114" s="4189"/>
      <c r="CP114" s="2870"/>
      <c r="CQ114" s="4189"/>
      <c r="CR114" s="4189"/>
      <c r="CS114" s="4189"/>
      <c r="CT114" s="4189"/>
      <c r="CU114" s="4189"/>
      <c r="CV114" s="4189"/>
      <c r="CW114" s="4189"/>
      <c r="CX114" s="4189"/>
      <c r="CY114" s="2876"/>
      <c r="CZ114" s="2870">
        <v>547</v>
      </c>
      <c r="DA114" s="2870">
        <v>547</v>
      </c>
      <c r="DB114" s="4189"/>
      <c r="DC114" s="4189"/>
      <c r="DD114" s="4189"/>
      <c r="DE114" s="4189"/>
      <c r="DF114" s="4189"/>
      <c r="DG114" s="4189"/>
      <c r="DH114" s="2876"/>
      <c r="DI114" s="4189"/>
      <c r="DJ114" s="2876"/>
      <c r="DK114" s="4189"/>
      <c r="DL114" s="4189"/>
      <c r="DM114" s="2876"/>
      <c r="DN114" s="4189"/>
      <c r="DO114" s="4189"/>
      <c r="DP114" s="4189"/>
      <c r="DQ114" s="4189"/>
      <c r="DR114" s="4189"/>
      <c r="DS114" s="4189"/>
      <c r="DT114" s="4189"/>
      <c r="DU114" s="4189"/>
      <c r="DV114" s="4189"/>
      <c r="DW114" s="4189"/>
      <c r="DX114" s="4189"/>
      <c r="DY114" s="4189"/>
      <c r="DZ114" s="4189"/>
      <c r="EA114" s="4189"/>
      <c r="EB114" s="4189"/>
      <c r="EC114" s="4189"/>
      <c r="ED114" s="4189"/>
      <c r="EE114" s="4189"/>
      <c r="EF114" s="4189"/>
      <c r="EG114" s="4189"/>
      <c r="EH114" s="2876"/>
      <c r="EI114" s="2876"/>
      <c r="EJ114" s="4189"/>
      <c r="EK114" s="4189"/>
      <c r="EL114" s="4189"/>
      <c r="EM114" s="4189"/>
      <c r="EN114" s="4189"/>
      <c r="EO114" s="4189"/>
      <c r="EP114" s="4189"/>
      <c r="EQ114" s="4189"/>
      <c r="ER114" s="4189"/>
      <c r="ES114" s="4189"/>
      <c r="ET114" s="4189"/>
      <c r="EU114" s="4189"/>
      <c r="EV114" s="4189"/>
      <c r="EW114" s="4189"/>
      <c r="EX114" s="4189"/>
      <c r="EY114" s="4189"/>
      <c r="EZ114" s="4189"/>
      <c r="FA114" s="2876"/>
      <c r="FB114" s="4189"/>
      <c r="FC114" s="4189"/>
      <c r="FD114" s="4189"/>
      <c r="FE114" s="4189"/>
      <c r="FF114" s="4189"/>
      <c r="FG114" s="4189"/>
      <c r="FH114" s="4189"/>
      <c r="FI114" s="4189"/>
      <c r="FJ114" s="4189"/>
      <c r="FK114" s="2870">
        <v>547</v>
      </c>
      <c r="FL114" s="4189"/>
      <c r="FM114" s="4189"/>
      <c r="FN114" s="4189"/>
      <c r="FO114" s="4189"/>
      <c r="FP114" s="4189"/>
      <c r="FQ114" s="4189"/>
      <c r="FR114" s="4189"/>
      <c r="FS114" s="4189"/>
      <c r="FT114" s="4189"/>
      <c r="FU114" s="4189"/>
      <c r="FV114" s="2870"/>
      <c r="FW114" s="4189"/>
      <c r="FX114" s="4189"/>
      <c r="FY114" s="4189"/>
      <c r="FZ114" s="4189"/>
      <c r="GA114" s="4189"/>
      <c r="GB114" s="4189"/>
      <c r="GC114" s="4189"/>
      <c r="GD114" s="4189"/>
      <c r="GE114" s="4189"/>
      <c r="GF114" s="4189"/>
      <c r="GG114" s="4189"/>
      <c r="GH114" s="4189"/>
      <c r="GI114" s="4189"/>
      <c r="GJ114" s="4189"/>
      <c r="GK114" s="4189"/>
      <c r="GL114" s="4189"/>
      <c r="GM114" s="4189"/>
      <c r="GN114" s="4189"/>
      <c r="GO114" s="4189"/>
      <c r="GP114" s="4189"/>
      <c r="GQ114" s="4189"/>
      <c r="GR114" s="4189"/>
      <c r="GS114" s="4189"/>
      <c r="GT114" s="4189"/>
      <c r="GU114" s="4189"/>
      <c r="GV114" s="4189"/>
      <c r="GW114" s="2870"/>
      <c r="GX114" s="4189"/>
      <c r="GY114" s="2876"/>
      <c r="GZ114" s="4189"/>
      <c r="HA114" s="4189"/>
      <c r="HB114" s="4189"/>
      <c r="HC114" s="4189"/>
      <c r="HD114" s="4189"/>
      <c r="HE114" s="2876"/>
      <c r="HF114" s="4189"/>
      <c r="HG114" s="4189"/>
      <c r="HH114" s="4189"/>
      <c r="HI114" s="4189"/>
      <c r="HJ114" s="4189"/>
      <c r="HK114" s="4189"/>
      <c r="HL114" s="4189"/>
      <c r="HM114" s="4189"/>
      <c r="HN114" s="4189"/>
      <c r="HO114" s="4189"/>
      <c r="HP114" s="4189"/>
      <c r="HQ114" s="4189"/>
      <c r="HR114" s="4189"/>
      <c r="HS114" s="4189"/>
      <c r="HT114" s="4189"/>
      <c r="HU114" s="4189"/>
      <c r="HV114" s="4189"/>
      <c r="HW114" s="4189"/>
      <c r="HX114" s="4189"/>
      <c r="HY114" s="4189"/>
      <c r="HZ114" s="4189"/>
      <c r="IA114" s="4189"/>
      <c r="IB114" s="4189"/>
      <c r="IC114" s="4189"/>
      <c r="ID114" s="4189"/>
      <c r="IE114" s="4189"/>
      <c r="IF114" s="4189"/>
      <c r="IG114" s="4189"/>
      <c r="IH114" s="4189"/>
      <c r="II114" s="4189"/>
      <c r="IJ114" s="4189"/>
      <c r="IK114" s="4189"/>
      <c r="IL114" s="4189"/>
      <c r="IM114" s="4189"/>
      <c r="IN114" s="4189"/>
      <c r="IO114" s="2876"/>
      <c r="IP114" s="4189"/>
      <c r="IQ114" s="4184"/>
      <c r="IR114" s="4189"/>
      <c r="IS114" s="4189"/>
      <c r="IT114" s="3987"/>
      <c r="IU114" s="4189"/>
      <c r="IV114" s="4189"/>
      <c r="IW114" s="4189"/>
      <c r="IX114" s="4189"/>
      <c r="IY114" s="4185"/>
      <c r="IZ114" s="4189"/>
      <c r="JA114" s="3825"/>
      <c r="JB114" s="4318"/>
      <c r="JC114" s="4248"/>
      <c r="JD114" s="2870"/>
      <c r="JE114" s="3825"/>
      <c r="JF114" s="3825"/>
      <c r="JG114" s="4190"/>
      <c r="JH114" s="1233"/>
      <c r="JI114" s="1393"/>
      <c r="JJ114" s="1660" t="s">
        <v>6108</v>
      </c>
    </row>
    <row ht="12.75" r="115" spans="1:270" x14ac:dyDescent="0.2">
      <c r="A115" s="1128">
        <v>80</v>
      </c>
      <c r="B115" s="1557" t="str">
        <f si="4" t="shared"/>
        <v/>
      </c>
      <c r="C115" s="1559" t="s">
        <v>1140</v>
      </c>
      <c r="D115" s="1350" t="s">
        <v>5614</v>
      </c>
      <c r="E115" s="2872"/>
      <c r="F115" s="2872"/>
      <c r="G115" s="2872"/>
      <c r="H115" s="2872"/>
      <c r="I115" s="2872"/>
      <c r="J115" s="2872"/>
      <c r="K115" s="2872"/>
      <c r="L115" s="2872"/>
      <c r="M115" s="2872"/>
      <c r="N115" s="2872"/>
      <c r="O115" s="2872"/>
      <c r="P115" s="2872"/>
      <c r="Q115" s="2872"/>
      <c r="R115" s="2872"/>
      <c r="S115" s="2872"/>
      <c r="T115" s="2872"/>
      <c r="U115" s="2872"/>
      <c r="V115" s="2872"/>
      <c r="W115" s="2872"/>
      <c r="X115" s="2872"/>
      <c r="Y115" s="2872"/>
      <c r="Z115" s="2872"/>
      <c r="AA115" s="2872"/>
      <c r="AB115" s="2872"/>
      <c r="AC115" s="2872"/>
      <c r="AD115" s="2872"/>
      <c r="AE115" s="2872"/>
      <c r="AF115" s="2872"/>
      <c r="AG115" s="2872"/>
      <c r="AH115" s="2872"/>
      <c r="AI115" s="2872"/>
      <c r="AJ115" s="2872"/>
      <c r="AK115" s="2872"/>
      <c r="AL115" s="2872"/>
      <c r="AM115" s="2872"/>
      <c r="AN115" s="2872"/>
      <c r="AO115" s="2872"/>
      <c r="AP115" s="2872"/>
      <c r="AQ115" s="2872"/>
      <c r="AR115" s="2872"/>
      <c r="AS115" s="2872"/>
      <c r="AT115" s="2872"/>
      <c r="AU115" s="2872"/>
      <c r="AV115" s="2872"/>
      <c r="AW115" s="2872"/>
      <c r="AX115" s="2872"/>
      <c r="AY115" s="2872"/>
      <c r="AZ115" s="2872"/>
      <c r="BA115" s="2872"/>
      <c r="BB115" s="2871">
        <f>MAX(0,BB113-BB114)</f>
        <v>1256</v>
      </c>
      <c r="BC115" s="2872"/>
      <c r="BD115" s="2872"/>
      <c r="BE115" s="2872"/>
      <c r="BF115" s="2872"/>
      <c r="BG115" s="2872"/>
      <c r="BH115" s="2872"/>
      <c r="BI115" s="2872"/>
      <c r="BJ115" s="2872"/>
      <c r="BK115" s="2872"/>
      <c r="BL115" s="2872"/>
      <c r="BM115" s="2872"/>
      <c r="BN115" s="2872"/>
      <c r="BO115" s="2872"/>
      <c r="BP115" s="2872"/>
      <c r="BQ115" s="2872"/>
      <c r="BR115" s="2872"/>
      <c r="BS115" s="2872"/>
      <c r="BT115" s="2872"/>
      <c r="BU115" s="2872"/>
      <c r="BV115" s="2872"/>
      <c r="BW115" s="2872"/>
      <c r="BX115" s="2872"/>
      <c r="BY115" s="2872"/>
      <c r="BZ115" s="2872"/>
      <c r="CA115" s="2872"/>
      <c r="CB115" s="2872"/>
      <c r="CC115" s="2872"/>
      <c r="CD115" s="2872"/>
      <c r="CE115" s="2872"/>
      <c r="CF115" s="2872"/>
      <c r="CG115" s="2872"/>
      <c r="CH115" s="2872"/>
      <c r="CI115" s="2872"/>
      <c r="CJ115" s="2872"/>
      <c r="CK115" s="2872"/>
      <c r="CL115" s="2872"/>
      <c r="CM115" s="2872"/>
      <c r="CN115" s="2872"/>
      <c r="CO115" s="2872"/>
      <c r="CP115" s="2872"/>
      <c r="CQ115" s="2872"/>
      <c r="CR115" s="2872"/>
      <c r="CS115" s="2872"/>
      <c r="CT115" s="2872"/>
      <c r="CU115" s="2872"/>
      <c r="CV115" s="2872"/>
      <c r="CW115" s="2872"/>
      <c r="CX115" s="2872"/>
      <c r="CY115" s="2872"/>
      <c r="CZ115" s="2871">
        <f>MAX(0,CZ113-CZ114)</f>
        <v>4915</v>
      </c>
      <c r="DA115" s="2871">
        <f>MAX(0,DA113-DA114)</f>
        <v>4915</v>
      </c>
      <c r="DB115" s="2872"/>
      <c r="DC115" s="2872"/>
      <c r="DD115" s="2872"/>
      <c r="DE115" s="2872"/>
      <c r="DF115" s="2872"/>
      <c r="DG115" s="2872"/>
      <c r="DH115" s="2872"/>
      <c r="DI115" s="2872"/>
      <c r="DJ115" s="2872"/>
      <c r="DK115" s="2872"/>
      <c r="DL115" s="2872"/>
      <c r="DM115" s="2872"/>
      <c r="DN115" s="2872"/>
      <c r="DO115" s="2872"/>
      <c r="DP115" s="2872"/>
      <c r="DQ115" s="2872"/>
      <c r="DR115" s="2872"/>
      <c r="DS115" s="2872"/>
      <c r="DT115" s="2872"/>
      <c r="DU115" s="2872"/>
      <c r="DV115" s="2872"/>
      <c r="DW115" s="2872"/>
      <c r="DX115" s="2872"/>
      <c r="DY115" s="2872"/>
      <c r="DZ115" s="2872"/>
      <c r="EA115" s="2872"/>
      <c r="EB115" s="2872"/>
      <c r="EC115" s="2872"/>
      <c r="ED115" s="2872"/>
      <c r="EE115" s="2872"/>
      <c r="EF115" s="2872"/>
      <c r="EG115" s="2872"/>
      <c r="EH115" s="2872"/>
      <c r="EI115" s="2872"/>
      <c r="EJ115" s="2872"/>
      <c r="EK115" s="2872"/>
      <c r="EL115" s="2872"/>
      <c r="EM115" s="2872"/>
      <c r="EN115" s="2872"/>
      <c r="EO115" s="2872"/>
      <c r="EP115" s="2872"/>
      <c r="EQ115" s="2872"/>
      <c r="ER115" s="2872"/>
      <c r="ES115" s="2872"/>
      <c r="ET115" s="2872"/>
      <c r="EU115" s="2872"/>
      <c r="EV115" s="2872"/>
      <c r="EW115" s="2872"/>
      <c r="EX115" s="2872"/>
      <c r="EY115" s="2872"/>
      <c r="EZ115" s="2872"/>
      <c r="FA115" s="2872"/>
      <c r="FB115" s="2872"/>
      <c r="FC115" s="2872"/>
      <c r="FD115" s="2872"/>
      <c r="FE115" s="2872"/>
      <c r="FF115" s="2872"/>
      <c r="FG115" s="2872"/>
      <c r="FH115" s="2872"/>
      <c r="FI115" s="2872"/>
      <c r="FJ115" s="2872"/>
      <c r="FK115" s="2871">
        <f>MAX(0,FK113-FK114)</f>
        <v>4915</v>
      </c>
      <c r="FL115" s="2872"/>
      <c r="FM115" s="2872"/>
      <c r="FN115" s="2872"/>
      <c r="FO115" s="2872"/>
      <c r="FP115" s="2872"/>
      <c r="FQ115" s="2872"/>
      <c r="FR115" s="2872"/>
      <c r="FS115" s="2872"/>
      <c r="FT115" s="2872"/>
      <c r="FU115" s="2872"/>
      <c r="FV115" s="2872"/>
      <c r="FW115" s="2872"/>
      <c r="FX115" s="2872"/>
      <c r="FY115" s="2872"/>
      <c r="FZ115" s="2872"/>
      <c r="GA115" s="2872"/>
      <c r="GB115" s="2872"/>
      <c r="GC115" s="2872"/>
      <c r="GD115" s="2872"/>
      <c r="GE115" s="2872"/>
      <c r="GF115" s="2872"/>
      <c r="GG115" s="2872"/>
      <c r="GH115" s="2872"/>
      <c r="GI115" s="2872"/>
      <c r="GJ115" s="2872"/>
      <c r="GK115" s="2872"/>
      <c r="GL115" s="2872"/>
      <c r="GM115" s="2872"/>
      <c r="GN115" s="2872"/>
      <c r="GO115" s="2872"/>
      <c r="GP115" s="2872"/>
      <c r="GQ115" s="2872"/>
      <c r="GR115" s="2872"/>
      <c r="GS115" s="2872"/>
      <c r="GT115" s="2872"/>
      <c r="GU115" s="2872"/>
      <c r="GV115" s="2872"/>
      <c r="GW115" s="2872"/>
      <c r="GX115" s="2872"/>
      <c r="GY115" s="2872"/>
      <c r="GZ115" s="2872"/>
      <c r="HA115" s="2872"/>
      <c r="HB115" s="2872"/>
      <c r="HC115" s="2872"/>
      <c r="HD115" s="2872"/>
      <c r="HE115" s="2872"/>
      <c r="HF115" s="2872"/>
      <c r="HG115" s="2872"/>
      <c r="HH115" s="2872"/>
      <c r="HI115" s="2872"/>
      <c r="HJ115" s="2872"/>
      <c r="HK115" s="2872"/>
      <c r="HL115" s="2872"/>
      <c r="HM115" s="2872"/>
      <c r="HN115" s="2872"/>
      <c r="HO115" s="2872"/>
      <c r="HP115" s="2872"/>
      <c r="HQ115" s="2872"/>
      <c r="HR115" s="2872"/>
      <c r="HS115" s="2872"/>
      <c r="HT115" s="2872"/>
      <c r="HU115" s="2872"/>
      <c r="HV115" s="2872"/>
      <c r="HW115" s="2872"/>
      <c r="HX115" s="2872"/>
      <c r="HY115" s="2872"/>
      <c r="HZ115" s="2872"/>
      <c r="IA115" s="2872"/>
      <c r="IB115" s="2872"/>
      <c r="IC115" s="2872"/>
      <c r="ID115" s="2872"/>
      <c r="IE115" s="2872"/>
      <c r="IF115" s="2872"/>
      <c r="IG115" s="2872"/>
      <c r="IH115" s="2872"/>
      <c r="II115" s="2872"/>
      <c r="IJ115" s="2872"/>
      <c r="IK115" s="2872"/>
      <c r="IL115" s="2872"/>
      <c r="IM115" s="2872"/>
      <c r="IN115" s="2872"/>
      <c r="IO115" s="2872"/>
      <c r="IP115" s="2872"/>
      <c r="IQ115" s="3848"/>
      <c r="IR115" s="2872"/>
      <c r="IS115" s="2872"/>
      <c r="IT115" s="3987"/>
      <c r="IU115" s="2872"/>
      <c r="IV115" s="2872"/>
      <c r="IW115" s="2872"/>
      <c r="IX115" s="2872"/>
      <c r="IY115" s="4187"/>
      <c r="IZ115" s="2872"/>
      <c r="JA115" s="3824"/>
      <c r="JB115" s="4187"/>
      <c r="JC115" s="4249"/>
      <c r="JD115" s="2872"/>
      <c r="JE115" s="3824"/>
      <c r="JF115" s="3824"/>
      <c r="JG115" s="4188"/>
      <c r="JH115" s="1233"/>
      <c r="JI115" s="1393" t="s">
        <v>5645</v>
      </c>
      <c r="JJ115" s="1660" t="s">
        <v>6124</v>
      </c>
    </row>
    <row ht="12.75" r="116" spans="1:270" x14ac:dyDescent="0.2">
      <c r="A116" s="1128">
        <v>81</v>
      </c>
      <c r="B116" s="1557" t="str">
        <f si="4" t="shared"/>
        <v/>
      </c>
      <c r="C116" s="1559" t="s">
        <v>1141</v>
      </c>
      <c r="D116" s="1350" t="s">
        <v>5688</v>
      </c>
      <c r="E116" s="4183"/>
      <c r="F116" s="4183"/>
      <c r="G116" s="4183"/>
      <c r="H116" s="4183"/>
      <c r="I116" s="4183"/>
      <c r="J116" s="4183"/>
      <c r="K116" s="4183"/>
      <c r="L116" s="4183"/>
      <c r="M116" s="4183"/>
      <c r="N116" s="4183"/>
      <c r="O116" s="4183"/>
      <c r="P116" s="4183"/>
      <c r="Q116" s="4183"/>
      <c r="R116" s="4183"/>
      <c r="S116" s="4183"/>
      <c r="T116" s="4183"/>
      <c r="U116" s="4183"/>
      <c r="V116" s="4183"/>
      <c r="W116" s="4183"/>
      <c r="X116" s="4183"/>
      <c r="Y116" s="4183"/>
      <c r="Z116" s="4183"/>
      <c r="AA116" s="4183"/>
      <c r="AB116" s="4183"/>
      <c r="AC116" s="4183"/>
      <c r="AD116" s="2870"/>
      <c r="AE116" s="2870"/>
      <c r="AF116" s="2870"/>
      <c r="AG116" s="2870"/>
      <c r="AH116" s="2870"/>
      <c r="AI116" s="4183"/>
      <c r="AJ116" s="4183"/>
      <c r="AK116" s="4183"/>
      <c r="AL116" s="4183"/>
      <c r="AM116" s="2870"/>
      <c r="AN116" s="4183"/>
      <c r="AO116" s="4183"/>
      <c r="AP116" s="4183"/>
      <c r="AQ116" s="4183"/>
      <c r="AR116" s="4183"/>
      <c r="AS116" s="4183"/>
      <c r="AT116" s="4183"/>
      <c r="AU116" s="4183"/>
      <c r="AV116" s="4183"/>
      <c r="AW116" s="4183"/>
      <c r="AX116" s="4183"/>
      <c r="AY116" s="4183"/>
      <c r="AZ116" s="4183"/>
      <c r="BA116" s="4183"/>
      <c r="BB116" s="2870">
        <v>250</v>
      </c>
      <c r="BC116" s="2870"/>
      <c r="BD116" s="4183"/>
      <c r="BE116" s="4183"/>
      <c r="BF116" s="4183"/>
      <c r="BG116" s="4183"/>
      <c r="BH116" s="4183"/>
      <c r="BI116" s="4183"/>
      <c r="BJ116" s="4183"/>
      <c r="BK116" s="4183"/>
      <c r="BL116" s="4183"/>
      <c r="BM116" s="4183"/>
      <c r="BN116" s="4183"/>
      <c r="BO116" s="4183"/>
      <c r="BP116" s="4183"/>
      <c r="BQ116" s="4183"/>
      <c r="BR116" s="4183"/>
      <c r="BS116" s="4183"/>
      <c r="BT116" s="4183"/>
      <c r="BU116" s="4183"/>
      <c r="BV116" s="4183"/>
      <c r="BW116" s="4183"/>
      <c r="BX116" s="4183"/>
      <c r="BY116" s="4183"/>
      <c r="BZ116" s="4183"/>
      <c r="CA116" s="4183"/>
      <c r="CB116" s="4183"/>
      <c r="CC116" s="4183"/>
      <c r="CD116" s="4183"/>
      <c r="CE116" s="4183"/>
      <c r="CF116" s="4183"/>
      <c r="CG116" s="4183"/>
      <c r="CH116" s="4183"/>
      <c r="CI116" s="4183"/>
      <c r="CJ116" s="4183"/>
      <c r="CK116" s="4183"/>
      <c r="CL116" s="4183"/>
      <c r="CM116" s="4183"/>
      <c r="CN116" s="4183"/>
      <c r="CO116" s="4183"/>
      <c r="CP116" s="2870"/>
      <c r="CQ116" s="4183"/>
      <c r="CR116" s="4183"/>
      <c r="CS116" s="4183"/>
      <c r="CT116" s="4183"/>
      <c r="CU116" s="4183"/>
      <c r="CV116" s="4183"/>
      <c r="CW116" s="4183"/>
      <c r="CX116" s="4183"/>
      <c r="CY116" s="2870"/>
      <c r="CZ116" s="2870">
        <v>216</v>
      </c>
      <c r="DA116" s="2870">
        <v>216</v>
      </c>
      <c r="DB116" s="4183"/>
      <c r="DC116" s="4183"/>
      <c r="DD116" s="4183"/>
      <c r="DE116" s="4183"/>
      <c r="DF116" s="4183"/>
      <c r="DG116" s="4183"/>
      <c r="DH116" s="2870"/>
      <c r="DI116" s="4183"/>
      <c r="DJ116" s="2870"/>
      <c r="DK116" s="4183"/>
      <c r="DL116" s="4183"/>
      <c r="DM116" s="2870"/>
      <c r="DN116" s="4183"/>
      <c r="DO116" s="4183"/>
      <c r="DP116" s="4183"/>
      <c r="DQ116" s="4183"/>
      <c r="DR116" s="4183"/>
      <c r="DS116" s="4183"/>
      <c r="DT116" s="4183"/>
      <c r="DU116" s="4183"/>
      <c r="DV116" s="4183"/>
      <c r="DW116" s="4183"/>
      <c r="DX116" s="4183"/>
      <c r="DY116" s="4183"/>
      <c r="DZ116" s="4183"/>
      <c r="EA116" s="4183"/>
      <c r="EB116" s="4183"/>
      <c r="EC116" s="4183"/>
      <c r="ED116" s="4183"/>
      <c r="EE116" s="4183"/>
      <c r="EF116" s="4183"/>
      <c r="EG116" s="4183"/>
      <c r="EH116" s="2870"/>
      <c r="EI116" s="2870"/>
      <c r="EJ116" s="4183"/>
      <c r="EK116" s="4183"/>
      <c r="EL116" s="4183"/>
      <c r="EM116" s="4183"/>
      <c r="EN116" s="4183"/>
      <c r="EO116" s="4183"/>
      <c r="EP116" s="4183"/>
      <c r="EQ116" s="4183"/>
      <c r="ER116" s="4183"/>
      <c r="ES116" s="4183"/>
      <c r="ET116" s="4183"/>
      <c r="EU116" s="4183"/>
      <c r="EV116" s="4183"/>
      <c r="EW116" s="4183"/>
      <c r="EX116" s="4183"/>
      <c r="EY116" s="4183"/>
      <c r="EZ116" s="4183"/>
      <c r="FA116" s="2870"/>
      <c r="FB116" s="4183"/>
      <c r="FC116" s="4183"/>
      <c r="FD116" s="4183"/>
      <c r="FE116" s="4183"/>
      <c r="FF116" s="4183"/>
      <c r="FG116" s="4183"/>
      <c r="FH116" s="4183"/>
      <c r="FI116" s="4183"/>
      <c r="FJ116" s="4183"/>
      <c r="FK116" s="2870">
        <v>216</v>
      </c>
      <c r="FL116" s="4183"/>
      <c r="FM116" s="4183"/>
      <c r="FN116" s="4183"/>
      <c r="FO116" s="4183"/>
      <c r="FP116" s="4183"/>
      <c r="FQ116" s="4183"/>
      <c r="FR116" s="4183"/>
      <c r="FS116" s="4183"/>
      <c r="FT116" s="4183"/>
      <c r="FU116" s="4183"/>
      <c r="FV116" s="2870"/>
      <c r="FW116" s="4183"/>
      <c r="FX116" s="4183"/>
      <c r="FY116" s="4183"/>
      <c r="FZ116" s="4183"/>
      <c r="GA116" s="4183"/>
      <c r="GB116" s="4183"/>
      <c r="GC116" s="4183"/>
      <c r="GD116" s="4183"/>
      <c r="GE116" s="4183"/>
      <c r="GF116" s="4183"/>
      <c r="GG116" s="4183"/>
      <c r="GH116" s="4183"/>
      <c r="GI116" s="4183"/>
      <c r="GJ116" s="4183"/>
      <c r="GK116" s="4183"/>
      <c r="GL116" s="4183"/>
      <c r="GM116" s="4183"/>
      <c r="GN116" s="4183"/>
      <c r="GO116" s="4183"/>
      <c r="GP116" s="4183"/>
      <c r="GQ116" s="4183"/>
      <c r="GR116" s="4183"/>
      <c r="GS116" s="4183"/>
      <c r="GT116" s="4183"/>
      <c r="GU116" s="4183"/>
      <c r="GV116" s="4183"/>
      <c r="GW116" s="2870"/>
      <c r="GX116" s="4183"/>
      <c r="GY116" s="2870"/>
      <c r="GZ116" s="4183"/>
      <c r="HA116" s="4183"/>
      <c r="HB116" s="4183"/>
      <c r="HC116" s="4183"/>
      <c r="HD116" s="4183"/>
      <c r="HE116" s="2870"/>
      <c r="HF116" s="4183"/>
      <c r="HG116" s="4183"/>
      <c r="HH116" s="4183"/>
      <c r="HI116" s="4183"/>
      <c r="HJ116" s="4183"/>
      <c r="HK116" s="4183"/>
      <c r="HL116" s="4183"/>
      <c r="HM116" s="4183"/>
      <c r="HN116" s="4183"/>
      <c r="HO116" s="4183"/>
      <c r="HP116" s="4183"/>
      <c r="HQ116" s="4183"/>
      <c r="HR116" s="4183"/>
      <c r="HS116" s="4183"/>
      <c r="HT116" s="4183"/>
      <c r="HU116" s="4183"/>
      <c r="HV116" s="4183"/>
      <c r="HW116" s="4183"/>
      <c r="HX116" s="4183"/>
      <c r="HY116" s="4183"/>
      <c r="HZ116" s="4183"/>
      <c r="IA116" s="4183"/>
      <c r="IB116" s="4183"/>
      <c r="IC116" s="4183"/>
      <c r="ID116" s="4183"/>
      <c r="IE116" s="4183"/>
      <c r="IF116" s="4183"/>
      <c r="IG116" s="4183"/>
      <c r="IH116" s="4183"/>
      <c r="II116" s="4183"/>
      <c r="IJ116" s="4183"/>
      <c r="IK116" s="4183"/>
      <c r="IL116" s="4183"/>
      <c r="IM116" s="4183"/>
      <c r="IN116" s="4183"/>
      <c r="IO116" s="2870"/>
      <c r="IP116" s="4183"/>
      <c r="IQ116" s="4184"/>
      <c r="IR116" s="4183"/>
      <c r="IS116" s="4183"/>
      <c r="IT116" s="3987"/>
      <c r="IU116" s="4183"/>
      <c r="IV116" s="4183"/>
      <c r="IW116" s="4183"/>
      <c r="IX116" s="4183"/>
      <c r="IY116" s="4185"/>
      <c r="IZ116" s="4183"/>
      <c r="JA116" s="3823"/>
      <c r="JB116" s="4318"/>
      <c r="JC116" s="4248"/>
      <c r="JD116" s="2870"/>
      <c r="JE116" s="3823"/>
      <c r="JF116" s="3823"/>
      <c r="JG116" s="4186"/>
      <c r="JH116" s="1233"/>
      <c r="JI116" s="1393"/>
      <c r="JJ116" s="1660" t="s">
        <v>6108</v>
      </c>
    </row>
    <row ht="12.75" r="117" spans="1:270" x14ac:dyDescent="0.2">
      <c r="A117" s="1128">
        <v>82</v>
      </c>
      <c r="B117" s="1557" t="str">
        <f si="4" t="shared"/>
        <v/>
      </c>
      <c r="C117" s="1559" t="s">
        <v>1148</v>
      </c>
      <c r="D117" s="1350" t="s">
        <v>5615</v>
      </c>
      <c r="E117" s="4183"/>
      <c r="F117" s="4183"/>
      <c r="G117" s="4183"/>
      <c r="H117" s="4183"/>
      <c r="I117" s="4183"/>
      <c r="J117" s="4183"/>
      <c r="K117" s="4183"/>
      <c r="L117" s="4183"/>
      <c r="M117" s="4183"/>
      <c r="N117" s="4183"/>
      <c r="O117" s="4183"/>
      <c r="P117" s="4183"/>
      <c r="Q117" s="4183"/>
      <c r="R117" s="4183"/>
      <c r="S117" s="4183"/>
      <c r="T117" s="4183"/>
      <c r="U117" s="4183"/>
      <c r="V117" s="4183"/>
      <c r="W117" s="4183"/>
      <c r="X117" s="4183"/>
      <c r="Y117" s="4183"/>
      <c r="Z117" s="4183"/>
      <c r="AA117" s="4183"/>
      <c r="AB117" s="4183"/>
      <c r="AC117" s="4183"/>
      <c r="AD117" s="2870"/>
      <c r="AE117" s="2870"/>
      <c r="AF117" s="2870"/>
      <c r="AG117" s="2870"/>
      <c r="AH117" s="2870"/>
      <c r="AI117" s="4183"/>
      <c r="AJ117" s="4183"/>
      <c r="AK117" s="4183"/>
      <c r="AL117" s="4183"/>
      <c r="AM117" s="2870"/>
      <c r="AN117" s="4183"/>
      <c r="AO117" s="4183"/>
      <c r="AP117" s="4183"/>
      <c r="AQ117" s="4183"/>
      <c r="AR117" s="4183"/>
      <c r="AS117" s="4183"/>
      <c r="AT117" s="4183"/>
      <c r="AU117" s="4183"/>
      <c r="AV117" s="4183"/>
      <c r="AW117" s="4183"/>
      <c r="AX117" s="4183"/>
      <c r="AY117" s="4183"/>
      <c r="AZ117" s="4183"/>
      <c r="BA117" s="4183"/>
      <c r="BB117" s="2870">
        <v>38</v>
      </c>
      <c r="BC117" s="2870"/>
      <c r="BD117" s="4183"/>
      <c r="BE117" s="4183"/>
      <c r="BF117" s="4183"/>
      <c r="BG117" s="4183"/>
      <c r="BH117" s="4183"/>
      <c r="BI117" s="4183"/>
      <c r="BJ117" s="4183"/>
      <c r="BK117" s="4183"/>
      <c r="BL117" s="4183"/>
      <c r="BM117" s="4183"/>
      <c r="BN117" s="4183"/>
      <c r="BO117" s="4183"/>
      <c r="BP117" s="4183"/>
      <c r="BQ117" s="4183"/>
      <c r="BR117" s="4183"/>
      <c r="BS117" s="4183"/>
      <c r="BT117" s="4183"/>
      <c r="BU117" s="4183"/>
      <c r="BV117" s="4183"/>
      <c r="BW117" s="4183"/>
      <c r="BX117" s="4183"/>
      <c r="BY117" s="4183"/>
      <c r="BZ117" s="4183"/>
      <c r="CA117" s="4183"/>
      <c r="CB117" s="4183"/>
      <c r="CC117" s="4183"/>
      <c r="CD117" s="4183"/>
      <c r="CE117" s="4183"/>
      <c r="CF117" s="4183"/>
      <c r="CG117" s="4183"/>
      <c r="CH117" s="4183"/>
      <c r="CI117" s="4183"/>
      <c r="CJ117" s="4183"/>
      <c r="CK117" s="4183"/>
      <c r="CL117" s="4183"/>
      <c r="CM117" s="4183"/>
      <c r="CN117" s="4183"/>
      <c r="CO117" s="4183"/>
      <c r="CP117" s="2870"/>
      <c r="CQ117" s="4183"/>
      <c r="CR117" s="4183"/>
      <c r="CS117" s="4183"/>
      <c r="CT117" s="4183"/>
      <c r="CU117" s="4183"/>
      <c r="CV117" s="4183"/>
      <c r="CW117" s="4183"/>
      <c r="CX117" s="4183"/>
      <c r="CY117" s="2870"/>
      <c r="CZ117" s="2870">
        <v>182</v>
      </c>
      <c r="DA117" s="2870">
        <v>182</v>
      </c>
      <c r="DB117" s="4183"/>
      <c r="DC117" s="4183"/>
      <c r="DD117" s="4183"/>
      <c r="DE117" s="4183"/>
      <c r="DF117" s="4183"/>
      <c r="DG117" s="4183"/>
      <c r="DH117" s="2870"/>
      <c r="DI117" s="4183"/>
      <c r="DJ117" s="2870"/>
      <c r="DK117" s="4183"/>
      <c r="DL117" s="4183"/>
      <c r="DM117" s="2870"/>
      <c r="DN117" s="4183"/>
      <c r="DO117" s="4183"/>
      <c r="DP117" s="4183"/>
      <c r="DQ117" s="4183"/>
      <c r="DR117" s="4183"/>
      <c r="DS117" s="4183"/>
      <c r="DT117" s="4183"/>
      <c r="DU117" s="4183"/>
      <c r="DV117" s="4183"/>
      <c r="DW117" s="4183"/>
      <c r="DX117" s="4183"/>
      <c r="DY117" s="4183"/>
      <c r="DZ117" s="4183"/>
      <c r="EA117" s="4183"/>
      <c r="EB117" s="4183"/>
      <c r="EC117" s="4183"/>
      <c r="ED117" s="4183"/>
      <c r="EE117" s="4183"/>
      <c r="EF117" s="4183"/>
      <c r="EG117" s="4183"/>
      <c r="EH117" s="2870"/>
      <c r="EI117" s="2870"/>
      <c r="EJ117" s="4183"/>
      <c r="EK117" s="4183"/>
      <c r="EL117" s="4183"/>
      <c r="EM117" s="4183"/>
      <c r="EN117" s="4183"/>
      <c r="EO117" s="4183"/>
      <c r="EP117" s="4183"/>
      <c r="EQ117" s="4183"/>
      <c r="ER117" s="4183"/>
      <c r="ES117" s="4183"/>
      <c r="ET117" s="4183"/>
      <c r="EU117" s="4183"/>
      <c r="EV117" s="4183"/>
      <c r="EW117" s="4183"/>
      <c r="EX117" s="4183"/>
      <c r="EY117" s="4183"/>
      <c r="EZ117" s="4183"/>
      <c r="FA117" s="2870"/>
      <c r="FB117" s="4183"/>
      <c r="FC117" s="4183"/>
      <c r="FD117" s="4183"/>
      <c r="FE117" s="4183"/>
      <c r="FF117" s="4183"/>
      <c r="FG117" s="4183"/>
      <c r="FH117" s="4183"/>
      <c r="FI117" s="4183"/>
      <c r="FJ117" s="4183"/>
      <c r="FK117" s="2870">
        <v>182</v>
      </c>
      <c r="FL117" s="4183"/>
      <c r="FM117" s="4183"/>
      <c r="FN117" s="4183"/>
      <c r="FO117" s="4183"/>
      <c r="FP117" s="4183"/>
      <c r="FQ117" s="4183"/>
      <c r="FR117" s="4183"/>
      <c r="FS117" s="4183"/>
      <c r="FT117" s="4183"/>
      <c r="FU117" s="4183"/>
      <c r="FV117" s="2870"/>
      <c r="FW117" s="4183"/>
      <c r="FX117" s="4183"/>
      <c r="FY117" s="4183"/>
      <c r="FZ117" s="4183"/>
      <c r="GA117" s="4183"/>
      <c r="GB117" s="4183"/>
      <c r="GC117" s="4183"/>
      <c r="GD117" s="4183"/>
      <c r="GE117" s="4183"/>
      <c r="GF117" s="4183"/>
      <c r="GG117" s="4183"/>
      <c r="GH117" s="4183"/>
      <c r="GI117" s="4183"/>
      <c r="GJ117" s="4183"/>
      <c r="GK117" s="4183"/>
      <c r="GL117" s="4183"/>
      <c r="GM117" s="4183"/>
      <c r="GN117" s="4183"/>
      <c r="GO117" s="4183"/>
      <c r="GP117" s="4183"/>
      <c r="GQ117" s="4183"/>
      <c r="GR117" s="4183"/>
      <c r="GS117" s="4183"/>
      <c r="GT117" s="4183"/>
      <c r="GU117" s="4183"/>
      <c r="GV117" s="4183"/>
      <c r="GW117" s="2870"/>
      <c r="GX117" s="4183"/>
      <c r="GY117" s="2870"/>
      <c r="GZ117" s="4183"/>
      <c r="HA117" s="4183"/>
      <c r="HB117" s="4183"/>
      <c r="HC117" s="4183"/>
      <c r="HD117" s="4183"/>
      <c r="HE117" s="2870"/>
      <c r="HF117" s="4183"/>
      <c r="HG117" s="4183"/>
      <c r="HH117" s="4183"/>
      <c r="HI117" s="4183"/>
      <c r="HJ117" s="4183"/>
      <c r="HK117" s="4183"/>
      <c r="HL117" s="4183"/>
      <c r="HM117" s="4183"/>
      <c r="HN117" s="4183"/>
      <c r="HO117" s="4183"/>
      <c r="HP117" s="4183"/>
      <c r="HQ117" s="4183"/>
      <c r="HR117" s="4183"/>
      <c r="HS117" s="4183"/>
      <c r="HT117" s="4183"/>
      <c r="HU117" s="4183"/>
      <c r="HV117" s="4183"/>
      <c r="HW117" s="4183"/>
      <c r="HX117" s="4183"/>
      <c r="HY117" s="4183"/>
      <c r="HZ117" s="4183"/>
      <c r="IA117" s="4183"/>
      <c r="IB117" s="4183"/>
      <c r="IC117" s="4183"/>
      <c r="ID117" s="4183"/>
      <c r="IE117" s="4183"/>
      <c r="IF117" s="4183"/>
      <c r="IG117" s="4183"/>
      <c r="IH117" s="4183"/>
      <c r="II117" s="4183"/>
      <c r="IJ117" s="4183"/>
      <c r="IK117" s="4183"/>
      <c r="IL117" s="4183"/>
      <c r="IM117" s="4183"/>
      <c r="IN117" s="4183"/>
      <c r="IO117" s="2870"/>
      <c r="IP117" s="4183"/>
      <c r="IQ117" s="4184"/>
      <c r="IR117" s="4183"/>
      <c r="IS117" s="4183"/>
      <c r="IT117" s="3987"/>
      <c r="IU117" s="4183"/>
      <c r="IV117" s="4183"/>
      <c r="IW117" s="4183"/>
      <c r="IX117" s="4183"/>
      <c r="IY117" s="4185"/>
      <c r="IZ117" s="4183"/>
      <c r="JA117" s="3823"/>
      <c r="JB117" s="4318"/>
      <c r="JC117" s="4248"/>
      <c r="JD117" s="2870"/>
      <c r="JE117" s="3823"/>
      <c r="JF117" s="3823"/>
      <c r="JG117" s="4186"/>
      <c r="JH117" s="1233"/>
      <c r="JI117" s="1393"/>
      <c r="JJ117" s="1660" t="s">
        <v>6108</v>
      </c>
    </row>
    <row ht="22.5" r="118" spans="1:270" x14ac:dyDescent="0.2">
      <c r="A118" s="1128">
        <v>83</v>
      </c>
      <c r="B118" s="1557" t="str">
        <f si="4" t="shared"/>
        <v/>
      </c>
      <c r="C118" s="1559" t="s">
        <v>2595</v>
      </c>
      <c r="D118" s="1350" t="s">
        <v>5689</v>
      </c>
      <c r="E118" s="2871"/>
      <c r="F118" s="2871"/>
      <c r="G118" s="2871"/>
      <c r="H118" s="2871"/>
      <c r="I118" s="2871"/>
      <c r="J118" s="2871"/>
      <c r="K118" s="2871"/>
      <c r="L118" s="2871"/>
      <c r="M118" s="2871"/>
      <c r="N118" s="2871"/>
      <c r="O118" s="2871"/>
      <c r="P118" s="2871"/>
      <c r="Q118" s="2871"/>
      <c r="R118" s="2871"/>
      <c r="S118" s="2871"/>
      <c r="T118" s="2871"/>
      <c r="U118" s="2871"/>
      <c r="V118" s="2871"/>
      <c r="W118" s="2871"/>
      <c r="X118" s="2871"/>
      <c r="Y118" s="2871"/>
      <c r="Z118" s="2871"/>
      <c r="AA118" s="2871"/>
      <c r="AB118" s="2871"/>
      <c r="AC118" s="2871"/>
      <c r="AD118" s="2871"/>
      <c r="AE118" s="2871"/>
      <c r="AF118" s="2871"/>
      <c r="AG118" s="2871"/>
      <c r="AH118" s="2871"/>
      <c r="AI118" s="2871"/>
      <c r="AJ118" s="2871"/>
      <c r="AK118" s="2871"/>
      <c r="AL118" s="2871"/>
      <c r="AM118" s="2871">
        <f>MAX(0,AM56+AM109+AM116-AM117)</f>
        <v>62952</v>
      </c>
      <c r="AN118" s="2871"/>
      <c r="AO118" s="2871"/>
      <c r="AP118" s="2871"/>
      <c r="AQ118" s="2871"/>
      <c r="AR118" s="2871"/>
      <c r="AS118" s="2871"/>
      <c r="AT118" s="2871"/>
      <c r="AU118" s="2871"/>
      <c r="AV118" s="2871"/>
      <c r="AW118" s="2871"/>
      <c r="AX118" s="2871"/>
      <c r="AY118" s="2871"/>
      <c r="AZ118" s="2871"/>
      <c r="BA118" s="2871"/>
      <c r="BB118" s="2871">
        <f>MAX(0,BB56+BB109+BB116-BB117)</f>
        <v>8174</v>
      </c>
      <c r="BC118" s="2871">
        <f>MAX(0,BC56+BC109+BC116-BC117)</f>
        <v>62952</v>
      </c>
      <c r="BD118" s="2871"/>
      <c r="BE118" s="2871"/>
      <c r="BF118" s="2871"/>
      <c r="BG118" s="2871"/>
      <c r="BH118" s="2871"/>
      <c r="BI118" s="2871"/>
      <c r="BJ118" s="2871"/>
      <c r="BK118" s="2871"/>
      <c r="BL118" s="2871"/>
      <c r="BM118" s="2871"/>
      <c r="BN118" s="2871"/>
      <c r="BO118" s="2871"/>
      <c r="BP118" s="2871"/>
      <c r="BQ118" s="2871"/>
      <c r="BR118" s="2871"/>
      <c r="BS118" s="2871"/>
      <c r="BT118" s="2871"/>
      <c r="BU118" s="2871"/>
      <c r="BV118" s="2871"/>
      <c r="BW118" s="2871"/>
      <c r="BX118" s="2871"/>
      <c r="BY118" s="2871"/>
      <c r="BZ118" s="2871"/>
      <c r="CA118" s="2871"/>
      <c r="CB118" s="2871"/>
      <c r="CC118" s="2871"/>
      <c r="CD118" s="2871"/>
      <c r="CE118" s="2871"/>
      <c r="CF118" s="2871"/>
      <c r="CG118" s="2871"/>
      <c r="CH118" s="2871"/>
      <c r="CI118" s="2871"/>
      <c r="CJ118" s="2871"/>
      <c r="CK118" s="2871"/>
      <c r="CL118" s="2871"/>
      <c r="CM118" s="2871"/>
      <c r="CN118" s="2871"/>
      <c r="CO118" s="2871"/>
      <c r="CP118" s="2871">
        <f>MAX(0,CP56+CP109+CP116-CP117)</f>
        <v>62583</v>
      </c>
      <c r="CQ118" s="2871"/>
      <c r="CR118" s="2871"/>
      <c r="CS118" s="2871"/>
      <c r="CT118" s="2871"/>
      <c r="CU118" s="2871"/>
      <c r="CV118" s="2871"/>
      <c r="CW118" s="2871"/>
      <c r="CX118" s="2871"/>
      <c r="CY118" s="2871">
        <f>MAX(0,CY56+CY109+CY116-CY117)</f>
        <v>98780</v>
      </c>
      <c r="CZ118" s="2871">
        <f>MAX(0,CZ56+CZ109+CZ116-CZ117)</f>
        <v>210686</v>
      </c>
      <c r="DA118" s="2871">
        <f>MAX(0,DA56+DA109+DA116-DA117)</f>
        <v>210686</v>
      </c>
      <c r="DB118" s="2871"/>
      <c r="DC118" s="2871"/>
      <c r="DD118" s="2871"/>
      <c r="DE118" s="2871"/>
      <c r="DF118" s="2871"/>
      <c r="DG118" s="2871"/>
      <c r="DH118" s="2871">
        <f>MAX(0,DH56+DH109+DH116-DH117)</f>
        <v>0</v>
      </c>
      <c r="DI118" s="2871"/>
      <c r="DJ118" s="2871">
        <f>MAX(0,DJ56+DJ109+DJ116-DJ117)</f>
        <v>98780</v>
      </c>
      <c r="DK118" s="2871"/>
      <c r="DL118" s="2871"/>
      <c r="DM118" s="2871">
        <f>MAX(0,DM56+DM109+DM116-DM117)</f>
        <v>98780</v>
      </c>
      <c r="DN118" s="2871"/>
      <c r="DO118" s="2871"/>
      <c r="DP118" s="2871"/>
      <c r="DQ118" s="2871"/>
      <c r="DR118" s="2871"/>
      <c r="DS118" s="2871"/>
      <c r="DT118" s="2871"/>
      <c r="DU118" s="2871"/>
      <c r="DV118" s="2871"/>
      <c r="DW118" s="2871"/>
      <c r="DX118" s="2871"/>
      <c r="DY118" s="2871"/>
      <c r="DZ118" s="2871"/>
      <c r="EA118" s="2871"/>
      <c r="EB118" s="2871"/>
      <c r="EC118" s="2871"/>
      <c r="ED118" s="2871"/>
      <c r="EE118" s="2871"/>
      <c r="EF118" s="2871"/>
      <c r="EG118" s="2871"/>
      <c r="EH118" s="2871">
        <f>MAX(0,EH56+EH109+EH116-EH117)</f>
        <v>12710</v>
      </c>
      <c r="EI118" s="2871">
        <f>MAX(0,EI56+EI109+EI116-EI117)</f>
        <v>22453</v>
      </c>
      <c r="EJ118" s="2871"/>
      <c r="EK118" s="2871"/>
      <c r="EL118" s="2871"/>
      <c r="EM118" s="2871"/>
      <c r="EN118" s="2871"/>
      <c r="EO118" s="2871"/>
      <c r="EP118" s="2871"/>
      <c r="EQ118" s="2871"/>
      <c r="ER118" s="2871"/>
      <c r="ES118" s="2871"/>
      <c r="ET118" s="2871"/>
      <c r="EU118" s="2871"/>
      <c r="EV118" s="2871"/>
      <c r="EW118" s="2871"/>
      <c r="EX118" s="2871"/>
      <c r="EY118" s="2871"/>
      <c r="EZ118" s="2871"/>
      <c r="FA118" s="2871">
        <f>MAX(0,FA56+FA109+FA116-FA117)</f>
        <v>98780</v>
      </c>
      <c r="FB118" s="2871"/>
      <c r="FC118" s="2871"/>
      <c r="FD118" s="2871"/>
      <c r="FE118" s="2871"/>
      <c r="FF118" s="2871"/>
      <c r="FG118" s="2871"/>
      <c r="FH118" s="2871"/>
      <c r="FI118" s="2871"/>
      <c r="FJ118" s="2871"/>
      <c r="FK118" s="2871">
        <f>MAX(0,FK56+FK109+FK116-FK117)</f>
        <v>210686</v>
      </c>
      <c r="FL118" s="2871"/>
      <c r="FM118" s="2871"/>
      <c r="FN118" s="2871"/>
      <c r="FO118" s="2871"/>
      <c r="FP118" s="2871"/>
      <c r="FQ118" s="2871"/>
      <c r="FR118" s="2871"/>
      <c r="FS118" s="2871"/>
      <c r="FT118" s="2871"/>
      <c r="FU118" s="2871"/>
      <c r="FV118" s="2871">
        <f>MAX(0,FV56+FV109+FV116-FV117)</f>
        <v>62952</v>
      </c>
      <c r="FW118" s="2871"/>
      <c r="FX118" s="2871"/>
      <c r="FY118" s="2871"/>
      <c r="FZ118" s="2871"/>
      <c r="GA118" s="2871"/>
      <c r="GB118" s="2871"/>
      <c r="GC118" s="2871"/>
      <c r="GD118" s="2871"/>
      <c r="GE118" s="2871"/>
      <c r="GF118" s="2871"/>
      <c r="GG118" s="2871"/>
      <c r="GH118" s="2871"/>
      <c r="GI118" s="2871"/>
      <c r="GJ118" s="2871"/>
      <c r="GK118" s="2871"/>
      <c r="GL118" s="2871"/>
      <c r="GM118" s="2871"/>
      <c r="GN118" s="2871"/>
      <c r="GO118" s="2871"/>
      <c r="GP118" s="2871"/>
      <c r="GQ118" s="2871"/>
      <c r="GR118" s="2871"/>
      <c r="GS118" s="2871"/>
      <c r="GT118" s="2871"/>
      <c r="GU118" s="2871"/>
      <c r="GV118" s="2871"/>
      <c r="GW118" s="2871">
        <f>MAX(0,GW56+GW109+GW116-GW117)</f>
        <v>62952</v>
      </c>
      <c r="GX118" s="2871"/>
      <c r="GY118" s="2871">
        <f>MAX(0,GY56+GY109+GY116-GY117)</f>
        <v>11431</v>
      </c>
      <c r="GZ118" s="2871"/>
      <c r="HA118" s="2871"/>
      <c r="HB118" s="2871"/>
      <c r="HC118" s="2871"/>
      <c r="HD118" s="2871"/>
      <c r="HE118" s="2871">
        <f>MAX(0,HE56+HE109+HE116-HE117)</f>
        <v>490000</v>
      </c>
      <c r="HF118" s="2871"/>
      <c r="HG118" s="2871"/>
      <c r="HH118" s="2871"/>
      <c r="HI118" s="2871"/>
      <c r="HJ118" s="2871"/>
      <c r="HK118" s="2871"/>
      <c r="HL118" s="2871"/>
      <c r="HM118" s="2871"/>
      <c r="HN118" s="2871"/>
      <c r="HO118" s="2871"/>
      <c r="HP118" s="2871"/>
      <c r="HQ118" s="2871"/>
      <c r="HR118" s="2871"/>
      <c r="HS118" s="2871"/>
      <c r="HT118" s="2871"/>
      <c r="HU118" s="2871"/>
      <c r="HV118" s="2871"/>
      <c r="HW118" s="2871"/>
      <c r="HX118" s="2871"/>
      <c r="HY118" s="2871"/>
      <c r="HZ118" s="2871"/>
      <c r="IA118" s="2871"/>
      <c r="IB118" s="2871"/>
      <c r="IC118" s="2871"/>
      <c r="ID118" s="2871"/>
      <c r="IE118" s="2871"/>
      <c r="IF118" s="2871"/>
      <c r="IG118" s="2871"/>
      <c r="IH118" s="2871"/>
      <c r="II118" s="2871"/>
      <c r="IJ118" s="2871"/>
      <c r="IK118" s="2871"/>
      <c r="IL118" s="2871"/>
      <c r="IM118" s="2871"/>
      <c r="IN118" s="2871"/>
      <c r="IO118" s="2871">
        <f>MAX(0,IO56+IO109+IO116-IO117)</f>
        <v>0</v>
      </c>
      <c r="IP118" s="2871"/>
      <c r="IQ118" s="3848">
        <f>MAX(0,IQ56+IQ109+IQ116-IQ117)</f>
        <v>104859</v>
      </c>
      <c r="IR118" s="2871"/>
      <c r="IS118" s="2871"/>
      <c r="IT118" s="4249">
        <f>MAX(0,IT56+IT109+IT116-IT117)</f>
        <v>228329</v>
      </c>
      <c r="IU118" s="4249"/>
      <c r="IV118" s="4249"/>
      <c r="IW118" s="4249"/>
      <c r="IX118" s="4249"/>
      <c r="IY118" s="4249">
        <f>MAX(0,IY56+IY109+IY116-IY117)</f>
        <v>24423</v>
      </c>
      <c r="IZ118" s="4249"/>
      <c r="JA118" s="4249"/>
      <c r="JB118" s="4249">
        <f>MAX(0,JB56+JB109+JB116-JB117)</f>
        <v>269</v>
      </c>
      <c r="JC118" s="4249">
        <f>MAX(0,JC56+JC109+JC116-JC117)</f>
        <v>12445</v>
      </c>
      <c r="JD118" s="2871">
        <f>MAX(0,JD56+JD109+JD116-JD117)</f>
        <v>0</v>
      </c>
      <c r="JE118" s="3826"/>
      <c r="JF118" s="3826"/>
      <c r="JG118" s="4191"/>
      <c r="JH118" s="1233"/>
      <c r="JI118" s="1393" t="s">
        <v>5646</v>
      </c>
      <c r="JJ118" s="1660" t="s">
        <v>6124</v>
      </c>
    </row>
    <row ht="12.75" r="119" spans="1:270" x14ac:dyDescent="0.2">
      <c r="A119" s="1128">
        <v>84</v>
      </c>
      <c r="B119" s="1557" t="str">
        <f si="4" t="shared"/>
        <v/>
      </c>
      <c r="C119" s="1559" t="s">
        <v>2596</v>
      </c>
      <c r="D119" s="1350" t="s">
        <v>5615</v>
      </c>
      <c r="E119" s="2873"/>
      <c r="F119" s="2873"/>
      <c r="G119" s="2873"/>
      <c r="H119" s="2873"/>
      <c r="I119" s="2873"/>
      <c r="J119" s="2873"/>
      <c r="K119" s="2873"/>
      <c r="L119" s="2873"/>
      <c r="M119" s="2873"/>
      <c r="N119" s="2873"/>
      <c r="O119" s="2873"/>
      <c r="P119" s="2873"/>
      <c r="Q119" s="2873"/>
      <c r="R119" s="2873"/>
      <c r="S119" s="2873"/>
      <c r="T119" s="2873"/>
      <c r="U119" s="2873"/>
      <c r="V119" s="2873"/>
      <c r="W119" s="2873"/>
      <c r="X119" s="2873"/>
      <c r="Y119" s="2873"/>
      <c r="Z119" s="2873"/>
      <c r="AA119" s="2873"/>
      <c r="AB119" s="2873"/>
      <c r="AC119" s="2873"/>
      <c r="AD119" s="2873"/>
      <c r="AE119" s="2873"/>
      <c r="AF119" s="2873"/>
      <c r="AG119" s="2873"/>
      <c r="AH119" s="2873"/>
      <c r="AI119" s="2873"/>
      <c r="AJ119" s="2873"/>
      <c r="AK119" s="2873"/>
      <c r="AL119" s="2873"/>
      <c r="AM119" s="2873">
        <v>219</v>
      </c>
      <c r="AN119" s="2873"/>
      <c r="AO119" s="2873"/>
      <c r="AP119" s="2873"/>
      <c r="AQ119" s="2873"/>
      <c r="AR119" s="2873"/>
      <c r="AS119" s="2873"/>
      <c r="AT119" s="2873"/>
      <c r="AU119" s="2873"/>
      <c r="AV119" s="2873"/>
      <c r="AW119" s="2873"/>
      <c r="AX119" s="2873"/>
      <c r="AY119" s="2873"/>
      <c r="AZ119" s="2873"/>
      <c r="BA119" s="2873"/>
      <c r="BB119" s="2873">
        <v>252</v>
      </c>
      <c r="BC119" s="2873">
        <v>219</v>
      </c>
      <c r="BD119" s="2873"/>
      <c r="BE119" s="2873"/>
      <c r="BF119" s="2873"/>
      <c r="BG119" s="2873"/>
      <c r="BH119" s="2873"/>
      <c r="BI119" s="2873"/>
      <c r="BJ119" s="2873"/>
      <c r="BK119" s="2873"/>
      <c r="BL119" s="2873"/>
      <c r="BM119" s="2873"/>
      <c r="BN119" s="2873"/>
      <c r="BO119" s="2873"/>
      <c r="BP119" s="2873"/>
      <c r="BQ119" s="2873"/>
      <c r="BR119" s="2873"/>
      <c r="BS119" s="2873"/>
      <c r="BT119" s="2873"/>
      <c r="BU119" s="2873"/>
      <c r="BV119" s="2873"/>
      <c r="BW119" s="2873"/>
      <c r="BX119" s="2873"/>
      <c r="BY119" s="2873"/>
      <c r="BZ119" s="2873"/>
      <c r="CA119" s="2873"/>
      <c r="CB119" s="2873"/>
      <c r="CC119" s="2873"/>
      <c r="CD119" s="2873"/>
      <c r="CE119" s="2873"/>
      <c r="CF119" s="2873"/>
      <c r="CG119" s="2873"/>
      <c r="CH119" s="2873"/>
      <c r="CI119" s="2873"/>
      <c r="CJ119" s="2873"/>
      <c r="CK119" s="2873"/>
      <c r="CL119" s="2873"/>
      <c r="CM119" s="2873"/>
      <c r="CN119" s="2873"/>
      <c r="CO119" s="2873"/>
      <c r="CP119" s="2873"/>
      <c r="CQ119" s="2873"/>
      <c r="CR119" s="2873"/>
      <c r="CS119" s="2873"/>
      <c r="CT119" s="2873"/>
      <c r="CU119" s="2873"/>
      <c r="CV119" s="2873"/>
      <c r="CW119" s="2873"/>
      <c r="CX119" s="2873"/>
      <c r="CY119" s="2873"/>
      <c r="CZ119" s="2873">
        <v>11245</v>
      </c>
      <c r="DA119" s="2873">
        <v>11245</v>
      </c>
      <c r="DB119" s="2873"/>
      <c r="DC119" s="2873"/>
      <c r="DD119" s="2873"/>
      <c r="DE119" s="2873"/>
      <c r="DF119" s="2873"/>
      <c r="DG119" s="2873"/>
      <c r="DH119" s="2873"/>
      <c r="DI119" s="2873"/>
      <c r="DJ119" s="2873"/>
      <c r="DK119" s="2873"/>
      <c r="DL119" s="2873"/>
      <c r="DM119" s="2873"/>
      <c r="DN119" s="2873"/>
      <c r="DO119" s="2873"/>
      <c r="DP119" s="2873"/>
      <c r="DQ119" s="2873"/>
      <c r="DR119" s="2873"/>
      <c r="DS119" s="2873"/>
      <c r="DT119" s="2873"/>
      <c r="DU119" s="2873"/>
      <c r="DV119" s="2873"/>
      <c r="DW119" s="2873"/>
      <c r="DX119" s="2873"/>
      <c r="DY119" s="2873"/>
      <c r="DZ119" s="2873"/>
      <c r="EA119" s="2873"/>
      <c r="EB119" s="2873"/>
      <c r="EC119" s="2873"/>
      <c r="ED119" s="2873"/>
      <c r="EE119" s="2873"/>
      <c r="EF119" s="2873"/>
      <c r="EG119" s="2873"/>
      <c r="EH119" s="2873"/>
      <c r="EI119" s="2873"/>
      <c r="EJ119" s="2873"/>
      <c r="EK119" s="2873"/>
      <c r="EL119" s="2873"/>
      <c r="EM119" s="2873"/>
      <c r="EN119" s="2873"/>
      <c r="EO119" s="2873"/>
      <c r="EP119" s="2873"/>
      <c r="EQ119" s="2873"/>
      <c r="ER119" s="2873"/>
      <c r="ES119" s="2873"/>
      <c r="ET119" s="2873"/>
      <c r="EU119" s="2873"/>
      <c r="EV119" s="2873"/>
      <c r="EW119" s="2873"/>
      <c r="EX119" s="2873"/>
      <c r="EY119" s="2873"/>
      <c r="EZ119" s="2873"/>
      <c r="FA119" s="2873"/>
      <c r="FB119" s="2873"/>
      <c r="FC119" s="2873"/>
      <c r="FD119" s="2873"/>
      <c r="FE119" s="2873"/>
      <c r="FF119" s="2873"/>
      <c r="FG119" s="2873"/>
      <c r="FH119" s="2873"/>
      <c r="FI119" s="2873"/>
      <c r="FJ119" s="2873"/>
      <c r="FK119" s="2873">
        <v>11245</v>
      </c>
      <c r="FL119" s="2873"/>
      <c r="FM119" s="2873"/>
      <c r="FN119" s="2873"/>
      <c r="FO119" s="2873"/>
      <c r="FP119" s="2873"/>
      <c r="FQ119" s="2873"/>
      <c r="FR119" s="2873"/>
      <c r="FS119" s="2873"/>
      <c r="FT119" s="2873"/>
      <c r="FU119" s="2873"/>
      <c r="FV119" s="2873">
        <v>219</v>
      </c>
      <c r="FW119" s="2873"/>
      <c r="FX119" s="2873"/>
      <c r="FY119" s="2873"/>
      <c r="FZ119" s="2873"/>
      <c r="GA119" s="2873"/>
      <c r="GB119" s="2873"/>
      <c r="GC119" s="2873"/>
      <c r="GD119" s="2873"/>
      <c r="GE119" s="2873"/>
      <c r="GF119" s="2873"/>
      <c r="GG119" s="2873"/>
      <c r="GH119" s="2873"/>
      <c r="GI119" s="2873"/>
      <c r="GJ119" s="2873"/>
      <c r="GK119" s="2873"/>
      <c r="GL119" s="2873"/>
      <c r="GM119" s="2873"/>
      <c r="GN119" s="2873"/>
      <c r="GO119" s="2873"/>
      <c r="GP119" s="2873"/>
      <c r="GQ119" s="2873"/>
      <c r="GR119" s="2873"/>
      <c r="GS119" s="2873"/>
      <c r="GT119" s="2873"/>
      <c r="GU119" s="2873"/>
      <c r="GV119" s="2873"/>
      <c r="GW119" s="2873">
        <v>219</v>
      </c>
      <c r="GX119" s="2873"/>
      <c r="GY119" s="2873"/>
      <c r="GZ119" s="2873"/>
      <c r="HA119" s="2873"/>
      <c r="HB119" s="2873"/>
      <c r="HC119" s="2873"/>
      <c r="HD119" s="2873"/>
      <c r="HE119" s="2873"/>
      <c r="HF119" s="2873"/>
      <c r="HG119" s="2873"/>
      <c r="HH119" s="2873"/>
      <c r="HI119" s="2873"/>
      <c r="HJ119" s="2873"/>
      <c r="HK119" s="2873"/>
      <c r="HL119" s="2873"/>
      <c r="HM119" s="2873"/>
      <c r="HN119" s="2873"/>
      <c r="HO119" s="2873"/>
      <c r="HP119" s="2873"/>
      <c r="HQ119" s="2873"/>
      <c r="HR119" s="2873"/>
      <c r="HS119" s="2873"/>
      <c r="HT119" s="2873"/>
      <c r="HU119" s="2873"/>
      <c r="HV119" s="2873"/>
      <c r="HW119" s="2873"/>
      <c r="HX119" s="2873"/>
      <c r="HY119" s="2873"/>
      <c r="HZ119" s="2873"/>
      <c r="IA119" s="2873"/>
      <c r="IB119" s="2873"/>
      <c r="IC119" s="2873"/>
      <c r="ID119" s="2873"/>
      <c r="IE119" s="2873"/>
      <c r="IF119" s="2873"/>
      <c r="IG119" s="2873"/>
      <c r="IH119" s="2873"/>
      <c r="II119" s="2873"/>
      <c r="IJ119" s="2873"/>
      <c r="IK119" s="2873"/>
      <c r="IL119" s="2873"/>
      <c r="IM119" s="2873"/>
      <c r="IN119" s="2873"/>
      <c r="IO119" s="2873"/>
      <c r="IP119" s="2873"/>
      <c r="IQ119" s="4192"/>
      <c r="IR119" s="2873"/>
      <c r="IS119" s="2873"/>
      <c r="IT119" s="4193"/>
      <c r="IU119" s="2873"/>
      <c r="IV119" s="2873"/>
      <c r="IW119" s="2873"/>
      <c r="IX119" s="2873"/>
      <c r="IY119" s="4193"/>
      <c r="IZ119" s="2873"/>
      <c r="JA119" s="3827"/>
      <c r="JB119" s="4193"/>
      <c r="JC119" s="4250"/>
      <c r="JD119" s="3827"/>
      <c r="JE119" s="3827"/>
      <c r="JF119" s="3827"/>
      <c r="JG119" s="4194"/>
      <c r="JH119" s="1233"/>
      <c r="JI119" s="1393"/>
      <c r="JJ119" s="1660" t="s">
        <v>6108</v>
      </c>
    </row>
    <row ht="12.75" r="120" spans="1:270" x14ac:dyDescent="0.2">
      <c r="A120" s="1128">
        <v>85</v>
      </c>
      <c r="B120" s="1557" t="str">
        <f si="4" t="shared"/>
        <v/>
      </c>
      <c r="C120" s="1559" t="s">
        <v>2597</v>
      </c>
      <c r="D120" s="1350" t="s">
        <v>5616</v>
      </c>
      <c r="E120" s="2873"/>
      <c r="F120" s="2873"/>
      <c r="G120" s="2873"/>
      <c r="H120" s="2873"/>
      <c r="I120" s="2873"/>
      <c r="J120" s="2873"/>
      <c r="K120" s="2873"/>
      <c r="L120" s="2873"/>
      <c r="M120" s="2873"/>
      <c r="N120" s="2873"/>
      <c r="O120" s="2873"/>
      <c r="P120" s="2873"/>
      <c r="Q120" s="2873"/>
      <c r="R120" s="2873"/>
      <c r="S120" s="2873"/>
      <c r="T120" s="2873"/>
      <c r="U120" s="2873"/>
      <c r="V120" s="2873"/>
      <c r="W120" s="2873"/>
      <c r="X120" s="2873"/>
      <c r="Y120" s="2873"/>
      <c r="Z120" s="2873"/>
      <c r="AA120" s="2873"/>
      <c r="AB120" s="2873"/>
      <c r="AC120" s="2873"/>
      <c r="AD120" s="2873"/>
      <c r="AE120" s="2873"/>
      <c r="AF120" s="2873"/>
      <c r="AG120" s="2873"/>
      <c r="AH120" s="2873"/>
      <c r="AI120" s="2873"/>
      <c r="AJ120" s="2873"/>
      <c r="AK120" s="2873"/>
      <c r="AL120" s="2873"/>
      <c r="AM120" s="2873"/>
      <c r="AN120" s="2873"/>
      <c r="AO120" s="2873"/>
      <c r="AP120" s="2873"/>
      <c r="AQ120" s="2873"/>
      <c r="AR120" s="2873"/>
      <c r="AS120" s="2873"/>
      <c r="AT120" s="2873"/>
      <c r="AU120" s="2873"/>
      <c r="AV120" s="2873"/>
      <c r="AW120" s="2873"/>
      <c r="AX120" s="2873"/>
      <c r="AY120" s="2873"/>
      <c r="AZ120" s="2873"/>
      <c r="BA120" s="2873"/>
      <c r="BB120" s="2873"/>
      <c r="BC120" s="2873"/>
      <c r="BD120" s="2873"/>
      <c r="BE120" s="2873"/>
      <c r="BF120" s="2873"/>
      <c r="BG120" s="2873"/>
      <c r="BH120" s="2873"/>
      <c r="BI120" s="2873"/>
      <c r="BJ120" s="2873"/>
      <c r="BK120" s="2873"/>
      <c r="BL120" s="2873"/>
      <c r="BM120" s="2873"/>
      <c r="BN120" s="2873"/>
      <c r="BO120" s="2873"/>
      <c r="BP120" s="2873"/>
      <c r="BQ120" s="2873"/>
      <c r="BR120" s="2873"/>
      <c r="BS120" s="2873"/>
      <c r="BT120" s="2873"/>
      <c r="BU120" s="2873"/>
      <c r="BV120" s="2873"/>
      <c r="BW120" s="2873"/>
      <c r="BX120" s="2873"/>
      <c r="BY120" s="2873"/>
      <c r="BZ120" s="2873"/>
      <c r="CA120" s="2873"/>
      <c r="CB120" s="2873"/>
      <c r="CC120" s="2873"/>
      <c r="CD120" s="2873"/>
      <c r="CE120" s="2873"/>
      <c r="CF120" s="2873"/>
      <c r="CG120" s="2873"/>
      <c r="CH120" s="2873"/>
      <c r="CI120" s="2873"/>
      <c r="CJ120" s="2873"/>
      <c r="CK120" s="2873"/>
      <c r="CL120" s="2873"/>
      <c r="CM120" s="2873"/>
      <c r="CN120" s="2873"/>
      <c r="CO120" s="2873"/>
      <c r="CP120" s="2873"/>
      <c r="CQ120" s="2873"/>
      <c r="CR120" s="2873"/>
      <c r="CS120" s="2873"/>
      <c r="CT120" s="2873"/>
      <c r="CU120" s="2873"/>
      <c r="CV120" s="2873"/>
      <c r="CW120" s="2873"/>
      <c r="CX120" s="2873"/>
      <c r="CY120" s="2873"/>
      <c r="CZ120" s="2873">
        <v>8670</v>
      </c>
      <c r="DA120" s="2873">
        <v>8670</v>
      </c>
      <c r="DB120" s="2873"/>
      <c r="DC120" s="2873"/>
      <c r="DD120" s="2873"/>
      <c r="DE120" s="2873"/>
      <c r="DF120" s="2873"/>
      <c r="DG120" s="2873"/>
      <c r="DH120" s="2873"/>
      <c r="DI120" s="2873"/>
      <c r="DJ120" s="2873"/>
      <c r="DK120" s="2873"/>
      <c r="DL120" s="2873"/>
      <c r="DM120" s="2873"/>
      <c r="DN120" s="2873"/>
      <c r="DO120" s="2873"/>
      <c r="DP120" s="2873"/>
      <c r="DQ120" s="2873"/>
      <c r="DR120" s="2873"/>
      <c r="DS120" s="2873"/>
      <c r="DT120" s="2873"/>
      <c r="DU120" s="2873"/>
      <c r="DV120" s="2873"/>
      <c r="DW120" s="2873"/>
      <c r="DX120" s="2873"/>
      <c r="DY120" s="2873"/>
      <c r="DZ120" s="2873"/>
      <c r="EA120" s="2873"/>
      <c r="EB120" s="2873"/>
      <c r="EC120" s="2873"/>
      <c r="ED120" s="2873"/>
      <c r="EE120" s="2873"/>
      <c r="EF120" s="2873"/>
      <c r="EG120" s="2873"/>
      <c r="EH120" s="2873"/>
      <c r="EI120" s="2873"/>
      <c r="EJ120" s="2873"/>
      <c r="EK120" s="2873"/>
      <c r="EL120" s="2873"/>
      <c r="EM120" s="2873"/>
      <c r="EN120" s="2873"/>
      <c r="EO120" s="2873"/>
      <c r="EP120" s="2873"/>
      <c r="EQ120" s="2873"/>
      <c r="ER120" s="2873"/>
      <c r="ES120" s="2873"/>
      <c r="ET120" s="2873"/>
      <c r="EU120" s="2873"/>
      <c r="EV120" s="2873"/>
      <c r="EW120" s="2873"/>
      <c r="EX120" s="2873"/>
      <c r="EY120" s="2873"/>
      <c r="EZ120" s="2873"/>
      <c r="FA120" s="2873"/>
      <c r="FB120" s="2873"/>
      <c r="FC120" s="2873"/>
      <c r="FD120" s="2873"/>
      <c r="FE120" s="2873"/>
      <c r="FF120" s="2873"/>
      <c r="FG120" s="2873"/>
      <c r="FH120" s="2873"/>
      <c r="FI120" s="2873"/>
      <c r="FJ120" s="2873"/>
      <c r="FK120" s="2873">
        <v>8670</v>
      </c>
      <c r="FL120" s="2873"/>
      <c r="FM120" s="2873"/>
      <c r="FN120" s="2873"/>
      <c r="FO120" s="2873"/>
      <c r="FP120" s="2873"/>
      <c r="FQ120" s="2873"/>
      <c r="FR120" s="2873"/>
      <c r="FS120" s="2873"/>
      <c r="FT120" s="2873"/>
      <c r="FU120" s="2873"/>
      <c r="FV120" s="2873"/>
      <c r="FW120" s="2873"/>
      <c r="FX120" s="2873"/>
      <c r="FY120" s="2873"/>
      <c r="FZ120" s="2873"/>
      <c r="GA120" s="2873"/>
      <c r="GB120" s="2873"/>
      <c r="GC120" s="2873"/>
      <c r="GD120" s="2873"/>
      <c r="GE120" s="2873"/>
      <c r="GF120" s="2873"/>
      <c r="GG120" s="2873"/>
      <c r="GH120" s="2873"/>
      <c r="GI120" s="2873"/>
      <c r="GJ120" s="2873"/>
      <c r="GK120" s="2873"/>
      <c r="GL120" s="2873"/>
      <c r="GM120" s="2873"/>
      <c r="GN120" s="2873"/>
      <c r="GO120" s="2873"/>
      <c r="GP120" s="2873"/>
      <c r="GQ120" s="2873"/>
      <c r="GR120" s="2873"/>
      <c r="GS120" s="2873"/>
      <c r="GT120" s="2873"/>
      <c r="GU120" s="2873"/>
      <c r="GV120" s="2873"/>
      <c r="GW120" s="2873"/>
      <c r="GX120" s="2873"/>
      <c r="GY120" s="2873"/>
      <c r="GZ120" s="2873"/>
      <c r="HA120" s="2873"/>
      <c r="HB120" s="2873"/>
      <c r="HC120" s="2873"/>
      <c r="HD120" s="2873"/>
      <c r="HE120" s="2873"/>
      <c r="HF120" s="2873"/>
      <c r="HG120" s="2873"/>
      <c r="HH120" s="2873"/>
      <c r="HI120" s="2873"/>
      <c r="HJ120" s="2873"/>
      <c r="HK120" s="2873"/>
      <c r="HL120" s="2873"/>
      <c r="HM120" s="2873"/>
      <c r="HN120" s="2873"/>
      <c r="HO120" s="2873"/>
      <c r="HP120" s="2873"/>
      <c r="HQ120" s="2873"/>
      <c r="HR120" s="2873"/>
      <c r="HS120" s="2873"/>
      <c r="HT120" s="2873"/>
      <c r="HU120" s="2873"/>
      <c r="HV120" s="2873"/>
      <c r="HW120" s="2873"/>
      <c r="HX120" s="2873"/>
      <c r="HY120" s="2873"/>
      <c r="HZ120" s="2873"/>
      <c r="IA120" s="2873"/>
      <c r="IB120" s="2873"/>
      <c r="IC120" s="2873"/>
      <c r="ID120" s="2873"/>
      <c r="IE120" s="2873"/>
      <c r="IF120" s="2873"/>
      <c r="IG120" s="2873"/>
      <c r="IH120" s="2873"/>
      <c r="II120" s="2873"/>
      <c r="IJ120" s="2873"/>
      <c r="IK120" s="2873"/>
      <c r="IL120" s="2873"/>
      <c r="IM120" s="2873"/>
      <c r="IN120" s="2873"/>
      <c r="IO120" s="2873"/>
      <c r="IP120" s="2873"/>
      <c r="IQ120" s="4192"/>
      <c r="IR120" s="2873"/>
      <c r="IS120" s="2873"/>
      <c r="IT120" s="4193"/>
      <c r="IU120" s="2873"/>
      <c r="IV120" s="2873"/>
      <c r="IW120" s="2873"/>
      <c r="IX120" s="2873"/>
      <c r="IY120" s="4193"/>
      <c r="IZ120" s="2873"/>
      <c r="JA120" s="3827"/>
      <c r="JB120" s="4193"/>
      <c r="JC120" s="4250"/>
      <c r="JD120" s="3827"/>
      <c r="JE120" s="3827"/>
      <c r="JF120" s="3827"/>
      <c r="JG120" s="4194"/>
      <c r="JH120" s="1233"/>
      <c r="JI120" s="1393"/>
      <c r="JJ120" s="1660" t="s">
        <v>6108</v>
      </c>
    </row>
    <row ht="12.75" r="121" spans="1:270" x14ac:dyDescent="0.2">
      <c r="A121" s="1128">
        <v>86</v>
      </c>
      <c r="B121" s="1557" t="str">
        <f si="4" t="shared"/>
        <v/>
      </c>
      <c r="C121" s="1559" t="s">
        <v>2598</v>
      </c>
      <c r="D121" s="1350" t="s">
        <v>5617</v>
      </c>
      <c r="E121" s="2873"/>
      <c r="F121" s="2873"/>
      <c r="G121" s="2873"/>
      <c r="H121" s="2873"/>
      <c r="I121" s="2873"/>
      <c r="J121" s="2873"/>
      <c r="K121" s="2873"/>
      <c r="L121" s="2873"/>
      <c r="M121" s="2873"/>
      <c r="N121" s="2873"/>
      <c r="O121" s="2873"/>
      <c r="P121" s="2873"/>
      <c r="Q121" s="2873"/>
      <c r="R121" s="2873"/>
      <c r="S121" s="2873"/>
      <c r="T121" s="2873"/>
      <c r="U121" s="2873"/>
      <c r="V121" s="2873"/>
      <c r="W121" s="2873"/>
      <c r="X121" s="2873"/>
      <c r="Y121" s="2873"/>
      <c r="Z121" s="2873"/>
      <c r="AA121" s="2873"/>
      <c r="AB121" s="2873"/>
      <c r="AC121" s="2873"/>
      <c r="AD121" s="2873"/>
      <c r="AE121" s="2873"/>
      <c r="AF121" s="2873"/>
      <c r="AG121" s="2873"/>
      <c r="AH121" s="2873"/>
      <c r="AI121" s="2873"/>
      <c r="AJ121" s="2873"/>
      <c r="AK121" s="2873"/>
      <c r="AL121" s="2873"/>
      <c r="AM121" s="2873"/>
      <c r="AN121" s="2873"/>
      <c r="AO121" s="2873"/>
      <c r="AP121" s="2873"/>
      <c r="AQ121" s="2873"/>
      <c r="AR121" s="2873"/>
      <c r="AS121" s="2873"/>
      <c r="AT121" s="2873"/>
      <c r="AU121" s="2873"/>
      <c r="AV121" s="2873"/>
      <c r="AW121" s="2873"/>
      <c r="AX121" s="2873"/>
      <c r="AY121" s="2873"/>
      <c r="AZ121" s="2873"/>
      <c r="BA121" s="2873"/>
      <c r="BB121" s="2873"/>
      <c r="BC121" s="2873"/>
      <c r="BD121" s="2873"/>
      <c r="BE121" s="2873"/>
      <c r="BF121" s="2873"/>
      <c r="BG121" s="2873"/>
      <c r="BH121" s="2873"/>
      <c r="BI121" s="2873"/>
      <c r="BJ121" s="2873"/>
      <c r="BK121" s="2873"/>
      <c r="BL121" s="2873"/>
      <c r="BM121" s="2873"/>
      <c r="BN121" s="2873"/>
      <c r="BO121" s="2873"/>
      <c r="BP121" s="2873"/>
      <c r="BQ121" s="2873"/>
      <c r="BR121" s="2873"/>
      <c r="BS121" s="2873"/>
      <c r="BT121" s="2873"/>
      <c r="BU121" s="2873"/>
      <c r="BV121" s="2873"/>
      <c r="BW121" s="2873"/>
      <c r="BX121" s="2873"/>
      <c r="BY121" s="2873"/>
      <c r="BZ121" s="2873"/>
      <c r="CA121" s="2873"/>
      <c r="CB121" s="2873"/>
      <c r="CC121" s="2873"/>
      <c r="CD121" s="2873"/>
      <c r="CE121" s="2873"/>
      <c r="CF121" s="2873"/>
      <c r="CG121" s="2873"/>
      <c r="CH121" s="2873"/>
      <c r="CI121" s="2873"/>
      <c r="CJ121" s="2873"/>
      <c r="CK121" s="2873"/>
      <c r="CL121" s="2873"/>
      <c r="CM121" s="2873"/>
      <c r="CN121" s="2873"/>
      <c r="CO121" s="2873"/>
      <c r="CP121" s="2873"/>
      <c r="CQ121" s="2873"/>
      <c r="CR121" s="2873"/>
      <c r="CS121" s="2873"/>
      <c r="CT121" s="2873"/>
      <c r="CU121" s="2873"/>
      <c r="CV121" s="2873"/>
      <c r="CW121" s="2873"/>
      <c r="CX121" s="2873"/>
      <c r="CY121" s="2873">
        <v>1267</v>
      </c>
      <c r="CZ121" s="2873"/>
      <c r="DA121" s="2873"/>
      <c r="DB121" s="2873"/>
      <c r="DC121" s="2873"/>
      <c r="DD121" s="2873"/>
      <c r="DE121" s="2873"/>
      <c r="DF121" s="2873"/>
      <c r="DG121" s="2873"/>
      <c r="DH121" s="2873"/>
      <c r="DI121" s="2873"/>
      <c r="DJ121" s="2873">
        <v>1267</v>
      </c>
      <c r="DK121" s="2873"/>
      <c r="DL121" s="2873"/>
      <c r="DM121" s="2873">
        <v>1267</v>
      </c>
      <c r="DN121" s="2873"/>
      <c r="DO121" s="2873"/>
      <c r="DP121" s="2873"/>
      <c r="DQ121" s="2873"/>
      <c r="DR121" s="2873"/>
      <c r="DS121" s="2873"/>
      <c r="DT121" s="2873"/>
      <c r="DU121" s="2873"/>
      <c r="DV121" s="2873"/>
      <c r="DW121" s="2873"/>
      <c r="DX121" s="2873"/>
      <c r="DY121" s="2873"/>
      <c r="DZ121" s="2873"/>
      <c r="EA121" s="2873"/>
      <c r="EB121" s="2873"/>
      <c r="EC121" s="2873"/>
      <c r="ED121" s="2873"/>
      <c r="EE121" s="2873"/>
      <c r="EF121" s="2873"/>
      <c r="EG121" s="2873"/>
      <c r="EH121" s="2873"/>
      <c r="EI121" s="2873"/>
      <c r="EJ121" s="2873"/>
      <c r="EK121" s="2873"/>
      <c r="EL121" s="2873"/>
      <c r="EM121" s="2873"/>
      <c r="EN121" s="2873"/>
      <c r="EO121" s="2873"/>
      <c r="EP121" s="2873"/>
      <c r="EQ121" s="2873"/>
      <c r="ER121" s="2873"/>
      <c r="ES121" s="2873"/>
      <c r="ET121" s="2873"/>
      <c r="EU121" s="2873"/>
      <c r="EV121" s="2873"/>
      <c r="EW121" s="2873"/>
      <c r="EX121" s="2873"/>
      <c r="EY121" s="2873"/>
      <c r="EZ121" s="2873"/>
      <c r="FA121" s="2873">
        <v>1267</v>
      </c>
      <c r="FB121" s="2873"/>
      <c r="FC121" s="2873"/>
      <c r="FD121" s="2873"/>
      <c r="FE121" s="2873"/>
      <c r="FF121" s="2873"/>
      <c r="FG121" s="2873"/>
      <c r="FH121" s="2873"/>
      <c r="FI121" s="2873"/>
      <c r="FJ121" s="2873"/>
      <c r="FK121" s="2873"/>
      <c r="FL121" s="2873"/>
      <c r="FM121" s="2873"/>
      <c r="FN121" s="2873"/>
      <c r="FO121" s="2873"/>
      <c r="FP121" s="2873"/>
      <c r="FQ121" s="2873"/>
      <c r="FR121" s="2873"/>
      <c r="FS121" s="2873"/>
      <c r="FT121" s="2873"/>
      <c r="FU121" s="2873"/>
      <c r="FV121" s="2873"/>
      <c r="FW121" s="2873"/>
      <c r="FX121" s="2873"/>
      <c r="FY121" s="2873"/>
      <c r="FZ121" s="2873"/>
      <c r="GA121" s="2873"/>
      <c r="GB121" s="2873"/>
      <c r="GC121" s="2873"/>
      <c r="GD121" s="2873"/>
      <c r="GE121" s="2873"/>
      <c r="GF121" s="2873"/>
      <c r="GG121" s="2873"/>
      <c r="GH121" s="2873"/>
      <c r="GI121" s="2873"/>
      <c r="GJ121" s="2873"/>
      <c r="GK121" s="2873"/>
      <c r="GL121" s="2873"/>
      <c r="GM121" s="2873"/>
      <c r="GN121" s="2873"/>
      <c r="GO121" s="2873"/>
      <c r="GP121" s="2873"/>
      <c r="GQ121" s="2873"/>
      <c r="GR121" s="2873"/>
      <c r="GS121" s="2873"/>
      <c r="GT121" s="2873"/>
      <c r="GU121" s="2873"/>
      <c r="GV121" s="2873"/>
      <c r="GW121" s="2873"/>
      <c r="GX121" s="2873"/>
      <c r="GY121" s="2873"/>
      <c r="GZ121" s="2873"/>
      <c r="HA121" s="2873"/>
      <c r="HB121" s="2873"/>
      <c r="HC121" s="2873"/>
      <c r="HD121" s="2873"/>
      <c r="HE121" s="2873"/>
      <c r="HF121" s="2873"/>
      <c r="HG121" s="2873"/>
      <c r="HH121" s="2873"/>
      <c r="HI121" s="2873"/>
      <c r="HJ121" s="2873"/>
      <c r="HK121" s="2873"/>
      <c r="HL121" s="2873"/>
      <c r="HM121" s="2873"/>
      <c r="HN121" s="2873"/>
      <c r="HO121" s="2873"/>
      <c r="HP121" s="2873"/>
      <c r="HQ121" s="2873"/>
      <c r="HR121" s="2873"/>
      <c r="HS121" s="2873"/>
      <c r="HT121" s="2873"/>
      <c r="HU121" s="2873"/>
      <c r="HV121" s="2873"/>
      <c r="HW121" s="2873"/>
      <c r="HX121" s="2873"/>
      <c r="HY121" s="2873"/>
      <c r="HZ121" s="2873"/>
      <c r="IA121" s="2873"/>
      <c r="IB121" s="2873"/>
      <c r="IC121" s="2873"/>
      <c r="ID121" s="2873"/>
      <c r="IE121" s="2873"/>
      <c r="IF121" s="2873"/>
      <c r="IG121" s="2873"/>
      <c r="IH121" s="2873"/>
      <c r="II121" s="2873"/>
      <c r="IJ121" s="2873"/>
      <c r="IK121" s="2873"/>
      <c r="IL121" s="2873"/>
      <c r="IM121" s="2873"/>
      <c r="IN121" s="2873"/>
      <c r="IO121" s="2873"/>
      <c r="IP121" s="2873"/>
      <c r="IQ121" s="4192"/>
      <c r="IR121" s="2873"/>
      <c r="IS121" s="2873"/>
      <c r="IT121" s="4193"/>
      <c r="IU121" s="2873"/>
      <c r="IV121" s="2873"/>
      <c r="IW121" s="2873"/>
      <c r="IX121" s="2873"/>
      <c r="IY121" s="4193"/>
      <c r="IZ121" s="2873"/>
      <c r="JA121" s="3827"/>
      <c r="JB121" s="4193"/>
      <c r="JC121" s="4250"/>
      <c r="JD121" s="3827"/>
      <c r="JE121" s="3827"/>
      <c r="JF121" s="3827"/>
      <c r="JG121" s="4194"/>
      <c r="JH121" s="1233"/>
      <c r="JI121" s="1393"/>
      <c r="JJ121" s="1660" t="s">
        <v>6108</v>
      </c>
    </row>
    <row ht="13.5" r="122" spans="1:270" thickBot="1" x14ac:dyDescent="0.25">
      <c r="A122" s="1128">
        <v>87</v>
      </c>
      <c r="B122" s="1557" t="str">
        <f si="4" t="shared"/>
        <v/>
      </c>
      <c r="C122" s="1683" t="s">
        <v>3170</v>
      </c>
      <c r="D122" s="2850" t="s">
        <v>5755</v>
      </c>
      <c r="E122" s="2851"/>
      <c r="F122" s="2851"/>
      <c r="G122" s="2851"/>
      <c r="H122" s="2851"/>
      <c r="I122" s="2851"/>
      <c r="J122" s="2851"/>
      <c r="K122" s="2851"/>
      <c r="L122" s="2851"/>
      <c r="M122" s="2851"/>
      <c r="N122" s="2851"/>
      <c r="O122" s="2851"/>
      <c r="P122" s="2851"/>
      <c r="Q122" s="2851"/>
      <c r="R122" s="2851"/>
      <c r="S122" s="2851"/>
      <c r="T122" s="2851"/>
      <c r="U122" s="2851"/>
      <c r="V122" s="2851"/>
      <c r="W122" s="2851"/>
      <c r="X122" s="2851"/>
      <c r="Y122" s="2851"/>
      <c r="Z122" s="2851"/>
      <c r="AA122" s="2851"/>
      <c r="AB122" s="2851"/>
      <c r="AC122" s="2851"/>
      <c r="AD122" s="2877"/>
      <c r="AE122" s="2877"/>
      <c r="AF122" s="2877"/>
      <c r="AG122" s="2877"/>
      <c r="AH122" s="2877"/>
      <c r="AI122" s="2851"/>
      <c r="AJ122" s="2851"/>
      <c r="AK122" s="2851"/>
      <c r="AL122" s="2851"/>
      <c r="AM122" s="2874">
        <f>AM119+AM120+AM121</f>
        <v>219</v>
      </c>
      <c r="AN122" s="2851"/>
      <c r="AO122" s="2851"/>
      <c r="AP122" s="2851"/>
      <c r="AQ122" s="2851"/>
      <c r="AR122" s="2851"/>
      <c r="AS122" s="2851"/>
      <c r="AT122" s="2851"/>
      <c r="AU122" s="2851"/>
      <c r="AV122" s="2851"/>
      <c r="AW122" s="2851"/>
      <c r="AX122" s="2851"/>
      <c r="AY122" s="2851"/>
      <c r="AZ122" s="2851"/>
      <c r="BA122" s="2851"/>
      <c r="BB122" s="2874">
        <f>BB119+BB120+BB121</f>
        <v>252</v>
      </c>
      <c r="BC122" s="2874">
        <f>BC119+BC120+BC121</f>
        <v>219</v>
      </c>
      <c r="BD122" s="2851"/>
      <c r="BE122" s="2851"/>
      <c r="BF122" s="2851"/>
      <c r="BG122" s="2851"/>
      <c r="BH122" s="2851"/>
      <c r="BI122" s="2851"/>
      <c r="BJ122" s="2851"/>
      <c r="BK122" s="2851"/>
      <c r="BL122" s="2851"/>
      <c r="BM122" s="2851"/>
      <c r="BN122" s="2851"/>
      <c r="BO122" s="2851"/>
      <c r="BP122" s="2851"/>
      <c r="BQ122" s="2851"/>
      <c r="BR122" s="2851"/>
      <c r="BS122" s="2851"/>
      <c r="BT122" s="2851"/>
      <c r="BU122" s="2851"/>
      <c r="BV122" s="2851"/>
      <c r="BW122" s="2851"/>
      <c r="BX122" s="2851"/>
      <c r="BY122" s="2851"/>
      <c r="BZ122" s="2851"/>
      <c r="CA122" s="2851"/>
      <c r="CB122" s="2851"/>
      <c r="CC122" s="2851"/>
      <c r="CD122" s="2851"/>
      <c r="CE122" s="2851"/>
      <c r="CF122" s="2851"/>
      <c r="CG122" s="2851"/>
      <c r="CH122" s="2851"/>
      <c r="CI122" s="2851"/>
      <c r="CJ122" s="2851"/>
      <c r="CK122" s="2851"/>
      <c r="CL122" s="2851"/>
      <c r="CM122" s="2851"/>
      <c r="CN122" s="2851"/>
      <c r="CO122" s="2851"/>
      <c r="CP122" s="2874">
        <f>CP119+CP120+CP121</f>
        <v>0</v>
      </c>
      <c r="CQ122" s="2851"/>
      <c r="CR122" s="2851"/>
      <c r="CS122" s="2851"/>
      <c r="CT122" s="2851"/>
      <c r="CU122" s="2851"/>
      <c r="CV122" s="2851"/>
      <c r="CW122" s="2851"/>
      <c r="CX122" s="2851"/>
      <c r="CY122" s="2874">
        <f>CY119+CY120+CY121</f>
        <v>1267</v>
      </c>
      <c r="CZ122" s="2874">
        <f>CZ119+CZ120+CZ121</f>
        <v>19915</v>
      </c>
      <c r="DA122" s="2874">
        <f>DA119+DA120+DA121</f>
        <v>19915</v>
      </c>
      <c r="DB122" s="2851"/>
      <c r="DC122" s="2851"/>
      <c r="DD122" s="2851"/>
      <c r="DE122" s="2851"/>
      <c r="DF122" s="2851"/>
      <c r="DG122" s="2851"/>
      <c r="DH122" s="2877"/>
      <c r="DI122" s="2851"/>
      <c r="DJ122" s="2874">
        <f>DJ119+DJ120+DJ121</f>
        <v>1267</v>
      </c>
      <c r="DK122" s="2851"/>
      <c r="DL122" s="2851"/>
      <c r="DM122" s="2874">
        <f>DM119+DM120+DM121</f>
        <v>1267</v>
      </c>
      <c r="DN122" s="2851"/>
      <c r="DO122" s="2851"/>
      <c r="DP122" s="2851"/>
      <c r="DQ122" s="2851"/>
      <c r="DR122" s="2851"/>
      <c r="DS122" s="2851"/>
      <c r="DT122" s="2851"/>
      <c r="DU122" s="2851"/>
      <c r="DV122" s="2851"/>
      <c r="DW122" s="2851"/>
      <c r="DX122" s="2851"/>
      <c r="DY122" s="2851"/>
      <c r="DZ122" s="2851"/>
      <c r="EA122" s="2851"/>
      <c r="EB122" s="2851"/>
      <c r="EC122" s="2851"/>
      <c r="ED122" s="2851"/>
      <c r="EE122" s="2851"/>
      <c r="EF122" s="2851"/>
      <c r="EG122" s="2851"/>
      <c r="EH122" s="2877"/>
      <c r="EI122" s="2877"/>
      <c r="EJ122" s="2851"/>
      <c r="EK122" s="2851"/>
      <c r="EL122" s="2851"/>
      <c r="EM122" s="2851"/>
      <c r="EN122" s="2851"/>
      <c r="EO122" s="2851"/>
      <c r="EP122" s="2851"/>
      <c r="EQ122" s="2851"/>
      <c r="ER122" s="2851"/>
      <c r="ES122" s="2851"/>
      <c r="ET122" s="2851"/>
      <c r="EU122" s="2851"/>
      <c r="EV122" s="2851"/>
      <c r="EW122" s="2851"/>
      <c r="EX122" s="2851"/>
      <c r="EY122" s="2851"/>
      <c r="EZ122" s="2851"/>
      <c r="FA122" s="2874">
        <f>FA119+FA120+FA121</f>
        <v>1267</v>
      </c>
      <c r="FB122" s="2851"/>
      <c r="FC122" s="2851"/>
      <c r="FD122" s="2851"/>
      <c r="FE122" s="2851"/>
      <c r="FF122" s="2851"/>
      <c r="FG122" s="2851"/>
      <c r="FH122" s="2851"/>
      <c r="FI122" s="2851"/>
      <c r="FJ122" s="2851"/>
      <c r="FK122" s="2874">
        <f>FK119+FK120+FK121</f>
        <v>19915</v>
      </c>
      <c r="FL122" s="2851"/>
      <c r="FM122" s="2851"/>
      <c r="FN122" s="2851"/>
      <c r="FO122" s="2851"/>
      <c r="FP122" s="2851"/>
      <c r="FQ122" s="2851"/>
      <c r="FR122" s="2851"/>
      <c r="FS122" s="2851"/>
      <c r="FT122" s="2851"/>
      <c r="FU122" s="2851"/>
      <c r="FV122" s="2874">
        <f>FV119+FV120+FV121</f>
        <v>219</v>
      </c>
      <c r="FW122" s="2851"/>
      <c r="FX122" s="2851"/>
      <c r="FY122" s="2851"/>
      <c r="FZ122" s="2851"/>
      <c r="GA122" s="2851"/>
      <c r="GB122" s="2851"/>
      <c r="GC122" s="2851"/>
      <c r="GD122" s="2851"/>
      <c r="GE122" s="2851"/>
      <c r="GF122" s="2851"/>
      <c r="GG122" s="2851"/>
      <c r="GH122" s="2851"/>
      <c r="GI122" s="2851"/>
      <c r="GJ122" s="2851"/>
      <c r="GK122" s="2851"/>
      <c r="GL122" s="2851"/>
      <c r="GM122" s="2851"/>
      <c r="GN122" s="2851"/>
      <c r="GO122" s="2851"/>
      <c r="GP122" s="2851"/>
      <c r="GQ122" s="2851"/>
      <c r="GR122" s="2851"/>
      <c r="GS122" s="2851"/>
      <c r="GT122" s="2851"/>
      <c r="GU122" s="2851"/>
      <c r="GV122" s="2851"/>
      <c r="GW122" s="2874">
        <f>GW119+GW120+GW121</f>
        <v>219</v>
      </c>
      <c r="GX122" s="2851"/>
      <c r="GY122" s="2877"/>
      <c r="GZ122" s="2851"/>
      <c r="HA122" s="2851"/>
      <c r="HB122" s="2851"/>
      <c r="HC122" s="2851"/>
      <c r="HD122" s="2851"/>
      <c r="HE122" s="2877"/>
      <c r="HF122" s="2851"/>
      <c r="HG122" s="2851"/>
      <c r="HH122" s="2851"/>
      <c r="HI122" s="2851"/>
      <c r="HJ122" s="2851"/>
      <c r="HK122" s="2851"/>
      <c r="HL122" s="2851"/>
      <c r="HM122" s="2851"/>
      <c r="HN122" s="2851"/>
      <c r="HO122" s="2851"/>
      <c r="HP122" s="2851"/>
      <c r="HQ122" s="2851"/>
      <c r="HR122" s="2851"/>
      <c r="HS122" s="2851"/>
      <c r="HT122" s="2851"/>
      <c r="HU122" s="2851"/>
      <c r="HV122" s="2851"/>
      <c r="HW122" s="2851"/>
      <c r="HX122" s="2851"/>
      <c r="HY122" s="2851"/>
      <c r="HZ122" s="2851"/>
      <c r="IA122" s="2851"/>
      <c r="IB122" s="2851"/>
      <c r="IC122" s="2851"/>
      <c r="ID122" s="2851"/>
      <c r="IE122" s="2851"/>
      <c r="IF122" s="2851"/>
      <c r="IG122" s="2851"/>
      <c r="IH122" s="2851"/>
      <c r="II122" s="2851"/>
      <c r="IJ122" s="2851"/>
      <c r="IK122" s="2851"/>
      <c r="IL122" s="2851"/>
      <c r="IM122" s="2851"/>
      <c r="IN122" s="2851"/>
      <c r="IO122" s="2877"/>
      <c r="IP122" s="2851"/>
      <c r="IQ122" s="3842"/>
      <c r="IR122" s="2851"/>
      <c r="IS122" s="2851"/>
      <c r="IT122" s="3990"/>
      <c r="IU122" s="2851"/>
      <c r="IV122" s="2851"/>
      <c r="IW122" s="2851"/>
      <c r="IX122" s="2851"/>
      <c r="IY122" s="3990"/>
      <c r="IZ122" s="2851"/>
      <c r="JA122" s="3828"/>
      <c r="JB122" s="4319"/>
      <c r="JC122" s="4251"/>
      <c r="JD122" s="2874">
        <f>JD119+JD120+JD121</f>
        <v>0</v>
      </c>
      <c r="JE122" s="3828"/>
      <c r="JF122" s="3828"/>
      <c r="JG122" s="2852"/>
      <c r="JH122" s="1233"/>
      <c r="JI122" s="1393" t="s">
        <v>5756</v>
      </c>
      <c r="JJ122" s="1660" t="s">
        <v>6108</v>
      </c>
    </row>
    <row r="123" spans="1:270" x14ac:dyDescent="0.2">
      <c r="A123" s="1128"/>
    </row>
    <row r="124" spans="1:270" x14ac:dyDescent="0.2">
      <c r="A124" s="1128"/>
    </row>
    <row r="125" spans="1:270" x14ac:dyDescent="0.2">
      <c r="A125" s="1128"/>
    </row>
    <row r="126" spans="1:270" x14ac:dyDescent="0.2">
      <c r="A126" s="1128"/>
    </row>
  </sheetData>
  <phoneticPr fontId="67" type="noConversion"/>
  <dataValidations count="2">
    <dataValidation allowBlank="1" showErrorMessage="1" showInputMessage="1" sqref="JJ31" type="list" xr:uid="{00000000-0002-0000-0D00-000000000000}">
      <formula1>"optional, mandatory"</formula1>
    </dataValidation>
    <dataValidation allowBlank="1" showErrorMessage="1" showInputMessage="1" sqref="JJ32:JJ34 JJ3:JJ30 JJ81:JJ102 JJ106:JJ122 JJ104 JJ37:JJ77" type="list" xr:uid="{00000000-0002-0000-0D00-000001000000}">
      <formula1>allowedTypes</formula1>
    </dataValidation>
  </dataValidations>
  <pageMargins bottom="0.196850393700787" footer="0" header="0" left="0.196850393700787" right="0.196850393700787" top="0.196850393700787"/>
  <pageSetup horizontalDpi="1200" orientation="portrait" paperSize="9" r:id="rId1" verticalDpi="1200"/>
  <headerFooter alignWithMargins="0"/>
  <legacyDrawing r:id="rId2"/>
</worksheet>
</file>

<file path=xl/worksheets/sheet15.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66"/>
  <dimension ref="A1:JK71"/>
  <sheetViews>
    <sheetView showGridLines="0" workbookViewId="0" zoomScaleNormal="100">
      <pane activePane="bottomRight" state="frozen" topLeftCell="IT47" xSplit="4" ySplit="1"/>
      <selection activeCell="JF25" sqref="JF25"/>
      <selection activeCell="JF25" pane="topRight" sqref="JF25"/>
      <selection activeCell="JF25" pane="bottomLeft" sqref="JF25"/>
      <selection activeCell="JC63" pane="bottomRight" sqref="JC63"/>
    </sheetView>
  </sheetViews>
  <sheetFormatPr defaultRowHeight="12.75" x14ac:dyDescent="0.2"/>
  <cols>
    <col min="1" max="1" bestFit="true" customWidth="true" style="1129" width="3.85546875" collapsed="true"/>
    <col min="2" max="2" bestFit="true" customWidth="true" width="9.140625" collapsed="true"/>
    <col min="3" max="3" customWidth="true" width="7.140625" collapsed="true"/>
    <col min="4" max="4" bestFit="true" customWidth="true" width="52.42578125" collapsed="true"/>
    <col min="5" max="5" bestFit="true" customWidth="true" width="7.85546875" collapsed="true"/>
    <col min="6" max="6" bestFit="true" customWidth="true" width="9.0" collapsed="true"/>
    <col min="7" max="7" bestFit="true" customWidth="true" width="8.85546875" collapsed="true"/>
    <col min="8" max="8" bestFit="true" customWidth="true" width="8.0" collapsed="true"/>
    <col min="9" max="10" bestFit="true" customWidth="true" width="9.0" collapsed="true"/>
    <col min="11" max="11" bestFit="true" customWidth="true" width="8.85546875" collapsed="true"/>
    <col min="12" max="12" bestFit="true" customWidth="true" width="8.0" collapsed="true"/>
    <col min="13" max="13" bestFit="true" customWidth="true" width="8.85546875" collapsed="true"/>
    <col min="14" max="14" bestFit="true" customWidth="true" width="9.85546875" collapsed="true"/>
    <col min="15" max="15" customWidth="true" width="9.85546875" collapsed="true"/>
    <col min="16" max="18" customWidth="true" width="8.28515625" collapsed="true"/>
    <col min="19" max="19" bestFit="true" customWidth="true" width="8.85546875" collapsed="true"/>
    <col min="20" max="20" bestFit="true" customWidth="true" width="9.85546875" collapsed="true"/>
    <col min="21" max="21" bestFit="true" customWidth="true" width="8.85546875" collapsed="true"/>
    <col min="22" max="28" customWidth="true" width="8.28515625" collapsed="true"/>
    <col min="29" max="29" bestFit="true" customWidth="true" width="8.85546875" collapsed="true"/>
    <col min="30" max="34" customWidth="true" width="8.85546875" collapsed="true"/>
    <col min="35" max="35" customWidth="true" width="8.28515625" collapsed="true"/>
    <col min="36" max="36" customWidth="true" style="889" width="8.28515625" collapsed="true"/>
    <col min="37" max="49" customWidth="true" width="8.28515625" collapsed="true"/>
    <col min="50" max="50" customWidth="true" width="9.42578125" collapsed="true"/>
    <col min="51" max="53" customWidth="true" width="8.28515625" collapsed="true"/>
    <col min="54" max="54" bestFit="true" customWidth="true" width="8.5703125" collapsed="true"/>
    <col min="55" max="62" customWidth="true" width="8.28515625" collapsed="true"/>
    <col min="63" max="63" bestFit="true" customWidth="true" width="8.85546875" collapsed="true"/>
    <col min="64" max="75" customWidth="true" width="8.28515625" collapsed="true"/>
    <col min="76" max="76" customWidth="true" width="14.140625" collapsed="true"/>
    <col min="77" max="79" customWidth="true" width="8.28515625" collapsed="true"/>
    <col min="80" max="80" customWidth="true" width="12.28515625" collapsed="true"/>
    <col min="81" max="81" customWidth="true" width="12.5703125" collapsed="true"/>
    <col min="82" max="105" customWidth="true" width="8.28515625" collapsed="true"/>
    <col min="106" max="106" bestFit="true" customWidth="true" width="8.85546875" collapsed="true"/>
    <col min="107" max="209" customWidth="true" width="8.28515625" collapsed="true"/>
    <col min="210" max="210" bestFit="true" customWidth="true" width="8.85546875" collapsed="true"/>
    <col min="211" max="211" customWidth="true" width="8.28515625" collapsed="true"/>
    <col min="212" max="212" bestFit="true" customWidth="true" width="8.85546875" collapsed="true"/>
    <col min="213" max="226" customWidth="true" width="8.28515625" collapsed="true"/>
    <col min="227" max="227" bestFit="true" customWidth="true" width="8.85546875" collapsed="true"/>
    <col min="228" max="253" customWidth="true" width="8.28515625" collapsed="true"/>
    <col min="254" max="255" bestFit="true" customWidth="true" width="8.5703125" collapsed="true"/>
    <col min="256" max="258" customWidth="true" width="8.28515625" collapsed="true"/>
    <col min="259" max="259" bestFit="true" customWidth="true" width="8.85546875" collapsed="true"/>
    <col min="260" max="261" customWidth="true" width="8.28515625" collapsed="true"/>
    <col min="262" max="262" customWidth="true" width="11.85546875" collapsed="true"/>
    <col min="263" max="267" customWidth="true" width="8.28515625" collapsed="true"/>
    <col min="268" max="268" customWidth="true" width="2.28515625" collapsed="true"/>
    <col min="269" max="269" bestFit="true" customWidth="true" width="64.85546875" collapsed="true"/>
    <col min="270" max="270" bestFit="true" customWidth="true" style="7" width="28.85546875" collapsed="true"/>
  </cols>
  <sheetData>
    <row r="1" spans="1:270" x14ac:dyDescent="0.2">
      <c r="A1" s="1128" t="s">
        <v>4479</v>
      </c>
      <c r="B1" s="2755" t="str">
        <f>"selected "&amp;PRO_IND-1</f>
        <v>selected 0</v>
      </c>
      <c r="C1" s="1546" t="s">
        <v>3318</v>
      </c>
      <c r="D1" s="1547"/>
      <c r="E1" s="1289">
        <v>1</v>
      </c>
      <c r="F1" s="1289">
        <v>2</v>
      </c>
      <c r="G1" s="1289">
        <v>3</v>
      </c>
      <c r="H1" s="1289">
        <v>4</v>
      </c>
      <c r="I1" s="1289">
        <v>5</v>
      </c>
      <c r="J1" s="1289">
        <v>6</v>
      </c>
      <c r="K1" s="1289">
        <v>7</v>
      </c>
      <c r="L1" s="1289">
        <v>8</v>
      </c>
      <c r="M1" s="1289">
        <v>9</v>
      </c>
      <c r="N1" s="1289">
        <v>10</v>
      </c>
      <c r="O1" s="1289">
        <v>11</v>
      </c>
      <c r="P1" s="1289">
        <v>12</v>
      </c>
      <c r="Q1" s="1289">
        <v>13</v>
      </c>
      <c r="R1" s="1289">
        <v>14</v>
      </c>
      <c r="S1" s="1289">
        <v>15</v>
      </c>
      <c r="T1" s="1289">
        <v>16</v>
      </c>
      <c r="U1" s="1289">
        <v>17</v>
      </c>
      <c r="V1" s="1289">
        <v>18</v>
      </c>
      <c r="W1" s="1289">
        <v>19</v>
      </c>
      <c r="X1" s="1289">
        <v>20</v>
      </c>
      <c r="Y1" s="1289">
        <v>21</v>
      </c>
      <c r="Z1" s="1289">
        <v>22</v>
      </c>
      <c r="AA1" s="1289">
        <v>23</v>
      </c>
      <c r="AB1" s="1289">
        <v>24</v>
      </c>
      <c r="AC1" s="1289">
        <v>25</v>
      </c>
      <c r="AD1" s="3517">
        <v>26</v>
      </c>
      <c r="AE1" s="3517">
        <v>27</v>
      </c>
      <c r="AF1" s="3517">
        <v>28</v>
      </c>
      <c r="AG1" s="3517">
        <v>29</v>
      </c>
      <c r="AH1" s="3517">
        <v>30</v>
      </c>
      <c r="AI1" s="1289">
        <v>31</v>
      </c>
      <c r="AJ1" s="1289">
        <v>32</v>
      </c>
      <c r="AK1" s="1289">
        <v>33</v>
      </c>
      <c r="AL1" s="1289">
        <v>34</v>
      </c>
      <c r="AM1" s="1289">
        <v>35</v>
      </c>
      <c r="AN1" s="1289">
        <v>36</v>
      </c>
      <c r="AO1" s="1289">
        <v>37</v>
      </c>
      <c r="AP1" s="1289">
        <v>38</v>
      </c>
      <c r="AQ1" s="1289">
        <v>39</v>
      </c>
      <c r="AR1" s="1289">
        <v>40</v>
      </c>
      <c r="AS1" s="1289">
        <v>41</v>
      </c>
      <c r="AT1" s="1289">
        <v>42</v>
      </c>
      <c r="AU1" s="1289">
        <v>43</v>
      </c>
      <c r="AV1" s="1289">
        <v>44</v>
      </c>
      <c r="AW1" s="1289">
        <v>45</v>
      </c>
      <c r="AX1" s="1289">
        <v>46</v>
      </c>
      <c r="AY1" s="1289">
        <v>47</v>
      </c>
      <c r="AZ1" s="1289">
        <v>48</v>
      </c>
      <c r="BA1" s="1289">
        <v>49</v>
      </c>
      <c r="BB1" s="1289">
        <v>50</v>
      </c>
      <c r="BC1" s="1289">
        <v>51</v>
      </c>
      <c r="BD1" s="1289">
        <v>52</v>
      </c>
      <c r="BE1" s="1289">
        <v>53</v>
      </c>
      <c r="BF1" s="1289">
        <v>54</v>
      </c>
      <c r="BG1" s="1289">
        <v>55</v>
      </c>
      <c r="BH1" s="1289">
        <v>56</v>
      </c>
      <c r="BI1" s="1289">
        <v>57</v>
      </c>
      <c r="BJ1" s="1289">
        <v>58</v>
      </c>
      <c r="BK1" s="1289">
        <v>59</v>
      </c>
      <c r="BL1" s="1289">
        <v>60</v>
      </c>
      <c r="BM1" s="1289">
        <v>61</v>
      </c>
      <c r="BN1" s="1289">
        <v>62</v>
      </c>
      <c r="BO1" s="1289">
        <v>63</v>
      </c>
      <c r="BP1" s="1289">
        <v>64</v>
      </c>
      <c r="BQ1" s="1289">
        <v>65</v>
      </c>
      <c r="BR1" s="1289">
        <v>66</v>
      </c>
      <c r="BS1" s="1289">
        <v>67</v>
      </c>
      <c r="BT1" s="1289">
        <v>68</v>
      </c>
      <c r="BU1" s="1289">
        <v>69</v>
      </c>
      <c r="BV1" s="1289">
        <v>70</v>
      </c>
      <c r="BW1" s="1289">
        <v>71</v>
      </c>
      <c r="BX1" s="1289">
        <v>72</v>
      </c>
      <c r="BY1" s="1289">
        <v>73</v>
      </c>
      <c r="BZ1" s="1289">
        <v>74</v>
      </c>
      <c r="CA1" s="1289">
        <v>75</v>
      </c>
      <c r="CB1" s="1289">
        <v>76</v>
      </c>
      <c r="CC1" s="1289">
        <v>77</v>
      </c>
      <c r="CD1" s="1289">
        <v>78</v>
      </c>
      <c r="CE1" s="1289">
        <v>79</v>
      </c>
      <c r="CF1" s="1289">
        <v>80</v>
      </c>
      <c r="CG1" s="1289">
        <v>81</v>
      </c>
      <c r="CH1" s="1289">
        <v>82</v>
      </c>
      <c r="CI1" s="1289">
        <v>83</v>
      </c>
      <c r="CJ1" s="1289">
        <v>84</v>
      </c>
      <c r="CK1" s="1289">
        <v>85</v>
      </c>
      <c r="CL1" s="1289">
        <v>86</v>
      </c>
      <c r="CM1" s="1289">
        <v>87</v>
      </c>
      <c r="CN1" s="1289">
        <v>88</v>
      </c>
      <c r="CO1" s="1289">
        <v>89</v>
      </c>
      <c r="CP1" s="1289">
        <v>90</v>
      </c>
      <c r="CQ1" s="1289">
        <v>91</v>
      </c>
      <c r="CR1" s="1289">
        <v>92</v>
      </c>
      <c r="CS1" s="1289">
        <v>93</v>
      </c>
      <c r="CT1" s="1289">
        <v>94</v>
      </c>
      <c r="CU1" s="1289">
        <v>95</v>
      </c>
      <c r="CV1" s="1289">
        <v>96</v>
      </c>
      <c r="CW1" s="1289">
        <v>97</v>
      </c>
      <c r="CX1" s="1289">
        <v>98</v>
      </c>
      <c r="CY1" s="1289">
        <v>99</v>
      </c>
      <c r="CZ1" s="1289">
        <v>100</v>
      </c>
      <c r="DA1" s="1289">
        <v>101</v>
      </c>
      <c r="DB1" s="2026">
        <v>102</v>
      </c>
      <c r="DC1" s="1289">
        <v>103</v>
      </c>
      <c r="DD1" s="1289">
        <v>104</v>
      </c>
      <c r="DE1" s="1289">
        <v>105</v>
      </c>
      <c r="DF1" s="1289">
        <v>106</v>
      </c>
      <c r="DG1" s="1289">
        <v>107</v>
      </c>
      <c r="DH1" s="1289">
        <v>108</v>
      </c>
      <c r="DI1" s="1289">
        <v>109</v>
      </c>
      <c r="DJ1" s="1289">
        <v>110</v>
      </c>
      <c r="DK1" s="1289">
        <v>111</v>
      </c>
      <c r="DL1" s="1289">
        <v>112</v>
      </c>
      <c r="DM1" s="1289">
        <v>113</v>
      </c>
      <c r="DN1" s="1289">
        <v>114</v>
      </c>
      <c r="DO1" s="1289">
        <v>115</v>
      </c>
      <c r="DP1" s="1289">
        <v>116</v>
      </c>
      <c r="DQ1" s="1289">
        <v>117</v>
      </c>
      <c r="DR1" s="1289">
        <v>118</v>
      </c>
      <c r="DS1" s="1289">
        <v>119</v>
      </c>
      <c r="DT1" s="1289">
        <v>120</v>
      </c>
      <c r="DU1" s="1289">
        <v>121</v>
      </c>
      <c r="DV1" s="1289">
        <v>122</v>
      </c>
      <c r="DW1" s="1289">
        <v>123</v>
      </c>
      <c r="DX1" s="1289">
        <v>124</v>
      </c>
      <c r="DY1" s="1289">
        <v>125</v>
      </c>
      <c r="DZ1" s="1289">
        <v>126</v>
      </c>
      <c r="EA1" s="1289">
        <v>127</v>
      </c>
      <c r="EB1" s="1289">
        <v>128</v>
      </c>
      <c r="EC1" s="1289">
        <v>129</v>
      </c>
      <c r="ED1" s="1289">
        <v>130</v>
      </c>
      <c r="EE1" s="1289">
        <v>131</v>
      </c>
      <c r="EF1" s="1289">
        <v>132</v>
      </c>
      <c r="EG1" s="1289">
        <v>133</v>
      </c>
      <c r="EH1" s="1289">
        <v>134</v>
      </c>
      <c r="EI1" s="1289">
        <v>135</v>
      </c>
      <c r="EJ1" s="1289">
        <v>136</v>
      </c>
      <c r="EK1" s="1289">
        <v>137</v>
      </c>
      <c r="EL1" s="1289">
        <v>138</v>
      </c>
      <c r="EM1" s="1289">
        <v>139</v>
      </c>
      <c r="EN1" s="1289">
        <v>140</v>
      </c>
      <c r="EO1" s="1289">
        <v>141</v>
      </c>
      <c r="EP1" s="1289">
        <v>142</v>
      </c>
      <c r="EQ1" s="1289">
        <v>143</v>
      </c>
      <c r="ER1" s="1289">
        <v>144</v>
      </c>
      <c r="ES1" s="1289">
        <v>145</v>
      </c>
      <c r="ET1" s="1289">
        <v>146</v>
      </c>
      <c r="EU1" s="1289">
        <v>147</v>
      </c>
      <c r="EV1" s="1289">
        <v>148</v>
      </c>
      <c r="EW1" s="1289">
        <v>149</v>
      </c>
      <c r="EX1" s="1289">
        <v>150</v>
      </c>
      <c r="EY1" s="1289">
        <v>151</v>
      </c>
      <c r="EZ1" s="1289">
        <v>152</v>
      </c>
      <c r="FA1" s="1289">
        <v>153</v>
      </c>
      <c r="FB1" s="1289">
        <v>154</v>
      </c>
      <c r="FC1" s="1289">
        <v>155</v>
      </c>
      <c r="FD1" s="1289">
        <v>156</v>
      </c>
      <c r="FE1" s="1289">
        <v>157</v>
      </c>
      <c r="FF1" s="1289">
        <v>158</v>
      </c>
      <c r="FG1" s="1289">
        <v>159</v>
      </c>
      <c r="FH1" s="1289">
        <v>160</v>
      </c>
      <c r="FI1" s="1289">
        <v>161</v>
      </c>
      <c r="FJ1" s="1289">
        <v>162</v>
      </c>
      <c r="FK1" s="1289">
        <v>163</v>
      </c>
      <c r="FL1" s="1289">
        <v>164</v>
      </c>
      <c r="FM1" s="1289">
        <v>165</v>
      </c>
      <c r="FN1" s="1289">
        <v>166</v>
      </c>
      <c r="FO1" s="1289">
        <v>167</v>
      </c>
      <c r="FP1" s="1289">
        <v>168</v>
      </c>
      <c r="FQ1" s="1289">
        <v>169</v>
      </c>
      <c r="FR1" s="1289">
        <v>170</v>
      </c>
      <c r="FS1" s="1289">
        <v>171</v>
      </c>
      <c r="FT1" s="1289">
        <v>172</v>
      </c>
      <c r="FU1" s="1289">
        <v>173</v>
      </c>
      <c r="FV1" s="1289">
        <v>174</v>
      </c>
      <c r="FW1" s="1289">
        <v>175</v>
      </c>
      <c r="FX1" s="1289">
        <v>176</v>
      </c>
      <c r="FY1" s="1289">
        <v>177</v>
      </c>
      <c r="FZ1" s="1289">
        <v>178</v>
      </c>
      <c r="GA1" s="1289">
        <v>179</v>
      </c>
      <c r="GB1" s="1289">
        <v>180</v>
      </c>
      <c r="GC1" s="1289">
        <v>181</v>
      </c>
      <c r="GD1" s="1289">
        <v>182</v>
      </c>
      <c r="GE1" s="1289">
        <v>183</v>
      </c>
      <c r="GF1" s="1289">
        <v>184</v>
      </c>
      <c r="GG1" s="1289">
        <v>185</v>
      </c>
      <c r="GH1" s="1289">
        <v>186</v>
      </c>
      <c r="GI1" s="1289">
        <v>187</v>
      </c>
      <c r="GJ1" s="1289">
        <v>188</v>
      </c>
      <c r="GK1" s="1289">
        <v>189</v>
      </c>
      <c r="GL1" s="1289">
        <v>190</v>
      </c>
      <c r="GM1" s="1289">
        <v>191</v>
      </c>
      <c r="GN1" s="1289">
        <v>192</v>
      </c>
      <c r="GO1" s="1289">
        <v>193</v>
      </c>
      <c r="GP1" s="1289">
        <v>194</v>
      </c>
      <c r="GQ1" s="1289">
        <v>195</v>
      </c>
      <c r="GR1" s="1289">
        <v>196</v>
      </c>
      <c r="GS1" s="1289">
        <v>197</v>
      </c>
      <c r="GT1" s="1289">
        <v>198</v>
      </c>
      <c r="GU1" s="1289">
        <v>199</v>
      </c>
      <c r="GV1" s="1289">
        <v>200</v>
      </c>
      <c r="GW1" s="1289">
        <v>201</v>
      </c>
      <c r="GX1" s="1289">
        <v>202</v>
      </c>
      <c r="GY1" s="1289">
        <v>203</v>
      </c>
      <c r="GZ1" s="1289">
        <v>204</v>
      </c>
      <c r="HA1" s="1289">
        <v>205</v>
      </c>
      <c r="HB1" s="1289">
        <v>206</v>
      </c>
      <c r="HC1" s="1289">
        <v>207</v>
      </c>
      <c r="HD1" s="1289">
        <v>208</v>
      </c>
      <c r="HE1" s="1289">
        <v>209</v>
      </c>
      <c r="HF1" s="1289">
        <v>210</v>
      </c>
      <c r="HG1" s="1289">
        <v>211</v>
      </c>
      <c r="HH1" s="1289">
        <v>212</v>
      </c>
      <c r="HI1" s="1289">
        <v>213</v>
      </c>
      <c r="HJ1" s="1289">
        <v>214</v>
      </c>
      <c r="HK1" s="1289">
        <v>215</v>
      </c>
      <c r="HL1" s="1289">
        <v>216</v>
      </c>
      <c r="HM1" s="1289">
        <v>217</v>
      </c>
      <c r="HN1" s="1289">
        <v>218</v>
      </c>
      <c r="HO1" s="1289">
        <v>219</v>
      </c>
      <c r="HP1" s="1289">
        <v>220</v>
      </c>
      <c r="HQ1" s="1289">
        <v>221</v>
      </c>
      <c r="HR1" s="1289">
        <v>222</v>
      </c>
      <c r="HS1" s="1289">
        <v>223</v>
      </c>
      <c r="HT1" s="1289">
        <v>224</v>
      </c>
      <c r="HU1" s="1289">
        <v>225</v>
      </c>
      <c r="HV1" s="1289">
        <v>226</v>
      </c>
      <c r="HW1" s="1289">
        <v>227</v>
      </c>
      <c r="HX1" s="1289">
        <v>228</v>
      </c>
      <c r="HY1" s="1289">
        <v>229</v>
      </c>
      <c r="HZ1" s="1289">
        <v>230</v>
      </c>
      <c r="IA1" s="1289">
        <v>231</v>
      </c>
      <c r="IB1" s="1289">
        <v>232</v>
      </c>
      <c r="IC1" s="1289">
        <v>233</v>
      </c>
      <c r="ID1" s="1289">
        <v>234</v>
      </c>
      <c r="IE1" s="1289">
        <v>235</v>
      </c>
      <c r="IF1" s="1289">
        <v>236</v>
      </c>
      <c r="IG1" s="1289">
        <v>237</v>
      </c>
      <c r="IH1" s="1289">
        <v>238</v>
      </c>
      <c r="II1" s="1289">
        <v>239</v>
      </c>
      <c r="IJ1" s="1289">
        <v>240</v>
      </c>
      <c r="IK1" s="1289">
        <v>241</v>
      </c>
      <c r="IL1" s="1289">
        <v>242</v>
      </c>
      <c r="IM1" s="1289">
        <v>243</v>
      </c>
      <c r="IN1" s="1289">
        <v>244</v>
      </c>
      <c r="IO1" s="1289">
        <v>245</v>
      </c>
      <c r="IP1" s="1289">
        <v>246</v>
      </c>
      <c r="IQ1" s="1289">
        <v>247</v>
      </c>
      <c r="IR1" s="1289">
        <v>248</v>
      </c>
      <c r="IS1" s="1289">
        <v>249</v>
      </c>
      <c r="IT1" s="1289">
        <v>250</v>
      </c>
      <c r="IU1" s="1289">
        <v>251</v>
      </c>
      <c r="IV1" s="1289">
        <v>252</v>
      </c>
      <c r="IW1" s="1289">
        <v>253</v>
      </c>
      <c r="IX1" s="1289">
        <v>254</v>
      </c>
      <c r="IY1" s="1289">
        <v>255</v>
      </c>
      <c r="IZ1" s="1289">
        <v>256</v>
      </c>
      <c r="JA1" s="1289">
        <v>257</v>
      </c>
      <c r="JB1" s="1289">
        <v>258</v>
      </c>
      <c r="JC1" s="1289">
        <v>259</v>
      </c>
      <c r="JD1" s="1289">
        <v>260</v>
      </c>
      <c r="JE1" s="1289">
        <v>261</v>
      </c>
      <c r="JF1" s="1289">
        <v>262</v>
      </c>
      <c r="JG1" s="3900">
        <v>263</v>
      </c>
      <c r="JH1" s="1233"/>
      <c r="JI1" s="1232" t="s">
        <v>5040</v>
      </c>
      <c r="JJ1" s="1685" t="s">
        <v>6104</v>
      </c>
    </row>
    <row r="2" spans="1:270" x14ac:dyDescent="0.2">
      <c r="A2" s="1128">
        <v>2</v>
      </c>
      <c r="B2" s="1534" t="str">
        <f>IF(PRO_IND&gt;1,IF(HLOOKUP(PRO_IND-1,PRO_RANGE,A2)="","",HLOOKUP(PRO_IND-1,PRO_RANGE,A2)),"")</f>
        <v/>
      </c>
      <c r="C2" s="1548" t="s">
        <v>1853</v>
      </c>
      <c r="D2" s="676" t="s">
        <v>5698</v>
      </c>
      <c r="E2" s="2395"/>
      <c r="F2" s="2379">
        <v>1</v>
      </c>
      <c r="G2" s="2395"/>
      <c r="H2" s="2395"/>
      <c r="I2" s="2399"/>
      <c r="J2" s="2399"/>
      <c r="K2" s="2399"/>
      <c r="L2" s="2399"/>
      <c r="M2" s="2379">
        <v>1</v>
      </c>
      <c r="N2" s="2399"/>
      <c r="O2" s="2379">
        <v>1</v>
      </c>
      <c r="P2" s="2399"/>
      <c r="Q2" s="2379">
        <v>1</v>
      </c>
      <c r="R2" s="2399"/>
      <c r="S2" s="2399"/>
      <c r="T2" s="2378"/>
      <c r="U2" s="2379">
        <v>1</v>
      </c>
      <c r="V2" s="2399"/>
      <c r="W2" s="2399"/>
      <c r="X2" s="2399"/>
      <c r="Y2" s="2399"/>
      <c r="Z2" s="2399"/>
      <c r="AA2" s="2379">
        <v>1</v>
      </c>
      <c r="AB2" s="2399"/>
      <c r="AC2" s="2379">
        <v>1</v>
      </c>
      <c r="AD2" s="2379"/>
      <c r="AE2" s="2379"/>
      <c r="AF2" s="2379"/>
      <c r="AG2" s="2379"/>
      <c r="AH2" s="2379"/>
      <c r="AI2" s="2399"/>
      <c r="AJ2" s="2395">
        <v>3</v>
      </c>
      <c r="AK2" s="2399"/>
      <c r="AL2" s="2399"/>
      <c r="AM2" s="2399"/>
      <c r="AN2" s="2399"/>
      <c r="AO2" s="2399"/>
      <c r="AP2" s="2399"/>
      <c r="AQ2" s="2399"/>
      <c r="AR2" s="2379">
        <v>2</v>
      </c>
      <c r="AS2" s="2399"/>
      <c r="AT2" s="2399"/>
      <c r="AU2" s="2399"/>
      <c r="AV2" s="2399"/>
      <c r="AW2" s="2379">
        <v>4</v>
      </c>
      <c r="AX2" s="2399"/>
      <c r="AY2" s="2379">
        <v>4</v>
      </c>
      <c r="AZ2" s="2379">
        <v>4</v>
      </c>
      <c r="BA2" s="2399"/>
      <c r="BB2" s="2399"/>
      <c r="BC2" s="2399"/>
      <c r="BD2" s="2379">
        <v>1</v>
      </c>
      <c r="BE2" s="2378"/>
      <c r="BF2" s="2378"/>
      <c r="BG2" s="2379">
        <v>1</v>
      </c>
      <c r="BH2" s="2378"/>
      <c r="BI2" s="3640"/>
      <c r="BJ2" s="2378"/>
      <c r="BK2" s="3641">
        <v>1</v>
      </c>
      <c r="BL2" s="2378"/>
      <c r="BM2" s="2378"/>
      <c r="BN2" s="2378"/>
      <c r="BO2" s="2378"/>
      <c r="BP2" s="2378"/>
      <c r="BQ2" s="2378"/>
      <c r="BR2" s="2378"/>
      <c r="BS2" s="2378"/>
      <c r="BT2" s="2379">
        <v>1</v>
      </c>
      <c r="BU2" s="2378"/>
      <c r="BV2" s="2379">
        <v>1</v>
      </c>
      <c r="BW2" s="2378"/>
      <c r="BX2" s="2378">
        <v>4</v>
      </c>
      <c r="BY2" s="2378"/>
      <c r="BZ2" s="2378"/>
      <c r="CA2" s="2378"/>
      <c r="CB2" s="2880">
        <v>4</v>
      </c>
      <c r="CC2" s="2379">
        <v>4</v>
      </c>
      <c r="CD2" s="2379">
        <v>1</v>
      </c>
      <c r="CE2" s="2880"/>
      <c r="CF2" s="2880"/>
      <c r="CG2" s="2880"/>
      <c r="CH2" s="2379">
        <v>1</v>
      </c>
      <c r="CI2" s="2378">
        <v>4</v>
      </c>
      <c r="CJ2" s="2880"/>
      <c r="CK2" s="2880"/>
      <c r="CL2" s="2880"/>
      <c r="CM2" s="2880"/>
      <c r="CN2" s="2880"/>
      <c r="CO2" s="2880"/>
      <c r="CP2" s="2880"/>
      <c r="CQ2" s="2378">
        <v>4</v>
      </c>
      <c r="CR2" s="2378">
        <v>6</v>
      </c>
      <c r="CS2" s="2378">
        <v>6</v>
      </c>
      <c r="CT2" s="2379">
        <v>1</v>
      </c>
      <c r="CU2" s="2880"/>
      <c r="CV2" s="2378">
        <v>5</v>
      </c>
      <c r="CW2" s="2880"/>
      <c r="CX2" s="2880"/>
      <c r="CY2" s="2880"/>
      <c r="CZ2" s="2379">
        <v>4</v>
      </c>
      <c r="DA2" s="2379">
        <v>4</v>
      </c>
      <c r="DB2" s="3640">
        <v>1</v>
      </c>
      <c r="DC2" s="2378">
        <v>4</v>
      </c>
      <c r="DD2" s="2880"/>
      <c r="DE2" s="2880"/>
      <c r="DF2" s="2880"/>
      <c r="DG2" s="2880"/>
      <c r="DH2" s="2880"/>
      <c r="DI2" s="2378">
        <v>5</v>
      </c>
      <c r="DJ2" s="2880"/>
      <c r="DK2" s="2880"/>
      <c r="DL2" s="2378">
        <v>5</v>
      </c>
      <c r="DM2" s="2378">
        <v>4</v>
      </c>
      <c r="DN2" s="2880"/>
      <c r="DO2" s="2880"/>
      <c r="DP2" s="2880"/>
      <c r="DQ2" s="2880"/>
      <c r="DR2" s="2379">
        <v>4</v>
      </c>
      <c r="DS2" s="2880"/>
      <c r="DT2" s="2880"/>
      <c r="DU2" s="2880"/>
      <c r="DV2" s="2880"/>
      <c r="DW2" s="2880">
        <v>1</v>
      </c>
      <c r="DX2" s="2880"/>
      <c r="DY2" s="2880"/>
      <c r="DZ2" s="2880"/>
      <c r="EA2" s="2880"/>
      <c r="EB2" s="2880"/>
      <c r="EC2" s="2880"/>
      <c r="ED2" s="2880"/>
      <c r="EE2" s="2880"/>
      <c r="EF2" s="2880"/>
      <c r="EG2" s="2880"/>
      <c r="EH2" s="2880"/>
      <c r="EI2" s="2880"/>
      <c r="EJ2" s="2378">
        <v>3</v>
      </c>
      <c r="EK2" s="2880"/>
      <c r="EL2" s="2880"/>
      <c r="EM2" s="2880"/>
      <c r="EN2" s="2379">
        <v>4</v>
      </c>
      <c r="EO2" s="2880"/>
      <c r="EP2" s="2880"/>
      <c r="EQ2" s="2880"/>
      <c r="ER2" s="2880"/>
      <c r="ES2" s="2880"/>
      <c r="ET2" s="2880"/>
      <c r="EU2" s="2378">
        <v>6</v>
      </c>
      <c r="EV2" s="2880"/>
      <c r="EW2" s="2880"/>
      <c r="EX2" s="2880"/>
      <c r="EY2" s="2880"/>
      <c r="EZ2" s="2880"/>
      <c r="FA2" s="2880"/>
      <c r="FB2" s="2880"/>
      <c r="FC2" s="2880"/>
      <c r="FD2" s="2880"/>
      <c r="FE2" s="2880"/>
      <c r="FF2" s="2379">
        <v>1</v>
      </c>
      <c r="FG2" s="2880"/>
      <c r="FH2" s="2880"/>
      <c r="FI2" s="2880"/>
      <c r="FJ2" s="2880"/>
      <c r="FK2" s="2880"/>
      <c r="FL2" s="2880"/>
      <c r="FM2" s="2880"/>
      <c r="FN2" s="2880"/>
      <c r="FO2" s="2880"/>
      <c r="FP2" s="2880"/>
      <c r="FQ2" s="2880"/>
      <c r="FR2" s="2880"/>
      <c r="FS2" s="2880"/>
      <c r="FT2" s="2379">
        <v>4</v>
      </c>
      <c r="FU2" s="2379">
        <v>4</v>
      </c>
      <c r="FV2" s="2379">
        <v>1</v>
      </c>
      <c r="FW2" s="2880"/>
      <c r="FX2" s="2378">
        <v>6</v>
      </c>
      <c r="FY2" s="2880"/>
      <c r="FZ2" s="2880"/>
      <c r="GA2" s="2880"/>
      <c r="GB2" s="2880"/>
      <c r="GC2" s="2880"/>
      <c r="GD2" s="2880"/>
      <c r="GE2" s="2378">
        <v>3</v>
      </c>
      <c r="GF2" s="2378">
        <v>3</v>
      </c>
      <c r="GG2" s="2378">
        <v>6</v>
      </c>
      <c r="GH2" s="2880"/>
      <c r="GI2" s="2880"/>
      <c r="GJ2" s="2378">
        <v>6</v>
      </c>
      <c r="GK2" s="2880"/>
      <c r="GL2" s="2880"/>
      <c r="GM2" s="2880"/>
      <c r="GN2" s="2880"/>
      <c r="GO2" s="2880"/>
      <c r="GP2" s="2880"/>
      <c r="GQ2" s="2880"/>
      <c r="GR2" s="2880"/>
      <c r="GS2" s="2880"/>
      <c r="GT2" s="2880"/>
      <c r="GU2" s="2880"/>
      <c r="GV2" s="2880"/>
      <c r="GW2" s="2378">
        <v>6</v>
      </c>
      <c r="GX2" s="2378">
        <v>4</v>
      </c>
      <c r="GY2" s="2880"/>
      <c r="GZ2" s="2880"/>
      <c r="HA2" s="2880"/>
      <c r="HB2" s="2378">
        <v>5</v>
      </c>
      <c r="HC2" s="2880"/>
      <c r="HD2" s="2378">
        <v>2</v>
      </c>
      <c r="HE2" s="2880"/>
      <c r="HF2" s="2379">
        <v>1</v>
      </c>
      <c r="HG2" s="2379">
        <v>1</v>
      </c>
      <c r="HH2" s="2880"/>
      <c r="HI2" s="2880"/>
      <c r="HJ2" s="2880"/>
      <c r="HK2" s="2880"/>
      <c r="HL2" s="2880"/>
      <c r="HM2" s="2880"/>
      <c r="HN2" s="2880"/>
      <c r="HO2" s="2880"/>
      <c r="HP2" s="2880"/>
      <c r="HQ2" s="2880"/>
      <c r="HR2" s="2880"/>
      <c r="HS2" s="2379">
        <v>1</v>
      </c>
      <c r="HT2" s="2880"/>
      <c r="HU2" s="2880"/>
      <c r="HV2" s="2880"/>
      <c r="HW2" s="2880"/>
      <c r="HX2" s="2880"/>
      <c r="HY2" s="2880"/>
      <c r="HZ2" s="2880"/>
      <c r="IA2" s="2880"/>
      <c r="IB2" s="2880"/>
      <c r="IC2" s="2880"/>
      <c r="ID2" s="2880"/>
      <c r="IE2" s="2880"/>
      <c r="IF2" s="2880"/>
      <c r="IG2" s="2880"/>
      <c r="IH2" s="2880"/>
      <c r="II2" s="2880"/>
      <c r="IJ2" s="2880"/>
      <c r="IK2" s="2880"/>
      <c r="IL2" s="2880"/>
      <c r="IM2" s="2880"/>
      <c r="IN2" s="2880"/>
      <c r="IO2" s="2378">
        <v>1</v>
      </c>
      <c r="IP2" s="3829">
        <v>1</v>
      </c>
      <c r="IQ2" s="2880"/>
      <c r="IR2" s="2880"/>
      <c r="IS2" s="4007">
        <v>2</v>
      </c>
      <c r="IT2" s="3979">
        <v>87</v>
      </c>
      <c r="IU2" s="3996">
        <v>26</v>
      </c>
      <c r="IV2" s="3996">
        <v>2</v>
      </c>
      <c r="IW2" s="3996">
        <v>1</v>
      </c>
      <c r="IX2" s="3996">
        <v>2</v>
      </c>
      <c r="IY2" s="3979">
        <v>2</v>
      </c>
      <c r="IZ2" s="2880"/>
      <c r="JA2" s="3979">
        <v>5</v>
      </c>
      <c r="JB2" s="3979">
        <v>1</v>
      </c>
      <c r="JC2" s="2880"/>
      <c r="JD2" s="2880"/>
      <c r="JE2" s="2880"/>
      <c r="JF2" s="2880"/>
      <c r="JG2" s="2598"/>
      <c r="JH2" s="1233"/>
      <c r="JI2" s="1232"/>
      <c r="JJ2" s="1686" t="s">
        <v>6107</v>
      </c>
    </row>
    <row r="3" spans="1:270" x14ac:dyDescent="0.2">
      <c r="A3" s="1128">
        <v>3</v>
      </c>
      <c r="B3" s="1534" t="str">
        <f>IF(PRO_IND&gt;1,IF(HLOOKUP(PRO_IND-1,PRO_RANGE,A3)="","",HLOOKUP(PRO_IND-1,PRO_RANGE,A3)),"")</f>
        <v/>
      </c>
      <c r="C3" s="1548" t="s">
        <v>1854</v>
      </c>
      <c r="D3" s="676" t="s">
        <v>5699</v>
      </c>
      <c r="E3" s="2395"/>
      <c r="F3" s="2379"/>
      <c r="G3" s="2395"/>
      <c r="H3" s="2399"/>
      <c r="I3" s="2399"/>
      <c r="J3" s="2399"/>
      <c r="K3" s="2399"/>
      <c r="L3" s="2399"/>
      <c r="M3" s="2379"/>
      <c r="N3" s="2399"/>
      <c r="O3" s="2379"/>
      <c r="P3" s="2399"/>
      <c r="Q3" s="2379"/>
      <c r="R3" s="2399"/>
      <c r="S3" s="2399"/>
      <c r="T3" s="2378"/>
      <c r="U3" s="2379"/>
      <c r="V3" s="2399"/>
      <c r="W3" s="2399"/>
      <c r="X3" s="2399"/>
      <c r="Y3" s="2399"/>
      <c r="Z3" s="2399"/>
      <c r="AA3" s="2379"/>
      <c r="AB3" s="2399"/>
      <c r="AC3" s="2379"/>
      <c r="AD3" s="2379"/>
      <c r="AE3" s="2379"/>
      <c r="AF3" s="2379"/>
      <c r="AG3" s="2379"/>
      <c r="AH3" s="2379"/>
      <c r="AI3" s="2399"/>
      <c r="AJ3" s="2395"/>
      <c r="AK3" s="2399"/>
      <c r="AL3" s="2399"/>
      <c r="AM3" s="2399"/>
      <c r="AN3" s="2399"/>
      <c r="AO3" s="2399"/>
      <c r="AP3" s="2399"/>
      <c r="AQ3" s="2399"/>
      <c r="AR3" s="2378"/>
      <c r="AS3" s="2399"/>
      <c r="AT3" s="2399"/>
      <c r="AU3" s="2399"/>
      <c r="AV3" s="2399"/>
      <c r="AW3" s="2379"/>
      <c r="AX3" s="2399"/>
      <c r="AY3" s="2379"/>
      <c r="AZ3" s="2379"/>
      <c r="BA3" s="2399"/>
      <c r="BB3" s="2399"/>
      <c r="BC3" s="2399"/>
      <c r="BD3" s="2379"/>
      <c r="BE3" s="2378"/>
      <c r="BF3" s="2378"/>
      <c r="BG3" s="2379"/>
      <c r="BH3" s="2378"/>
      <c r="BI3" s="3640"/>
      <c r="BJ3" s="2378"/>
      <c r="BK3" s="3641"/>
      <c r="BL3" s="2378"/>
      <c r="BM3" s="2378"/>
      <c r="BN3" s="2378"/>
      <c r="BO3" s="2378"/>
      <c r="BP3" s="2378"/>
      <c r="BQ3" s="2378"/>
      <c r="BR3" s="2378"/>
      <c r="BS3" s="2378"/>
      <c r="BT3" s="2379"/>
      <c r="BU3" s="2378"/>
      <c r="BV3" s="2379"/>
      <c r="BW3" s="2378"/>
      <c r="BX3" s="2378"/>
      <c r="BY3" s="2378"/>
      <c r="BZ3" s="2378"/>
      <c r="CA3" s="2378"/>
      <c r="CB3" s="2880"/>
      <c r="CC3" s="2379"/>
      <c r="CD3" s="2379"/>
      <c r="CE3" s="2880"/>
      <c r="CF3" s="2880"/>
      <c r="CG3" s="2880"/>
      <c r="CH3" s="2379"/>
      <c r="CI3" s="2378"/>
      <c r="CJ3" s="2880"/>
      <c r="CK3" s="2880"/>
      <c r="CL3" s="2880"/>
      <c r="CM3" s="2880"/>
      <c r="CN3" s="2880"/>
      <c r="CO3" s="2880"/>
      <c r="CP3" s="2880"/>
      <c r="CQ3" s="2378"/>
      <c r="CR3" s="2378"/>
      <c r="CS3" s="2378"/>
      <c r="CT3" s="2379"/>
      <c r="CU3" s="2880"/>
      <c r="CV3" s="2378"/>
      <c r="CW3" s="2880"/>
      <c r="CX3" s="2880"/>
      <c r="CY3" s="2880"/>
      <c r="CZ3" s="2379"/>
      <c r="DA3" s="2379"/>
      <c r="DB3" s="3640"/>
      <c r="DC3" s="2378"/>
      <c r="DD3" s="2880"/>
      <c r="DE3" s="2880"/>
      <c r="DF3" s="2880"/>
      <c r="DG3" s="2880"/>
      <c r="DH3" s="2880"/>
      <c r="DI3" s="2378"/>
      <c r="DJ3" s="2880"/>
      <c r="DK3" s="2880"/>
      <c r="DL3" s="2378"/>
      <c r="DM3" s="2378"/>
      <c r="DN3" s="2880"/>
      <c r="DO3" s="2880"/>
      <c r="DP3" s="2880"/>
      <c r="DQ3" s="2880"/>
      <c r="DR3" s="2379"/>
      <c r="DS3" s="2880"/>
      <c r="DT3" s="2880"/>
      <c r="DU3" s="2880"/>
      <c r="DV3" s="2880"/>
      <c r="DW3" s="2880"/>
      <c r="DX3" s="2880"/>
      <c r="DY3" s="2880"/>
      <c r="DZ3" s="2880"/>
      <c r="EA3" s="2880"/>
      <c r="EB3" s="2880"/>
      <c r="EC3" s="2880"/>
      <c r="ED3" s="2880"/>
      <c r="EE3" s="2880"/>
      <c r="EF3" s="2880"/>
      <c r="EG3" s="2880"/>
      <c r="EH3" s="2880"/>
      <c r="EI3" s="2880"/>
      <c r="EJ3" s="2378"/>
      <c r="EK3" s="2880"/>
      <c r="EL3" s="2880"/>
      <c r="EM3" s="2880"/>
      <c r="EN3" s="2379"/>
      <c r="EO3" s="2880"/>
      <c r="EP3" s="2880"/>
      <c r="EQ3" s="2880"/>
      <c r="ER3" s="2880"/>
      <c r="ES3" s="2880"/>
      <c r="ET3" s="2880"/>
      <c r="EU3" s="2378"/>
      <c r="EV3" s="2880"/>
      <c r="EW3" s="2880"/>
      <c r="EX3" s="2880"/>
      <c r="EY3" s="2880"/>
      <c r="EZ3" s="2880"/>
      <c r="FA3" s="2880"/>
      <c r="FB3" s="2880"/>
      <c r="FC3" s="2880"/>
      <c r="FD3" s="2880"/>
      <c r="FE3" s="2880"/>
      <c r="FF3" s="2379"/>
      <c r="FG3" s="2880"/>
      <c r="FH3" s="2880"/>
      <c r="FI3" s="2880"/>
      <c r="FJ3" s="2880"/>
      <c r="FK3" s="2880"/>
      <c r="FL3" s="2880"/>
      <c r="FM3" s="2880"/>
      <c r="FN3" s="2880"/>
      <c r="FO3" s="2880"/>
      <c r="FP3" s="2880"/>
      <c r="FQ3" s="2880"/>
      <c r="FR3" s="2880"/>
      <c r="FS3" s="2880"/>
      <c r="FT3" s="2379"/>
      <c r="FU3" s="2379"/>
      <c r="FV3" s="2379"/>
      <c r="FW3" s="2880"/>
      <c r="FX3" s="2378"/>
      <c r="FY3" s="2880"/>
      <c r="FZ3" s="2880"/>
      <c r="GA3" s="2880"/>
      <c r="GB3" s="2880"/>
      <c r="GC3" s="2880"/>
      <c r="GD3" s="2880"/>
      <c r="GE3" s="2378"/>
      <c r="GF3" s="2378"/>
      <c r="GG3" s="2378"/>
      <c r="GH3" s="2880"/>
      <c r="GI3" s="2880"/>
      <c r="GJ3" s="2378"/>
      <c r="GK3" s="2880"/>
      <c r="GL3" s="2880"/>
      <c r="GM3" s="2880"/>
      <c r="GN3" s="2880"/>
      <c r="GO3" s="2880"/>
      <c r="GP3" s="2880"/>
      <c r="GQ3" s="2880"/>
      <c r="GR3" s="2880"/>
      <c r="GS3" s="2880"/>
      <c r="GT3" s="2880"/>
      <c r="GU3" s="2880"/>
      <c r="GV3" s="2880"/>
      <c r="GW3" s="2378"/>
      <c r="GX3" s="2378"/>
      <c r="GY3" s="2880"/>
      <c r="GZ3" s="2880"/>
      <c r="HA3" s="2880"/>
      <c r="HB3" s="2378"/>
      <c r="HC3" s="2880"/>
      <c r="HD3" s="2378"/>
      <c r="HE3" s="2880"/>
      <c r="HF3" s="2379"/>
      <c r="HG3" s="2379"/>
      <c r="HH3" s="2880"/>
      <c r="HI3" s="2880"/>
      <c r="HJ3" s="2880"/>
      <c r="HK3" s="2880"/>
      <c r="HL3" s="2880"/>
      <c r="HM3" s="2880"/>
      <c r="HN3" s="2880"/>
      <c r="HO3" s="2880"/>
      <c r="HP3" s="2880"/>
      <c r="HQ3" s="2880"/>
      <c r="HR3" s="2880"/>
      <c r="HS3" s="2379"/>
      <c r="HT3" s="2880"/>
      <c r="HU3" s="2880"/>
      <c r="HV3" s="2880"/>
      <c r="HW3" s="2880"/>
      <c r="HX3" s="2880"/>
      <c r="HY3" s="2880"/>
      <c r="HZ3" s="2880"/>
      <c r="IA3" s="2880"/>
      <c r="IB3" s="2880"/>
      <c r="IC3" s="2880"/>
      <c r="ID3" s="2880"/>
      <c r="IE3" s="2880"/>
      <c r="IF3" s="2880"/>
      <c r="IG3" s="2880"/>
      <c r="IH3" s="2880"/>
      <c r="II3" s="2880"/>
      <c r="IJ3" s="2880"/>
      <c r="IK3" s="2880"/>
      <c r="IL3" s="2880"/>
      <c r="IM3" s="2880"/>
      <c r="IN3" s="2880"/>
      <c r="IO3" s="2378"/>
      <c r="IP3" s="2815"/>
      <c r="IQ3" s="2880"/>
      <c r="IR3" s="2880"/>
      <c r="IS3" s="4007"/>
      <c r="IT3" s="3979"/>
      <c r="IU3" s="3996"/>
      <c r="IV3" s="3996"/>
      <c r="IW3" s="3996"/>
      <c r="IX3" s="3996"/>
      <c r="IY3" s="3996"/>
      <c r="IZ3" s="2880"/>
      <c r="JA3" s="3979"/>
      <c r="JB3" s="3979"/>
      <c r="JC3" s="2880"/>
      <c r="JD3" s="2880"/>
      <c r="JE3" s="2880"/>
      <c r="JF3" s="2880"/>
      <c r="JG3" s="2598"/>
      <c r="JH3" s="1233"/>
      <c r="JI3" s="1393"/>
      <c r="JJ3" s="1686" t="s">
        <v>6111</v>
      </c>
    </row>
    <row r="4" spans="1:270" x14ac:dyDescent="0.2">
      <c r="A4" s="1128">
        <v>4</v>
      </c>
      <c r="B4" s="1534" t="str">
        <f>IF(PRO_IND&gt;1,IF(HLOOKUP(PRO_IND-1,PRO_RANGE,A4)="","",HLOOKUP(PRO_IND-1,PRO_RANGE,A4)),"")</f>
        <v/>
      </c>
      <c r="C4" s="1548" t="s">
        <v>1855</v>
      </c>
      <c r="D4" s="676" t="s">
        <v>5700</v>
      </c>
      <c r="E4" s="2395"/>
      <c r="F4" s="2379"/>
      <c r="G4" s="2395"/>
      <c r="H4" s="2399"/>
      <c r="I4" s="2399"/>
      <c r="J4" s="2399"/>
      <c r="K4" s="2399"/>
      <c r="L4" s="2399"/>
      <c r="M4" s="2379"/>
      <c r="N4" s="2399"/>
      <c r="O4" s="2379"/>
      <c r="P4" s="2399"/>
      <c r="Q4" s="2379"/>
      <c r="R4" s="2399"/>
      <c r="S4" s="2399"/>
      <c r="T4" s="2378"/>
      <c r="U4" s="2379"/>
      <c r="V4" s="2399"/>
      <c r="W4" s="2399"/>
      <c r="X4" s="2399"/>
      <c r="Y4" s="2399"/>
      <c r="Z4" s="2399"/>
      <c r="AA4" s="2379"/>
      <c r="AB4" s="2399"/>
      <c r="AC4" s="2379"/>
      <c r="AD4" s="2379"/>
      <c r="AE4" s="2379"/>
      <c r="AF4" s="2379"/>
      <c r="AG4" s="2379"/>
      <c r="AH4" s="2379"/>
      <c r="AI4" s="2399"/>
      <c r="AJ4" s="2395" t="s">
        <v>572</v>
      </c>
      <c r="AK4" s="2399"/>
      <c r="AL4" s="2399"/>
      <c r="AM4" s="2399"/>
      <c r="AN4" s="2399"/>
      <c r="AO4" s="2399"/>
      <c r="AP4" s="2399"/>
      <c r="AQ4" s="2399"/>
      <c r="AR4" s="2378"/>
      <c r="AS4" s="2399"/>
      <c r="AT4" s="2399"/>
      <c r="AU4" s="2399"/>
      <c r="AV4" s="2399"/>
      <c r="AW4" s="2379"/>
      <c r="AX4" s="2399"/>
      <c r="AY4" s="2379"/>
      <c r="AZ4" s="2379"/>
      <c r="BA4" s="2399"/>
      <c r="BB4" s="2399"/>
      <c r="BC4" s="2399"/>
      <c r="BD4" s="2379"/>
      <c r="BE4" s="2378"/>
      <c r="BF4" s="2378"/>
      <c r="BG4" s="2379"/>
      <c r="BH4" s="2378"/>
      <c r="BI4" s="3640"/>
      <c r="BJ4" s="2378"/>
      <c r="BK4" s="3641"/>
      <c r="BL4" s="2378"/>
      <c r="BM4" s="2378"/>
      <c r="BN4" s="2378"/>
      <c r="BO4" s="2378"/>
      <c r="BP4" s="2378"/>
      <c r="BQ4" s="2378"/>
      <c r="BR4" s="2378"/>
      <c r="BS4" s="2378"/>
      <c r="BT4" s="2379"/>
      <c r="BU4" s="2378"/>
      <c r="BV4" s="2379"/>
      <c r="BW4" s="2378"/>
      <c r="BX4" s="2378"/>
      <c r="BY4" s="2378"/>
      <c r="BZ4" s="2378"/>
      <c r="CA4" s="2378"/>
      <c r="CB4" s="2880"/>
      <c r="CC4" s="2379"/>
      <c r="CD4" s="2379"/>
      <c r="CE4" s="2880"/>
      <c r="CF4" s="2880"/>
      <c r="CG4" s="2880"/>
      <c r="CH4" s="2379"/>
      <c r="CI4" s="2378"/>
      <c r="CJ4" s="2880"/>
      <c r="CK4" s="2880"/>
      <c r="CL4" s="2880"/>
      <c r="CM4" s="2880"/>
      <c r="CN4" s="2880"/>
      <c r="CO4" s="2880"/>
      <c r="CP4" s="2880"/>
      <c r="CQ4" s="2378"/>
      <c r="CR4" s="2378"/>
      <c r="CS4" s="2378"/>
      <c r="CT4" s="2379" t="s">
        <v>572</v>
      </c>
      <c r="CU4" s="2880"/>
      <c r="CV4" s="2378"/>
      <c r="CW4" s="2880"/>
      <c r="CX4" s="2880"/>
      <c r="CY4" s="2880"/>
      <c r="CZ4" s="2379"/>
      <c r="DA4" s="2379"/>
      <c r="DB4" s="3640"/>
      <c r="DC4" s="2378"/>
      <c r="DD4" s="2880"/>
      <c r="DE4" s="2880"/>
      <c r="DF4" s="2880"/>
      <c r="DG4" s="2880"/>
      <c r="DH4" s="2880"/>
      <c r="DI4" s="2378"/>
      <c r="DJ4" s="2880"/>
      <c r="DK4" s="2880"/>
      <c r="DL4" s="2378"/>
      <c r="DM4" s="2378"/>
      <c r="DN4" s="2880"/>
      <c r="DO4" s="2880"/>
      <c r="DP4" s="2880"/>
      <c r="DQ4" s="2880"/>
      <c r="DR4" s="2379"/>
      <c r="DS4" s="2880"/>
      <c r="DT4" s="2880"/>
      <c r="DU4" s="2880"/>
      <c r="DV4" s="2880"/>
      <c r="DW4" s="2880"/>
      <c r="DX4" s="2880"/>
      <c r="DY4" s="2880"/>
      <c r="DZ4" s="2880"/>
      <c r="EA4" s="2880"/>
      <c r="EB4" s="2880"/>
      <c r="EC4" s="2880"/>
      <c r="ED4" s="2880"/>
      <c r="EE4" s="2880"/>
      <c r="EF4" s="2880"/>
      <c r="EG4" s="2880"/>
      <c r="EH4" s="2880"/>
      <c r="EI4" s="2880"/>
      <c r="EJ4" s="2378"/>
      <c r="EK4" s="2880"/>
      <c r="EL4" s="2880"/>
      <c r="EM4" s="2880"/>
      <c r="EN4" s="2379"/>
      <c r="EO4" s="2880"/>
      <c r="EP4" s="2880"/>
      <c r="EQ4" s="2880"/>
      <c r="ER4" s="2880"/>
      <c r="ES4" s="2880"/>
      <c r="ET4" s="2880"/>
      <c r="EU4" s="2378"/>
      <c r="EV4" s="2880"/>
      <c r="EW4" s="2880"/>
      <c r="EX4" s="2880"/>
      <c r="EY4" s="2880"/>
      <c r="EZ4" s="2880"/>
      <c r="FA4" s="2880"/>
      <c r="FB4" s="2880"/>
      <c r="FC4" s="2880"/>
      <c r="FD4" s="2880"/>
      <c r="FE4" s="2880"/>
      <c r="FF4" s="2379"/>
      <c r="FG4" s="2880"/>
      <c r="FH4" s="2880"/>
      <c r="FI4" s="2880"/>
      <c r="FJ4" s="2880"/>
      <c r="FK4" s="2880"/>
      <c r="FL4" s="2880"/>
      <c r="FM4" s="2880"/>
      <c r="FN4" s="2880"/>
      <c r="FO4" s="2880"/>
      <c r="FP4" s="2880"/>
      <c r="FQ4" s="2880"/>
      <c r="FR4" s="2880"/>
      <c r="FS4" s="2880"/>
      <c r="FT4" s="2379"/>
      <c r="FU4" s="2379"/>
      <c r="FV4" s="2379" t="s">
        <v>572</v>
      </c>
      <c r="FW4" s="2880"/>
      <c r="FX4" s="2378"/>
      <c r="FY4" s="2880"/>
      <c r="FZ4" s="2880"/>
      <c r="GA4" s="2880"/>
      <c r="GB4" s="2880"/>
      <c r="GC4" s="2880"/>
      <c r="GD4" s="2880"/>
      <c r="GE4" s="2378"/>
      <c r="GF4" s="2378"/>
      <c r="GG4" s="2378"/>
      <c r="GH4" s="2880"/>
      <c r="GI4" s="2880"/>
      <c r="GJ4" s="2378"/>
      <c r="GK4" s="2880"/>
      <c r="GL4" s="2880"/>
      <c r="GM4" s="2880"/>
      <c r="GN4" s="2880"/>
      <c r="GO4" s="2880"/>
      <c r="GP4" s="2880"/>
      <c r="GQ4" s="2880"/>
      <c r="GR4" s="2880"/>
      <c r="GS4" s="2880"/>
      <c r="GT4" s="2880"/>
      <c r="GU4" s="2880"/>
      <c r="GV4" s="2880"/>
      <c r="GW4" s="2378"/>
      <c r="GX4" s="2378"/>
      <c r="GY4" s="2880"/>
      <c r="GZ4" s="2880"/>
      <c r="HA4" s="2880"/>
      <c r="HB4" s="2378"/>
      <c r="HC4" s="2880"/>
      <c r="HD4" s="2378"/>
      <c r="HE4" s="2880"/>
      <c r="HF4" s="2379"/>
      <c r="HG4" s="2379"/>
      <c r="HH4" s="2880"/>
      <c r="HI4" s="2880"/>
      <c r="HJ4" s="2880"/>
      <c r="HK4" s="2880"/>
      <c r="HL4" s="2880"/>
      <c r="HM4" s="2880"/>
      <c r="HN4" s="2880"/>
      <c r="HO4" s="2880"/>
      <c r="HP4" s="2880"/>
      <c r="HQ4" s="2880"/>
      <c r="HR4" s="2880"/>
      <c r="HS4" s="2379" t="s">
        <v>572</v>
      </c>
      <c r="HT4" s="2880"/>
      <c r="HU4" s="2880"/>
      <c r="HV4" s="2880"/>
      <c r="HW4" s="2880"/>
      <c r="HX4" s="2880"/>
      <c r="HY4" s="2880"/>
      <c r="HZ4" s="2880"/>
      <c r="IA4" s="2880"/>
      <c r="IB4" s="2880"/>
      <c r="IC4" s="2880"/>
      <c r="ID4" s="2880"/>
      <c r="IE4" s="2880"/>
      <c r="IF4" s="2880"/>
      <c r="IG4" s="2880"/>
      <c r="IH4" s="2880"/>
      <c r="II4" s="2880"/>
      <c r="IJ4" s="2880"/>
      <c r="IK4" s="2880"/>
      <c r="IL4" s="2880"/>
      <c r="IM4" s="2880"/>
      <c r="IN4" s="2880"/>
      <c r="IO4" s="2378"/>
      <c r="IP4" s="3829" t="s">
        <v>572</v>
      </c>
      <c r="IQ4" s="2880"/>
      <c r="IR4" s="2880"/>
      <c r="IS4" s="4007"/>
      <c r="IT4" s="3979" t="s">
        <v>572</v>
      </c>
      <c r="IU4" s="3996"/>
      <c r="IV4" s="3996"/>
      <c r="IW4" s="3979" t="s">
        <v>572</v>
      </c>
      <c r="IX4" s="3979" t="s">
        <v>572</v>
      </c>
      <c r="IY4" s="3979" t="s">
        <v>572</v>
      </c>
      <c r="IZ4" s="2880"/>
      <c r="JA4" s="3979" t="s">
        <v>572</v>
      </c>
      <c r="JB4" s="3979" t="s">
        <v>572</v>
      </c>
      <c r="JC4" s="2880"/>
      <c r="JD4" s="2880"/>
      <c r="JE4" s="2880"/>
      <c r="JF4" s="2880"/>
      <c r="JG4" s="2598"/>
      <c r="JH4" s="1233"/>
      <c r="JI4" s="1393"/>
      <c r="JJ4" s="1686" t="s">
        <v>6111</v>
      </c>
    </row>
    <row r="5" spans="1:270" x14ac:dyDescent="0.2">
      <c r="A5" s="1128">
        <v>5</v>
      </c>
      <c r="B5" s="1534" t="str">
        <f>IF(PRO_IND&gt;1,IF(HLOOKUP(PRO_IND-1,PRO_RANGE,A5)="","",HLOOKUP(PRO_IND-1,PRO_RANGE,A5)),"")</f>
        <v/>
      </c>
      <c r="C5" s="1548" t="s">
        <v>1079</v>
      </c>
      <c r="D5" s="676" t="s">
        <v>5701</v>
      </c>
      <c r="E5" s="2599"/>
      <c r="F5" s="2474"/>
      <c r="G5" s="2599"/>
      <c r="H5" s="2599"/>
      <c r="I5" s="2599"/>
      <c r="J5" s="2599"/>
      <c r="K5" s="2599"/>
      <c r="L5" s="2599"/>
      <c r="M5" s="2474"/>
      <c r="N5" s="2599"/>
      <c r="O5" s="2474"/>
      <c r="P5" s="2599"/>
      <c r="Q5" s="2474"/>
      <c r="R5" s="2599"/>
      <c r="S5" s="2599"/>
      <c r="T5" s="2474"/>
      <c r="U5" s="2474"/>
      <c r="V5" s="2599"/>
      <c r="W5" s="2599"/>
      <c r="X5" s="2599"/>
      <c r="Y5" s="2599"/>
      <c r="Z5" s="2599"/>
      <c r="AA5" s="2474"/>
      <c r="AB5" s="2599"/>
      <c r="AC5" s="2474"/>
      <c r="AD5" s="2474"/>
      <c r="AE5" s="2474"/>
      <c r="AF5" s="2474"/>
      <c r="AG5" s="2474"/>
      <c r="AH5" s="2474"/>
      <c r="AI5" s="2599"/>
      <c r="AJ5" s="2395"/>
      <c r="AK5" s="2599"/>
      <c r="AL5" s="2599"/>
      <c r="AM5" s="2599"/>
      <c r="AN5" s="2599"/>
      <c r="AO5" s="2599"/>
      <c r="AP5" s="2599"/>
      <c r="AQ5" s="2599"/>
      <c r="AR5" s="2474"/>
      <c r="AS5" s="2599"/>
      <c r="AT5" s="2599"/>
      <c r="AU5" s="2599"/>
      <c r="AV5" s="2599"/>
      <c r="AW5" s="2474"/>
      <c r="AX5" s="2599"/>
      <c r="AY5" s="2474"/>
      <c r="AZ5" s="2474"/>
      <c r="BA5" s="2599"/>
      <c r="BB5" s="2599"/>
      <c r="BC5" s="2599"/>
      <c r="BD5" s="2474"/>
      <c r="BE5" s="2474"/>
      <c r="BF5" s="2474"/>
      <c r="BG5" s="2474"/>
      <c r="BH5" s="2474"/>
      <c r="BI5" s="3729"/>
      <c r="BJ5" s="2474"/>
      <c r="BK5" s="3729"/>
      <c r="BL5" s="2474"/>
      <c r="BM5" s="2474"/>
      <c r="BN5" s="2474"/>
      <c r="BO5" s="2474"/>
      <c r="BP5" s="2474"/>
      <c r="BQ5" s="2474"/>
      <c r="BR5" s="2474"/>
      <c r="BS5" s="2474"/>
      <c r="BT5" s="2474"/>
      <c r="BU5" s="2474"/>
      <c r="BV5" s="2474"/>
      <c r="BW5" s="2474"/>
      <c r="BX5" s="2474"/>
      <c r="BY5" s="2474"/>
      <c r="BZ5" s="2474"/>
      <c r="CA5" s="2474"/>
      <c r="CB5" s="2842"/>
      <c r="CC5" s="2474"/>
      <c r="CD5" s="2474"/>
      <c r="CE5" s="2842"/>
      <c r="CF5" s="2842"/>
      <c r="CG5" s="2842"/>
      <c r="CH5" s="2474"/>
      <c r="CI5" s="2474"/>
      <c r="CJ5" s="2842"/>
      <c r="CK5" s="2842"/>
      <c r="CL5" s="2842"/>
      <c r="CM5" s="2842"/>
      <c r="CN5" s="2842"/>
      <c r="CO5" s="2842"/>
      <c r="CP5" s="2842"/>
      <c r="CQ5" s="2474"/>
      <c r="CR5" s="2474"/>
      <c r="CS5" s="2474"/>
      <c r="CT5" s="2474"/>
      <c r="CU5" s="2842"/>
      <c r="CV5" s="2474"/>
      <c r="CW5" s="2842"/>
      <c r="CX5" s="2842"/>
      <c r="CY5" s="2842"/>
      <c r="CZ5" s="2474"/>
      <c r="DA5" s="2474"/>
      <c r="DB5" s="3729"/>
      <c r="DC5" s="2474"/>
      <c r="DD5" s="2842"/>
      <c r="DE5" s="2842"/>
      <c r="DF5" s="2842"/>
      <c r="DG5" s="2842"/>
      <c r="DH5" s="2842"/>
      <c r="DI5" s="2474"/>
      <c r="DJ5" s="2842"/>
      <c r="DK5" s="2842"/>
      <c r="DL5" s="2474"/>
      <c r="DM5" s="2474"/>
      <c r="DN5" s="2842"/>
      <c r="DO5" s="2842"/>
      <c r="DP5" s="2842"/>
      <c r="DQ5" s="2842"/>
      <c r="DR5" s="2474"/>
      <c r="DS5" s="2842"/>
      <c r="DT5" s="2842"/>
      <c r="DU5" s="2842"/>
      <c r="DV5" s="2842"/>
      <c r="DW5" s="2842"/>
      <c r="DX5" s="2842"/>
      <c r="DY5" s="2842"/>
      <c r="DZ5" s="2842"/>
      <c r="EA5" s="2842"/>
      <c r="EB5" s="2842"/>
      <c r="EC5" s="2842"/>
      <c r="ED5" s="2842"/>
      <c r="EE5" s="2842"/>
      <c r="EF5" s="2842"/>
      <c r="EG5" s="2842"/>
      <c r="EH5" s="2842"/>
      <c r="EI5" s="2842"/>
      <c r="EJ5" s="2474"/>
      <c r="EK5" s="2842"/>
      <c r="EL5" s="2842"/>
      <c r="EM5" s="2842"/>
      <c r="EN5" s="2474"/>
      <c r="EO5" s="2842"/>
      <c r="EP5" s="2842"/>
      <c r="EQ5" s="2842"/>
      <c r="ER5" s="2842"/>
      <c r="ES5" s="2842"/>
      <c r="ET5" s="2842"/>
      <c r="EU5" s="2474"/>
      <c r="EV5" s="2842"/>
      <c r="EW5" s="2842"/>
      <c r="EX5" s="2842"/>
      <c r="EY5" s="2842"/>
      <c r="EZ5" s="2842"/>
      <c r="FA5" s="2842"/>
      <c r="FB5" s="2842"/>
      <c r="FC5" s="2842"/>
      <c r="FD5" s="2842"/>
      <c r="FE5" s="2842"/>
      <c r="FF5" s="2474"/>
      <c r="FG5" s="2842"/>
      <c r="FH5" s="2842"/>
      <c r="FI5" s="2842"/>
      <c r="FJ5" s="2842"/>
      <c r="FK5" s="2842"/>
      <c r="FL5" s="2842"/>
      <c r="FM5" s="2842"/>
      <c r="FN5" s="2842"/>
      <c r="FO5" s="2842"/>
      <c r="FP5" s="2842"/>
      <c r="FQ5" s="2842"/>
      <c r="FR5" s="2842"/>
      <c r="FS5" s="2842"/>
      <c r="FT5" s="2474"/>
      <c r="FU5" s="2474"/>
      <c r="FV5" s="2474"/>
      <c r="FW5" s="2842"/>
      <c r="FX5" s="2474"/>
      <c r="FY5" s="2842"/>
      <c r="FZ5" s="2842"/>
      <c r="GA5" s="2842"/>
      <c r="GB5" s="2842"/>
      <c r="GC5" s="2842"/>
      <c r="GD5" s="2842"/>
      <c r="GE5" s="2474"/>
      <c r="GF5" s="2474"/>
      <c r="GG5" s="2474"/>
      <c r="GH5" s="2842"/>
      <c r="GI5" s="2842"/>
      <c r="GJ5" s="2474"/>
      <c r="GK5" s="2842"/>
      <c r="GL5" s="2842"/>
      <c r="GM5" s="2842"/>
      <c r="GN5" s="2842"/>
      <c r="GO5" s="2842"/>
      <c r="GP5" s="2842"/>
      <c r="GQ5" s="2842"/>
      <c r="GR5" s="2842"/>
      <c r="GS5" s="2842"/>
      <c r="GT5" s="2842"/>
      <c r="GU5" s="2842"/>
      <c r="GV5" s="2842"/>
      <c r="GW5" s="2474"/>
      <c r="GX5" s="2474"/>
      <c r="GY5" s="2842"/>
      <c r="GZ5" s="2842"/>
      <c r="HA5" s="2842"/>
      <c r="HB5" s="2474"/>
      <c r="HC5" s="2842"/>
      <c r="HD5" s="2474"/>
      <c r="HE5" s="2842"/>
      <c r="HF5" s="2474"/>
      <c r="HG5" s="2474"/>
      <c r="HH5" s="2842"/>
      <c r="HI5" s="2842"/>
      <c r="HJ5" s="2842"/>
      <c r="HK5" s="2842"/>
      <c r="HL5" s="2842"/>
      <c r="HM5" s="2842"/>
      <c r="HN5" s="2842"/>
      <c r="HO5" s="2842"/>
      <c r="HP5" s="2842"/>
      <c r="HQ5" s="2842"/>
      <c r="HR5" s="2842"/>
      <c r="HS5" s="2474"/>
      <c r="HT5" s="2842"/>
      <c r="HU5" s="2842"/>
      <c r="HV5" s="2842"/>
      <c r="HW5" s="2842"/>
      <c r="HX5" s="2842"/>
      <c r="HY5" s="2842"/>
      <c r="HZ5" s="2842"/>
      <c r="IA5" s="2842"/>
      <c r="IB5" s="2842"/>
      <c r="IC5" s="2842"/>
      <c r="ID5" s="2842"/>
      <c r="IE5" s="2842"/>
      <c r="IF5" s="2842"/>
      <c r="IG5" s="2842"/>
      <c r="IH5" s="2842"/>
      <c r="II5" s="2842"/>
      <c r="IJ5" s="2842"/>
      <c r="IK5" s="2842"/>
      <c r="IL5" s="2842"/>
      <c r="IM5" s="2842"/>
      <c r="IN5" s="2842"/>
      <c r="IO5" s="2474"/>
      <c r="IP5" s="2842"/>
      <c r="IQ5" s="2842"/>
      <c r="IR5" s="2842"/>
      <c r="IS5" s="4008"/>
      <c r="IT5" s="3997"/>
      <c r="IU5" s="3997"/>
      <c r="IV5" s="3997"/>
      <c r="IW5" s="3997"/>
      <c r="IX5" s="3997"/>
      <c r="IY5" s="3997"/>
      <c r="IZ5" s="2842"/>
      <c r="JA5" s="3997"/>
      <c r="JB5" s="3997"/>
      <c r="JC5" s="2842"/>
      <c r="JD5" s="2842"/>
      <c r="JE5" s="2842"/>
      <c r="JF5" s="2842"/>
      <c r="JG5" s="2600"/>
      <c r="JH5" s="1233"/>
      <c r="JI5" s="1393"/>
      <c r="JJ5" s="1686" t="s">
        <v>6111</v>
      </c>
    </row>
    <row r="6" spans="1:270" x14ac:dyDescent="0.2">
      <c r="A6" s="1128">
        <v>6</v>
      </c>
      <c r="B6" s="1534" t="str">
        <f>IF(PRO_IND&gt;1,IF(HLOOKUP(PRO_IND-1,PRO_RANGE,A6)="","",HLOOKUP(PRO_IND-1,PRO_RANGE,A6)),"")</f>
        <v/>
      </c>
      <c r="C6" s="1728" t="s">
        <v>1080</v>
      </c>
      <c r="D6" s="1727" t="s">
        <v>5702</v>
      </c>
      <c r="E6" s="2511"/>
      <c r="F6" s="2472"/>
      <c r="G6" s="2511"/>
      <c r="H6" s="2511"/>
      <c r="I6" s="2511"/>
      <c r="J6" s="2511"/>
      <c r="K6" s="2511"/>
      <c r="L6" s="2511"/>
      <c r="M6" s="2472"/>
      <c r="N6" s="2511"/>
      <c r="O6" s="2472"/>
      <c r="P6" s="2511"/>
      <c r="Q6" s="2472"/>
      <c r="R6" s="2511"/>
      <c r="S6" s="2511"/>
      <c r="T6" s="2472"/>
      <c r="U6" s="2472"/>
      <c r="V6" s="2511"/>
      <c r="W6" s="2511"/>
      <c r="X6" s="2511"/>
      <c r="Y6" s="2511"/>
      <c r="Z6" s="2511"/>
      <c r="AA6" s="2472"/>
      <c r="AB6" s="2511"/>
      <c r="AC6" s="2472"/>
      <c r="AD6" s="2472"/>
      <c r="AE6" s="2472"/>
      <c r="AF6" s="2472"/>
      <c r="AG6" s="2472"/>
      <c r="AH6" s="2472"/>
      <c r="AI6" s="2511"/>
      <c r="AJ6" s="2930"/>
      <c r="AK6" s="2511"/>
      <c r="AL6" s="2511"/>
      <c r="AM6" s="2511"/>
      <c r="AN6" s="2511"/>
      <c r="AO6" s="2511"/>
      <c r="AP6" s="2511"/>
      <c r="AQ6" s="2511"/>
      <c r="AR6" s="2472">
        <v>3500</v>
      </c>
      <c r="AS6" s="2511"/>
      <c r="AT6" s="2511"/>
      <c r="AU6" s="2511"/>
      <c r="AV6" s="2511"/>
      <c r="AW6" s="2472"/>
      <c r="AX6" s="2511"/>
      <c r="AY6" s="2472"/>
      <c r="AZ6" s="2472"/>
      <c r="BA6" s="2511"/>
      <c r="BB6" s="2511"/>
      <c r="BC6" s="2511"/>
      <c r="BD6" s="2472"/>
      <c r="BE6" s="2472"/>
      <c r="BF6" s="2472"/>
      <c r="BG6" s="2472"/>
      <c r="BH6" s="2472"/>
      <c r="BI6" s="3728"/>
      <c r="BJ6" s="2472"/>
      <c r="BK6" s="3728"/>
      <c r="BL6" s="2472"/>
      <c r="BM6" s="2472"/>
      <c r="BN6" s="2472"/>
      <c r="BO6" s="2472"/>
      <c r="BP6" s="2472"/>
      <c r="BQ6" s="2472"/>
      <c r="BR6" s="2472"/>
      <c r="BS6" s="2472"/>
      <c r="BT6" s="2472"/>
      <c r="BU6" s="2472"/>
      <c r="BV6" s="2472"/>
      <c r="BW6" s="2472"/>
      <c r="BX6" s="2472">
        <v>16254</v>
      </c>
      <c r="BY6" s="2472"/>
      <c r="BZ6" s="2472"/>
      <c r="CA6" s="2472"/>
      <c r="CB6" s="3728">
        <v>16254</v>
      </c>
      <c r="CC6" s="2472"/>
      <c r="CD6" s="2472"/>
      <c r="CE6" s="2841"/>
      <c r="CF6" s="2841"/>
      <c r="CG6" s="2841"/>
      <c r="CH6" s="2472"/>
      <c r="CI6" s="2472">
        <v>16254</v>
      </c>
      <c r="CJ6" s="2841"/>
      <c r="CK6" s="2841"/>
      <c r="CL6" s="2841"/>
      <c r="CM6" s="2841"/>
      <c r="CN6" s="2841"/>
      <c r="CO6" s="2841"/>
      <c r="CP6" s="2841"/>
      <c r="CQ6" s="2472">
        <v>16254</v>
      </c>
      <c r="CR6" s="2472"/>
      <c r="CS6" s="2472"/>
      <c r="CT6" s="2472">
        <v>10800</v>
      </c>
      <c r="CU6" s="2841"/>
      <c r="CV6" s="2511">
        <v>38247</v>
      </c>
      <c r="CW6" s="2841"/>
      <c r="CX6" s="2841"/>
      <c r="CY6" s="2841"/>
      <c r="CZ6" s="2472"/>
      <c r="DA6" s="2472"/>
      <c r="DB6" s="3728">
        <v>9000</v>
      </c>
      <c r="DC6" s="2472">
        <v>16254</v>
      </c>
      <c r="DD6" s="2841"/>
      <c r="DE6" s="2841"/>
      <c r="DF6" s="2841"/>
      <c r="DG6" s="2841"/>
      <c r="DH6" s="2841"/>
      <c r="DI6" s="2511">
        <v>38247</v>
      </c>
      <c r="DJ6" s="2841"/>
      <c r="DK6" s="2841"/>
      <c r="DL6" s="2511">
        <v>38247</v>
      </c>
      <c r="DM6" s="2472">
        <v>16254</v>
      </c>
      <c r="DN6" s="2841"/>
      <c r="DO6" s="2841"/>
      <c r="DP6" s="2841"/>
      <c r="DQ6" s="2841"/>
      <c r="DR6" s="2472"/>
      <c r="DS6" s="2841"/>
      <c r="DT6" s="2841"/>
      <c r="DU6" s="2841"/>
      <c r="DV6" s="2841"/>
      <c r="DW6" s="2841"/>
      <c r="DX6" s="2841"/>
      <c r="DY6" s="2841"/>
      <c r="DZ6" s="2841"/>
      <c r="EA6" s="2841"/>
      <c r="EB6" s="2841"/>
      <c r="EC6" s="2841"/>
      <c r="ED6" s="2841"/>
      <c r="EE6" s="2841"/>
      <c r="EF6" s="2841"/>
      <c r="EG6" s="2841"/>
      <c r="EH6" s="2841"/>
      <c r="EI6" s="2841"/>
      <c r="EJ6" s="2472">
        <v>7000</v>
      </c>
      <c r="EK6" s="2841"/>
      <c r="EL6" s="2841"/>
      <c r="EM6" s="2841"/>
      <c r="EN6" s="2472"/>
      <c r="EO6" s="2841"/>
      <c r="EP6" s="2841"/>
      <c r="EQ6" s="2841"/>
      <c r="ER6" s="2841"/>
      <c r="ES6" s="2841"/>
      <c r="ET6" s="2841"/>
      <c r="EU6" s="2472"/>
      <c r="EV6" s="2841"/>
      <c r="EW6" s="2841"/>
      <c r="EX6" s="2841"/>
      <c r="EY6" s="2841"/>
      <c r="EZ6" s="2841"/>
      <c r="FA6" s="2841"/>
      <c r="FB6" s="2841"/>
      <c r="FC6" s="2841"/>
      <c r="FD6" s="2841"/>
      <c r="FE6" s="2841"/>
      <c r="FF6" s="2472"/>
      <c r="FG6" s="2841"/>
      <c r="FH6" s="2841"/>
      <c r="FI6" s="2841"/>
      <c r="FJ6" s="2841"/>
      <c r="FK6" s="2841"/>
      <c r="FL6" s="2841"/>
      <c r="FM6" s="2841"/>
      <c r="FN6" s="2841"/>
      <c r="FO6" s="2841"/>
      <c r="FP6" s="2841"/>
      <c r="FQ6" s="2841"/>
      <c r="FR6" s="2841"/>
      <c r="FS6" s="2841"/>
      <c r="FT6" s="2472"/>
      <c r="FU6" s="2472"/>
      <c r="FV6" s="2472">
        <v>10800</v>
      </c>
      <c r="FW6" s="2841"/>
      <c r="FX6" s="2472"/>
      <c r="FY6" s="2841"/>
      <c r="FZ6" s="2841"/>
      <c r="GA6" s="2841"/>
      <c r="GB6" s="2841"/>
      <c r="GC6" s="2841"/>
      <c r="GD6" s="2841"/>
      <c r="GE6" s="2472">
        <v>7000</v>
      </c>
      <c r="GF6" s="2472">
        <v>7000</v>
      </c>
      <c r="GG6" s="2472"/>
      <c r="GH6" s="2841"/>
      <c r="GI6" s="2841"/>
      <c r="GJ6" s="2472"/>
      <c r="GK6" s="2841"/>
      <c r="GL6" s="2841"/>
      <c r="GM6" s="2841"/>
      <c r="GN6" s="2841"/>
      <c r="GO6" s="2841"/>
      <c r="GP6" s="2841"/>
      <c r="GQ6" s="2841"/>
      <c r="GR6" s="2841"/>
      <c r="GS6" s="2841"/>
      <c r="GT6" s="2841"/>
      <c r="GU6" s="2841"/>
      <c r="GV6" s="2841"/>
      <c r="GW6" s="2472"/>
      <c r="GX6" s="2472">
        <v>16254</v>
      </c>
      <c r="GY6" s="2841"/>
      <c r="GZ6" s="2841"/>
      <c r="HA6" s="2841"/>
      <c r="HB6" s="2511">
        <v>38247</v>
      </c>
      <c r="HC6" s="2841"/>
      <c r="HD6" s="2472"/>
      <c r="HE6" s="2841"/>
      <c r="HF6" s="2472"/>
      <c r="HG6" s="2472"/>
      <c r="HH6" s="2841"/>
      <c r="HI6" s="2841"/>
      <c r="HJ6" s="2841"/>
      <c r="HK6" s="2841"/>
      <c r="HL6" s="2841"/>
      <c r="HM6" s="2841"/>
      <c r="HN6" s="2841"/>
      <c r="HO6" s="2841"/>
      <c r="HP6" s="2841"/>
      <c r="HQ6" s="2841"/>
      <c r="HR6" s="2841"/>
      <c r="HS6" s="2472">
        <v>10800</v>
      </c>
      <c r="HT6" s="2841"/>
      <c r="HU6" s="2841"/>
      <c r="HV6" s="2841"/>
      <c r="HW6" s="2841"/>
      <c r="HX6" s="2841"/>
      <c r="HY6" s="2841"/>
      <c r="HZ6" s="2841"/>
      <c r="IA6" s="2841"/>
      <c r="IB6" s="2841"/>
      <c r="IC6" s="2841"/>
      <c r="ID6" s="2841"/>
      <c r="IE6" s="2841"/>
      <c r="IF6" s="2841"/>
      <c r="IG6" s="2841"/>
      <c r="IH6" s="2841"/>
      <c r="II6" s="2841"/>
      <c r="IJ6" s="2841"/>
      <c r="IK6" s="2841"/>
      <c r="IL6" s="2841"/>
      <c r="IM6" s="2841"/>
      <c r="IN6" s="2841"/>
      <c r="IO6" s="2472"/>
      <c r="IP6" s="2841"/>
      <c r="IQ6" s="2841"/>
      <c r="IR6" s="2841"/>
      <c r="IS6" s="4009"/>
      <c r="IT6" s="3998"/>
      <c r="IU6" s="3998"/>
      <c r="IV6" s="3998"/>
      <c r="IW6" s="3998"/>
      <c r="IX6" s="3998"/>
      <c r="IY6" s="3998"/>
      <c r="IZ6" s="2841"/>
      <c r="JA6" s="3998"/>
      <c r="JB6" s="3998"/>
      <c r="JC6" s="2841"/>
      <c r="JD6" s="2841"/>
      <c r="JE6" s="2841"/>
      <c r="JF6" s="2841"/>
      <c r="JG6" s="2601"/>
      <c r="JH6" s="1233"/>
      <c r="JI6" s="1393"/>
      <c r="JJ6" s="1686" t="s">
        <v>6124</v>
      </c>
    </row>
    <row ht="22.5" r="7" spans="1:270" x14ac:dyDescent="0.2">
      <c r="A7" s="1128">
        <v>7</v>
      </c>
      <c r="B7" s="1534" t="str">
        <f ref="B7:B14" si="0" t="shared">IF(PRO_IND&gt;1,IF(HLOOKUP(PRO_IND-1,PRO_RANGE,A7)="","",HLOOKUP(PRO_IND-1,PRO_RANGE,A7)),"")</f>
        <v/>
      </c>
      <c r="C7" s="1728" t="s">
        <v>6567</v>
      </c>
      <c r="D7" s="1727" t="s">
        <v>6565</v>
      </c>
      <c r="E7" s="2511"/>
      <c r="F7" s="2472"/>
      <c r="G7" s="2511"/>
      <c r="H7" s="2511"/>
      <c r="I7" s="2511"/>
      <c r="J7" s="2511"/>
      <c r="K7" s="2511"/>
      <c r="L7" s="2511"/>
      <c r="M7" s="2472"/>
      <c r="N7" s="2511"/>
      <c r="O7" s="2472"/>
      <c r="P7" s="2511"/>
      <c r="Q7" s="2472"/>
      <c r="R7" s="2511"/>
      <c r="S7" s="2511"/>
      <c r="T7" s="2472"/>
      <c r="U7" s="2472"/>
      <c r="V7" s="2511"/>
      <c r="W7" s="2511"/>
      <c r="X7" s="2511"/>
      <c r="Y7" s="2511"/>
      <c r="Z7" s="2511"/>
      <c r="AA7" s="2472"/>
      <c r="AB7" s="2511"/>
      <c r="AC7" s="2472"/>
      <c r="AD7" s="2472"/>
      <c r="AE7" s="2472"/>
      <c r="AF7" s="2472"/>
      <c r="AG7" s="2472"/>
      <c r="AH7" s="2472"/>
      <c r="AI7" s="2511"/>
      <c r="AJ7" s="2930"/>
      <c r="AK7" s="2511"/>
      <c r="AL7" s="2511"/>
      <c r="AM7" s="2511"/>
      <c r="AN7" s="2511"/>
      <c r="AO7" s="2511"/>
      <c r="AP7" s="2511"/>
      <c r="AQ7" s="2511"/>
      <c r="AR7" s="2472"/>
      <c r="AS7" s="2511"/>
      <c r="AT7" s="2511"/>
      <c r="AU7" s="2511"/>
      <c r="AV7" s="2511"/>
      <c r="AW7" s="2472"/>
      <c r="AX7" s="2511"/>
      <c r="AY7" s="2472"/>
      <c r="AZ7" s="2472"/>
      <c r="BA7" s="2511"/>
      <c r="BB7" s="2511"/>
      <c r="BC7" s="2511"/>
      <c r="BD7" s="2472"/>
      <c r="BE7" s="2472"/>
      <c r="BF7" s="2472"/>
      <c r="BG7" s="2472"/>
      <c r="BH7" s="2472"/>
      <c r="BI7" s="3728"/>
      <c r="BJ7" s="2472"/>
      <c r="BK7" s="3728"/>
      <c r="BL7" s="2472"/>
      <c r="BM7" s="2472"/>
      <c r="BN7" s="2472"/>
      <c r="BO7" s="2472"/>
      <c r="BP7" s="2472"/>
      <c r="BQ7" s="2472"/>
      <c r="BR7" s="2472"/>
      <c r="BS7" s="2472"/>
      <c r="BT7" s="2472"/>
      <c r="BU7" s="2472"/>
      <c r="BV7" s="2472"/>
      <c r="BW7" s="2472"/>
      <c r="BX7" s="2472"/>
      <c r="BY7" s="2472"/>
      <c r="BZ7" s="2472"/>
      <c r="CA7" s="2472"/>
      <c r="CB7" s="2472"/>
      <c r="CC7" s="2472"/>
      <c r="CD7" s="2472"/>
      <c r="CE7" s="2841"/>
      <c r="CF7" s="2841"/>
      <c r="CG7" s="2841"/>
      <c r="CH7" s="2472"/>
      <c r="CI7" s="2472"/>
      <c r="CJ7" s="2841"/>
      <c r="CK7" s="2841"/>
      <c r="CL7" s="2841"/>
      <c r="CM7" s="2841"/>
      <c r="CN7" s="2841"/>
      <c r="CO7" s="2841"/>
      <c r="CP7" s="2841"/>
      <c r="CQ7" s="2472"/>
      <c r="CR7" s="2472"/>
      <c r="CS7" s="2472"/>
      <c r="CT7" s="2472"/>
      <c r="CU7" s="2841"/>
      <c r="CV7" s="2511"/>
      <c r="CW7" s="2841"/>
      <c r="CX7" s="2841"/>
      <c r="CY7" s="2841"/>
      <c r="CZ7" s="2472"/>
      <c r="DA7" s="2472"/>
      <c r="DB7" s="3728"/>
      <c r="DC7" s="2472"/>
      <c r="DD7" s="2841"/>
      <c r="DE7" s="2841"/>
      <c r="DF7" s="2841"/>
      <c r="DG7" s="2841"/>
      <c r="DH7" s="2841"/>
      <c r="DI7" s="2511"/>
      <c r="DJ7" s="2841"/>
      <c r="DK7" s="2841"/>
      <c r="DL7" s="2511"/>
      <c r="DM7" s="2472"/>
      <c r="DN7" s="2841"/>
      <c r="DO7" s="2841"/>
      <c r="DP7" s="2841"/>
      <c r="DQ7" s="2841"/>
      <c r="DR7" s="2472"/>
      <c r="DS7" s="2841"/>
      <c r="DT7" s="2841"/>
      <c r="DU7" s="2841"/>
      <c r="DV7" s="2841"/>
      <c r="DW7" s="2841"/>
      <c r="DX7" s="2841"/>
      <c r="DY7" s="2841"/>
      <c r="DZ7" s="2841"/>
      <c r="EA7" s="2841"/>
      <c r="EB7" s="2841"/>
      <c r="EC7" s="2841"/>
      <c r="ED7" s="2841"/>
      <c r="EE7" s="2841"/>
      <c r="EF7" s="2841"/>
      <c r="EG7" s="2841"/>
      <c r="EH7" s="2841"/>
      <c r="EI7" s="2841"/>
      <c r="EJ7" s="2472"/>
      <c r="EK7" s="2841"/>
      <c r="EL7" s="2841"/>
      <c r="EM7" s="2841"/>
      <c r="EN7" s="2472"/>
      <c r="EO7" s="2841"/>
      <c r="EP7" s="2841"/>
      <c r="EQ7" s="2841"/>
      <c r="ER7" s="2841"/>
      <c r="ES7" s="2841"/>
      <c r="ET7" s="2841"/>
      <c r="EU7" s="2472"/>
      <c r="EV7" s="2841"/>
      <c r="EW7" s="2841"/>
      <c r="EX7" s="2841"/>
      <c r="EY7" s="2841"/>
      <c r="EZ7" s="2841"/>
      <c r="FA7" s="2841"/>
      <c r="FB7" s="2841"/>
      <c r="FC7" s="2841"/>
      <c r="FD7" s="2841"/>
      <c r="FE7" s="2841"/>
      <c r="FF7" s="2472"/>
      <c r="FG7" s="2841"/>
      <c r="FH7" s="2841"/>
      <c r="FI7" s="2841"/>
      <c r="FJ7" s="2841"/>
      <c r="FK7" s="2841"/>
      <c r="FL7" s="2841"/>
      <c r="FM7" s="2841"/>
      <c r="FN7" s="2841"/>
      <c r="FO7" s="2841"/>
      <c r="FP7" s="2841"/>
      <c r="FQ7" s="2841"/>
      <c r="FR7" s="2841"/>
      <c r="FS7" s="2841"/>
      <c r="FT7" s="2472"/>
      <c r="FU7" s="2472"/>
      <c r="FV7" s="2472"/>
      <c r="FW7" s="2841"/>
      <c r="FX7" s="2472"/>
      <c r="FY7" s="2841"/>
      <c r="FZ7" s="2841"/>
      <c r="GA7" s="2841"/>
      <c r="GB7" s="2841"/>
      <c r="GC7" s="2841"/>
      <c r="GD7" s="2841"/>
      <c r="GE7" s="2472"/>
      <c r="GF7" s="2472"/>
      <c r="GG7" s="2472"/>
      <c r="GH7" s="2841"/>
      <c r="GI7" s="2841"/>
      <c r="GJ7" s="2472"/>
      <c r="GK7" s="2841"/>
      <c r="GL7" s="2841"/>
      <c r="GM7" s="2841"/>
      <c r="GN7" s="2841"/>
      <c r="GO7" s="2841"/>
      <c r="GP7" s="2841"/>
      <c r="GQ7" s="2841"/>
      <c r="GR7" s="2841"/>
      <c r="GS7" s="2841"/>
      <c r="GT7" s="2841"/>
      <c r="GU7" s="2841"/>
      <c r="GV7" s="2841"/>
      <c r="GW7" s="2472"/>
      <c r="GX7" s="2472"/>
      <c r="GY7" s="2841"/>
      <c r="GZ7" s="2841"/>
      <c r="HA7" s="2841"/>
      <c r="HB7" s="2511"/>
      <c r="HC7" s="2841"/>
      <c r="HD7" s="2472"/>
      <c r="HE7" s="2841"/>
      <c r="HF7" s="2472"/>
      <c r="HG7" s="2472"/>
      <c r="HH7" s="2841"/>
      <c r="HI7" s="2841"/>
      <c r="HJ7" s="2841"/>
      <c r="HK7" s="2841"/>
      <c r="HL7" s="2841"/>
      <c r="HM7" s="2841"/>
      <c r="HN7" s="2841"/>
      <c r="HO7" s="2841"/>
      <c r="HP7" s="2841"/>
      <c r="HQ7" s="2841"/>
      <c r="HR7" s="2841"/>
      <c r="HS7" s="2472"/>
      <c r="HT7" s="2841"/>
      <c r="HU7" s="2841"/>
      <c r="HV7" s="2841"/>
      <c r="HW7" s="2841"/>
      <c r="HX7" s="2841"/>
      <c r="HY7" s="2841"/>
      <c r="HZ7" s="2841"/>
      <c r="IA7" s="2841"/>
      <c r="IB7" s="2841"/>
      <c r="IC7" s="2841"/>
      <c r="ID7" s="2841"/>
      <c r="IE7" s="2841"/>
      <c r="IF7" s="2841"/>
      <c r="IG7" s="2841"/>
      <c r="IH7" s="2841"/>
      <c r="II7" s="2841"/>
      <c r="IJ7" s="2841"/>
      <c r="IK7" s="2841"/>
      <c r="IL7" s="2841"/>
      <c r="IM7" s="2841"/>
      <c r="IN7" s="2841"/>
      <c r="IO7" s="2472"/>
      <c r="IP7" s="2841"/>
      <c r="IQ7" s="2841"/>
      <c r="IR7" s="2841"/>
      <c r="IS7" s="4009"/>
      <c r="IT7" s="3998"/>
      <c r="IU7" s="3998"/>
      <c r="IV7" s="3998"/>
      <c r="IW7" s="3998"/>
      <c r="IX7" s="3998"/>
      <c r="IY7" s="3998"/>
      <c r="IZ7" s="2841"/>
      <c r="JA7" s="3998"/>
      <c r="JB7" s="3998"/>
      <c r="JC7" s="2841"/>
      <c r="JD7" s="2841"/>
      <c r="JE7" s="2841"/>
      <c r="JF7" s="2841"/>
      <c r="JG7" s="2601"/>
      <c r="JH7" s="1233"/>
      <c r="JI7" s="2020" t="s">
        <v>6569</v>
      </c>
      <c r="JJ7" s="3099" t="s">
        <v>6108</v>
      </c>
    </row>
    <row r="8" spans="1:270" x14ac:dyDescent="0.2">
      <c r="A8" s="1128">
        <v>8</v>
      </c>
      <c r="B8" s="1534" t="str">
        <f si="0" t="shared"/>
        <v/>
      </c>
      <c r="C8" s="1728" t="s">
        <v>6568</v>
      </c>
      <c r="D8" s="1727" t="s">
        <v>6566</v>
      </c>
      <c r="E8" s="2511"/>
      <c r="F8" s="2472"/>
      <c r="G8" s="2511"/>
      <c r="H8" s="2511"/>
      <c r="I8" s="2511"/>
      <c r="J8" s="2511"/>
      <c r="K8" s="2511"/>
      <c r="L8" s="2511"/>
      <c r="M8" s="2472"/>
      <c r="N8" s="2511"/>
      <c r="O8" s="2472"/>
      <c r="P8" s="2511"/>
      <c r="Q8" s="2472"/>
      <c r="R8" s="2511"/>
      <c r="S8" s="2511"/>
      <c r="T8" s="2472"/>
      <c r="U8" s="2472"/>
      <c r="V8" s="2511"/>
      <c r="W8" s="2511"/>
      <c r="X8" s="2511"/>
      <c r="Y8" s="2511"/>
      <c r="Z8" s="2511"/>
      <c r="AA8" s="2472"/>
      <c r="AB8" s="2511"/>
      <c r="AC8" s="2472"/>
      <c r="AD8" s="2472"/>
      <c r="AE8" s="2472"/>
      <c r="AF8" s="2472"/>
      <c r="AG8" s="2472"/>
      <c r="AH8" s="2472"/>
      <c r="AI8" s="2511"/>
      <c r="AJ8" s="2930"/>
      <c r="AK8" s="2511"/>
      <c r="AL8" s="2511"/>
      <c r="AM8" s="2511"/>
      <c r="AN8" s="2511"/>
      <c r="AO8" s="2511"/>
      <c r="AP8" s="2511"/>
      <c r="AQ8" s="2511"/>
      <c r="AR8" s="2472" t="s">
        <v>572</v>
      </c>
      <c r="AS8" s="2511"/>
      <c r="AT8" s="2511"/>
      <c r="AU8" s="2511"/>
      <c r="AV8" s="2511"/>
      <c r="AW8" s="2472"/>
      <c r="AX8" s="2511"/>
      <c r="AY8" s="2472"/>
      <c r="AZ8" s="2472"/>
      <c r="BA8" s="2511"/>
      <c r="BB8" s="2511"/>
      <c r="BC8" s="2511"/>
      <c r="BD8" s="2472"/>
      <c r="BE8" s="2472"/>
      <c r="BF8" s="2472"/>
      <c r="BG8" s="2472"/>
      <c r="BH8" s="2472"/>
      <c r="BI8" s="3728"/>
      <c r="BJ8" s="2472"/>
      <c r="BK8" s="3728"/>
      <c r="BL8" s="2472"/>
      <c r="BM8" s="2472"/>
      <c r="BN8" s="2472"/>
      <c r="BO8" s="2472"/>
      <c r="BP8" s="2472"/>
      <c r="BQ8" s="2472"/>
      <c r="BR8" s="2472"/>
      <c r="BS8" s="2472"/>
      <c r="BT8" s="2472"/>
      <c r="BU8" s="2472"/>
      <c r="BV8" s="2472"/>
      <c r="BW8" s="2472"/>
      <c r="BX8" s="2472" t="s">
        <v>572</v>
      </c>
      <c r="BY8" s="2472"/>
      <c r="BZ8" s="2472"/>
      <c r="CA8" s="2472"/>
      <c r="CB8" s="3728" t="s">
        <v>572</v>
      </c>
      <c r="CC8" s="2472"/>
      <c r="CD8" s="2472"/>
      <c r="CE8" s="2841"/>
      <c r="CF8" s="2841"/>
      <c r="CG8" s="2841"/>
      <c r="CH8" s="2472"/>
      <c r="CI8" s="2472" t="s">
        <v>572</v>
      </c>
      <c r="CJ8" s="2841"/>
      <c r="CK8" s="2841"/>
      <c r="CL8" s="2841"/>
      <c r="CM8" s="2841"/>
      <c r="CN8" s="2841"/>
      <c r="CO8" s="2841"/>
      <c r="CP8" s="2841"/>
      <c r="CQ8" s="2472" t="s">
        <v>572</v>
      </c>
      <c r="CR8" s="2472"/>
      <c r="CS8" s="2472"/>
      <c r="CT8" s="2472"/>
      <c r="CU8" s="2841"/>
      <c r="CV8" s="2511" t="s">
        <v>572</v>
      </c>
      <c r="CW8" s="2841"/>
      <c r="CX8" s="2841"/>
      <c r="CY8" s="2841"/>
      <c r="CZ8" s="2472"/>
      <c r="DA8" s="2472"/>
      <c r="DB8" s="3728"/>
      <c r="DC8" s="2472" t="s">
        <v>572</v>
      </c>
      <c r="DD8" s="2841"/>
      <c r="DE8" s="2841"/>
      <c r="DF8" s="2841"/>
      <c r="DG8" s="2841"/>
      <c r="DH8" s="2841"/>
      <c r="DI8" s="2511" t="s">
        <v>572</v>
      </c>
      <c r="DJ8" s="2841"/>
      <c r="DK8" s="2841"/>
      <c r="DL8" s="2511" t="s">
        <v>572</v>
      </c>
      <c r="DM8" s="2472" t="s">
        <v>572</v>
      </c>
      <c r="DN8" s="2841"/>
      <c r="DO8" s="2841"/>
      <c r="DP8" s="2841"/>
      <c r="DQ8" s="2841"/>
      <c r="DR8" s="2472"/>
      <c r="DS8" s="2841"/>
      <c r="DT8" s="2841"/>
      <c r="DU8" s="2841"/>
      <c r="DV8" s="2841"/>
      <c r="DW8" s="2841"/>
      <c r="DX8" s="2841"/>
      <c r="DY8" s="2841"/>
      <c r="DZ8" s="2841"/>
      <c r="EA8" s="2841"/>
      <c r="EB8" s="2841"/>
      <c r="EC8" s="2841"/>
      <c r="ED8" s="2841"/>
      <c r="EE8" s="2841"/>
      <c r="EF8" s="2841"/>
      <c r="EG8" s="2841"/>
      <c r="EH8" s="2841"/>
      <c r="EI8" s="2841"/>
      <c r="EJ8" s="2472"/>
      <c r="EK8" s="2841"/>
      <c r="EL8" s="2841"/>
      <c r="EM8" s="2841"/>
      <c r="EN8" s="2472"/>
      <c r="EO8" s="2841"/>
      <c r="EP8" s="2841"/>
      <c r="EQ8" s="2841"/>
      <c r="ER8" s="2841"/>
      <c r="ES8" s="2841"/>
      <c r="ET8" s="2841"/>
      <c r="EU8" s="2472"/>
      <c r="EV8" s="2841"/>
      <c r="EW8" s="2841"/>
      <c r="EX8" s="2841"/>
      <c r="EY8" s="2841"/>
      <c r="EZ8" s="2841"/>
      <c r="FA8" s="2841"/>
      <c r="FB8" s="2841"/>
      <c r="FC8" s="2841"/>
      <c r="FD8" s="2841"/>
      <c r="FE8" s="2841"/>
      <c r="FF8" s="2472"/>
      <c r="FG8" s="2841"/>
      <c r="FH8" s="2841"/>
      <c r="FI8" s="2841"/>
      <c r="FJ8" s="2841"/>
      <c r="FK8" s="2841"/>
      <c r="FL8" s="2841"/>
      <c r="FM8" s="2841"/>
      <c r="FN8" s="2841"/>
      <c r="FO8" s="2841"/>
      <c r="FP8" s="2841"/>
      <c r="FQ8" s="2841"/>
      <c r="FR8" s="2841"/>
      <c r="FS8" s="2841"/>
      <c r="FT8" s="2472"/>
      <c r="FU8" s="2472"/>
      <c r="FV8" s="2472"/>
      <c r="FW8" s="2841"/>
      <c r="FX8" s="2472"/>
      <c r="FY8" s="2841"/>
      <c r="FZ8" s="2841"/>
      <c r="GA8" s="2841"/>
      <c r="GB8" s="2841"/>
      <c r="GC8" s="2841"/>
      <c r="GD8" s="2841"/>
      <c r="GE8" s="2472"/>
      <c r="GF8" s="2472"/>
      <c r="GG8" s="2472"/>
      <c r="GH8" s="2841"/>
      <c r="GI8" s="2841"/>
      <c r="GJ8" s="2472"/>
      <c r="GK8" s="2841"/>
      <c r="GL8" s="2841"/>
      <c r="GM8" s="2841"/>
      <c r="GN8" s="2841"/>
      <c r="GO8" s="2841"/>
      <c r="GP8" s="2841"/>
      <c r="GQ8" s="2841"/>
      <c r="GR8" s="2841"/>
      <c r="GS8" s="2841"/>
      <c r="GT8" s="2841"/>
      <c r="GU8" s="2841"/>
      <c r="GV8" s="2841"/>
      <c r="GW8" s="2472"/>
      <c r="GX8" s="2472" t="s">
        <v>572</v>
      </c>
      <c r="GY8" s="2841"/>
      <c r="GZ8" s="2841"/>
      <c r="HA8" s="2841"/>
      <c r="HB8" s="2511" t="s">
        <v>572</v>
      </c>
      <c r="HC8" s="2841"/>
      <c r="HD8" s="2472"/>
      <c r="HE8" s="2841"/>
      <c r="HF8" s="2472"/>
      <c r="HG8" s="2472"/>
      <c r="HH8" s="2841"/>
      <c r="HI8" s="2841"/>
      <c r="HJ8" s="2841"/>
      <c r="HK8" s="2841"/>
      <c r="HL8" s="2841"/>
      <c r="HM8" s="2841"/>
      <c r="HN8" s="2841"/>
      <c r="HO8" s="2841"/>
      <c r="HP8" s="2841"/>
      <c r="HQ8" s="2841"/>
      <c r="HR8" s="2841"/>
      <c r="HS8" s="2472"/>
      <c r="HT8" s="2841"/>
      <c r="HU8" s="2841"/>
      <c r="HV8" s="2841"/>
      <c r="HW8" s="2841"/>
      <c r="HX8" s="2841"/>
      <c r="HY8" s="2841"/>
      <c r="HZ8" s="2841"/>
      <c r="IA8" s="2841"/>
      <c r="IB8" s="2841"/>
      <c r="IC8" s="2841"/>
      <c r="ID8" s="2841"/>
      <c r="IE8" s="2841"/>
      <c r="IF8" s="2841"/>
      <c r="IG8" s="2841"/>
      <c r="IH8" s="2841"/>
      <c r="II8" s="2841"/>
      <c r="IJ8" s="2841"/>
      <c r="IK8" s="2841"/>
      <c r="IL8" s="2841"/>
      <c r="IM8" s="2841"/>
      <c r="IN8" s="2841"/>
      <c r="IO8" s="2472"/>
      <c r="IP8" s="2841"/>
      <c r="IQ8" s="2841"/>
      <c r="IR8" s="2841"/>
      <c r="IS8" s="4009"/>
      <c r="IT8" s="3998"/>
      <c r="IU8" s="3998"/>
      <c r="IV8" s="3998"/>
      <c r="IW8" s="3998"/>
      <c r="IX8" s="3998"/>
      <c r="IY8" s="3998"/>
      <c r="IZ8" s="2841"/>
      <c r="JA8" s="3998"/>
      <c r="JB8" s="3998"/>
      <c r="JC8" s="2841"/>
      <c r="JD8" s="2841"/>
      <c r="JE8" s="2841"/>
      <c r="JF8" s="2841"/>
      <c r="JG8" s="2601"/>
      <c r="JH8" s="1233"/>
      <c r="JI8" s="2020"/>
      <c r="JJ8" s="3099" t="s">
        <v>6111</v>
      </c>
    </row>
    <row r="9" spans="1:270" x14ac:dyDescent="0.2">
      <c r="A9" s="1128">
        <v>9</v>
      </c>
      <c r="B9" s="1534" t="str">
        <f si="0" t="shared"/>
        <v/>
      </c>
      <c r="C9" s="1728" t="s">
        <v>1081</v>
      </c>
      <c r="D9" s="1727" t="s">
        <v>5703</v>
      </c>
      <c r="E9" s="2511"/>
      <c r="F9" s="2472"/>
      <c r="G9" s="2511"/>
      <c r="H9" s="2511"/>
      <c r="I9" s="2511"/>
      <c r="J9" s="2511"/>
      <c r="K9" s="2511"/>
      <c r="L9" s="2511"/>
      <c r="M9" s="2472"/>
      <c r="N9" s="2511"/>
      <c r="O9" s="2472"/>
      <c r="P9" s="2511"/>
      <c r="Q9" s="2472"/>
      <c r="R9" s="2511"/>
      <c r="S9" s="2511"/>
      <c r="T9" s="2472"/>
      <c r="U9" s="2472"/>
      <c r="V9" s="2511"/>
      <c r="W9" s="2511"/>
      <c r="X9" s="2511"/>
      <c r="Y9" s="2511"/>
      <c r="Z9" s="2511"/>
      <c r="AA9" s="2472"/>
      <c r="AB9" s="2511"/>
      <c r="AC9" s="2472"/>
      <c r="AD9" s="2472"/>
      <c r="AE9" s="2472"/>
      <c r="AF9" s="2472"/>
      <c r="AG9" s="2472"/>
      <c r="AH9" s="2472"/>
      <c r="AI9" s="2511"/>
      <c r="AJ9" s="2930"/>
      <c r="AK9" s="2511"/>
      <c r="AL9" s="2511"/>
      <c r="AM9" s="2511"/>
      <c r="AN9" s="2511"/>
      <c r="AO9" s="2511"/>
      <c r="AP9" s="2511"/>
      <c r="AQ9" s="2511"/>
      <c r="AR9" s="2472">
        <v>2750</v>
      </c>
      <c r="AS9" s="2511"/>
      <c r="AT9" s="2511"/>
      <c r="AU9" s="2511"/>
      <c r="AV9" s="2511"/>
      <c r="AW9" s="2472"/>
      <c r="AX9" s="2511"/>
      <c r="AY9" s="2472"/>
      <c r="AZ9" s="2472"/>
      <c r="BA9" s="2511"/>
      <c r="BB9" s="2511"/>
      <c r="BC9" s="2511"/>
      <c r="BD9" s="2472"/>
      <c r="BE9" s="2472"/>
      <c r="BF9" s="2472"/>
      <c r="BG9" s="2472"/>
      <c r="BH9" s="2472"/>
      <c r="BI9" s="3728"/>
      <c r="BJ9" s="2472"/>
      <c r="BK9" s="3728"/>
      <c r="BL9" s="2472"/>
      <c r="BM9" s="2472"/>
      <c r="BN9" s="2472"/>
      <c r="BO9" s="2472"/>
      <c r="BP9" s="2472"/>
      <c r="BQ9" s="2472"/>
      <c r="BR9" s="2472"/>
      <c r="BS9" s="2472"/>
      <c r="BT9" s="2472"/>
      <c r="BU9" s="2472"/>
      <c r="BV9" s="2472"/>
      <c r="BW9" s="2472"/>
      <c r="BX9" s="2472">
        <v>2960</v>
      </c>
      <c r="BY9" s="2472"/>
      <c r="BZ9" s="2472"/>
      <c r="CA9" s="2472"/>
      <c r="CB9" s="3728">
        <v>2960</v>
      </c>
      <c r="CC9" s="2472"/>
      <c r="CD9" s="2472"/>
      <c r="CE9" s="2841"/>
      <c r="CF9" s="2841"/>
      <c r="CG9" s="2841"/>
      <c r="CH9" s="2472"/>
      <c r="CI9" s="2472">
        <v>2960</v>
      </c>
      <c r="CJ9" s="2841"/>
      <c r="CK9" s="2841"/>
      <c r="CL9" s="2841"/>
      <c r="CM9" s="2841"/>
      <c r="CN9" s="2841"/>
      <c r="CO9" s="2841"/>
      <c r="CP9" s="2841"/>
      <c r="CQ9" s="2472">
        <v>2960</v>
      </c>
      <c r="CR9" s="2472"/>
      <c r="CS9" s="2472"/>
      <c r="CT9" s="2472">
        <v>950</v>
      </c>
      <c r="CU9" s="2841"/>
      <c r="CV9" s="2511">
        <v>26542</v>
      </c>
      <c r="CW9" s="2841"/>
      <c r="CX9" s="2841"/>
      <c r="CY9" s="2841"/>
      <c r="CZ9" s="2472"/>
      <c r="DA9" s="2472"/>
      <c r="DB9" s="3728"/>
      <c r="DC9" s="2472">
        <v>2960</v>
      </c>
      <c r="DD9" s="2841"/>
      <c r="DE9" s="2841"/>
      <c r="DF9" s="2841"/>
      <c r="DG9" s="2841"/>
      <c r="DH9" s="2841"/>
      <c r="DI9" s="2511">
        <v>26542</v>
      </c>
      <c r="DJ9" s="2841"/>
      <c r="DK9" s="2841"/>
      <c r="DL9" s="2511">
        <v>26542</v>
      </c>
      <c r="DM9" s="2472">
        <v>2960</v>
      </c>
      <c r="DN9" s="2841"/>
      <c r="DO9" s="2841"/>
      <c r="DP9" s="2841"/>
      <c r="DQ9" s="2841"/>
      <c r="DR9" s="2472"/>
      <c r="DS9" s="2841"/>
      <c r="DT9" s="2841"/>
      <c r="DU9" s="2841"/>
      <c r="DV9" s="2841"/>
      <c r="DW9" s="2841"/>
      <c r="DX9" s="2841"/>
      <c r="DY9" s="2841"/>
      <c r="DZ9" s="2841"/>
      <c r="EA9" s="2841"/>
      <c r="EB9" s="2841"/>
      <c r="EC9" s="2841"/>
      <c r="ED9" s="2841"/>
      <c r="EE9" s="2841"/>
      <c r="EF9" s="2841"/>
      <c r="EG9" s="2841"/>
      <c r="EH9" s="2841"/>
      <c r="EI9" s="2841"/>
      <c r="EJ9" s="2472">
        <v>900</v>
      </c>
      <c r="EK9" s="2841"/>
      <c r="EL9" s="2841"/>
      <c r="EM9" s="2841"/>
      <c r="EN9" s="2472"/>
      <c r="EO9" s="2841"/>
      <c r="EP9" s="2841"/>
      <c r="EQ9" s="2841"/>
      <c r="ER9" s="2841"/>
      <c r="ES9" s="2841"/>
      <c r="ET9" s="2841"/>
      <c r="EU9" s="2472"/>
      <c r="EV9" s="2841"/>
      <c r="EW9" s="2841"/>
      <c r="EX9" s="2841"/>
      <c r="EY9" s="2841"/>
      <c r="EZ9" s="2841"/>
      <c r="FA9" s="2841"/>
      <c r="FB9" s="2841"/>
      <c r="FC9" s="2841"/>
      <c r="FD9" s="2841"/>
      <c r="FE9" s="2841"/>
      <c r="FF9" s="2472"/>
      <c r="FG9" s="2841"/>
      <c r="FH9" s="2841"/>
      <c r="FI9" s="2841"/>
      <c r="FJ9" s="2841"/>
      <c r="FK9" s="2841"/>
      <c r="FL9" s="2841"/>
      <c r="FM9" s="2841"/>
      <c r="FN9" s="2841"/>
      <c r="FO9" s="2841"/>
      <c r="FP9" s="2841"/>
      <c r="FQ9" s="2841"/>
      <c r="FR9" s="2841"/>
      <c r="FS9" s="2841"/>
      <c r="FT9" s="2472"/>
      <c r="FU9" s="2472"/>
      <c r="FV9" s="2472">
        <v>950</v>
      </c>
      <c r="FW9" s="2841"/>
      <c r="FX9" s="2472"/>
      <c r="FY9" s="2841"/>
      <c r="FZ9" s="2841"/>
      <c r="GA9" s="2841"/>
      <c r="GB9" s="2841"/>
      <c r="GC9" s="2841"/>
      <c r="GD9" s="2841"/>
      <c r="GE9" s="2472">
        <v>900</v>
      </c>
      <c r="GF9" s="2472">
        <v>900</v>
      </c>
      <c r="GG9" s="2472"/>
      <c r="GH9" s="2841"/>
      <c r="GI9" s="2841"/>
      <c r="GJ9" s="2472"/>
      <c r="GK9" s="2841"/>
      <c r="GL9" s="2841"/>
      <c r="GM9" s="2841"/>
      <c r="GN9" s="2841"/>
      <c r="GO9" s="2841"/>
      <c r="GP9" s="2841"/>
      <c r="GQ9" s="2841"/>
      <c r="GR9" s="2841"/>
      <c r="GS9" s="2841"/>
      <c r="GT9" s="2841"/>
      <c r="GU9" s="2841"/>
      <c r="GV9" s="2841"/>
      <c r="GW9" s="2472"/>
      <c r="GX9" s="2472">
        <v>2960</v>
      </c>
      <c r="GY9" s="2841"/>
      <c r="GZ9" s="2841"/>
      <c r="HA9" s="2841"/>
      <c r="HB9" s="2511">
        <v>26542</v>
      </c>
      <c r="HC9" s="2841"/>
      <c r="HD9" s="2472"/>
      <c r="HE9" s="2841"/>
      <c r="HF9" s="2472"/>
      <c r="HG9" s="2472"/>
      <c r="HH9" s="2841"/>
      <c r="HI9" s="2841"/>
      <c r="HJ9" s="2841"/>
      <c r="HK9" s="2841"/>
      <c r="HL9" s="2841"/>
      <c r="HM9" s="2841"/>
      <c r="HN9" s="2841"/>
      <c r="HO9" s="2841"/>
      <c r="HP9" s="2841"/>
      <c r="HQ9" s="2841"/>
      <c r="HR9" s="2841"/>
      <c r="HS9" s="2472">
        <v>950</v>
      </c>
      <c r="HT9" s="2841"/>
      <c r="HU9" s="2841"/>
      <c r="HV9" s="2841"/>
      <c r="HW9" s="2841"/>
      <c r="HX9" s="2841"/>
      <c r="HY9" s="2841"/>
      <c r="HZ9" s="2841"/>
      <c r="IA9" s="2841"/>
      <c r="IB9" s="2841"/>
      <c r="IC9" s="2841"/>
      <c r="ID9" s="2841"/>
      <c r="IE9" s="2841"/>
      <c r="IF9" s="2841"/>
      <c r="IG9" s="2841"/>
      <c r="IH9" s="2841"/>
      <c r="II9" s="2841"/>
      <c r="IJ9" s="2841"/>
      <c r="IK9" s="2841"/>
      <c r="IL9" s="2841"/>
      <c r="IM9" s="2841"/>
      <c r="IN9" s="2841"/>
      <c r="IO9" s="2472"/>
      <c r="IP9" s="2841"/>
      <c r="IQ9" s="2841"/>
      <c r="IR9" s="2841"/>
      <c r="IS9" s="4009"/>
      <c r="IT9" s="3998"/>
      <c r="IU9" s="3998"/>
      <c r="IV9" s="3998"/>
      <c r="IW9" s="3998"/>
      <c r="IX9" s="3998"/>
      <c r="IY9" s="3998"/>
      <c r="IZ9" s="2841"/>
      <c r="JA9" s="3998"/>
      <c r="JB9" s="3998"/>
      <c r="JC9" s="2841"/>
      <c r="JD9" s="2841"/>
      <c r="JE9" s="2841"/>
      <c r="JF9" s="2841"/>
      <c r="JG9" s="2601"/>
      <c r="JH9" s="1233"/>
      <c r="JI9" s="1393"/>
      <c r="JJ9" s="1686" t="s">
        <v>6108</v>
      </c>
    </row>
    <row r="10" spans="1:270" x14ac:dyDescent="0.2">
      <c r="A10" s="1128">
        <v>10</v>
      </c>
      <c r="B10" s="1534" t="str">
        <f si="0" t="shared"/>
        <v/>
      </c>
      <c r="C10" s="1728" t="s">
        <v>1082</v>
      </c>
      <c r="D10" s="1727" t="s">
        <v>5704</v>
      </c>
      <c r="E10" s="2511"/>
      <c r="F10" s="2472"/>
      <c r="G10" s="2511"/>
      <c r="H10" s="2511"/>
      <c r="I10" s="2511"/>
      <c r="J10" s="2511"/>
      <c r="K10" s="2511"/>
      <c r="L10" s="2511"/>
      <c r="M10" s="2472"/>
      <c r="N10" s="2511"/>
      <c r="O10" s="2472"/>
      <c r="P10" s="2511"/>
      <c r="Q10" s="2472"/>
      <c r="R10" s="2511"/>
      <c r="S10" s="2511"/>
      <c r="T10" s="2472"/>
      <c r="U10" s="2472"/>
      <c r="V10" s="2511"/>
      <c r="W10" s="2511"/>
      <c r="X10" s="2511"/>
      <c r="Y10" s="2511"/>
      <c r="Z10" s="2511"/>
      <c r="AA10" s="2472"/>
      <c r="AB10" s="2511"/>
      <c r="AC10" s="2472"/>
      <c r="AD10" s="2472"/>
      <c r="AE10" s="2472"/>
      <c r="AF10" s="2472"/>
      <c r="AG10" s="2472"/>
      <c r="AH10" s="2472"/>
      <c r="AI10" s="2511"/>
      <c r="AJ10" s="2930"/>
      <c r="AK10" s="2511"/>
      <c r="AL10" s="2511"/>
      <c r="AM10" s="2511"/>
      <c r="AN10" s="2511"/>
      <c r="AO10" s="2511"/>
      <c r="AP10" s="2511"/>
      <c r="AQ10" s="2511"/>
      <c r="AR10" s="2472">
        <v>600</v>
      </c>
      <c r="AS10" s="2511"/>
      <c r="AT10" s="2511"/>
      <c r="AU10" s="2511"/>
      <c r="AV10" s="2511"/>
      <c r="AW10" s="2472"/>
      <c r="AX10" s="2511"/>
      <c r="AY10" s="2472"/>
      <c r="AZ10" s="2472"/>
      <c r="BA10" s="2511"/>
      <c r="BB10" s="2511"/>
      <c r="BC10" s="2511"/>
      <c r="BD10" s="2472"/>
      <c r="BE10" s="2472"/>
      <c r="BF10" s="2472"/>
      <c r="BG10" s="2472"/>
      <c r="BH10" s="2472"/>
      <c r="BI10" s="3728"/>
      <c r="BJ10" s="2472"/>
      <c r="BK10" s="3728"/>
      <c r="BL10" s="2472"/>
      <c r="BM10" s="2472"/>
      <c r="BN10" s="2472"/>
      <c r="BO10" s="2472"/>
      <c r="BP10" s="2472"/>
      <c r="BQ10" s="2472"/>
      <c r="BR10" s="2472"/>
      <c r="BS10" s="2472"/>
      <c r="BT10" s="2472"/>
      <c r="BU10" s="2472"/>
      <c r="BV10" s="2472"/>
      <c r="BW10" s="2472"/>
      <c r="BX10" s="2472">
        <v>4521</v>
      </c>
      <c r="BY10" s="2472"/>
      <c r="BZ10" s="2472"/>
      <c r="CA10" s="2472"/>
      <c r="CB10" s="3728">
        <v>4521</v>
      </c>
      <c r="CC10" s="2472"/>
      <c r="CD10" s="2472"/>
      <c r="CE10" s="2841"/>
      <c r="CF10" s="2841"/>
      <c r="CG10" s="2841"/>
      <c r="CH10" s="2472"/>
      <c r="CI10" s="2472">
        <v>4521</v>
      </c>
      <c r="CJ10" s="2841"/>
      <c r="CK10" s="2841"/>
      <c r="CL10" s="2841"/>
      <c r="CM10" s="2841"/>
      <c r="CN10" s="2841"/>
      <c r="CO10" s="2841"/>
      <c r="CP10" s="2841"/>
      <c r="CQ10" s="2472">
        <v>4521</v>
      </c>
      <c r="CR10" s="2472">
        <v>4555</v>
      </c>
      <c r="CS10" s="2472">
        <v>4555</v>
      </c>
      <c r="CT10" s="2472">
        <v>3000</v>
      </c>
      <c r="CU10" s="2841"/>
      <c r="CV10" s="2511"/>
      <c r="CW10" s="2841"/>
      <c r="CX10" s="2841"/>
      <c r="CY10" s="2841"/>
      <c r="CZ10" s="2472"/>
      <c r="DA10" s="2472"/>
      <c r="DB10" s="3728">
        <v>4555</v>
      </c>
      <c r="DC10" s="2472">
        <v>4521</v>
      </c>
      <c r="DD10" s="2841"/>
      <c r="DE10" s="2841"/>
      <c r="DF10" s="2841"/>
      <c r="DG10" s="2841"/>
      <c r="DH10" s="2841"/>
      <c r="DI10" s="2511"/>
      <c r="DJ10" s="2841"/>
      <c r="DK10" s="2841"/>
      <c r="DL10" s="2511"/>
      <c r="DM10" s="2472">
        <v>4521</v>
      </c>
      <c r="DN10" s="2841"/>
      <c r="DO10" s="2841"/>
      <c r="DP10" s="2841"/>
      <c r="DQ10" s="2841"/>
      <c r="DR10" s="2472"/>
      <c r="DS10" s="2841"/>
      <c r="DT10" s="2841"/>
      <c r="DU10" s="2841"/>
      <c r="DV10" s="2841"/>
      <c r="DW10" s="2841"/>
      <c r="DX10" s="2841"/>
      <c r="DY10" s="2841"/>
      <c r="DZ10" s="2841"/>
      <c r="EA10" s="2841"/>
      <c r="EB10" s="2841"/>
      <c r="EC10" s="2841"/>
      <c r="ED10" s="2841"/>
      <c r="EE10" s="2841"/>
      <c r="EF10" s="2841"/>
      <c r="EG10" s="2841"/>
      <c r="EH10" s="2841"/>
      <c r="EI10" s="2841"/>
      <c r="EJ10" s="2472">
        <v>1874</v>
      </c>
      <c r="EK10" s="2841"/>
      <c r="EL10" s="2841"/>
      <c r="EM10" s="2841"/>
      <c r="EN10" s="2472"/>
      <c r="EO10" s="2841"/>
      <c r="EP10" s="2841"/>
      <c r="EQ10" s="2841"/>
      <c r="ER10" s="2841"/>
      <c r="ES10" s="2841"/>
      <c r="ET10" s="2841"/>
      <c r="EU10" s="2472">
        <v>4555</v>
      </c>
      <c r="EV10" s="2841"/>
      <c r="EW10" s="2841"/>
      <c r="EX10" s="2841"/>
      <c r="EY10" s="2841"/>
      <c r="EZ10" s="2841"/>
      <c r="FA10" s="2841"/>
      <c r="FB10" s="2841"/>
      <c r="FC10" s="2841"/>
      <c r="FD10" s="2841"/>
      <c r="FE10" s="2841"/>
      <c r="FF10" s="2472"/>
      <c r="FG10" s="2841"/>
      <c r="FH10" s="2841"/>
      <c r="FI10" s="2841"/>
      <c r="FJ10" s="2841"/>
      <c r="FK10" s="2841"/>
      <c r="FL10" s="2841"/>
      <c r="FM10" s="2841"/>
      <c r="FN10" s="2841"/>
      <c r="FO10" s="2841"/>
      <c r="FP10" s="2841"/>
      <c r="FQ10" s="2841"/>
      <c r="FR10" s="2841"/>
      <c r="FS10" s="2841"/>
      <c r="FT10" s="2472"/>
      <c r="FU10" s="2472"/>
      <c r="FV10" s="2472">
        <v>3000</v>
      </c>
      <c r="FW10" s="2841"/>
      <c r="FX10" s="2472">
        <v>4555</v>
      </c>
      <c r="FY10" s="2841"/>
      <c r="FZ10" s="2841"/>
      <c r="GA10" s="2841"/>
      <c r="GB10" s="2841"/>
      <c r="GC10" s="2841"/>
      <c r="GD10" s="2841"/>
      <c r="GE10" s="2472">
        <v>1874</v>
      </c>
      <c r="GF10" s="2472">
        <v>1874</v>
      </c>
      <c r="GG10" s="2472">
        <v>4555</v>
      </c>
      <c r="GH10" s="2841"/>
      <c r="GI10" s="2841"/>
      <c r="GJ10" s="2472">
        <v>4555</v>
      </c>
      <c r="GK10" s="2841"/>
      <c r="GL10" s="2841"/>
      <c r="GM10" s="2841"/>
      <c r="GN10" s="2841"/>
      <c r="GO10" s="2841"/>
      <c r="GP10" s="2841"/>
      <c r="GQ10" s="2841"/>
      <c r="GR10" s="2841"/>
      <c r="GS10" s="2841"/>
      <c r="GT10" s="2841"/>
      <c r="GU10" s="2841"/>
      <c r="GV10" s="2841"/>
      <c r="GW10" s="2472">
        <v>4555</v>
      </c>
      <c r="GX10" s="2472">
        <v>4521</v>
      </c>
      <c r="GY10" s="2841"/>
      <c r="GZ10" s="2841"/>
      <c r="HA10" s="2841"/>
      <c r="HB10" s="2511"/>
      <c r="HC10" s="2841"/>
      <c r="HD10" s="2472"/>
      <c r="HE10" s="2841"/>
      <c r="HF10" s="2472"/>
      <c r="HG10" s="2472"/>
      <c r="HH10" s="2841"/>
      <c r="HI10" s="2841"/>
      <c r="HJ10" s="2841"/>
      <c r="HK10" s="2841"/>
      <c r="HL10" s="2841"/>
      <c r="HM10" s="2841"/>
      <c r="HN10" s="2841"/>
      <c r="HO10" s="2841"/>
      <c r="HP10" s="2841"/>
      <c r="HQ10" s="2841"/>
      <c r="HR10" s="2841"/>
      <c r="HS10" s="2472">
        <v>3000</v>
      </c>
      <c r="HT10" s="2841"/>
      <c r="HU10" s="2841"/>
      <c r="HV10" s="2841"/>
      <c r="HW10" s="2841"/>
      <c r="HX10" s="2841"/>
      <c r="HY10" s="2841"/>
      <c r="HZ10" s="2841"/>
      <c r="IA10" s="2841"/>
      <c r="IB10" s="2841"/>
      <c r="IC10" s="2841"/>
      <c r="ID10" s="2841"/>
      <c r="IE10" s="2841"/>
      <c r="IF10" s="2841"/>
      <c r="IG10" s="2841"/>
      <c r="IH10" s="2841"/>
      <c r="II10" s="2841"/>
      <c r="IJ10" s="2841"/>
      <c r="IK10" s="2841"/>
      <c r="IL10" s="2841"/>
      <c r="IM10" s="2841"/>
      <c r="IN10" s="2841"/>
      <c r="IO10" s="2472"/>
      <c r="IP10" s="2841"/>
      <c r="IQ10" s="2841"/>
      <c r="IR10" s="2841"/>
      <c r="IS10" s="4009"/>
      <c r="IT10" s="3998"/>
      <c r="IU10" s="3998"/>
      <c r="IV10" s="3998"/>
      <c r="IW10" s="3998"/>
      <c r="IX10" s="3998"/>
      <c r="IY10" s="3998"/>
      <c r="IZ10" s="2841"/>
      <c r="JA10" s="3998"/>
      <c r="JB10" s="3998"/>
      <c r="JC10" s="2841"/>
      <c r="JD10" s="2841"/>
      <c r="JE10" s="2841"/>
      <c r="JF10" s="2841"/>
      <c r="JG10" s="2601"/>
      <c r="JH10" s="1233"/>
      <c r="JI10" s="1393"/>
      <c r="JJ10" s="1686" t="s">
        <v>6108</v>
      </c>
    </row>
    <row r="11" spans="1:270" x14ac:dyDescent="0.2">
      <c r="A11" s="1128">
        <v>11</v>
      </c>
      <c r="B11" s="1534" t="str">
        <f si="0" t="shared"/>
        <v/>
      </c>
      <c r="C11" s="1728" t="s">
        <v>1083</v>
      </c>
      <c r="D11" s="1727" t="s">
        <v>5454</v>
      </c>
      <c r="E11" s="2511"/>
      <c r="F11" s="2472"/>
      <c r="G11" s="2511"/>
      <c r="H11" s="2511"/>
      <c r="I11" s="2511"/>
      <c r="J11" s="2511"/>
      <c r="K11" s="2511"/>
      <c r="L11" s="2511"/>
      <c r="M11" s="2472"/>
      <c r="N11" s="2511"/>
      <c r="O11" s="2472"/>
      <c r="P11" s="2511"/>
      <c r="Q11" s="2472"/>
      <c r="R11" s="2511"/>
      <c r="S11" s="2511"/>
      <c r="T11" s="2472"/>
      <c r="U11" s="2472"/>
      <c r="V11" s="2511"/>
      <c r="W11" s="2511"/>
      <c r="X11" s="2511"/>
      <c r="Y11" s="2511"/>
      <c r="Z11" s="2511"/>
      <c r="AA11" s="2472"/>
      <c r="AB11" s="2511"/>
      <c r="AC11" s="2472"/>
      <c r="AD11" s="2472"/>
      <c r="AE11" s="2472"/>
      <c r="AF11" s="2472"/>
      <c r="AG11" s="2472"/>
      <c r="AH11" s="2472"/>
      <c r="AI11" s="2511"/>
      <c r="AJ11" s="2930"/>
      <c r="AK11" s="2511"/>
      <c r="AL11" s="2511"/>
      <c r="AM11" s="2511"/>
      <c r="AN11" s="2511"/>
      <c r="AO11" s="2511"/>
      <c r="AP11" s="2511"/>
      <c r="AQ11" s="2511"/>
      <c r="AR11" s="2472">
        <v>100</v>
      </c>
      <c r="AS11" s="2511"/>
      <c r="AT11" s="2511"/>
      <c r="AU11" s="2511"/>
      <c r="AV11" s="2511"/>
      <c r="AW11" s="2472"/>
      <c r="AX11" s="2511"/>
      <c r="AY11" s="2472"/>
      <c r="AZ11" s="2472"/>
      <c r="BA11" s="2511"/>
      <c r="BB11" s="2511"/>
      <c r="BC11" s="2511"/>
      <c r="BD11" s="2472"/>
      <c r="BE11" s="2472"/>
      <c r="BF11" s="2472"/>
      <c r="BG11" s="2472"/>
      <c r="BH11" s="2472"/>
      <c r="BI11" s="3728"/>
      <c r="BJ11" s="2472"/>
      <c r="BK11" s="3728"/>
      <c r="BL11" s="2472"/>
      <c r="BM11" s="2472"/>
      <c r="BN11" s="2472"/>
      <c r="BO11" s="2472"/>
      <c r="BP11" s="2472"/>
      <c r="BQ11" s="2472"/>
      <c r="BR11" s="2472"/>
      <c r="BS11" s="2472"/>
      <c r="BT11" s="2472"/>
      <c r="BU11" s="2472"/>
      <c r="BV11" s="2472"/>
      <c r="BW11" s="2472"/>
      <c r="BX11" s="2472">
        <v>364</v>
      </c>
      <c r="BY11" s="2472"/>
      <c r="BZ11" s="2472"/>
      <c r="CA11" s="2472"/>
      <c r="CB11" s="3728">
        <v>364</v>
      </c>
      <c r="CC11" s="2472"/>
      <c r="CD11" s="2472"/>
      <c r="CE11" s="2841"/>
      <c r="CF11" s="2841"/>
      <c r="CG11" s="2841"/>
      <c r="CH11" s="2472"/>
      <c r="CI11" s="2472">
        <v>364</v>
      </c>
      <c r="CJ11" s="2841"/>
      <c r="CK11" s="2841"/>
      <c r="CL11" s="2841"/>
      <c r="CM11" s="2841"/>
      <c r="CN11" s="2841"/>
      <c r="CO11" s="2841"/>
      <c r="CP11" s="2841"/>
      <c r="CQ11" s="2472">
        <v>364</v>
      </c>
      <c r="CR11" s="2472">
        <v>2320</v>
      </c>
      <c r="CS11" s="2472">
        <v>2320</v>
      </c>
      <c r="CT11" s="2472">
        <v>250</v>
      </c>
      <c r="CU11" s="2841"/>
      <c r="CV11" s="2511">
        <v>9023</v>
      </c>
      <c r="CW11" s="2841"/>
      <c r="CX11" s="2841"/>
      <c r="CY11" s="2841"/>
      <c r="CZ11" s="2472"/>
      <c r="DA11" s="2472"/>
      <c r="DB11" s="3728">
        <v>2000</v>
      </c>
      <c r="DC11" s="2472">
        <v>364</v>
      </c>
      <c r="DD11" s="2841"/>
      <c r="DE11" s="2841"/>
      <c r="DF11" s="2841"/>
      <c r="DG11" s="2841"/>
      <c r="DH11" s="2841"/>
      <c r="DI11" s="2511">
        <v>9023</v>
      </c>
      <c r="DJ11" s="2841"/>
      <c r="DK11" s="2841"/>
      <c r="DL11" s="2511">
        <v>9023</v>
      </c>
      <c r="DM11" s="2472">
        <v>364</v>
      </c>
      <c r="DN11" s="2841"/>
      <c r="DO11" s="2841"/>
      <c r="DP11" s="2841"/>
      <c r="DQ11" s="2841"/>
      <c r="DR11" s="2472"/>
      <c r="DS11" s="2841"/>
      <c r="DT11" s="2841"/>
      <c r="DU11" s="2841"/>
      <c r="DV11" s="2841"/>
      <c r="DW11" s="2841"/>
      <c r="DX11" s="2841"/>
      <c r="DY11" s="2841"/>
      <c r="DZ11" s="2841"/>
      <c r="EA11" s="2841"/>
      <c r="EB11" s="2841"/>
      <c r="EC11" s="2841"/>
      <c r="ED11" s="2841"/>
      <c r="EE11" s="2841"/>
      <c r="EF11" s="2841"/>
      <c r="EG11" s="2841"/>
      <c r="EH11" s="2841"/>
      <c r="EI11" s="2841"/>
      <c r="EJ11" s="2472"/>
      <c r="EK11" s="2841"/>
      <c r="EL11" s="2841"/>
      <c r="EM11" s="2841"/>
      <c r="EN11" s="2472"/>
      <c r="EO11" s="2841"/>
      <c r="EP11" s="2841"/>
      <c r="EQ11" s="2841"/>
      <c r="ER11" s="2841"/>
      <c r="ES11" s="2841"/>
      <c r="ET11" s="2841"/>
      <c r="EU11" s="2472">
        <v>2320</v>
      </c>
      <c r="EV11" s="2841"/>
      <c r="EW11" s="2841"/>
      <c r="EX11" s="2841"/>
      <c r="EY11" s="2841"/>
      <c r="EZ11" s="2841"/>
      <c r="FA11" s="2841"/>
      <c r="FB11" s="2841"/>
      <c r="FC11" s="2841"/>
      <c r="FD11" s="2841"/>
      <c r="FE11" s="2841"/>
      <c r="FF11" s="2472"/>
      <c r="FG11" s="2841"/>
      <c r="FH11" s="2841"/>
      <c r="FI11" s="2841"/>
      <c r="FJ11" s="2841"/>
      <c r="FK11" s="2841"/>
      <c r="FL11" s="2841"/>
      <c r="FM11" s="2841"/>
      <c r="FN11" s="2841"/>
      <c r="FO11" s="2841"/>
      <c r="FP11" s="2841"/>
      <c r="FQ11" s="2841"/>
      <c r="FR11" s="2841"/>
      <c r="FS11" s="2841"/>
      <c r="FT11" s="2472"/>
      <c r="FU11" s="2472"/>
      <c r="FV11" s="2472">
        <v>250</v>
      </c>
      <c r="FW11" s="2841"/>
      <c r="FX11" s="2472">
        <v>2320</v>
      </c>
      <c r="FY11" s="2841"/>
      <c r="FZ11" s="2841"/>
      <c r="GA11" s="2841"/>
      <c r="GB11" s="2841"/>
      <c r="GC11" s="2841"/>
      <c r="GD11" s="2841"/>
      <c r="GE11" s="2472"/>
      <c r="GF11" s="2472"/>
      <c r="GG11" s="2472">
        <v>2320</v>
      </c>
      <c r="GH11" s="2841"/>
      <c r="GI11" s="2841"/>
      <c r="GJ11" s="2472">
        <v>2320</v>
      </c>
      <c r="GK11" s="2841"/>
      <c r="GL11" s="2841"/>
      <c r="GM11" s="2841"/>
      <c r="GN11" s="2841"/>
      <c r="GO11" s="2841"/>
      <c r="GP11" s="2841"/>
      <c r="GQ11" s="2841"/>
      <c r="GR11" s="2841"/>
      <c r="GS11" s="2841"/>
      <c r="GT11" s="2841"/>
      <c r="GU11" s="2841"/>
      <c r="GV11" s="2841"/>
      <c r="GW11" s="2472">
        <v>2320</v>
      </c>
      <c r="GX11" s="2472">
        <v>364</v>
      </c>
      <c r="GY11" s="2841"/>
      <c r="GZ11" s="2841"/>
      <c r="HA11" s="2841"/>
      <c r="HB11" s="2511">
        <v>9023</v>
      </c>
      <c r="HC11" s="2841"/>
      <c r="HD11" s="2472"/>
      <c r="HE11" s="2841"/>
      <c r="HF11" s="2472"/>
      <c r="HG11" s="2472"/>
      <c r="HH11" s="2841"/>
      <c r="HI11" s="2841"/>
      <c r="HJ11" s="2841"/>
      <c r="HK11" s="2841"/>
      <c r="HL11" s="2841"/>
      <c r="HM11" s="2841"/>
      <c r="HN11" s="2841"/>
      <c r="HO11" s="2841"/>
      <c r="HP11" s="2841"/>
      <c r="HQ11" s="2841"/>
      <c r="HR11" s="2841"/>
      <c r="HS11" s="2472">
        <v>250</v>
      </c>
      <c r="HT11" s="2841"/>
      <c r="HU11" s="2841"/>
      <c r="HV11" s="2841"/>
      <c r="HW11" s="2841"/>
      <c r="HX11" s="2841"/>
      <c r="HY11" s="2841"/>
      <c r="HZ11" s="2841"/>
      <c r="IA11" s="2841"/>
      <c r="IB11" s="2841"/>
      <c r="IC11" s="2841"/>
      <c r="ID11" s="2841"/>
      <c r="IE11" s="2841"/>
      <c r="IF11" s="2841"/>
      <c r="IG11" s="2841"/>
      <c r="IH11" s="2841"/>
      <c r="II11" s="2841"/>
      <c r="IJ11" s="2841"/>
      <c r="IK11" s="2841"/>
      <c r="IL11" s="2841"/>
      <c r="IM11" s="2841"/>
      <c r="IN11" s="2841"/>
      <c r="IO11" s="2472"/>
      <c r="IP11" s="2841"/>
      <c r="IQ11" s="2841"/>
      <c r="IR11" s="2841"/>
      <c r="IS11" s="4009"/>
      <c r="IT11" s="3998"/>
      <c r="IU11" s="3998"/>
      <c r="IV11" s="3998"/>
      <c r="IW11" s="3998"/>
      <c r="IX11" s="3998"/>
      <c r="IY11" s="3998"/>
      <c r="IZ11" s="2841"/>
      <c r="JA11" s="3998"/>
      <c r="JB11" s="3998"/>
      <c r="JC11" s="2841"/>
      <c r="JD11" s="2841"/>
      <c r="JE11" s="2841"/>
      <c r="JF11" s="2841"/>
      <c r="JG11" s="2601"/>
      <c r="JH11" s="1233"/>
      <c r="JI11" s="1393"/>
      <c r="JJ11" s="1686" t="s">
        <v>6108</v>
      </c>
    </row>
    <row r="12" spans="1:270" x14ac:dyDescent="0.2">
      <c r="A12" s="1128">
        <v>12</v>
      </c>
      <c r="B12" s="1534" t="str">
        <f si="0" t="shared"/>
        <v/>
      </c>
      <c r="C12" s="1728" t="s">
        <v>1084</v>
      </c>
      <c r="D12" s="1727" t="s">
        <v>1865</v>
      </c>
      <c r="E12" s="2511"/>
      <c r="F12" s="2472"/>
      <c r="G12" s="2511"/>
      <c r="H12" s="2511"/>
      <c r="I12" s="2511"/>
      <c r="J12" s="2511"/>
      <c r="K12" s="2511"/>
      <c r="L12" s="2511"/>
      <c r="M12" s="2472"/>
      <c r="N12" s="2511"/>
      <c r="O12" s="2472"/>
      <c r="P12" s="2511"/>
      <c r="Q12" s="2472"/>
      <c r="R12" s="2511"/>
      <c r="S12" s="2511"/>
      <c r="T12" s="2472"/>
      <c r="U12" s="2472"/>
      <c r="V12" s="2511"/>
      <c r="W12" s="2511"/>
      <c r="X12" s="2511"/>
      <c r="Y12" s="2511"/>
      <c r="Z12" s="2511"/>
      <c r="AA12" s="2472"/>
      <c r="AB12" s="2511"/>
      <c r="AC12" s="2472"/>
      <c r="AD12" s="2472"/>
      <c r="AE12" s="2472"/>
      <c r="AF12" s="2472"/>
      <c r="AG12" s="2472"/>
      <c r="AH12" s="2472"/>
      <c r="AI12" s="2511"/>
      <c r="AJ12" s="2930"/>
      <c r="AK12" s="2511"/>
      <c r="AL12" s="2511"/>
      <c r="AM12" s="2511"/>
      <c r="AN12" s="2511"/>
      <c r="AO12" s="2511"/>
      <c r="AP12" s="2511"/>
      <c r="AQ12" s="2511"/>
      <c r="AR12" s="2472">
        <v>30</v>
      </c>
      <c r="AS12" s="2511"/>
      <c r="AT12" s="2511"/>
      <c r="AU12" s="2511"/>
      <c r="AV12" s="2511"/>
      <c r="AW12" s="2472"/>
      <c r="AX12" s="2511"/>
      <c r="AY12" s="2472"/>
      <c r="AZ12" s="2472"/>
      <c r="BA12" s="2511"/>
      <c r="BB12" s="2511"/>
      <c r="BC12" s="2511"/>
      <c r="BD12" s="2472"/>
      <c r="BE12" s="2472"/>
      <c r="BF12" s="2472"/>
      <c r="BG12" s="2472"/>
      <c r="BH12" s="2472"/>
      <c r="BI12" s="3728"/>
      <c r="BJ12" s="2472"/>
      <c r="BK12" s="3728"/>
      <c r="BL12" s="2472"/>
      <c r="BM12" s="2472"/>
      <c r="BN12" s="2472"/>
      <c r="BO12" s="2472"/>
      <c r="BP12" s="2472"/>
      <c r="BQ12" s="2472"/>
      <c r="BR12" s="2472"/>
      <c r="BS12" s="2472"/>
      <c r="BT12" s="2472"/>
      <c r="BU12" s="2472"/>
      <c r="BV12" s="2472"/>
      <c r="BW12" s="2472"/>
      <c r="BX12" s="2472">
        <v>27</v>
      </c>
      <c r="BY12" s="2472"/>
      <c r="BZ12" s="2472"/>
      <c r="CA12" s="2472"/>
      <c r="CB12" s="3728">
        <v>27</v>
      </c>
      <c r="CC12" s="2472"/>
      <c r="CD12" s="2472"/>
      <c r="CE12" s="2841"/>
      <c r="CF12" s="2841"/>
      <c r="CG12" s="2841"/>
      <c r="CH12" s="2472"/>
      <c r="CI12" s="2472">
        <v>27</v>
      </c>
      <c r="CJ12" s="2841"/>
      <c r="CK12" s="2841"/>
      <c r="CL12" s="2841"/>
      <c r="CM12" s="2841"/>
      <c r="CN12" s="2841"/>
      <c r="CO12" s="2841"/>
      <c r="CP12" s="2841"/>
      <c r="CQ12" s="2472">
        <v>27</v>
      </c>
      <c r="CR12" s="2472"/>
      <c r="CS12" s="2472"/>
      <c r="CT12" s="2472">
        <v>325</v>
      </c>
      <c r="CU12" s="2841"/>
      <c r="CV12" s="2511"/>
      <c r="CW12" s="2841"/>
      <c r="CX12" s="2841"/>
      <c r="CY12" s="2841"/>
      <c r="CZ12" s="2472"/>
      <c r="DA12" s="2472"/>
      <c r="DB12" s="3728">
        <v>320</v>
      </c>
      <c r="DC12" s="2472">
        <v>27</v>
      </c>
      <c r="DD12" s="2841"/>
      <c r="DE12" s="2841"/>
      <c r="DF12" s="2841"/>
      <c r="DG12" s="2841"/>
      <c r="DH12" s="2841"/>
      <c r="DI12" s="2511"/>
      <c r="DJ12" s="2841"/>
      <c r="DK12" s="2841"/>
      <c r="DL12" s="2511"/>
      <c r="DM12" s="2472">
        <v>27</v>
      </c>
      <c r="DN12" s="2841"/>
      <c r="DO12" s="2841"/>
      <c r="DP12" s="2841"/>
      <c r="DQ12" s="2841"/>
      <c r="DR12" s="2472"/>
      <c r="DS12" s="2841"/>
      <c r="DT12" s="2841"/>
      <c r="DU12" s="2841"/>
      <c r="DV12" s="2841"/>
      <c r="DW12" s="2841"/>
      <c r="DX12" s="2841"/>
      <c r="DY12" s="2841"/>
      <c r="DZ12" s="2841"/>
      <c r="EA12" s="2841"/>
      <c r="EB12" s="2841"/>
      <c r="EC12" s="2841"/>
      <c r="ED12" s="2841"/>
      <c r="EE12" s="2841"/>
      <c r="EF12" s="2841"/>
      <c r="EG12" s="2841"/>
      <c r="EH12" s="2841"/>
      <c r="EI12" s="2841"/>
      <c r="EJ12" s="2472"/>
      <c r="EK12" s="2841"/>
      <c r="EL12" s="2841"/>
      <c r="EM12" s="2841"/>
      <c r="EN12" s="2472"/>
      <c r="EO12" s="2841"/>
      <c r="EP12" s="2841"/>
      <c r="EQ12" s="2841"/>
      <c r="ER12" s="2841"/>
      <c r="ES12" s="2841"/>
      <c r="ET12" s="2841"/>
      <c r="EU12" s="2472"/>
      <c r="EV12" s="2841"/>
      <c r="EW12" s="2841"/>
      <c r="EX12" s="2841"/>
      <c r="EY12" s="2841"/>
      <c r="EZ12" s="2841"/>
      <c r="FA12" s="2841"/>
      <c r="FB12" s="2841"/>
      <c r="FC12" s="2841"/>
      <c r="FD12" s="2841"/>
      <c r="FE12" s="2841"/>
      <c r="FF12" s="2472"/>
      <c r="FG12" s="2841"/>
      <c r="FH12" s="2841"/>
      <c r="FI12" s="2841"/>
      <c r="FJ12" s="2841"/>
      <c r="FK12" s="2841"/>
      <c r="FL12" s="2841"/>
      <c r="FM12" s="2841"/>
      <c r="FN12" s="2841"/>
      <c r="FO12" s="2841"/>
      <c r="FP12" s="2841"/>
      <c r="FQ12" s="2841"/>
      <c r="FR12" s="2841"/>
      <c r="FS12" s="2841"/>
      <c r="FT12" s="2472"/>
      <c r="FU12" s="2472"/>
      <c r="FV12" s="2472">
        <v>325</v>
      </c>
      <c r="FW12" s="2841"/>
      <c r="FX12" s="2472"/>
      <c r="FY12" s="2841"/>
      <c r="FZ12" s="2841"/>
      <c r="GA12" s="2841"/>
      <c r="GB12" s="2841"/>
      <c r="GC12" s="2841"/>
      <c r="GD12" s="2841"/>
      <c r="GE12" s="2472"/>
      <c r="GF12" s="2472"/>
      <c r="GG12" s="2472"/>
      <c r="GH12" s="2841"/>
      <c r="GI12" s="2841"/>
      <c r="GJ12" s="2472"/>
      <c r="GK12" s="2841"/>
      <c r="GL12" s="2841"/>
      <c r="GM12" s="2841"/>
      <c r="GN12" s="2841"/>
      <c r="GO12" s="2841"/>
      <c r="GP12" s="2841"/>
      <c r="GQ12" s="2841"/>
      <c r="GR12" s="2841"/>
      <c r="GS12" s="2841"/>
      <c r="GT12" s="2841"/>
      <c r="GU12" s="2841"/>
      <c r="GV12" s="2841"/>
      <c r="GW12" s="2472"/>
      <c r="GX12" s="2472">
        <v>27</v>
      </c>
      <c r="GY12" s="2841"/>
      <c r="GZ12" s="2841"/>
      <c r="HA12" s="2841"/>
      <c r="HB12" s="2511"/>
      <c r="HC12" s="2841"/>
      <c r="HD12" s="2472"/>
      <c r="HE12" s="2841"/>
      <c r="HF12" s="2472"/>
      <c r="HG12" s="2472"/>
      <c r="HH12" s="2841"/>
      <c r="HI12" s="2841"/>
      <c r="HJ12" s="2841"/>
      <c r="HK12" s="2841"/>
      <c r="HL12" s="2841"/>
      <c r="HM12" s="2841"/>
      <c r="HN12" s="2841"/>
      <c r="HO12" s="2841"/>
      <c r="HP12" s="2841"/>
      <c r="HQ12" s="2841"/>
      <c r="HR12" s="2841"/>
      <c r="HS12" s="2472">
        <v>325</v>
      </c>
      <c r="HT12" s="2841"/>
      <c r="HU12" s="2841"/>
      <c r="HV12" s="2841"/>
      <c r="HW12" s="2841"/>
      <c r="HX12" s="2841"/>
      <c r="HY12" s="2841"/>
      <c r="HZ12" s="2841"/>
      <c r="IA12" s="2841"/>
      <c r="IB12" s="2841"/>
      <c r="IC12" s="2841"/>
      <c r="ID12" s="2841"/>
      <c r="IE12" s="2841"/>
      <c r="IF12" s="2841"/>
      <c r="IG12" s="2841"/>
      <c r="IH12" s="2841"/>
      <c r="II12" s="2841"/>
      <c r="IJ12" s="2841"/>
      <c r="IK12" s="2841"/>
      <c r="IL12" s="2841"/>
      <c r="IM12" s="2841"/>
      <c r="IN12" s="2841"/>
      <c r="IO12" s="2472"/>
      <c r="IP12" s="2841"/>
      <c r="IQ12" s="2841"/>
      <c r="IR12" s="2841"/>
      <c r="IS12" s="4009"/>
      <c r="IT12" s="3998"/>
      <c r="IU12" s="3998"/>
      <c r="IV12" s="3998"/>
      <c r="IW12" s="3998"/>
      <c r="IX12" s="3998"/>
      <c r="IY12" s="3998"/>
      <c r="IZ12" s="2841"/>
      <c r="JA12" s="3998"/>
      <c r="JB12" s="3998"/>
      <c r="JC12" s="2841"/>
      <c r="JD12" s="2841"/>
      <c r="JE12" s="2841"/>
      <c r="JF12" s="2841"/>
      <c r="JG12" s="2601"/>
      <c r="JH12" s="1233"/>
      <c r="JI12" s="1393"/>
      <c r="JJ12" s="1686" t="s">
        <v>6108</v>
      </c>
    </row>
    <row r="13" spans="1:270" x14ac:dyDescent="0.2">
      <c r="A13" s="1128">
        <v>13</v>
      </c>
      <c r="B13" s="1534" t="str">
        <f si="0" t="shared"/>
        <v/>
      </c>
      <c r="C13" s="1728" t="s">
        <v>1085</v>
      </c>
      <c r="D13" s="1727" t="s">
        <v>5705</v>
      </c>
      <c r="E13" s="2511"/>
      <c r="F13" s="2472"/>
      <c r="G13" s="2511"/>
      <c r="H13" s="2511"/>
      <c r="I13" s="2511"/>
      <c r="J13" s="2511"/>
      <c r="K13" s="2511"/>
      <c r="L13" s="2511"/>
      <c r="M13" s="2472"/>
      <c r="N13" s="2511"/>
      <c r="O13" s="2472"/>
      <c r="P13" s="2511"/>
      <c r="Q13" s="2472"/>
      <c r="R13" s="2511"/>
      <c r="S13" s="2511"/>
      <c r="T13" s="2472"/>
      <c r="U13" s="2472"/>
      <c r="V13" s="2511"/>
      <c r="W13" s="2511"/>
      <c r="X13" s="2511"/>
      <c r="Y13" s="2511"/>
      <c r="Z13" s="2511"/>
      <c r="AA13" s="2472"/>
      <c r="AB13" s="2511"/>
      <c r="AC13" s="2472"/>
      <c r="AD13" s="2472"/>
      <c r="AE13" s="2472"/>
      <c r="AF13" s="2472"/>
      <c r="AG13" s="2472"/>
      <c r="AH13" s="2472"/>
      <c r="AI13" s="2511"/>
      <c r="AJ13" s="2930"/>
      <c r="AK13" s="2511"/>
      <c r="AL13" s="2511"/>
      <c r="AM13" s="2511"/>
      <c r="AN13" s="2511"/>
      <c r="AO13" s="2511"/>
      <c r="AP13" s="2511"/>
      <c r="AQ13" s="2511"/>
      <c r="AR13" s="2472"/>
      <c r="AS13" s="2511"/>
      <c r="AT13" s="2511"/>
      <c r="AU13" s="2511"/>
      <c r="AV13" s="2511"/>
      <c r="AW13" s="2472"/>
      <c r="AX13" s="2511"/>
      <c r="AY13" s="2472"/>
      <c r="AZ13" s="2472"/>
      <c r="BA13" s="2511"/>
      <c r="BB13" s="2511"/>
      <c r="BC13" s="2511"/>
      <c r="BD13" s="2472"/>
      <c r="BE13" s="2472"/>
      <c r="BF13" s="2472"/>
      <c r="BG13" s="2472"/>
      <c r="BH13" s="2472"/>
      <c r="BI13" s="3728"/>
      <c r="BJ13" s="2472"/>
      <c r="BK13" s="3728"/>
      <c r="BL13" s="2472"/>
      <c r="BM13" s="2472"/>
      <c r="BN13" s="2472"/>
      <c r="BO13" s="2472"/>
      <c r="BP13" s="2472"/>
      <c r="BQ13" s="2472"/>
      <c r="BR13" s="2472"/>
      <c r="BS13" s="2472"/>
      <c r="BT13" s="2472"/>
      <c r="BU13" s="2472"/>
      <c r="BV13" s="2472"/>
      <c r="BW13" s="2472"/>
      <c r="BX13" s="2472">
        <v>370</v>
      </c>
      <c r="BY13" s="2472"/>
      <c r="BZ13" s="2472"/>
      <c r="CA13" s="2472"/>
      <c r="CB13" s="3728">
        <v>370</v>
      </c>
      <c r="CC13" s="2472"/>
      <c r="CD13" s="2472"/>
      <c r="CE13" s="2841"/>
      <c r="CF13" s="2841"/>
      <c r="CG13" s="2841"/>
      <c r="CH13" s="2472"/>
      <c r="CI13" s="2472">
        <v>370</v>
      </c>
      <c r="CJ13" s="2841"/>
      <c r="CK13" s="2841"/>
      <c r="CL13" s="2841"/>
      <c r="CM13" s="2841"/>
      <c r="CN13" s="2841"/>
      <c r="CO13" s="2841"/>
      <c r="CP13" s="2841"/>
      <c r="CQ13" s="2472">
        <v>370</v>
      </c>
      <c r="CR13" s="2472">
        <v>1150</v>
      </c>
      <c r="CS13" s="2472">
        <v>1150</v>
      </c>
      <c r="CT13" s="2472"/>
      <c r="CU13" s="2841"/>
      <c r="CV13" s="2511"/>
      <c r="CW13" s="2841"/>
      <c r="CX13" s="2841"/>
      <c r="CY13" s="2841"/>
      <c r="CZ13" s="2472"/>
      <c r="DA13" s="2472"/>
      <c r="DB13" s="3728">
        <v>1150</v>
      </c>
      <c r="DC13" s="2472">
        <v>370</v>
      </c>
      <c r="DD13" s="2841"/>
      <c r="DE13" s="2841"/>
      <c r="DF13" s="2841"/>
      <c r="DG13" s="2841"/>
      <c r="DH13" s="2841"/>
      <c r="DI13" s="2511"/>
      <c r="DJ13" s="2841"/>
      <c r="DK13" s="2841"/>
      <c r="DL13" s="2511"/>
      <c r="DM13" s="2472">
        <v>370</v>
      </c>
      <c r="DN13" s="2841"/>
      <c r="DO13" s="2841"/>
      <c r="DP13" s="2841"/>
      <c r="DQ13" s="2841"/>
      <c r="DR13" s="2472"/>
      <c r="DS13" s="2841"/>
      <c r="DT13" s="2841"/>
      <c r="DU13" s="2841"/>
      <c r="DV13" s="2841"/>
      <c r="DW13" s="2841"/>
      <c r="DX13" s="2841"/>
      <c r="DY13" s="2841"/>
      <c r="DZ13" s="2841"/>
      <c r="EA13" s="2841"/>
      <c r="EB13" s="2841"/>
      <c r="EC13" s="2841"/>
      <c r="ED13" s="2841"/>
      <c r="EE13" s="2841"/>
      <c r="EF13" s="2841"/>
      <c r="EG13" s="2841"/>
      <c r="EH13" s="2841"/>
      <c r="EI13" s="2841"/>
      <c r="EJ13" s="2472">
        <v>135</v>
      </c>
      <c r="EK13" s="2841"/>
      <c r="EL13" s="2841"/>
      <c r="EM13" s="2841"/>
      <c r="EN13" s="2472"/>
      <c r="EO13" s="2841"/>
      <c r="EP13" s="2841"/>
      <c r="EQ13" s="2841"/>
      <c r="ER13" s="2841"/>
      <c r="ES13" s="2841"/>
      <c r="ET13" s="2841"/>
      <c r="EU13" s="2472">
        <v>1150</v>
      </c>
      <c r="EV13" s="2841"/>
      <c r="EW13" s="2841"/>
      <c r="EX13" s="2841"/>
      <c r="EY13" s="2841"/>
      <c r="EZ13" s="2841"/>
      <c r="FA13" s="2841"/>
      <c r="FB13" s="2841"/>
      <c r="FC13" s="2841"/>
      <c r="FD13" s="2841"/>
      <c r="FE13" s="2841"/>
      <c r="FF13" s="2472"/>
      <c r="FG13" s="2841"/>
      <c r="FH13" s="2841"/>
      <c r="FI13" s="2841"/>
      <c r="FJ13" s="2841"/>
      <c r="FK13" s="2841"/>
      <c r="FL13" s="2841"/>
      <c r="FM13" s="2841"/>
      <c r="FN13" s="2841"/>
      <c r="FO13" s="2841"/>
      <c r="FP13" s="2841"/>
      <c r="FQ13" s="2841"/>
      <c r="FR13" s="2841"/>
      <c r="FS13" s="2841"/>
      <c r="FT13" s="2472"/>
      <c r="FU13" s="2472"/>
      <c r="FV13" s="2472"/>
      <c r="FW13" s="2841"/>
      <c r="FX13" s="2472">
        <v>1150</v>
      </c>
      <c r="FY13" s="2841"/>
      <c r="FZ13" s="2841"/>
      <c r="GA13" s="2841"/>
      <c r="GB13" s="2841"/>
      <c r="GC13" s="2841"/>
      <c r="GD13" s="2841"/>
      <c r="GE13" s="2472">
        <v>135</v>
      </c>
      <c r="GF13" s="2472">
        <v>135</v>
      </c>
      <c r="GG13" s="2472">
        <v>1150</v>
      </c>
      <c r="GH13" s="2841"/>
      <c r="GI13" s="2841"/>
      <c r="GJ13" s="2472">
        <v>1150</v>
      </c>
      <c r="GK13" s="2841"/>
      <c r="GL13" s="2841"/>
      <c r="GM13" s="2841"/>
      <c r="GN13" s="2841"/>
      <c r="GO13" s="2841"/>
      <c r="GP13" s="2841"/>
      <c r="GQ13" s="2841"/>
      <c r="GR13" s="2841"/>
      <c r="GS13" s="2841"/>
      <c r="GT13" s="2841"/>
      <c r="GU13" s="2841"/>
      <c r="GV13" s="2841"/>
      <c r="GW13" s="2472">
        <v>1150</v>
      </c>
      <c r="GX13" s="2472">
        <v>370</v>
      </c>
      <c r="GY13" s="2841"/>
      <c r="GZ13" s="2841"/>
      <c r="HA13" s="2841"/>
      <c r="HB13" s="2511"/>
      <c r="HC13" s="2841"/>
      <c r="HD13" s="2472"/>
      <c r="HE13" s="2841"/>
      <c r="HF13" s="2472"/>
      <c r="HG13" s="2472"/>
      <c r="HH13" s="2841"/>
      <c r="HI13" s="2841"/>
      <c r="HJ13" s="2841"/>
      <c r="HK13" s="2841"/>
      <c r="HL13" s="2841"/>
      <c r="HM13" s="2841"/>
      <c r="HN13" s="2841"/>
      <c r="HO13" s="2841"/>
      <c r="HP13" s="2841"/>
      <c r="HQ13" s="2841"/>
      <c r="HR13" s="2841"/>
      <c r="HS13" s="2472"/>
      <c r="HT13" s="2841"/>
      <c r="HU13" s="2841"/>
      <c r="HV13" s="2841"/>
      <c r="HW13" s="2841"/>
      <c r="HX13" s="2841"/>
      <c r="HY13" s="2841"/>
      <c r="HZ13" s="2841"/>
      <c r="IA13" s="2841"/>
      <c r="IB13" s="2841"/>
      <c r="IC13" s="2841"/>
      <c r="ID13" s="2841"/>
      <c r="IE13" s="2841"/>
      <c r="IF13" s="2841"/>
      <c r="IG13" s="2841"/>
      <c r="IH13" s="2841"/>
      <c r="II13" s="2841"/>
      <c r="IJ13" s="2841"/>
      <c r="IK13" s="2841"/>
      <c r="IL13" s="2841"/>
      <c r="IM13" s="2841"/>
      <c r="IN13" s="2841"/>
      <c r="IO13" s="2472"/>
      <c r="IP13" s="2841"/>
      <c r="IQ13" s="2841"/>
      <c r="IR13" s="2841"/>
      <c r="IS13" s="4009"/>
      <c r="IT13" s="3998"/>
      <c r="IU13" s="3998"/>
      <c r="IV13" s="3998"/>
      <c r="IW13" s="3998"/>
      <c r="IX13" s="3998"/>
      <c r="IY13" s="3998"/>
      <c r="IZ13" s="2841"/>
      <c r="JA13" s="3998"/>
      <c r="JB13" s="3998"/>
      <c r="JC13" s="2841"/>
      <c r="JD13" s="2841"/>
      <c r="JE13" s="2841"/>
      <c r="JF13" s="2841"/>
      <c r="JG13" s="2601"/>
      <c r="JH13" s="1233"/>
      <c r="JI13" s="1393" t="s">
        <v>5690</v>
      </c>
      <c r="JJ13" s="1686" t="s">
        <v>6108</v>
      </c>
    </row>
    <row r="14" spans="1:270" x14ac:dyDescent="0.2">
      <c r="A14" s="1128">
        <v>14</v>
      </c>
      <c r="B14" s="1534" t="str">
        <f si="0" t="shared"/>
        <v/>
      </c>
      <c r="C14" s="1728" t="s">
        <v>1086</v>
      </c>
      <c r="D14" s="1727" t="s">
        <v>5333</v>
      </c>
      <c r="E14" s="2511"/>
      <c r="F14" s="2472"/>
      <c r="G14" s="2511"/>
      <c r="H14" s="2511"/>
      <c r="I14" s="2511"/>
      <c r="J14" s="2511"/>
      <c r="K14" s="2511"/>
      <c r="L14" s="2511"/>
      <c r="M14" s="2472"/>
      <c r="N14" s="2511"/>
      <c r="O14" s="2472"/>
      <c r="P14" s="2511"/>
      <c r="Q14" s="2472"/>
      <c r="R14" s="2511"/>
      <c r="S14" s="2511"/>
      <c r="T14" s="2472"/>
      <c r="U14" s="2472"/>
      <c r="V14" s="2511"/>
      <c r="W14" s="2511"/>
      <c r="X14" s="2511"/>
      <c r="Y14" s="2511"/>
      <c r="Z14" s="2511"/>
      <c r="AA14" s="2472"/>
      <c r="AB14" s="2511"/>
      <c r="AC14" s="2472"/>
      <c r="AD14" s="2472"/>
      <c r="AE14" s="2472"/>
      <c r="AF14" s="2472"/>
      <c r="AG14" s="2472"/>
      <c r="AH14" s="2472"/>
      <c r="AI14" s="2511"/>
      <c r="AJ14" s="2930"/>
      <c r="AK14" s="2511"/>
      <c r="AL14" s="2511"/>
      <c r="AM14" s="2511"/>
      <c r="AN14" s="2511"/>
      <c r="AO14" s="2511"/>
      <c r="AP14" s="2511"/>
      <c r="AQ14" s="2511"/>
      <c r="AR14" s="2472"/>
      <c r="AS14" s="2511"/>
      <c r="AT14" s="2511"/>
      <c r="AU14" s="2511"/>
      <c r="AV14" s="2511"/>
      <c r="AW14" s="2472"/>
      <c r="AX14" s="2511"/>
      <c r="AY14" s="2472"/>
      <c r="AZ14" s="2472"/>
      <c r="BA14" s="2511"/>
      <c r="BB14" s="2511"/>
      <c r="BC14" s="2511"/>
      <c r="BD14" s="2472"/>
      <c r="BE14" s="2472"/>
      <c r="BF14" s="2472"/>
      <c r="BG14" s="2472"/>
      <c r="BH14" s="2472"/>
      <c r="BI14" s="3728"/>
      <c r="BJ14" s="2472"/>
      <c r="BK14" s="3728"/>
      <c r="BL14" s="2472"/>
      <c r="BM14" s="2472"/>
      <c r="BN14" s="2472"/>
      <c r="BO14" s="2472"/>
      <c r="BP14" s="2472"/>
      <c r="BQ14" s="2472"/>
      <c r="BR14" s="2472"/>
      <c r="BS14" s="2472"/>
      <c r="BT14" s="2472"/>
      <c r="BU14" s="2472"/>
      <c r="BV14" s="2472"/>
      <c r="BW14" s="2472"/>
      <c r="BX14" s="2472">
        <v>567</v>
      </c>
      <c r="BY14" s="2472"/>
      <c r="BZ14" s="2472"/>
      <c r="CA14" s="2472"/>
      <c r="CB14" s="3728">
        <v>367</v>
      </c>
      <c r="CC14" s="2472"/>
      <c r="CD14" s="2472"/>
      <c r="CE14" s="2841"/>
      <c r="CF14" s="2841"/>
      <c r="CG14" s="2841"/>
      <c r="CH14" s="2472"/>
      <c r="CI14" s="2472">
        <v>567</v>
      </c>
      <c r="CJ14" s="2841"/>
      <c r="CK14" s="2841"/>
      <c r="CL14" s="2841"/>
      <c r="CM14" s="2841"/>
      <c r="CN14" s="2841"/>
      <c r="CO14" s="2841"/>
      <c r="CP14" s="2841"/>
      <c r="CQ14" s="2472">
        <v>567</v>
      </c>
      <c r="CR14" s="2472"/>
      <c r="CS14" s="2472"/>
      <c r="CT14" s="2472"/>
      <c r="CU14" s="2841"/>
      <c r="CV14" s="2511"/>
      <c r="CW14" s="2841"/>
      <c r="CX14" s="2841"/>
      <c r="CY14" s="2841"/>
      <c r="CZ14" s="2472"/>
      <c r="DA14" s="2472"/>
      <c r="DB14" s="3728"/>
      <c r="DC14" s="2472">
        <v>567</v>
      </c>
      <c r="DD14" s="2841"/>
      <c r="DE14" s="2841"/>
      <c r="DF14" s="2841"/>
      <c r="DG14" s="2841"/>
      <c r="DH14" s="2841"/>
      <c r="DI14" s="2511"/>
      <c r="DJ14" s="2841"/>
      <c r="DK14" s="2841"/>
      <c r="DL14" s="2511"/>
      <c r="DM14" s="2472">
        <v>567</v>
      </c>
      <c r="DN14" s="2841"/>
      <c r="DO14" s="2841"/>
      <c r="DP14" s="2841"/>
      <c r="DQ14" s="2841"/>
      <c r="DR14" s="2472"/>
      <c r="DS14" s="2841"/>
      <c r="DT14" s="2841"/>
      <c r="DU14" s="2841"/>
      <c r="DV14" s="2841"/>
      <c r="DW14" s="2841"/>
      <c r="DX14" s="2841"/>
      <c r="DY14" s="2841"/>
      <c r="DZ14" s="2841"/>
      <c r="EA14" s="2841"/>
      <c r="EB14" s="2841"/>
      <c r="EC14" s="2841"/>
      <c r="ED14" s="2841"/>
      <c r="EE14" s="2841"/>
      <c r="EF14" s="2841"/>
      <c r="EG14" s="2841"/>
      <c r="EH14" s="2841"/>
      <c r="EI14" s="2841"/>
      <c r="EJ14" s="2472"/>
      <c r="EK14" s="2841"/>
      <c r="EL14" s="2841"/>
      <c r="EM14" s="2841"/>
      <c r="EN14" s="2472"/>
      <c r="EO14" s="2841"/>
      <c r="EP14" s="2841"/>
      <c r="EQ14" s="2841"/>
      <c r="ER14" s="2841"/>
      <c r="ES14" s="2841"/>
      <c r="ET14" s="2841"/>
      <c r="EU14" s="2472"/>
      <c r="EV14" s="2841"/>
      <c r="EW14" s="2841"/>
      <c r="EX14" s="2841"/>
      <c r="EY14" s="2841"/>
      <c r="EZ14" s="2841"/>
      <c r="FA14" s="2841"/>
      <c r="FB14" s="2841"/>
      <c r="FC14" s="2841"/>
      <c r="FD14" s="2841"/>
      <c r="FE14" s="2841"/>
      <c r="FF14" s="2472"/>
      <c r="FG14" s="2841"/>
      <c r="FH14" s="2841"/>
      <c r="FI14" s="2841"/>
      <c r="FJ14" s="2841"/>
      <c r="FK14" s="2841"/>
      <c r="FL14" s="2841"/>
      <c r="FM14" s="2841"/>
      <c r="FN14" s="2841"/>
      <c r="FO14" s="2841"/>
      <c r="FP14" s="2841"/>
      <c r="FQ14" s="2841"/>
      <c r="FR14" s="2841"/>
      <c r="FS14" s="2841"/>
      <c r="FT14" s="2472"/>
      <c r="FU14" s="2472"/>
      <c r="FV14" s="2472"/>
      <c r="FW14" s="2841"/>
      <c r="FX14" s="2472"/>
      <c r="FY14" s="2841"/>
      <c r="FZ14" s="2841"/>
      <c r="GA14" s="2841"/>
      <c r="GB14" s="2841"/>
      <c r="GC14" s="2841"/>
      <c r="GD14" s="2841"/>
      <c r="GE14" s="2472"/>
      <c r="GF14" s="2472"/>
      <c r="GG14" s="2472"/>
      <c r="GH14" s="2841"/>
      <c r="GI14" s="2841"/>
      <c r="GJ14" s="2472"/>
      <c r="GK14" s="2841"/>
      <c r="GL14" s="2841"/>
      <c r="GM14" s="2841"/>
      <c r="GN14" s="2841"/>
      <c r="GO14" s="2841"/>
      <c r="GP14" s="2841"/>
      <c r="GQ14" s="2841"/>
      <c r="GR14" s="2841"/>
      <c r="GS14" s="2841"/>
      <c r="GT14" s="2841"/>
      <c r="GU14" s="2841"/>
      <c r="GV14" s="2841"/>
      <c r="GW14" s="2472"/>
      <c r="GX14" s="2472">
        <v>567</v>
      </c>
      <c r="GY14" s="2841"/>
      <c r="GZ14" s="2841"/>
      <c r="HA14" s="2841"/>
      <c r="HB14" s="2511"/>
      <c r="HC14" s="2841"/>
      <c r="HD14" s="2472"/>
      <c r="HE14" s="2841"/>
      <c r="HF14" s="2472"/>
      <c r="HG14" s="2472"/>
      <c r="HH14" s="2841"/>
      <c r="HI14" s="2841"/>
      <c r="HJ14" s="2841"/>
      <c r="HK14" s="2841"/>
      <c r="HL14" s="2841"/>
      <c r="HM14" s="2841"/>
      <c r="HN14" s="2841"/>
      <c r="HO14" s="2841"/>
      <c r="HP14" s="2841"/>
      <c r="HQ14" s="2841"/>
      <c r="HR14" s="2841"/>
      <c r="HS14" s="2472"/>
      <c r="HT14" s="2841"/>
      <c r="HU14" s="2841"/>
      <c r="HV14" s="2841"/>
      <c r="HW14" s="2841"/>
      <c r="HX14" s="2841"/>
      <c r="HY14" s="2841"/>
      <c r="HZ14" s="2841"/>
      <c r="IA14" s="2841"/>
      <c r="IB14" s="2841"/>
      <c r="IC14" s="2841"/>
      <c r="ID14" s="2841"/>
      <c r="IE14" s="2841"/>
      <c r="IF14" s="2841"/>
      <c r="IG14" s="2841"/>
      <c r="IH14" s="2841"/>
      <c r="II14" s="2841"/>
      <c r="IJ14" s="2841"/>
      <c r="IK14" s="2841"/>
      <c r="IL14" s="2841"/>
      <c r="IM14" s="2841"/>
      <c r="IN14" s="2841"/>
      <c r="IO14" s="2472"/>
      <c r="IP14" s="2841"/>
      <c r="IQ14" s="2841"/>
      <c r="IR14" s="2841"/>
      <c r="IS14" s="4009"/>
      <c r="IT14" s="3998"/>
      <c r="IU14" s="3998"/>
      <c r="IV14" s="3998"/>
      <c r="IW14" s="3998"/>
      <c r="IX14" s="3998"/>
      <c r="IY14" s="3998"/>
      <c r="IZ14" s="2841"/>
      <c r="JA14" s="3998"/>
      <c r="JB14" s="3998"/>
      <c r="JC14" s="2841"/>
      <c r="JD14" s="2841"/>
      <c r="JE14" s="2841"/>
      <c r="JF14" s="2841"/>
      <c r="JG14" s="2601"/>
      <c r="JH14" s="1233"/>
      <c r="JI14" s="2020" t="s">
        <v>6570</v>
      </c>
      <c r="JJ14" s="1686" t="s">
        <v>6108</v>
      </c>
    </row>
    <row r="15" spans="1:270" x14ac:dyDescent="0.2">
      <c r="A15" s="1128">
        <v>15</v>
      </c>
      <c r="B15" s="1534" t="str">
        <f ref="B15:B57" si="1" t="shared">IF(PRO_IND&gt;1,IF(HLOOKUP(PRO_IND-1,PRO_RANGE,A15)="","",HLOOKUP(PRO_IND-1,PRO_RANGE,A15)),"")</f>
        <v/>
      </c>
      <c r="C15" s="4053" t="s">
        <v>8497</v>
      </c>
      <c r="D15" s="4054" t="s">
        <v>8499</v>
      </c>
      <c r="E15" s="2511"/>
      <c r="F15" s="2472"/>
      <c r="G15" s="2511"/>
      <c r="H15" s="2511"/>
      <c r="I15" s="2511"/>
      <c r="J15" s="2511"/>
      <c r="K15" s="2511"/>
      <c r="L15" s="2511"/>
      <c r="M15" s="2472"/>
      <c r="N15" s="2511"/>
      <c r="O15" s="2472"/>
      <c r="P15" s="2511"/>
      <c r="Q15" s="2472"/>
      <c r="R15" s="2511"/>
      <c r="S15" s="2511"/>
      <c r="T15" s="2472"/>
      <c r="U15" s="2472"/>
      <c r="V15" s="2511"/>
      <c r="W15" s="2511"/>
      <c r="X15" s="2511"/>
      <c r="Y15" s="2511"/>
      <c r="Z15" s="2511"/>
      <c r="AA15" s="2472"/>
      <c r="AB15" s="2511"/>
      <c r="AC15" s="2472"/>
      <c r="AD15" s="2472"/>
      <c r="AE15" s="2472"/>
      <c r="AF15" s="2472"/>
      <c r="AG15" s="2472"/>
      <c r="AH15" s="2472"/>
      <c r="AI15" s="2511"/>
      <c r="AJ15" s="2930"/>
      <c r="AK15" s="2511"/>
      <c r="AL15" s="2511"/>
      <c r="AM15" s="2511"/>
      <c r="AN15" s="2511"/>
      <c r="AO15" s="2511"/>
      <c r="AP15" s="2511"/>
      <c r="AQ15" s="2511"/>
      <c r="AR15" s="2472"/>
      <c r="AS15" s="2511"/>
      <c r="AT15" s="2511"/>
      <c r="AU15" s="2511"/>
      <c r="AV15" s="2511"/>
      <c r="AW15" s="2472"/>
      <c r="AX15" s="2511"/>
      <c r="AY15" s="2472"/>
      <c r="AZ15" s="2472"/>
      <c r="BA15" s="2511"/>
      <c r="BB15" s="2511"/>
      <c r="BC15" s="2511"/>
      <c r="BD15" s="2472"/>
      <c r="BE15" s="2472"/>
      <c r="BF15" s="2472"/>
      <c r="BG15" s="2472"/>
      <c r="BH15" s="2472"/>
      <c r="BI15" s="3728"/>
      <c r="BJ15" s="2472"/>
      <c r="BK15" s="3728"/>
      <c r="BL15" s="2472"/>
      <c r="BM15" s="2472"/>
      <c r="BN15" s="2472"/>
      <c r="BO15" s="2472"/>
      <c r="BP15" s="2472"/>
      <c r="BQ15" s="2472"/>
      <c r="BR15" s="2472"/>
      <c r="BS15" s="2472"/>
      <c r="BT15" s="2472"/>
      <c r="BU15" s="2472"/>
      <c r="BV15" s="2472"/>
      <c r="BW15" s="2472"/>
      <c r="BX15" s="2472"/>
      <c r="BY15" s="2472"/>
      <c r="BZ15" s="2472"/>
      <c r="CA15" s="2472"/>
      <c r="CB15" s="3728">
        <v>7799</v>
      </c>
      <c r="CC15" s="2472"/>
      <c r="CD15" s="2472"/>
      <c r="CE15" s="2841"/>
      <c r="CF15" s="2841"/>
      <c r="CG15" s="2841"/>
      <c r="CH15" s="2472"/>
      <c r="CI15" s="2472"/>
      <c r="CJ15" s="2841"/>
      <c r="CK15" s="2841"/>
      <c r="CL15" s="2841"/>
      <c r="CM15" s="2841"/>
      <c r="CN15" s="2841"/>
      <c r="CO15" s="2841"/>
      <c r="CP15" s="2841"/>
      <c r="CQ15" s="2472"/>
      <c r="CR15" s="2472"/>
      <c r="CS15" s="2472"/>
      <c r="CT15" s="2472"/>
      <c r="CU15" s="2841"/>
      <c r="CV15" s="2511"/>
      <c r="CW15" s="2841"/>
      <c r="CX15" s="2841"/>
      <c r="CY15" s="2841"/>
      <c r="CZ15" s="2472"/>
      <c r="DA15" s="2472"/>
      <c r="DB15" s="3728"/>
      <c r="DC15" s="2472"/>
      <c r="DD15" s="2841"/>
      <c r="DE15" s="2841"/>
      <c r="DF15" s="2841"/>
      <c r="DG15" s="2841"/>
      <c r="DH15" s="2841"/>
      <c r="DI15" s="2511"/>
      <c r="DJ15" s="2841"/>
      <c r="DK15" s="2841"/>
      <c r="DL15" s="2511"/>
      <c r="DM15" s="2472"/>
      <c r="DN15" s="2841"/>
      <c r="DO15" s="2841"/>
      <c r="DP15" s="2841"/>
      <c r="DQ15" s="2841"/>
      <c r="DR15" s="2472"/>
      <c r="DS15" s="2841"/>
      <c r="DT15" s="2841"/>
      <c r="DU15" s="2841"/>
      <c r="DV15" s="2841"/>
      <c r="DW15" s="2841"/>
      <c r="DX15" s="2841"/>
      <c r="DY15" s="2841"/>
      <c r="DZ15" s="2841"/>
      <c r="EA15" s="2841"/>
      <c r="EB15" s="2841"/>
      <c r="EC15" s="2841"/>
      <c r="ED15" s="2841"/>
      <c r="EE15" s="2841"/>
      <c r="EF15" s="2841"/>
      <c r="EG15" s="2841"/>
      <c r="EH15" s="2841"/>
      <c r="EI15" s="2841"/>
      <c r="EJ15" s="2472"/>
      <c r="EK15" s="2841"/>
      <c r="EL15" s="2841"/>
      <c r="EM15" s="2841"/>
      <c r="EN15" s="2472"/>
      <c r="EO15" s="2841"/>
      <c r="EP15" s="2841"/>
      <c r="EQ15" s="2841"/>
      <c r="ER15" s="2841"/>
      <c r="ES15" s="2841"/>
      <c r="ET15" s="2841"/>
      <c r="EU15" s="2472"/>
      <c r="EV15" s="2841"/>
      <c r="EW15" s="2841"/>
      <c r="EX15" s="2841"/>
      <c r="EY15" s="2841"/>
      <c r="EZ15" s="2841"/>
      <c r="FA15" s="2841"/>
      <c r="FB15" s="2841"/>
      <c r="FC15" s="2841"/>
      <c r="FD15" s="2841"/>
      <c r="FE15" s="2841"/>
      <c r="FF15" s="2472"/>
      <c r="FG15" s="2841"/>
      <c r="FH15" s="2841"/>
      <c r="FI15" s="2841"/>
      <c r="FJ15" s="2841"/>
      <c r="FK15" s="2841"/>
      <c r="FL15" s="2841"/>
      <c r="FM15" s="2841"/>
      <c r="FN15" s="2841"/>
      <c r="FO15" s="2841"/>
      <c r="FP15" s="2841"/>
      <c r="FQ15" s="2841"/>
      <c r="FR15" s="2841"/>
      <c r="FS15" s="2841"/>
      <c r="FT15" s="2472"/>
      <c r="FU15" s="2472"/>
      <c r="FV15" s="2472"/>
      <c r="FW15" s="2841"/>
      <c r="FX15" s="2472"/>
      <c r="FY15" s="2841"/>
      <c r="FZ15" s="2841"/>
      <c r="GA15" s="2841"/>
      <c r="GB15" s="2841"/>
      <c r="GC15" s="2841"/>
      <c r="GD15" s="2841"/>
      <c r="GE15" s="2472"/>
      <c r="GF15" s="2472"/>
      <c r="GG15" s="2472"/>
      <c r="GH15" s="2841"/>
      <c r="GI15" s="2841"/>
      <c r="GJ15" s="2472"/>
      <c r="GK15" s="2841"/>
      <c r="GL15" s="2841"/>
      <c r="GM15" s="2841"/>
      <c r="GN15" s="2841"/>
      <c r="GO15" s="2841"/>
      <c r="GP15" s="2841"/>
      <c r="GQ15" s="2841"/>
      <c r="GR15" s="2841"/>
      <c r="GS15" s="2841"/>
      <c r="GT15" s="2841"/>
      <c r="GU15" s="2841"/>
      <c r="GV15" s="2841"/>
      <c r="GW15" s="2472"/>
      <c r="GX15" s="2472"/>
      <c r="GY15" s="2841"/>
      <c r="GZ15" s="2841"/>
      <c r="HA15" s="2841"/>
      <c r="HB15" s="2511"/>
      <c r="HC15" s="2841"/>
      <c r="HD15" s="2472"/>
      <c r="HE15" s="2841"/>
      <c r="HF15" s="2472"/>
      <c r="HG15" s="2472"/>
      <c r="HH15" s="2841"/>
      <c r="HI15" s="2841"/>
      <c r="HJ15" s="2841"/>
      <c r="HK15" s="2841"/>
      <c r="HL15" s="2841"/>
      <c r="HM15" s="2841"/>
      <c r="HN15" s="2841"/>
      <c r="HO15" s="2841"/>
      <c r="HP15" s="2841"/>
      <c r="HQ15" s="2841"/>
      <c r="HR15" s="2841"/>
      <c r="HS15" s="2472"/>
      <c r="HT15" s="2841"/>
      <c r="HU15" s="2841"/>
      <c r="HV15" s="2841"/>
      <c r="HW15" s="2841"/>
      <c r="HX15" s="2841"/>
      <c r="HY15" s="2841"/>
      <c r="HZ15" s="2841"/>
      <c r="IA15" s="2841"/>
      <c r="IB15" s="2841"/>
      <c r="IC15" s="2841"/>
      <c r="ID15" s="2841"/>
      <c r="IE15" s="2841"/>
      <c r="IF15" s="2841"/>
      <c r="IG15" s="2841"/>
      <c r="IH15" s="2841"/>
      <c r="II15" s="2841"/>
      <c r="IJ15" s="2841"/>
      <c r="IK15" s="2841"/>
      <c r="IL15" s="2841"/>
      <c r="IM15" s="2841"/>
      <c r="IN15" s="2841"/>
      <c r="IO15" s="2472"/>
      <c r="IP15" s="2841"/>
      <c r="IQ15" s="2841"/>
      <c r="IR15" s="2841"/>
      <c r="IS15" s="4009"/>
      <c r="IT15" s="3998"/>
      <c r="IU15" s="3998"/>
      <c r="IV15" s="3998"/>
      <c r="IW15" s="3998"/>
      <c r="IX15" s="3998"/>
      <c r="IY15" s="3998"/>
      <c r="IZ15" s="2841"/>
      <c r="JA15" s="3998"/>
      <c r="JB15" s="3998"/>
      <c r="JC15" s="2841"/>
      <c r="JD15" s="2841"/>
      <c r="JE15" s="2841"/>
      <c r="JF15" s="2841"/>
      <c r="JG15" s="4051"/>
      <c r="JH15" s="1233"/>
      <c r="JI15" s="2248"/>
      <c r="JJ15" s="3300"/>
    </row>
    <row r="16" spans="1:270" x14ac:dyDescent="0.2">
      <c r="A16" s="1128">
        <v>16</v>
      </c>
      <c r="B16" s="1534" t="str">
        <f si="1" t="shared"/>
        <v/>
      </c>
      <c r="C16" s="1728" t="s">
        <v>1087</v>
      </c>
      <c r="D16" s="1727" t="s">
        <v>5706</v>
      </c>
      <c r="E16" s="2511"/>
      <c r="F16" s="2472"/>
      <c r="G16" s="2511"/>
      <c r="H16" s="2511"/>
      <c r="I16" s="2511"/>
      <c r="J16" s="2511"/>
      <c r="K16" s="2511"/>
      <c r="L16" s="2511"/>
      <c r="M16" s="2472"/>
      <c r="N16" s="2511"/>
      <c r="O16" s="2472"/>
      <c r="P16" s="2511"/>
      <c r="Q16" s="2472"/>
      <c r="R16" s="2511"/>
      <c r="S16" s="2511"/>
      <c r="T16" s="2472"/>
      <c r="U16" s="2472"/>
      <c r="V16" s="2511"/>
      <c r="W16" s="2511"/>
      <c r="X16" s="2511"/>
      <c r="Y16" s="2511"/>
      <c r="Z16" s="2511"/>
      <c r="AA16" s="2472"/>
      <c r="AB16" s="2511"/>
      <c r="AC16" s="2472"/>
      <c r="AD16" s="2472"/>
      <c r="AE16" s="2472"/>
      <c r="AF16" s="2472"/>
      <c r="AG16" s="2472"/>
      <c r="AH16" s="2472"/>
      <c r="AI16" s="2511"/>
      <c r="AJ16" s="2930"/>
      <c r="AK16" s="2511"/>
      <c r="AL16" s="2511"/>
      <c r="AM16" s="2511"/>
      <c r="AN16" s="2511"/>
      <c r="AO16" s="2511"/>
      <c r="AP16" s="2511"/>
      <c r="AQ16" s="2511"/>
      <c r="AR16" s="2472"/>
      <c r="AS16" s="2511"/>
      <c r="AT16" s="2511"/>
      <c r="AU16" s="2511"/>
      <c r="AV16" s="2511"/>
      <c r="AW16" s="2472"/>
      <c r="AX16" s="2511"/>
      <c r="AY16" s="2472"/>
      <c r="AZ16" s="2472"/>
      <c r="BA16" s="2511"/>
      <c r="BB16" s="2511"/>
      <c r="BC16" s="2511"/>
      <c r="BD16" s="2472"/>
      <c r="BE16" s="2472"/>
      <c r="BF16" s="2472"/>
      <c r="BG16" s="2472"/>
      <c r="BH16" s="2472"/>
      <c r="BI16" s="3728"/>
      <c r="BJ16" s="2472"/>
      <c r="BK16" s="3728"/>
      <c r="BL16" s="2472"/>
      <c r="BM16" s="2472"/>
      <c r="BN16" s="2472"/>
      <c r="BO16" s="2472"/>
      <c r="BP16" s="2472"/>
      <c r="BQ16" s="2472"/>
      <c r="BR16" s="2472"/>
      <c r="BS16" s="2472"/>
      <c r="BT16" s="2472"/>
      <c r="BU16" s="2472"/>
      <c r="BV16" s="2472"/>
      <c r="BW16" s="2472"/>
      <c r="BX16" s="2472">
        <v>1420</v>
      </c>
      <c r="BY16" s="2472"/>
      <c r="BZ16" s="2472"/>
      <c r="CA16" s="2472"/>
      <c r="CB16" s="3728">
        <v>1420</v>
      </c>
      <c r="CC16" s="2472"/>
      <c r="CD16" s="2472"/>
      <c r="CE16" s="2841"/>
      <c r="CF16" s="2841"/>
      <c r="CG16" s="2841"/>
      <c r="CH16" s="2472"/>
      <c r="CI16" s="2472">
        <v>1420</v>
      </c>
      <c r="CJ16" s="2841"/>
      <c r="CK16" s="2841"/>
      <c r="CL16" s="2841"/>
      <c r="CM16" s="2841"/>
      <c r="CN16" s="2841"/>
      <c r="CO16" s="2841"/>
      <c r="CP16" s="2841"/>
      <c r="CQ16" s="2472">
        <v>1420</v>
      </c>
      <c r="CR16" s="2472"/>
      <c r="CS16" s="2472"/>
      <c r="CT16" s="2472">
        <v>1252</v>
      </c>
      <c r="CU16" s="2841"/>
      <c r="CV16" s="2511">
        <v>48014</v>
      </c>
      <c r="CW16" s="2841"/>
      <c r="CX16" s="2841"/>
      <c r="CY16" s="2841"/>
      <c r="CZ16" s="2472"/>
      <c r="DA16" s="2472"/>
      <c r="DB16" s="3728"/>
      <c r="DC16" s="2472">
        <v>1420</v>
      </c>
      <c r="DD16" s="2841"/>
      <c r="DE16" s="2841"/>
      <c r="DF16" s="2841"/>
      <c r="DG16" s="2841"/>
      <c r="DH16" s="2841"/>
      <c r="DI16" s="2511">
        <v>48014</v>
      </c>
      <c r="DJ16" s="2841"/>
      <c r="DK16" s="2841"/>
      <c r="DL16" s="2511">
        <v>48014</v>
      </c>
      <c r="DM16" s="2472">
        <v>1420</v>
      </c>
      <c r="DN16" s="2841"/>
      <c r="DO16" s="2841"/>
      <c r="DP16" s="2841"/>
      <c r="DQ16" s="2841"/>
      <c r="DR16" s="2472"/>
      <c r="DS16" s="2841"/>
      <c r="DT16" s="2841"/>
      <c r="DU16" s="2841"/>
      <c r="DV16" s="2841"/>
      <c r="DW16" s="2841"/>
      <c r="DX16" s="2841"/>
      <c r="DY16" s="2841"/>
      <c r="DZ16" s="2841"/>
      <c r="EA16" s="2841"/>
      <c r="EB16" s="2841"/>
      <c r="EC16" s="2841"/>
      <c r="ED16" s="2841"/>
      <c r="EE16" s="2841"/>
      <c r="EF16" s="2841"/>
      <c r="EG16" s="2841"/>
      <c r="EH16" s="2841"/>
      <c r="EI16" s="2841"/>
      <c r="EJ16" s="2472"/>
      <c r="EK16" s="2841"/>
      <c r="EL16" s="2841"/>
      <c r="EM16" s="2841"/>
      <c r="EN16" s="2472"/>
      <c r="EO16" s="2841"/>
      <c r="EP16" s="2841"/>
      <c r="EQ16" s="2841"/>
      <c r="ER16" s="2841"/>
      <c r="ES16" s="2841"/>
      <c r="ET16" s="2841"/>
      <c r="EU16" s="2472"/>
      <c r="EV16" s="2841"/>
      <c r="EW16" s="2841"/>
      <c r="EX16" s="2841"/>
      <c r="EY16" s="2841"/>
      <c r="EZ16" s="2841"/>
      <c r="FA16" s="2841"/>
      <c r="FB16" s="2841"/>
      <c r="FC16" s="2841"/>
      <c r="FD16" s="2841"/>
      <c r="FE16" s="2841"/>
      <c r="FF16" s="2472"/>
      <c r="FG16" s="2841"/>
      <c r="FH16" s="2841"/>
      <c r="FI16" s="2841"/>
      <c r="FJ16" s="2841"/>
      <c r="FK16" s="2841"/>
      <c r="FL16" s="2841"/>
      <c r="FM16" s="2841"/>
      <c r="FN16" s="2841"/>
      <c r="FO16" s="2841"/>
      <c r="FP16" s="2841"/>
      <c r="FQ16" s="2841"/>
      <c r="FR16" s="2841"/>
      <c r="FS16" s="2841"/>
      <c r="FT16" s="2472"/>
      <c r="FU16" s="2472"/>
      <c r="FV16" s="2472">
        <v>1252</v>
      </c>
      <c r="FW16" s="2841"/>
      <c r="FX16" s="2472"/>
      <c r="FY16" s="2841"/>
      <c r="FZ16" s="2841"/>
      <c r="GA16" s="2841"/>
      <c r="GB16" s="2841"/>
      <c r="GC16" s="2841"/>
      <c r="GD16" s="2841"/>
      <c r="GE16" s="2472"/>
      <c r="GF16" s="2472"/>
      <c r="GG16" s="2472"/>
      <c r="GH16" s="2841"/>
      <c r="GI16" s="2841"/>
      <c r="GJ16" s="2472"/>
      <c r="GK16" s="2841"/>
      <c r="GL16" s="2841"/>
      <c r="GM16" s="2841"/>
      <c r="GN16" s="2841"/>
      <c r="GO16" s="2841"/>
      <c r="GP16" s="2841"/>
      <c r="GQ16" s="2841"/>
      <c r="GR16" s="2841"/>
      <c r="GS16" s="2841"/>
      <c r="GT16" s="2841"/>
      <c r="GU16" s="2841"/>
      <c r="GV16" s="2841"/>
      <c r="GW16" s="2472"/>
      <c r="GX16" s="2472">
        <v>1420</v>
      </c>
      <c r="GY16" s="2841"/>
      <c r="GZ16" s="2841"/>
      <c r="HA16" s="2841"/>
      <c r="HB16" s="2511">
        <v>48014</v>
      </c>
      <c r="HC16" s="2841"/>
      <c r="HD16" s="2472"/>
      <c r="HE16" s="2841"/>
      <c r="HF16" s="2472"/>
      <c r="HG16" s="2472"/>
      <c r="HH16" s="2841"/>
      <c r="HI16" s="2841"/>
      <c r="HJ16" s="2841"/>
      <c r="HK16" s="2841"/>
      <c r="HL16" s="2841"/>
      <c r="HM16" s="2841"/>
      <c r="HN16" s="2841"/>
      <c r="HO16" s="2841"/>
      <c r="HP16" s="2841"/>
      <c r="HQ16" s="2841"/>
      <c r="HR16" s="2841"/>
      <c r="HS16" s="2472">
        <v>1252</v>
      </c>
      <c r="HT16" s="2841"/>
      <c r="HU16" s="2841"/>
      <c r="HV16" s="2841"/>
      <c r="HW16" s="2841"/>
      <c r="HX16" s="2841"/>
      <c r="HY16" s="2841"/>
      <c r="HZ16" s="2841"/>
      <c r="IA16" s="2841"/>
      <c r="IB16" s="2841"/>
      <c r="IC16" s="2841"/>
      <c r="ID16" s="2841"/>
      <c r="IE16" s="2841"/>
      <c r="IF16" s="2841"/>
      <c r="IG16" s="2841"/>
      <c r="IH16" s="2841"/>
      <c r="II16" s="2841"/>
      <c r="IJ16" s="2841"/>
      <c r="IK16" s="2841"/>
      <c r="IL16" s="2841"/>
      <c r="IM16" s="2841"/>
      <c r="IN16" s="2841"/>
      <c r="IO16" s="2472"/>
      <c r="IP16" s="2841"/>
      <c r="IQ16" s="2841"/>
      <c r="IR16" s="2841"/>
      <c r="IS16" s="4009"/>
      <c r="IT16" s="3998"/>
      <c r="IU16" s="3998"/>
      <c r="IV16" s="3998"/>
      <c r="IW16" s="3998"/>
      <c r="IX16" s="3998"/>
      <c r="IY16" s="3998"/>
      <c r="IZ16" s="2841"/>
      <c r="JA16" s="3998"/>
      <c r="JB16" s="3998"/>
      <c r="JC16" s="2841"/>
      <c r="JD16" s="2841"/>
      <c r="JE16" s="2841"/>
      <c r="JF16" s="2841"/>
      <c r="JG16" s="2601"/>
      <c r="JH16" s="1233"/>
      <c r="JI16" s="1393"/>
      <c r="JJ16" s="1686" t="s">
        <v>6108</v>
      </c>
    </row>
    <row ht="33.75" r="17" spans="1:270" x14ac:dyDescent="0.2">
      <c r="A17" s="1128">
        <v>17</v>
      </c>
      <c r="B17" s="1534" t="str">
        <f si="1" t="shared"/>
        <v/>
      </c>
      <c r="C17" s="1729" t="s">
        <v>3095</v>
      </c>
      <c r="D17" s="1727" t="s">
        <v>5707</v>
      </c>
      <c r="E17" s="2602"/>
      <c r="F17" s="2603">
        <f>MAX(0,F6+F13+F14-(F9+F10+F11+F12+F16))</f>
        <v>0</v>
      </c>
      <c r="G17" s="2602"/>
      <c r="H17" s="2602"/>
      <c r="I17" s="2602"/>
      <c r="J17" s="2602"/>
      <c r="K17" s="2602"/>
      <c r="L17" s="2602"/>
      <c r="M17" s="2603">
        <f>MAX(0,M6+M13+M14-(M9+M10+M11+M12+M16))</f>
        <v>0</v>
      </c>
      <c r="N17" s="2602"/>
      <c r="O17" s="2603">
        <f>MAX(0,O6+O13+O14-(O9+O10+O11+O12+O16))</f>
        <v>0</v>
      </c>
      <c r="P17" s="2602"/>
      <c r="Q17" s="2603">
        <f>MAX(0,Q6+Q13+Q14-(Q9+Q10+Q11+Q12+Q16))</f>
        <v>0</v>
      </c>
      <c r="R17" s="2602"/>
      <c r="S17" s="2602"/>
      <c r="T17" s="2603">
        <f>MAX(0,T6+T13+T14-(T9+T10+T11+T12+T16))</f>
        <v>0</v>
      </c>
      <c r="U17" s="2603">
        <f>MAX(0,U6+U13+U14-(U9+U10+U11+U12+U16))</f>
        <v>0</v>
      </c>
      <c r="V17" s="2602"/>
      <c r="W17" s="2602"/>
      <c r="X17" s="2602"/>
      <c r="Y17" s="2602"/>
      <c r="Z17" s="2602"/>
      <c r="AA17" s="2603">
        <f>MAX(0,AA6+AA13+AA14-(AA9+AA10+AA11+AA12+AA16))</f>
        <v>0</v>
      </c>
      <c r="AB17" s="2602"/>
      <c r="AC17" s="2603">
        <f>MAX(0,AC6+AC13+AC14-(AC9+AC10+AC11+AC12+AC16))</f>
        <v>0</v>
      </c>
      <c r="AD17" s="2603"/>
      <c r="AE17" s="2603"/>
      <c r="AF17" s="2603"/>
      <c r="AG17" s="2603"/>
      <c r="AH17" s="2603"/>
      <c r="AI17" s="2603">
        <f>MAX(0,AI6+AI13+AI14-(AI9+AI10+AI11+AI12+AI16))</f>
        <v>0</v>
      </c>
      <c r="AJ17" s="2931"/>
      <c r="AK17" s="2602"/>
      <c r="AL17" s="2602"/>
      <c r="AM17" s="2602"/>
      <c r="AN17" s="2602"/>
      <c r="AO17" s="2602"/>
      <c r="AP17" s="2602"/>
      <c r="AQ17" s="2602"/>
      <c r="AR17" s="2603">
        <f>MAX(0,AR6+AR13+AR14-(AR9+AR10+AR11+AR12+AR16))</f>
        <v>20</v>
      </c>
      <c r="AS17" s="2602"/>
      <c r="AT17" s="2602"/>
      <c r="AU17" s="2602"/>
      <c r="AV17" s="2602"/>
      <c r="AW17" s="2603">
        <f>MAX(0,AW6+AW13+AW14-(AW9+AW10+AW11+AW12+AW16))</f>
        <v>0</v>
      </c>
      <c r="AX17" s="2602"/>
      <c r="AY17" s="2603">
        <f>MAX(0,AY6+AY13+AY14-(AY9+AY10+AY11+AY12+AY16))</f>
        <v>0</v>
      </c>
      <c r="AZ17" s="2603">
        <f>MAX(0,AZ6+AZ13+AZ14-(AZ9+AZ10+AZ11+AZ12+AZ16))</f>
        <v>0</v>
      </c>
      <c r="BA17" s="2602"/>
      <c r="BB17" s="2602"/>
      <c r="BC17" s="2602"/>
      <c r="BD17" s="2603">
        <f>MAX(0,BD6+BD13+BD14-(BD9+BD10+BD11+BD12+BD16))</f>
        <v>0</v>
      </c>
      <c r="BE17" s="2604"/>
      <c r="BF17" s="2604"/>
      <c r="BG17" s="2603">
        <f>MAX(0,BG6+BG13+BG14-(BG9+BG10+BG11+BG12+BG16))</f>
        <v>0</v>
      </c>
      <c r="BH17" s="2604"/>
      <c r="BI17" s="3972"/>
      <c r="BJ17" s="2604"/>
      <c r="BK17" s="3730">
        <f>MAX(0,BK6+BK13+BK14-(BK9+BK10+BK11+BK12+BK16))</f>
        <v>0</v>
      </c>
      <c r="BL17" s="2604"/>
      <c r="BM17" s="2604"/>
      <c r="BN17" s="2604"/>
      <c r="BO17" s="2604"/>
      <c r="BP17" s="2604"/>
      <c r="BQ17" s="2604"/>
      <c r="BR17" s="2604"/>
      <c r="BS17" s="2604"/>
      <c r="BT17" s="2603">
        <f>MAX(0,BT6+BT13+BT14-(BT9+BT10+BT11+BT12+BT16))</f>
        <v>0</v>
      </c>
      <c r="BU17" s="2604"/>
      <c r="BV17" s="2603">
        <f>MAX(0,BV6+BV13+BV14-(BV9+BV10+BV11+BV12+BV16))</f>
        <v>0</v>
      </c>
      <c r="BW17" s="2604"/>
      <c r="BX17" s="2603">
        <f>MAX(0,BX6+BX13+BX14-(BX9+BX10+BX11+BX12+BX16))</f>
        <v>7899</v>
      </c>
      <c r="BY17" s="2604"/>
      <c r="BZ17" s="2604"/>
      <c r="CA17" s="2604"/>
      <c r="CB17" s="3730">
        <f>MAX(0,CB6+CB13+CB14-(CB9+CB10+CB11+CB12+CB15+CB16))</f>
        <v>0</v>
      </c>
      <c r="CC17" s="2603">
        <f>MAX(0,CC6+CC13+CC14-(CC9+CC10+CC11+CC12+CC16))</f>
        <v>0</v>
      </c>
      <c r="CD17" s="2603">
        <f>MAX(0,CD6+CD13+CD14-(CD9+CD10+CD11+CD12+CD16))</f>
        <v>0</v>
      </c>
      <c r="CE17" s="2883"/>
      <c r="CF17" s="2883"/>
      <c r="CG17" s="2883"/>
      <c r="CH17" s="2603">
        <f>MAX(0,CH6+CH13+CH14-(CH9+CH10+CH11+CH12+CH16))</f>
        <v>0</v>
      </c>
      <c r="CI17" s="2603">
        <f>MAX(0,CI6+CI13+CI14-(CI9+CI10+CI11+CI12+CI16))</f>
        <v>7899</v>
      </c>
      <c r="CJ17" s="2883"/>
      <c r="CK17" s="2883"/>
      <c r="CL17" s="2883"/>
      <c r="CM17" s="2883"/>
      <c r="CN17" s="2883"/>
      <c r="CO17" s="2883"/>
      <c r="CP17" s="2883"/>
      <c r="CQ17" s="2603">
        <f>MAX(0,CQ6+CQ13+CQ14-(CQ9+CQ10+CQ11+CQ12+CQ16))</f>
        <v>7899</v>
      </c>
      <c r="CR17" s="2603">
        <f>MAX(0,CR6+CR13+CR14-(CR9+CR10+CR11+CR12+CR16))</f>
        <v>0</v>
      </c>
      <c r="CS17" s="2603">
        <f>MAX(0,CS6+CS13+CS14-(CS9+CS10+CS11+CS12+CS16))</f>
        <v>0</v>
      </c>
      <c r="CT17" s="2603">
        <f>MAX(0,CT6+CT13+CT14-(CT9+CT10+CT11+CT12+CT16))</f>
        <v>5023</v>
      </c>
      <c r="CU17" s="2883"/>
      <c r="CV17" s="2603">
        <f>MAX(0,CV6+CV13+CV14-(CV9+CV10+CV11+CV12+CV16))</f>
        <v>0</v>
      </c>
      <c r="CW17" s="2883"/>
      <c r="CX17" s="2883"/>
      <c r="CY17" s="2883"/>
      <c r="CZ17" s="2603">
        <f>MAX(0,CZ6+CZ13+CZ14-(CZ9+CZ10+CZ11+CZ12+CZ16))</f>
        <v>0</v>
      </c>
      <c r="DA17" s="2603">
        <f>MAX(0,DA6+DA13+DA14-(DA9+DA10+DA11+DA12+DA16))</f>
        <v>0</v>
      </c>
      <c r="DB17" s="3730">
        <f>MAX(0,DB6+DB13+DB14-(DB9+DB10+DB11+DB12+DB16))</f>
        <v>3275</v>
      </c>
      <c r="DC17" s="2603">
        <f>MAX(0,DC6+DC13+DC14-(DC9+DC10+DC11+DC12+DC16))</f>
        <v>7899</v>
      </c>
      <c r="DD17" s="2883"/>
      <c r="DE17" s="2883"/>
      <c r="DF17" s="2883"/>
      <c r="DG17" s="2883"/>
      <c r="DH17" s="2883"/>
      <c r="DI17" s="2603">
        <f>MAX(0,DI6+DI13+DI14-(DI9+DI10+DI11+DI12+DI16))</f>
        <v>0</v>
      </c>
      <c r="DJ17" s="2883"/>
      <c r="DK17" s="2883"/>
      <c r="DL17" s="2603">
        <f>MAX(0,DL6+DL13+DL14-(DL9+DL10+DL11+DL12+DL16))</f>
        <v>0</v>
      </c>
      <c r="DM17" s="2603">
        <f>MAX(0,DM6+DM13+DM14-(DM9+DM10+DM11+DM12+DM16))</f>
        <v>7899</v>
      </c>
      <c r="DN17" s="2883"/>
      <c r="DO17" s="2883"/>
      <c r="DP17" s="2883"/>
      <c r="DQ17" s="2883"/>
      <c r="DR17" s="2603">
        <f>MAX(0,DR6+DR13+DR14-(DR9+DR10+DR11+DR12+DR16))</f>
        <v>0</v>
      </c>
      <c r="DS17" s="2883"/>
      <c r="DT17" s="2883"/>
      <c r="DU17" s="2883"/>
      <c r="DV17" s="2883"/>
      <c r="DW17" s="2883"/>
      <c r="DX17" s="2883"/>
      <c r="DY17" s="2883"/>
      <c r="DZ17" s="2883"/>
      <c r="EA17" s="2883"/>
      <c r="EB17" s="2883"/>
      <c r="EC17" s="2883"/>
      <c r="ED17" s="2883"/>
      <c r="EE17" s="2883"/>
      <c r="EF17" s="2883"/>
      <c r="EG17" s="2883"/>
      <c r="EH17" s="2883"/>
      <c r="EI17" s="2883"/>
      <c r="EJ17" s="2603">
        <f>MAX(0,EJ6+EJ13+EJ14-(EJ9+EJ10+EJ11+EJ12+EJ16))</f>
        <v>4361</v>
      </c>
      <c r="EK17" s="2883"/>
      <c r="EL17" s="2883"/>
      <c r="EM17" s="2883"/>
      <c r="EN17" s="2603">
        <f>MAX(0,EN6+EN13+EN14-(EN9+EN10+EN11+EN12+EN16))</f>
        <v>0</v>
      </c>
      <c r="EO17" s="2883"/>
      <c r="EP17" s="2883"/>
      <c r="EQ17" s="2883"/>
      <c r="ER17" s="2883"/>
      <c r="ES17" s="2883"/>
      <c r="ET17" s="2883"/>
      <c r="EU17" s="2603">
        <f>MAX(0,EU6+EU13+EU14-(EU9+EU10+EU11+EU12+EU16))</f>
        <v>0</v>
      </c>
      <c r="EV17" s="2883"/>
      <c r="EW17" s="2883"/>
      <c r="EX17" s="2883"/>
      <c r="EY17" s="2883"/>
      <c r="EZ17" s="2883"/>
      <c r="FA17" s="2883"/>
      <c r="FB17" s="2883"/>
      <c r="FC17" s="2883"/>
      <c r="FD17" s="2883"/>
      <c r="FE17" s="2883"/>
      <c r="FF17" s="2603">
        <f>MAX(0,FF6+FF13+FF14-(FF9+FF10+FF11+FF12+FF16))</f>
        <v>0</v>
      </c>
      <c r="FG17" s="2883"/>
      <c r="FH17" s="2883"/>
      <c r="FI17" s="2883"/>
      <c r="FJ17" s="2883"/>
      <c r="FK17" s="2883"/>
      <c r="FL17" s="2883"/>
      <c r="FM17" s="2883"/>
      <c r="FN17" s="2883"/>
      <c r="FO17" s="2883"/>
      <c r="FP17" s="2883"/>
      <c r="FQ17" s="2883"/>
      <c r="FR17" s="2883"/>
      <c r="FS17" s="2883"/>
      <c r="FT17" s="2603">
        <f>MAX(0,FT6+FT13+FT14-(FT9+FT10+FT11+FT12+FT16))</f>
        <v>0</v>
      </c>
      <c r="FU17" s="2603">
        <f>MAX(0,FU6+FU13+FU14-(FU9+FU10+FU11+FU12+FU16))</f>
        <v>0</v>
      </c>
      <c r="FV17" s="2603">
        <f>MAX(0,FV6+FV13+FV14-(FV9+FV10+FV11+FV12+FV16))</f>
        <v>5023</v>
      </c>
      <c r="FW17" s="2883"/>
      <c r="FX17" s="2603">
        <f>MAX(0,FX6+FX13+FX14-(FX9+FX10+FX11+FX12+FX16))</f>
        <v>0</v>
      </c>
      <c r="FY17" s="2883"/>
      <c r="FZ17" s="2883"/>
      <c r="GA17" s="2883"/>
      <c r="GB17" s="2883"/>
      <c r="GC17" s="2883"/>
      <c r="GD17" s="2883"/>
      <c r="GE17" s="2603">
        <f>MAX(0,GE6+GE13+GE14-(GE9+GE10+GE11+GE12+GE16))</f>
        <v>4361</v>
      </c>
      <c r="GF17" s="2603">
        <f>MAX(0,GF6+GF13+GF14-(GF9+GF10+GF11+GF12+GF16))</f>
        <v>4361</v>
      </c>
      <c r="GG17" s="2603">
        <f>MAX(0,GG6+GG13+GG14-(GG9+GG10+GG11+GG12+GG16))</f>
        <v>0</v>
      </c>
      <c r="GH17" s="2883"/>
      <c r="GI17" s="2883"/>
      <c r="GJ17" s="2603">
        <f>MAX(0,GJ6+GJ13+GJ14-(GJ9+GJ10+GJ11+GJ12+GJ16))</f>
        <v>0</v>
      </c>
      <c r="GK17" s="2883"/>
      <c r="GL17" s="2883"/>
      <c r="GM17" s="2883"/>
      <c r="GN17" s="2883"/>
      <c r="GO17" s="2883"/>
      <c r="GP17" s="2883"/>
      <c r="GQ17" s="2883"/>
      <c r="GR17" s="2883"/>
      <c r="GS17" s="2883"/>
      <c r="GT17" s="2883"/>
      <c r="GU17" s="2883"/>
      <c r="GV17" s="2883"/>
      <c r="GW17" s="2603">
        <f>MAX(0,GW6+GW13+GW14-(GW9+GW10+GW11+GW12+GW16))</f>
        <v>0</v>
      </c>
      <c r="GX17" s="2603">
        <f>MAX(0,GX6+GX13+GX14-(GX9+GX10+GX11+GX12+GX16))</f>
        <v>7899</v>
      </c>
      <c r="GY17" s="2883"/>
      <c r="GZ17" s="2883"/>
      <c r="HA17" s="2883"/>
      <c r="HB17" s="2603">
        <f>MAX(0,HB6+HB13+HB14-(HB9+HB10+HB11+HB12+HB16))</f>
        <v>0</v>
      </c>
      <c r="HC17" s="2883"/>
      <c r="HD17" s="2603">
        <f>MAX(0,HD6+HD13+HD14-(HD9+HD10+HD11+HD12+HD16))</f>
        <v>0</v>
      </c>
      <c r="HE17" s="2883"/>
      <c r="HF17" s="2603">
        <f>MAX(0,HF6+HF13+HF14-(HF9+HF10+HF11+HF12+HF16))</f>
        <v>0</v>
      </c>
      <c r="HG17" s="2603">
        <f>MAX(0,HG6+HG13+HG14-(HG9+HG10+HG11+HG12+HG16))</f>
        <v>0</v>
      </c>
      <c r="HH17" s="2883"/>
      <c r="HI17" s="2883"/>
      <c r="HJ17" s="2883"/>
      <c r="HK17" s="2883"/>
      <c r="HL17" s="2883"/>
      <c r="HM17" s="2883"/>
      <c r="HN17" s="2883"/>
      <c r="HO17" s="2883"/>
      <c r="HP17" s="2883"/>
      <c r="HQ17" s="2883"/>
      <c r="HR17" s="2883"/>
      <c r="HS17" s="2603">
        <f>MAX(0,HS6+HS13+HS14-(HS9+HS10+HS11+HS12+HS16))</f>
        <v>5023</v>
      </c>
      <c r="HT17" s="2883"/>
      <c r="HU17" s="2883"/>
      <c r="HV17" s="2883"/>
      <c r="HW17" s="2883"/>
      <c r="HX17" s="2883"/>
      <c r="HY17" s="2883"/>
      <c r="HZ17" s="2883"/>
      <c r="IA17" s="2883"/>
      <c r="IB17" s="2883"/>
      <c r="IC17" s="2883"/>
      <c r="ID17" s="2883"/>
      <c r="IE17" s="2883"/>
      <c r="IF17" s="2883"/>
      <c r="IG17" s="2883"/>
      <c r="IH17" s="2883"/>
      <c r="II17" s="2883"/>
      <c r="IJ17" s="2883"/>
      <c r="IK17" s="2883"/>
      <c r="IL17" s="2883"/>
      <c r="IM17" s="2883"/>
      <c r="IN17" s="2883"/>
      <c r="IO17" s="2603">
        <f>MAX(0,IO6+IO13+IO14-(IO9+IO10+IO11+IO12+IO16))</f>
        <v>0</v>
      </c>
      <c r="IP17" s="2883"/>
      <c r="IQ17" s="2883"/>
      <c r="IR17" s="2883"/>
      <c r="IS17" s="4010"/>
      <c r="IT17" s="3999"/>
      <c r="IU17" s="3999"/>
      <c r="IV17" s="3999"/>
      <c r="IW17" s="3999"/>
      <c r="IX17" s="3999"/>
      <c r="IY17" s="3999"/>
      <c r="IZ17" s="2883"/>
      <c r="JA17" s="4010">
        <v>0</v>
      </c>
      <c r="JB17" s="4010">
        <v>0</v>
      </c>
      <c r="JC17" s="2883"/>
      <c r="JD17" s="2883"/>
      <c r="JE17" s="2883"/>
      <c r="JF17" s="2883"/>
      <c r="JG17" s="2605">
        <f>MAX(0,JG6+JG13+JG14-(JG9+JG10+JG11+JG12+JG16))</f>
        <v>0</v>
      </c>
      <c r="JH17" s="1233"/>
      <c r="JI17" s="1393" t="s">
        <v>5691</v>
      </c>
      <c r="JJ17" s="1687" t="s">
        <v>6124</v>
      </c>
    </row>
    <row r="18" spans="1:270" x14ac:dyDescent="0.2">
      <c r="A18" s="1128">
        <v>18</v>
      </c>
      <c r="B18" s="1534" t="str">
        <f si="1" t="shared"/>
        <v/>
      </c>
      <c r="C18" s="1729" t="s">
        <v>3096</v>
      </c>
      <c r="D18" s="1727" t="s">
        <v>5708</v>
      </c>
      <c r="E18" s="2519"/>
      <c r="F18" s="2518"/>
      <c r="G18" s="2519"/>
      <c r="H18" s="2519"/>
      <c r="I18" s="2519"/>
      <c r="J18" s="2519"/>
      <c r="K18" s="2519"/>
      <c r="L18" s="2519"/>
      <c r="M18" s="2518"/>
      <c r="N18" s="2519"/>
      <c r="O18" s="2518"/>
      <c r="P18" s="2519"/>
      <c r="Q18" s="2518"/>
      <c r="R18" s="2519"/>
      <c r="S18" s="2519"/>
      <c r="T18" s="2519"/>
      <c r="U18" s="2518"/>
      <c r="V18" s="2519"/>
      <c r="W18" s="2519"/>
      <c r="X18" s="2519"/>
      <c r="Y18" s="2519"/>
      <c r="Z18" s="2519"/>
      <c r="AA18" s="2518"/>
      <c r="AB18" s="2519"/>
      <c r="AC18" s="2518"/>
      <c r="AD18" s="2518"/>
      <c r="AE18" s="2518"/>
      <c r="AF18" s="2518"/>
      <c r="AG18" s="2518"/>
      <c r="AH18" s="2518"/>
      <c r="AI18" s="2518"/>
      <c r="AJ18" s="2932"/>
      <c r="AK18" s="2519"/>
      <c r="AL18" s="2519"/>
      <c r="AM18" s="2519"/>
      <c r="AN18" s="2519"/>
      <c r="AO18" s="2519"/>
      <c r="AP18" s="2519"/>
      <c r="AQ18" s="2519"/>
      <c r="AR18" s="2518"/>
      <c r="AS18" s="2519"/>
      <c r="AT18" s="2519"/>
      <c r="AU18" s="2519"/>
      <c r="AV18" s="2519"/>
      <c r="AW18" s="2519"/>
      <c r="AX18" s="2519"/>
      <c r="AY18" s="2519"/>
      <c r="AZ18" s="2519"/>
      <c r="BA18" s="2519"/>
      <c r="BB18" s="2519"/>
      <c r="BC18" s="2519"/>
      <c r="BD18" s="2518"/>
      <c r="BE18" s="2606"/>
      <c r="BF18" s="2606"/>
      <c r="BG18" s="2518"/>
      <c r="BH18" s="2606"/>
      <c r="BI18" s="3973"/>
      <c r="BJ18" s="2606"/>
      <c r="BK18" s="3731"/>
      <c r="BL18" s="2606"/>
      <c r="BM18" s="2606"/>
      <c r="BN18" s="2606"/>
      <c r="BO18" s="2606"/>
      <c r="BP18" s="2606"/>
      <c r="BQ18" s="2606"/>
      <c r="BR18" s="2606"/>
      <c r="BS18" s="2606"/>
      <c r="BT18" s="2518"/>
      <c r="BU18" s="2606"/>
      <c r="BV18" s="2518"/>
      <c r="BW18" s="2606"/>
      <c r="BX18" s="2518"/>
      <c r="BY18" s="2606"/>
      <c r="BZ18" s="2606"/>
      <c r="CA18" s="2606"/>
      <c r="CB18" s="2518"/>
      <c r="CC18" s="2519"/>
      <c r="CD18" s="2518"/>
      <c r="CE18" s="2884"/>
      <c r="CF18" s="2884"/>
      <c r="CG18" s="2884"/>
      <c r="CH18" s="2518"/>
      <c r="CI18" s="2518"/>
      <c r="CJ18" s="2884"/>
      <c r="CK18" s="2884"/>
      <c r="CL18" s="2884"/>
      <c r="CM18" s="2884"/>
      <c r="CN18" s="2884"/>
      <c r="CO18" s="2884"/>
      <c r="CP18" s="2884"/>
      <c r="CQ18" s="2518"/>
      <c r="CR18" s="2519"/>
      <c r="CS18" s="2519"/>
      <c r="CT18" s="2518"/>
      <c r="CU18" s="2884"/>
      <c r="CV18" s="2519"/>
      <c r="CW18" s="2884"/>
      <c r="CX18" s="2884"/>
      <c r="CY18" s="2884"/>
      <c r="CZ18" s="2519"/>
      <c r="DA18" s="2519"/>
      <c r="DB18" s="3731"/>
      <c r="DC18" s="2518"/>
      <c r="DD18" s="2884"/>
      <c r="DE18" s="2884"/>
      <c r="DF18" s="2884"/>
      <c r="DG18" s="2884"/>
      <c r="DH18" s="2884"/>
      <c r="DI18" s="2519"/>
      <c r="DJ18" s="2884"/>
      <c r="DK18" s="2884"/>
      <c r="DL18" s="2519"/>
      <c r="DM18" s="2518"/>
      <c r="DN18" s="2884"/>
      <c r="DO18" s="2884"/>
      <c r="DP18" s="2884"/>
      <c r="DQ18" s="2884"/>
      <c r="DR18" s="2519"/>
      <c r="DS18" s="2884"/>
      <c r="DT18" s="2884"/>
      <c r="DU18" s="2884"/>
      <c r="DV18" s="2884"/>
      <c r="DW18" s="2884"/>
      <c r="DX18" s="2884"/>
      <c r="DY18" s="2884"/>
      <c r="DZ18" s="2884"/>
      <c r="EA18" s="2884"/>
      <c r="EB18" s="2884"/>
      <c r="EC18" s="2884"/>
      <c r="ED18" s="2884"/>
      <c r="EE18" s="2884"/>
      <c r="EF18" s="2884"/>
      <c r="EG18" s="2884"/>
      <c r="EH18" s="2884"/>
      <c r="EI18" s="2884"/>
      <c r="EJ18" s="2518"/>
      <c r="EK18" s="2884"/>
      <c r="EL18" s="2884"/>
      <c r="EM18" s="2884"/>
      <c r="EN18" s="2519"/>
      <c r="EO18" s="2884"/>
      <c r="EP18" s="2884"/>
      <c r="EQ18" s="2884"/>
      <c r="ER18" s="2884"/>
      <c r="ES18" s="2884"/>
      <c r="ET18" s="2884"/>
      <c r="EU18" s="2519"/>
      <c r="EV18" s="2884"/>
      <c r="EW18" s="2884"/>
      <c r="EX18" s="2884"/>
      <c r="EY18" s="2884"/>
      <c r="EZ18" s="2884"/>
      <c r="FA18" s="2884"/>
      <c r="FB18" s="2884"/>
      <c r="FC18" s="2884"/>
      <c r="FD18" s="2884"/>
      <c r="FE18" s="2884"/>
      <c r="FF18" s="2518"/>
      <c r="FG18" s="2884"/>
      <c r="FH18" s="2884"/>
      <c r="FI18" s="2884"/>
      <c r="FJ18" s="2884"/>
      <c r="FK18" s="2884"/>
      <c r="FL18" s="2884"/>
      <c r="FM18" s="2884"/>
      <c r="FN18" s="2884"/>
      <c r="FO18" s="2884"/>
      <c r="FP18" s="2884"/>
      <c r="FQ18" s="2884"/>
      <c r="FR18" s="2884"/>
      <c r="FS18" s="2884"/>
      <c r="FT18" s="2519"/>
      <c r="FU18" s="2519"/>
      <c r="FV18" s="2518"/>
      <c r="FW18" s="2884"/>
      <c r="FX18" s="2519"/>
      <c r="FY18" s="2884"/>
      <c r="FZ18" s="2884"/>
      <c r="GA18" s="2884"/>
      <c r="GB18" s="2884"/>
      <c r="GC18" s="2884"/>
      <c r="GD18" s="2884"/>
      <c r="GE18" s="2518"/>
      <c r="GF18" s="2518"/>
      <c r="GG18" s="2519"/>
      <c r="GH18" s="2884"/>
      <c r="GI18" s="2884"/>
      <c r="GJ18" s="2519"/>
      <c r="GK18" s="2884"/>
      <c r="GL18" s="2884"/>
      <c r="GM18" s="2884"/>
      <c r="GN18" s="2884"/>
      <c r="GO18" s="2884"/>
      <c r="GP18" s="2884"/>
      <c r="GQ18" s="2884"/>
      <c r="GR18" s="2884"/>
      <c r="GS18" s="2884"/>
      <c r="GT18" s="2884"/>
      <c r="GU18" s="2884"/>
      <c r="GV18" s="2884"/>
      <c r="GW18" s="2519"/>
      <c r="GX18" s="2518"/>
      <c r="GY18" s="2884"/>
      <c r="GZ18" s="2884"/>
      <c r="HA18" s="2884"/>
      <c r="HB18" s="2519"/>
      <c r="HC18" s="2884"/>
      <c r="HD18" s="2519"/>
      <c r="HE18" s="2884"/>
      <c r="HF18" s="2518"/>
      <c r="HG18" s="2518"/>
      <c r="HH18" s="2884"/>
      <c r="HI18" s="2884"/>
      <c r="HJ18" s="2884"/>
      <c r="HK18" s="2884"/>
      <c r="HL18" s="2884"/>
      <c r="HM18" s="2884"/>
      <c r="HN18" s="2884"/>
      <c r="HO18" s="2884"/>
      <c r="HP18" s="2884"/>
      <c r="HQ18" s="2884"/>
      <c r="HR18" s="2884"/>
      <c r="HS18" s="2518"/>
      <c r="HT18" s="2884"/>
      <c r="HU18" s="2884"/>
      <c r="HV18" s="2884"/>
      <c r="HW18" s="2884"/>
      <c r="HX18" s="2884"/>
      <c r="HY18" s="2884"/>
      <c r="HZ18" s="2884"/>
      <c r="IA18" s="2884"/>
      <c r="IB18" s="2884"/>
      <c r="IC18" s="2884"/>
      <c r="ID18" s="2884"/>
      <c r="IE18" s="2884"/>
      <c r="IF18" s="2884"/>
      <c r="IG18" s="2884"/>
      <c r="IH18" s="2884"/>
      <c r="II18" s="2884"/>
      <c r="IJ18" s="2884"/>
      <c r="IK18" s="2884"/>
      <c r="IL18" s="2884"/>
      <c r="IM18" s="2884"/>
      <c r="IN18" s="2884"/>
      <c r="IO18" s="2519"/>
      <c r="IP18" s="2884"/>
      <c r="IQ18" s="2884"/>
      <c r="IR18" s="2884"/>
      <c r="IS18" s="4011"/>
      <c r="IT18" s="4000"/>
      <c r="IU18" s="4000"/>
      <c r="IV18" s="4000"/>
      <c r="IW18" s="4000"/>
      <c r="IX18" s="4000"/>
      <c r="IY18" s="4000"/>
      <c r="IZ18" s="2884"/>
      <c r="JA18" s="4011"/>
      <c r="JB18" s="4011"/>
      <c r="JC18" s="2884"/>
      <c r="JD18" s="2884"/>
      <c r="JE18" s="2884"/>
      <c r="JF18" s="2884"/>
      <c r="JG18" s="2607"/>
      <c r="JH18" s="1233"/>
      <c r="JI18" s="1393"/>
      <c r="JJ18" s="1686" t="s">
        <v>6124</v>
      </c>
    </row>
    <row ht="22.5" r="19" spans="1:270" x14ac:dyDescent="0.2">
      <c r="A19" s="1128">
        <v>19</v>
      </c>
      <c r="B19" s="1534" t="str">
        <f si="1" t="shared"/>
        <v/>
      </c>
      <c r="C19" s="1729" t="s">
        <v>3460</v>
      </c>
      <c r="D19" s="1727" t="s">
        <v>5709</v>
      </c>
      <c r="E19" s="2602"/>
      <c r="F19" s="2603">
        <f>MAX(0,F17-F18)</f>
        <v>0</v>
      </c>
      <c r="G19" s="2602"/>
      <c r="H19" s="2602"/>
      <c r="I19" s="2602"/>
      <c r="J19" s="2602"/>
      <c r="K19" s="2602"/>
      <c r="L19" s="2602"/>
      <c r="M19" s="2603">
        <f>MAX(0,M17-M18)</f>
        <v>0</v>
      </c>
      <c r="N19" s="2602"/>
      <c r="O19" s="2603">
        <f>MAX(0,O17-O18)</f>
        <v>0</v>
      </c>
      <c r="P19" s="2602"/>
      <c r="Q19" s="2603">
        <f>MAX(0,Q17-Q18)</f>
        <v>0</v>
      </c>
      <c r="R19" s="2602"/>
      <c r="S19" s="2602"/>
      <c r="T19" s="2603">
        <f>MAX(0,T17-T18)</f>
        <v>0</v>
      </c>
      <c r="U19" s="2603">
        <f>MAX(0,U17-U18)</f>
        <v>0</v>
      </c>
      <c r="V19" s="2602"/>
      <c r="W19" s="2602"/>
      <c r="X19" s="2602"/>
      <c r="Y19" s="2602"/>
      <c r="Z19" s="2602"/>
      <c r="AA19" s="2603">
        <f>MAX(0,AA17-AA18)</f>
        <v>0</v>
      </c>
      <c r="AB19" s="2602"/>
      <c r="AC19" s="2603">
        <f>MAX(0,AC17-AC18)</f>
        <v>0</v>
      </c>
      <c r="AD19" s="2603"/>
      <c r="AE19" s="2603"/>
      <c r="AF19" s="2603"/>
      <c r="AG19" s="2603"/>
      <c r="AH19" s="2603"/>
      <c r="AI19" s="2603">
        <f>MAX(0,AI17-AI18)</f>
        <v>0</v>
      </c>
      <c r="AJ19" s="2931"/>
      <c r="AK19" s="2602"/>
      <c r="AL19" s="2602"/>
      <c r="AM19" s="2602"/>
      <c r="AN19" s="2602"/>
      <c r="AO19" s="2602"/>
      <c r="AP19" s="2602"/>
      <c r="AQ19" s="2602"/>
      <c r="AR19" s="2603">
        <f>MAX(0,AR17-AR18)</f>
        <v>20</v>
      </c>
      <c r="AS19" s="2602"/>
      <c r="AT19" s="2602"/>
      <c r="AU19" s="2602"/>
      <c r="AV19" s="2602"/>
      <c r="AW19" s="2603">
        <f>MAX(0,AW17-AW18)</f>
        <v>0</v>
      </c>
      <c r="AX19" s="2602"/>
      <c r="AY19" s="2603">
        <f>MAX(0,AY17-AY18)</f>
        <v>0</v>
      </c>
      <c r="AZ19" s="2603">
        <f>MAX(0,AZ17-AZ18)</f>
        <v>0</v>
      </c>
      <c r="BA19" s="2602"/>
      <c r="BB19" s="2602"/>
      <c r="BC19" s="2602"/>
      <c r="BD19" s="2603">
        <f>MAX(0,BD17-BD18)</f>
        <v>0</v>
      </c>
      <c r="BE19" s="2604"/>
      <c r="BF19" s="2604"/>
      <c r="BG19" s="2603">
        <f>MAX(0,BG17-BG18)</f>
        <v>0</v>
      </c>
      <c r="BH19" s="2604"/>
      <c r="BI19" s="3972"/>
      <c r="BJ19" s="2604"/>
      <c r="BK19" s="3730">
        <f>MAX(0,BK17-BK18)</f>
        <v>0</v>
      </c>
      <c r="BL19" s="2604"/>
      <c r="BM19" s="2604"/>
      <c r="BN19" s="2604"/>
      <c r="BO19" s="2604"/>
      <c r="BP19" s="2604"/>
      <c r="BQ19" s="2604"/>
      <c r="BR19" s="2604"/>
      <c r="BS19" s="2604"/>
      <c r="BT19" s="2603">
        <f>MAX(0,BT17-BT18)</f>
        <v>0</v>
      </c>
      <c r="BU19" s="2604"/>
      <c r="BV19" s="2603">
        <f>MAX(0,BV17-BV18)</f>
        <v>0</v>
      </c>
      <c r="BW19" s="2604"/>
      <c r="BX19" s="2603">
        <f>MAX(0,BX17-BX18)</f>
        <v>7899</v>
      </c>
      <c r="BY19" s="2604"/>
      <c r="BZ19" s="2604"/>
      <c r="CA19" s="2604"/>
      <c r="CB19" s="3730">
        <f>MAX(0,CB17-CB18)</f>
        <v>0</v>
      </c>
      <c r="CC19" s="2603">
        <f>MAX(0,CC17-CC18)</f>
        <v>0</v>
      </c>
      <c r="CD19" s="2603">
        <f>MAX(0,CD17-CD18)</f>
        <v>0</v>
      </c>
      <c r="CE19" s="2883"/>
      <c r="CF19" s="2883"/>
      <c r="CG19" s="2883"/>
      <c r="CH19" s="2603">
        <f>MAX(0,CH17-CH18)</f>
        <v>0</v>
      </c>
      <c r="CI19" s="2603">
        <f>MAX(0,CI17-CI18)</f>
        <v>7899</v>
      </c>
      <c r="CJ19" s="2883"/>
      <c r="CK19" s="2883"/>
      <c r="CL19" s="2883"/>
      <c r="CM19" s="2883"/>
      <c r="CN19" s="2883"/>
      <c r="CO19" s="2883"/>
      <c r="CP19" s="2883"/>
      <c r="CQ19" s="2603">
        <f>MAX(0,CQ17-CQ18)</f>
        <v>7899</v>
      </c>
      <c r="CR19" s="2603">
        <f>MAX(0,CR17-CR18)</f>
        <v>0</v>
      </c>
      <c r="CS19" s="2603">
        <f>MAX(0,CS17-CS18)</f>
        <v>0</v>
      </c>
      <c r="CT19" s="2603">
        <f>MAX(0,CT17-CT18)</f>
        <v>5023</v>
      </c>
      <c r="CU19" s="2883"/>
      <c r="CV19" s="2608">
        <f>MAX(0,CV17-CV18)</f>
        <v>0</v>
      </c>
      <c r="CW19" s="2883"/>
      <c r="CX19" s="2883"/>
      <c r="CY19" s="2883"/>
      <c r="CZ19" s="2603">
        <f>MAX(0,CZ17-CZ18)</f>
        <v>0</v>
      </c>
      <c r="DA19" s="2603">
        <f>MAX(0,DA17-DA18)</f>
        <v>0</v>
      </c>
      <c r="DB19" s="3730">
        <f>MAX(0,DB17-DB18)</f>
        <v>3275</v>
      </c>
      <c r="DC19" s="2603">
        <f>MAX(0,DC17-DC18)</f>
        <v>7899</v>
      </c>
      <c r="DD19" s="2883"/>
      <c r="DE19" s="2883"/>
      <c r="DF19" s="2883"/>
      <c r="DG19" s="2883"/>
      <c r="DH19" s="2883"/>
      <c r="DI19" s="2608">
        <f>MAX(0,DI17-DI18)</f>
        <v>0</v>
      </c>
      <c r="DJ19" s="2883"/>
      <c r="DK19" s="2883"/>
      <c r="DL19" s="2608">
        <f>MAX(0,DL17-DL18)</f>
        <v>0</v>
      </c>
      <c r="DM19" s="2603">
        <f>MAX(0,DM17-DM18)</f>
        <v>7899</v>
      </c>
      <c r="DN19" s="2883"/>
      <c r="DO19" s="2883"/>
      <c r="DP19" s="2883"/>
      <c r="DQ19" s="2883"/>
      <c r="DR19" s="2603">
        <f>MAX(0,DR17-DR18)</f>
        <v>0</v>
      </c>
      <c r="DS19" s="2883"/>
      <c r="DT19" s="2883"/>
      <c r="DU19" s="2883"/>
      <c r="DV19" s="2883"/>
      <c r="DW19" s="2883"/>
      <c r="DX19" s="2883"/>
      <c r="DY19" s="2883"/>
      <c r="DZ19" s="2883"/>
      <c r="EA19" s="2883"/>
      <c r="EB19" s="2883"/>
      <c r="EC19" s="2883"/>
      <c r="ED19" s="2883"/>
      <c r="EE19" s="2883"/>
      <c r="EF19" s="2883"/>
      <c r="EG19" s="2883"/>
      <c r="EH19" s="2883"/>
      <c r="EI19" s="2883"/>
      <c r="EJ19" s="2603">
        <f>MAX(0,EJ17-EJ18)</f>
        <v>4361</v>
      </c>
      <c r="EK19" s="2883"/>
      <c r="EL19" s="2883"/>
      <c r="EM19" s="2883"/>
      <c r="EN19" s="2603">
        <f>MAX(0,EN17-EN18)</f>
        <v>0</v>
      </c>
      <c r="EO19" s="2883"/>
      <c r="EP19" s="2883"/>
      <c r="EQ19" s="2883"/>
      <c r="ER19" s="2883"/>
      <c r="ES19" s="2883"/>
      <c r="ET19" s="2883"/>
      <c r="EU19" s="2603">
        <f>MAX(0,EU17-EU18)</f>
        <v>0</v>
      </c>
      <c r="EV19" s="2883"/>
      <c r="EW19" s="2883"/>
      <c r="EX19" s="2883"/>
      <c r="EY19" s="2883"/>
      <c r="EZ19" s="2883"/>
      <c r="FA19" s="2883"/>
      <c r="FB19" s="2883"/>
      <c r="FC19" s="2883"/>
      <c r="FD19" s="2883"/>
      <c r="FE19" s="2883"/>
      <c r="FF19" s="2603">
        <f>MAX(0,FF17-FF18)</f>
        <v>0</v>
      </c>
      <c r="FG19" s="2883"/>
      <c r="FH19" s="2883"/>
      <c r="FI19" s="2883"/>
      <c r="FJ19" s="2883"/>
      <c r="FK19" s="2883"/>
      <c r="FL19" s="2883"/>
      <c r="FM19" s="2883"/>
      <c r="FN19" s="2883"/>
      <c r="FO19" s="2883"/>
      <c r="FP19" s="2883"/>
      <c r="FQ19" s="2883"/>
      <c r="FR19" s="2883"/>
      <c r="FS19" s="2883"/>
      <c r="FT19" s="2603">
        <f>MAX(0,FT17-FT18)</f>
        <v>0</v>
      </c>
      <c r="FU19" s="2603">
        <f>MAX(0,FU17-FU18)</f>
        <v>0</v>
      </c>
      <c r="FV19" s="2603">
        <f>MAX(0,FV17-FV18)</f>
        <v>5023</v>
      </c>
      <c r="FW19" s="2883"/>
      <c r="FX19" s="2603">
        <f>MAX(0,FX17-FX18)</f>
        <v>0</v>
      </c>
      <c r="FY19" s="2883"/>
      <c r="FZ19" s="2883"/>
      <c r="GA19" s="2883"/>
      <c r="GB19" s="2883"/>
      <c r="GC19" s="2883"/>
      <c r="GD19" s="2883"/>
      <c r="GE19" s="2603">
        <f>MAX(0,GE17-GE18)</f>
        <v>4361</v>
      </c>
      <c r="GF19" s="2603">
        <f>MAX(0,GF17-GF18)</f>
        <v>4361</v>
      </c>
      <c r="GG19" s="2603">
        <f>MAX(0,GG17-GG18)</f>
        <v>0</v>
      </c>
      <c r="GH19" s="2883"/>
      <c r="GI19" s="2883"/>
      <c r="GJ19" s="2603">
        <f>MAX(0,GJ17-GJ18)</f>
        <v>0</v>
      </c>
      <c r="GK19" s="2883"/>
      <c r="GL19" s="2883"/>
      <c r="GM19" s="2883"/>
      <c r="GN19" s="2883"/>
      <c r="GO19" s="2883"/>
      <c r="GP19" s="2883"/>
      <c r="GQ19" s="2883"/>
      <c r="GR19" s="2883"/>
      <c r="GS19" s="2883"/>
      <c r="GT19" s="2883"/>
      <c r="GU19" s="2883"/>
      <c r="GV19" s="2883"/>
      <c r="GW19" s="2603">
        <f>MAX(0,GW17-GW18)</f>
        <v>0</v>
      </c>
      <c r="GX19" s="2603">
        <f>MAX(0,GX17-GX18)</f>
        <v>7899</v>
      </c>
      <c r="GY19" s="2883"/>
      <c r="GZ19" s="2883"/>
      <c r="HA19" s="2883"/>
      <c r="HB19" s="2608">
        <f>MAX(0,HB17-HB18)</f>
        <v>0</v>
      </c>
      <c r="HC19" s="2883"/>
      <c r="HD19" s="2603">
        <f>MAX(0,HD17-HD18)</f>
        <v>0</v>
      </c>
      <c r="HE19" s="2883"/>
      <c r="HF19" s="2603">
        <f>MAX(0,HF17-HF18)</f>
        <v>0</v>
      </c>
      <c r="HG19" s="2603">
        <f>MAX(0,HG17-HG18)</f>
        <v>0</v>
      </c>
      <c r="HH19" s="2883"/>
      <c r="HI19" s="2883"/>
      <c r="HJ19" s="2883"/>
      <c r="HK19" s="2883"/>
      <c r="HL19" s="2883"/>
      <c r="HM19" s="2883"/>
      <c r="HN19" s="2883"/>
      <c r="HO19" s="2883"/>
      <c r="HP19" s="2883"/>
      <c r="HQ19" s="2883"/>
      <c r="HR19" s="2883"/>
      <c r="HS19" s="2603">
        <f>MAX(0,HS17-HS18)</f>
        <v>5023</v>
      </c>
      <c r="HT19" s="2883"/>
      <c r="HU19" s="2883"/>
      <c r="HV19" s="2883"/>
      <c r="HW19" s="2883"/>
      <c r="HX19" s="2883"/>
      <c r="HY19" s="2883"/>
      <c r="HZ19" s="2883"/>
      <c r="IA19" s="2883"/>
      <c r="IB19" s="2883"/>
      <c r="IC19" s="2883"/>
      <c r="ID19" s="2883"/>
      <c r="IE19" s="2883"/>
      <c r="IF19" s="2883"/>
      <c r="IG19" s="2883"/>
      <c r="IH19" s="2883"/>
      <c r="II19" s="2883"/>
      <c r="IJ19" s="2883"/>
      <c r="IK19" s="2883"/>
      <c r="IL19" s="2883"/>
      <c r="IM19" s="2883"/>
      <c r="IN19" s="2883"/>
      <c r="IO19" s="2603">
        <f>MAX(0,IO17-IO18)</f>
        <v>0</v>
      </c>
      <c r="IP19" s="2883"/>
      <c r="IQ19" s="2883"/>
      <c r="IR19" s="2883"/>
      <c r="IS19" s="4010"/>
      <c r="IT19" s="3999"/>
      <c r="IU19" s="3999"/>
      <c r="IV19" s="3999"/>
      <c r="IW19" s="3999"/>
      <c r="IX19" s="3999"/>
      <c r="IY19" s="3999"/>
      <c r="IZ19" s="2883"/>
      <c r="JA19" s="4010">
        <v>0</v>
      </c>
      <c r="JB19" s="4010">
        <v>0</v>
      </c>
      <c r="JC19" s="2883"/>
      <c r="JD19" s="2883"/>
      <c r="JE19" s="2883"/>
      <c r="JF19" s="2883"/>
      <c r="JG19" s="2605">
        <f>MAX(0,JG17-JG18)</f>
        <v>0</v>
      </c>
      <c r="JH19" s="1233"/>
      <c r="JI19" s="1393" t="s">
        <v>5692</v>
      </c>
      <c r="JJ19" s="1686" t="s">
        <v>6124</v>
      </c>
    </row>
    <row ht="56.25" r="20" spans="1:270" x14ac:dyDescent="0.2">
      <c r="A20" s="1128">
        <v>20</v>
      </c>
      <c r="B20" s="1534" t="str">
        <f si="1" t="shared"/>
        <v/>
      </c>
      <c r="C20" s="1728" t="s">
        <v>3461</v>
      </c>
      <c r="D20" s="1727" t="s">
        <v>5710</v>
      </c>
      <c r="E20" s="2609"/>
      <c r="F20" s="2610">
        <f>MAX(0,(F9+F10+F11+F12+F16)-(F6+F13+F14))</f>
        <v>0</v>
      </c>
      <c r="G20" s="2609"/>
      <c r="H20" s="2609"/>
      <c r="I20" s="2609"/>
      <c r="J20" s="2609"/>
      <c r="K20" s="2609"/>
      <c r="L20" s="2609"/>
      <c r="M20" s="2610">
        <f>MAX(0,(M9+M10+M11+M12+M16)-(M6+M13+M14))</f>
        <v>0</v>
      </c>
      <c r="N20" s="2609"/>
      <c r="O20" s="2610">
        <f>MAX(0,(O9+O10+O11+O12+O16)-(O6+O13+O14))</f>
        <v>0</v>
      </c>
      <c r="P20" s="2609"/>
      <c r="Q20" s="2610">
        <f>MAX(0,(Q9+Q10+Q11+Q12+Q16)-(Q6+Q13+Q14))</f>
        <v>0</v>
      </c>
      <c r="R20" s="2609"/>
      <c r="S20" s="2609"/>
      <c r="T20" s="2610">
        <f>MAX(0,(T9+T10+T11+T12+T16)-(T6+T13+T14))</f>
        <v>0</v>
      </c>
      <c r="U20" s="2610">
        <f>MAX(0,(U9+U10+U11+U12+U16)-(U6+U13+U14))</f>
        <v>0</v>
      </c>
      <c r="V20" s="2609"/>
      <c r="W20" s="2609"/>
      <c r="X20" s="2609"/>
      <c r="Y20" s="2609"/>
      <c r="Z20" s="2609"/>
      <c r="AA20" s="2610">
        <f>MAX(0,(AA9+AA10+AA11+AA12+AA16)-(AA6+AA13+AA14))</f>
        <v>0</v>
      </c>
      <c r="AB20" s="2609"/>
      <c r="AC20" s="2610">
        <f>MAX(0,(AC9+AC10+AC11+AC12+AC16)-(AC6+AC13+AC14))</f>
        <v>0</v>
      </c>
      <c r="AD20" s="2610"/>
      <c r="AE20" s="2610"/>
      <c r="AF20" s="2610"/>
      <c r="AG20" s="2610"/>
      <c r="AH20" s="2610"/>
      <c r="AI20" s="2610">
        <f>MAX(0,(AI9+AI10+AI11+AI12+AI16)-(AI6+AI13+AI14))</f>
        <v>0</v>
      </c>
      <c r="AJ20" s="2933"/>
      <c r="AK20" s="2609"/>
      <c r="AL20" s="2609"/>
      <c r="AM20" s="2609"/>
      <c r="AN20" s="2609"/>
      <c r="AO20" s="2609"/>
      <c r="AP20" s="2609"/>
      <c r="AQ20" s="2609"/>
      <c r="AR20" s="2610">
        <f>MAX(0,(AR9+AR10+AR11+AR12+AR16)-(AR6+AR13+AR14))</f>
        <v>0</v>
      </c>
      <c r="AS20" s="2609"/>
      <c r="AT20" s="2609"/>
      <c r="AU20" s="2609"/>
      <c r="AV20" s="2609"/>
      <c r="AW20" s="2610">
        <f>MAX(0,(AW9+AW10+AW11+AW12+AW16)-(AW6+AW13+AW14))</f>
        <v>0</v>
      </c>
      <c r="AX20" s="2609"/>
      <c r="AY20" s="2610">
        <f>MAX(0,(AY9+AY10+AY11+AY12+AY16)-(AY6+AY13+AY14))</f>
        <v>0</v>
      </c>
      <c r="AZ20" s="2610">
        <f>MAX(0,(AZ9+AZ10+AZ11+AZ12+AZ16)-(AZ6+AZ13+AZ14))</f>
        <v>0</v>
      </c>
      <c r="BA20" s="2609"/>
      <c r="BB20" s="2609"/>
      <c r="BC20" s="2609"/>
      <c r="BD20" s="2610">
        <f>MAX(0,(BD9+BD10+BD11+BD12+BD16)-(BD6+BD13+BD14))</f>
        <v>0</v>
      </c>
      <c r="BE20" s="2604"/>
      <c r="BF20" s="2604"/>
      <c r="BG20" s="2610">
        <f>MAX(0,(BG9+BG10+BG11+BG12+BG16)-(BG6+BG13+BG14))</f>
        <v>0</v>
      </c>
      <c r="BH20" s="2604"/>
      <c r="BI20" s="3972"/>
      <c r="BJ20" s="2604"/>
      <c r="BK20" s="3732">
        <f>MAX(0,(BK9+BK10+BK11+BK12+BK16)-(BK6+BK13+BK14))</f>
        <v>0</v>
      </c>
      <c r="BL20" s="2604"/>
      <c r="BM20" s="2604"/>
      <c r="BN20" s="2604"/>
      <c r="BO20" s="2604"/>
      <c r="BP20" s="2604"/>
      <c r="BQ20" s="2604"/>
      <c r="BR20" s="2604"/>
      <c r="BS20" s="2604"/>
      <c r="BT20" s="2610">
        <f>MAX(0,(BT9+BT10+BT11+BT12+BT16)-(BT6+BT13+BT14))</f>
        <v>0</v>
      </c>
      <c r="BU20" s="2604"/>
      <c r="BV20" s="2610">
        <f>MAX(0,(BV9+BV10+BV11+BV12+BV16)-(BV6+BV13+BV14))</f>
        <v>0</v>
      </c>
      <c r="BW20" s="2604"/>
      <c r="BX20" s="2610">
        <f>MAX(0,(BX9+BX10+BX11+BX12+BX16)-(BX6+BX13+BX14))</f>
        <v>0</v>
      </c>
      <c r="BY20" s="2610">
        <f>MAX(0,(BY9+BY10+BY11+BY12+BY16)-(BY6+BY13+BY14))</f>
        <v>0</v>
      </c>
      <c r="BZ20" s="2610">
        <f>MAX(0,(BZ9+BZ10+BZ11+BZ12+BZ16)-(BZ6+BZ13+BZ14))</f>
        <v>0</v>
      </c>
      <c r="CA20" s="2610">
        <f>MAX(0,(CA9+CA10+CA11+CA12+CA16)-(CA6+CA13+CA14))</f>
        <v>0</v>
      </c>
      <c r="CB20" s="2610">
        <f>MAX(0,(CB9+CB10+CB11+CB12+CB15+CB16)-(CB6+CB13+CB14))</f>
        <v>100</v>
      </c>
      <c r="CC20" s="2610">
        <f>MAX(0,(CC9+CC10+CC11+CC12+CC16)-(CC6+CC13+CC14))</f>
        <v>0</v>
      </c>
      <c r="CD20" s="2610">
        <f>MAX(0,(CD9+CD10+CD11+CD12+CD16)-(CD6+CD13+CD14))</f>
        <v>0</v>
      </c>
      <c r="CE20" s="2883"/>
      <c r="CF20" s="2883"/>
      <c r="CG20" s="2883"/>
      <c r="CH20" s="2610">
        <f>MAX(0,(CH9+CH10+CH11+CH12+CH16)-(CH6+CH13+CH14))</f>
        <v>0</v>
      </c>
      <c r="CI20" s="2610">
        <f>MAX(0,(CI9+CI10+CI11+CI12+CI16)-(CI6+CI13+CI14))</f>
        <v>0</v>
      </c>
      <c r="CJ20" s="2883"/>
      <c r="CK20" s="2883"/>
      <c r="CL20" s="2883"/>
      <c r="CM20" s="2883"/>
      <c r="CN20" s="2883"/>
      <c r="CO20" s="2883"/>
      <c r="CP20" s="2883"/>
      <c r="CQ20" s="2610">
        <f>MAX(0,(CQ9+CQ10+CQ11+CQ12+CQ16)-(CQ6+CQ13+CQ14))</f>
        <v>0</v>
      </c>
      <c r="CR20" s="2610">
        <f>MAX(0,(CR9+CR10+CR11+CR12+CR16)-(CR6+CR13+CR14))</f>
        <v>5725</v>
      </c>
      <c r="CS20" s="2610">
        <f>MAX(0,(CS9+CS10+CS11+CS12+CS16)-(CS6+CS13+CS14))</f>
        <v>5725</v>
      </c>
      <c r="CT20" s="2610">
        <f>MAX(0,(CT9+CT10+CT11+CT12+CT16)-(CT6+CT13+CT14))</f>
        <v>0</v>
      </c>
      <c r="CU20" s="2883"/>
      <c r="CV20" s="2611">
        <f>MAX(0,(CV9+CV10+CV11+CV12+CV16)-(CV6+CV13+CV14))</f>
        <v>45332</v>
      </c>
      <c r="CW20" s="2883"/>
      <c r="CX20" s="2883"/>
      <c r="CY20" s="2883"/>
      <c r="CZ20" s="2610">
        <f>MAX(0,(CZ9+CZ10+CZ11+CZ12+CZ16)-(CZ6+CZ13+CZ14))</f>
        <v>0</v>
      </c>
      <c r="DA20" s="2610">
        <f>MAX(0,(DA9+DA10+DA11+DA12+DA16)-(DA6+DA13+DA14))</f>
        <v>0</v>
      </c>
      <c r="DB20" s="3732">
        <f>MAX(0,(DB9+DB10+DB11+DB12+DB16)-(DB6+DB13+DB14))</f>
        <v>0</v>
      </c>
      <c r="DC20" s="2610">
        <f>MAX(0,(DC9+DC10+DC11+DC12+DC16)-(DC6+DC13+DC14))</f>
        <v>0</v>
      </c>
      <c r="DD20" s="2883"/>
      <c r="DE20" s="2883"/>
      <c r="DF20" s="2883"/>
      <c r="DG20" s="2883"/>
      <c r="DH20" s="2883"/>
      <c r="DI20" s="2611">
        <f>MAX(0,(DI9+DI10+DI11+DI12+DI16)-(DI6+DI13+DI14))</f>
        <v>45332</v>
      </c>
      <c r="DJ20" s="2883"/>
      <c r="DK20" s="2883"/>
      <c r="DL20" s="2611">
        <f>MAX(0,(DL9+DL10+DL11+DL12+DL16)-(DL6+DL13+DL14))</f>
        <v>45332</v>
      </c>
      <c r="DM20" s="2610">
        <f>MAX(0,(DM9+DM10+DM11+DM12+DM16)-(DM6+DM13+DM14))</f>
        <v>0</v>
      </c>
      <c r="DN20" s="2883"/>
      <c r="DO20" s="2883"/>
      <c r="DP20" s="2883"/>
      <c r="DQ20" s="2883"/>
      <c r="DR20" s="2610">
        <f>MAX(0,(DR9+DR10+DR11+DR12+DR16)-(DR6+DR13+DR14))</f>
        <v>0</v>
      </c>
      <c r="DS20" s="2883"/>
      <c r="DT20" s="2883"/>
      <c r="DU20" s="2883"/>
      <c r="DV20" s="2883"/>
      <c r="DW20" s="2883"/>
      <c r="DX20" s="2883"/>
      <c r="DY20" s="2883"/>
      <c r="DZ20" s="2883"/>
      <c r="EA20" s="2883"/>
      <c r="EB20" s="2883"/>
      <c r="EC20" s="2883"/>
      <c r="ED20" s="2883"/>
      <c r="EE20" s="2883"/>
      <c r="EF20" s="2883"/>
      <c r="EG20" s="2883"/>
      <c r="EH20" s="2883"/>
      <c r="EI20" s="2883"/>
      <c r="EJ20" s="2610">
        <f>MAX(0,(EJ9+EJ10+EJ11+EJ12+EJ16)-(EJ6+EJ13+EJ14))</f>
        <v>0</v>
      </c>
      <c r="EK20" s="2883"/>
      <c r="EL20" s="2883"/>
      <c r="EM20" s="2883"/>
      <c r="EN20" s="2610">
        <f>MAX(0,(EN9+EN10+EN11+EN12+EN16)-(EN6+EN13+EN14))</f>
        <v>0</v>
      </c>
      <c r="EO20" s="2883"/>
      <c r="EP20" s="2883"/>
      <c r="EQ20" s="2883"/>
      <c r="ER20" s="2883"/>
      <c r="ES20" s="2883"/>
      <c r="ET20" s="2883"/>
      <c r="EU20" s="2610">
        <f>MAX(0,(EU9+EU10+EU11+EU12+EU16)-(EU6+EU13+EU14))</f>
        <v>5725</v>
      </c>
      <c r="EV20" s="2883"/>
      <c r="EW20" s="2883"/>
      <c r="EX20" s="2883"/>
      <c r="EY20" s="2883"/>
      <c r="EZ20" s="2883"/>
      <c r="FA20" s="2883"/>
      <c r="FB20" s="2883"/>
      <c r="FC20" s="2883"/>
      <c r="FD20" s="2883"/>
      <c r="FE20" s="2883"/>
      <c r="FF20" s="2610">
        <f>MAX(0,(FF9+FF10+FF11+FF12+FF16)-(FF6+FF13+FF14))</f>
        <v>0</v>
      </c>
      <c r="FG20" s="2883"/>
      <c r="FH20" s="2883"/>
      <c r="FI20" s="2883"/>
      <c r="FJ20" s="2883"/>
      <c r="FK20" s="2883"/>
      <c r="FL20" s="2883"/>
      <c r="FM20" s="2883"/>
      <c r="FN20" s="2883"/>
      <c r="FO20" s="2883"/>
      <c r="FP20" s="2883"/>
      <c r="FQ20" s="2883"/>
      <c r="FR20" s="2883"/>
      <c r="FS20" s="2883"/>
      <c r="FT20" s="2610">
        <f>MAX(0,(FT9+FT10+FT11+FT12+FT16)-(FT6+FT13+FT14))</f>
        <v>0</v>
      </c>
      <c r="FU20" s="2610">
        <f>MAX(0,(FU9+FU10+FU11+FU12+FU16)-(FU6+FU13+FU14))</f>
        <v>0</v>
      </c>
      <c r="FV20" s="2610">
        <f>MAX(0,(FV9+FV10+FV11+FV12+FV16)-(FV6+FV13+FV14))</f>
        <v>0</v>
      </c>
      <c r="FW20" s="2883"/>
      <c r="FX20" s="2610">
        <f>MAX(0,(FX9+FX10+FX11+FX12+FX16)-(FX6+FX13+FX14))</f>
        <v>5725</v>
      </c>
      <c r="FY20" s="2883"/>
      <c r="FZ20" s="2883"/>
      <c r="GA20" s="2883"/>
      <c r="GB20" s="2883"/>
      <c r="GC20" s="2883"/>
      <c r="GD20" s="2883"/>
      <c r="GE20" s="2610">
        <f>MAX(0,(GE9+GE10+GE11+GE12+GE16)-(GE6+GE13+GE14))</f>
        <v>0</v>
      </c>
      <c r="GF20" s="2610">
        <f>MAX(0,(GF9+GF10+GF11+GF12+GF16)-(GF6+GF13+GF14))</f>
        <v>0</v>
      </c>
      <c r="GG20" s="2610">
        <f>MAX(0,(GG9+GG10+GG11+GG12+GG16)-(GG6+GG13+GG14))</f>
        <v>5725</v>
      </c>
      <c r="GH20" s="2883"/>
      <c r="GI20" s="2883"/>
      <c r="GJ20" s="2610">
        <f>MAX(0,(GJ9+GJ10+GJ11+GJ12+GJ16)-(GJ6+GJ13+GJ14))</f>
        <v>5725</v>
      </c>
      <c r="GK20" s="2883"/>
      <c r="GL20" s="2883"/>
      <c r="GM20" s="2883"/>
      <c r="GN20" s="2883"/>
      <c r="GO20" s="2883"/>
      <c r="GP20" s="2883"/>
      <c r="GQ20" s="2883"/>
      <c r="GR20" s="2883"/>
      <c r="GS20" s="2883"/>
      <c r="GT20" s="2883"/>
      <c r="GU20" s="2883"/>
      <c r="GV20" s="2883"/>
      <c r="GW20" s="2610">
        <f>MAX(0,(GW9+GW10+GW11+GW12+GW16)-(GW6+GW13+GW14))</f>
        <v>5725</v>
      </c>
      <c r="GX20" s="2610">
        <f>MAX(0,(GX9+GX10+GX11+GX12+GX16)-(GX6+GX13+GX14))</f>
        <v>0</v>
      </c>
      <c r="GY20" s="2883"/>
      <c r="GZ20" s="2883"/>
      <c r="HA20" s="2883"/>
      <c r="HB20" s="2611">
        <f>MAX(0,(HB9+HB10+HB11+HB12+HB16)-(HB6+HB13+HB14))</f>
        <v>45332</v>
      </c>
      <c r="HC20" s="2883"/>
      <c r="HD20" s="2610">
        <f>MAX(0,(HD9+HD10+HD11+HD12+HD16)-(HD6+HD13+HD14))</f>
        <v>0</v>
      </c>
      <c r="HE20" s="2883"/>
      <c r="HF20" s="2610">
        <f>MAX(0,(HF9+HF10+HF11+HF12+HF16)-(HF6+HF13+HF14))</f>
        <v>0</v>
      </c>
      <c r="HG20" s="2610">
        <f>MAX(0,(HG9+HG10+HG11+HG12+HG16)-(HG6+HG13+HG14))</f>
        <v>0</v>
      </c>
      <c r="HH20" s="2883"/>
      <c r="HI20" s="2883"/>
      <c r="HJ20" s="2883"/>
      <c r="HK20" s="2883"/>
      <c r="HL20" s="2883"/>
      <c r="HM20" s="2883"/>
      <c r="HN20" s="2883"/>
      <c r="HO20" s="2883"/>
      <c r="HP20" s="2883"/>
      <c r="HQ20" s="2883"/>
      <c r="HR20" s="2883"/>
      <c r="HS20" s="2610">
        <f>MAX(0,(HS9+HS10+HS11+HS12+HS16)-(HS6+HS13+HS14))</f>
        <v>0</v>
      </c>
      <c r="HT20" s="2883"/>
      <c r="HU20" s="2883"/>
      <c r="HV20" s="2883"/>
      <c r="HW20" s="2883"/>
      <c r="HX20" s="2883"/>
      <c r="HY20" s="2883"/>
      <c r="HZ20" s="2883"/>
      <c r="IA20" s="2883"/>
      <c r="IB20" s="2883"/>
      <c r="IC20" s="2883"/>
      <c r="ID20" s="2883"/>
      <c r="IE20" s="2883"/>
      <c r="IF20" s="2883"/>
      <c r="IG20" s="2883"/>
      <c r="IH20" s="2883"/>
      <c r="II20" s="2883"/>
      <c r="IJ20" s="2883"/>
      <c r="IK20" s="2883"/>
      <c r="IL20" s="2883"/>
      <c r="IM20" s="2883"/>
      <c r="IN20" s="2883"/>
      <c r="IO20" s="2610">
        <f>MAX(0,(IO9+IO10+IO11+IO12+IO16)-(IO6+IO13+IO14))</f>
        <v>0</v>
      </c>
      <c r="IP20" s="2883"/>
      <c r="IQ20" s="2883"/>
      <c r="IR20" s="2883"/>
      <c r="IS20" s="4012"/>
      <c r="IT20" s="3999"/>
      <c r="IU20" s="3999"/>
      <c r="IV20" s="3999"/>
      <c r="IW20" s="3999"/>
      <c r="IX20" s="3999"/>
      <c r="IY20" s="3999"/>
      <c r="IZ20" s="2883"/>
      <c r="JA20" s="4012">
        <v>0</v>
      </c>
      <c r="JB20" s="4012">
        <v>0</v>
      </c>
      <c r="JC20" s="2883"/>
      <c r="JD20" s="2883"/>
      <c r="JE20" s="2883"/>
      <c r="JF20" s="2883"/>
      <c r="JG20" s="2605">
        <f>MAX(0,(JG9+JG10+JG11+JG12+JG16)-(JG6+JG13+JG14))</f>
        <v>0</v>
      </c>
      <c r="JH20" s="1233"/>
      <c r="JI20" s="2020" t="s">
        <v>6564</v>
      </c>
      <c r="JJ20" s="1686" t="s">
        <v>6124</v>
      </c>
    </row>
    <row r="21" spans="1:270" x14ac:dyDescent="0.2">
      <c r="A21" s="1128">
        <v>21</v>
      </c>
      <c r="B21" s="1534" t="str">
        <f si="1" t="shared"/>
        <v/>
      </c>
      <c r="C21" s="1728" t="s">
        <v>3462</v>
      </c>
      <c r="D21" s="1727" t="s">
        <v>5711</v>
      </c>
      <c r="E21" s="2609"/>
      <c r="F21" s="2609"/>
      <c r="G21" s="2609"/>
      <c r="H21" s="2609"/>
      <c r="I21" s="2609"/>
      <c r="J21" s="2609"/>
      <c r="K21" s="2609"/>
      <c r="L21" s="2609"/>
      <c r="M21" s="2609"/>
      <c r="N21" s="2609"/>
      <c r="O21" s="2609"/>
      <c r="P21" s="2609"/>
      <c r="Q21" s="2609"/>
      <c r="R21" s="2609"/>
      <c r="S21" s="2609"/>
      <c r="T21" s="2609"/>
      <c r="U21" s="2609"/>
      <c r="V21" s="2609"/>
      <c r="W21" s="2609"/>
      <c r="X21" s="2609"/>
      <c r="Y21" s="2609"/>
      <c r="Z21" s="2609"/>
      <c r="AA21" s="2609"/>
      <c r="AB21" s="2609"/>
      <c r="AC21" s="2609"/>
      <c r="AD21" s="2609"/>
      <c r="AE21" s="2609"/>
      <c r="AF21" s="2609"/>
      <c r="AG21" s="2609"/>
      <c r="AH21" s="2609"/>
      <c r="AI21" s="2609"/>
      <c r="AJ21" s="2933"/>
      <c r="AK21" s="2609"/>
      <c r="AL21" s="2609"/>
      <c r="AM21" s="2609"/>
      <c r="AN21" s="2609"/>
      <c r="AO21" s="2609"/>
      <c r="AP21" s="2609"/>
      <c r="AQ21" s="2609"/>
      <c r="AR21" s="2609"/>
      <c r="AS21" s="2609"/>
      <c r="AT21" s="2609"/>
      <c r="AU21" s="2609"/>
      <c r="AV21" s="2609"/>
      <c r="AW21" s="2609"/>
      <c r="AX21" s="2609"/>
      <c r="AY21" s="2609"/>
      <c r="AZ21" s="2609"/>
      <c r="BA21" s="2609"/>
      <c r="BB21" s="2609"/>
      <c r="BC21" s="2609"/>
      <c r="BD21" s="2609"/>
      <c r="BE21" s="2612"/>
      <c r="BF21" s="2612"/>
      <c r="BG21" s="2609"/>
      <c r="BH21" s="2612"/>
      <c r="BI21" s="3974"/>
      <c r="BJ21" s="2612"/>
      <c r="BK21" s="3732"/>
      <c r="BL21" s="2612"/>
      <c r="BM21" s="2612"/>
      <c r="BN21" s="2612"/>
      <c r="BO21" s="2612"/>
      <c r="BP21" s="2612"/>
      <c r="BQ21" s="2612"/>
      <c r="BR21" s="2612"/>
      <c r="BS21" s="2612"/>
      <c r="BT21" s="2609"/>
      <c r="BU21" s="2612"/>
      <c r="BV21" s="2609"/>
      <c r="BW21" s="2612"/>
      <c r="BX21" s="2609"/>
      <c r="BY21" s="2612"/>
      <c r="BZ21" s="2612"/>
      <c r="CA21" s="2612"/>
      <c r="CB21" s="2885"/>
      <c r="CC21" s="2609"/>
      <c r="CD21" s="2609"/>
      <c r="CE21" s="2885"/>
      <c r="CF21" s="2885"/>
      <c r="CG21" s="2885"/>
      <c r="CH21" s="2609"/>
      <c r="CI21" s="2609"/>
      <c r="CJ21" s="2885"/>
      <c r="CK21" s="2885"/>
      <c r="CL21" s="2885"/>
      <c r="CM21" s="2885"/>
      <c r="CN21" s="2885"/>
      <c r="CO21" s="2885"/>
      <c r="CP21" s="2885"/>
      <c r="CQ21" s="2609"/>
      <c r="CR21" s="2610">
        <f>CR20+CR18</f>
        <v>5725</v>
      </c>
      <c r="CS21" s="2610">
        <f>CS20+CS18</f>
        <v>5725</v>
      </c>
      <c r="CT21" s="2609"/>
      <c r="CU21" s="2885"/>
      <c r="CV21" s="2609">
        <f>CV20+CV18</f>
        <v>45332</v>
      </c>
      <c r="CW21" s="2885"/>
      <c r="CX21" s="2885"/>
      <c r="CY21" s="2885"/>
      <c r="CZ21" s="2609"/>
      <c r="DA21" s="2609"/>
      <c r="DB21" s="3732">
        <f>DB20+DB18</f>
        <v>0</v>
      </c>
      <c r="DC21" s="2609"/>
      <c r="DD21" s="2885"/>
      <c r="DE21" s="2885"/>
      <c r="DF21" s="2885"/>
      <c r="DG21" s="2885"/>
      <c r="DH21" s="2885"/>
      <c r="DI21" s="2609">
        <f>DI20+DI18</f>
        <v>45332</v>
      </c>
      <c r="DJ21" s="2885"/>
      <c r="DK21" s="2885"/>
      <c r="DL21" s="2609">
        <f>DL20+DL18</f>
        <v>45332</v>
      </c>
      <c r="DM21" s="2609"/>
      <c r="DN21" s="2885"/>
      <c r="DO21" s="2885"/>
      <c r="DP21" s="2885"/>
      <c r="DQ21" s="2885"/>
      <c r="DR21" s="2609"/>
      <c r="DS21" s="2885"/>
      <c r="DT21" s="2885"/>
      <c r="DU21" s="2885"/>
      <c r="DV21" s="2885"/>
      <c r="DW21" s="2885"/>
      <c r="DX21" s="2885"/>
      <c r="DY21" s="2885"/>
      <c r="DZ21" s="2885"/>
      <c r="EA21" s="2885"/>
      <c r="EB21" s="2885"/>
      <c r="EC21" s="2885"/>
      <c r="ED21" s="2885"/>
      <c r="EE21" s="2885"/>
      <c r="EF21" s="2885"/>
      <c r="EG21" s="2885"/>
      <c r="EH21" s="2885"/>
      <c r="EI21" s="2885"/>
      <c r="EJ21" s="2609"/>
      <c r="EK21" s="2885"/>
      <c r="EL21" s="2885"/>
      <c r="EM21" s="2885"/>
      <c r="EN21" s="2609"/>
      <c r="EO21" s="2885"/>
      <c r="EP21" s="2885"/>
      <c r="EQ21" s="2885"/>
      <c r="ER21" s="2885"/>
      <c r="ES21" s="2885"/>
      <c r="ET21" s="2885"/>
      <c r="EU21" s="2610">
        <f>EU20+EU18</f>
        <v>5725</v>
      </c>
      <c r="EV21" s="2885"/>
      <c r="EW21" s="2885"/>
      <c r="EX21" s="2885"/>
      <c r="EY21" s="2885"/>
      <c r="EZ21" s="2885"/>
      <c r="FA21" s="2885"/>
      <c r="FB21" s="2885"/>
      <c r="FC21" s="2885"/>
      <c r="FD21" s="2885"/>
      <c r="FE21" s="2885"/>
      <c r="FF21" s="2609"/>
      <c r="FG21" s="2885"/>
      <c r="FH21" s="2885"/>
      <c r="FI21" s="2885"/>
      <c r="FJ21" s="2885"/>
      <c r="FK21" s="2885"/>
      <c r="FL21" s="2885"/>
      <c r="FM21" s="2885"/>
      <c r="FN21" s="2885"/>
      <c r="FO21" s="2885"/>
      <c r="FP21" s="2885"/>
      <c r="FQ21" s="2885"/>
      <c r="FR21" s="2885"/>
      <c r="FS21" s="2885"/>
      <c r="FT21" s="2609"/>
      <c r="FU21" s="2609"/>
      <c r="FV21" s="2609"/>
      <c r="FW21" s="2885"/>
      <c r="FX21" s="2610">
        <f>FX20+FX18</f>
        <v>5725</v>
      </c>
      <c r="FY21" s="2885"/>
      <c r="FZ21" s="2885"/>
      <c r="GA21" s="2885"/>
      <c r="GB21" s="2885"/>
      <c r="GC21" s="2885"/>
      <c r="GD21" s="2885"/>
      <c r="GE21" s="2609"/>
      <c r="GF21" s="2609"/>
      <c r="GG21" s="2610">
        <f>GG20+GG18</f>
        <v>5725</v>
      </c>
      <c r="GH21" s="2885"/>
      <c r="GI21" s="2885"/>
      <c r="GJ21" s="2610">
        <f>GJ20+GJ18</f>
        <v>5725</v>
      </c>
      <c r="GK21" s="2885"/>
      <c r="GL21" s="2885"/>
      <c r="GM21" s="2885"/>
      <c r="GN21" s="2885"/>
      <c r="GO21" s="2885"/>
      <c r="GP21" s="2885"/>
      <c r="GQ21" s="2885"/>
      <c r="GR21" s="2885"/>
      <c r="GS21" s="2885"/>
      <c r="GT21" s="2885"/>
      <c r="GU21" s="2885"/>
      <c r="GV21" s="2885"/>
      <c r="GW21" s="2610">
        <f>GW20+GW18</f>
        <v>5725</v>
      </c>
      <c r="GX21" s="2609"/>
      <c r="GY21" s="2885"/>
      <c r="GZ21" s="2885"/>
      <c r="HA21" s="2885"/>
      <c r="HB21" s="2609">
        <f>HB20+HB18</f>
        <v>45332</v>
      </c>
      <c r="HC21" s="2885"/>
      <c r="HD21" s="2609"/>
      <c r="HE21" s="2885"/>
      <c r="HF21" s="2609"/>
      <c r="HG21" s="2609"/>
      <c r="HH21" s="2885"/>
      <c r="HI21" s="2885"/>
      <c r="HJ21" s="2885"/>
      <c r="HK21" s="2885"/>
      <c r="HL21" s="2885"/>
      <c r="HM21" s="2885"/>
      <c r="HN21" s="2885"/>
      <c r="HO21" s="2885"/>
      <c r="HP21" s="2885"/>
      <c r="HQ21" s="2885"/>
      <c r="HR21" s="2885"/>
      <c r="HS21" s="2609"/>
      <c r="HT21" s="2885"/>
      <c r="HU21" s="2885"/>
      <c r="HV21" s="2885"/>
      <c r="HW21" s="2885"/>
      <c r="HX21" s="2885"/>
      <c r="HY21" s="2885"/>
      <c r="HZ21" s="2885"/>
      <c r="IA21" s="2885"/>
      <c r="IB21" s="2885"/>
      <c r="IC21" s="2885"/>
      <c r="ID21" s="2885"/>
      <c r="IE21" s="2885"/>
      <c r="IF21" s="2885"/>
      <c r="IG21" s="2885"/>
      <c r="IH21" s="2885"/>
      <c r="II21" s="2885"/>
      <c r="IJ21" s="2885"/>
      <c r="IK21" s="2885"/>
      <c r="IL21" s="2885"/>
      <c r="IM21" s="2885"/>
      <c r="IN21" s="2885"/>
      <c r="IO21" s="2609"/>
      <c r="IP21" s="2885"/>
      <c r="IQ21" s="2885"/>
      <c r="IR21" s="2885"/>
      <c r="IS21" s="4012"/>
      <c r="IT21" s="4001"/>
      <c r="IU21" s="4001"/>
      <c r="IV21" s="4001"/>
      <c r="IW21" s="4001"/>
      <c r="IX21" s="4001"/>
      <c r="IY21" s="4001"/>
      <c r="IZ21" s="2885"/>
      <c r="JA21" s="4001"/>
      <c r="JB21" s="4001"/>
      <c r="JC21" s="2885"/>
      <c r="JD21" s="2885"/>
      <c r="JE21" s="2885"/>
      <c r="JF21" s="2885"/>
      <c r="JG21" s="2613"/>
      <c r="JH21" s="1233"/>
      <c r="JI21" s="1393"/>
      <c r="JJ21" s="1686" t="s">
        <v>6124</v>
      </c>
    </row>
    <row ht="33.75" r="22" spans="1:270" x14ac:dyDescent="0.2">
      <c r="A22" s="1128">
        <v>22</v>
      </c>
      <c r="B22" s="1534" t="str">
        <f si="1" t="shared"/>
        <v/>
      </c>
      <c r="C22" s="1728" t="s">
        <v>3463</v>
      </c>
      <c r="D22" s="1727" t="s">
        <v>5712</v>
      </c>
      <c r="E22" s="2599"/>
      <c r="F22" s="2474"/>
      <c r="G22" s="2599"/>
      <c r="H22" s="2599"/>
      <c r="I22" s="2599"/>
      <c r="J22" s="2395"/>
      <c r="K22" s="2599"/>
      <c r="L22" s="2599"/>
      <c r="M22" s="2474"/>
      <c r="N22" s="2599"/>
      <c r="O22" s="2474"/>
      <c r="P22" s="2599"/>
      <c r="Q22" s="2474"/>
      <c r="R22" s="2599"/>
      <c r="S22" s="2599"/>
      <c r="T22" s="2474"/>
      <c r="U22" s="2474"/>
      <c r="V22" s="2599"/>
      <c r="W22" s="2599"/>
      <c r="X22" s="2599"/>
      <c r="Y22" s="2599"/>
      <c r="Z22" s="2599"/>
      <c r="AA22" s="2474"/>
      <c r="AB22" s="2599"/>
      <c r="AC22" s="2474"/>
      <c r="AD22" s="2474"/>
      <c r="AE22" s="2474"/>
      <c r="AF22" s="2474"/>
      <c r="AG22" s="2474"/>
      <c r="AH22" s="2474"/>
      <c r="AI22" s="2474"/>
      <c r="AJ22" s="2395"/>
      <c r="AK22" s="2599"/>
      <c r="AL22" s="2599"/>
      <c r="AM22" s="2599"/>
      <c r="AN22" s="2599"/>
      <c r="AO22" s="2599"/>
      <c r="AP22" s="2599"/>
      <c r="AQ22" s="2599"/>
      <c r="AR22" s="2474"/>
      <c r="AS22" s="2599"/>
      <c r="AT22" s="2599"/>
      <c r="AU22" s="2599"/>
      <c r="AV22" s="2599"/>
      <c r="AW22" s="2474"/>
      <c r="AX22" s="2599"/>
      <c r="AY22" s="2474"/>
      <c r="AZ22" s="2474"/>
      <c r="BA22" s="2599"/>
      <c r="BB22" s="2599"/>
      <c r="BC22" s="2599"/>
      <c r="BD22" s="2474"/>
      <c r="BE22" s="2614"/>
      <c r="BF22" s="2614"/>
      <c r="BG22" s="2474"/>
      <c r="BH22" s="2614"/>
      <c r="BI22" s="3975"/>
      <c r="BJ22" s="2614"/>
      <c r="BK22" s="3729"/>
      <c r="BL22" s="2614"/>
      <c r="BM22" s="2614"/>
      <c r="BN22" s="2614"/>
      <c r="BO22" s="2614"/>
      <c r="BP22" s="2614"/>
      <c r="BQ22" s="2614"/>
      <c r="BR22" s="2614"/>
      <c r="BS22" s="2614"/>
      <c r="BT22" s="2474"/>
      <c r="BU22" s="2614"/>
      <c r="BV22" s="2474"/>
      <c r="BW22" s="2614"/>
      <c r="BX22" s="2474"/>
      <c r="BY22" s="2614"/>
      <c r="BZ22" s="2614"/>
      <c r="CA22" s="2614"/>
      <c r="CB22" s="2886"/>
      <c r="CC22" s="2474"/>
      <c r="CD22" s="2474"/>
      <c r="CE22" s="2886"/>
      <c r="CF22" s="2886"/>
      <c r="CG22" s="2886"/>
      <c r="CH22" s="2474"/>
      <c r="CI22" s="2474"/>
      <c r="CJ22" s="2886"/>
      <c r="CK22" s="2886"/>
      <c r="CL22" s="2886"/>
      <c r="CM22" s="2886"/>
      <c r="CN22" s="2886"/>
      <c r="CO22" s="2886"/>
      <c r="CP22" s="2886"/>
      <c r="CQ22" s="2474"/>
      <c r="CR22" s="2474"/>
      <c r="CS22" s="2474"/>
      <c r="CT22" s="2474"/>
      <c r="CU22" s="2886"/>
      <c r="CV22" s="2395" t="s">
        <v>572</v>
      </c>
      <c r="CW22" s="2886"/>
      <c r="CX22" s="2886"/>
      <c r="CY22" s="2886"/>
      <c r="CZ22" s="2474"/>
      <c r="DA22" s="2474"/>
      <c r="DB22" s="3729"/>
      <c r="DC22" s="2474"/>
      <c r="DD22" s="2886"/>
      <c r="DE22" s="2886"/>
      <c r="DF22" s="2886"/>
      <c r="DG22" s="2886"/>
      <c r="DH22" s="2886"/>
      <c r="DI22" s="2395" t="s">
        <v>572</v>
      </c>
      <c r="DJ22" s="2886"/>
      <c r="DK22" s="2886"/>
      <c r="DL22" s="2395" t="s">
        <v>572</v>
      </c>
      <c r="DM22" s="2474"/>
      <c r="DN22" s="2886"/>
      <c r="DO22" s="2886"/>
      <c r="DP22" s="2886"/>
      <c r="DQ22" s="2886"/>
      <c r="DR22" s="2474"/>
      <c r="DS22" s="2886"/>
      <c r="DT22" s="2886"/>
      <c r="DU22" s="2886"/>
      <c r="DV22" s="2886"/>
      <c r="DW22" s="2886"/>
      <c r="DX22" s="2886"/>
      <c r="DY22" s="2886"/>
      <c r="DZ22" s="2886"/>
      <c r="EA22" s="2886"/>
      <c r="EB22" s="2886"/>
      <c r="EC22" s="2886"/>
      <c r="ED22" s="2886"/>
      <c r="EE22" s="2886"/>
      <c r="EF22" s="2886"/>
      <c r="EG22" s="2886"/>
      <c r="EH22" s="2886"/>
      <c r="EI22" s="2886"/>
      <c r="EJ22" s="2474"/>
      <c r="EK22" s="2886"/>
      <c r="EL22" s="2886"/>
      <c r="EM22" s="2886"/>
      <c r="EN22" s="2474"/>
      <c r="EO22" s="2886"/>
      <c r="EP22" s="2886"/>
      <c r="EQ22" s="2886"/>
      <c r="ER22" s="2886"/>
      <c r="ES22" s="2886"/>
      <c r="ET22" s="2886"/>
      <c r="EU22" s="2474"/>
      <c r="EV22" s="2886"/>
      <c r="EW22" s="2886"/>
      <c r="EX22" s="2886"/>
      <c r="EY22" s="2886"/>
      <c r="EZ22" s="2886"/>
      <c r="FA22" s="2886"/>
      <c r="FB22" s="2886"/>
      <c r="FC22" s="2886"/>
      <c r="FD22" s="2886"/>
      <c r="FE22" s="2886"/>
      <c r="FF22" s="2474"/>
      <c r="FG22" s="2886"/>
      <c r="FH22" s="2886"/>
      <c r="FI22" s="2886"/>
      <c r="FJ22" s="2886"/>
      <c r="FK22" s="2886"/>
      <c r="FL22" s="2886"/>
      <c r="FM22" s="2886"/>
      <c r="FN22" s="2886"/>
      <c r="FO22" s="2886"/>
      <c r="FP22" s="2886"/>
      <c r="FQ22" s="2886"/>
      <c r="FR22" s="2886"/>
      <c r="FS22" s="2886"/>
      <c r="FT22" s="2474"/>
      <c r="FU22" s="2474"/>
      <c r="FV22" s="2474"/>
      <c r="FW22" s="2886"/>
      <c r="FX22" s="2474"/>
      <c r="FY22" s="2886"/>
      <c r="FZ22" s="2886"/>
      <c r="GA22" s="2886"/>
      <c r="GB22" s="2886"/>
      <c r="GC22" s="2886"/>
      <c r="GD22" s="2886"/>
      <c r="GE22" s="2474"/>
      <c r="GF22" s="2474"/>
      <c r="GG22" s="2474"/>
      <c r="GH22" s="2886"/>
      <c r="GI22" s="2886"/>
      <c r="GJ22" s="2474"/>
      <c r="GK22" s="2886"/>
      <c r="GL22" s="2886"/>
      <c r="GM22" s="2886"/>
      <c r="GN22" s="2886"/>
      <c r="GO22" s="2886"/>
      <c r="GP22" s="2886"/>
      <c r="GQ22" s="2886"/>
      <c r="GR22" s="2886"/>
      <c r="GS22" s="2886"/>
      <c r="GT22" s="2886"/>
      <c r="GU22" s="2886"/>
      <c r="GV22" s="2886"/>
      <c r="GW22" s="2474"/>
      <c r="GX22" s="2474"/>
      <c r="GY22" s="2886"/>
      <c r="GZ22" s="2886"/>
      <c r="HA22" s="2886"/>
      <c r="HB22" s="2395" t="s">
        <v>572</v>
      </c>
      <c r="HC22" s="2886"/>
      <c r="HD22" s="2474"/>
      <c r="HE22" s="2886"/>
      <c r="HF22" s="2474"/>
      <c r="HG22" s="2474"/>
      <c r="HH22" s="2886"/>
      <c r="HI22" s="2886"/>
      <c r="HJ22" s="2886"/>
      <c r="HK22" s="2886"/>
      <c r="HL22" s="2886"/>
      <c r="HM22" s="2886"/>
      <c r="HN22" s="2886"/>
      <c r="HO22" s="2886"/>
      <c r="HP22" s="2886"/>
      <c r="HQ22" s="2886"/>
      <c r="HR22" s="2886"/>
      <c r="HS22" s="2474"/>
      <c r="HT22" s="2886"/>
      <c r="HU22" s="2886"/>
      <c r="HV22" s="2886"/>
      <c r="HW22" s="2886"/>
      <c r="HX22" s="2886"/>
      <c r="HY22" s="2886"/>
      <c r="HZ22" s="2886"/>
      <c r="IA22" s="2886"/>
      <c r="IB22" s="2886"/>
      <c r="IC22" s="2886"/>
      <c r="ID22" s="2886"/>
      <c r="IE22" s="2886"/>
      <c r="IF22" s="2886"/>
      <c r="IG22" s="2886"/>
      <c r="IH22" s="2886"/>
      <c r="II22" s="2886"/>
      <c r="IJ22" s="2886"/>
      <c r="IK22" s="2886"/>
      <c r="IL22" s="2886"/>
      <c r="IM22" s="2886"/>
      <c r="IN22" s="2886"/>
      <c r="IO22" s="2474"/>
      <c r="IP22" s="2886"/>
      <c r="IQ22" s="2886"/>
      <c r="IR22" s="2886"/>
      <c r="IS22" s="4008"/>
      <c r="IT22" s="4002"/>
      <c r="IU22" s="4002"/>
      <c r="IV22" s="4002"/>
      <c r="IW22" s="4002"/>
      <c r="IX22" s="4002"/>
      <c r="IY22" s="4002"/>
      <c r="IZ22" s="2886"/>
      <c r="JA22" s="4002"/>
      <c r="JB22" s="4002"/>
      <c r="JC22" s="2886"/>
      <c r="JD22" s="2886"/>
      <c r="JE22" s="2886"/>
      <c r="JF22" s="2886"/>
      <c r="JG22" s="2600"/>
      <c r="JH22" s="1233"/>
      <c r="JI22" s="2020" t="s">
        <v>6571</v>
      </c>
      <c r="JJ22" s="1686" t="s">
        <v>6111</v>
      </c>
    </row>
    <row r="23" spans="1:270" x14ac:dyDescent="0.2">
      <c r="A23" s="1128">
        <v>23</v>
      </c>
      <c r="B23" s="1534" t="str">
        <f si="1" t="shared"/>
        <v/>
      </c>
      <c r="C23" s="1728" t="s">
        <v>3464</v>
      </c>
      <c r="D23" s="1727" t="s">
        <v>5713</v>
      </c>
      <c r="E23" s="2599"/>
      <c r="F23" s="2474"/>
      <c r="G23" s="2599"/>
      <c r="H23" s="2599"/>
      <c r="I23" s="2599"/>
      <c r="J23" s="2395"/>
      <c r="K23" s="2599"/>
      <c r="L23" s="2599"/>
      <c r="M23" s="2474"/>
      <c r="N23" s="2599"/>
      <c r="O23" s="2474"/>
      <c r="P23" s="2599"/>
      <c r="Q23" s="2474"/>
      <c r="R23" s="2599"/>
      <c r="S23" s="2599"/>
      <c r="T23" s="2474"/>
      <c r="U23" s="2474"/>
      <c r="V23" s="2599"/>
      <c r="W23" s="2599"/>
      <c r="X23" s="2599"/>
      <c r="Y23" s="2599"/>
      <c r="Z23" s="2599"/>
      <c r="AA23" s="2474"/>
      <c r="AB23" s="2599"/>
      <c r="AC23" s="2474"/>
      <c r="AD23" s="2474"/>
      <c r="AE23" s="2474"/>
      <c r="AF23" s="2474"/>
      <c r="AG23" s="2474"/>
      <c r="AH23" s="2474"/>
      <c r="AI23" s="2474"/>
      <c r="AJ23" s="2395"/>
      <c r="AK23" s="2599"/>
      <c r="AL23" s="2599"/>
      <c r="AM23" s="2599"/>
      <c r="AN23" s="2599"/>
      <c r="AO23" s="2599"/>
      <c r="AP23" s="2599"/>
      <c r="AQ23" s="2599"/>
      <c r="AR23" s="2474"/>
      <c r="AS23" s="2599"/>
      <c r="AT23" s="2599"/>
      <c r="AU23" s="2599"/>
      <c r="AV23" s="2599"/>
      <c r="AW23" s="2474"/>
      <c r="AX23" s="2599"/>
      <c r="AY23" s="2474"/>
      <c r="AZ23" s="2474"/>
      <c r="BA23" s="2599"/>
      <c r="BB23" s="2599"/>
      <c r="BC23" s="2599"/>
      <c r="BD23" s="2474"/>
      <c r="BE23" s="2614"/>
      <c r="BF23" s="2614"/>
      <c r="BG23" s="2474"/>
      <c r="BH23" s="2614"/>
      <c r="BI23" s="3975"/>
      <c r="BJ23" s="2614"/>
      <c r="BK23" s="3729"/>
      <c r="BL23" s="2614"/>
      <c r="BM23" s="2614"/>
      <c r="BN23" s="2614"/>
      <c r="BO23" s="2614"/>
      <c r="BP23" s="2614"/>
      <c r="BQ23" s="2614"/>
      <c r="BR23" s="2614"/>
      <c r="BS23" s="2614"/>
      <c r="BT23" s="2474"/>
      <c r="BU23" s="2614"/>
      <c r="BV23" s="2474"/>
      <c r="BW23" s="2614"/>
      <c r="BX23" s="2474"/>
      <c r="BY23" s="2614"/>
      <c r="BZ23" s="2614"/>
      <c r="CA23" s="2614"/>
      <c r="CB23" s="2886"/>
      <c r="CC23" s="2474"/>
      <c r="CD23" s="2474"/>
      <c r="CE23" s="2886"/>
      <c r="CF23" s="2886"/>
      <c r="CG23" s="2886"/>
      <c r="CH23" s="2474"/>
      <c r="CI23" s="2474"/>
      <c r="CJ23" s="2886"/>
      <c r="CK23" s="2886"/>
      <c r="CL23" s="2886"/>
      <c r="CM23" s="2886"/>
      <c r="CN23" s="2886"/>
      <c r="CO23" s="2886"/>
      <c r="CP23" s="2886"/>
      <c r="CQ23" s="2474"/>
      <c r="CR23" s="2474"/>
      <c r="CS23" s="2474"/>
      <c r="CT23" s="2474"/>
      <c r="CU23" s="2886"/>
      <c r="CV23" s="2395" t="s">
        <v>1189</v>
      </c>
      <c r="CW23" s="2886"/>
      <c r="CX23" s="2886"/>
      <c r="CY23" s="2886"/>
      <c r="CZ23" s="2474"/>
      <c r="DA23" s="2474"/>
      <c r="DB23" s="3729"/>
      <c r="DC23" s="2474"/>
      <c r="DD23" s="2886"/>
      <c r="DE23" s="2886"/>
      <c r="DF23" s="2886"/>
      <c r="DG23" s="2886"/>
      <c r="DH23" s="2886"/>
      <c r="DI23" s="2395" t="s">
        <v>1189</v>
      </c>
      <c r="DJ23" s="2886"/>
      <c r="DK23" s="2886"/>
      <c r="DL23" s="2395" t="s">
        <v>1189</v>
      </c>
      <c r="DM23" s="2474"/>
      <c r="DN23" s="2886"/>
      <c r="DO23" s="2886"/>
      <c r="DP23" s="2886"/>
      <c r="DQ23" s="2886"/>
      <c r="DR23" s="2474"/>
      <c r="DS23" s="2886"/>
      <c r="DT23" s="2886"/>
      <c r="DU23" s="2886"/>
      <c r="DV23" s="2886"/>
      <c r="DW23" s="2886"/>
      <c r="DX23" s="2886"/>
      <c r="DY23" s="2886"/>
      <c r="DZ23" s="2886"/>
      <c r="EA23" s="2886"/>
      <c r="EB23" s="2886"/>
      <c r="EC23" s="2886"/>
      <c r="ED23" s="2886"/>
      <c r="EE23" s="2886"/>
      <c r="EF23" s="2886"/>
      <c r="EG23" s="2886"/>
      <c r="EH23" s="2886"/>
      <c r="EI23" s="2886"/>
      <c r="EJ23" s="2474"/>
      <c r="EK23" s="2886"/>
      <c r="EL23" s="2886"/>
      <c r="EM23" s="2886"/>
      <c r="EN23" s="2474"/>
      <c r="EO23" s="2886"/>
      <c r="EP23" s="2886"/>
      <c r="EQ23" s="2886"/>
      <c r="ER23" s="2886"/>
      <c r="ES23" s="2886"/>
      <c r="ET23" s="2886"/>
      <c r="EU23" s="2474"/>
      <c r="EV23" s="2886"/>
      <c r="EW23" s="2886"/>
      <c r="EX23" s="2886"/>
      <c r="EY23" s="2886"/>
      <c r="EZ23" s="2886"/>
      <c r="FA23" s="2886"/>
      <c r="FB23" s="2886"/>
      <c r="FC23" s="2886"/>
      <c r="FD23" s="2886"/>
      <c r="FE23" s="2886"/>
      <c r="FF23" s="2474"/>
      <c r="FG23" s="2886"/>
      <c r="FH23" s="2886"/>
      <c r="FI23" s="2886"/>
      <c r="FJ23" s="2886"/>
      <c r="FK23" s="2886"/>
      <c r="FL23" s="2886"/>
      <c r="FM23" s="2886"/>
      <c r="FN23" s="2886"/>
      <c r="FO23" s="2886"/>
      <c r="FP23" s="2886"/>
      <c r="FQ23" s="2886"/>
      <c r="FR23" s="2886"/>
      <c r="FS23" s="2886"/>
      <c r="FT23" s="2474"/>
      <c r="FU23" s="2474"/>
      <c r="FV23" s="2474"/>
      <c r="FW23" s="2886"/>
      <c r="FX23" s="2474"/>
      <c r="FY23" s="2886"/>
      <c r="FZ23" s="2886"/>
      <c r="GA23" s="2886"/>
      <c r="GB23" s="2886"/>
      <c r="GC23" s="2886"/>
      <c r="GD23" s="2886"/>
      <c r="GE23" s="2474"/>
      <c r="GF23" s="2474"/>
      <c r="GG23" s="2474"/>
      <c r="GH23" s="2886"/>
      <c r="GI23" s="2886"/>
      <c r="GJ23" s="2474"/>
      <c r="GK23" s="2886"/>
      <c r="GL23" s="2886"/>
      <c r="GM23" s="2886"/>
      <c r="GN23" s="2886"/>
      <c r="GO23" s="2886"/>
      <c r="GP23" s="2886"/>
      <c r="GQ23" s="2886"/>
      <c r="GR23" s="2886"/>
      <c r="GS23" s="2886"/>
      <c r="GT23" s="2886"/>
      <c r="GU23" s="2886"/>
      <c r="GV23" s="2886"/>
      <c r="GW23" s="2474"/>
      <c r="GX23" s="2474"/>
      <c r="GY23" s="2886"/>
      <c r="GZ23" s="2886"/>
      <c r="HA23" s="2886"/>
      <c r="HB23" s="2395" t="s">
        <v>1189</v>
      </c>
      <c r="HC23" s="2886"/>
      <c r="HD23" s="2474"/>
      <c r="HE23" s="2886"/>
      <c r="HF23" s="2474"/>
      <c r="HG23" s="2474"/>
      <c r="HH23" s="2886"/>
      <c r="HI23" s="2886"/>
      <c r="HJ23" s="2886"/>
      <c r="HK23" s="2886"/>
      <c r="HL23" s="2886"/>
      <c r="HM23" s="2886"/>
      <c r="HN23" s="2886"/>
      <c r="HO23" s="2886"/>
      <c r="HP23" s="2886"/>
      <c r="HQ23" s="2886"/>
      <c r="HR23" s="2886"/>
      <c r="HS23" s="2474"/>
      <c r="HT23" s="2886"/>
      <c r="HU23" s="2886"/>
      <c r="HV23" s="2886"/>
      <c r="HW23" s="2886"/>
      <c r="HX23" s="2886"/>
      <c r="HY23" s="2886"/>
      <c r="HZ23" s="2886"/>
      <c r="IA23" s="2886"/>
      <c r="IB23" s="2886"/>
      <c r="IC23" s="2886"/>
      <c r="ID23" s="2886"/>
      <c r="IE23" s="2886"/>
      <c r="IF23" s="2886"/>
      <c r="IG23" s="2886"/>
      <c r="IH23" s="2886"/>
      <c r="II23" s="2886"/>
      <c r="IJ23" s="2886"/>
      <c r="IK23" s="2886"/>
      <c r="IL23" s="2886"/>
      <c r="IM23" s="2886"/>
      <c r="IN23" s="2886"/>
      <c r="IO23" s="2474"/>
      <c r="IP23" s="2886"/>
      <c r="IQ23" s="2886"/>
      <c r="IR23" s="2886"/>
      <c r="IS23" s="4008"/>
      <c r="IT23" s="4002"/>
      <c r="IU23" s="4002"/>
      <c r="IV23" s="4002"/>
      <c r="IW23" s="4002"/>
      <c r="IX23" s="4002"/>
      <c r="IY23" s="4002"/>
      <c r="IZ23" s="2886"/>
      <c r="JA23" s="4002"/>
      <c r="JB23" s="4002"/>
      <c r="JC23" s="2886"/>
      <c r="JD23" s="2886"/>
      <c r="JE23" s="2886"/>
      <c r="JF23" s="2886"/>
      <c r="JG23" s="2600"/>
      <c r="JH23" s="1233"/>
      <c r="JI23" s="1393"/>
      <c r="JJ23" s="1686" t="s">
        <v>6111</v>
      </c>
    </row>
    <row r="24" spans="1:270" x14ac:dyDescent="0.2">
      <c r="A24" s="1128">
        <v>24</v>
      </c>
      <c r="B24" s="1534" t="str">
        <f si="1" t="shared"/>
        <v/>
      </c>
      <c r="C24" s="1549" t="s">
        <v>1080</v>
      </c>
      <c r="D24" s="1550" t="s">
        <v>5702</v>
      </c>
      <c r="E24" s="2511"/>
      <c r="F24" s="2472"/>
      <c r="G24" s="2511"/>
      <c r="H24" s="2511"/>
      <c r="I24" s="2511"/>
      <c r="J24" s="2511"/>
      <c r="K24" s="2511"/>
      <c r="L24" s="2511"/>
      <c r="M24" s="2472"/>
      <c r="N24" s="2511"/>
      <c r="O24" s="2472"/>
      <c r="P24" s="2511"/>
      <c r="Q24" s="2472"/>
      <c r="R24" s="2511"/>
      <c r="S24" s="2511"/>
      <c r="T24" s="2472"/>
      <c r="U24" s="2472"/>
      <c r="V24" s="2511"/>
      <c r="W24" s="2511"/>
      <c r="X24" s="2511"/>
      <c r="Y24" s="2511"/>
      <c r="Z24" s="2511"/>
      <c r="AA24" s="2472"/>
      <c r="AB24" s="2511"/>
      <c r="AC24" s="2472"/>
      <c r="AD24" s="2472"/>
      <c r="AE24" s="2472"/>
      <c r="AF24" s="2472"/>
      <c r="AG24" s="2472"/>
      <c r="AH24" s="2472"/>
      <c r="AI24" s="2472"/>
      <c r="AJ24" s="2930"/>
      <c r="AK24" s="2511"/>
      <c r="AL24" s="2511"/>
      <c r="AM24" s="2511"/>
      <c r="AN24" s="2511"/>
      <c r="AO24" s="2511"/>
      <c r="AP24" s="2511"/>
      <c r="AQ24" s="2511"/>
      <c r="AR24" s="2472"/>
      <c r="AS24" s="2511"/>
      <c r="AT24" s="2511"/>
      <c r="AU24" s="2511"/>
      <c r="AV24" s="2511"/>
      <c r="AW24" s="2472"/>
      <c r="AX24" s="2511"/>
      <c r="AY24" s="2472"/>
      <c r="AZ24" s="2472"/>
      <c r="BA24" s="2511"/>
      <c r="BB24" s="2511"/>
      <c r="BC24" s="2511"/>
      <c r="BD24" s="2472"/>
      <c r="BE24" s="2615"/>
      <c r="BF24" s="2615"/>
      <c r="BG24" s="2472"/>
      <c r="BH24" s="2615"/>
      <c r="BI24" s="3976"/>
      <c r="BJ24" s="2615"/>
      <c r="BK24" s="3728"/>
      <c r="BL24" s="2615"/>
      <c r="BM24" s="2615"/>
      <c r="BN24" s="2615"/>
      <c r="BO24" s="2615"/>
      <c r="BP24" s="2615"/>
      <c r="BQ24" s="2615"/>
      <c r="BR24" s="2615"/>
      <c r="BS24" s="2615"/>
      <c r="BT24" s="2472"/>
      <c r="BU24" s="2615"/>
      <c r="BV24" s="2472"/>
      <c r="BW24" s="2615"/>
      <c r="BX24" s="2472"/>
      <c r="BY24" s="2615"/>
      <c r="BZ24" s="2615"/>
      <c r="CA24" s="2615"/>
      <c r="CB24" s="2887"/>
      <c r="CC24" s="2472"/>
      <c r="CD24" s="2472"/>
      <c r="CE24" s="2887"/>
      <c r="CF24" s="2887"/>
      <c r="CG24" s="2887"/>
      <c r="CH24" s="2472"/>
      <c r="CI24" s="2472"/>
      <c r="CJ24" s="2887"/>
      <c r="CK24" s="2887"/>
      <c r="CL24" s="2887"/>
      <c r="CM24" s="2887"/>
      <c r="CN24" s="2887"/>
      <c r="CO24" s="2887"/>
      <c r="CP24" s="2887"/>
      <c r="CQ24" s="2472"/>
      <c r="CR24" s="2472"/>
      <c r="CS24" s="2472"/>
      <c r="CT24" s="2472"/>
      <c r="CU24" s="2887"/>
      <c r="CV24" s="2472"/>
      <c r="CW24" s="2887"/>
      <c r="CX24" s="2887"/>
      <c r="CY24" s="2887"/>
      <c r="CZ24" s="2472"/>
      <c r="DA24" s="2472"/>
      <c r="DB24" s="3728"/>
      <c r="DC24" s="2472"/>
      <c r="DD24" s="2887"/>
      <c r="DE24" s="2887"/>
      <c r="DF24" s="2887"/>
      <c r="DG24" s="2887"/>
      <c r="DH24" s="2887"/>
      <c r="DI24" s="2472"/>
      <c r="DJ24" s="2887"/>
      <c r="DK24" s="2887"/>
      <c r="DL24" s="2472"/>
      <c r="DM24" s="2472"/>
      <c r="DN24" s="2887"/>
      <c r="DO24" s="2887"/>
      <c r="DP24" s="2887"/>
      <c r="DQ24" s="2887"/>
      <c r="DR24" s="2472"/>
      <c r="DS24" s="2887"/>
      <c r="DT24" s="2887"/>
      <c r="DU24" s="2887"/>
      <c r="DV24" s="2887"/>
      <c r="DW24" s="2887"/>
      <c r="DX24" s="2887"/>
      <c r="DY24" s="2887"/>
      <c r="DZ24" s="2887"/>
      <c r="EA24" s="2887"/>
      <c r="EB24" s="2887"/>
      <c r="EC24" s="2887"/>
      <c r="ED24" s="2887"/>
      <c r="EE24" s="2887"/>
      <c r="EF24" s="2887"/>
      <c r="EG24" s="2887"/>
      <c r="EH24" s="2887"/>
      <c r="EI24" s="2887"/>
      <c r="EJ24" s="2472">
        <v>5001</v>
      </c>
      <c r="EK24" s="2887"/>
      <c r="EL24" s="2887"/>
      <c r="EM24" s="2887"/>
      <c r="EN24" s="2472"/>
      <c r="EO24" s="2887"/>
      <c r="EP24" s="2887"/>
      <c r="EQ24" s="2887"/>
      <c r="ER24" s="2887"/>
      <c r="ES24" s="2887"/>
      <c r="ET24" s="2887"/>
      <c r="EU24" s="2472"/>
      <c r="EV24" s="2887"/>
      <c r="EW24" s="2887"/>
      <c r="EX24" s="2887"/>
      <c r="EY24" s="2887"/>
      <c r="EZ24" s="2887"/>
      <c r="FA24" s="2887"/>
      <c r="FB24" s="2887"/>
      <c r="FC24" s="2887"/>
      <c r="FD24" s="2887"/>
      <c r="FE24" s="2887"/>
      <c r="FF24" s="2472"/>
      <c r="FG24" s="2887"/>
      <c r="FH24" s="2887"/>
      <c r="FI24" s="2887"/>
      <c r="FJ24" s="2887"/>
      <c r="FK24" s="2887"/>
      <c r="FL24" s="2887"/>
      <c r="FM24" s="2887"/>
      <c r="FN24" s="2887"/>
      <c r="FO24" s="2887"/>
      <c r="FP24" s="2887"/>
      <c r="FQ24" s="2887"/>
      <c r="FR24" s="2887"/>
      <c r="FS24" s="2887"/>
      <c r="FT24" s="2472"/>
      <c r="FU24" s="2472"/>
      <c r="FV24" s="2472"/>
      <c r="FW24" s="2887"/>
      <c r="FX24" s="2472"/>
      <c r="FY24" s="2887"/>
      <c r="FZ24" s="2887"/>
      <c r="GA24" s="2887"/>
      <c r="GB24" s="2887"/>
      <c r="GC24" s="2887"/>
      <c r="GD24" s="2887"/>
      <c r="GE24" s="2472">
        <v>5001</v>
      </c>
      <c r="GF24" s="2472">
        <v>5001</v>
      </c>
      <c r="GG24" s="2472"/>
      <c r="GH24" s="2887"/>
      <c r="GI24" s="2887"/>
      <c r="GJ24" s="2472"/>
      <c r="GK24" s="2887"/>
      <c r="GL24" s="2887"/>
      <c r="GM24" s="2887"/>
      <c r="GN24" s="2887"/>
      <c r="GO24" s="2887"/>
      <c r="GP24" s="2887"/>
      <c r="GQ24" s="2887"/>
      <c r="GR24" s="2887"/>
      <c r="GS24" s="2887"/>
      <c r="GT24" s="2887"/>
      <c r="GU24" s="2887"/>
      <c r="GV24" s="2887"/>
      <c r="GW24" s="2472"/>
      <c r="GX24" s="2472"/>
      <c r="GY24" s="2887"/>
      <c r="GZ24" s="2887"/>
      <c r="HA24" s="2887"/>
      <c r="HB24" s="2472"/>
      <c r="HC24" s="2887"/>
      <c r="HD24" s="2472"/>
      <c r="HE24" s="2887"/>
      <c r="HF24" s="2472"/>
      <c r="HG24" s="2472"/>
      <c r="HH24" s="2887"/>
      <c r="HI24" s="2887"/>
      <c r="HJ24" s="2887"/>
      <c r="HK24" s="2887"/>
      <c r="HL24" s="2887"/>
      <c r="HM24" s="2887"/>
      <c r="HN24" s="2887"/>
      <c r="HO24" s="2887"/>
      <c r="HP24" s="2887"/>
      <c r="HQ24" s="2887"/>
      <c r="HR24" s="2887"/>
      <c r="HS24" s="2472"/>
      <c r="HT24" s="2887"/>
      <c r="HU24" s="2887"/>
      <c r="HV24" s="2887"/>
      <c r="HW24" s="2887"/>
      <c r="HX24" s="2887"/>
      <c r="HY24" s="2887"/>
      <c r="HZ24" s="2887"/>
      <c r="IA24" s="2887"/>
      <c r="IB24" s="2887"/>
      <c r="IC24" s="2887"/>
      <c r="ID24" s="2887"/>
      <c r="IE24" s="2887"/>
      <c r="IF24" s="2887"/>
      <c r="IG24" s="2887"/>
      <c r="IH24" s="2887"/>
      <c r="II24" s="2887"/>
      <c r="IJ24" s="2887"/>
      <c r="IK24" s="2887"/>
      <c r="IL24" s="2887"/>
      <c r="IM24" s="2887"/>
      <c r="IN24" s="2887"/>
      <c r="IO24" s="2472"/>
      <c r="IP24" s="2887"/>
      <c r="IQ24" s="2887"/>
      <c r="IR24" s="2887"/>
      <c r="IS24" s="4009"/>
      <c r="IT24" s="4003"/>
      <c r="IU24" s="4003"/>
      <c r="IV24" s="4003"/>
      <c r="IW24" s="4003"/>
      <c r="IX24" s="4003"/>
      <c r="IY24" s="4003"/>
      <c r="IZ24" s="2887"/>
      <c r="JA24" s="4003"/>
      <c r="JB24" s="4003"/>
      <c r="JC24" s="2887"/>
      <c r="JD24" s="2887"/>
      <c r="JE24" s="2887"/>
      <c r="JF24" s="2887"/>
      <c r="JG24" s="2601"/>
      <c r="JH24" s="1233"/>
      <c r="JI24" s="1393"/>
      <c r="JJ24" s="1686" t="s">
        <v>6124</v>
      </c>
    </row>
    <row ht="22.5" r="25" spans="1:270" x14ac:dyDescent="0.2">
      <c r="A25" s="1128">
        <v>25</v>
      </c>
      <c r="B25" s="1534" t="str">
        <f si="1" t="shared"/>
        <v/>
      </c>
      <c r="C25" s="1549" t="s">
        <v>6567</v>
      </c>
      <c r="D25" s="1550" t="s">
        <v>6565</v>
      </c>
      <c r="E25" s="2511"/>
      <c r="F25" s="2472"/>
      <c r="G25" s="2511"/>
      <c r="H25" s="2511"/>
      <c r="I25" s="2511"/>
      <c r="J25" s="2511"/>
      <c r="K25" s="2511"/>
      <c r="L25" s="2511"/>
      <c r="M25" s="2472"/>
      <c r="N25" s="2511"/>
      <c r="O25" s="2472"/>
      <c r="P25" s="2511"/>
      <c r="Q25" s="2472"/>
      <c r="R25" s="2511"/>
      <c r="S25" s="2511"/>
      <c r="T25" s="2472"/>
      <c r="U25" s="2472"/>
      <c r="V25" s="2511"/>
      <c r="W25" s="2511"/>
      <c r="X25" s="2511"/>
      <c r="Y25" s="2511"/>
      <c r="Z25" s="2511"/>
      <c r="AA25" s="2472"/>
      <c r="AB25" s="2511"/>
      <c r="AC25" s="2472"/>
      <c r="AD25" s="2472"/>
      <c r="AE25" s="2472"/>
      <c r="AF25" s="2472"/>
      <c r="AG25" s="2472"/>
      <c r="AH25" s="2472"/>
      <c r="AI25" s="2472"/>
      <c r="AJ25" s="2930"/>
      <c r="AK25" s="2511"/>
      <c r="AL25" s="2511"/>
      <c r="AM25" s="2511"/>
      <c r="AN25" s="2511"/>
      <c r="AO25" s="2511"/>
      <c r="AP25" s="2511"/>
      <c r="AQ25" s="2511"/>
      <c r="AR25" s="2472"/>
      <c r="AS25" s="2511"/>
      <c r="AT25" s="2511"/>
      <c r="AU25" s="2511"/>
      <c r="AV25" s="2511"/>
      <c r="AW25" s="2472"/>
      <c r="AX25" s="2511"/>
      <c r="AY25" s="2472"/>
      <c r="AZ25" s="2472"/>
      <c r="BA25" s="2511"/>
      <c r="BB25" s="2511"/>
      <c r="BC25" s="2511"/>
      <c r="BD25" s="2472"/>
      <c r="BE25" s="2615"/>
      <c r="BF25" s="2615"/>
      <c r="BG25" s="2472"/>
      <c r="BH25" s="2615"/>
      <c r="BI25" s="3976"/>
      <c r="BJ25" s="2615"/>
      <c r="BK25" s="3728"/>
      <c r="BL25" s="2615"/>
      <c r="BM25" s="2615"/>
      <c r="BN25" s="2615"/>
      <c r="BO25" s="2615"/>
      <c r="BP25" s="2615"/>
      <c r="BQ25" s="2615"/>
      <c r="BR25" s="2615"/>
      <c r="BS25" s="2615"/>
      <c r="BT25" s="2472"/>
      <c r="BU25" s="2615"/>
      <c r="BV25" s="2472"/>
      <c r="BW25" s="2615"/>
      <c r="BX25" s="2472"/>
      <c r="BY25" s="2615"/>
      <c r="BZ25" s="2615"/>
      <c r="CA25" s="2615"/>
      <c r="CB25" s="2887"/>
      <c r="CC25" s="2472"/>
      <c r="CD25" s="2472"/>
      <c r="CE25" s="2887"/>
      <c r="CF25" s="2887"/>
      <c r="CG25" s="2887"/>
      <c r="CH25" s="2472"/>
      <c r="CI25" s="2472"/>
      <c r="CJ25" s="2887"/>
      <c r="CK25" s="2887"/>
      <c r="CL25" s="2887"/>
      <c r="CM25" s="2887"/>
      <c r="CN25" s="2887"/>
      <c r="CO25" s="2887"/>
      <c r="CP25" s="2887"/>
      <c r="CQ25" s="2472"/>
      <c r="CR25" s="2472"/>
      <c r="CS25" s="2472"/>
      <c r="CT25" s="2472"/>
      <c r="CU25" s="2887"/>
      <c r="CV25" s="2472"/>
      <c r="CW25" s="2887"/>
      <c r="CX25" s="2887"/>
      <c r="CY25" s="2887"/>
      <c r="CZ25" s="2472"/>
      <c r="DA25" s="2472"/>
      <c r="DB25" s="3728"/>
      <c r="DC25" s="2472"/>
      <c r="DD25" s="2887"/>
      <c r="DE25" s="2887"/>
      <c r="DF25" s="2887"/>
      <c r="DG25" s="2887"/>
      <c r="DH25" s="2887"/>
      <c r="DI25" s="2472"/>
      <c r="DJ25" s="2887"/>
      <c r="DK25" s="2887"/>
      <c r="DL25" s="2472"/>
      <c r="DM25" s="2472"/>
      <c r="DN25" s="2887"/>
      <c r="DO25" s="2887"/>
      <c r="DP25" s="2887"/>
      <c r="DQ25" s="2887"/>
      <c r="DR25" s="2472"/>
      <c r="DS25" s="2887"/>
      <c r="DT25" s="2887"/>
      <c r="DU25" s="2887"/>
      <c r="DV25" s="2887"/>
      <c r="DW25" s="2887"/>
      <c r="DX25" s="2887"/>
      <c r="DY25" s="2887"/>
      <c r="DZ25" s="2887"/>
      <c r="EA25" s="2887"/>
      <c r="EB25" s="2887"/>
      <c r="EC25" s="2887"/>
      <c r="ED25" s="2887"/>
      <c r="EE25" s="2887"/>
      <c r="EF25" s="2887"/>
      <c r="EG25" s="2887"/>
      <c r="EH25" s="2887"/>
      <c r="EI25" s="2887"/>
      <c r="EJ25" s="2472"/>
      <c r="EK25" s="2887"/>
      <c r="EL25" s="2887"/>
      <c r="EM25" s="2887"/>
      <c r="EN25" s="2472"/>
      <c r="EO25" s="2887"/>
      <c r="EP25" s="2887"/>
      <c r="EQ25" s="2887"/>
      <c r="ER25" s="2887"/>
      <c r="ES25" s="2887"/>
      <c r="ET25" s="2887"/>
      <c r="EU25" s="2472"/>
      <c r="EV25" s="2887"/>
      <c r="EW25" s="2887"/>
      <c r="EX25" s="2887"/>
      <c r="EY25" s="2887"/>
      <c r="EZ25" s="2887"/>
      <c r="FA25" s="2887"/>
      <c r="FB25" s="2887"/>
      <c r="FC25" s="2887"/>
      <c r="FD25" s="2887"/>
      <c r="FE25" s="2887"/>
      <c r="FF25" s="2472"/>
      <c r="FG25" s="2887"/>
      <c r="FH25" s="2887"/>
      <c r="FI25" s="2887"/>
      <c r="FJ25" s="2887"/>
      <c r="FK25" s="2887"/>
      <c r="FL25" s="2887"/>
      <c r="FM25" s="2887"/>
      <c r="FN25" s="2887"/>
      <c r="FO25" s="2887"/>
      <c r="FP25" s="2887"/>
      <c r="FQ25" s="2887"/>
      <c r="FR25" s="2887"/>
      <c r="FS25" s="2887"/>
      <c r="FT25" s="2472"/>
      <c r="FU25" s="2472"/>
      <c r="FV25" s="2472"/>
      <c r="FW25" s="2887"/>
      <c r="FX25" s="2472"/>
      <c r="FY25" s="2887"/>
      <c r="FZ25" s="2887"/>
      <c r="GA25" s="2887"/>
      <c r="GB25" s="2887"/>
      <c r="GC25" s="2887"/>
      <c r="GD25" s="2887"/>
      <c r="GE25" s="2472"/>
      <c r="GF25" s="2472"/>
      <c r="GG25" s="2472"/>
      <c r="GH25" s="2887"/>
      <c r="GI25" s="2887"/>
      <c r="GJ25" s="2472"/>
      <c r="GK25" s="2887"/>
      <c r="GL25" s="2887"/>
      <c r="GM25" s="2887"/>
      <c r="GN25" s="2887"/>
      <c r="GO25" s="2887"/>
      <c r="GP25" s="2887"/>
      <c r="GQ25" s="2887"/>
      <c r="GR25" s="2887"/>
      <c r="GS25" s="2887"/>
      <c r="GT25" s="2887"/>
      <c r="GU25" s="2887"/>
      <c r="GV25" s="2887"/>
      <c r="GW25" s="2472"/>
      <c r="GX25" s="2472"/>
      <c r="GY25" s="2887"/>
      <c r="GZ25" s="2887"/>
      <c r="HA25" s="2887"/>
      <c r="HB25" s="2472"/>
      <c r="HC25" s="2887"/>
      <c r="HD25" s="2472"/>
      <c r="HE25" s="2887"/>
      <c r="HF25" s="2472"/>
      <c r="HG25" s="2472"/>
      <c r="HH25" s="2887"/>
      <c r="HI25" s="2887"/>
      <c r="HJ25" s="2887"/>
      <c r="HK25" s="2887"/>
      <c r="HL25" s="2887"/>
      <c r="HM25" s="2887"/>
      <c r="HN25" s="2887"/>
      <c r="HO25" s="2887"/>
      <c r="HP25" s="2887"/>
      <c r="HQ25" s="2887"/>
      <c r="HR25" s="2887"/>
      <c r="HS25" s="2472"/>
      <c r="HT25" s="2887"/>
      <c r="HU25" s="2887"/>
      <c r="HV25" s="2887"/>
      <c r="HW25" s="2887"/>
      <c r="HX25" s="2887"/>
      <c r="HY25" s="2887"/>
      <c r="HZ25" s="2887"/>
      <c r="IA25" s="2887"/>
      <c r="IB25" s="2887"/>
      <c r="IC25" s="2887"/>
      <c r="ID25" s="2887"/>
      <c r="IE25" s="2887"/>
      <c r="IF25" s="2887"/>
      <c r="IG25" s="2887"/>
      <c r="IH25" s="2887"/>
      <c r="II25" s="2887"/>
      <c r="IJ25" s="2887"/>
      <c r="IK25" s="2887"/>
      <c r="IL25" s="2887"/>
      <c r="IM25" s="2887"/>
      <c r="IN25" s="2887"/>
      <c r="IO25" s="2472"/>
      <c r="IP25" s="2887"/>
      <c r="IQ25" s="2887"/>
      <c r="IR25" s="2887"/>
      <c r="IS25" s="4009"/>
      <c r="IT25" s="4003"/>
      <c r="IU25" s="4003"/>
      <c r="IV25" s="4003"/>
      <c r="IW25" s="4003"/>
      <c r="IX25" s="4003"/>
      <c r="IY25" s="4003"/>
      <c r="IZ25" s="2887"/>
      <c r="JA25" s="4003"/>
      <c r="JB25" s="4003"/>
      <c r="JC25" s="2887"/>
      <c r="JD25" s="2887"/>
      <c r="JE25" s="2887"/>
      <c r="JF25" s="2887"/>
      <c r="JG25" s="2601"/>
      <c r="JH25" s="1233"/>
      <c r="JI25" s="1393" t="s">
        <v>6569</v>
      </c>
      <c r="JJ25" s="1686" t="s">
        <v>6108</v>
      </c>
    </row>
    <row r="26" spans="1:270" x14ac:dyDescent="0.2">
      <c r="A26" s="1128">
        <v>26</v>
      </c>
      <c r="B26" s="1534" t="str">
        <f si="1" t="shared"/>
        <v/>
      </c>
      <c r="C26" s="1549" t="s">
        <v>6568</v>
      </c>
      <c r="D26" s="1550" t="s">
        <v>6566</v>
      </c>
      <c r="E26" s="2511"/>
      <c r="F26" s="2472"/>
      <c r="G26" s="2511"/>
      <c r="H26" s="2511"/>
      <c r="I26" s="2511"/>
      <c r="J26" s="2511"/>
      <c r="K26" s="2511"/>
      <c r="L26" s="2511"/>
      <c r="M26" s="2472"/>
      <c r="N26" s="2511"/>
      <c r="O26" s="2472"/>
      <c r="P26" s="2511"/>
      <c r="Q26" s="2472"/>
      <c r="R26" s="2511"/>
      <c r="S26" s="2511"/>
      <c r="T26" s="2472"/>
      <c r="U26" s="2472"/>
      <c r="V26" s="2511"/>
      <c r="W26" s="2511"/>
      <c r="X26" s="2511"/>
      <c r="Y26" s="2511"/>
      <c r="Z26" s="2511"/>
      <c r="AA26" s="2472"/>
      <c r="AB26" s="2511"/>
      <c r="AC26" s="2472"/>
      <c r="AD26" s="2472"/>
      <c r="AE26" s="2472"/>
      <c r="AF26" s="2472"/>
      <c r="AG26" s="2472"/>
      <c r="AH26" s="2472"/>
      <c r="AI26" s="2472"/>
      <c r="AJ26" s="2930"/>
      <c r="AK26" s="2511"/>
      <c r="AL26" s="2511"/>
      <c r="AM26" s="2511"/>
      <c r="AN26" s="2511"/>
      <c r="AO26" s="2511"/>
      <c r="AP26" s="2511"/>
      <c r="AQ26" s="2511"/>
      <c r="AR26" s="2472"/>
      <c r="AS26" s="2511"/>
      <c r="AT26" s="2511"/>
      <c r="AU26" s="2511"/>
      <c r="AV26" s="2511"/>
      <c r="AW26" s="2472"/>
      <c r="AX26" s="2511"/>
      <c r="AY26" s="2472"/>
      <c r="AZ26" s="2472"/>
      <c r="BA26" s="2511"/>
      <c r="BB26" s="2511"/>
      <c r="BC26" s="2511"/>
      <c r="BD26" s="2472"/>
      <c r="BE26" s="2615"/>
      <c r="BF26" s="2615"/>
      <c r="BG26" s="2472"/>
      <c r="BH26" s="2615"/>
      <c r="BI26" s="3976"/>
      <c r="BJ26" s="2615"/>
      <c r="BK26" s="3728"/>
      <c r="BL26" s="2615"/>
      <c r="BM26" s="2615"/>
      <c r="BN26" s="2615"/>
      <c r="BO26" s="2615"/>
      <c r="BP26" s="2615"/>
      <c r="BQ26" s="2615"/>
      <c r="BR26" s="2615"/>
      <c r="BS26" s="2615"/>
      <c r="BT26" s="2472"/>
      <c r="BU26" s="2615"/>
      <c r="BV26" s="2472"/>
      <c r="BW26" s="2615"/>
      <c r="BX26" s="2472"/>
      <c r="BY26" s="2615"/>
      <c r="BZ26" s="2615"/>
      <c r="CA26" s="2615"/>
      <c r="CB26" s="2887"/>
      <c r="CC26" s="2472"/>
      <c r="CD26" s="2472"/>
      <c r="CE26" s="2887"/>
      <c r="CF26" s="2887"/>
      <c r="CG26" s="2887"/>
      <c r="CH26" s="2472"/>
      <c r="CI26" s="2472"/>
      <c r="CJ26" s="2887"/>
      <c r="CK26" s="2887"/>
      <c r="CL26" s="2887"/>
      <c r="CM26" s="2887"/>
      <c r="CN26" s="2887"/>
      <c r="CO26" s="2887"/>
      <c r="CP26" s="2887"/>
      <c r="CQ26" s="2472"/>
      <c r="CR26" s="2472"/>
      <c r="CS26" s="2472"/>
      <c r="CT26" s="2472"/>
      <c r="CU26" s="2887"/>
      <c r="CV26" s="2472"/>
      <c r="CW26" s="2887"/>
      <c r="CX26" s="2887"/>
      <c r="CY26" s="2887"/>
      <c r="CZ26" s="2472"/>
      <c r="DA26" s="2472"/>
      <c r="DB26" s="3728"/>
      <c r="DC26" s="2472"/>
      <c r="DD26" s="2887"/>
      <c r="DE26" s="2887"/>
      <c r="DF26" s="2887"/>
      <c r="DG26" s="2887"/>
      <c r="DH26" s="2887"/>
      <c r="DI26" s="2472"/>
      <c r="DJ26" s="2887"/>
      <c r="DK26" s="2887"/>
      <c r="DL26" s="2472"/>
      <c r="DM26" s="2472"/>
      <c r="DN26" s="2887"/>
      <c r="DO26" s="2887"/>
      <c r="DP26" s="2887"/>
      <c r="DQ26" s="2887"/>
      <c r="DR26" s="2472"/>
      <c r="DS26" s="2887"/>
      <c r="DT26" s="2887"/>
      <c r="DU26" s="2887"/>
      <c r="DV26" s="2887"/>
      <c r="DW26" s="2887"/>
      <c r="DX26" s="2887"/>
      <c r="DY26" s="2887"/>
      <c r="DZ26" s="2887"/>
      <c r="EA26" s="2887"/>
      <c r="EB26" s="2887"/>
      <c r="EC26" s="2887"/>
      <c r="ED26" s="2887"/>
      <c r="EE26" s="2887"/>
      <c r="EF26" s="2887"/>
      <c r="EG26" s="2887"/>
      <c r="EH26" s="2887"/>
      <c r="EI26" s="2887"/>
      <c r="EJ26" s="2472"/>
      <c r="EK26" s="2887"/>
      <c r="EL26" s="2887"/>
      <c r="EM26" s="2887"/>
      <c r="EN26" s="2472"/>
      <c r="EO26" s="2887"/>
      <c r="EP26" s="2887"/>
      <c r="EQ26" s="2887"/>
      <c r="ER26" s="2887"/>
      <c r="ES26" s="2887"/>
      <c r="ET26" s="2887"/>
      <c r="EU26" s="2472"/>
      <c r="EV26" s="2887"/>
      <c r="EW26" s="2887"/>
      <c r="EX26" s="2887"/>
      <c r="EY26" s="2887"/>
      <c r="EZ26" s="2887"/>
      <c r="FA26" s="2887"/>
      <c r="FB26" s="2887"/>
      <c r="FC26" s="2887"/>
      <c r="FD26" s="2887"/>
      <c r="FE26" s="2887"/>
      <c r="FF26" s="2472"/>
      <c r="FG26" s="2887"/>
      <c r="FH26" s="2887"/>
      <c r="FI26" s="2887"/>
      <c r="FJ26" s="2887"/>
      <c r="FK26" s="2887"/>
      <c r="FL26" s="2887"/>
      <c r="FM26" s="2887"/>
      <c r="FN26" s="2887"/>
      <c r="FO26" s="2887"/>
      <c r="FP26" s="2887"/>
      <c r="FQ26" s="2887"/>
      <c r="FR26" s="2887"/>
      <c r="FS26" s="2887"/>
      <c r="FT26" s="2472"/>
      <c r="FU26" s="2472"/>
      <c r="FV26" s="2472"/>
      <c r="FW26" s="2887"/>
      <c r="FX26" s="2472"/>
      <c r="FY26" s="2887"/>
      <c r="FZ26" s="2887"/>
      <c r="GA26" s="2887"/>
      <c r="GB26" s="2887"/>
      <c r="GC26" s="2887"/>
      <c r="GD26" s="2887"/>
      <c r="GE26" s="2472"/>
      <c r="GF26" s="2472"/>
      <c r="GG26" s="2472"/>
      <c r="GH26" s="2887"/>
      <c r="GI26" s="2887"/>
      <c r="GJ26" s="2472"/>
      <c r="GK26" s="2887"/>
      <c r="GL26" s="2887"/>
      <c r="GM26" s="2887"/>
      <c r="GN26" s="2887"/>
      <c r="GO26" s="2887"/>
      <c r="GP26" s="2887"/>
      <c r="GQ26" s="2887"/>
      <c r="GR26" s="2887"/>
      <c r="GS26" s="2887"/>
      <c r="GT26" s="2887"/>
      <c r="GU26" s="2887"/>
      <c r="GV26" s="2887"/>
      <c r="GW26" s="2472"/>
      <c r="GX26" s="2472"/>
      <c r="GY26" s="2887"/>
      <c r="GZ26" s="2887"/>
      <c r="HA26" s="2887"/>
      <c r="HB26" s="2472"/>
      <c r="HC26" s="2887"/>
      <c r="HD26" s="2472"/>
      <c r="HE26" s="2887"/>
      <c r="HF26" s="2472"/>
      <c r="HG26" s="2472"/>
      <c r="HH26" s="2887"/>
      <c r="HI26" s="2887"/>
      <c r="HJ26" s="2887"/>
      <c r="HK26" s="2887"/>
      <c r="HL26" s="2887"/>
      <c r="HM26" s="2887"/>
      <c r="HN26" s="2887"/>
      <c r="HO26" s="2887"/>
      <c r="HP26" s="2887"/>
      <c r="HQ26" s="2887"/>
      <c r="HR26" s="2887"/>
      <c r="HS26" s="2472"/>
      <c r="HT26" s="2887"/>
      <c r="HU26" s="2887"/>
      <c r="HV26" s="2887"/>
      <c r="HW26" s="2887"/>
      <c r="HX26" s="2887"/>
      <c r="HY26" s="2887"/>
      <c r="HZ26" s="2887"/>
      <c r="IA26" s="2887"/>
      <c r="IB26" s="2887"/>
      <c r="IC26" s="2887"/>
      <c r="ID26" s="2887"/>
      <c r="IE26" s="2887"/>
      <c r="IF26" s="2887"/>
      <c r="IG26" s="2887"/>
      <c r="IH26" s="2887"/>
      <c r="II26" s="2887"/>
      <c r="IJ26" s="2887"/>
      <c r="IK26" s="2887"/>
      <c r="IL26" s="2887"/>
      <c r="IM26" s="2887"/>
      <c r="IN26" s="2887"/>
      <c r="IO26" s="2472"/>
      <c r="IP26" s="2887"/>
      <c r="IQ26" s="2887"/>
      <c r="IR26" s="2887"/>
      <c r="IS26" s="4009"/>
      <c r="IT26" s="4003"/>
      <c r="IU26" s="4003"/>
      <c r="IV26" s="4003"/>
      <c r="IW26" s="4003"/>
      <c r="IX26" s="4003"/>
      <c r="IY26" s="4003"/>
      <c r="IZ26" s="2887"/>
      <c r="JA26" s="4003"/>
      <c r="JB26" s="4003"/>
      <c r="JC26" s="2887"/>
      <c r="JD26" s="2887"/>
      <c r="JE26" s="2887"/>
      <c r="JF26" s="2887"/>
      <c r="JG26" s="2601"/>
      <c r="JH26" s="1233"/>
      <c r="JI26" s="1393"/>
      <c r="JJ26" s="1686" t="s">
        <v>6111</v>
      </c>
    </row>
    <row r="27" spans="1:270" x14ac:dyDescent="0.2">
      <c r="A27" s="1128">
        <v>27</v>
      </c>
      <c r="B27" s="1534" t="str">
        <f si="1" t="shared"/>
        <v/>
      </c>
      <c r="C27" s="1549" t="s">
        <v>1081</v>
      </c>
      <c r="D27" s="1550" t="s">
        <v>5703</v>
      </c>
      <c r="E27" s="2511"/>
      <c r="F27" s="2472"/>
      <c r="G27" s="2511"/>
      <c r="H27" s="2511"/>
      <c r="I27" s="2511"/>
      <c r="J27" s="2511"/>
      <c r="K27" s="2511"/>
      <c r="L27" s="2511"/>
      <c r="M27" s="2472"/>
      <c r="N27" s="2511"/>
      <c r="O27" s="2472"/>
      <c r="P27" s="2511"/>
      <c r="Q27" s="2472"/>
      <c r="R27" s="2511"/>
      <c r="S27" s="2511"/>
      <c r="T27" s="2472"/>
      <c r="U27" s="2472"/>
      <c r="V27" s="2511"/>
      <c r="W27" s="2511"/>
      <c r="X27" s="2511"/>
      <c r="Y27" s="2511"/>
      <c r="Z27" s="2511"/>
      <c r="AA27" s="2472"/>
      <c r="AB27" s="2511"/>
      <c r="AC27" s="2472"/>
      <c r="AD27" s="2472"/>
      <c r="AE27" s="2472"/>
      <c r="AF27" s="2472"/>
      <c r="AG27" s="2472"/>
      <c r="AH27" s="2472"/>
      <c r="AI27" s="2472"/>
      <c r="AJ27" s="2930"/>
      <c r="AK27" s="2511"/>
      <c r="AL27" s="2511"/>
      <c r="AM27" s="2511"/>
      <c r="AN27" s="2511"/>
      <c r="AO27" s="2511"/>
      <c r="AP27" s="2511"/>
      <c r="AQ27" s="2511"/>
      <c r="AR27" s="2472"/>
      <c r="AS27" s="2511"/>
      <c r="AT27" s="2511"/>
      <c r="AU27" s="2511"/>
      <c r="AV27" s="2511"/>
      <c r="AW27" s="2472"/>
      <c r="AX27" s="2511"/>
      <c r="AY27" s="2472"/>
      <c r="AZ27" s="2472"/>
      <c r="BA27" s="2511"/>
      <c r="BB27" s="2511"/>
      <c r="BC27" s="2511"/>
      <c r="BD27" s="2472"/>
      <c r="BE27" s="2615"/>
      <c r="BF27" s="2615"/>
      <c r="BG27" s="2472"/>
      <c r="BH27" s="2615"/>
      <c r="BI27" s="3976"/>
      <c r="BJ27" s="2615"/>
      <c r="BK27" s="3728"/>
      <c r="BL27" s="2615"/>
      <c r="BM27" s="2615"/>
      <c r="BN27" s="2615"/>
      <c r="BO27" s="2615"/>
      <c r="BP27" s="2615"/>
      <c r="BQ27" s="2615"/>
      <c r="BR27" s="2615"/>
      <c r="BS27" s="2615"/>
      <c r="BT27" s="2472"/>
      <c r="BU27" s="2615"/>
      <c r="BV27" s="2472"/>
      <c r="BW27" s="2615"/>
      <c r="BX27" s="2472"/>
      <c r="BY27" s="2615"/>
      <c r="BZ27" s="2615"/>
      <c r="CA27" s="2615"/>
      <c r="CB27" s="2887"/>
      <c r="CC27" s="2472"/>
      <c r="CD27" s="2472"/>
      <c r="CE27" s="2887"/>
      <c r="CF27" s="2887"/>
      <c r="CG27" s="2887"/>
      <c r="CH27" s="2472"/>
      <c r="CI27" s="2472"/>
      <c r="CJ27" s="2887"/>
      <c r="CK27" s="2887"/>
      <c r="CL27" s="2887"/>
      <c r="CM27" s="2887"/>
      <c r="CN27" s="2887"/>
      <c r="CO27" s="2887"/>
      <c r="CP27" s="2887"/>
      <c r="CQ27" s="2472"/>
      <c r="CR27" s="2472"/>
      <c r="CS27" s="2472"/>
      <c r="CT27" s="2472"/>
      <c r="CU27" s="2887"/>
      <c r="CV27" s="2472"/>
      <c r="CW27" s="2887"/>
      <c r="CX27" s="2887"/>
      <c r="CY27" s="2887"/>
      <c r="CZ27" s="2472"/>
      <c r="DA27" s="2472"/>
      <c r="DB27" s="3728"/>
      <c r="DC27" s="2472"/>
      <c r="DD27" s="2887"/>
      <c r="DE27" s="2887"/>
      <c r="DF27" s="2887"/>
      <c r="DG27" s="2887"/>
      <c r="DH27" s="2887"/>
      <c r="DI27" s="2472"/>
      <c r="DJ27" s="2887"/>
      <c r="DK27" s="2887"/>
      <c r="DL27" s="2472"/>
      <c r="DM27" s="2472"/>
      <c r="DN27" s="2887"/>
      <c r="DO27" s="2887"/>
      <c r="DP27" s="2887"/>
      <c r="DQ27" s="2887"/>
      <c r="DR27" s="2472"/>
      <c r="DS27" s="2887"/>
      <c r="DT27" s="2887"/>
      <c r="DU27" s="2887"/>
      <c r="DV27" s="2887"/>
      <c r="DW27" s="2887"/>
      <c r="DX27" s="2887"/>
      <c r="DY27" s="2887"/>
      <c r="DZ27" s="2887"/>
      <c r="EA27" s="2887"/>
      <c r="EB27" s="2887"/>
      <c r="EC27" s="2887"/>
      <c r="ED27" s="2887"/>
      <c r="EE27" s="2887"/>
      <c r="EF27" s="2887"/>
      <c r="EG27" s="2887"/>
      <c r="EH27" s="2887"/>
      <c r="EI27" s="2887"/>
      <c r="EJ27" s="2472">
        <v>522</v>
      </c>
      <c r="EK27" s="2887"/>
      <c r="EL27" s="2887"/>
      <c r="EM27" s="2887"/>
      <c r="EN27" s="2472"/>
      <c r="EO27" s="2887"/>
      <c r="EP27" s="2887"/>
      <c r="EQ27" s="2887"/>
      <c r="ER27" s="2887"/>
      <c r="ES27" s="2887"/>
      <c r="ET27" s="2887"/>
      <c r="EU27" s="2472"/>
      <c r="EV27" s="2887"/>
      <c r="EW27" s="2887"/>
      <c r="EX27" s="2887"/>
      <c r="EY27" s="2887"/>
      <c r="EZ27" s="2887"/>
      <c r="FA27" s="2887"/>
      <c r="FB27" s="2887"/>
      <c r="FC27" s="2887"/>
      <c r="FD27" s="2887"/>
      <c r="FE27" s="2887"/>
      <c r="FF27" s="2472"/>
      <c r="FG27" s="2887"/>
      <c r="FH27" s="2887"/>
      <c r="FI27" s="2887"/>
      <c r="FJ27" s="2887"/>
      <c r="FK27" s="2887"/>
      <c r="FL27" s="2887"/>
      <c r="FM27" s="2887"/>
      <c r="FN27" s="2887"/>
      <c r="FO27" s="2887"/>
      <c r="FP27" s="2887"/>
      <c r="FQ27" s="2887"/>
      <c r="FR27" s="2887"/>
      <c r="FS27" s="2887"/>
      <c r="FT27" s="2472"/>
      <c r="FU27" s="2472"/>
      <c r="FV27" s="2472"/>
      <c r="FW27" s="2887"/>
      <c r="FX27" s="2472"/>
      <c r="FY27" s="2887"/>
      <c r="FZ27" s="2887"/>
      <c r="GA27" s="2887"/>
      <c r="GB27" s="2887"/>
      <c r="GC27" s="2887"/>
      <c r="GD27" s="2887"/>
      <c r="GE27" s="2472">
        <v>522</v>
      </c>
      <c r="GF27" s="2472">
        <v>522</v>
      </c>
      <c r="GG27" s="2472"/>
      <c r="GH27" s="2887"/>
      <c r="GI27" s="2887"/>
      <c r="GJ27" s="2472"/>
      <c r="GK27" s="2887"/>
      <c r="GL27" s="2887"/>
      <c r="GM27" s="2887"/>
      <c r="GN27" s="2887"/>
      <c r="GO27" s="2887"/>
      <c r="GP27" s="2887"/>
      <c r="GQ27" s="2887"/>
      <c r="GR27" s="2887"/>
      <c r="GS27" s="2887"/>
      <c r="GT27" s="2887"/>
      <c r="GU27" s="2887"/>
      <c r="GV27" s="2887"/>
      <c r="GW27" s="2472"/>
      <c r="GX27" s="2472"/>
      <c r="GY27" s="2887"/>
      <c r="GZ27" s="2887"/>
      <c r="HA27" s="2887"/>
      <c r="HB27" s="2472"/>
      <c r="HC27" s="2887"/>
      <c r="HD27" s="2472"/>
      <c r="HE27" s="2887"/>
      <c r="HF27" s="2472"/>
      <c r="HG27" s="2472"/>
      <c r="HH27" s="2887"/>
      <c r="HI27" s="2887"/>
      <c r="HJ27" s="2887"/>
      <c r="HK27" s="2887"/>
      <c r="HL27" s="2887"/>
      <c r="HM27" s="2887"/>
      <c r="HN27" s="2887"/>
      <c r="HO27" s="2887"/>
      <c r="HP27" s="2887"/>
      <c r="HQ27" s="2887"/>
      <c r="HR27" s="2887"/>
      <c r="HS27" s="2472"/>
      <c r="HT27" s="2887"/>
      <c r="HU27" s="2887"/>
      <c r="HV27" s="2887"/>
      <c r="HW27" s="2887"/>
      <c r="HX27" s="2887"/>
      <c r="HY27" s="2887"/>
      <c r="HZ27" s="2887"/>
      <c r="IA27" s="2887"/>
      <c r="IB27" s="2887"/>
      <c r="IC27" s="2887"/>
      <c r="ID27" s="2887"/>
      <c r="IE27" s="2887"/>
      <c r="IF27" s="2887"/>
      <c r="IG27" s="2887"/>
      <c r="IH27" s="2887"/>
      <c r="II27" s="2887"/>
      <c r="IJ27" s="2887"/>
      <c r="IK27" s="2887"/>
      <c r="IL27" s="2887"/>
      <c r="IM27" s="2887"/>
      <c r="IN27" s="2887"/>
      <c r="IO27" s="2472"/>
      <c r="IP27" s="2887"/>
      <c r="IQ27" s="2887"/>
      <c r="IR27" s="2887"/>
      <c r="IS27" s="4009"/>
      <c r="IT27" s="4003"/>
      <c r="IU27" s="4003"/>
      <c r="IV27" s="4003"/>
      <c r="IW27" s="4003"/>
      <c r="IX27" s="4003"/>
      <c r="IY27" s="4003"/>
      <c r="IZ27" s="2887"/>
      <c r="JA27" s="4003"/>
      <c r="JB27" s="4003"/>
      <c r="JC27" s="2887"/>
      <c r="JD27" s="2887"/>
      <c r="JE27" s="2887"/>
      <c r="JF27" s="2887"/>
      <c r="JG27" s="2601"/>
      <c r="JH27" s="1233"/>
      <c r="JI27" s="1393"/>
      <c r="JJ27" s="1686" t="s">
        <v>6108</v>
      </c>
    </row>
    <row r="28" spans="1:270" x14ac:dyDescent="0.2">
      <c r="A28" s="1128">
        <v>28</v>
      </c>
      <c r="B28" s="1534" t="str">
        <f si="1" t="shared"/>
        <v/>
      </c>
      <c r="C28" s="1549" t="s">
        <v>1082</v>
      </c>
      <c r="D28" s="1550" t="s">
        <v>5704</v>
      </c>
      <c r="E28" s="2511"/>
      <c r="F28" s="2472"/>
      <c r="G28" s="2511"/>
      <c r="H28" s="2511"/>
      <c r="I28" s="2511"/>
      <c r="J28" s="2511"/>
      <c r="K28" s="2511"/>
      <c r="L28" s="2511"/>
      <c r="M28" s="2472"/>
      <c r="N28" s="2511"/>
      <c r="O28" s="2472"/>
      <c r="P28" s="2511"/>
      <c r="Q28" s="2472"/>
      <c r="R28" s="2511"/>
      <c r="S28" s="2511"/>
      <c r="T28" s="2472"/>
      <c r="U28" s="2472"/>
      <c r="V28" s="2511"/>
      <c r="W28" s="2511"/>
      <c r="X28" s="2511"/>
      <c r="Y28" s="2511"/>
      <c r="Z28" s="2511"/>
      <c r="AA28" s="2472"/>
      <c r="AB28" s="2511"/>
      <c r="AC28" s="2472"/>
      <c r="AD28" s="2472"/>
      <c r="AE28" s="2472"/>
      <c r="AF28" s="2472"/>
      <c r="AG28" s="2472"/>
      <c r="AH28" s="2472"/>
      <c r="AI28" s="2472"/>
      <c r="AJ28" s="2930"/>
      <c r="AK28" s="2511"/>
      <c r="AL28" s="2511"/>
      <c r="AM28" s="2511"/>
      <c r="AN28" s="2511"/>
      <c r="AO28" s="2511"/>
      <c r="AP28" s="2511"/>
      <c r="AQ28" s="2511"/>
      <c r="AR28" s="2472"/>
      <c r="AS28" s="2511"/>
      <c r="AT28" s="2511"/>
      <c r="AU28" s="2511"/>
      <c r="AV28" s="2511"/>
      <c r="AW28" s="2472"/>
      <c r="AX28" s="2511"/>
      <c r="AY28" s="2472"/>
      <c r="AZ28" s="2472"/>
      <c r="BA28" s="2511"/>
      <c r="BB28" s="2511"/>
      <c r="BC28" s="2511"/>
      <c r="BD28" s="2472"/>
      <c r="BE28" s="2615"/>
      <c r="BF28" s="2615"/>
      <c r="BG28" s="2472"/>
      <c r="BH28" s="2615"/>
      <c r="BI28" s="3976"/>
      <c r="BJ28" s="2615"/>
      <c r="BK28" s="3728"/>
      <c r="BL28" s="2615"/>
      <c r="BM28" s="2615"/>
      <c r="BN28" s="2615"/>
      <c r="BO28" s="2615"/>
      <c r="BP28" s="2615"/>
      <c r="BQ28" s="2615"/>
      <c r="BR28" s="2615"/>
      <c r="BS28" s="2615"/>
      <c r="BT28" s="2472"/>
      <c r="BU28" s="2615"/>
      <c r="BV28" s="2472"/>
      <c r="BW28" s="2615"/>
      <c r="BX28" s="2472"/>
      <c r="BY28" s="2615"/>
      <c r="BZ28" s="2615"/>
      <c r="CA28" s="2615"/>
      <c r="CB28" s="2887"/>
      <c r="CC28" s="2472"/>
      <c r="CD28" s="2472"/>
      <c r="CE28" s="2887"/>
      <c r="CF28" s="2887"/>
      <c r="CG28" s="2887"/>
      <c r="CH28" s="2472"/>
      <c r="CI28" s="2472"/>
      <c r="CJ28" s="2887"/>
      <c r="CK28" s="2887"/>
      <c r="CL28" s="2887"/>
      <c r="CM28" s="2887"/>
      <c r="CN28" s="2887"/>
      <c r="CO28" s="2887"/>
      <c r="CP28" s="2887"/>
      <c r="CQ28" s="2472"/>
      <c r="CR28" s="2472"/>
      <c r="CS28" s="2472"/>
      <c r="CT28" s="2472"/>
      <c r="CU28" s="2887"/>
      <c r="CV28" s="2472"/>
      <c r="CW28" s="2887"/>
      <c r="CX28" s="2887"/>
      <c r="CY28" s="2887"/>
      <c r="CZ28" s="2472"/>
      <c r="DA28" s="2472"/>
      <c r="DB28" s="3728"/>
      <c r="DC28" s="2472"/>
      <c r="DD28" s="2887"/>
      <c r="DE28" s="2887"/>
      <c r="DF28" s="2887"/>
      <c r="DG28" s="2887"/>
      <c r="DH28" s="2887"/>
      <c r="DI28" s="2472"/>
      <c r="DJ28" s="2887"/>
      <c r="DK28" s="2887"/>
      <c r="DL28" s="2472"/>
      <c r="DM28" s="2472"/>
      <c r="DN28" s="2887"/>
      <c r="DO28" s="2887"/>
      <c r="DP28" s="2887"/>
      <c r="DQ28" s="2887"/>
      <c r="DR28" s="2472"/>
      <c r="DS28" s="2887"/>
      <c r="DT28" s="2887"/>
      <c r="DU28" s="2887"/>
      <c r="DV28" s="2887"/>
      <c r="DW28" s="2887"/>
      <c r="DX28" s="2887"/>
      <c r="DY28" s="2887"/>
      <c r="DZ28" s="2887"/>
      <c r="EA28" s="2887"/>
      <c r="EB28" s="2887"/>
      <c r="EC28" s="2887"/>
      <c r="ED28" s="2887"/>
      <c r="EE28" s="2887"/>
      <c r="EF28" s="2887"/>
      <c r="EG28" s="2887"/>
      <c r="EH28" s="2887"/>
      <c r="EI28" s="2887"/>
      <c r="EJ28" s="2472">
        <v>1000</v>
      </c>
      <c r="EK28" s="2887"/>
      <c r="EL28" s="2887"/>
      <c r="EM28" s="2887"/>
      <c r="EN28" s="2472"/>
      <c r="EO28" s="2887"/>
      <c r="EP28" s="2887"/>
      <c r="EQ28" s="2887"/>
      <c r="ER28" s="2887"/>
      <c r="ES28" s="2887"/>
      <c r="ET28" s="2887"/>
      <c r="EU28" s="2472"/>
      <c r="EV28" s="2887"/>
      <c r="EW28" s="2887"/>
      <c r="EX28" s="2887"/>
      <c r="EY28" s="2887"/>
      <c r="EZ28" s="2887"/>
      <c r="FA28" s="2887"/>
      <c r="FB28" s="2887"/>
      <c r="FC28" s="2887"/>
      <c r="FD28" s="2887"/>
      <c r="FE28" s="2887"/>
      <c r="FF28" s="2472"/>
      <c r="FG28" s="2887"/>
      <c r="FH28" s="2887"/>
      <c r="FI28" s="2887"/>
      <c r="FJ28" s="2887"/>
      <c r="FK28" s="2887"/>
      <c r="FL28" s="2887"/>
      <c r="FM28" s="2887"/>
      <c r="FN28" s="2887"/>
      <c r="FO28" s="2887"/>
      <c r="FP28" s="2887"/>
      <c r="FQ28" s="2887"/>
      <c r="FR28" s="2887"/>
      <c r="FS28" s="2887"/>
      <c r="FT28" s="2472"/>
      <c r="FU28" s="2472"/>
      <c r="FV28" s="2472"/>
      <c r="FW28" s="2887"/>
      <c r="FX28" s="2472"/>
      <c r="FY28" s="2887"/>
      <c r="FZ28" s="2887"/>
      <c r="GA28" s="2887"/>
      <c r="GB28" s="2887"/>
      <c r="GC28" s="2887"/>
      <c r="GD28" s="2887"/>
      <c r="GE28" s="2472">
        <v>1000</v>
      </c>
      <c r="GF28" s="2472">
        <v>1000</v>
      </c>
      <c r="GG28" s="2472"/>
      <c r="GH28" s="2887"/>
      <c r="GI28" s="2887"/>
      <c r="GJ28" s="2472"/>
      <c r="GK28" s="2887"/>
      <c r="GL28" s="2887"/>
      <c r="GM28" s="2887"/>
      <c r="GN28" s="2887"/>
      <c r="GO28" s="2887"/>
      <c r="GP28" s="2887"/>
      <c r="GQ28" s="2887"/>
      <c r="GR28" s="2887"/>
      <c r="GS28" s="2887"/>
      <c r="GT28" s="2887"/>
      <c r="GU28" s="2887"/>
      <c r="GV28" s="2887"/>
      <c r="GW28" s="2472"/>
      <c r="GX28" s="2472"/>
      <c r="GY28" s="2887"/>
      <c r="GZ28" s="2887"/>
      <c r="HA28" s="2887"/>
      <c r="HB28" s="2472"/>
      <c r="HC28" s="2887"/>
      <c r="HD28" s="2472"/>
      <c r="HE28" s="2887"/>
      <c r="HF28" s="2472"/>
      <c r="HG28" s="2472"/>
      <c r="HH28" s="2887"/>
      <c r="HI28" s="2887"/>
      <c r="HJ28" s="2887"/>
      <c r="HK28" s="2887"/>
      <c r="HL28" s="2887"/>
      <c r="HM28" s="2887"/>
      <c r="HN28" s="2887"/>
      <c r="HO28" s="2887"/>
      <c r="HP28" s="2887"/>
      <c r="HQ28" s="2887"/>
      <c r="HR28" s="2887"/>
      <c r="HS28" s="2472"/>
      <c r="HT28" s="2887"/>
      <c r="HU28" s="2887"/>
      <c r="HV28" s="2887"/>
      <c r="HW28" s="2887"/>
      <c r="HX28" s="2887"/>
      <c r="HY28" s="2887"/>
      <c r="HZ28" s="2887"/>
      <c r="IA28" s="2887"/>
      <c r="IB28" s="2887"/>
      <c r="IC28" s="2887"/>
      <c r="ID28" s="2887"/>
      <c r="IE28" s="2887"/>
      <c r="IF28" s="2887"/>
      <c r="IG28" s="2887"/>
      <c r="IH28" s="2887"/>
      <c r="II28" s="2887"/>
      <c r="IJ28" s="2887"/>
      <c r="IK28" s="2887"/>
      <c r="IL28" s="2887"/>
      <c r="IM28" s="2887"/>
      <c r="IN28" s="2887"/>
      <c r="IO28" s="2472"/>
      <c r="IP28" s="2887"/>
      <c r="IQ28" s="2887"/>
      <c r="IR28" s="2887"/>
      <c r="IS28" s="4009"/>
      <c r="IT28" s="4003"/>
      <c r="IU28" s="4003"/>
      <c r="IV28" s="4003"/>
      <c r="IW28" s="4003"/>
      <c r="IX28" s="4003"/>
      <c r="IY28" s="4003"/>
      <c r="IZ28" s="2887"/>
      <c r="JA28" s="4003"/>
      <c r="JB28" s="4003"/>
      <c r="JC28" s="2887"/>
      <c r="JD28" s="2887"/>
      <c r="JE28" s="2887"/>
      <c r="JF28" s="2887"/>
      <c r="JG28" s="2601"/>
      <c r="JH28" s="1233"/>
      <c r="JI28" s="1393"/>
      <c r="JJ28" s="1686" t="s">
        <v>6108</v>
      </c>
    </row>
    <row r="29" spans="1:270" x14ac:dyDescent="0.2">
      <c r="A29" s="1128">
        <v>29</v>
      </c>
      <c r="B29" s="1534" t="str">
        <f si="1" t="shared"/>
        <v/>
      </c>
      <c r="C29" s="1549" t="s">
        <v>1083</v>
      </c>
      <c r="D29" s="1550" t="s">
        <v>5454</v>
      </c>
      <c r="E29" s="2511"/>
      <c r="F29" s="2472"/>
      <c r="G29" s="2511"/>
      <c r="H29" s="2511"/>
      <c r="I29" s="2511"/>
      <c r="J29" s="2511"/>
      <c r="K29" s="2511"/>
      <c r="L29" s="2511"/>
      <c r="M29" s="2472"/>
      <c r="N29" s="2511"/>
      <c r="O29" s="2472"/>
      <c r="P29" s="2511"/>
      <c r="Q29" s="2472"/>
      <c r="R29" s="2511"/>
      <c r="S29" s="2511"/>
      <c r="T29" s="2472"/>
      <c r="U29" s="2472"/>
      <c r="V29" s="2511"/>
      <c r="W29" s="2511"/>
      <c r="X29" s="2511"/>
      <c r="Y29" s="2511"/>
      <c r="Z29" s="2511"/>
      <c r="AA29" s="2472"/>
      <c r="AB29" s="2511"/>
      <c r="AC29" s="2472"/>
      <c r="AD29" s="2472"/>
      <c r="AE29" s="2472"/>
      <c r="AF29" s="2472"/>
      <c r="AG29" s="2472"/>
      <c r="AH29" s="2472"/>
      <c r="AI29" s="2472"/>
      <c r="AJ29" s="2930"/>
      <c r="AK29" s="2511"/>
      <c r="AL29" s="2511"/>
      <c r="AM29" s="2511"/>
      <c r="AN29" s="2511"/>
      <c r="AO29" s="2511"/>
      <c r="AP29" s="2511"/>
      <c r="AQ29" s="2511"/>
      <c r="AR29" s="2472"/>
      <c r="AS29" s="2511"/>
      <c r="AT29" s="2511"/>
      <c r="AU29" s="2511"/>
      <c r="AV29" s="2511"/>
      <c r="AW29" s="2472"/>
      <c r="AX29" s="2511"/>
      <c r="AY29" s="2472"/>
      <c r="AZ29" s="2472"/>
      <c r="BA29" s="2511"/>
      <c r="BB29" s="2511"/>
      <c r="BC29" s="2511"/>
      <c r="BD29" s="2472"/>
      <c r="BE29" s="2615"/>
      <c r="BF29" s="2615"/>
      <c r="BG29" s="2472"/>
      <c r="BH29" s="2615"/>
      <c r="BI29" s="3976"/>
      <c r="BJ29" s="2615"/>
      <c r="BK29" s="3728"/>
      <c r="BL29" s="2615"/>
      <c r="BM29" s="2615"/>
      <c r="BN29" s="2615"/>
      <c r="BO29" s="2615"/>
      <c r="BP29" s="2615"/>
      <c r="BQ29" s="2615"/>
      <c r="BR29" s="2615"/>
      <c r="BS29" s="2615"/>
      <c r="BT29" s="2472"/>
      <c r="BU29" s="2615"/>
      <c r="BV29" s="2472"/>
      <c r="BW29" s="2615"/>
      <c r="BX29" s="2472"/>
      <c r="BY29" s="2615"/>
      <c r="BZ29" s="2615"/>
      <c r="CA29" s="2615"/>
      <c r="CB29" s="2887"/>
      <c r="CC29" s="2472"/>
      <c r="CD29" s="2472"/>
      <c r="CE29" s="2887"/>
      <c r="CF29" s="2887"/>
      <c r="CG29" s="2887"/>
      <c r="CH29" s="2472"/>
      <c r="CI29" s="2472"/>
      <c r="CJ29" s="2887"/>
      <c r="CK29" s="2887"/>
      <c r="CL29" s="2887"/>
      <c r="CM29" s="2887"/>
      <c r="CN29" s="2887"/>
      <c r="CO29" s="2887"/>
      <c r="CP29" s="2887"/>
      <c r="CQ29" s="2472"/>
      <c r="CR29" s="2472"/>
      <c r="CS29" s="2472"/>
      <c r="CT29" s="2472"/>
      <c r="CU29" s="2887"/>
      <c r="CV29" s="2472"/>
      <c r="CW29" s="2887"/>
      <c r="CX29" s="2887"/>
      <c r="CY29" s="2887"/>
      <c r="CZ29" s="2472"/>
      <c r="DA29" s="2472"/>
      <c r="DB29" s="3728"/>
      <c r="DC29" s="2472"/>
      <c r="DD29" s="2887"/>
      <c r="DE29" s="2887"/>
      <c r="DF29" s="2887"/>
      <c r="DG29" s="2887"/>
      <c r="DH29" s="2887"/>
      <c r="DI29" s="2472"/>
      <c r="DJ29" s="2887"/>
      <c r="DK29" s="2887"/>
      <c r="DL29" s="2472"/>
      <c r="DM29" s="2472"/>
      <c r="DN29" s="2887"/>
      <c r="DO29" s="2887"/>
      <c r="DP29" s="2887"/>
      <c r="DQ29" s="2887"/>
      <c r="DR29" s="2472"/>
      <c r="DS29" s="2887"/>
      <c r="DT29" s="2887"/>
      <c r="DU29" s="2887"/>
      <c r="DV29" s="2887"/>
      <c r="DW29" s="2887"/>
      <c r="DX29" s="2887"/>
      <c r="DY29" s="2887"/>
      <c r="DZ29" s="2887"/>
      <c r="EA29" s="2887"/>
      <c r="EB29" s="2887"/>
      <c r="EC29" s="2887"/>
      <c r="ED29" s="2887"/>
      <c r="EE29" s="2887"/>
      <c r="EF29" s="2887"/>
      <c r="EG29" s="2887"/>
      <c r="EH29" s="2887"/>
      <c r="EI29" s="2887"/>
      <c r="EJ29" s="2472"/>
      <c r="EK29" s="2887"/>
      <c r="EL29" s="2887"/>
      <c r="EM29" s="2887"/>
      <c r="EN29" s="2472"/>
      <c r="EO29" s="2887"/>
      <c r="EP29" s="2887"/>
      <c r="EQ29" s="2887"/>
      <c r="ER29" s="2887"/>
      <c r="ES29" s="2887"/>
      <c r="ET29" s="2887"/>
      <c r="EU29" s="2472"/>
      <c r="EV29" s="2887"/>
      <c r="EW29" s="2887"/>
      <c r="EX29" s="2887"/>
      <c r="EY29" s="2887"/>
      <c r="EZ29" s="2887"/>
      <c r="FA29" s="2887"/>
      <c r="FB29" s="2887"/>
      <c r="FC29" s="2887"/>
      <c r="FD29" s="2887"/>
      <c r="FE29" s="2887"/>
      <c r="FF29" s="2472"/>
      <c r="FG29" s="2887"/>
      <c r="FH29" s="2887"/>
      <c r="FI29" s="2887"/>
      <c r="FJ29" s="2887"/>
      <c r="FK29" s="2887"/>
      <c r="FL29" s="2887"/>
      <c r="FM29" s="2887"/>
      <c r="FN29" s="2887"/>
      <c r="FO29" s="2887"/>
      <c r="FP29" s="2887"/>
      <c r="FQ29" s="2887"/>
      <c r="FR29" s="2887"/>
      <c r="FS29" s="2887"/>
      <c r="FT29" s="2472"/>
      <c r="FU29" s="2472"/>
      <c r="FV29" s="2472"/>
      <c r="FW29" s="2887"/>
      <c r="FX29" s="2472"/>
      <c r="FY29" s="2887"/>
      <c r="FZ29" s="2887"/>
      <c r="GA29" s="2887"/>
      <c r="GB29" s="2887"/>
      <c r="GC29" s="2887"/>
      <c r="GD29" s="2887"/>
      <c r="GE29" s="2472"/>
      <c r="GF29" s="2472"/>
      <c r="GG29" s="2472"/>
      <c r="GH29" s="2887"/>
      <c r="GI29" s="2887"/>
      <c r="GJ29" s="2472"/>
      <c r="GK29" s="2887"/>
      <c r="GL29" s="2887"/>
      <c r="GM29" s="2887"/>
      <c r="GN29" s="2887"/>
      <c r="GO29" s="2887"/>
      <c r="GP29" s="2887"/>
      <c r="GQ29" s="2887"/>
      <c r="GR29" s="2887"/>
      <c r="GS29" s="2887"/>
      <c r="GT29" s="2887"/>
      <c r="GU29" s="2887"/>
      <c r="GV29" s="2887"/>
      <c r="GW29" s="2472"/>
      <c r="GX29" s="2472"/>
      <c r="GY29" s="2887"/>
      <c r="GZ29" s="2887"/>
      <c r="HA29" s="2887"/>
      <c r="HB29" s="2472"/>
      <c r="HC29" s="2887"/>
      <c r="HD29" s="2472"/>
      <c r="HE29" s="2887"/>
      <c r="HF29" s="2472"/>
      <c r="HG29" s="2472"/>
      <c r="HH29" s="2887"/>
      <c r="HI29" s="2887"/>
      <c r="HJ29" s="2887"/>
      <c r="HK29" s="2887"/>
      <c r="HL29" s="2887"/>
      <c r="HM29" s="2887"/>
      <c r="HN29" s="2887"/>
      <c r="HO29" s="2887"/>
      <c r="HP29" s="2887"/>
      <c r="HQ29" s="2887"/>
      <c r="HR29" s="2887"/>
      <c r="HS29" s="2472"/>
      <c r="HT29" s="2887"/>
      <c r="HU29" s="2887"/>
      <c r="HV29" s="2887"/>
      <c r="HW29" s="2887"/>
      <c r="HX29" s="2887"/>
      <c r="HY29" s="2887"/>
      <c r="HZ29" s="2887"/>
      <c r="IA29" s="2887"/>
      <c r="IB29" s="2887"/>
      <c r="IC29" s="2887"/>
      <c r="ID29" s="2887"/>
      <c r="IE29" s="2887"/>
      <c r="IF29" s="2887"/>
      <c r="IG29" s="2887"/>
      <c r="IH29" s="2887"/>
      <c r="II29" s="2887"/>
      <c r="IJ29" s="2887"/>
      <c r="IK29" s="2887"/>
      <c r="IL29" s="2887"/>
      <c r="IM29" s="2887"/>
      <c r="IN29" s="2887"/>
      <c r="IO29" s="2472"/>
      <c r="IP29" s="2887"/>
      <c r="IQ29" s="2887"/>
      <c r="IR29" s="2887"/>
      <c r="IS29" s="4009"/>
      <c r="IT29" s="4003"/>
      <c r="IU29" s="4003"/>
      <c r="IV29" s="4003"/>
      <c r="IW29" s="4003"/>
      <c r="IX29" s="4003"/>
      <c r="IY29" s="4003"/>
      <c r="IZ29" s="2887"/>
      <c r="JA29" s="4003"/>
      <c r="JB29" s="4003"/>
      <c r="JC29" s="2887"/>
      <c r="JD29" s="2887"/>
      <c r="JE29" s="2887"/>
      <c r="JF29" s="2887"/>
      <c r="JG29" s="2601"/>
      <c r="JH29" s="1233"/>
      <c r="JI29" s="1393"/>
      <c r="JJ29" s="1686" t="s">
        <v>6108</v>
      </c>
    </row>
    <row r="30" spans="1:270" x14ac:dyDescent="0.2">
      <c r="A30" s="1128">
        <v>30</v>
      </c>
      <c r="B30" s="1534" t="str">
        <f si="1" t="shared"/>
        <v/>
      </c>
      <c r="C30" s="1549" t="s">
        <v>1084</v>
      </c>
      <c r="D30" s="1550" t="s">
        <v>1865</v>
      </c>
      <c r="E30" s="2511"/>
      <c r="F30" s="2472"/>
      <c r="G30" s="2511"/>
      <c r="H30" s="2511"/>
      <c r="I30" s="2511"/>
      <c r="J30" s="2511"/>
      <c r="K30" s="2511"/>
      <c r="L30" s="2511"/>
      <c r="M30" s="2472"/>
      <c r="N30" s="2511"/>
      <c r="O30" s="2472"/>
      <c r="P30" s="2511"/>
      <c r="Q30" s="2472"/>
      <c r="R30" s="2511"/>
      <c r="S30" s="2511"/>
      <c r="T30" s="2472"/>
      <c r="U30" s="2472"/>
      <c r="V30" s="2511"/>
      <c r="W30" s="2511"/>
      <c r="X30" s="2511"/>
      <c r="Y30" s="2511"/>
      <c r="Z30" s="2511"/>
      <c r="AA30" s="2472"/>
      <c r="AB30" s="2511"/>
      <c r="AC30" s="2472"/>
      <c r="AD30" s="2472"/>
      <c r="AE30" s="2472"/>
      <c r="AF30" s="2472"/>
      <c r="AG30" s="2472"/>
      <c r="AH30" s="2472"/>
      <c r="AI30" s="2472"/>
      <c r="AJ30" s="2930"/>
      <c r="AK30" s="2511"/>
      <c r="AL30" s="2511"/>
      <c r="AM30" s="2511"/>
      <c r="AN30" s="2511"/>
      <c r="AO30" s="2511"/>
      <c r="AP30" s="2511"/>
      <c r="AQ30" s="2511"/>
      <c r="AR30" s="2472"/>
      <c r="AS30" s="2511"/>
      <c r="AT30" s="2511"/>
      <c r="AU30" s="2511"/>
      <c r="AV30" s="2511"/>
      <c r="AW30" s="2472"/>
      <c r="AX30" s="2511"/>
      <c r="AY30" s="2472"/>
      <c r="AZ30" s="2472"/>
      <c r="BA30" s="2511"/>
      <c r="BB30" s="2511"/>
      <c r="BC30" s="2511"/>
      <c r="BD30" s="2472"/>
      <c r="BE30" s="2615"/>
      <c r="BF30" s="2615"/>
      <c r="BG30" s="2472"/>
      <c r="BH30" s="2615"/>
      <c r="BI30" s="3976"/>
      <c r="BJ30" s="2615"/>
      <c r="BK30" s="3728"/>
      <c r="BL30" s="2615"/>
      <c r="BM30" s="2615"/>
      <c r="BN30" s="2615"/>
      <c r="BO30" s="2615"/>
      <c r="BP30" s="2615"/>
      <c r="BQ30" s="2615"/>
      <c r="BR30" s="2615"/>
      <c r="BS30" s="2615"/>
      <c r="BT30" s="2472"/>
      <c r="BU30" s="2615"/>
      <c r="BV30" s="2472"/>
      <c r="BW30" s="2615"/>
      <c r="BX30" s="2472"/>
      <c r="BY30" s="2615"/>
      <c r="BZ30" s="2615"/>
      <c r="CA30" s="2615"/>
      <c r="CB30" s="2887"/>
      <c r="CC30" s="2472"/>
      <c r="CD30" s="2472"/>
      <c r="CE30" s="2887"/>
      <c r="CF30" s="2887"/>
      <c r="CG30" s="2887"/>
      <c r="CH30" s="2472"/>
      <c r="CI30" s="2472"/>
      <c r="CJ30" s="2887"/>
      <c r="CK30" s="2887"/>
      <c r="CL30" s="2887"/>
      <c r="CM30" s="2887"/>
      <c r="CN30" s="2887"/>
      <c r="CO30" s="2887"/>
      <c r="CP30" s="2887"/>
      <c r="CQ30" s="2472"/>
      <c r="CR30" s="2472"/>
      <c r="CS30" s="2472"/>
      <c r="CT30" s="2472"/>
      <c r="CU30" s="2887"/>
      <c r="CV30" s="2472"/>
      <c r="CW30" s="2887"/>
      <c r="CX30" s="2887"/>
      <c r="CY30" s="2887"/>
      <c r="CZ30" s="2472"/>
      <c r="DA30" s="2472"/>
      <c r="DB30" s="3728"/>
      <c r="DC30" s="2472"/>
      <c r="DD30" s="2887"/>
      <c r="DE30" s="2887"/>
      <c r="DF30" s="2887"/>
      <c r="DG30" s="2887"/>
      <c r="DH30" s="2887"/>
      <c r="DI30" s="2472"/>
      <c r="DJ30" s="2887"/>
      <c r="DK30" s="2887"/>
      <c r="DL30" s="2472"/>
      <c r="DM30" s="2472"/>
      <c r="DN30" s="2887"/>
      <c r="DO30" s="2887"/>
      <c r="DP30" s="2887"/>
      <c r="DQ30" s="2887"/>
      <c r="DR30" s="2472"/>
      <c r="DS30" s="2887"/>
      <c r="DT30" s="2887"/>
      <c r="DU30" s="2887"/>
      <c r="DV30" s="2887"/>
      <c r="DW30" s="2887"/>
      <c r="DX30" s="2887"/>
      <c r="DY30" s="2887"/>
      <c r="DZ30" s="2887"/>
      <c r="EA30" s="2887"/>
      <c r="EB30" s="2887"/>
      <c r="EC30" s="2887"/>
      <c r="ED30" s="2887"/>
      <c r="EE30" s="2887"/>
      <c r="EF30" s="2887"/>
      <c r="EG30" s="2887"/>
      <c r="EH30" s="2887"/>
      <c r="EI30" s="2887"/>
      <c r="EJ30" s="2472"/>
      <c r="EK30" s="2887"/>
      <c r="EL30" s="2887"/>
      <c r="EM30" s="2887"/>
      <c r="EN30" s="2472"/>
      <c r="EO30" s="2887"/>
      <c r="EP30" s="2887"/>
      <c r="EQ30" s="2887"/>
      <c r="ER30" s="2887"/>
      <c r="ES30" s="2887"/>
      <c r="ET30" s="2887"/>
      <c r="EU30" s="2472"/>
      <c r="EV30" s="2887"/>
      <c r="EW30" s="2887"/>
      <c r="EX30" s="2887"/>
      <c r="EY30" s="2887"/>
      <c r="EZ30" s="2887"/>
      <c r="FA30" s="2887"/>
      <c r="FB30" s="2887"/>
      <c r="FC30" s="2887"/>
      <c r="FD30" s="2887"/>
      <c r="FE30" s="2887"/>
      <c r="FF30" s="2472"/>
      <c r="FG30" s="2887"/>
      <c r="FH30" s="2887"/>
      <c r="FI30" s="2887"/>
      <c r="FJ30" s="2887"/>
      <c r="FK30" s="2887"/>
      <c r="FL30" s="2887"/>
      <c r="FM30" s="2887"/>
      <c r="FN30" s="2887"/>
      <c r="FO30" s="2887"/>
      <c r="FP30" s="2887"/>
      <c r="FQ30" s="2887"/>
      <c r="FR30" s="2887"/>
      <c r="FS30" s="2887"/>
      <c r="FT30" s="2472"/>
      <c r="FU30" s="2472"/>
      <c r="FV30" s="2472"/>
      <c r="FW30" s="2887"/>
      <c r="FX30" s="2472"/>
      <c r="FY30" s="2887"/>
      <c r="FZ30" s="2887"/>
      <c r="GA30" s="2887"/>
      <c r="GB30" s="2887"/>
      <c r="GC30" s="2887"/>
      <c r="GD30" s="2887"/>
      <c r="GE30" s="2472"/>
      <c r="GF30" s="2472"/>
      <c r="GG30" s="2472"/>
      <c r="GH30" s="2887"/>
      <c r="GI30" s="2887"/>
      <c r="GJ30" s="2472"/>
      <c r="GK30" s="2887"/>
      <c r="GL30" s="2887"/>
      <c r="GM30" s="2887"/>
      <c r="GN30" s="2887"/>
      <c r="GO30" s="2887"/>
      <c r="GP30" s="2887"/>
      <c r="GQ30" s="2887"/>
      <c r="GR30" s="2887"/>
      <c r="GS30" s="2887"/>
      <c r="GT30" s="2887"/>
      <c r="GU30" s="2887"/>
      <c r="GV30" s="2887"/>
      <c r="GW30" s="2472"/>
      <c r="GX30" s="2472"/>
      <c r="GY30" s="2887"/>
      <c r="GZ30" s="2887"/>
      <c r="HA30" s="2887"/>
      <c r="HB30" s="2472"/>
      <c r="HC30" s="2887"/>
      <c r="HD30" s="2472"/>
      <c r="HE30" s="2887"/>
      <c r="HF30" s="2472"/>
      <c r="HG30" s="2472"/>
      <c r="HH30" s="2887"/>
      <c r="HI30" s="2887"/>
      <c r="HJ30" s="2887"/>
      <c r="HK30" s="2887"/>
      <c r="HL30" s="2887"/>
      <c r="HM30" s="2887"/>
      <c r="HN30" s="2887"/>
      <c r="HO30" s="2887"/>
      <c r="HP30" s="2887"/>
      <c r="HQ30" s="2887"/>
      <c r="HR30" s="2887"/>
      <c r="HS30" s="2472"/>
      <c r="HT30" s="2887"/>
      <c r="HU30" s="2887"/>
      <c r="HV30" s="2887"/>
      <c r="HW30" s="2887"/>
      <c r="HX30" s="2887"/>
      <c r="HY30" s="2887"/>
      <c r="HZ30" s="2887"/>
      <c r="IA30" s="2887"/>
      <c r="IB30" s="2887"/>
      <c r="IC30" s="2887"/>
      <c r="ID30" s="2887"/>
      <c r="IE30" s="2887"/>
      <c r="IF30" s="2887"/>
      <c r="IG30" s="2887"/>
      <c r="IH30" s="2887"/>
      <c r="II30" s="2887"/>
      <c r="IJ30" s="2887"/>
      <c r="IK30" s="2887"/>
      <c r="IL30" s="2887"/>
      <c r="IM30" s="2887"/>
      <c r="IN30" s="2887"/>
      <c r="IO30" s="2472"/>
      <c r="IP30" s="2887"/>
      <c r="IQ30" s="2887"/>
      <c r="IR30" s="2887"/>
      <c r="IS30" s="4009"/>
      <c r="IT30" s="4003"/>
      <c r="IU30" s="4003"/>
      <c r="IV30" s="4003"/>
      <c r="IW30" s="4003"/>
      <c r="IX30" s="4003"/>
      <c r="IY30" s="4003"/>
      <c r="IZ30" s="2887"/>
      <c r="JA30" s="4003"/>
      <c r="JB30" s="4003"/>
      <c r="JC30" s="2887"/>
      <c r="JD30" s="2887"/>
      <c r="JE30" s="2887"/>
      <c r="JF30" s="2887"/>
      <c r="JG30" s="2601"/>
      <c r="JH30" s="1233"/>
      <c r="JI30" s="1393"/>
      <c r="JJ30" s="1686" t="s">
        <v>6108</v>
      </c>
    </row>
    <row r="31" spans="1:270" x14ac:dyDescent="0.2">
      <c r="A31" s="1128">
        <v>31</v>
      </c>
      <c r="B31" s="1534" t="str">
        <f si="1" t="shared"/>
        <v/>
      </c>
      <c r="C31" s="1549" t="s">
        <v>1085</v>
      </c>
      <c r="D31" s="1550" t="s">
        <v>5705</v>
      </c>
      <c r="E31" s="2511"/>
      <c r="F31" s="2472"/>
      <c r="G31" s="2511"/>
      <c r="H31" s="2511"/>
      <c r="I31" s="2511"/>
      <c r="J31" s="2511"/>
      <c r="K31" s="2511"/>
      <c r="L31" s="2511"/>
      <c r="M31" s="2472"/>
      <c r="N31" s="2511"/>
      <c r="O31" s="2472"/>
      <c r="P31" s="2511"/>
      <c r="Q31" s="2472"/>
      <c r="R31" s="2511"/>
      <c r="S31" s="2511"/>
      <c r="T31" s="2472"/>
      <c r="U31" s="2472"/>
      <c r="V31" s="2511"/>
      <c r="W31" s="2511"/>
      <c r="X31" s="2511"/>
      <c r="Y31" s="2511"/>
      <c r="Z31" s="2511"/>
      <c r="AA31" s="2472"/>
      <c r="AB31" s="2511"/>
      <c r="AC31" s="2472"/>
      <c r="AD31" s="2472"/>
      <c r="AE31" s="2472"/>
      <c r="AF31" s="2472"/>
      <c r="AG31" s="2472"/>
      <c r="AH31" s="2472"/>
      <c r="AI31" s="2472"/>
      <c r="AJ31" s="2930"/>
      <c r="AK31" s="2511"/>
      <c r="AL31" s="2511"/>
      <c r="AM31" s="2511"/>
      <c r="AN31" s="2511"/>
      <c r="AO31" s="2511"/>
      <c r="AP31" s="2511"/>
      <c r="AQ31" s="2511"/>
      <c r="AR31" s="2472"/>
      <c r="AS31" s="2511"/>
      <c r="AT31" s="2511"/>
      <c r="AU31" s="2511"/>
      <c r="AV31" s="2511"/>
      <c r="AW31" s="2472"/>
      <c r="AX31" s="2511"/>
      <c r="AY31" s="2472"/>
      <c r="AZ31" s="2472"/>
      <c r="BA31" s="2511"/>
      <c r="BB31" s="2511"/>
      <c r="BC31" s="2511"/>
      <c r="BD31" s="2472"/>
      <c r="BE31" s="2615"/>
      <c r="BF31" s="2615"/>
      <c r="BG31" s="2472"/>
      <c r="BH31" s="2615"/>
      <c r="BI31" s="3976"/>
      <c r="BJ31" s="2615"/>
      <c r="BK31" s="3728"/>
      <c r="BL31" s="2615"/>
      <c r="BM31" s="2615"/>
      <c r="BN31" s="2615"/>
      <c r="BO31" s="2615"/>
      <c r="BP31" s="2615"/>
      <c r="BQ31" s="2615"/>
      <c r="BR31" s="2615"/>
      <c r="BS31" s="2615"/>
      <c r="BT31" s="2472"/>
      <c r="BU31" s="2615"/>
      <c r="BV31" s="2472"/>
      <c r="BW31" s="2615"/>
      <c r="BX31" s="2472"/>
      <c r="BY31" s="2615"/>
      <c r="BZ31" s="2615"/>
      <c r="CA31" s="2615"/>
      <c r="CB31" s="2887"/>
      <c r="CC31" s="2472"/>
      <c r="CD31" s="2472"/>
      <c r="CE31" s="2887"/>
      <c r="CF31" s="2887"/>
      <c r="CG31" s="2887"/>
      <c r="CH31" s="2472"/>
      <c r="CI31" s="2472"/>
      <c r="CJ31" s="2887"/>
      <c r="CK31" s="2887"/>
      <c r="CL31" s="2887"/>
      <c r="CM31" s="2887"/>
      <c r="CN31" s="2887"/>
      <c r="CO31" s="2887"/>
      <c r="CP31" s="2887"/>
      <c r="CQ31" s="2472"/>
      <c r="CR31" s="2472"/>
      <c r="CS31" s="2472"/>
      <c r="CT31" s="2472"/>
      <c r="CU31" s="2887"/>
      <c r="CV31" s="2472"/>
      <c r="CW31" s="2887"/>
      <c r="CX31" s="2887"/>
      <c r="CY31" s="2887"/>
      <c r="CZ31" s="2472"/>
      <c r="DA31" s="2472"/>
      <c r="DB31" s="3728"/>
      <c r="DC31" s="2472"/>
      <c r="DD31" s="2887"/>
      <c r="DE31" s="2887"/>
      <c r="DF31" s="2887"/>
      <c r="DG31" s="2887"/>
      <c r="DH31" s="2887"/>
      <c r="DI31" s="2472"/>
      <c r="DJ31" s="2887"/>
      <c r="DK31" s="2887"/>
      <c r="DL31" s="2472"/>
      <c r="DM31" s="2472"/>
      <c r="DN31" s="2887"/>
      <c r="DO31" s="2887"/>
      <c r="DP31" s="2887"/>
      <c r="DQ31" s="2887"/>
      <c r="DR31" s="2472"/>
      <c r="DS31" s="2887"/>
      <c r="DT31" s="2887"/>
      <c r="DU31" s="2887"/>
      <c r="DV31" s="2887"/>
      <c r="DW31" s="2887"/>
      <c r="DX31" s="2887"/>
      <c r="DY31" s="2887"/>
      <c r="DZ31" s="2887"/>
      <c r="EA31" s="2887"/>
      <c r="EB31" s="2887"/>
      <c r="EC31" s="2887"/>
      <c r="ED31" s="2887"/>
      <c r="EE31" s="2887"/>
      <c r="EF31" s="2887"/>
      <c r="EG31" s="2887"/>
      <c r="EH31" s="2887"/>
      <c r="EI31" s="2887"/>
      <c r="EJ31" s="2472">
        <v>160</v>
      </c>
      <c r="EK31" s="2887"/>
      <c r="EL31" s="2887"/>
      <c r="EM31" s="2887"/>
      <c r="EN31" s="2472"/>
      <c r="EO31" s="2887"/>
      <c r="EP31" s="2887"/>
      <c r="EQ31" s="2887"/>
      <c r="ER31" s="2887"/>
      <c r="ES31" s="2887"/>
      <c r="ET31" s="2887"/>
      <c r="EU31" s="2472"/>
      <c r="EV31" s="2887"/>
      <c r="EW31" s="2887"/>
      <c r="EX31" s="2887"/>
      <c r="EY31" s="2887"/>
      <c r="EZ31" s="2887"/>
      <c r="FA31" s="2887"/>
      <c r="FB31" s="2887"/>
      <c r="FC31" s="2887"/>
      <c r="FD31" s="2887"/>
      <c r="FE31" s="2887"/>
      <c r="FF31" s="2472"/>
      <c r="FG31" s="2887"/>
      <c r="FH31" s="2887"/>
      <c r="FI31" s="2887"/>
      <c r="FJ31" s="2887"/>
      <c r="FK31" s="2887"/>
      <c r="FL31" s="2887"/>
      <c r="FM31" s="2887"/>
      <c r="FN31" s="2887"/>
      <c r="FO31" s="2887"/>
      <c r="FP31" s="2887"/>
      <c r="FQ31" s="2887"/>
      <c r="FR31" s="2887"/>
      <c r="FS31" s="2887"/>
      <c r="FT31" s="2472"/>
      <c r="FU31" s="2472"/>
      <c r="FV31" s="2472"/>
      <c r="FW31" s="2887"/>
      <c r="FX31" s="2472"/>
      <c r="FY31" s="2887"/>
      <c r="FZ31" s="2887"/>
      <c r="GA31" s="2887"/>
      <c r="GB31" s="2887"/>
      <c r="GC31" s="2887"/>
      <c r="GD31" s="2887"/>
      <c r="GE31" s="2472">
        <v>160</v>
      </c>
      <c r="GF31" s="2472">
        <v>160</v>
      </c>
      <c r="GG31" s="2472"/>
      <c r="GH31" s="2887"/>
      <c r="GI31" s="2887"/>
      <c r="GJ31" s="2472"/>
      <c r="GK31" s="2887"/>
      <c r="GL31" s="2887"/>
      <c r="GM31" s="2887"/>
      <c r="GN31" s="2887"/>
      <c r="GO31" s="2887"/>
      <c r="GP31" s="2887"/>
      <c r="GQ31" s="2887"/>
      <c r="GR31" s="2887"/>
      <c r="GS31" s="2887"/>
      <c r="GT31" s="2887"/>
      <c r="GU31" s="2887"/>
      <c r="GV31" s="2887"/>
      <c r="GW31" s="2472"/>
      <c r="GX31" s="2472"/>
      <c r="GY31" s="2887"/>
      <c r="GZ31" s="2887"/>
      <c r="HA31" s="2887"/>
      <c r="HB31" s="2472"/>
      <c r="HC31" s="2887"/>
      <c r="HD31" s="2472"/>
      <c r="HE31" s="2887"/>
      <c r="HF31" s="2472"/>
      <c r="HG31" s="2472"/>
      <c r="HH31" s="2887"/>
      <c r="HI31" s="2887"/>
      <c r="HJ31" s="2887"/>
      <c r="HK31" s="2887"/>
      <c r="HL31" s="2887"/>
      <c r="HM31" s="2887"/>
      <c r="HN31" s="2887"/>
      <c r="HO31" s="2887"/>
      <c r="HP31" s="2887"/>
      <c r="HQ31" s="2887"/>
      <c r="HR31" s="2887"/>
      <c r="HS31" s="2472"/>
      <c r="HT31" s="2887"/>
      <c r="HU31" s="2887"/>
      <c r="HV31" s="2887"/>
      <c r="HW31" s="2887"/>
      <c r="HX31" s="2887"/>
      <c r="HY31" s="2887"/>
      <c r="HZ31" s="2887"/>
      <c r="IA31" s="2887"/>
      <c r="IB31" s="2887"/>
      <c r="IC31" s="2887"/>
      <c r="ID31" s="2887"/>
      <c r="IE31" s="2887"/>
      <c r="IF31" s="2887"/>
      <c r="IG31" s="2887"/>
      <c r="IH31" s="2887"/>
      <c r="II31" s="2887"/>
      <c r="IJ31" s="2887"/>
      <c r="IK31" s="2887"/>
      <c r="IL31" s="2887"/>
      <c r="IM31" s="2887"/>
      <c r="IN31" s="2887"/>
      <c r="IO31" s="2472"/>
      <c r="IP31" s="2887"/>
      <c r="IQ31" s="2887"/>
      <c r="IR31" s="2887"/>
      <c r="IS31" s="4009"/>
      <c r="IT31" s="4003"/>
      <c r="IU31" s="4003"/>
      <c r="IV31" s="4003"/>
      <c r="IW31" s="4003"/>
      <c r="IX31" s="4003"/>
      <c r="IY31" s="4003"/>
      <c r="IZ31" s="2887"/>
      <c r="JA31" s="4003"/>
      <c r="JB31" s="4003"/>
      <c r="JC31" s="2887"/>
      <c r="JD31" s="2887"/>
      <c r="JE31" s="2887"/>
      <c r="JF31" s="2887"/>
      <c r="JG31" s="2601"/>
      <c r="JH31" s="1233"/>
      <c r="JI31" s="1393" t="s">
        <v>5690</v>
      </c>
      <c r="JJ31" s="1686" t="s">
        <v>6108</v>
      </c>
    </row>
    <row r="32" spans="1:270" x14ac:dyDescent="0.2">
      <c r="A32" s="1128">
        <v>32</v>
      </c>
      <c r="B32" s="1534" t="str">
        <f si="1" t="shared"/>
        <v/>
      </c>
      <c r="C32" s="1549" t="s">
        <v>1086</v>
      </c>
      <c r="D32" s="1550" t="s">
        <v>5333</v>
      </c>
      <c r="E32" s="2511"/>
      <c r="F32" s="2472"/>
      <c r="G32" s="2511"/>
      <c r="H32" s="2511"/>
      <c r="I32" s="2511"/>
      <c r="J32" s="2511"/>
      <c r="K32" s="2511"/>
      <c r="L32" s="2511"/>
      <c r="M32" s="2472"/>
      <c r="N32" s="2511"/>
      <c r="O32" s="2472"/>
      <c r="P32" s="2511"/>
      <c r="Q32" s="2472"/>
      <c r="R32" s="2511"/>
      <c r="S32" s="2511"/>
      <c r="T32" s="2472"/>
      <c r="U32" s="2472"/>
      <c r="V32" s="2511"/>
      <c r="W32" s="2511"/>
      <c r="X32" s="2511"/>
      <c r="Y32" s="2511"/>
      <c r="Z32" s="2511"/>
      <c r="AA32" s="2472"/>
      <c r="AB32" s="2511"/>
      <c r="AC32" s="2472"/>
      <c r="AD32" s="2472"/>
      <c r="AE32" s="2472"/>
      <c r="AF32" s="2472"/>
      <c r="AG32" s="2472"/>
      <c r="AH32" s="2472"/>
      <c r="AI32" s="2472"/>
      <c r="AJ32" s="2930"/>
      <c r="AK32" s="2511"/>
      <c r="AL32" s="2511"/>
      <c r="AM32" s="2511"/>
      <c r="AN32" s="2511"/>
      <c r="AO32" s="2511"/>
      <c r="AP32" s="2511"/>
      <c r="AQ32" s="2511"/>
      <c r="AR32" s="2472"/>
      <c r="AS32" s="2511"/>
      <c r="AT32" s="2511"/>
      <c r="AU32" s="2511"/>
      <c r="AV32" s="2511"/>
      <c r="AW32" s="2472"/>
      <c r="AX32" s="2511"/>
      <c r="AY32" s="2472"/>
      <c r="AZ32" s="2472"/>
      <c r="BA32" s="2511"/>
      <c r="BB32" s="2511"/>
      <c r="BC32" s="2511"/>
      <c r="BD32" s="2472"/>
      <c r="BE32" s="2615"/>
      <c r="BF32" s="2615"/>
      <c r="BG32" s="2472"/>
      <c r="BH32" s="2615"/>
      <c r="BI32" s="3976"/>
      <c r="BJ32" s="2615"/>
      <c r="BK32" s="3728"/>
      <c r="BL32" s="2615"/>
      <c r="BM32" s="2615"/>
      <c r="BN32" s="2615"/>
      <c r="BO32" s="2615"/>
      <c r="BP32" s="2615"/>
      <c r="BQ32" s="2615"/>
      <c r="BR32" s="2615"/>
      <c r="BS32" s="2615"/>
      <c r="BT32" s="2472"/>
      <c r="BU32" s="2615"/>
      <c r="BV32" s="2472"/>
      <c r="BW32" s="2615"/>
      <c r="BX32" s="2472"/>
      <c r="BY32" s="2615"/>
      <c r="BZ32" s="2615"/>
      <c r="CA32" s="2615"/>
      <c r="CB32" s="2887"/>
      <c r="CC32" s="2472"/>
      <c r="CD32" s="2472"/>
      <c r="CE32" s="2887"/>
      <c r="CF32" s="2887"/>
      <c r="CG32" s="2887"/>
      <c r="CH32" s="2472"/>
      <c r="CI32" s="2472"/>
      <c r="CJ32" s="2887"/>
      <c r="CK32" s="2887"/>
      <c r="CL32" s="2887"/>
      <c r="CM32" s="2887"/>
      <c r="CN32" s="2887"/>
      <c r="CO32" s="2887"/>
      <c r="CP32" s="2887"/>
      <c r="CQ32" s="2472"/>
      <c r="CR32" s="2472"/>
      <c r="CS32" s="2472"/>
      <c r="CT32" s="2472"/>
      <c r="CU32" s="2887"/>
      <c r="CV32" s="2472"/>
      <c r="CW32" s="2887"/>
      <c r="CX32" s="2887"/>
      <c r="CY32" s="2887"/>
      <c r="CZ32" s="2472"/>
      <c r="DA32" s="2472"/>
      <c r="DB32" s="3728"/>
      <c r="DC32" s="2472"/>
      <c r="DD32" s="2887"/>
      <c r="DE32" s="2887"/>
      <c r="DF32" s="2887"/>
      <c r="DG32" s="2887"/>
      <c r="DH32" s="2887"/>
      <c r="DI32" s="2472"/>
      <c r="DJ32" s="2887"/>
      <c r="DK32" s="2887"/>
      <c r="DL32" s="2472"/>
      <c r="DM32" s="2472"/>
      <c r="DN32" s="2887"/>
      <c r="DO32" s="2887"/>
      <c r="DP32" s="2887"/>
      <c r="DQ32" s="2887"/>
      <c r="DR32" s="2472"/>
      <c r="DS32" s="2887"/>
      <c r="DT32" s="2887"/>
      <c r="DU32" s="2887"/>
      <c r="DV32" s="2887"/>
      <c r="DW32" s="2887"/>
      <c r="DX32" s="2887"/>
      <c r="DY32" s="2887"/>
      <c r="DZ32" s="2887"/>
      <c r="EA32" s="2887"/>
      <c r="EB32" s="2887"/>
      <c r="EC32" s="2887"/>
      <c r="ED32" s="2887"/>
      <c r="EE32" s="2887"/>
      <c r="EF32" s="2887"/>
      <c r="EG32" s="2887"/>
      <c r="EH32" s="2887"/>
      <c r="EI32" s="2887"/>
      <c r="EJ32" s="2472"/>
      <c r="EK32" s="2887"/>
      <c r="EL32" s="2887"/>
      <c r="EM32" s="2887"/>
      <c r="EN32" s="2472"/>
      <c r="EO32" s="2887"/>
      <c r="EP32" s="2887"/>
      <c r="EQ32" s="2887"/>
      <c r="ER32" s="2887"/>
      <c r="ES32" s="2887"/>
      <c r="ET32" s="2887"/>
      <c r="EU32" s="2472"/>
      <c r="EV32" s="2887"/>
      <c r="EW32" s="2887"/>
      <c r="EX32" s="2887"/>
      <c r="EY32" s="2887"/>
      <c r="EZ32" s="2887"/>
      <c r="FA32" s="2887"/>
      <c r="FB32" s="2887"/>
      <c r="FC32" s="2887"/>
      <c r="FD32" s="2887"/>
      <c r="FE32" s="2887"/>
      <c r="FF32" s="2472"/>
      <c r="FG32" s="2887"/>
      <c r="FH32" s="2887"/>
      <c r="FI32" s="2887"/>
      <c r="FJ32" s="2887"/>
      <c r="FK32" s="2887"/>
      <c r="FL32" s="2887"/>
      <c r="FM32" s="2887"/>
      <c r="FN32" s="2887"/>
      <c r="FO32" s="2887"/>
      <c r="FP32" s="2887"/>
      <c r="FQ32" s="2887"/>
      <c r="FR32" s="2887"/>
      <c r="FS32" s="2887"/>
      <c r="FT32" s="2472"/>
      <c r="FU32" s="2472"/>
      <c r="FV32" s="2472"/>
      <c r="FW32" s="2887"/>
      <c r="FX32" s="2472"/>
      <c r="FY32" s="2887"/>
      <c r="FZ32" s="2887"/>
      <c r="GA32" s="2887"/>
      <c r="GB32" s="2887"/>
      <c r="GC32" s="2887"/>
      <c r="GD32" s="2887"/>
      <c r="GE32" s="2472"/>
      <c r="GF32" s="2472"/>
      <c r="GG32" s="2472"/>
      <c r="GH32" s="2887"/>
      <c r="GI32" s="2887"/>
      <c r="GJ32" s="2472"/>
      <c r="GK32" s="2887"/>
      <c r="GL32" s="2887"/>
      <c r="GM32" s="2887"/>
      <c r="GN32" s="2887"/>
      <c r="GO32" s="2887"/>
      <c r="GP32" s="2887"/>
      <c r="GQ32" s="2887"/>
      <c r="GR32" s="2887"/>
      <c r="GS32" s="2887"/>
      <c r="GT32" s="2887"/>
      <c r="GU32" s="2887"/>
      <c r="GV32" s="2887"/>
      <c r="GW32" s="2472"/>
      <c r="GX32" s="2472"/>
      <c r="GY32" s="2887"/>
      <c r="GZ32" s="2887"/>
      <c r="HA32" s="2887"/>
      <c r="HB32" s="2472"/>
      <c r="HC32" s="2887"/>
      <c r="HD32" s="2472"/>
      <c r="HE32" s="2887"/>
      <c r="HF32" s="2472"/>
      <c r="HG32" s="2472"/>
      <c r="HH32" s="2887"/>
      <c r="HI32" s="2887"/>
      <c r="HJ32" s="2887"/>
      <c r="HK32" s="2887"/>
      <c r="HL32" s="2887"/>
      <c r="HM32" s="2887"/>
      <c r="HN32" s="2887"/>
      <c r="HO32" s="2887"/>
      <c r="HP32" s="2887"/>
      <c r="HQ32" s="2887"/>
      <c r="HR32" s="2887"/>
      <c r="HS32" s="2472"/>
      <c r="HT32" s="2887"/>
      <c r="HU32" s="2887"/>
      <c r="HV32" s="2887"/>
      <c r="HW32" s="2887"/>
      <c r="HX32" s="2887"/>
      <c r="HY32" s="2887"/>
      <c r="HZ32" s="2887"/>
      <c r="IA32" s="2887"/>
      <c r="IB32" s="2887"/>
      <c r="IC32" s="2887"/>
      <c r="ID32" s="2887"/>
      <c r="IE32" s="2887"/>
      <c r="IF32" s="2887"/>
      <c r="IG32" s="2887"/>
      <c r="IH32" s="2887"/>
      <c r="II32" s="2887"/>
      <c r="IJ32" s="2887"/>
      <c r="IK32" s="2887"/>
      <c r="IL32" s="2887"/>
      <c r="IM32" s="2887"/>
      <c r="IN32" s="2887"/>
      <c r="IO32" s="2472"/>
      <c r="IP32" s="2887"/>
      <c r="IQ32" s="2887"/>
      <c r="IR32" s="2887"/>
      <c r="IS32" s="4009"/>
      <c r="IT32" s="4003"/>
      <c r="IU32" s="4003"/>
      <c r="IV32" s="4003"/>
      <c r="IW32" s="4003"/>
      <c r="IX32" s="4003"/>
      <c r="IY32" s="4003"/>
      <c r="IZ32" s="2887"/>
      <c r="JA32" s="4003"/>
      <c r="JB32" s="4003"/>
      <c r="JC32" s="2887"/>
      <c r="JD32" s="2887"/>
      <c r="JE32" s="2887"/>
      <c r="JF32" s="2887"/>
      <c r="JG32" s="2601"/>
      <c r="JH32" s="1233"/>
      <c r="JI32" s="1393" t="s">
        <v>6570</v>
      </c>
      <c r="JJ32" s="1686" t="s">
        <v>6108</v>
      </c>
    </row>
    <row r="33" spans="1:270" x14ac:dyDescent="0.2">
      <c r="A33" s="1128">
        <v>33</v>
      </c>
      <c r="B33" s="1534" t="str">
        <f si="1" t="shared"/>
        <v/>
      </c>
      <c r="C33" s="4053" t="s">
        <v>8497</v>
      </c>
      <c r="D33" s="4054" t="s">
        <v>8499</v>
      </c>
      <c r="E33" s="2511"/>
      <c r="F33" s="2472"/>
      <c r="G33" s="2511"/>
      <c r="H33" s="2511"/>
      <c r="I33" s="2511"/>
      <c r="J33" s="2511"/>
      <c r="K33" s="2511"/>
      <c r="L33" s="2511"/>
      <c r="M33" s="2472"/>
      <c r="N33" s="2511"/>
      <c r="O33" s="2472"/>
      <c r="P33" s="2511"/>
      <c r="Q33" s="2472"/>
      <c r="R33" s="2511"/>
      <c r="S33" s="2511"/>
      <c r="T33" s="2472"/>
      <c r="U33" s="2472"/>
      <c r="V33" s="2511"/>
      <c r="W33" s="2511"/>
      <c r="X33" s="2511"/>
      <c r="Y33" s="2511"/>
      <c r="Z33" s="2511"/>
      <c r="AA33" s="2472"/>
      <c r="AB33" s="2511"/>
      <c r="AC33" s="2472"/>
      <c r="AD33" s="2472"/>
      <c r="AE33" s="2472"/>
      <c r="AF33" s="2472"/>
      <c r="AG33" s="2472"/>
      <c r="AH33" s="2472"/>
      <c r="AI33" s="2472"/>
      <c r="AJ33" s="2930"/>
      <c r="AK33" s="2511"/>
      <c r="AL33" s="2511"/>
      <c r="AM33" s="2511"/>
      <c r="AN33" s="2511"/>
      <c r="AO33" s="2511"/>
      <c r="AP33" s="2511"/>
      <c r="AQ33" s="2511"/>
      <c r="AR33" s="2472"/>
      <c r="AS33" s="2511"/>
      <c r="AT33" s="2511"/>
      <c r="AU33" s="2511"/>
      <c r="AV33" s="2511"/>
      <c r="AW33" s="2472"/>
      <c r="AX33" s="2511"/>
      <c r="AY33" s="2472"/>
      <c r="AZ33" s="2472"/>
      <c r="BA33" s="2511"/>
      <c r="BB33" s="2511"/>
      <c r="BC33" s="2511"/>
      <c r="BD33" s="2472"/>
      <c r="BE33" s="2615"/>
      <c r="BF33" s="2615"/>
      <c r="BG33" s="2472"/>
      <c r="BH33" s="2615"/>
      <c r="BI33" s="3976"/>
      <c r="BJ33" s="2615"/>
      <c r="BK33" s="3728"/>
      <c r="BL33" s="2615"/>
      <c r="BM33" s="2615"/>
      <c r="BN33" s="2615"/>
      <c r="BO33" s="2615"/>
      <c r="BP33" s="2615"/>
      <c r="BQ33" s="2615"/>
      <c r="BR33" s="2615"/>
      <c r="BS33" s="2615"/>
      <c r="BT33" s="2472"/>
      <c r="BU33" s="2615"/>
      <c r="BV33" s="2472"/>
      <c r="BW33" s="2615"/>
      <c r="BX33" s="2472"/>
      <c r="BY33" s="2615"/>
      <c r="BZ33" s="2615"/>
      <c r="CA33" s="2615"/>
      <c r="CB33" s="2887"/>
      <c r="CC33" s="2472"/>
      <c r="CD33" s="2472"/>
      <c r="CE33" s="2887"/>
      <c r="CF33" s="2887"/>
      <c r="CG33" s="2887"/>
      <c r="CH33" s="2472"/>
      <c r="CI33" s="2472"/>
      <c r="CJ33" s="2887"/>
      <c r="CK33" s="2887"/>
      <c r="CL33" s="2887"/>
      <c r="CM33" s="2887"/>
      <c r="CN33" s="2887"/>
      <c r="CO33" s="2887"/>
      <c r="CP33" s="2887"/>
      <c r="CQ33" s="2472"/>
      <c r="CR33" s="2472"/>
      <c r="CS33" s="2472"/>
      <c r="CT33" s="2472"/>
      <c r="CU33" s="2887"/>
      <c r="CV33" s="2472"/>
      <c r="CW33" s="2887"/>
      <c r="CX33" s="2887"/>
      <c r="CY33" s="2887"/>
      <c r="CZ33" s="2472"/>
      <c r="DA33" s="2472"/>
      <c r="DB33" s="3728"/>
      <c r="DC33" s="2472"/>
      <c r="DD33" s="2887"/>
      <c r="DE33" s="2887"/>
      <c r="DF33" s="2887"/>
      <c r="DG33" s="2887"/>
      <c r="DH33" s="2887"/>
      <c r="DI33" s="2472"/>
      <c r="DJ33" s="2887"/>
      <c r="DK33" s="2887"/>
      <c r="DL33" s="2472"/>
      <c r="DM33" s="2472"/>
      <c r="DN33" s="2887"/>
      <c r="DO33" s="2887"/>
      <c r="DP33" s="2887"/>
      <c r="DQ33" s="2887"/>
      <c r="DR33" s="2472"/>
      <c r="DS33" s="2887"/>
      <c r="DT33" s="2887"/>
      <c r="DU33" s="2887"/>
      <c r="DV33" s="2887"/>
      <c r="DW33" s="2887"/>
      <c r="DX33" s="2887"/>
      <c r="DY33" s="2887"/>
      <c r="DZ33" s="2887"/>
      <c r="EA33" s="2887"/>
      <c r="EB33" s="2887"/>
      <c r="EC33" s="2887"/>
      <c r="ED33" s="2887"/>
      <c r="EE33" s="2887"/>
      <c r="EF33" s="2887"/>
      <c r="EG33" s="2887"/>
      <c r="EH33" s="2887"/>
      <c r="EI33" s="2887"/>
      <c r="EJ33" s="2472"/>
      <c r="EK33" s="2887"/>
      <c r="EL33" s="2887"/>
      <c r="EM33" s="2887"/>
      <c r="EN33" s="2472"/>
      <c r="EO33" s="2887"/>
      <c r="EP33" s="2887"/>
      <c r="EQ33" s="2887"/>
      <c r="ER33" s="2887"/>
      <c r="ES33" s="2887"/>
      <c r="ET33" s="2887"/>
      <c r="EU33" s="2472"/>
      <c r="EV33" s="2887"/>
      <c r="EW33" s="2887"/>
      <c r="EX33" s="2887"/>
      <c r="EY33" s="2887"/>
      <c r="EZ33" s="2887"/>
      <c r="FA33" s="2887"/>
      <c r="FB33" s="2887"/>
      <c r="FC33" s="2887"/>
      <c r="FD33" s="2887"/>
      <c r="FE33" s="2887"/>
      <c r="FF33" s="2472"/>
      <c r="FG33" s="2887"/>
      <c r="FH33" s="2887"/>
      <c r="FI33" s="2887"/>
      <c r="FJ33" s="2887"/>
      <c r="FK33" s="2887"/>
      <c r="FL33" s="2887"/>
      <c r="FM33" s="2887"/>
      <c r="FN33" s="2887"/>
      <c r="FO33" s="2887"/>
      <c r="FP33" s="2887"/>
      <c r="FQ33" s="2887"/>
      <c r="FR33" s="2887"/>
      <c r="FS33" s="2887"/>
      <c r="FT33" s="2472"/>
      <c r="FU33" s="2472"/>
      <c r="FV33" s="2472"/>
      <c r="FW33" s="2887"/>
      <c r="FX33" s="2472"/>
      <c r="FY33" s="2887"/>
      <c r="FZ33" s="2887"/>
      <c r="GA33" s="2887"/>
      <c r="GB33" s="2887"/>
      <c r="GC33" s="2887"/>
      <c r="GD33" s="2887"/>
      <c r="GE33" s="2472"/>
      <c r="GF33" s="2472"/>
      <c r="GG33" s="2472"/>
      <c r="GH33" s="2887"/>
      <c r="GI33" s="2887"/>
      <c r="GJ33" s="2472"/>
      <c r="GK33" s="2887"/>
      <c r="GL33" s="2887"/>
      <c r="GM33" s="2887"/>
      <c r="GN33" s="2887"/>
      <c r="GO33" s="2887"/>
      <c r="GP33" s="2887"/>
      <c r="GQ33" s="2887"/>
      <c r="GR33" s="2887"/>
      <c r="GS33" s="2887"/>
      <c r="GT33" s="2887"/>
      <c r="GU33" s="2887"/>
      <c r="GV33" s="2887"/>
      <c r="GW33" s="2472"/>
      <c r="GX33" s="2472"/>
      <c r="GY33" s="2887"/>
      <c r="GZ33" s="2887"/>
      <c r="HA33" s="2887"/>
      <c r="HB33" s="2472"/>
      <c r="HC33" s="2887"/>
      <c r="HD33" s="2472"/>
      <c r="HE33" s="2887"/>
      <c r="HF33" s="2472"/>
      <c r="HG33" s="2472"/>
      <c r="HH33" s="2887"/>
      <c r="HI33" s="2887"/>
      <c r="HJ33" s="2887"/>
      <c r="HK33" s="2887"/>
      <c r="HL33" s="2887"/>
      <c r="HM33" s="2887"/>
      <c r="HN33" s="2887"/>
      <c r="HO33" s="2887"/>
      <c r="HP33" s="2887"/>
      <c r="HQ33" s="2887"/>
      <c r="HR33" s="2887"/>
      <c r="HS33" s="2472"/>
      <c r="HT33" s="2887"/>
      <c r="HU33" s="2887"/>
      <c r="HV33" s="2887"/>
      <c r="HW33" s="2887"/>
      <c r="HX33" s="2887"/>
      <c r="HY33" s="2887"/>
      <c r="HZ33" s="2887"/>
      <c r="IA33" s="2887"/>
      <c r="IB33" s="2887"/>
      <c r="IC33" s="2887"/>
      <c r="ID33" s="2887"/>
      <c r="IE33" s="2887"/>
      <c r="IF33" s="2887"/>
      <c r="IG33" s="2887"/>
      <c r="IH33" s="2887"/>
      <c r="II33" s="2887"/>
      <c r="IJ33" s="2887"/>
      <c r="IK33" s="2887"/>
      <c r="IL33" s="2887"/>
      <c r="IM33" s="2887"/>
      <c r="IN33" s="2887"/>
      <c r="IO33" s="2472"/>
      <c r="IP33" s="2887"/>
      <c r="IQ33" s="2887"/>
      <c r="IR33" s="2887"/>
      <c r="IS33" s="4009"/>
      <c r="IT33" s="4003"/>
      <c r="IU33" s="4003"/>
      <c r="IV33" s="4003"/>
      <c r="IW33" s="4003"/>
      <c r="IX33" s="4003"/>
      <c r="IY33" s="4003"/>
      <c r="IZ33" s="2887"/>
      <c r="JA33" s="4003"/>
      <c r="JB33" s="4003"/>
      <c r="JC33" s="2887"/>
      <c r="JD33" s="2887"/>
      <c r="JE33" s="2887"/>
      <c r="JF33" s="2887"/>
      <c r="JG33" s="4051"/>
      <c r="JH33" s="1233"/>
      <c r="JI33" s="2248"/>
      <c r="JJ33" s="3300"/>
    </row>
    <row r="34" spans="1:270" x14ac:dyDescent="0.2">
      <c r="A34" s="1128">
        <v>34</v>
      </c>
      <c r="B34" s="1534" t="str">
        <f si="1" t="shared"/>
        <v/>
      </c>
      <c r="C34" s="1549" t="s">
        <v>1087</v>
      </c>
      <c r="D34" s="1550" t="s">
        <v>5706</v>
      </c>
      <c r="E34" s="2511"/>
      <c r="F34" s="2472"/>
      <c r="G34" s="2511"/>
      <c r="H34" s="2511"/>
      <c r="I34" s="2511"/>
      <c r="J34" s="2511"/>
      <c r="K34" s="2511"/>
      <c r="L34" s="2511"/>
      <c r="M34" s="2472"/>
      <c r="N34" s="2511"/>
      <c r="O34" s="2472"/>
      <c r="P34" s="2511"/>
      <c r="Q34" s="2472"/>
      <c r="R34" s="2511"/>
      <c r="S34" s="2511"/>
      <c r="T34" s="2472"/>
      <c r="U34" s="2472"/>
      <c r="V34" s="2511"/>
      <c r="W34" s="2511"/>
      <c r="X34" s="2511"/>
      <c r="Y34" s="2511"/>
      <c r="Z34" s="2511"/>
      <c r="AA34" s="2472"/>
      <c r="AB34" s="2511"/>
      <c r="AC34" s="2472"/>
      <c r="AD34" s="2472"/>
      <c r="AE34" s="2472"/>
      <c r="AF34" s="2472"/>
      <c r="AG34" s="2472"/>
      <c r="AH34" s="2472"/>
      <c r="AI34" s="2472"/>
      <c r="AJ34" s="2930"/>
      <c r="AK34" s="2511"/>
      <c r="AL34" s="2511"/>
      <c r="AM34" s="2511"/>
      <c r="AN34" s="2511"/>
      <c r="AO34" s="2511"/>
      <c r="AP34" s="2511"/>
      <c r="AQ34" s="2511"/>
      <c r="AR34" s="2472"/>
      <c r="AS34" s="2511"/>
      <c r="AT34" s="2511"/>
      <c r="AU34" s="2511"/>
      <c r="AV34" s="2511"/>
      <c r="AW34" s="2472"/>
      <c r="AX34" s="2511"/>
      <c r="AY34" s="2472"/>
      <c r="AZ34" s="2472"/>
      <c r="BA34" s="2511"/>
      <c r="BB34" s="2511"/>
      <c r="BC34" s="2511"/>
      <c r="BD34" s="2472"/>
      <c r="BE34" s="2615"/>
      <c r="BF34" s="2615"/>
      <c r="BG34" s="2472"/>
      <c r="BH34" s="2615"/>
      <c r="BI34" s="3976"/>
      <c r="BJ34" s="2615"/>
      <c r="BK34" s="3728"/>
      <c r="BL34" s="2615"/>
      <c r="BM34" s="2615"/>
      <c r="BN34" s="2615"/>
      <c r="BO34" s="2615"/>
      <c r="BP34" s="2615"/>
      <c r="BQ34" s="2615"/>
      <c r="BR34" s="2615"/>
      <c r="BS34" s="2615"/>
      <c r="BT34" s="2472"/>
      <c r="BU34" s="2615"/>
      <c r="BV34" s="2472"/>
      <c r="BW34" s="2615"/>
      <c r="BX34" s="2472"/>
      <c r="BY34" s="2615"/>
      <c r="BZ34" s="2615"/>
      <c r="CA34" s="2615"/>
      <c r="CB34" s="2887"/>
      <c r="CC34" s="2472"/>
      <c r="CD34" s="2472"/>
      <c r="CE34" s="2887"/>
      <c r="CF34" s="2887"/>
      <c r="CG34" s="2887"/>
      <c r="CH34" s="2472"/>
      <c r="CI34" s="2472"/>
      <c r="CJ34" s="2887"/>
      <c r="CK34" s="2887"/>
      <c r="CL34" s="2887"/>
      <c r="CM34" s="2887"/>
      <c r="CN34" s="2887"/>
      <c r="CO34" s="2887"/>
      <c r="CP34" s="2887"/>
      <c r="CQ34" s="2472"/>
      <c r="CR34" s="2472"/>
      <c r="CS34" s="2472"/>
      <c r="CT34" s="2472"/>
      <c r="CU34" s="2887"/>
      <c r="CV34" s="2472"/>
      <c r="CW34" s="2887"/>
      <c r="CX34" s="2887"/>
      <c r="CY34" s="2887"/>
      <c r="CZ34" s="2472"/>
      <c r="DA34" s="2472"/>
      <c r="DB34" s="3728"/>
      <c r="DC34" s="2472"/>
      <c r="DD34" s="2887"/>
      <c r="DE34" s="2887"/>
      <c r="DF34" s="2887"/>
      <c r="DG34" s="2887"/>
      <c r="DH34" s="2887"/>
      <c r="DI34" s="2472"/>
      <c r="DJ34" s="2887"/>
      <c r="DK34" s="2887"/>
      <c r="DL34" s="2472"/>
      <c r="DM34" s="2472"/>
      <c r="DN34" s="2887"/>
      <c r="DO34" s="2887"/>
      <c r="DP34" s="2887"/>
      <c r="DQ34" s="2887"/>
      <c r="DR34" s="2472"/>
      <c r="DS34" s="2887"/>
      <c r="DT34" s="2887"/>
      <c r="DU34" s="2887"/>
      <c r="DV34" s="2887"/>
      <c r="DW34" s="2887"/>
      <c r="DX34" s="2887"/>
      <c r="DY34" s="2887"/>
      <c r="DZ34" s="2887"/>
      <c r="EA34" s="2887"/>
      <c r="EB34" s="2887"/>
      <c r="EC34" s="2887"/>
      <c r="ED34" s="2887"/>
      <c r="EE34" s="2887"/>
      <c r="EF34" s="2887"/>
      <c r="EG34" s="2887"/>
      <c r="EH34" s="2887"/>
      <c r="EI34" s="2887"/>
      <c r="EJ34" s="2472"/>
      <c r="EK34" s="2887"/>
      <c r="EL34" s="2887"/>
      <c r="EM34" s="2887"/>
      <c r="EN34" s="2472"/>
      <c r="EO34" s="2887"/>
      <c r="EP34" s="2887"/>
      <c r="EQ34" s="2887"/>
      <c r="ER34" s="2887"/>
      <c r="ES34" s="2887"/>
      <c r="ET34" s="2887"/>
      <c r="EU34" s="2472"/>
      <c r="EV34" s="2887"/>
      <c r="EW34" s="2887"/>
      <c r="EX34" s="2887"/>
      <c r="EY34" s="2887"/>
      <c r="EZ34" s="2887"/>
      <c r="FA34" s="2887"/>
      <c r="FB34" s="2887"/>
      <c r="FC34" s="2887"/>
      <c r="FD34" s="2887"/>
      <c r="FE34" s="2887"/>
      <c r="FF34" s="2472"/>
      <c r="FG34" s="2887"/>
      <c r="FH34" s="2887"/>
      <c r="FI34" s="2887"/>
      <c r="FJ34" s="2887"/>
      <c r="FK34" s="2887"/>
      <c r="FL34" s="2887"/>
      <c r="FM34" s="2887"/>
      <c r="FN34" s="2887"/>
      <c r="FO34" s="2887"/>
      <c r="FP34" s="2887"/>
      <c r="FQ34" s="2887"/>
      <c r="FR34" s="2887"/>
      <c r="FS34" s="2887"/>
      <c r="FT34" s="2472"/>
      <c r="FU34" s="2472"/>
      <c r="FV34" s="2472"/>
      <c r="FW34" s="2887"/>
      <c r="FX34" s="2472"/>
      <c r="FY34" s="2887"/>
      <c r="FZ34" s="2887"/>
      <c r="GA34" s="2887"/>
      <c r="GB34" s="2887"/>
      <c r="GC34" s="2887"/>
      <c r="GD34" s="2887"/>
      <c r="GE34" s="2472"/>
      <c r="GF34" s="2472"/>
      <c r="GG34" s="2472"/>
      <c r="GH34" s="2887"/>
      <c r="GI34" s="2887"/>
      <c r="GJ34" s="2472"/>
      <c r="GK34" s="2887"/>
      <c r="GL34" s="2887"/>
      <c r="GM34" s="2887"/>
      <c r="GN34" s="2887"/>
      <c r="GO34" s="2887"/>
      <c r="GP34" s="2887"/>
      <c r="GQ34" s="2887"/>
      <c r="GR34" s="2887"/>
      <c r="GS34" s="2887"/>
      <c r="GT34" s="2887"/>
      <c r="GU34" s="2887"/>
      <c r="GV34" s="2887"/>
      <c r="GW34" s="2472"/>
      <c r="GX34" s="2472"/>
      <c r="GY34" s="2887"/>
      <c r="GZ34" s="2887"/>
      <c r="HA34" s="2887"/>
      <c r="HB34" s="2472"/>
      <c r="HC34" s="2887"/>
      <c r="HD34" s="2472"/>
      <c r="HE34" s="2887"/>
      <c r="HF34" s="2472"/>
      <c r="HG34" s="2472"/>
      <c r="HH34" s="2887"/>
      <c r="HI34" s="2887"/>
      <c r="HJ34" s="2887"/>
      <c r="HK34" s="2887"/>
      <c r="HL34" s="2887"/>
      <c r="HM34" s="2887"/>
      <c r="HN34" s="2887"/>
      <c r="HO34" s="2887"/>
      <c r="HP34" s="2887"/>
      <c r="HQ34" s="2887"/>
      <c r="HR34" s="2887"/>
      <c r="HS34" s="2472"/>
      <c r="HT34" s="2887"/>
      <c r="HU34" s="2887"/>
      <c r="HV34" s="2887"/>
      <c r="HW34" s="2887"/>
      <c r="HX34" s="2887"/>
      <c r="HY34" s="2887"/>
      <c r="HZ34" s="2887"/>
      <c r="IA34" s="2887"/>
      <c r="IB34" s="2887"/>
      <c r="IC34" s="2887"/>
      <c r="ID34" s="2887"/>
      <c r="IE34" s="2887"/>
      <c r="IF34" s="2887"/>
      <c r="IG34" s="2887"/>
      <c r="IH34" s="2887"/>
      <c r="II34" s="2887"/>
      <c r="IJ34" s="2887"/>
      <c r="IK34" s="2887"/>
      <c r="IL34" s="2887"/>
      <c r="IM34" s="2887"/>
      <c r="IN34" s="2887"/>
      <c r="IO34" s="2472"/>
      <c r="IP34" s="2887"/>
      <c r="IQ34" s="2887"/>
      <c r="IR34" s="2887"/>
      <c r="IS34" s="4009"/>
      <c r="IT34" s="4003"/>
      <c r="IU34" s="4003"/>
      <c r="IV34" s="4003"/>
      <c r="IW34" s="4003"/>
      <c r="IX34" s="4003"/>
      <c r="IY34" s="4003"/>
      <c r="IZ34" s="2887"/>
      <c r="JA34" s="4003"/>
      <c r="JB34" s="4003"/>
      <c r="JC34" s="2887"/>
      <c r="JD34" s="2887"/>
      <c r="JE34" s="2887"/>
      <c r="JF34" s="2887"/>
      <c r="JG34" s="2601"/>
      <c r="JH34" s="1233"/>
      <c r="JI34" s="1393"/>
      <c r="JJ34" s="1686" t="s">
        <v>6108</v>
      </c>
    </row>
    <row ht="33.75" r="35" spans="1:270" x14ac:dyDescent="0.2">
      <c r="A35" s="1128">
        <v>35</v>
      </c>
      <c r="B35" s="1534" t="str">
        <f si="1" t="shared"/>
        <v/>
      </c>
      <c r="C35" s="1556" t="s">
        <v>3095</v>
      </c>
      <c r="D35" s="1550" t="s">
        <v>5707</v>
      </c>
      <c r="E35" s="2602"/>
      <c r="F35" s="2603">
        <f>MAX(0,F24+F31+F32-(F27+F28+F29+F30+F34))</f>
        <v>0</v>
      </c>
      <c r="G35" s="2602"/>
      <c r="H35" s="2602"/>
      <c r="I35" s="2602"/>
      <c r="J35" s="2602"/>
      <c r="K35" s="2602"/>
      <c r="L35" s="2602"/>
      <c r="M35" s="2603">
        <f>MAX(0,M24+M31+M32-(M27+M28+M29+M30+M34))</f>
        <v>0</v>
      </c>
      <c r="N35" s="2602"/>
      <c r="O35" s="2603">
        <f>MAX(0,O24+O31+O32-(O27+O28+O29+O30+O34))</f>
        <v>0</v>
      </c>
      <c r="P35" s="2602"/>
      <c r="Q35" s="2603">
        <f>MAX(0,Q24+Q31+Q32-(Q27+Q28+Q29+Q30+Q34))</f>
        <v>0</v>
      </c>
      <c r="R35" s="2602"/>
      <c r="S35" s="2602"/>
      <c r="T35" s="2603">
        <f>MAX(0,T24+T31+T32-(T27+T28+T29+T30+T34))</f>
        <v>0</v>
      </c>
      <c r="U35" s="2603">
        <f>MAX(0,U24+U31+U32-(U27+U28+U29+U30+U34))</f>
        <v>0</v>
      </c>
      <c r="V35" s="2602"/>
      <c r="W35" s="2602"/>
      <c r="X35" s="2602"/>
      <c r="Y35" s="2602"/>
      <c r="Z35" s="2602"/>
      <c r="AA35" s="2603">
        <f>MAX(0,AA24+AA31+AA32-(AA27+AA28+AA29+AA30+AA34))</f>
        <v>0</v>
      </c>
      <c r="AB35" s="2602"/>
      <c r="AC35" s="2603">
        <f>MAX(0,AC24+AC31+AC32-(AC27+AC28+AC29+AC30+AC34))</f>
        <v>0</v>
      </c>
      <c r="AD35" s="2603"/>
      <c r="AE35" s="2603"/>
      <c r="AF35" s="2603"/>
      <c r="AG35" s="2603"/>
      <c r="AH35" s="2603"/>
      <c r="AI35" s="2603">
        <f>MAX(0,AI24+AI31+AI32-(AI27+AI28+AI29+AI30+AI34))</f>
        <v>0</v>
      </c>
      <c r="AJ35" s="2931"/>
      <c r="AK35" s="2602"/>
      <c r="AL35" s="2602"/>
      <c r="AM35" s="2602"/>
      <c r="AN35" s="2602"/>
      <c r="AO35" s="2602"/>
      <c r="AP35" s="2602"/>
      <c r="AQ35" s="2602"/>
      <c r="AR35" s="2603">
        <f>MAX(0,AR24+AR31+AR32-(AR27+AR28+AR29+AR30+AR34))</f>
        <v>0</v>
      </c>
      <c r="AS35" s="2602"/>
      <c r="AT35" s="2602"/>
      <c r="AU35" s="2602"/>
      <c r="AV35" s="2602"/>
      <c r="AW35" s="2603">
        <f>MAX(0,AW24+AW31+AW32-(AW27+AW28+AW29+AW30+AW34))</f>
        <v>0</v>
      </c>
      <c r="AX35" s="2602"/>
      <c r="AY35" s="2603">
        <f>MAX(0,AY24+AY31+AY32-(AY27+AY28+AY29+AY30+AY34))</f>
        <v>0</v>
      </c>
      <c r="AZ35" s="2603">
        <f>MAX(0,AZ24+AZ31+AZ32-(AZ27+AZ28+AZ29+AZ30+AZ34))</f>
        <v>0</v>
      </c>
      <c r="BA35" s="2602"/>
      <c r="BB35" s="2602"/>
      <c r="BC35" s="2602"/>
      <c r="BD35" s="2603">
        <f>MAX(0,BD24+BD31+BD32-(BD27+BD28+BD29+BD30+BD34))</f>
        <v>0</v>
      </c>
      <c r="BE35" s="2604"/>
      <c r="BF35" s="2604"/>
      <c r="BG35" s="2603">
        <f>MAX(0,BG24+BG31+BG32-(BG27+BG28+BG29+BG30+BG34))</f>
        <v>0</v>
      </c>
      <c r="BH35" s="2604"/>
      <c r="BI35" s="3972"/>
      <c r="BJ35" s="2604"/>
      <c r="BK35" s="3730">
        <f>MAX(0,BK24+BK31+BK32-(BK27+BK28+BK29+BK30+BK34))</f>
        <v>0</v>
      </c>
      <c r="BL35" s="2604"/>
      <c r="BM35" s="2604"/>
      <c r="BN35" s="2604"/>
      <c r="BO35" s="2604"/>
      <c r="BP35" s="2604"/>
      <c r="BQ35" s="2604"/>
      <c r="BR35" s="2604"/>
      <c r="BS35" s="2604"/>
      <c r="BT35" s="2603">
        <f>MAX(0,BT24+BT31+BT32-(BT27+BT28+BT29+BT30+BT34))</f>
        <v>0</v>
      </c>
      <c r="BU35" s="2604"/>
      <c r="BV35" s="2603">
        <f>MAX(0,BV24+BV31+BV32-(BV27+BV28+BV29+BV30+BV34))</f>
        <v>0</v>
      </c>
      <c r="BW35" s="2604"/>
      <c r="BX35" s="2603">
        <f>MAX(0,BX24+BX31+BX32-(BX27+BX28+BX29+BX30+BX34))</f>
        <v>0</v>
      </c>
      <c r="BY35" s="2604"/>
      <c r="BZ35" s="2604"/>
      <c r="CA35" s="2604"/>
      <c r="CB35" s="2883"/>
      <c r="CC35" s="2603">
        <f>MAX(0,CC24+CC31+CC32-(CC27+CC28+CC29+CC30+CC34))</f>
        <v>0</v>
      </c>
      <c r="CD35" s="2603">
        <f>MAX(0,CD24+CD31+CD32-(CD27+CD28+CD29+CD30+CD34))</f>
        <v>0</v>
      </c>
      <c r="CE35" s="2883"/>
      <c r="CF35" s="2883"/>
      <c r="CG35" s="2883"/>
      <c r="CH35" s="2603">
        <f>MAX(0,CH24+CH31+CH32-(CH27+CH28+CH29+CH30+CH34))</f>
        <v>0</v>
      </c>
      <c r="CI35" s="2603">
        <f>MAX(0,CI24+CI31+CI32-(CI27+CI28+CI29+CI30+CI34))</f>
        <v>0</v>
      </c>
      <c r="CJ35" s="2883"/>
      <c r="CK35" s="2883"/>
      <c r="CL35" s="2883"/>
      <c r="CM35" s="2883"/>
      <c r="CN35" s="2883"/>
      <c r="CO35" s="2883"/>
      <c r="CP35" s="2883"/>
      <c r="CQ35" s="2603">
        <f>MAX(0,CQ24+CQ31+CQ32-(CQ27+CQ28+CQ29+CQ30+CQ34))</f>
        <v>0</v>
      </c>
      <c r="CR35" s="2603">
        <f>MAX(0,CR24+CR31+CR32-(CR27+CR28+CR29+CR30+CR34))</f>
        <v>0</v>
      </c>
      <c r="CS35" s="2603">
        <f>MAX(0,CS24+CS31+CS32-(CS27+CS28+CS29+CS30+CS34))</f>
        <v>0</v>
      </c>
      <c r="CT35" s="2603">
        <f>MAX(0,CT24+CT31+CT32-(CT27+CT28+CT29+CT30+CT34))</f>
        <v>0</v>
      </c>
      <c r="CU35" s="2883"/>
      <c r="CV35" s="2603">
        <f>MAX(0,CV24+CV31+CV32-(CV27+CV28+CV29+CV30+CV34))</f>
        <v>0</v>
      </c>
      <c r="CW35" s="2883"/>
      <c r="CX35" s="2883"/>
      <c r="CY35" s="2883"/>
      <c r="CZ35" s="2603">
        <f>MAX(0,CZ24+CZ31+CZ32-(CZ27+CZ28+CZ29+CZ30+CZ34))</f>
        <v>0</v>
      </c>
      <c r="DA35" s="2603">
        <f>MAX(0,DA24+DA31+DA32-(DA27+DA28+DA29+DA30+DA34))</f>
        <v>0</v>
      </c>
      <c r="DB35" s="3730">
        <f>MAX(0,DB24+DB31+DB32-(DB27+DB28+DB29+DB30+DB34))</f>
        <v>0</v>
      </c>
      <c r="DC35" s="2603">
        <f>MAX(0,DC24+DC31+DC32-(DC27+DC28+DC29+DC30+DC34))</f>
        <v>0</v>
      </c>
      <c r="DD35" s="2883"/>
      <c r="DE35" s="2883"/>
      <c r="DF35" s="2883"/>
      <c r="DG35" s="2883"/>
      <c r="DH35" s="2883"/>
      <c r="DI35" s="2603">
        <f>MAX(0,DI24+DI31+DI32-(DI27+DI28+DI29+DI30+DI34))</f>
        <v>0</v>
      </c>
      <c r="DJ35" s="2883"/>
      <c r="DK35" s="2883"/>
      <c r="DL35" s="2603">
        <f>MAX(0,DL24+DL31+DL32-(DL27+DL28+DL29+DL30+DL34))</f>
        <v>0</v>
      </c>
      <c r="DM35" s="2603">
        <f>MAX(0,DM24+DM31+DM32-(DM27+DM28+DM29+DM30+DM34))</f>
        <v>0</v>
      </c>
      <c r="DN35" s="2883"/>
      <c r="DO35" s="2883"/>
      <c r="DP35" s="2883"/>
      <c r="DQ35" s="2883"/>
      <c r="DR35" s="2603">
        <f>MAX(0,DR24+DR31+DR32-(DR27+DR28+DR29+DR30+DR34))</f>
        <v>0</v>
      </c>
      <c r="DS35" s="2883"/>
      <c r="DT35" s="2883"/>
      <c r="DU35" s="2883"/>
      <c r="DV35" s="2883"/>
      <c r="DW35" s="2883"/>
      <c r="DX35" s="2883"/>
      <c r="DY35" s="2883"/>
      <c r="DZ35" s="2883"/>
      <c r="EA35" s="2883"/>
      <c r="EB35" s="2883"/>
      <c r="EC35" s="2883"/>
      <c r="ED35" s="2883"/>
      <c r="EE35" s="2883"/>
      <c r="EF35" s="2883"/>
      <c r="EG35" s="2883"/>
      <c r="EH35" s="2883"/>
      <c r="EI35" s="2883"/>
      <c r="EJ35" s="2603">
        <f>MAX(0,EJ24+EJ31+EJ32-(EJ27+EJ28+EJ29+EJ30+EJ34))</f>
        <v>3639</v>
      </c>
      <c r="EK35" s="2883"/>
      <c r="EL35" s="2883"/>
      <c r="EM35" s="2883"/>
      <c r="EN35" s="2603">
        <f>MAX(0,EN24+EN31+EN32-(EN27+EN28+EN29+EN30+EN34))</f>
        <v>0</v>
      </c>
      <c r="EO35" s="2883"/>
      <c r="EP35" s="2883"/>
      <c r="EQ35" s="2883"/>
      <c r="ER35" s="2883"/>
      <c r="ES35" s="2883"/>
      <c r="ET35" s="2883"/>
      <c r="EU35" s="2603">
        <f>MAX(0,EU24+EU31+EU32-(EU27+EU28+EU29+EU30+EU34))</f>
        <v>0</v>
      </c>
      <c r="EV35" s="2883"/>
      <c r="EW35" s="2883"/>
      <c r="EX35" s="2883"/>
      <c r="EY35" s="2883"/>
      <c r="EZ35" s="2883"/>
      <c r="FA35" s="2883"/>
      <c r="FB35" s="2883"/>
      <c r="FC35" s="2883"/>
      <c r="FD35" s="2883"/>
      <c r="FE35" s="2883"/>
      <c r="FF35" s="2603">
        <f>MAX(0,FF24+FF31+FF32-(FF27+FF28+FF29+FF30+FF34))</f>
        <v>0</v>
      </c>
      <c r="FG35" s="2883"/>
      <c r="FH35" s="2883"/>
      <c r="FI35" s="2883"/>
      <c r="FJ35" s="2883"/>
      <c r="FK35" s="2883"/>
      <c r="FL35" s="2883"/>
      <c r="FM35" s="2883"/>
      <c r="FN35" s="2883"/>
      <c r="FO35" s="2883"/>
      <c r="FP35" s="2883"/>
      <c r="FQ35" s="2883"/>
      <c r="FR35" s="2883"/>
      <c r="FS35" s="2883"/>
      <c r="FT35" s="2603">
        <f>MAX(0,FT24+FT31+FT32-(FT27+FT28+FT29+FT30+FT34))</f>
        <v>0</v>
      </c>
      <c r="FU35" s="2603">
        <f>MAX(0,FU24+FU31+FU32-(FU27+FU28+FU29+FU30+FU34))</f>
        <v>0</v>
      </c>
      <c r="FV35" s="2603">
        <f>MAX(0,FV24+FV31+FV32-(FV27+FV28+FV29+FV30+FV34))</f>
        <v>0</v>
      </c>
      <c r="FW35" s="2883"/>
      <c r="FX35" s="2603">
        <f>MAX(0,FX24+FX31+FX32-(FX27+FX28+FX29+FX30+FX34))</f>
        <v>0</v>
      </c>
      <c r="FY35" s="2883"/>
      <c r="FZ35" s="2883"/>
      <c r="GA35" s="2883"/>
      <c r="GB35" s="2883"/>
      <c r="GC35" s="2883"/>
      <c r="GD35" s="2883"/>
      <c r="GE35" s="2603">
        <f>MAX(0,GE24+GE31+GE32-(GE27+GE28+GE29+GE30+GE34))</f>
        <v>3639</v>
      </c>
      <c r="GF35" s="2603">
        <f>MAX(0,GF24+GF31+GF32-(GF27+GF28+GF29+GF30+GF34))</f>
        <v>3639</v>
      </c>
      <c r="GG35" s="2603">
        <f>MAX(0,GG24+GG31+GG32-(GG27+GG28+GG29+GG30+GG34))</f>
        <v>0</v>
      </c>
      <c r="GH35" s="2883"/>
      <c r="GI35" s="2883"/>
      <c r="GJ35" s="2603">
        <f>MAX(0,GJ24+GJ31+GJ32-(GJ27+GJ28+GJ29+GJ30+GJ34))</f>
        <v>0</v>
      </c>
      <c r="GK35" s="2883"/>
      <c r="GL35" s="2883"/>
      <c r="GM35" s="2883"/>
      <c r="GN35" s="2883"/>
      <c r="GO35" s="2883"/>
      <c r="GP35" s="2883"/>
      <c r="GQ35" s="2883"/>
      <c r="GR35" s="2883"/>
      <c r="GS35" s="2883"/>
      <c r="GT35" s="2883"/>
      <c r="GU35" s="2883"/>
      <c r="GV35" s="2883"/>
      <c r="GW35" s="2603">
        <f>MAX(0,GW24+GW31+GW32-(GW27+GW28+GW29+GW30+GW34))</f>
        <v>0</v>
      </c>
      <c r="GX35" s="2603">
        <f>MAX(0,GX24+GX31+GX32-(GX27+GX28+GX29+GX30+GX34))</f>
        <v>0</v>
      </c>
      <c r="GY35" s="2883"/>
      <c r="GZ35" s="2883"/>
      <c r="HA35" s="2883"/>
      <c r="HB35" s="2603">
        <f>MAX(0,HB24+HB31+HB32-(HB27+HB28+HB29+HB30+HB34))</f>
        <v>0</v>
      </c>
      <c r="HC35" s="2883"/>
      <c r="HD35" s="2603">
        <f>MAX(0,HD24+HD31+HD32-(HD27+HD28+HD29+HD30+HD34))</f>
        <v>0</v>
      </c>
      <c r="HE35" s="2883"/>
      <c r="HF35" s="2603">
        <f>MAX(0,HF24+HF31+HF32-(HF27+HF28+HF29+HF30+HF34))</f>
        <v>0</v>
      </c>
      <c r="HG35" s="2603">
        <f>MAX(0,HG24+HG31+HG32-(HG27+HG28+HG29+HG30+HG34))</f>
        <v>0</v>
      </c>
      <c r="HH35" s="2883"/>
      <c r="HI35" s="2883"/>
      <c r="HJ35" s="2883"/>
      <c r="HK35" s="2883"/>
      <c r="HL35" s="2883"/>
      <c r="HM35" s="2883"/>
      <c r="HN35" s="2883"/>
      <c r="HO35" s="2883"/>
      <c r="HP35" s="2883"/>
      <c r="HQ35" s="2883"/>
      <c r="HR35" s="2883"/>
      <c r="HS35" s="2603">
        <f>MAX(0,HS24+HS31+HS32-(HS27+HS28+HS29+HS30+HS34))</f>
        <v>0</v>
      </c>
      <c r="HT35" s="2883"/>
      <c r="HU35" s="2883"/>
      <c r="HV35" s="2883"/>
      <c r="HW35" s="2883"/>
      <c r="HX35" s="2883"/>
      <c r="HY35" s="2883"/>
      <c r="HZ35" s="2883"/>
      <c r="IA35" s="2883"/>
      <c r="IB35" s="2883"/>
      <c r="IC35" s="2883"/>
      <c r="ID35" s="2883"/>
      <c r="IE35" s="2883"/>
      <c r="IF35" s="2883"/>
      <c r="IG35" s="2883"/>
      <c r="IH35" s="2883"/>
      <c r="II35" s="2883"/>
      <c r="IJ35" s="2883"/>
      <c r="IK35" s="2883"/>
      <c r="IL35" s="2883"/>
      <c r="IM35" s="2883"/>
      <c r="IN35" s="2883"/>
      <c r="IO35" s="2603">
        <f>MAX(0,IO24+IO31+IO32-(IO27+IO28+IO29+IO30+IO34))</f>
        <v>0</v>
      </c>
      <c r="IP35" s="2883"/>
      <c r="IQ35" s="2883"/>
      <c r="IR35" s="2883"/>
      <c r="IS35" s="4010"/>
      <c r="IT35" s="3999"/>
      <c r="IU35" s="3999"/>
      <c r="IV35" s="3999"/>
      <c r="IW35" s="3999"/>
      <c r="IX35" s="3999"/>
      <c r="IY35" s="3999"/>
      <c r="IZ35" s="2883"/>
      <c r="JA35" s="4010">
        <v>0</v>
      </c>
      <c r="JB35" s="4010">
        <v>0</v>
      </c>
      <c r="JC35" s="2883"/>
      <c r="JD35" s="2883"/>
      <c r="JE35" s="2883"/>
      <c r="JF35" s="2883"/>
      <c r="JG35" s="2605">
        <f>MAX(0,JG24+JG31+JG32-(JG27+JG28+JG29+JG30+JG34))</f>
        <v>0</v>
      </c>
      <c r="JH35" s="1233"/>
      <c r="JI35" s="1393" t="s">
        <v>5691</v>
      </c>
      <c r="JJ35" s="1686" t="s">
        <v>6124</v>
      </c>
    </row>
    <row r="36" spans="1:270" x14ac:dyDescent="0.2">
      <c r="A36" s="1128">
        <v>36</v>
      </c>
      <c r="B36" s="1534" t="str">
        <f si="1" t="shared"/>
        <v/>
      </c>
      <c r="C36" s="1556" t="s">
        <v>3096</v>
      </c>
      <c r="D36" s="1550" t="s">
        <v>5708</v>
      </c>
      <c r="E36" s="2519"/>
      <c r="F36" s="2518"/>
      <c r="G36" s="2519"/>
      <c r="H36" s="2519"/>
      <c r="I36" s="2519"/>
      <c r="J36" s="2519"/>
      <c r="K36" s="2519"/>
      <c r="L36" s="2519"/>
      <c r="M36" s="2518"/>
      <c r="N36" s="2519"/>
      <c r="O36" s="2518"/>
      <c r="P36" s="2519"/>
      <c r="Q36" s="2518"/>
      <c r="R36" s="2519"/>
      <c r="S36" s="2519"/>
      <c r="T36" s="2518"/>
      <c r="U36" s="2518"/>
      <c r="V36" s="2519"/>
      <c r="W36" s="2519"/>
      <c r="X36" s="2519"/>
      <c r="Y36" s="2519"/>
      <c r="Z36" s="2519"/>
      <c r="AA36" s="2518"/>
      <c r="AB36" s="2519"/>
      <c r="AC36" s="2518"/>
      <c r="AD36" s="2518"/>
      <c r="AE36" s="2518"/>
      <c r="AF36" s="2518"/>
      <c r="AG36" s="2518"/>
      <c r="AH36" s="2518"/>
      <c r="AI36" s="2518"/>
      <c r="AJ36" s="2932"/>
      <c r="AK36" s="2519"/>
      <c r="AL36" s="2519"/>
      <c r="AM36" s="2519"/>
      <c r="AN36" s="2519"/>
      <c r="AO36" s="2519"/>
      <c r="AP36" s="2519"/>
      <c r="AQ36" s="2519"/>
      <c r="AR36" s="2518"/>
      <c r="AS36" s="2519"/>
      <c r="AT36" s="2519"/>
      <c r="AU36" s="2519"/>
      <c r="AV36" s="2519"/>
      <c r="AW36" s="2518"/>
      <c r="AX36" s="2519"/>
      <c r="AY36" s="2518"/>
      <c r="AZ36" s="2518"/>
      <c r="BA36" s="2519"/>
      <c r="BB36" s="2519"/>
      <c r="BC36" s="2519"/>
      <c r="BD36" s="2518"/>
      <c r="BE36" s="2518"/>
      <c r="BF36" s="2518"/>
      <c r="BG36" s="2518"/>
      <c r="BH36" s="2518"/>
      <c r="BI36" s="3731"/>
      <c r="BJ36" s="2518"/>
      <c r="BK36" s="3731"/>
      <c r="BL36" s="2518"/>
      <c r="BM36" s="2518"/>
      <c r="BN36" s="2518"/>
      <c r="BO36" s="2518"/>
      <c r="BP36" s="2518"/>
      <c r="BQ36" s="2518"/>
      <c r="BR36" s="2518"/>
      <c r="BS36" s="2518"/>
      <c r="BT36" s="2518"/>
      <c r="BU36" s="2518"/>
      <c r="BV36" s="2518"/>
      <c r="BW36" s="2518"/>
      <c r="BX36" s="2518"/>
      <c r="BY36" s="2518"/>
      <c r="BZ36" s="2518"/>
      <c r="CA36" s="2518"/>
      <c r="CB36" s="2888"/>
      <c r="CC36" s="2518"/>
      <c r="CD36" s="2518"/>
      <c r="CE36" s="2888"/>
      <c r="CF36" s="2888"/>
      <c r="CG36" s="2888"/>
      <c r="CH36" s="2518"/>
      <c r="CI36" s="2518"/>
      <c r="CJ36" s="2888"/>
      <c r="CK36" s="2888"/>
      <c r="CL36" s="2888"/>
      <c r="CM36" s="2888"/>
      <c r="CN36" s="2888"/>
      <c r="CO36" s="2888"/>
      <c r="CP36" s="2888"/>
      <c r="CQ36" s="2518"/>
      <c r="CR36" s="2518"/>
      <c r="CS36" s="2518"/>
      <c r="CT36" s="2518"/>
      <c r="CU36" s="2888"/>
      <c r="CV36" s="2518"/>
      <c r="CW36" s="2888"/>
      <c r="CX36" s="2888"/>
      <c r="CY36" s="2888"/>
      <c r="CZ36" s="2518"/>
      <c r="DA36" s="2518"/>
      <c r="DB36" s="3731"/>
      <c r="DC36" s="2518"/>
      <c r="DD36" s="2888"/>
      <c r="DE36" s="2888"/>
      <c r="DF36" s="2888"/>
      <c r="DG36" s="2888"/>
      <c r="DH36" s="2888"/>
      <c r="DI36" s="2518"/>
      <c r="DJ36" s="2888"/>
      <c r="DK36" s="2888"/>
      <c r="DL36" s="2518"/>
      <c r="DM36" s="2518"/>
      <c r="DN36" s="2888"/>
      <c r="DO36" s="2888"/>
      <c r="DP36" s="2888"/>
      <c r="DQ36" s="2888"/>
      <c r="DR36" s="2518"/>
      <c r="DS36" s="2888"/>
      <c r="DT36" s="2888"/>
      <c r="DU36" s="2888"/>
      <c r="DV36" s="2888"/>
      <c r="DW36" s="2888"/>
      <c r="DX36" s="2888"/>
      <c r="DY36" s="2888"/>
      <c r="DZ36" s="2888"/>
      <c r="EA36" s="2888"/>
      <c r="EB36" s="2888"/>
      <c r="EC36" s="2888"/>
      <c r="ED36" s="2888"/>
      <c r="EE36" s="2888"/>
      <c r="EF36" s="2888"/>
      <c r="EG36" s="2888"/>
      <c r="EH36" s="2888"/>
      <c r="EI36" s="2888"/>
      <c r="EJ36" s="2518"/>
      <c r="EK36" s="2888"/>
      <c r="EL36" s="2888"/>
      <c r="EM36" s="2888"/>
      <c r="EN36" s="2518"/>
      <c r="EO36" s="2888"/>
      <c r="EP36" s="2888"/>
      <c r="EQ36" s="2888"/>
      <c r="ER36" s="2888"/>
      <c r="ES36" s="2888"/>
      <c r="ET36" s="2888"/>
      <c r="EU36" s="2518"/>
      <c r="EV36" s="2888"/>
      <c r="EW36" s="2888"/>
      <c r="EX36" s="2888"/>
      <c r="EY36" s="2888"/>
      <c r="EZ36" s="2888"/>
      <c r="FA36" s="2888"/>
      <c r="FB36" s="2888"/>
      <c r="FC36" s="2888"/>
      <c r="FD36" s="2888"/>
      <c r="FE36" s="2888"/>
      <c r="FF36" s="2518"/>
      <c r="FG36" s="2888"/>
      <c r="FH36" s="2888"/>
      <c r="FI36" s="2888"/>
      <c r="FJ36" s="2888"/>
      <c r="FK36" s="2888"/>
      <c r="FL36" s="2888"/>
      <c r="FM36" s="2888"/>
      <c r="FN36" s="2888"/>
      <c r="FO36" s="2888"/>
      <c r="FP36" s="2888"/>
      <c r="FQ36" s="2888"/>
      <c r="FR36" s="2888"/>
      <c r="FS36" s="2888"/>
      <c r="FT36" s="2518"/>
      <c r="FU36" s="2518"/>
      <c r="FV36" s="2518"/>
      <c r="FW36" s="2888"/>
      <c r="FX36" s="2518"/>
      <c r="FY36" s="2888"/>
      <c r="FZ36" s="2888"/>
      <c r="GA36" s="2888"/>
      <c r="GB36" s="2888"/>
      <c r="GC36" s="2888"/>
      <c r="GD36" s="2888"/>
      <c r="GE36" s="2518"/>
      <c r="GF36" s="2518"/>
      <c r="GG36" s="2518"/>
      <c r="GH36" s="2888"/>
      <c r="GI36" s="2888"/>
      <c r="GJ36" s="2518"/>
      <c r="GK36" s="2888"/>
      <c r="GL36" s="2888"/>
      <c r="GM36" s="2888"/>
      <c r="GN36" s="2888"/>
      <c r="GO36" s="2888"/>
      <c r="GP36" s="2888"/>
      <c r="GQ36" s="2888"/>
      <c r="GR36" s="2888"/>
      <c r="GS36" s="2888"/>
      <c r="GT36" s="2888"/>
      <c r="GU36" s="2888"/>
      <c r="GV36" s="2888"/>
      <c r="GW36" s="2518"/>
      <c r="GX36" s="2518"/>
      <c r="GY36" s="2888"/>
      <c r="GZ36" s="2888"/>
      <c r="HA36" s="2888"/>
      <c r="HB36" s="2518"/>
      <c r="HC36" s="2888"/>
      <c r="HD36" s="2518"/>
      <c r="HE36" s="2888"/>
      <c r="HF36" s="2518"/>
      <c r="HG36" s="2518"/>
      <c r="HH36" s="2888"/>
      <c r="HI36" s="2888"/>
      <c r="HJ36" s="2888"/>
      <c r="HK36" s="2888"/>
      <c r="HL36" s="2888"/>
      <c r="HM36" s="2888"/>
      <c r="HN36" s="2888"/>
      <c r="HO36" s="2888"/>
      <c r="HP36" s="2888"/>
      <c r="HQ36" s="2888"/>
      <c r="HR36" s="2888"/>
      <c r="HS36" s="2518"/>
      <c r="HT36" s="2888"/>
      <c r="HU36" s="2888"/>
      <c r="HV36" s="2888"/>
      <c r="HW36" s="2888"/>
      <c r="HX36" s="2888"/>
      <c r="HY36" s="2888"/>
      <c r="HZ36" s="2888"/>
      <c r="IA36" s="2888"/>
      <c r="IB36" s="2888"/>
      <c r="IC36" s="2888"/>
      <c r="ID36" s="2888"/>
      <c r="IE36" s="2888"/>
      <c r="IF36" s="2888"/>
      <c r="IG36" s="2888"/>
      <c r="IH36" s="2888"/>
      <c r="II36" s="2888"/>
      <c r="IJ36" s="2888"/>
      <c r="IK36" s="2888"/>
      <c r="IL36" s="2888"/>
      <c r="IM36" s="2888"/>
      <c r="IN36" s="2888"/>
      <c r="IO36" s="2518"/>
      <c r="IP36" s="2888"/>
      <c r="IQ36" s="2888"/>
      <c r="IR36" s="2888"/>
      <c r="IS36" s="4011"/>
      <c r="IT36" s="4004"/>
      <c r="IU36" s="4004"/>
      <c r="IV36" s="4004"/>
      <c r="IW36" s="4004"/>
      <c r="IX36" s="4004"/>
      <c r="IY36" s="4004"/>
      <c r="IZ36" s="2888"/>
      <c r="JA36" s="4011"/>
      <c r="JB36" s="4011"/>
      <c r="JC36" s="2888"/>
      <c r="JD36" s="2888"/>
      <c r="JE36" s="2888"/>
      <c r="JF36" s="2888"/>
      <c r="JG36" s="2616"/>
      <c r="JH36" s="1233"/>
      <c r="JI36" s="1393"/>
      <c r="JJ36" s="1686" t="s">
        <v>6124</v>
      </c>
    </row>
    <row ht="22.5" r="37" spans="1:270" x14ac:dyDescent="0.2">
      <c r="A37" s="1128">
        <v>37</v>
      </c>
      <c r="B37" s="1534" t="str">
        <f si="1" t="shared"/>
        <v/>
      </c>
      <c r="C37" s="1556" t="s">
        <v>3460</v>
      </c>
      <c r="D37" s="1550" t="s">
        <v>5709</v>
      </c>
      <c r="E37" s="2602"/>
      <c r="F37" s="2603">
        <f>MAX(0,F35-F36)</f>
        <v>0</v>
      </c>
      <c r="G37" s="2602"/>
      <c r="H37" s="2602"/>
      <c r="I37" s="2602"/>
      <c r="J37" s="2602"/>
      <c r="K37" s="2602"/>
      <c r="L37" s="2602"/>
      <c r="M37" s="2603">
        <f>MAX(0,M35-M36)</f>
        <v>0</v>
      </c>
      <c r="N37" s="2602"/>
      <c r="O37" s="2603">
        <f>MAX(0,O35-O36)</f>
        <v>0</v>
      </c>
      <c r="P37" s="2602"/>
      <c r="Q37" s="2603">
        <f>MAX(0,Q35-Q36)</f>
        <v>0</v>
      </c>
      <c r="R37" s="2602"/>
      <c r="S37" s="2602"/>
      <c r="T37" s="2603">
        <f>MAX(0,T35-T36)</f>
        <v>0</v>
      </c>
      <c r="U37" s="2603">
        <f>MAX(0,U35-U36)</f>
        <v>0</v>
      </c>
      <c r="V37" s="2602"/>
      <c r="W37" s="2602"/>
      <c r="X37" s="2602"/>
      <c r="Y37" s="2602"/>
      <c r="Z37" s="2602"/>
      <c r="AA37" s="2603">
        <f>MAX(0,AA35-AA36)</f>
        <v>0</v>
      </c>
      <c r="AB37" s="2602"/>
      <c r="AC37" s="2603">
        <f>MAX(0,AC35-AC36)</f>
        <v>0</v>
      </c>
      <c r="AD37" s="2603"/>
      <c r="AE37" s="2603"/>
      <c r="AF37" s="2603"/>
      <c r="AG37" s="2603"/>
      <c r="AH37" s="2603"/>
      <c r="AI37" s="2603">
        <f>MAX(0,AI35-AI36)</f>
        <v>0</v>
      </c>
      <c r="AJ37" s="2931"/>
      <c r="AK37" s="2602"/>
      <c r="AL37" s="2602"/>
      <c r="AM37" s="2602"/>
      <c r="AN37" s="2602"/>
      <c r="AO37" s="2602"/>
      <c r="AP37" s="2602"/>
      <c r="AQ37" s="2602"/>
      <c r="AR37" s="2603">
        <f>MAX(0,AR35-AR36)</f>
        <v>0</v>
      </c>
      <c r="AS37" s="2602"/>
      <c r="AT37" s="2602"/>
      <c r="AU37" s="2602"/>
      <c r="AV37" s="2602"/>
      <c r="AW37" s="2603">
        <f>MAX(0,AW35-AW36)</f>
        <v>0</v>
      </c>
      <c r="AX37" s="2602"/>
      <c r="AY37" s="2603">
        <f>MAX(0,AY35-AY36)</f>
        <v>0</v>
      </c>
      <c r="AZ37" s="2603">
        <f>MAX(0,AZ35-AZ36)</f>
        <v>0</v>
      </c>
      <c r="BA37" s="2602"/>
      <c r="BB37" s="2602"/>
      <c r="BC37" s="2602"/>
      <c r="BD37" s="2603">
        <f>MAX(0,BD35-BD36)</f>
        <v>0</v>
      </c>
      <c r="BE37" s="2604"/>
      <c r="BF37" s="2604"/>
      <c r="BG37" s="2603">
        <f>MAX(0,BG35-BG36)</f>
        <v>0</v>
      </c>
      <c r="BH37" s="2604"/>
      <c r="BI37" s="3972"/>
      <c r="BJ37" s="2604"/>
      <c r="BK37" s="3730">
        <f>MAX(0,BK35-BK36)</f>
        <v>0</v>
      </c>
      <c r="BL37" s="2604"/>
      <c r="BM37" s="2604"/>
      <c r="BN37" s="2604"/>
      <c r="BO37" s="2604"/>
      <c r="BP37" s="2604"/>
      <c r="BQ37" s="2604"/>
      <c r="BR37" s="2604"/>
      <c r="BS37" s="2604"/>
      <c r="BT37" s="2603">
        <f>MAX(0,BT35-BT36)</f>
        <v>0</v>
      </c>
      <c r="BU37" s="2604"/>
      <c r="BV37" s="2603">
        <f>MAX(0,BV35-BV36)</f>
        <v>0</v>
      </c>
      <c r="BW37" s="2604"/>
      <c r="BX37" s="2603">
        <f>MAX(0,BX35-BX36)</f>
        <v>0</v>
      </c>
      <c r="BY37" s="2604"/>
      <c r="BZ37" s="2604"/>
      <c r="CA37" s="2604"/>
      <c r="CB37" s="2883"/>
      <c r="CC37" s="2603">
        <f>MAX(0,CC35-CC36)</f>
        <v>0</v>
      </c>
      <c r="CD37" s="2603">
        <f>MAX(0,CD35-CD36)</f>
        <v>0</v>
      </c>
      <c r="CE37" s="2883"/>
      <c r="CF37" s="2883"/>
      <c r="CG37" s="2883"/>
      <c r="CH37" s="2603">
        <f>MAX(0,CH35-CH36)</f>
        <v>0</v>
      </c>
      <c r="CI37" s="2603">
        <f>MAX(0,CI35-CI36)</f>
        <v>0</v>
      </c>
      <c r="CJ37" s="2883"/>
      <c r="CK37" s="2883"/>
      <c r="CL37" s="2883"/>
      <c r="CM37" s="2883"/>
      <c r="CN37" s="2883"/>
      <c r="CO37" s="2883"/>
      <c r="CP37" s="2883"/>
      <c r="CQ37" s="2603">
        <f>MAX(0,CQ35-CQ36)</f>
        <v>0</v>
      </c>
      <c r="CR37" s="2603">
        <f>MAX(0,CR35-CR36)</f>
        <v>0</v>
      </c>
      <c r="CS37" s="2603">
        <f>MAX(0,CS35-CS36)</f>
        <v>0</v>
      </c>
      <c r="CT37" s="2603">
        <f>MAX(0,CT35-CT36)</f>
        <v>0</v>
      </c>
      <c r="CU37" s="2883"/>
      <c r="CV37" s="2603">
        <f>MAX(0,CV35-CV36)</f>
        <v>0</v>
      </c>
      <c r="CW37" s="2883"/>
      <c r="CX37" s="2883"/>
      <c r="CY37" s="2883"/>
      <c r="CZ37" s="2603">
        <f>MAX(0,CZ35-CZ36)</f>
        <v>0</v>
      </c>
      <c r="DA37" s="2603">
        <f>MAX(0,DA35-DA36)</f>
        <v>0</v>
      </c>
      <c r="DB37" s="3730">
        <f>MAX(0,DB35-DB36)</f>
        <v>0</v>
      </c>
      <c r="DC37" s="2603">
        <f>MAX(0,DC35-DC36)</f>
        <v>0</v>
      </c>
      <c r="DD37" s="2883"/>
      <c r="DE37" s="2883"/>
      <c r="DF37" s="2883"/>
      <c r="DG37" s="2883"/>
      <c r="DH37" s="2883"/>
      <c r="DI37" s="2603">
        <f>MAX(0,DI35-DI36)</f>
        <v>0</v>
      </c>
      <c r="DJ37" s="2883"/>
      <c r="DK37" s="2883"/>
      <c r="DL37" s="2603">
        <f>MAX(0,DL35-DL36)</f>
        <v>0</v>
      </c>
      <c r="DM37" s="2603">
        <f>MAX(0,DM35-DM36)</f>
        <v>0</v>
      </c>
      <c r="DN37" s="2883"/>
      <c r="DO37" s="2883"/>
      <c r="DP37" s="2883"/>
      <c r="DQ37" s="2883"/>
      <c r="DR37" s="2603">
        <f>MAX(0,DR35-DR36)</f>
        <v>0</v>
      </c>
      <c r="DS37" s="2883"/>
      <c r="DT37" s="2883"/>
      <c r="DU37" s="2883"/>
      <c r="DV37" s="2883"/>
      <c r="DW37" s="2883"/>
      <c r="DX37" s="2883"/>
      <c r="DY37" s="2883"/>
      <c r="DZ37" s="2883"/>
      <c r="EA37" s="2883"/>
      <c r="EB37" s="2883"/>
      <c r="EC37" s="2883"/>
      <c r="ED37" s="2883"/>
      <c r="EE37" s="2883"/>
      <c r="EF37" s="2883"/>
      <c r="EG37" s="2883"/>
      <c r="EH37" s="2883"/>
      <c r="EI37" s="2883"/>
      <c r="EJ37" s="2603">
        <f>MAX(0,EJ35-EJ36)</f>
        <v>3639</v>
      </c>
      <c r="EK37" s="2883"/>
      <c r="EL37" s="2883"/>
      <c r="EM37" s="2883"/>
      <c r="EN37" s="2603">
        <f>MAX(0,EN35-EN36)</f>
        <v>0</v>
      </c>
      <c r="EO37" s="2883"/>
      <c r="EP37" s="2883"/>
      <c r="EQ37" s="2883"/>
      <c r="ER37" s="2883"/>
      <c r="ES37" s="2883"/>
      <c r="ET37" s="2883"/>
      <c r="EU37" s="2603">
        <f>MAX(0,EU35-EU36)</f>
        <v>0</v>
      </c>
      <c r="EV37" s="2883"/>
      <c r="EW37" s="2883"/>
      <c r="EX37" s="2883"/>
      <c r="EY37" s="2883"/>
      <c r="EZ37" s="2883"/>
      <c r="FA37" s="2883"/>
      <c r="FB37" s="2883"/>
      <c r="FC37" s="2883"/>
      <c r="FD37" s="2883"/>
      <c r="FE37" s="2883"/>
      <c r="FF37" s="2603">
        <f>MAX(0,FF35-FF36)</f>
        <v>0</v>
      </c>
      <c r="FG37" s="2883"/>
      <c r="FH37" s="2883"/>
      <c r="FI37" s="2883"/>
      <c r="FJ37" s="2883"/>
      <c r="FK37" s="2883"/>
      <c r="FL37" s="2883"/>
      <c r="FM37" s="2883"/>
      <c r="FN37" s="2883"/>
      <c r="FO37" s="2883"/>
      <c r="FP37" s="2883"/>
      <c r="FQ37" s="2883"/>
      <c r="FR37" s="2883"/>
      <c r="FS37" s="2883"/>
      <c r="FT37" s="2603">
        <f>MAX(0,FT35-FT36)</f>
        <v>0</v>
      </c>
      <c r="FU37" s="2603">
        <f>MAX(0,FU35-FU36)</f>
        <v>0</v>
      </c>
      <c r="FV37" s="2603">
        <f>MAX(0,FV35-FV36)</f>
        <v>0</v>
      </c>
      <c r="FW37" s="2883"/>
      <c r="FX37" s="2603">
        <f>MAX(0,FX35-FX36)</f>
        <v>0</v>
      </c>
      <c r="FY37" s="2883"/>
      <c r="FZ37" s="2883"/>
      <c r="GA37" s="2883"/>
      <c r="GB37" s="2883"/>
      <c r="GC37" s="2883"/>
      <c r="GD37" s="2883"/>
      <c r="GE37" s="2603">
        <f>MAX(0,GE35-GE36)</f>
        <v>3639</v>
      </c>
      <c r="GF37" s="2603">
        <f>MAX(0,GF35-GF36)</f>
        <v>3639</v>
      </c>
      <c r="GG37" s="2603">
        <f>MAX(0,GG35-GG36)</f>
        <v>0</v>
      </c>
      <c r="GH37" s="2883"/>
      <c r="GI37" s="2883"/>
      <c r="GJ37" s="2603">
        <f>MAX(0,GJ35-GJ36)</f>
        <v>0</v>
      </c>
      <c r="GK37" s="2883"/>
      <c r="GL37" s="2883"/>
      <c r="GM37" s="2883"/>
      <c r="GN37" s="2883"/>
      <c r="GO37" s="2883"/>
      <c r="GP37" s="2883"/>
      <c r="GQ37" s="2883"/>
      <c r="GR37" s="2883"/>
      <c r="GS37" s="2883"/>
      <c r="GT37" s="2883"/>
      <c r="GU37" s="2883"/>
      <c r="GV37" s="2883"/>
      <c r="GW37" s="2603">
        <f>MAX(0,GW35-GW36)</f>
        <v>0</v>
      </c>
      <c r="GX37" s="2603">
        <f>MAX(0,GX35-GX36)</f>
        <v>0</v>
      </c>
      <c r="GY37" s="2883"/>
      <c r="GZ37" s="2883"/>
      <c r="HA37" s="2883"/>
      <c r="HB37" s="2603">
        <f>MAX(0,HB35-HB36)</f>
        <v>0</v>
      </c>
      <c r="HC37" s="2883"/>
      <c r="HD37" s="2603">
        <f>MAX(0,HD35-HD36)</f>
        <v>0</v>
      </c>
      <c r="HE37" s="2883"/>
      <c r="HF37" s="2603">
        <f>MAX(0,HF35-HF36)</f>
        <v>0</v>
      </c>
      <c r="HG37" s="2603">
        <f>MAX(0,HG35-HG36)</f>
        <v>0</v>
      </c>
      <c r="HH37" s="2883"/>
      <c r="HI37" s="2883"/>
      <c r="HJ37" s="2883"/>
      <c r="HK37" s="2883"/>
      <c r="HL37" s="2883"/>
      <c r="HM37" s="2883"/>
      <c r="HN37" s="2883"/>
      <c r="HO37" s="2883"/>
      <c r="HP37" s="2883"/>
      <c r="HQ37" s="2883"/>
      <c r="HR37" s="2883"/>
      <c r="HS37" s="2603">
        <f>MAX(0,HS35-HS36)</f>
        <v>0</v>
      </c>
      <c r="HT37" s="2883"/>
      <c r="HU37" s="2883"/>
      <c r="HV37" s="2883"/>
      <c r="HW37" s="2883"/>
      <c r="HX37" s="2883"/>
      <c r="HY37" s="2883"/>
      <c r="HZ37" s="2883"/>
      <c r="IA37" s="2883"/>
      <c r="IB37" s="2883"/>
      <c r="IC37" s="2883"/>
      <c r="ID37" s="2883"/>
      <c r="IE37" s="2883"/>
      <c r="IF37" s="2883"/>
      <c r="IG37" s="2883"/>
      <c r="IH37" s="2883"/>
      <c r="II37" s="2883"/>
      <c r="IJ37" s="2883"/>
      <c r="IK37" s="2883"/>
      <c r="IL37" s="2883"/>
      <c r="IM37" s="2883"/>
      <c r="IN37" s="2883"/>
      <c r="IO37" s="2603">
        <f>MAX(0,IO35-IO36)</f>
        <v>0</v>
      </c>
      <c r="IP37" s="2883"/>
      <c r="IQ37" s="2883"/>
      <c r="IR37" s="2883"/>
      <c r="IS37" s="4010"/>
      <c r="IT37" s="3999"/>
      <c r="IU37" s="3999"/>
      <c r="IV37" s="3999"/>
      <c r="IW37" s="3999"/>
      <c r="IX37" s="3999"/>
      <c r="IY37" s="3999"/>
      <c r="IZ37" s="2883"/>
      <c r="JA37" s="4010">
        <v>0</v>
      </c>
      <c r="JB37" s="4010">
        <v>0</v>
      </c>
      <c r="JC37" s="2883"/>
      <c r="JD37" s="2883"/>
      <c r="JE37" s="2883"/>
      <c r="JF37" s="2883"/>
      <c r="JG37" s="2605">
        <f>MAX(0,JG35-JG36)</f>
        <v>0</v>
      </c>
      <c r="JH37" s="1233"/>
      <c r="JI37" s="1393" t="s">
        <v>5692</v>
      </c>
      <c r="JJ37" s="1686" t="s">
        <v>6124</v>
      </c>
    </row>
    <row ht="56.25" r="38" spans="1:270" x14ac:dyDescent="0.2">
      <c r="A38" s="1128">
        <v>38</v>
      </c>
      <c r="B38" s="1534" t="str">
        <f si="1" t="shared"/>
        <v/>
      </c>
      <c r="C38" s="1549" t="s">
        <v>3461</v>
      </c>
      <c r="D38" s="1550" t="s">
        <v>5710</v>
      </c>
      <c r="E38" s="2609"/>
      <c r="F38" s="2610">
        <f>MAX(0,(F27+F28+F29+F30+F34)-(F24+F31+F32))</f>
        <v>0</v>
      </c>
      <c r="G38" s="2609"/>
      <c r="H38" s="2609"/>
      <c r="I38" s="2609"/>
      <c r="J38" s="2609"/>
      <c r="K38" s="2609"/>
      <c r="L38" s="2609"/>
      <c r="M38" s="2610">
        <f>MAX(0,(M27+M28+M29+M30+M34)-(M24+M31+M32))</f>
        <v>0</v>
      </c>
      <c r="N38" s="2609"/>
      <c r="O38" s="2610">
        <f>MAX(0,(O27+O28+O29+O30+O34)-(O24+O31+O32))</f>
        <v>0</v>
      </c>
      <c r="P38" s="2609"/>
      <c r="Q38" s="2610">
        <f>MAX(0,(Q27+Q28+Q29+Q30+Q34)-(Q24+Q31+Q32))</f>
        <v>0</v>
      </c>
      <c r="R38" s="2609"/>
      <c r="S38" s="2609"/>
      <c r="T38" s="2610">
        <f>MAX(0,(T27+T28+T29+T30+T34)-(T24+T31+T32))</f>
        <v>0</v>
      </c>
      <c r="U38" s="2610">
        <f>MAX(0,(U27+U28+U29+U30+U34)-(U24+U31+U32))</f>
        <v>0</v>
      </c>
      <c r="V38" s="2609"/>
      <c r="W38" s="2609"/>
      <c r="X38" s="2609"/>
      <c r="Y38" s="2609"/>
      <c r="Z38" s="2609"/>
      <c r="AA38" s="2610">
        <f>MAX(0,(AA27+AA28+AA29+AA30+AA34)-(AA24+AA31+AA32))</f>
        <v>0</v>
      </c>
      <c r="AB38" s="2609"/>
      <c r="AC38" s="2610">
        <f>MAX(0,(AC27+AC28+AC29+AC30+AC34)-(AC24+AC31+AC32))</f>
        <v>0</v>
      </c>
      <c r="AD38" s="2610"/>
      <c r="AE38" s="2610"/>
      <c r="AF38" s="2610"/>
      <c r="AG38" s="2610"/>
      <c r="AH38" s="2610"/>
      <c r="AI38" s="2610">
        <f>MAX(0,(AI27+AI28+AI29+AI30+AI34)-(AI24+AI31+AI32))</f>
        <v>0</v>
      </c>
      <c r="AJ38" s="2933"/>
      <c r="AK38" s="2609"/>
      <c r="AL38" s="2609"/>
      <c r="AM38" s="2609"/>
      <c r="AN38" s="2609"/>
      <c r="AO38" s="2609"/>
      <c r="AP38" s="2609"/>
      <c r="AQ38" s="2609"/>
      <c r="AR38" s="2610">
        <f>MAX(0,(AR27+AR28+AR29+AR30+AR34)-(AR24+AR31+AR32))</f>
        <v>0</v>
      </c>
      <c r="AS38" s="2609"/>
      <c r="AT38" s="2609"/>
      <c r="AU38" s="2609"/>
      <c r="AV38" s="2609"/>
      <c r="AW38" s="2610">
        <f>MAX(0,(AW27+AW28+AW29+AW30+AW34)-(AW24+AW31+AW32))</f>
        <v>0</v>
      </c>
      <c r="AX38" s="2609"/>
      <c r="AY38" s="2610">
        <f>MAX(0,(AY27+AY28+AY29+AY30+AY34)-(AY24+AY31+AY32))</f>
        <v>0</v>
      </c>
      <c r="AZ38" s="2610">
        <f>MAX(0,(AZ27+AZ28+AZ29+AZ30+AZ34)-(AZ24+AZ31+AZ32))</f>
        <v>0</v>
      </c>
      <c r="BA38" s="2609"/>
      <c r="BB38" s="2609"/>
      <c r="BC38" s="2609"/>
      <c r="BD38" s="2610">
        <f>MAX(0,(BD27+BD28+BD29+BD30+BD34)-(BD24+BD31+BD32))</f>
        <v>0</v>
      </c>
      <c r="BE38" s="2604"/>
      <c r="BF38" s="2604"/>
      <c r="BG38" s="2610">
        <f>MAX(0,(BG27+BG28+BG29+BG30+BG34)-(BG24+BG31+BG32))</f>
        <v>0</v>
      </c>
      <c r="BH38" s="2604"/>
      <c r="BI38" s="3972"/>
      <c r="BJ38" s="2604"/>
      <c r="BK38" s="3732">
        <f>MAX(0,(BK27+BK28+BK29+BK30+BK34)-(BK24+BK31+BK32))</f>
        <v>0</v>
      </c>
      <c r="BL38" s="2604"/>
      <c r="BM38" s="2604"/>
      <c r="BN38" s="2604"/>
      <c r="BO38" s="2604"/>
      <c r="BP38" s="2604"/>
      <c r="BQ38" s="2604"/>
      <c r="BR38" s="2604"/>
      <c r="BS38" s="2604"/>
      <c r="BT38" s="2610">
        <f>MAX(0,(BT27+BT28+BT29+BT30+BT34)-(BT24+BT31+BT32))</f>
        <v>0</v>
      </c>
      <c r="BU38" s="2604"/>
      <c r="BV38" s="2610">
        <f>MAX(0,(BV27+BV28+BV29+BV30+BV34)-(BV24+BV31+BV32))</f>
        <v>0</v>
      </c>
      <c r="BW38" s="2604"/>
      <c r="BX38" s="2610">
        <f>MAX(0,(BX27+BX28+BX29+BX30+BX34)-(BX24+BX31+BX32))</f>
        <v>0</v>
      </c>
      <c r="BY38" s="2604"/>
      <c r="BZ38" s="2604"/>
      <c r="CA38" s="2604"/>
      <c r="CB38" s="2883"/>
      <c r="CC38" s="2610">
        <f>MAX(0,(CC27+CC28+CC29+CC30+CC34)-(CC24+CC31+CC32))</f>
        <v>0</v>
      </c>
      <c r="CD38" s="2610">
        <f>MAX(0,(CD27+CD28+CD29+CD30+CD34)-(CD24+CD31+CD32))</f>
        <v>0</v>
      </c>
      <c r="CE38" s="2883"/>
      <c r="CF38" s="2883"/>
      <c r="CG38" s="2883"/>
      <c r="CH38" s="2610">
        <f>MAX(0,(CH27+CH28+CH29+CH30+CH34)-(CH24+CH31+CH32))</f>
        <v>0</v>
      </c>
      <c r="CI38" s="2610">
        <f>MAX(0,(CI27+CI28+CI29+CI30+CI34)-(CI24+CI31+CI32))</f>
        <v>0</v>
      </c>
      <c r="CJ38" s="2883"/>
      <c r="CK38" s="2883"/>
      <c r="CL38" s="2883"/>
      <c r="CM38" s="2883"/>
      <c r="CN38" s="2883"/>
      <c r="CO38" s="2883"/>
      <c r="CP38" s="2883"/>
      <c r="CQ38" s="2610">
        <f>MAX(0,(CQ27+CQ28+CQ29+CQ30+CQ34)-(CQ24+CQ31+CQ32))</f>
        <v>0</v>
      </c>
      <c r="CR38" s="2610">
        <f>MAX(0,(CR27+CR28+CR29+CR30+CR34)-(CR24+CR31+CR32))</f>
        <v>0</v>
      </c>
      <c r="CS38" s="2610">
        <f>MAX(0,(CS27+CS28+CS29+CS30+CS34)-(CS24+CS31+CS32))</f>
        <v>0</v>
      </c>
      <c r="CT38" s="2610">
        <f>MAX(0,(CT27+CT28+CT29+CT30+CT34)-(CT24+CT31+CT32))</f>
        <v>0</v>
      </c>
      <c r="CU38" s="2883"/>
      <c r="CV38" s="2610">
        <f>MAX(0,(CV27+CV28+CV29+CV30+CV34)-(CV24+CV31+CV32))</f>
        <v>0</v>
      </c>
      <c r="CW38" s="2883"/>
      <c r="CX38" s="2883"/>
      <c r="CY38" s="2883"/>
      <c r="CZ38" s="2610">
        <f>MAX(0,(CZ27+CZ28+CZ29+CZ30+CZ34)-(CZ24+CZ31+CZ32))</f>
        <v>0</v>
      </c>
      <c r="DA38" s="2610">
        <f>MAX(0,(DA27+DA28+DA29+DA30+DA34)-(DA24+DA31+DA32))</f>
        <v>0</v>
      </c>
      <c r="DB38" s="3732">
        <f>MAX(0,(DB27+DB28+DB29+DB30+DB34)-(DB24+DB31+DB32))</f>
        <v>0</v>
      </c>
      <c r="DC38" s="2610">
        <f>MAX(0,(DC27+DC28+DC29+DC30+DC34)-(DC24+DC31+DC32))</f>
        <v>0</v>
      </c>
      <c r="DD38" s="2883"/>
      <c r="DE38" s="2883"/>
      <c r="DF38" s="2883"/>
      <c r="DG38" s="2883"/>
      <c r="DH38" s="2883"/>
      <c r="DI38" s="2610">
        <f>MAX(0,(DI27+DI28+DI29+DI30+DI34)-(DI24+DI31+DI32))</f>
        <v>0</v>
      </c>
      <c r="DJ38" s="2883"/>
      <c r="DK38" s="2883"/>
      <c r="DL38" s="2610">
        <f>MAX(0,(DL27+DL28+DL29+DL30+DL34)-(DL24+DL31+DL32))</f>
        <v>0</v>
      </c>
      <c r="DM38" s="2610">
        <f>MAX(0,(DM27+DM28+DM29+DM30+DM34)-(DM24+DM31+DM32))</f>
        <v>0</v>
      </c>
      <c r="DN38" s="2883"/>
      <c r="DO38" s="2883"/>
      <c r="DP38" s="2883"/>
      <c r="DQ38" s="2883"/>
      <c r="DR38" s="2610">
        <f>MAX(0,(DR27+DR28+DR29+DR30+DR34)-(DR24+DR31+DR32))</f>
        <v>0</v>
      </c>
      <c r="DS38" s="2883"/>
      <c r="DT38" s="2883"/>
      <c r="DU38" s="2883"/>
      <c r="DV38" s="2883"/>
      <c r="DW38" s="2883"/>
      <c r="DX38" s="2883"/>
      <c r="DY38" s="2883"/>
      <c r="DZ38" s="2883"/>
      <c r="EA38" s="2883"/>
      <c r="EB38" s="2883"/>
      <c r="EC38" s="2883"/>
      <c r="ED38" s="2883"/>
      <c r="EE38" s="2883"/>
      <c r="EF38" s="2883"/>
      <c r="EG38" s="2883"/>
      <c r="EH38" s="2883"/>
      <c r="EI38" s="2883"/>
      <c r="EJ38" s="2610">
        <f>MAX(0,(EJ27+EJ28+EJ29+EJ30+EJ34)-(EJ24+EJ31+EJ32))</f>
        <v>0</v>
      </c>
      <c r="EK38" s="2883"/>
      <c r="EL38" s="2883"/>
      <c r="EM38" s="2883"/>
      <c r="EN38" s="2610">
        <f>MAX(0,(EN27+EN28+EN29+EN30+EN34)-(EN24+EN31+EN32))</f>
        <v>0</v>
      </c>
      <c r="EO38" s="2883"/>
      <c r="EP38" s="2883"/>
      <c r="EQ38" s="2883"/>
      <c r="ER38" s="2883"/>
      <c r="ES38" s="2883"/>
      <c r="ET38" s="2883"/>
      <c r="EU38" s="2610">
        <f>MAX(0,(EU27+EU28+EU29+EU30+EU34)-(EU24+EU31+EU32))</f>
        <v>0</v>
      </c>
      <c r="EV38" s="2883"/>
      <c r="EW38" s="2883"/>
      <c r="EX38" s="2883"/>
      <c r="EY38" s="2883"/>
      <c r="EZ38" s="2883"/>
      <c r="FA38" s="2883"/>
      <c r="FB38" s="2883"/>
      <c r="FC38" s="2883"/>
      <c r="FD38" s="2883"/>
      <c r="FE38" s="2883"/>
      <c r="FF38" s="2610">
        <f>MAX(0,(FF27+FF28+FF29+FF30+FF34)-(FF24+FF31+FF32))</f>
        <v>0</v>
      </c>
      <c r="FG38" s="2883"/>
      <c r="FH38" s="2883"/>
      <c r="FI38" s="2883"/>
      <c r="FJ38" s="2883"/>
      <c r="FK38" s="2883"/>
      <c r="FL38" s="2883"/>
      <c r="FM38" s="2883"/>
      <c r="FN38" s="2883"/>
      <c r="FO38" s="2883"/>
      <c r="FP38" s="2883"/>
      <c r="FQ38" s="2883"/>
      <c r="FR38" s="2883"/>
      <c r="FS38" s="2883"/>
      <c r="FT38" s="2610">
        <f>MAX(0,(FT27+FT28+FT29+FT30+FT34)-(FT24+FT31+FT32))</f>
        <v>0</v>
      </c>
      <c r="FU38" s="2610">
        <f>MAX(0,(FU27+FU28+FU29+FU30+FU34)-(FU24+FU31+FU32))</f>
        <v>0</v>
      </c>
      <c r="FV38" s="2610">
        <f>MAX(0,(FV27+FV28+FV29+FV30+FV34)-(FV24+FV31+FV32))</f>
        <v>0</v>
      </c>
      <c r="FW38" s="2883"/>
      <c r="FX38" s="2610">
        <f>MAX(0,(FX27+FX28+FX29+FX30+FX34)-(FX24+FX31+FX32))</f>
        <v>0</v>
      </c>
      <c r="FY38" s="2883"/>
      <c r="FZ38" s="2883"/>
      <c r="GA38" s="2883"/>
      <c r="GB38" s="2883"/>
      <c r="GC38" s="2883"/>
      <c r="GD38" s="2883"/>
      <c r="GE38" s="2610">
        <f>MAX(0,(GE27+GE28+GE29+GE30+GE34)-(GE24+GE31+GE32))</f>
        <v>0</v>
      </c>
      <c r="GF38" s="2610">
        <f>MAX(0,(GF27+GF28+GF29+GF30+GF34)-(GF24+GF31+GF32))</f>
        <v>0</v>
      </c>
      <c r="GG38" s="2610">
        <f>MAX(0,(GG27+GG28+GG29+GG30+GG34)-(GG24+GG31+GG32))</f>
        <v>0</v>
      </c>
      <c r="GH38" s="2883"/>
      <c r="GI38" s="2883"/>
      <c r="GJ38" s="2610">
        <f>MAX(0,(GJ27+GJ28+GJ29+GJ30+GJ34)-(GJ24+GJ31+GJ32))</f>
        <v>0</v>
      </c>
      <c r="GK38" s="2883"/>
      <c r="GL38" s="2883"/>
      <c r="GM38" s="2883"/>
      <c r="GN38" s="2883"/>
      <c r="GO38" s="2883"/>
      <c r="GP38" s="2883"/>
      <c r="GQ38" s="2883"/>
      <c r="GR38" s="2883"/>
      <c r="GS38" s="2883"/>
      <c r="GT38" s="2883"/>
      <c r="GU38" s="2883"/>
      <c r="GV38" s="2883"/>
      <c r="GW38" s="2610">
        <f>MAX(0,(GW27+GW28+GW29+GW30+GW34)-(GW24+GW31+GW32))</f>
        <v>0</v>
      </c>
      <c r="GX38" s="2610">
        <f>MAX(0,(GX27+GX28+GX29+GX30+GX34)-(GX24+GX31+GX32))</f>
        <v>0</v>
      </c>
      <c r="GY38" s="2883"/>
      <c r="GZ38" s="2883"/>
      <c r="HA38" s="2883"/>
      <c r="HB38" s="2610">
        <f>MAX(0,(HB27+HB28+HB29+HB30+HB34)-(HB24+HB31+HB32))</f>
        <v>0</v>
      </c>
      <c r="HC38" s="2883"/>
      <c r="HD38" s="2610">
        <f>MAX(0,(HD27+HD28+HD29+HD30+HD34)-(HD24+HD31+HD32))</f>
        <v>0</v>
      </c>
      <c r="HE38" s="2883"/>
      <c r="HF38" s="2610">
        <f>MAX(0,(HF27+HF28+HF29+HF30+HF34)-(HF24+HF31+HF32))</f>
        <v>0</v>
      </c>
      <c r="HG38" s="2610">
        <f>MAX(0,(HG27+HG28+HG29+HG30+HG34)-(HG24+HG31+HG32))</f>
        <v>0</v>
      </c>
      <c r="HH38" s="2883"/>
      <c r="HI38" s="2883"/>
      <c r="HJ38" s="2883"/>
      <c r="HK38" s="2883"/>
      <c r="HL38" s="2883"/>
      <c r="HM38" s="2883"/>
      <c r="HN38" s="2883"/>
      <c r="HO38" s="2883"/>
      <c r="HP38" s="2883"/>
      <c r="HQ38" s="2883"/>
      <c r="HR38" s="2883"/>
      <c r="HS38" s="2610">
        <f>MAX(0,(HS27+HS28+HS29+HS30+HS34)-(HS24+HS31+HS32))</f>
        <v>0</v>
      </c>
      <c r="HT38" s="2883"/>
      <c r="HU38" s="2883"/>
      <c r="HV38" s="2883"/>
      <c r="HW38" s="2883"/>
      <c r="HX38" s="2883"/>
      <c r="HY38" s="2883"/>
      <c r="HZ38" s="2883"/>
      <c r="IA38" s="2883"/>
      <c r="IB38" s="2883"/>
      <c r="IC38" s="2883"/>
      <c r="ID38" s="2883"/>
      <c r="IE38" s="2883"/>
      <c r="IF38" s="2883"/>
      <c r="IG38" s="2883"/>
      <c r="IH38" s="2883"/>
      <c r="II38" s="2883"/>
      <c r="IJ38" s="2883"/>
      <c r="IK38" s="2883"/>
      <c r="IL38" s="2883"/>
      <c r="IM38" s="2883"/>
      <c r="IN38" s="2883"/>
      <c r="IO38" s="2610">
        <f>MAX(0,(IO27+IO28+IO29+IO30+IO34)-(IO24+IO31+IO32))</f>
        <v>0</v>
      </c>
      <c r="IP38" s="2883"/>
      <c r="IQ38" s="2883"/>
      <c r="IR38" s="2883"/>
      <c r="IS38" s="4012"/>
      <c r="IT38" s="3999"/>
      <c r="IU38" s="3999"/>
      <c r="IV38" s="3999"/>
      <c r="IW38" s="3999"/>
      <c r="IX38" s="3999"/>
      <c r="IY38" s="3999"/>
      <c r="IZ38" s="2883"/>
      <c r="JA38" s="4012">
        <v>0</v>
      </c>
      <c r="JB38" s="4012">
        <v>0</v>
      </c>
      <c r="JC38" s="2883"/>
      <c r="JD38" s="2883"/>
      <c r="JE38" s="2883"/>
      <c r="JF38" s="2883"/>
      <c r="JG38" s="2605">
        <f>MAX(0,(JG27+JG28+JG29+JG30+JG34)-(JG24+JG31+JG32))</f>
        <v>0</v>
      </c>
      <c r="JH38" s="1233"/>
      <c r="JI38" s="1393" t="s">
        <v>6564</v>
      </c>
      <c r="JJ38" s="1686" t="s">
        <v>6124</v>
      </c>
    </row>
    <row r="39" spans="1:270" x14ac:dyDescent="0.2">
      <c r="A39" s="1128">
        <v>39</v>
      </c>
      <c r="B39" s="1534" t="str">
        <f si="1" t="shared"/>
        <v/>
      </c>
      <c r="C39" s="1549" t="s">
        <v>3462</v>
      </c>
      <c r="D39" s="1550" t="s">
        <v>5711</v>
      </c>
      <c r="E39" s="2609"/>
      <c r="F39" s="2609"/>
      <c r="G39" s="2609"/>
      <c r="H39" s="2609"/>
      <c r="I39" s="2609"/>
      <c r="J39" s="2609"/>
      <c r="K39" s="2609"/>
      <c r="L39" s="2609"/>
      <c r="M39" s="2609"/>
      <c r="N39" s="2609"/>
      <c r="O39" s="2609"/>
      <c r="P39" s="2609"/>
      <c r="Q39" s="2609"/>
      <c r="R39" s="2609"/>
      <c r="S39" s="2609"/>
      <c r="T39" s="2609"/>
      <c r="U39" s="2609"/>
      <c r="V39" s="2609"/>
      <c r="W39" s="2609"/>
      <c r="X39" s="2609"/>
      <c r="Y39" s="2609"/>
      <c r="Z39" s="2609"/>
      <c r="AA39" s="2609"/>
      <c r="AB39" s="2609"/>
      <c r="AC39" s="2609"/>
      <c r="AD39" s="2609"/>
      <c r="AE39" s="2609"/>
      <c r="AF39" s="2609"/>
      <c r="AG39" s="2609"/>
      <c r="AH39" s="2609"/>
      <c r="AI39" s="2609"/>
      <c r="AJ39" s="2933"/>
      <c r="AK39" s="2609"/>
      <c r="AL39" s="2609"/>
      <c r="AM39" s="2609"/>
      <c r="AN39" s="2609"/>
      <c r="AO39" s="2609"/>
      <c r="AP39" s="2609"/>
      <c r="AQ39" s="2609"/>
      <c r="AR39" s="2609"/>
      <c r="AS39" s="2609"/>
      <c r="AT39" s="2609"/>
      <c r="AU39" s="2609"/>
      <c r="AV39" s="2609"/>
      <c r="AW39" s="2609"/>
      <c r="AX39" s="2609"/>
      <c r="AY39" s="2609"/>
      <c r="AZ39" s="2609"/>
      <c r="BA39" s="2609"/>
      <c r="BB39" s="2609"/>
      <c r="BC39" s="2609"/>
      <c r="BD39" s="2609"/>
      <c r="BE39" s="2612"/>
      <c r="BF39" s="2612"/>
      <c r="BG39" s="2609"/>
      <c r="BH39" s="2612"/>
      <c r="BI39" s="3974"/>
      <c r="BJ39" s="2612"/>
      <c r="BK39" s="3732"/>
      <c r="BL39" s="2612"/>
      <c r="BM39" s="2612"/>
      <c r="BN39" s="2612"/>
      <c r="BO39" s="2612"/>
      <c r="BP39" s="2612"/>
      <c r="BQ39" s="2612"/>
      <c r="BR39" s="2612"/>
      <c r="BS39" s="2612"/>
      <c r="BT39" s="2609"/>
      <c r="BU39" s="2612"/>
      <c r="BV39" s="2609"/>
      <c r="BW39" s="2612"/>
      <c r="BX39" s="2609"/>
      <c r="BY39" s="2612"/>
      <c r="BZ39" s="2612"/>
      <c r="CA39" s="2612"/>
      <c r="CB39" s="2885"/>
      <c r="CC39" s="2609"/>
      <c r="CD39" s="2609"/>
      <c r="CE39" s="2885"/>
      <c r="CF39" s="2885"/>
      <c r="CG39" s="2885"/>
      <c r="CH39" s="2609"/>
      <c r="CI39" s="2609"/>
      <c r="CJ39" s="2885"/>
      <c r="CK39" s="2885"/>
      <c r="CL39" s="2885"/>
      <c r="CM39" s="2885"/>
      <c r="CN39" s="2885"/>
      <c r="CO39" s="2885"/>
      <c r="CP39" s="2885"/>
      <c r="CQ39" s="2609"/>
      <c r="CR39" s="2609"/>
      <c r="CS39" s="2609"/>
      <c r="CT39" s="2609"/>
      <c r="CU39" s="2885"/>
      <c r="CV39" s="2609"/>
      <c r="CW39" s="2885"/>
      <c r="CX39" s="2885"/>
      <c r="CY39" s="2885"/>
      <c r="CZ39" s="2609"/>
      <c r="DA39" s="2609"/>
      <c r="DB39" s="3732"/>
      <c r="DC39" s="2609"/>
      <c r="DD39" s="2885"/>
      <c r="DE39" s="2885"/>
      <c r="DF39" s="2885"/>
      <c r="DG39" s="2885"/>
      <c r="DH39" s="2885"/>
      <c r="DI39" s="2609"/>
      <c r="DJ39" s="2885"/>
      <c r="DK39" s="2885"/>
      <c r="DL39" s="2609"/>
      <c r="DM39" s="2609"/>
      <c r="DN39" s="2885"/>
      <c r="DO39" s="2885"/>
      <c r="DP39" s="2885"/>
      <c r="DQ39" s="2885"/>
      <c r="DR39" s="2609"/>
      <c r="DS39" s="2885"/>
      <c r="DT39" s="2885"/>
      <c r="DU39" s="2885"/>
      <c r="DV39" s="2885"/>
      <c r="DW39" s="2885"/>
      <c r="DX39" s="2885"/>
      <c r="DY39" s="2885"/>
      <c r="DZ39" s="2885"/>
      <c r="EA39" s="2885"/>
      <c r="EB39" s="2885"/>
      <c r="EC39" s="2885"/>
      <c r="ED39" s="2885"/>
      <c r="EE39" s="2885"/>
      <c r="EF39" s="2885"/>
      <c r="EG39" s="2885"/>
      <c r="EH39" s="2885"/>
      <c r="EI39" s="2885"/>
      <c r="EJ39" s="2609"/>
      <c r="EK39" s="2885"/>
      <c r="EL39" s="2885"/>
      <c r="EM39" s="2885"/>
      <c r="EN39" s="2609"/>
      <c r="EO39" s="2885"/>
      <c r="EP39" s="2885"/>
      <c r="EQ39" s="2885"/>
      <c r="ER39" s="2885"/>
      <c r="ES39" s="2885"/>
      <c r="ET39" s="2885"/>
      <c r="EU39" s="2609"/>
      <c r="EV39" s="2885"/>
      <c r="EW39" s="2885"/>
      <c r="EX39" s="2885"/>
      <c r="EY39" s="2885"/>
      <c r="EZ39" s="2885"/>
      <c r="FA39" s="2885"/>
      <c r="FB39" s="2885"/>
      <c r="FC39" s="2885"/>
      <c r="FD39" s="2885"/>
      <c r="FE39" s="2885"/>
      <c r="FF39" s="2609"/>
      <c r="FG39" s="2885"/>
      <c r="FH39" s="2885"/>
      <c r="FI39" s="2885"/>
      <c r="FJ39" s="2885"/>
      <c r="FK39" s="2885"/>
      <c r="FL39" s="2885"/>
      <c r="FM39" s="2885"/>
      <c r="FN39" s="2885"/>
      <c r="FO39" s="2885"/>
      <c r="FP39" s="2885"/>
      <c r="FQ39" s="2885"/>
      <c r="FR39" s="2885"/>
      <c r="FS39" s="2885"/>
      <c r="FT39" s="2609"/>
      <c r="FU39" s="2609"/>
      <c r="FV39" s="2609"/>
      <c r="FW39" s="2885"/>
      <c r="FX39" s="2609"/>
      <c r="FY39" s="2885"/>
      <c r="FZ39" s="2885"/>
      <c r="GA39" s="2885"/>
      <c r="GB39" s="2885"/>
      <c r="GC39" s="2885"/>
      <c r="GD39" s="2885"/>
      <c r="GE39" s="2609"/>
      <c r="GF39" s="2609"/>
      <c r="GG39" s="2609"/>
      <c r="GH39" s="2885"/>
      <c r="GI39" s="2885"/>
      <c r="GJ39" s="2609"/>
      <c r="GK39" s="2885"/>
      <c r="GL39" s="2885"/>
      <c r="GM39" s="2885"/>
      <c r="GN39" s="2885"/>
      <c r="GO39" s="2885"/>
      <c r="GP39" s="2885"/>
      <c r="GQ39" s="2885"/>
      <c r="GR39" s="2885"/>
      <c r="GS39" s="2885"/>
      <c r="GT39" s="2885"/>
      <c r="GU39" s="2885"/>
      <c r="GV39" s="2885"/>
      <c r="GW39" s="2609"/>
      <c r="GX39" s="2609"/>
      <c r="GY39" s="2885"/>
      <c r="GZ39" s="2885"/>
      <c r="HA39" s="2885"/>
      <c r="HB39" s="2609"/>
      <c r="HC39" s="2885"/>
      <c r="HD39" s="2609"/>
      <c r="HE39" s="2885"/>
      <c r="HF39" s="2609"/>
      <c r="HG39" s="2609"/>
      <c r="HH39" s="2885"/>
      <c r="HI39" s="2885"/>
      <c r="HJ39" s="2885"/>
      <c r="HK39" s="2885"/>
      <c r="HL39" s="2885"/>
      <c r="HM39" s="2885"/>
      <c r="HN39" s="2885"/>
      <c r="HO39" s="2885"/>
      <c r="HP39" s="2885"/>
      <c r="HQ39" s="2885"/>
      <c r="HR39" s="2885"/>
      <c r="HS39" s="2609"/>
      <c r="HT39" s="2885"/>
      <c r="HU39" s="2885"/>
      <c r="HV39" s="2885"/>
      <c r="HW39" s="2885"/>
      <c r="HX39" s="2885"/>
      <c r="HY39" s="2885"/>
      <c r="HZ39" s="2885"/>
      <c r="IA39" s="2885"/>
      <c r="IB39" s="2885"/>
      <c r="IC39" s="2885"/>
      <c r="ID39" s="2885"/>
      <c r="IE39" s="2885"/>
      <c r="IF39" s="2885"/>
      <c r="IG39" s="2885"/>
      <c r="IH39" s="2885"/>
      <c r="II39" s="2885"/>
      <c r="IJ39" s="2885"/>
      <c r="IK39" s="2885"/>
      <c r="IL39" s="2885"/>
      <c r="IM39" s="2885"/>
      <c r="IN39" s="2885"/>
      <c r="IO39" s="2612"/>
      <c r="IP39" s="2885"/>
      <c r="IQ39" s="2885"/>
      <c r="IR39" s="2885"/>
      <c r="IS39" s="4012"/>
      <c r="IT39" s="4001"/>
      <c r="IU39" s="4001"/>
      <c r="IV39" s="4001"/>
      <c r="IW39" s="4001"/>
      <c r="IX39" s="4001"/>
      <c r="IY39" s="4001"/>
      <c r="IZ39" s="2885"/>
      <c r="JA39" s="4001"/>
      <c r="JB39" s="4001"/>
      <c r="JC39" s="2885"/>
      <c r="JD39" s="2885"/>
      <c r="JE39" s="2885"/>
      <c r="JF39" s="2885"/>
      <c r="JG39" s="2613"/>
      <c r="JH39" s="1233"/>
      <c r="JI39" s="1393"/>
      <c r="JJ39" s="1686" t="s">
        <v>6124</v>
      </c>
    </row>
    <row ht="33.75" r="40" spans="1:270" x14ac:dyDescent="0.2">
      <c r="A40" s="1128">
        <v>40</v>
      </c>
      <c r="B40" s="1534" t="str">
        <f si="1" t="shared"/>
        <v/>
      </c>
      <c r="C40" s="1549" t="s">
        <v>3463</v>
      </c>
      <c r="D40" s="1550" t="s">
        <v>5712</v>
      </c>
      <c r="E40" s="2599"/>
      <c r="F40" s="2474"/>
      <c r="G40" s="2474"/>
      <c r="H40" s="2474"/>
      <c r="I40" s="2474"/>
      <c r="J40" s="2474"/>
      <c r="K40" s="2474"/>
      <c r="L40" s="2474"/>
      <c r="M40" s="2474"/>
      <c r="N40" s="2599"/>
      <c r="O40" s="2474"/>
      <c r="P40" s="2474"/>
      <c r="Q40" s="2474"/>
      <c r="R40" s="2474"/>
      <c r="S40" s="2474"/>
      <c r="T40" s="2474"/>
      <c r="U40" s="2474"/>
      <c r="V40" s="2474"/>
      <c r="W40" s="2474"/>
      <c r="X40" s="2474"/>
      <c r="Y40" s="2474"/>
      <c r="Z40" s="2474"/>
      <c r="AA40" s="2474"/>
      <c r="AB40" s="2474"/>
      <c r="AC40" s="2474"/>
      <c r="AD40" s="2474"/>
      <c r="AE40" s="2474"/>
      <c r="AF40" s="2474"/>
      <c r="AG40" s="2474"/>
      <c r="AH40" s="2474"/>
      <c r="AI40" s="2474"/>
      <c r="AJ40" s="2379"/>
      <c r="AK40" s="2474"/>
      <c r="AL40" s="2474"/>
      <c r="AM40" s="2474"/>
      <c r="AN40" s="2474"/>
      <c r="AO40" s="2474"/>
      <c r="AP40" s="2474"/>
      <c r="AQ40" s="2474"/>
      <c r="AR40" s="2474"/>
      <c r="AS40" s="2474"/>
      <c r="AT40" s="2474"/>
      <c r="AU40" s="2474"/>
      <c r="AV40" s="2474"/>
      <c r="AW40" s="2474"/>
      <c r="AX40" s="2474"/>
      <c r="AY40" s="2474"/>
      <c r="AZ40" s="2474"/>
      <c r="BA40" s="2474"/>
      <c r="BB40" s="2474"/>
      <c r="BC40" s="2474"/>
      <c r="BD40" s="2474"/>
      <c r="BE40" s="2614"/>
      <c r="BF40" s="2614"/>
      <c r="BG40" s="2474"/>
      <c r="BH40" s="2614"/>
      <c r="BI40" s="3975"/>
      <c r="BJ40" s="2614"/>
      <c r="BK40" s="3729"/>
      <c r="BL40" s="2614"/>
      <c r="BM40" s="2614"/>
      <c r="BN40" s="2614"/>
      <c r="BO40" s="2614"/>
      <c r="BP40" s="2614"/>
      <c r="BQ40" s="2614"/>
      <c r="BR40" s="2614"/>
      <c r="BS40" s="2614"/>
      <c r="BT40" s="2474"/>
      <c r="BU40" s="2614"/>
      <c r="BV40" s="2474"/>
      <c r="BW40" s="2614"/>
      <c r="BX40" s="2474"/>
      <c r="BY40" s="2614"/>
      <c r="BZ40" s="2614"/>
      <c r="CA40" s="2614"/>
      <c r="CB40" s="2886"/>
      <c r="CC40" s="2474"/>
      <c r="CD40" s="2474"/>
      <c r="CE40" s="2886"/>
      <c r="CF40" s="2886"/>
      <c r="CG40" s="2886"/>
      <c r="CH40" s="2474"/>
      <c r="CI40" s="2474"/>
      <c r="CJ40" s="2886"/>
      <c r="CK40" s="2886"/>
      <c r="CL40" s="2886"/>
      <c r="CM40" s="2886"/>
      <c r="CN40" s="2886"/>
      <c r="CO40" s="2886"/>
      <c r="CP40" s="2886"/>
      <c r="CQ40" s="2474"/>
      <c r="CR40" s="2474"/>
      <c r="CS40" s="2474"/>
      <c r="CT40" s="2474"/>
      <c r="CU40" s="2886"/>
      <c r="CV40" s="2474"/>
      <c r="CW40" s="2886"/>
      <c r="CX40" s="2886"/>
      <c r="CY40" s="2886"/>
      <c r="CZ40" s="2474"/>
      <c r="DA40" s="2474"/>
      <c r="DB40" s="3729"/>
      <c r="DC40" s="2474"/>
      <c r="DD40" s="2886"/>
      <c r="DE40" s="2886"/>
      <c r="DF40" s="2886"/>
      <c r="DG40" s="2886"/>
      <c r="DH40" s="2886"/>
      <c r="DI40" s="2474"/>
      <c r="DJ40" s="2886"/>
      <c r="DK40" s="2886"/>
      <c r="DL40" s="2474"/>
      <c r="DM40" s="2474"/>
      <c r="DN40" s="2886"/>
      <c r="DO40" s="2886"/>
      <c r="DP40" s="2886"/>
      <c r="DQ40" s="2886"/>
      <c r="DR40" s="2474"/>
      <c r="DS40" s="2886"/>
      <c r="DT40" s="2886"/>
      <c r="DU40" s="2886"/>
      <c r="DV40" s="2886"/>
      <c r="DW40" s="2886"/>
      <c r="DX40" s="2886"/>
      <c r="DY40" s="2886"/>
      <c r="DZ40" s="2886"/>
      <c r="EA40" s="2886"/>
      <c r="EB40" s="2886"/>
      <c r="EC40" s="2886"/>
      <c r="ED40" s="2886"/>
      <c r="EE40" s="2886"/>
      <c r="EF40" s="2886"/>
      <c r="EG40" s="2886"/>
      <c r="EH40" s="2886"/>
      <c r="EI40" s="2886"/>
      <c r="EJ40" s="2474" t="s">
        <v>572</v>
      </c>
      <c r="EK40" s="2886"/>
      <c r="EL40" s="2886"/>
      <c r="EM40" s="2886"/>
      <c r="EN40" s="2474"/>
      <c r="EO40" s="2886"/>
      <c r="EP40" s="2886"/>
      <c r="EQ40" s="2886"/>
      <c r="ER40" s="2886"/>
      <c r="ES40" s="2886"/>
      <c r="ET40" s="2886"/>
      <c r="EU40" s="2474"/>
      <c r="EV40" s="2886"/>
      <c r="EW40" s="2886"/>
      <c r="EX40" s="2886"/>
      <c r="EY40" s="2886"/>
      <c r="EZ40" s="2886"/>
      <c r="FA40" s="2886"/>
      <c r="FB40" s="2886"/>
      <c r="FC40" s="2886"/>
      <c r="FD40" s="2886"/>
      <c r="FE40" s="2886"/>
      <c r="FF40" s="2474"/>
      <c r="FG40" s="2886"/>
      <c r="FH40" s="2886"/>
      <c r="FI40" s="2886"/>
      <c r="FJ40" s="2886"/>
      <c r="FK40" s="2886"/>
      <c r="FL40" s="2886"/>
      <c r="FM40" s="2886"/>
      <c r="FN40" s="2886"/>
      <c r="FO40" s="2886"/>
      <c r="FP40" s="2886"/>
      <c r="FQ40" s="2886"/>
      <c r="FR40" s="2886"/>
      <c r="FS40" s="2886"/>
      <c r="FT40" s="2474"/>
      <c r="FU40" s="2474"/>
      <c r="FV40" s="2474"/>
      <c r="FW40" s="2886"/>
      <c r="FX40" s="2474"/>
      <c r="FY40" s="2886"/>
      <c r="FZ40" s="2886"/>
      <c r="GA40" s="2886"/>
      <c r="GB40" s="2886"/>
      <c r="GC40" s="2886"/>
      <c r="GD40" s="2886"/>
      <c r="GE40" s="2474" t="s">
        <v>572</v>
      </c>
      <c r="GF40" s="2474" t="s">
        <v>572</v>
      </c>
      <c r="GG40" s="2474"/>
      <c r="GH40" s="2886"/>
      <c r="GI40" s="2886"/>
      <c r="GJ40" s="2474"/>
      <c r="GK40" s="2886"/>
      <c r="GL40" s="2886"/>
      <c r="GM40" s="2886"/>
      <c r="GN40" s="2886"/>
      <c r="GO40" s="2886"/>
      <c r="GP40" s="2886"/>
      <c r="GQ40" s="2886"/>
      <c r="GR40" s="2886"/>
      <c r="GS40" s="2886"/>
      <c r="GT40" s="2886"/>
      <c r="GU40" s="2886"/>
      <c r="GV40" s="2886"/>
      <c r="GW40" s="2474"/>
      <c r="GX40" s="2474"/>
      <c r="GY40" s="2886"/>
      <c r="GZ40" s="2886"/>
      <c r="HA40" s="2886"/>
      <c r="HB40" s="2474"/>
      <c r="HC40" s="2886"/>
      <c r="HD40" s="2474"/>
      <c r="HE40" s="2886"/>
      <c r="HF40" s="2474"/>
      <c r="HG40" s="2474"/>
      <c r="HH40" s="2886"/>
      <c r="HI40" s="2886"/>
      <c r="HJ40" s="2886"/>
      <c r="HK40" s="2886"/>
      <c r="HL40" s="2886"/>
      <c r="HM40" s="2886"/>
      <c r="HN40" s="2886"/>
      <c r="HO40" s="2886"/>
      <c r="HP40" s="2886"/>
      <c r="HQ40" s="2886"/>
      <c r="HR40" s="2886"/>
      <c r="HS40" s="2474"/>
      <c r="HT40" s="2886"/>
      <c r="HU40" s="2886"/>
      <c r="HV40" s="2886"/>
      <c r="HW40" s="2886"/>
      <c r="HX40" s="2886"/>
      <c r="HY40" s="2886"/>
      <c r="HZ40" s="2886"/>
      <c r="IA40" s="2886"/>
      <c r="IB40" s="2886"/>
      <c r="IC40" s="2886"/>
      <c r="ID40" s="2886"/>
      <c r="IE40" s="2886"/>
      <c r="IF40" s="2886"/>
      <c r="IG40" s="2886"/>
      <c r="IH40" s="2886"/>
      <c r="II40" s="2886"/>
      <c r="IJ40" s="2886"/>
      <c r="IK40" s="2886"/>
      <c r="IL40" s="2886"/>
      <c r="IM40" s="2886"/>
      <c r="IN40" s="2886"/>
      <c r="IO40" s="2614"/>
      <c r="IP40" s="2886"/>
      <c r="IQ40" s="2886"/>
      <c r="IR40" s="2886"/>
      <c r="IS40" s="4008"/>
      <c r="IT40" s="4002"/>
      <c r="IU40" s="4002"/>
      <c r="IV40" s="4002"/>
      <c r="IW40" s="4002"/>
      <c r="IX40" s="4002"/>
      <c r="IY40" s="4002"/>
      <c r="IZ40" s="2886"/>
      <c r="JA40" s="4002"/>
      <c r="JB40" s="4002"/>
      <c r="JC40" s="2886"/>
      <c r="JD40" s="2886"/>
      <c r="JE40" s="2886"/>
      <c r="JF40" s="2886"/>
      <c r="JG40" s="2600"/>
      <c r="JH40" s="1233"/>
      <c r="JI40" s="1393" t="s">
        <v>6571</v>
      </c>
      <c r="JJ40" s="1686" t="s">
        <v>6111</v>
      </c>
    </row>
    <row ht="13.5" r="41" spans="1:270" thickBot="1" x14ac:dyDescent="0.25">
      <c r="A41" s="1128">
        <v>41</v>
      </c>
      <c r="B41" s="1534" t="str">
        <f si="1" t="shared"/>
        <v/>
      </c>
      <c r="C41" s="1551" t="s">
        <v>3464</v>
      </c>
      <c r="D41" s="1552" t="s">
        <v>5713</v>
      </c>
      <c r="E41" s="2599"/>
      <c r="F41" s="2474"/>
      <c r="G41" s="2474"/>
      <c r="H41" s="2474"/>
      <c r="I41" s="2474"/>
      <c r="J41" s="2474"/>
      <c r="K41" s="2474"/>
      <c r="L41" s="2474"/>
      <c r="M41" s="2474"/>
      <c r="N41" s="2599"/>
      <c r="O41" s="2474"/>
      <c r="P41" s="2474"/>
      <c r="Q41" s="2474"/>
      <c r="R41" s="2474"/>
      <c r="S41" s="2474"/>
      <c r="T41" s="2474"/>
      <c r="U41" s="2474"/>
      <c r="V41" s="2474"/>
      <c r="W41" s="2474"/>
      <c r="X41" s="2474"/>
      <c r="Y41" s="2474"/>
      <c r="Z41" s="2474"/>
      <c r="AA41" s="2474"/>
      <c r="AB41" s="2474"/>
      <c r="AC41" s="2474"/>
      <c r="AD41" s="2474"/>
      <c r="AE41" s="2474"/>
      <c r="AF41" s="2474"/>
      <c r="AG41" s="2474"/>
      <c r="AH41" s="2474"/>
      <c r="AI41" s="2474"/>
      <c r="AJ41" s="2379"/>
      <c r="AK41" s="2474"/>
      <c r="AL41" s="2474"/>
      <c r="AM41" s="2474"/>
      <c r="AN41" s="2474"/>
      <c r="AO41" s="2474"/>
      <c r="AP41" s="2474"/>
      <c r="AQ41" s="2474"/>
      <c r="AR41" s="2474"/>
      <c r="AS41" s="2474"/>
      <c r="AT41" s="2474"/>
      <c r="AU41" s="2474"/>
      <c r="AV41" s="2474"/>
      <c r="AW41" s="2474"/>
      <c r="AX41" s="2474"/>
      <c r="AY41" s="2474"/>
      <c r="AZ41" s="2474"/>
      <c r="BA41" s="2474"/>
      <c r="BB41" s="2474"/>
      <c r="BC41" s="2474"/>
      <c r="BD41" s="2474"/>
      <c r="BE41" s="2614"/>
      <c r="BF41" s="2614"/>
      <c r="BG41" s="2474"/>
      <c r="BH41" s="2614"/>
      <c r="BI41" s="3975"/>
      <c r="BJ41" s="2614"/>
      <c r="BK41" s="3729"/>
      <c r="BL41" s="2614"/>
      <c r="BM41" s="2614"/>
      <c r="BN41" s="2614"/>
      <c r="BO41" s="2614"/>
      <c r="BP41" s="2614"/>
      <c r="BQ41" s="2614"/>
      <c r="BR41" s="2614"/>
      <c r="BS41" s="2614"/>
      <c r="BT41" s="2474"/>
      <c r="BU41" s="2614"/>
      <c r="BV41" s="2474"/>
      <c r="BW41" s="2614"/>
      <c r="BX41" s="2474"/>
      <c r="BY41" s="2614"/>
      <c r="BZ41" s="2614"/>
      <c r="CA41" s="2614"/>
      <c r="CB41" s="2886"/>
      <c r="CC41" s="2474"/>
      <c r="CD41" s="2474"/>
      <c r="CE41" s="2886"/>
      <c r="CF41" s="2886"/>
      <c r="CG41" s="2886"/>
      <c r="CH41" s="2474"/>
      <c r="CI41" s="2474"/>
      <c r="CJ41" s="2886"/>
      <c r="CK41" s="2886"/>
      <c r="CL41" s="2886"/>
      <c r="CM41" s="2886"/>
      <c r="CN41" s="2886"/>
      <c r="CO41" s="2886"/>
      <c r="CP41" s="2886"/>
      <c r="CQ41" s="2474"/>
      <c r="CR41" s="2474"/>
      <c r="CS41" s="2474"/>
      <c r="CT41" s="2474"/>
      <c r="CU41" s="2886"/>
      <c r="CV41" s="2474"/>
      <c r="CW41" s="2886"/>
      <c r="CX41" s="2886"/>
      <c r="CY41" s="2886"/>
      <c r="CZ41" s="2474"/>
      <c r="DA41" s="2474"/>
      <c r="DB41" s="3729"/>
      <c r="DC41" s="2474"/>
      <c r="DD41" s="2886"/>
      <c r="DE41" s="2886"/>
      <c r="DF41" s="2886"/>
      <c r="DG41" s="2886"/>
      <c r="DH41" s="2886"/>
      <c r="DI41" s="2474"/>
      <c r="DJ41" s="2886"/>
      <c r="DK41" s="2886"/>
      <c r="DL41" s="2474"/>
      <c r="DM41" s="2474"/>
      <c r="DN41" s="2886"/>
      <c r="DO41" s="2886"/>
      <c r="DP41" s="2886"/>
      <c r="DQ41" s="2886"/>
      <c r="DR41" s="2474"/>
      <c r="DS41" s="2886"/>
      <c r="DT41" s="2886"/>
      <c r="DU41" s="2886"/>
      <c r="DV41" s="2886"/>
      <c r="DW41" s="2886"/>
      <c r="DX41" s="2886"/>
      <c r="DY41" s="2886"/>
      <c r="DZ41" s="2886"/>
      <c r="EA41" s="2886"/>
      <c r="EB41" s="2886"/>
      <c r="EC41" s="2886"/>
      <c r="ED41" s="2886"/>
      <c r="EE41" s="2886"/>
      <c r="EF41" s="2886"/>
      <c r="EG41" s="2886"/>
      <c r="EH41" s="2886"/>
      <c r="EI41" s="2886"/>
      <c r="EJ41" s="2474"/>
      <c r="EK41" s="2886"/>
      <c r="EL41" s="2886"/>
      <c r="EM41" s="2886"/>
      <c r="EN41" s="2474"/>
      <c r="EO41" s="2886"/>
      <c r="EP41" s="2886"/>
      <c r="EQ41" s="2886"/>
      <c r="ER41" s="2886"/>
      <c r="ES41" s="2886"/>
      <c r="ET41" s="2886"/>
      <c r="EU41" s="2474"/>
      <c r="EV41" s="2886"/>
      <c r="EW41" s="2886"/>
      <c r="EX41" s="2886"/>
      <c r="EY41" s="2886"/>
      <c r="EZ41" s="2886"/>
      <c r="FA41" s="2886"/>
      <c r="FB41" s="2886"/>
      <c r="FC41" s="2886"/>
      <c r="FD41" s="2886"/>
      <c r="FE41" s="2886"/>
      <c r="FF41" s="2474"/>
      <c r="FG41" s="2886"/>
      <c r="FH41" s="2886"/>
      <c r="FI41" s="2886"/>
      <c r="FJ41" s="2886"/>
      <c r="FK41" s="2886"/>
      <c r="FL41" s="2886"/>
      <c r="FM41" s="2886"/>
      <c r="FN41" s="2886"/>
      <c r="FO41" s="2886"/>
      <c r="FP41" s="2886"/>
      <c r="FQ41" s="2886"/>
      <c r="FR41" s="2886"/>
      <c r="FS41" s="2886"/>
      <c r="FT41" s="2474"/>
      <c r="FU41" s="2474"/>
      <c r="FV41" s="2474"/>
      <c r="FW41" s="2886"/>
      <c r="FX41" s="2474"/>
      <c r="FY41" s="2886"/>
      <c r="FZ41" s="2886"/>
      <c r="GA41" s="2886"/>
      <c r="GB41" s="2886"/>
      <c r="GC41" s="2886"/>
      <c r="GD41" s="2886"/>
      <c r="GE41" s="2474"/>
      <c r="GF41" s="2474"/>
      <c r="GG41" s="2474"/>
      <c r="GH41" s="2886"/>
      <c r="GI41" s="2886"/>
      <c r="GJ41" s="2474"/>
      <c r="GK41" s="2886"/>
      <c r="GL41" s="2886"/>
      <c r="GM41" s="2886"/>
      <c r="GN41" s="2886"/>
      <c r="GO41" s="2886"/>
      <c r="GP41" s="2886"/>
      <c r="GQ41" s="2886"/>
      <c r="GR41" s="2886"/>
      <c r="GS41" s="2886"/>
      <c r="GT41" s="2886"/>
      <c r="GU41" s="2886"/>
      <c r="GV41" s="2886"/>
      <c r="GW41" s="2474"/>
      <c r="GX41" s="2474"/>
      <c r="GY41" s="2886"/>
      <c r="GZ41" s="2886"/>
      <c r="HA41" s="2886"/>
      <c r="HB41" s="2474"/>
      <c r="HC41" s="2886"/>
      <c r="HD41" s="2474"/>
      <c r="HE41" s="2886"/>
      <c r="HF41" s="2474"/>
      <c r="HG41" s="2474"/>
      <c r="HH41" s="2886"/>
      <c r="HI41" s="2886"/>
      <c r="HJ41" s="2886"/>
      <c r="HK41" s="2886"/>
      <c r="HL41" s="2886"/>
      <c r="HM41" s="2886"/>
      <c r="HN41" s="2886"/>
      <c r="HO41" s="2886"/>
      <c r="HP41" s="2886"/>
      <c r="HQ41" s="2886"/>
      <c r="HR41" s="2886"/>
      <c r="HS41" s="2474"/>
      <c r="HT41" s="2886"/>
      <c r="HU41" s="2886"/>
      <c r="HV41" s="2886"/>
      <c r="HW41" s="2886"/>
      <c r="HX41" s="2886"/>
      <c r="HY41" s="2886"/>
      <c r="HZ41" s="2886"/>
      <c r="IA41" s="2886"/>
      <c r="IB41" s="2886"/>
      <c r="IC41" s="2886"/>
      <c r="ID41" s="2886"/>
      <c r="IE41" s="2886"/>
      <c r="IF41" s="2886"/>
      <c r="IG41" s="2886"/>
      <c r="IH41" s="2886"/>
      <c r="II41" s="2886"/>
      <c r="IJ41" s="2886"/>
      <c r="IK41" s="2886"/>
      <c r="IL41" s="2886"/>
      <c r="IM41" s="2886"/>
      <c r="IN41" s="2886"/>
      <c r="IO41" s="2614"/>
      <c r="IP41" s="2886"/>
      <c r="IQ41" s="2886"/>
      <c r="IR41" s="2886"/>
      <c r="IS41" s="4008"/>
      <c r="IT41" s="4002"/>
      <c r="IU41" s="4002"/>
      <c r="IV41" s="4002"/>
      <c r="IW41" s="4002"/>
      <c r="IX41" s="4002"/>
      <c r="IY41" s="4002"/>
      <c r="IZ41" s="2886"/>
      <c r="JA41" s="4002"/>
      <c r="JB41" s="4002"/>
      <c r="JC41" s="2886"/>
      <c r="JD41" s="2886"/>
      <c r="JE41" s="2886"/>
      <c r="JF41" s="2886"/>
      <c r="JG41" s="2600"/>
      <c r="JH41" s="1233"/>
      <c r="JI41" s="1393"/>
      <c r="JJ41" s="1686" t="s">
        <v>6111</v>
      </c>
    </row>
    <row r="42" spans="1:270" x14ac:dyDescent="0.2">
      <c r="A42" s="1128">
        <v>42</v>
      </c>
      <c r="B42" s="1534" t="str">
        <f si="1" t="shared"/>
        <v/>
      </c>
      <c r="C42" s="1553" t="s">
        <v>3465</v>
      </c>
      <c r="D42" s="1554" t="s">
        <v>5714</v>
      </c>
      <c r="E42" s="2511"/>
      <c r="F42" s="2472">
        <v>7800</v>
      </c>
      <c r="G42" s="2472"/>
      <c r="H42" s="2472"/>
      <c r="I42" s="2472"/>
      <c r="J42" s="2472"/>
      <c r="K42" s="2472"/>
      <c r="L42" s="2472"/>
      <c r="M42" s="2472">
        <v>7800</v>
      </c>
      <c r="N42" s="2511"/>
      <c r="O42" s="2472">
        <v>7800</v>
      </c>
      <c r="P42" s="2472"/>
      <c r="Q42" s="2472">
        <v>7800</v>
      </c>
      <c r="R42" s="2472"/>
      <c r="S42" s="2472"/>
      <c r="T42" s="2472">
        <v>131731</v>
      </c>
      <c r="U42" s="2511">
        <v>17800</v>
      </c>
      <c r="V42" s="2472"/>
      <c r="W42" s="2472"/>
      <c r="X42" s="2472"/>
      <c r="Y42" s="2472"/>
      <c r="Z42" s="2472"/>
      <c r="AA42" s="2472">
        <v>7800</v>
      </c>
      <c r="AB42" s="2472"/>
      <c r="AC42" s="2511">
        <v>17800</v>
      </c>
      <c r="AD42" s="2511"/>
      <c r="AE42" s="3547">
        <v>10000</v>
      </c>
      <c r="AF42" s="2511"/>
      <c r="AG42" s="2511"/>
      <c r="AH42" s="2511"/>
      <c r="AI42" s="2472"/>
      <c r="AJ42" s="2511">
        <v>13435</v>
      </c>
      <c r="AK42" s="2472"/>
      <c r="AL42" s="2472"/>
      <c r="AM42" s="2472"/>
      <c r="AN42" s="2472"/>
      <c r="AO42" s="2472"/>
      <c r="AP42" s="2472"/>
      <c r="AQ42" s="2472"/>
      <c r="AR42" s="2472">
        <v>6852</v>
      </c>
      <c r="AS42" s="2472"/>
      <c r="AT42" s="2472"/>
      <c r="AU42" s="2472"/>
      <c r="AV42" s="2472"/>
      <c r="AW42" s="2472">
        <v>45000</v>
      </c>
      <c r="AX42" s="2472"/>
      <c r="AY42" s="2472">
        <v>45000</v>
      </c>
      <c r="AZ42" s="2472">
        <v>45000</v>
      </c>
      <c r="BA42" s="2472"/>
      <c r="BB42" s="2472"/>
      <c r="BC42" s="2472"/>
      <c r="BD42" s="2472">
        <v>7800</v>
      </c>
      <c r="BE42" s="2472"/>
      <c r="BF42" s="2472"/>
      <c r="BG42" s="2472">
        <v>7800</v>
      </c>
      <c r="BH42" s="2472"/>
      <c r="BI42" s="3728"/>
      <c r="BJ42" s="2472"/>
      <c r="BK42" s="3728">
        <v>61411</v>
      </c>
      <c r="BL42" s="2472"/>
      <c r="BM42" s="2472"/>
      <c r="BN42" s="2472"/>
      <c r="BO42" s="2472"/>
      <c r="BP42" s="2472"/>
      <c r="BQ42" s="2472"/>
      <c r="BR42" s="2472"/>
      <c r="BS42" s="2472"/>
      <c r="BT42" s="2472">
        <v>7800</v>
      </c>
      <c r="BU42" s="2472"/>
      <c r="BV42" s="2472">
        <v>7800</v>
      </c>
      <c r="BW42" s="2472"/>
      <c r="BX42" s="2472">
        <v>15611</v>
      </c>
      <c r="BY42" s="2472"/>
      <c r="BZ42" s="2472"/>
      <c r="CA42" s="2472"/>
      <c r="CB42" s="3728">
        <v>1045000</v>
      </c>
      <c r="CC42" s="2472">
        <v>45000</v>
      </c>
      <c r="CD42" s="2472">
        <v>7800</v>
      </c>
      <c r="CE42" s="2841"/>
      <c r="CF42" s="2841"/>
      <c r="CG42" s="2841"/>
      <c r="CH42" s="2472">
        <v>7800</v>
      </c>
      <c r="CI42" s="2472">
        <v>15611</v>
      </c>
      <c r="CJ42" s="2841"/>
      <c r="CK42" s="2841"/>
      <c r="CL42" s="2841"/>
      <c r="CM42" s="2841"/>
      <c r="CN42" s="2841"/>
      <c r="CO42" s="2841"/>
      <c r="CP42" s="2841"/>
      <c r="CQ42" s="2472">
        <v>15611</v>
      </c>
      <c r="CR42" s="2472">
        <v>45005</v>
      </c>
      <c r="CS42" s="2472">
        <v>45005</v>
      </c>
      <c r="CT42" s="2472">
        <v>5023</v>
      </c>
      <c r="CU42" s="2841"/>
      <c r="CV42" s="2472">
        <v>38400</v>
      </c>
      <c r="CW42" s="2841"/>
      <c r="CX42" s="2841"/>
      <c r="CY42" s="2841"/>
      <c r="CZ42" s="2472">
        <v>45000</v>
      </c>
      <c r="DA42" s="2472">
        <v>45000</v>
      </c>
      <c r="DB42" s="3728">
        <v>50672</v>
      </c>
      <c r="DC42" s="2472">
        <v>15611</v>
      </c>
      <c r="DD42" s="2841"/>
      <c r="DE42" s="2841"/>
      <c r="DF42" s="2841"/>
      <c r="DG42" s="2841"/>
      <c r="DH42" s="2841"/>
      <c r="DI42" s="2472">
        <v>38400</v>
      </c>
      <c r="DJ42" s="2841"/>
      <c r="DK42" s="2841"/>
      <c r="DL42" s="2472">
        <v>38400</v>
      </c>
      <c r="DM42" s="2472">
        <v>15611</v>
      </c>
      <c r="DN42" s="2841"/>
      <c r="DO42" s="2841"/>
      <c r="DP42" s="2841"/>
      <c r="DQ42" s="2841"/>
      <c r="DR42" s="2472">
        <v>45000</v>
      </c>
      <c r="DS42" s="2841"/>
      <c r="DT42" s="2841"/>
      <c r="DU42" s="2841"/>
      <c r="DV42" s="2841"/>
      <c r="DW42" s="2841">
        <v>5940</v>
      </c>
      <c r="DX42" s="2841"/>
      <c r="DY42" s="2841"/>
      <c r="DZ42" s="2841"/>
      <c r="EA42" s="2841"/>
      <c r="EB42" s="2841"/>
      <c r="EC42" s="2841"/>
      <c r="ED42" s="2841"/>
      <c r="EE42" s="2841"/>
      <c r="EF42" s="2841"/>
      <c r="EG42" s="2841"/>
      <c r="EH42" s="2841"/>
      <c r="EI42" s="2841"/>
      <c r="EJ42" s="2472">
        <v>8000</v>
      </c>
      <c r="EK42" s="2841"/>
      <c r="EL42" s="2841"/>
      <c r="EM42" s="2841"/>
      <c r="EN42" s="2472">
        <v>45000</v>
      </c>
      <c r="EO42" s="2841"/>
      <c r="EP42" s="2841"/>
      <c r="EQ42" s="2841"/>
      <c r="ER42" s="2841"/>
      <c r="ES42" s="2841"/>
      <c r="ET42" s="2841"/>
      <c r="EU42" s="2472">
        <v>45005</v>
      </c>
      <c r="EV42" s="2841"/>
      <c r="EW42" s="2841"/>
      <c r="EX42" s="2841"/>
      <c r="EY42" s="2841"/>
      <c r="EZ42" s="2841"/>
      <c r="FA42" s="2841"/>
      <c r="FB42" s="2841"/>
      <c r="FC42" s="2841"/>
      <c r="FD42" s="2841"/>
      <c r="FE42" s="2841"/>
      <c r="FF42" s="2472">
        <v>7800</v>
      </c>
      <c r="FG42" s="2841"/>
      <c r="FH42" s="2841"/>
      <c r="FI42" s="2841"/>
      <c r="FJ42" s="2841"/>
      <c r="FK42" s="2841"/>
      <c r="FL42" s="2841"/>
      <c r="FM42" s="2841"/>
      <c r="FN42" s="2841"/>
      <c r="FO42" s="2841"/>
      <c r="FP42" s="2841"/>
      <c r="FQ42" s="2841"/>
      <c r="FR42" s="2841"/>
      <c r="FS42" s="2841"/>
      <c r="FT42" s="2472">
        <v>45000</v>
      </c>
      <c r="FU42" s="2472">
        <v>45000</v>
      </c>
      <c r="FV42" s="2472">
        <v>5023</v>
      </c>
      <c r="FW42" s="2841"/>
      <c r="FX42" s="2472">
        <v>45005</v>
      </c>
      <c r="FY42" s="2841"/>
      <c r="FZ42" s="2841"/>
      <c r="GA42" s="2841"/>
      <c r="GB42" s="2841"/>
      <c r="GC42" s="2841"/>
      <c r="GD42" s="2841"/>
      <c r="GE42" s="2472">
        <v>8000</v>
      </c>
      <c r="GF42" s="2472">
        <v>8000</v>
      </c>
      <c r="GG42" s="2472">
        <v>45005</v>
      </c>
      <c r="GH42" s="2841"/>
      <c r="GI42" s="2841"/>
      <c r="GJ42" s="2472">
        <v>45005</v>
      </c>
      <c r="GK42" s="2841"/>
      <c r="GL42" s="2841"/>
      <c r="GM42" s="2841"/>
      <c r="GN42" s="2841"/>
      <c r="GO42" s="2841"/>
      <c r="GP42" s="2841"/>
      <c r="GQ42" s="2841"/>
      <c r="GR42" s="2841"/>
      <c r="GS42" s="2841"/>
      <c r="GT42" s="2841"/>
      <c r="GU42" s="2841"/>
      <c r="GV42" s="2841"/>
      <c r="GW42" s="2472">
        <v>45005</v>
      </c>
      <c r="GX42" s="2472">
        <v>15611</v>
      </c>
      <c r="GY42" s="2841"/>
      <c r="GZ42" s="2841"/>
      <c r="HA42" s="2841"/>
      <c r="HB42" s="2472">
        <v>77231</v>
      </c>
      <c r="HC42" s="2841"/>
      <c r="HD42" s="2472">
        <v>53780</v>
      </c>
      <c r="HE42" s="2841"/>
      <c r="HF42" s="2472">
        <v>7800</v>
      </c>
      <c r="HG42" s="2472">
        <v>7800</v>
      </c>
      <c r="HH42" s="2841"/>
      <c r="HI42" s="2841"/>
      <c r="HJ42" s="2841"/>
      <c r="HK42" s="2841"/>
      <c r="HL42" s="2841"/>
      <c r="HM42" s="2841"/>
      <c r="HN42" s="2841"/>
      <c r="HO42" s="2841"/>
      <c r="HP42" s="2841"/>
      <c r="HQ42" s="2841"/>
      <c r="HR42" s="2841"/>
      <c r="HS42" s="2472">
        <v>5023</v>
      </c>
      <c r="HT42" s="2841"/>
      <c r="HU42" s="2841"/>
      <c r="HV42" s="2841"/>
      <c r="HW42" s="2841"/>
      <c r="HX42" s="2841"/>
      <c r="HY42" s="2841"/>
      <c r="HZ42" s="2841"/>
      <c r="IA42" s="2841"/>
      <c r="IB42" s="2841"/>
      <c r="IC42" s="2841"/>
      <c r="ID42" s="2841"/>
      <c r="IE42" s="2841"/>
      <c r="IF42" s="2841"/>
      <c r="IG42" s="2841"/>
      <c r="IH42" s="2841"/>
      <c r="II42" s="2841"/>
      <c r="IJ42" s="2841"/>
      <c r="IK42" s="2841"/>
      <c r="IL42" s="2841"/>
      <c r="IM42" s="2841"/>
      <c r="IN42" s="2841"/>
      <c r="IO42" s="2472">
        <v>3300</v>
      </c>
      <c r="IP42" s="3539">
        <v>113819</v>
      </c>
      <c r="IQ42" s="2841"/>
      <c r="IR42" s="2841"/>
      <c r="IS42" s="4009">
        <v>2980</v>
      </c>
      <c r="IT42" s="3998">
        <v>335196</v>
      </c>
      <c r="IU42" s="3998">
        <v>40714</v>
      </c>
      <c r="IV42" s="3998">
        <v>8730</v>
      </c>
      <c r="IW42" s="3998">
        <v>22099</v>
      </c>
      <c r="IX42" s="3998">
        <v>21784</v>
      </c>
      <c r="IY42" s="3998">
        <v>21784</v>
      </c>
      <c r="IZ42" s="2841"/>
      <c r="JA42" s="3998">
        <v>34006</v>
      </c>
      <c r="JB42" s="3998">
        <v>198022</v>
      </c>
      <c r="JC42" s="2841"/>
      <c r="JD42" s="2841"/>
      <c r="JE42" s="2841"/>
      <c r="JF42" s="2841"/>
      <c r="JG42" s="2617"/>
      <c r="JH42" s="1233"/>
      <c r="JI42" s="1393"/>
      <c r="JJ42" s="1686" t="s">
        <v>6124</v>
      </c>
    </row>
    <row ht="56.25" r="43" spans="1:270" x14ac:dyDescent="0.2">
      <c r="A43" s="1128">
        <v>43</v>
      </c>
      <c r="B43" s="1534" t="str">
        <f si="1" t="shared"/>
        <v/>
      </c>
      <c r="C43" s="2914" t="s">
        <v>6562</v>
      </c>
      <c r="D43" s="2915" t="s">
        <v>6565</v>
      </c>
      <c r="E43" s="2511"/>
      <c r="F43" s="2472"/>
      <c r="G43" s="2472"/>
      <c r="H43" s="2472"/>
      <c r="I43" s="2472"/>
      <c r="J43" s="2472"/>
      <c r="K43" s="2472"/>
      <c r="L43" s="2472"/>
      <c r="M43" s="2472"/>
      <c r="N43" s="2511"/>
      <c r="O43" s="2472"/>
      <c r="P43" s="2472"/>
      <c r="Q43" s="2472"/>
      <c r="R43" s="2472"/>
      <c r="S43" s="2472"/>
      <c r="T43" s="2472"/>
      <c r="U43" s="2472"/>
      <c r="V43" s="2472"/>
      <c r="W43" s="2472"/>
      <c r="X43" s="2472"/>
      <c r="Y43" s="2472"/>
      <c r="Z43" s="2472"/>
      <c r="AA43" s="2472"/>
      <c r="AB43" s="2472"/>
      <c r="AC43" s="2472"/>
      <c r="AD43" s="2472"/>
      <c r="AE43" s="3547">
        <v>1000</v>
      </c>
      <c r="AF43" s="2472"/>
      <c r="AG43" s="2472"/>
      <c r="AH43" s="2472"/>
      <c r="AI43" s="2472"/>
      <c r="AJ43" s="2472"/>
      <c r="AK43" s="2472"/>
      <c r="AL43" s="2472"/>
      <c r="AM43" s="2472"/>
      <c r="AN43" s="2472"/>
      <c r="AO43" s="2472"/>
      <c r="AP43" s="2472"/>
      <c r="AQ43" s="2472"/>
      <c r="AR43" s="2472"/>
      <c r="AS43" s="2472"/>
      <c r="AT43" s="2472"/>
      <c r="AU43" s="2472"/>
      <c r="AV43" s="2472"/>
      <c r="AW43" s="2472"/>
      <c r="AX43" s="2472"/>
      <c r="AY43" s="2472"/>
      <c r="AZ43" s="2472"/>
      <c r="BA43" s="2472"/>
      <c r="BB43" s="2472"/>
      <c r="BC43" s="2472"/>
      <c r="BD43" s="2472"/>
      <c r="BE43" s="2472"/>
      <c r="BF43" s="2472"/>
      <c r="BG43" s="2472"/>
      <c r="BH43" s="2472"/>
      <c r="BI43" s="3728"/>
      <c r="BJ43" s="2472"/>
      <c r="BK43" s="3728"/>
      <c r="BL43" s="2472"/>
      <c r="BM43" s="2472"/>
      <c r="BN43" s="2472"/>
      <c r="BO43" s="2472"/>
      <c r="BP43" s="2472"/>
      <c r="BQ43" s="2472"/>
      <c r="BR43" s="2472"/>
      <c r="BS43" s="2472"/>
      <c r="BT43" s="2472"/>
      <c r="BU43" s="2472"/>
      <c r="BV43" s="2472"/>
      <c r="BW43" s="2472"/>
      <c r="BX43" s="2472"/>
      <c r="BY43" s="2472"/>
      <c r="BZ43" s="2472"/>
      <c r="CA43" s="2472"/>
      <c r="CB43" s="2841"/>
      <c r="CC43" s="2472"/>
      <c r="CD43" s="2472"/>
      <c r="CE43" s="2841"/>
      <c r="CF43" s="2841"/>
      <c r="CG43" s="2841"/>
      <c r="CH43" s="2472"/>
      <c r="CI43" s="2472"/>
      <c r="CJ43" s="2841"/>
      <c r="CK43" s="2841"/>
      <c r="CL43" s="2841"/>
      <c r="CM43" s="2841"/>
      <c r="CN43" s="2841"/>
      <c r="CO43" s="2841"/>
      <c r="CP43" s="2841"/>
      <c r="CQ43" s="2472"/>
      <c r="CR43" s="2472"/>
      <c r="CS43" s="2472"/>
      <c r="CT43" s="2472"/>
      <c r="CU43" s="2841"/>
      <c r="CV43" s="2472"/>
      <c r="CW43" s="2841"/>
      <c r="CX43" s="2841"/>
      <c r="CY43" s="2841"/>
      <c r="CZ43" s="2472"/>
      <c r="DA43" s="2472"/>
      <c r="DB43" s="3728"/>
      <c r="DC43" s="2472"/>
      <c r="DD43" s="2841"/>
      <c r="DE43" s="2841"/>
      <c r="DF43" s="2841"/>
      <c r="DG43" s="2841"/>
      <c r="DH43" s="2841"/>
      <c r="DI43" s="2472"/>
      <c r="DJ43" s="2841"/>
      <c r="DK43" s="2841"/>
      <c r="DL43" s="2472"/>
      <c r="DM43" s="2472"/>
      <c r="DN43" s="2841"/>
      <c r="DO43" s="2841"/>
      <c r="DP43" s="2841"/>
      <c r="DQ43" s="2841"/>
      <c r="DR43" s="2472"/>
      <c r="DS43" s="2841"/>
      <c r="DT43" s="2841"/>
      <c r="DU43" s="2841"/>
      <c r="DV43" s="2841"/>
      <c r="DW43" s="2841"/>
      <c r="DX43" s="2841"/>
      <c r="DY43" s="2841"/>
      <c r="DZ43" s="2841"/>
      <c r="EA43" s="2841"/>
      <c r="EB43" s="2841"/>
      <c r="EC43" s="2841"/>
      <c r="ED43" s="2841"/>
      <c r="EE43" s="2841"/>
      <c r="EF43" s="2841"/>
      <c r="EG43" s="2841"/>
      <c r="EH43" s="2841"/>
      <c r="EI43" s="2841"/>
      <c r="EJ43" s="2472"/>
      <c r="EK43" s="2841"/>
      <c r="EL43" s="2841"/>
      <c r="EM43" s="2841"/>
      <c r="EN43" s="2472"/>
      <c r="EO43" s="2841"/>
      <c r="EP43" s="2841"/>
      <c r="EQ43" s="2841"/>
      <c r="ER43" s="2841"/>
      <c r="ES43" s="2841"/>
      <c r="ET43" s="2841"/>
      <c r="EU43" s="2472"/>
      <c r="EV43" s="2841"/>
      <c r="EW43" s="2841"/>
      <c r="EX43" s="2841"/>
      <c r="EY43" s="2841"/>
      <c r="EZ43" s="2841"/>
      <c r="FA43" s="2841"/>
      <c r="FB43" s="2841"/>
      <c r="FC43" s="2841"/>
      <c r="FD43" s="2841"/>
      <c r="FE43" s="2841"/>
      <c r="FF43" s="2472"/>
      <c r="FG43" s="2841"/>
      <c r="FH43" s="2841"/>
      <c r="FI43" s="2841"/>
      <c r="FJ43" s="2841"/>
      <c r="FK43" s="2841"/>
      <c r="FL43" s="2841"/>
      <c r="FM43" s="2841"/>
      <c r="FN43" s="2841"/>
      <c r="FO43" s="2841"/>
      <c r="FP43" s="2841"/>
      <c r="FQ43" s="2841"/>
      <c r="FR43" s="2841"/>
      <c r="FS43" s="2841"/>
      <c r="FT43" s="2472"/>
      <c r="FU43" s="2472"/>
      <c r="FV43" s="2472"/>
      <c r="FW43" s="2841"/>
      <c r="FX43" s="2472"/>
      <c r="FY43" s="2841"/>
      <c r="FZ43" s="2841"/>
      <c r="GA43" s="2841"/>
      <c r="GB43" s="2841"/>
      <c r="GC43" s="2841"/>
      <c r="GD43" s="2841"/>
      <c r="GE43" s="2472"/>
      <c r="GF43" s="2472"/>
      <c r="GG43" s="2472"/>
      <c r="GH43" s="2841"/>
      <c r="GI43" s="2841"/>
      <c r="GJ43" s="2472"/>
      <c r="GK43" s="2841"/>
      <c r="GL43" s="2841"/>
      <c r="GM43" s="2841"/>
      <c r="GN43" s="2841"/>
      <c r="GO43" s="2841"/>
      <c r="GP43" s="2841"/>
      <c r="GQ43" s="2841"/>
      <c r="GR43" s="2841"/>
      <c r="GS43" s="2841"/>
      <c r="GT43" s="2841"/>
      <c r="GU43" s="2841"/>
      <c r="GV43" s="2841"/>
      <c r="GW43" s="2472"/>
      <c r="GX43" s="2472"/>
      <c r="GY43" s="2841"/>
      <c r="GZ43" s="2841"/>
      <c r="HA43" s="2841"/>
      <c r="HB43" s="2472"/>
      <c r="HC43" s="2841"/>
      <c r="HD43" s="2472"/>
      <c r="HE43" s="2841"/>
      <c r="HF43" s="2472"/>
      <c r="HG43" s="2472"/>
      <c r="HH43" s="2841"/>
      <c r="HI43" s="2841"/>
      <c r="HJ43" s="2841"/>
      <c r="HK43" s="2841"/>
      <c r="HL43" s="2841"/>
      <c r="HM43" s="2841"/>
      <c r="HN43" s="2841"/>
      <c r="HO43" s="2841"/>
      <c r="HP43" s="2841"/>
      <c r="HQ43" s="2841"/>
      <c r="HR43" s="2841"/>
      <c r="HS43" s="2472"/>
      <c r="HT43" s="2841"/>
      <c r="HU43" s="2841"/>
      <c r="HV43" s="2841"/>
      <c r="HW43" s="2841"/>
      <c r="HX43" s="2841"/>
      <c r="HY43" s="2841"/>
      <c r="HZ43" s="2841"/>
      <c r="IA43" s="2841"/>
      <c r="IB43" s="2841"/>
      <c r="IC43" s="2841"/>
      <c r="ID43" s="2841"/>
      <c r="IE43" s="2841"/>
      <c r="IF43" s="2841"/>
      <c r="IG43" s="2841"/>
      <c r="IH43" s="2841"/>
      <c r="II43" s="2841"/>
      <c r="IJ43" s="2841"/>
      <c r="IK43" s="2841"/>
      <c r="IL43" s="2841"/>
      <c r="IM43" s="2841"/>
      <c r="IN43" s="2841"/>
      <c r="IO43" s="2472"/>
      <c r="IP43" s="2841"/>
      <c r="IQ43" s="2841"/>
      <c r="IR43" s="2841"/>
      <c r="IS43" s="4009"/>
      <c r="IT43" s="3998"/>
      <c r="IU43" s="3998"/>
      <c r="IV43" s="3998"/>
      <c r="IW43" s="3998"/>
      <c r="IX43" s="3998"/>
      <c r="IY43" s="3998"/>
      <c r="IZ43" s="2841"/>
      <c r="JA43" s="3998"/>
      <c r="JB43" s="3998"/>
      <c r="JC43" s="2841"/>
      <c r="JD43" s="2841"/>
      <c r="JE43" s="2841"/>
      <c r="JF43" s="2841"/>
      <c r="JG43" s="2617"/>
      <c r="JH43" s="1233"/>
      <c r="JI43" s="1393" t="s">
        <v>6561</v>
      </c>
      <c r="JJ43" s="1686" t="s">
        <v>6108</v>
      </c>
    </row>
    <row r="44" spans="1:270" x14ac:dyDescent="0.2">
      <c r="A44" s="1128">
        <v>44</v>
      </c>
      <c r="B44" s="1534" t="str">
        <f si="1" t="shared"/>
        <v/>
      </c>
      <c r="C44" s="2914" t="s">
        <v>6563</v>
      </c>
      <c r="D44" s="2915" t="s">
        <v>6566</v>
      </c>
      <c r="E44" s="2511"/>
      <c r="F44" s="2472"/>
      <c r="G44" s="2472"/>
      <c r="H44" s="2472"/>
      <c r="I44" s="2472"/>
      <c r="J44" s="2472"/>
      <c r="K44" s="2472"/>
      <c r="L44" s="2472"/>
      <c r="M44" s="2472"/>
      <c r="N44" s="2511"/>
      <c r="O44" s="2472"/>
      <c r="P44" s="2472"/>
      <c r="Q44" s="2472"/>
      <c r="R44" s="2472"/>
      <c r="S44" s="2472"/>
      <c r="T44" s="2472"/>
      <c r="U44" s="2472"/>
      <c r="V44" s="2472"/>
      <c r="W44" s="2472"/>
      <c r="X44" s="2472"/>
      <c r="Y44" s="2472"/>
      <c r="Z44" s="2472"/>
      <c r="AA44" s="2472"/>
      <c r="AB44" s="2472"/>
      <c r="AC44" s="2472"/>
      <c r="AD44" s="2472"/>
      <c r="AE44" s="2472"/>
      <c r="AF44" s="2472"/>
      <c r="AG44" s="2472"/>
      <c r="AH44" s="2472"/>
      <c r="AI44" s="2472"/>
      <c r="AJ44" s="2472"/>
      <c r="AK44" s="2472"/>
      <c r="AL44" s="2472"/>
      <c r="AM44" s="2472"/>
      <c r="AN44" s="2472"/>
      <c r="AO44" s="2472"/>
      <c r="AP44" s="2472"/>
      <c r="AQ44" s="2472"/>
      <c r="AR44" s="2472" t="s">
        <v>572</v>
      </c>
      <c r="AS44" s="2472"/>
      <c r="AT44" s="2472"/>
      <c r="AU44" s="2472"/>
      <c r="AV44" s="2472"/>
      <c r="AW44" s="2472"/>
      <c r="AX44" s="2472"/>
      <c r="AY44" s="2472"/>
      <c r="AZ44" s="2472"/>
      <c r="BA44" s="2472"/>
      <c r="BB44" s="2472"/>
      <c r="BC44" s="2472"/>
      <c r="BD44" s="2472"/>
      <c r="BE44" s="2472"/>
      <c r="BF44" s="2472"/>
      <c r="BG44" s="2472"/>
      <c r="BH44" s="2472"/>
      <c r="BI44" s="3728"/>
      <c r="BJ44" s="2472"/>
      <c r="BK44" s="3728"/>
      <c r="BL44" s="2472"/>
      <c r="BM44" s="2472"/>
      <c r="BN44" s="2472"/>
      <c r="BO44" s="2472"/>
      <c r="BP44" s="2472"/>
      <c r="BQ44" s="2472"/>
      <c r="BR44" s="2472"/>
      <c r="BS44" s="2472"/>
      <c r="BT44" s="2472"/>
      <c r="BU44" s="2472"/>
      <c r="BV44" s="2472"/>
      <c r="BW44" s="2472"/>
      <c r="BX44" s="2472" t="s">
        <v>572</v>
      </c>
      <c r="BY44" s="2472"/>
      <c r="BZ44" s="2472"/>
      <c r="CA44" s="2472"/>
      <c r="CB44" s="3956" t="s">
        <v>572</v>
      </c>
      <c r="CC44" s="2472"/>
      <c r="CD44" s="2472"/>
      <c r="CE44" s="2841"/>
      <c r="CF44" s="2841"/>
      <c r="CG44" s="2841"/>
      <c r="CH44" s="2472"/>
      <c r="CI44" s="2472" t="s">
        <v>572</v>
      </c>
      <c r="CJ44" s="2841"/>
      <c r="CK44" s="2841"/>
      <c r="CL44" s="2841"/>
      <c r="CM44" s="2841"/>
      <c r="CN44" s="2841"/>
      <c r="CO44" s="2841"/>
      <c r="CP44" s="2841"/>
      <c r="CQ44" s="2472" t="s">
        <v>572</v>
      </c>
      <c r="CR44" s="2472"/>
      <c r="CS44" s="2472"/>
      <c r="CT44" s="2472"/>
      <c r="CU44" s="2841"/>
      <c r="CV44" s="2472" t="s">
        <v>572</v>
      </c>
      <c r="CW44" s="2841"/>
      <c r="CX44" s="2841"/>
      <c r="CY44" s="2841"/>
      <c r="CZ44" s="2472"/>
      <c r="DA44" s="2472"/>
      <c r="DB44" s="3728"/>
      <c r="DC44" s="2472" t="s">
        <v>572</v>
      </c>
      <c r="DD44" s="2841"/>
      <c r="DE44" s="2841"/>
      <c r="DF44" s="2841"/>
      <c r="DG44" s="2841"/>
      <c r="DH44" s="2841"/>
      <c r="DI44" s="2472" t="s">
        <v>572</v>
      </c>
      <c r="DJ44" s="2841"/>
      <c r="DK44" s="2841"/>
      <c r="DL44" s="2472" t="s">
        <v>572</v>
      </c>
      <c r="DM44" s="2472" t="s">
        <v>572</v>
      </c>
      <c r="DN44" s="2841"/>
      <c r="DO44" s="2841"/>
      <c r="DP44" s="2841"/>
      <c r="DQ44" s="2841"/>
      <c r="DR44" s="2472"/>
      <c r="DS44" s="2841"/>
      <c r="DT44" s="2841"/>
      <c r="DU44" s="2841"/>
      <c r="DV44" s="2841"/>
      <c r="DW44" s="2841" t="s">
        <v>572</v>
      </c>
      <c r="DX44" s="2841"/>
      <c r="DY44" s="2841"/>
      <c r="DZ44" s="2841"/>
      <c r="EA44" s="2841"/>
      <c r="EB44" s="2841"/>
      <c r="EC44" s="2841"/>
      <c r="ED44" s="2841"/>
      <c r="EE44" s="2841"/>
      <c r="EF44" s="2841"/>
      <c r="EG44" s="2841"/>
      <c r="EH44" s="2841"/>
      <c r="EI44" s="2841"/>
      <c r="EJ44" s="2472"/>
      <c r="EK44" s="2841"/>
      <c r="EL44" s="2841"/>
      <c r="EM44" s="2841"/>
      <c r="EN44" s="2472"/>
      <c r="EO44" s="2841"/>
      <c r="EP44" s="2841"/>
      <c r="EQ44" s="2841"/>
      <c r="ER44" s="2841"/>
      <c r="ES44" s="2841"/>
      <c r="ET44" s="2841"/>
      <c r="EU44" s="2472"/>
      <c r="EV44" s="2841"/>
      <c r="EW44" s="2841"/>
      <c r="EX44" s="2841"/>
      <c r="EY44" s="2841"/>
      <c r="EZ44" s="2841"/>
      <c r="FA44" s="2841"/>
      <c r="FB44" s="2841"/>
      <c r="FC44" s="2841"/>
      <c r="FD44" s="2841"/>
      <c r="FE44" s="2841"/>
      <c r="FF44" s="2472"/>
      <c r="FG44" s="2841"/>
      <c r="FH44" s="2841"/>
      <c r="FI44" s="2841"/>
      <c r="FJ44" s="2841"/>
      <c r="FK44" s="2841"/>
      <c r="FL44" s="2841"/>
      <c r="FM44" s="2841"/>
      <c r="FN44" s="2841"/>
      <c r="FO44" s="2841"/>
      <c r="FP44" s="2841"/>
      <c r="FQ44" s="2841"/>
      <c r="FR44" s="2841"/>
      <c r="FS44" s="2841"/>
      <c r="FT44" s="2472"/>
      <c r="FU44" s="2472"/>
      <c r="FV44" s="2472"/>
      <c r="FW44" s="2841"/>
      <c r="FX44" s="2472"/>
      <c r="FY44" s="2841"/>
      <c r="FZ44" s="2841"/>
      <c r="GA44" s="2841"/>
      <c r="GB44" s="2841"/>
      <c r="GC44" s="2841"/>
      <c r="GD44" s="2841"/>
      <c r="GE44" s="2472"/>
      <c r="GF44" s="2472"/>
      <c r="GG44" s="2472"/>
      <c r="GH44" s="2841"/>
      <c r="GI44" s="2841"/>
      <c r="GJ44" s="2472"/>
      <c r="GK44" s="2841"/>
      <c r="GL44" s="2841"/>
      <c r="GM44" s="2841"/>
      <c r="GN44" s="2841"/>
      <c r="GO44" s="2841"/>
      <c r="GP44" s="2841"/>
      <c r="GQ44" s="2841"/>
      <c r="GR44" s="2841"/>
      <c r="GS44" s="2841"/>
      <c r="GT44" s="2841"/>
      <c r="GU44" s="2841"/>
      <c r="GV44" s="2841"/>
      <c r="GW44" s="2472"/>
      <c r="GX44" s="2472" t="s">
        <v>572</v>
      </c>
      <c r="GY44" s="2841"/>
      <c r="GZ44" s="2841"/>
      <c r="HA44" s="2841"/>
      <c r="HB44" s="2472" t="s">
        <v>572</v>
      </c>
      <c r="HC44" s="2841"/>
      <c r="HD44" s="2472"/>
      <c r="HE44" s="2841"/>
      <c r="HF44" s="2472"/>
      <c r="HG44" s="2472"/>
      <c r="HH44" s="2841"/>
      <c r="HI44" s="2841"/>
      <c r="HJ44" s="2841"/>
      <c r="HK44" s="2841"/>
      <c r="HL44" s="2841"/>
      <c r="HM44" s="2841"/>
      <c r="HN44" s="2841"/>
      <c r="HO44" s="2841"/>
      <c r="HP44" s="2841"/>
      <c r="HQ44" s="2841"/>
      <c r="HR44" s="2841"/>
      <c r="HS44" s="2472"/>
      <c r="HT44" s="2841"/>
      <c r="HU44" s="2841"/>
      <c r="HV44" s="2841"/>
      <c r="HW44" s="2841"/>
      <c r="HX44" s="2841"/>
      <c r="HY44" s="2841"/>
      <c r="HZ44" s="2841"/>
      <c r="IA44" s="2841"/>
      <c r="IB44" s="2841"/>
      <c r="IC44" s="2841"/>
      <c r="ID44" s="2841"/>
      <c r="IE44" s="2841"/>
      <c r="IF44" s="2841"/>
      <c r="IG44" s="2841"/>
      <c r="IH44" s="2841"/>
      <c r="II44" s="2841"/>
      <c r="IJ44" s="2841"/>
      <c r="IK44" s="2841"/>
      <c r="IL44" s="2841"/>
      <c r="IM44" s="2841"/>
      <c r="IN44" s="2841"/>
      <c r="IO44" s="2472"/>
      <c r="IP44" s="2841"/>
      <c r="IQ44" s="2841"/>
      <c r="IR44" s="2841"/>
      <c r="IS44" s="4009" t="s">
        <v>572</v>
      </c>
      <c r="IT44" s="3998" t="s">
        <v>572</v>
      </c>
      <c r="IU44" s="3998"/>
      <c r="IV44" s="3998"/>
      <c r="IW44" s="3998"/>
      <c r="IX44" s="3998"/>
      <c r="IY44" s="3998"/>
      <c r="IZ44" s="2841"/>
      <c r="JA44" s="4320" t="s">
        <v>572</v>
      </c>
      <c r="JB44" s="4320" t="s">
        <v>572</v>
      </c>
      <c r="JC44" s="2841"/>
      <c r="JD44" s="2841"/>
      <c r="JE44" s="2841"/>
      <c r="JF44" s="2841"/>
      <c r="JG44" s="2617"/>
      <c r="JH44" s="1233"/>
      <c r="JI44" s="1393"/>
      <c r="JJ44" s="1686" t="s">
        <v>6111</v>
      </c>
    </row>
    <row r="45" spans="1:270" x14ac:dyDescent="0.2">
      <c r="A45" s="1128">
        <v>45</v>
      </c>
      <c r="B45" s="1534" t="str">
        <f si="1" t="shared"/>
        <v/>
      </c>
      <c r="C45" s="1555" t="s">
        <v>3466</v>
      </c>
      <c r="D45" s="676" t="s">
        <v>1506</v>
      </c>
      <c r="E45" s="2519"/>
      <c r="F45" s="2518"/>
      <c r="G45" s="2518"/>
      <c r="H45" s="2518"/>
      <c r="I45" s="2518"/>
      <c r="J45" s="2518"/>
      <c r="K45" s="2518"/>
      <c r="L45" s="2518"/>
      <c r="M45" s="2518"/>
      <c r="N45" s="2519"/>
      <c r="O45" s="2518"/>
      <c r="P45" s="2518"/>
      <c r="Q45" s="2518"/>
      <c r="R45" s="2518"/>
      <c r="S45" s="2518"/>
      <c r="T45" s="2518"/>
      <c r="U45" s="2518"/>
      <c r="V45" s="2518"/>
      <c r="W45" s="2518"/>
      <c r="X45" s="2518"/>
      <c r="Y45" s="2518"/>
      <c r="Z45" s="2518"/>
      <c r="AA45" s="2518"/>
      <c r="AB45" s="2518"/>
      <c r="AC45" s="2518"/>
      <c r="AD45" s="2518"/>
      <c r="AE45" s="2518"/>
      <c r="AF45" s="2518"/>
      <c r="AG45" s="2518"/>
      <c r="AH45" s="2518"/>
      <c r="AI45" s="2518"/>
      <c r="AJ45" s="2518"/>
      <c r="AK45" s="2518"/>
      <c r="AL45" s="2518"/>
      <c r="AM45" s="2518"/>
      <c r="AN45" s="2518"/>
      <c r="AO45" s="2518"/>
      <c r="AP45" s="2518"/>
      <c r="AQ45" s="2518"/>
      <c r="AR45" s="2518"/>
      <c r="AS45" s="2518"/>
      <c r="AT45" s="2518"/>
      <c r="AU45" s="2518"/>
      <c r="AV45" s="2518"/>
      <c r="AW45" s="2518"/>
      <c r="AX45" s="2518"/>
      <c r="AY45" s="2518"/>
      <c r="AZ45" s="2518"/>
      <c r="BA45" s="2518"/>
      <c r="BB45" s="2518"/>
      <c r="BC45" s="2518"/>
      <c r="BD45" s="2518"/>
      <c r="BE45" s="2518"/>
      <c r="BF45" s="2518"/>
      <c r="BG45" s="2518"/>
      <c r="BH45" s="2518"/>
      <c r="BI45" s="3731"/>
      <c r="BJ45" s="2518"/>
      <c r="BK45" s="3731"/>
      <c r="BL45" s="2518"/>
      <c r="BM45" s="2518"/>
      <c r="BN45" s="2518"/>
      <c r="BO45" s="2518"/>
      <c r="BP45" s="2518"/>
      <c r="BQ45" s="2518"/>
      <c r="BR45" s="2518"/>
      <c r="BS45" s="2518"/>
      <c r="BT45" s="2518"/>
      <c r="BU45" s="2518"/>
      <c r="BV45" s="2518"/>
      <c r="BW45" s="2518"/>
      <c r="BX45" s="2518">
        <v>1696</v>
      </c>
      <c r="BY45" s="2518"/>
      <c r="BZ45" s="2518"/>
      <c r="CA45" s="2518"/>
      <c r="CB45" s="2888"/>
      <c r="CC45" s="2518"/>
      <c r="CD45" s="2518"/>
      <c r="CE45" s="2888"/>
      <c r="CF45" s="2888"/>
      <c r="CG45" s="2888"/>
      <c r="CH45" s="2518"/>
      <c r="CI45" s="2518">
        <v>1696</v>
      </c>
      <c r="CJ45" s="2888"/>
      <c r="CK45" s="2888"/>
      <c r="CL45" s="2888"/>
      <c r="CM45" s="2888"/>
      <c r="CN45" s="2888"/>
      <c r="CO45" s="2888"/>
      <c r="CP45" s="2888"/>
      <c r="CQ45" s="2518">
        <v>1696</v>
      </c>
      <c r="CR45" s="2518"/>
      <c r="CS45" s="2518"/>
      <c r="CT45" s="2518">
        <v>75</v>
      </c>
      <c r="CU45" s="2888"/>
      <c r="CV45" s="2518"/>
      <c r="CW45" s="2888"/>
      <c r="CX45" s="2888"/>
      <c r="CY45" s="2888"/>
      <c r="CZ45" s="2518"/>
      <c r="DA45" s="2518"/>
      <c r="DB45" s="3731"/>
      <c r="DC45" s="2518">
        <v>1696</v>
      </c>
      <c r="DD45" s="2888"/>
      <c r="DE45" s="2888"/>
      <c r="DF45" s="2888"/>
      <c r="DG45" s="2888"/>
      <c r="DH45" s="2888"/>
      <c r="DI45" s="2518"/>
      <c r="DJ45" s="2888"/>
      <c r="DK45" s="2888"/>
      <c r="DL45" s="2518"/>
      <c r="DM45" s="2518">
        <v>1696</v>
      </c>
      <c r="DN45" s="2888"/>
      <c r="DO45" s="2888"/>
      <c r="DP45" s="2888"/>
      <c r="DQ45" s="2888"/>
      <c r="DR45" s="2518"/>
      <c r="DS45" s="2888"/>
      <c r="DT45" s="2888"/>
      <c r="DU45" s="2888"/>
      <c r="DV45" s="2888"/>
      <c r="DW45" s="2888"/>
      <c r="DX45" s="2888"/>
      <c r="DY45" s="2888"/>
      <c r="DZ45" s="2888"/>
      <c r="EA45" s="2888"/>
      <c r="EB45" s="2888"/>
      <c r="EC45" s="2888"/>
      <c r="ED45" s="2888"/>
      <c r="EE45" s="2888"/>
      <c r="EF45" s="2888"/>
      <c r="EG45" s="2888"/>
      <c r="EH45" s="2888"/>
      <c r="EI45" s="2888"/>
      <c r="EJ45" s="2518"/>
      <c r="EK45" s="2888"/>
      <c r="EL45" s="2888"/>
      <c r="EM45" s="2888"/>
      <c r="EN45" s="2518"/>
      <c r="EO45" s="2888"/>
      <c r="EP45" s="2888"/>
      <c r="EQ45" s="2888"/>
      <c r="ER45" s="2888"/>
      <c r="ES45" s="2888"/>
      <c r="ET45" s="2888"/>
      <c r="EU45" s="2518"/>
      <c r="EV45" s="2888"/>
      <c r="EW45" s="2888"/>
      <c r="EX45" s="2888"/>
      <c r="EY45" s="2888"/>
      <c r="EZ45" s="2888"/>
      <c r="FA45" s="2888"/>
      <c r="FB45" s="2888"/>
      <c r="FC45" s="2888"/>
      <c r="FD45" s="2888"/>
      <c r="FE45" s="2888"/>
      <c r="FF45" s="2518"/>
      <c r="FG45" s="2888"/>
      <c r="FH45" s="2888"/>
      <c r="FI45" s="2888"/>
      <c r="FJ45" s="2888"/>
      <c r="FK45" s="2888"/>
      <c r="FL45" s="2888"/>
      <c r="FM45" s="2888"/>
      <c r="FN45" s="2888"/>
      <c r="FO45" s="2888"/>
      <c r="FP45" s="2888"/>
      <c r="FQ45" s="2888"/>
      <c r="FR45" s="2888"/>
      <c r="FS45" s="2888"/>
      <c r="FT45" s="2518"/>
      <c r="FU45" s="2518"/>
      <c r="FV45" s="2518">
        <v>75</v>
      </c>
      <c r="FW45" s="2888"/>
      <c r="FX45" s="2518"/>
      <c r="FY45" s="2888"/>
      <c r="FZ45" s="2888"/>
      <c r="GA45" s="2888"/>
      <c r="GB45" s="2888"/>
      <c r="GC45" s="2888"/>
      <c r="GD45" s="2888"/>
      <c r="GE45" s="2518"/>
      <c r="GF45" s="2518"/>
      <c r="GG45" s="2518"/>
      <c r="GH45" s="2888"/>
      <c r="GI45" s="2888"/>
      <c r="GJ45" s="2518"/>
      <c r="GK45" s="2888"/>
      <c r="GL45" s="2888"/>
      <c r="GM45" s="2888"/>
      <c r="GN45" s="2888"/>
      <c r="GO45" s="2888"/>
      <c r="GP45" s="2888"/>
      <c r="GQ45" s="2888"/>
      <c r="GR45" s="2888"/>
      <c r="GS45" s="2888"/>
      <c r="GT45" s="2888"/>
      <c r="GU45" s="2888"/>
      <c r="GV45" s="2888"/>
      <c r="GW45" s="2518"/>
      <c r="GX45" s="2518">
        <v>1696</v>
      </c>
      <c r="GY45" s="2888"/>
      <c r="GZ45" s="2888"/>
      <c r="HA45" s="2888"/>
      <c r="HB45" s="2518"/>
      <c r="HC45" s="2888"/>
      <c r="HD45" s="2518"/>
      <c r="HE45" s="2888"/>
      <c r="HF45" s="2518"/>
      <c r="HG45" s="2518"/>
      <c r="HH45" s="2888"/>
      <c r="HI45" s="2888"/>
      <c r="HJ45" s="2888"/>
      <c r="HK45" s="2888"/>
      <c r="HL45" s="2888"/>
      <c r="HM45" s="2888"/>
      <c r="HN45" s="2888"/>
      <c r="HO45" s="2888"/>
      <c r="HP45" s="2888"/>
      <c r="HQ45" s="2888"/>
      <c r="HR45" s="2888"/>
      <c r="HS45" s="2518">
        <v>75</v>
      </c>
      <c r="HT45" s="2888"/>
      <c r="HU45" s="2888"/>
      <c r="HV45" s="2888"/>
      <c r="HW45" s="2888"/>
      <c r="HX45" s="2888"/>
      <c r="HY45" s="2888"/>
      <c r="HZ45" s="2888"/>
      <c r="IA45" s="2888"/>
      <c r="IB45" s="2888"/>
      <c r="IC45" s="2888"/>
      <c r="ID45" s="2888"/>
      <c r="IE45" s="2888"/>
      <c r="IF45" s="2888"/>
      <c r="IG45" s="2888"/>
      <c r="IH45" s="2888"/>
      <c r="II45" s="2888"/>
      <c r="IJ45" s="2888"/>
      <c r="IK45" s="2888"/>
      <c r="IL45" s="2888"/>
      <c r="IM45" s="2888"/>
      <c r="IN45" s="2888"/>
      <c r="IO45" s="2518"/>
      <c r="IP45" s="2888"/>
      <c r="IQ45" s="2888"/>
      <c r="IR45" s="2888"/>
      <c r="IS45" s="4011"/>
      <c r="IT45" s="4004"/>
      <c r="IU45" s="4004"/>
      <c r="IV45" s="4004"/>
      <c r="IW45" s="4004"/>
      <c r="IX45" s="4004"/>
      <c r="IY45" s="4004"/>
      <c r="IZ45" s="2888"/>
      <c r="JA45" s="4004"/>
      <c r="JB45" s="4004"/>
      <c r="JC45" s="2888"/>
      <c r="JD45" s="2888"/>
      <c r="JE45" s="2888"/>
      <c r="JF45" s="2888"/>
      <c r="JG45" s="2616"/>
      <c r="JH45" s="1233"/>
      <c r="JI45" s="1393"/>
      <c r="JJ45" s="1686" t="s">
        <v>6108</v>
      </c>
    </row>
    <row r="46" spans="1:270" x14ac:dyDescent="0.2">
      <c r="A46" s="1128">
        <v>46</v>
      </c>
      <c r="B46" s="1534" t="str">
        <f si="1" t="shared"/>
        <v/>
      </c>
      <c r="C46" s="1555" t="s">
        <v>3467</v>
      </c>
      <c r="D46" s="676" t="s">
        <v>5715</v>
      </c>
      <c r="E46" s="2519"/>
      <c r="F46" s="2518"/>
      <c r="G46" s="2518"/>
      <c r="H46" s="2518"/>
      <c r="I46" s="2518"/>
      <c r="J46" s="2518"/>
      <c r="K46" s="2518"/>
      <c r="L46" s="2518"/>
      <c r="M46" s="2518"/>
      <c r="N46" s="2519"/>
      <c r="O46" s="2518"/>
      <c r="P46" s="2518"/>
      <c r="Q46" s="2518"/>
      <c r="R46" s="2518"/>
      <c r="S46" s="2518"/>
      <c r="T46" s="2518"/>
      <c r="U46" s="2518"/>
      <c r="V46" s="2518"/>
      <c r="W46" s="2518"/>
      <c r="X46" s="2518"/>
      <c r="Y46" s="2518"/>
      <c r="Z46" s="2518"/>
      <c r="AA46" s="2518"/>
      <c r="AB46" s="2518"/>
      <c r="AC46" s="2518"/>
      <c r="AD46" s="2518"/>
      <c r="AE46" s="2518"/>
      <c r="AF46" s="2518"/>
      <c r="AG46" s="2518"/>
      <c r="AH46" s="2518"/>
      <c r="AI46" s="2518"/>
      <c r="AJ46" s="2518"/>
      <c r="AK46" s="2518"/>
      <c r="AL46" s="2518"/>
      <c r="AM46" s="2518"/>
      <c r="AN46" s="2518"/>
      <c r="AO46" s="2518"/>
      <c r="AP46" s="2518"/>
      <c r="AQ46" s="2518"/>
      <c r="AR46" s="2518">
        <v>50</v>
      </c>
      <c r="AS46" s="2518"/>
      <c r="AT46" s="2518"/>
      <c r="AU46" s="2518"/>
      <c r="AV46" s="2518"/>
      <c r="AW46" s="2518"/>
      <c r="AX46" s="2518"/>
      <c r="AY46" s="2518"/>
      <c r="AZ46" s="2518"/>
      <c r="BA46" s="2518"/>
      <c r="BB46" s="2518"/>
      <c r="BC46" s="2518"/>
      <c r="BD46" s="2518"/>
      <c r="BE46" s="2518"/>
      <c r="BF46" s="2518"/>
      <c r="BG46" s="2518"/>
      <c r="BH46" s="2518"/>
      <c r="BI46" s="3731"/>
      <c r="BJ46" s="2518"/>
      <c r="BK46" s="3731"/>
      <c r="BL46" s="2518"/>
      <c r="BM46" s="2518"/>
      <c r="BN46" s="2518"/>
      <c r="BO46" s="2518"/>
      <c r="BP46" s="2518"/>
      <c r="BQ46" s="2518"/>
      <c r="BR46" s="2518"/>
      <c r="BS46" s="2518"/>
      <c r="BT46" s="2518"/>
      <c r="BU46" s="2518"/>
      <c r="BV46" s="2518"/>
      <c r="BW46" s="2518"/>
      <c r="BX46" s="2518"/>
      <c r="BY46" s="2518"/>
      <c r="BZ46" s="2518"/>
      <c r="CA46" s="2518"/>
      <c r="CB46" s="2888"/>
      <c r="CC46" s="2518"/>
      <c r="CD46" s="2518"/>
      <c r="CE46" s="2888"/>
      <c r="CF46" s="2888"/>
      <c r="CG46" s="2888"/>
      <c r="CH46" s="2518"/>
      <c r="CI46" s="2518"/>
      <c r="CJ46" s="2888"/>
      <c r="CK46" s="2888"/>
      <c r="CL46" s="2888"/>
      <c r="CM46" s="2888"/>
      <c r="CN46" s="2888"/>
      <c r="CO46" s="2888"/>
      <c r="CP46" s="2888"/>
      <c r="CQ46" s="2518"/>
      <c r="CR46" s="2518"/>
      <c r="CS46" s="2518"/>
      <c r="CT46" s="2518"/>
      <c r="CU46" s="2888"/>
      <c r="CV46" s="2518"/>
      <c r="CW46" s="2888"/>
      <c r="CX46" s="2888"/>
      <c r="CY46" s="2888"/>
      <c r="CZ46" s="2518"/>
      <c r="DA46" s="2518"/>
      <c r="DB46" s="3731"/>
      <c r="DC46" s="2518"/>
      <c r="DD46" s="2888"/>
      <c r="DE46" s="2888"/>
      <c r="DF46" s="2888"/>
      <c r="DG46" s="2888"/>
      <c r="DH46" s="2888"/>
      <c r="DI46" s="2518"/>
      <c r="DJ46" s="2888"/>
      <c r="DK46" s="2888"/>
      <c r="DL46" s="2518"/>
      <c r="DM46" s="2518"/>
      <c r="DN46" s="2888"/>
      <c r="DO46" s="2888"/>
      <c r="DP46" s="2888"/>
      <c r="DQ46" s="2888"/>
      <c r="DR46" s="2518"/>
      <c r="DS46" s="2888"/>
      <c r="DT46" s="2888"/>
      <c r="DU46" s="2888"/>
      <c r="DV46" s="2888"/>
      <c r="DW46" s="2888"/>
      <c r="DX46" s="2888"/>
      <c r="DY46" s="2888"/>
      <c r="DZ46" s="2888"/>
      <c r="EA46" s="2888"/>
      <c r="EB46" s="2888"/>
      <c r="EC46" s="2888"/>
      <c r="ED46" s="2888"/>
      <c r="EE46" s="2888"/>
      <c r="EF46" s="2888"/>
      <c r="EG46" s="2888"/>
      <c r="EH46" s="2888"/>
      <c r="EI46" s="2888"/>
      <c r="EJ46" s="2518"/>
      <c r="EK46" s="2888"/>
      <c r="EL46" s="2888"/>
      <c r="EM46" s="2888"/>
      <c r="EN46" s="2518"/>
      <c r="EO46" s="2888"/>
      <c r="EP46" s="2888"/>
      <c r="EQ46" s="2888"/>
      <c r="ER46" s="2888"/>
      <c r="ES46" s="2888"/>
      <c r="ET46" s="2888"/>
      <c r="EU46" s="2518"/>
      <c r="EV46" s="2888"/>
      <c r="EW46" s="2888"/>
      <c r="EX46" s="2888"/>
      <c r="EY46" s="2888"/>
      <c r="EZ46" s="2888"/>
      <c r="FA46" s="2888"/>
      <c r="FB46" s="2888"/>
      <c r="FC46" s="2888"/>
      <c r="FD46" s="2888"/>
      <c r="FE46" s="2888"/>
      <c r="FF46" s="2518"/>
      <c r="FG46" s="2888"/>
      <c r="FH46" s="2888"/>
      <c r="FI46" s="2888"/>
      <c r="FJ46" s="2888"/>
      <c r="FK46" s="2888"/>
      <c r="FL46" s="2888"/>
      <c r="FM46" s="2888"/>
      <c r="FN46" s="2888"/>
      <c r="FO46" s="2888"/>
      <c r="FP46" s="2888"/>
      <c r="FQ46" s="2888"/>
      <c r="FR46" s="2888"/>
      <c r="FS46" s="2888"/>
      <c r="FT46" s="2518"/>
      <c r="FU46" s="2518"/>
      <c r="FV46" s="2518"/>
      <c r="FW46" s="2888"/>
      <c r="FX46" s="2518"/>
      <c r="FY46" s="2888"/>
      <c r="FZ46" s="2888"/>
      <c r="GA46" s="2888"/>
      <c r="GB46" s="2888"/>
      <c r="GC46" s="2888"/>
      <c r="GD46" s="2888"/>
      <c r="GE46" s="2518"/>
      <c r="GF46" s="2518"/>
      <c r="GG46" s="2518"/>
      <c r="GH46" s="2888"/>
      <c r="GI46" s="2888"/>
      <c r="GJ46" s="2518"/>
      <c r="GK46" s="2888"/>
      <c r="GL46" s="2888"/>
      <c r="GM46" s="2888"/>
      <c r="GN46" s="2888"/>
      <c r="GO46" s="2888"/>
      <c r="GP46" s="2888"/>
      <c r="GQ46" s="2888"/>
      <c r="GR46" s="2888"/>
      <c r="GS46" s="2888"/>
      <c r="GT46" s="2888"/>
      <c r="GU46" s="2888"/>
      <c r="GV46" s="2888"/>
      <c r="GW46" s="2518"/>
      <c r="GX46" s="2518"/>
      <c r="GY46" s="2888"/>
      <c r="GZ46" s="2888"/>
      <c r="HA46" s="2888"/>
      <c r="HB46" s="2518"/>
      <c r="HC46" s="2888"/>
      <c r="HD46" s="2518"/>
      <c r="HE46" s="2888"/>
      <c r="HF46" s="2518"/>
      <c r="HG46" s="2518"/>
      <c r="HH46" s="2888"/>
      <c r="HI46" s="2888"/>
      <c r="HJ46" s="2888"/>
      <c r="HK46" s="2888"/>
      <c r="HL46" s="2888"/>
      <c r="HM46" s="2888"/>
      <c r="HN46" s="2888"/>
      <c r="HO46" s="2888"/>
      <c r="HP46" s="2888"/>
      <c r="HQ46" s="2888"/>
      <c r="HR46" s="2888"/>
      <c r="HS46" s="2518"/>
      <c r="HT46" s="2888"/>
      <c r="HU46" s="2888"/>
      <c r="HV46" s="2888"/>
      <c r="HW46" s="2888"/>
      <c r="HX46" s="2888"/>
      <c r="HY46" s="2888"/>
      <c r="HZ46" s="2888"/>
      <c r="IA46" s="2888"/>
      <c r="IB46" s="2888"/>
      <c r="IC46" s="2888"/>
      <c r="ID46" s="2888"/>
      <c r="IE46" s="2888"/>
      <c r="IF46" s="2888"/>
      <c r="IG46" s="2888"/>
      <c r="IH46" s="2888"/>
      <c r="II46" s="2888"/>
      <c r="IJ46" s="2888"/>
      <c r="IK46" s="2888"/>
      <c r="IL46" s="2888"/>
      <c r="IM46" s="2888"/>
      <c r="IN46" s="2888"/>
      <c r="IO46" s="2518"/>
      <c r="IP46" s="2888"/>
      <c r="IQ46" s="2888"/>
      <c r="IR46" s="2888"/>
      <c r="IS46" s="4011"/>
      <c r="IT46" s="4004"/>
      <c r="IU46" s="4004"/>
      <c r="IV46" s="4004"/>
      <c r="IW46" s="4004"/>
      <c r="IX46" s="4004"/>
      <c r="IY46" s="4004"/>
      <c r="IZ46" s="2888"/>
      <c r="JA46" s="4004"/>
      <c r="JB46" s="4004"/>
      <c r="JC46" s="2888"/>
      <c r="JD46" s="2888"/>
      <c r="JE46" s="2888"/>
      <c r="JF46" s="2888"/>
      <c r="JG46" s="2616"/>
      <c r="JH46" s="1233"/>
      <c r="JI46" s="1393"/>
      <c r="JJ46" s="1686" t="s">
        <v>6108</v>
      </c>
    </row>
    <row r="47" spans="1:270" x14ac:dyDescent="0.2">
      <c r="A47" s="1128">
        <v>47</v>
      </c>
      <c r="B47" s="1534" t="str">
        <f si="1" t="shared"/>
        <v/>
      </c>
      <c r="C47" s="1548" t="s">
        <v>3468</v>
      </c>
      <c r="D47" s="676" t="s">
        <v>5716</v>
      </c>
      <c r="E47" s="2511"/>
      <c r="F47" s="2472"/>
      <c r="G47" s="2472"/>
      <c r="H47" s="2472"/>
      <c r="I47" s="2472"/>
      <c r="J47" s="2472"/>
      <c r="K47" s="2472"/>
      <c r="L47" s="2472"/>
      <c r="M47" s="2472"/>
      <c r="N47" s="2511"/>
      <c r="O47" s="2472"/>
      <c r="P47" s="2472"/>
      <c r="Q47" s="2472"/>
      <c r="R47" s="2472"/>
      <c r="S47" s="2472"/>
      <c r="T47" s="2472"/>
      <c r="U47" s="2472"/>
      <c r="V47" s="2472"/>
      <c r="W47" s="2472"/>
      <c r="X47" s="2472"/>
      <c r="Y47" s="2472"/>
      <c r="Z47" s="2472"/>
      <c r="AA47" s="2472"/>
      <c r="AB47" s="2472"/>
      <c r="AC47" s="2472"/>
      <c r="AD47" s="2472"/>
      <c r="AE47" s="2472"/>
      <c r="AF47" s="2472"/>
      <c r="AG47" s="2472"/>
      <c r="AH47" s="2472"/>
      <c r="AI47" s="2472"/>
      <c r="AJ47" s="2511"/>
      <c r="AK47" s="2472"/>
      <c r="AL47" s="2472"/>
      <c r="AM47" s="2472"/>
      <c r="AN47" s="2472"/>
      <c r="AO47" s="2472"/>
      <c r="AP47" s="2472"/>
      <c r="AQ47" s="2472"/>
      <c r="AR47" s="2472"/>
      <c r="AS47" s="2472"/>
      <c r="AT47" s="2472"/>
      <c r="AU47" s="2472"/>
      <c r="AV47" s="2472"/>
      <c r="AW47" s="2472"/>
      <c r="AX47" s="2472"/>
      <c r="AY47" s="2472"/>
      <c r="AZ47" s="2472"/>
      <c r="BA47" s="2472"/>
      <c r="BB47" s="2472"/>
      <c r="BC47" s="2472"/>
      <c r="BD47" s="2472"/>
      <c r="BE47" s="2472"/>
      <c r="BF47" s="2472"/>
      <c r="BG47" s="2472"/>
      <c r="BH47" s="2472"/>
      <c r="BI47" s="3728"/>
      <c r="BJ47" s="2472"/>
      <c r="BK47" s="3728"/>
      <c r="BL47" s="2472"/>
      <c r="BM47" s="2472"/>
      <c r="BN47" s="2472"/>
      <c r="BO47" s="2472"/>
      <c r="BP47" s="2472"/>
      <c r="BQ47" s="2472"/>
      <c r="BR47" s="2472"/>
      <c r="BS47" s="2472"/>
      <c r="BT47" s="2472"/>
      <c r="BU47" s="2472"/>
      <c r="BV47" s="2472"/>
      <c r="BW47" s="2472"/>
      <c r="BX47" s="2472">
        <v>302</v>
      </c>
      <c r="BY47" s="2472"/>
      <c r="BZ47" s="2472"/>
      <c r="CA47" s="2472"/>
      <c r="CB47" s="2841"/>
      <c r="CC47" s="2472"/>
      <c r="CD47" s="2472"/>
      <c r="CE47" s="2841"/>
      <c r="CF47" s="2841"/>
      <c r="CG47" s="2841"/>
      <c r="CH47" s="2472"/>
      <c r="CI47" s="2472">
        <v>302</v>
      </c>
      <c r="CJ47" s="2841"/>
      <c r="CK47" s="2841"/>
      <c r="CL47" s="2841"/>
      <c r="CM47" s="2841"/>
      <c r="CN47" s="2841"/>
      <c r="CO47" s="2841"/>
      <c r="CP47" s="2841"/>
      <c r="CQ47" s="2472">
        <v>302</v>
      </c>
      <c r="CR47" s="2472"/>
      <c r="CS47" s="2472"/>
      <c r="CT47" s="2472"/>
      <c r="CU47" s="2841"/>
      <c r="CV47" s="2472"/>
      <c r="CW47" s="2841"/>
      <c r="CX47" s="2841"/>
      <c r="CY47" s="2841"/>
      <c r="CZ47" s="2472"/>
      <c r="DA47" s="2472"/>
      <c r="DB47" s="3728"/>
      <c r="DC47" s="2472">
        <v>302</v>
      </c>
      <c r="DD47" s="2841"/>
      <c r="DE47" s="2841"/>
      <c r="DF47" s="2841"/>
      <c r="DG47" s="2841"/>
      <c r="DH47" s="2841"/>
      <c r="DI47" s="2472"/>
      <c r="DJ47" s="2841"/>
      <c r="DK47" s="2841"/>
      <c r="DL47" s="2472"/>
      <c r="DM47" s="2472">
        <v>302</v>
      </c>
      <c r="DN47" s="2841"/>
      <c r="DO47" s="2841"/>
      <c r="DP47" s="2841"/>
      <c r="DQ47" s="2841"/>
      <c r="DR47" s="2472"/>
      <c r="DS47" s="2841"/>
      <c r="DT47" s="2841"/>
      <c r="DU47" s="2841"/>
      <c r="DV47" s="2841"/>
      <c r="DW47" s="2841"/>
      <c r="DX47" s="2841"/>
      <c r="DY47" s="2841"/>
      <c r="DZ47" s="2841"/>
      <c r="EA47" s="2841"/>
      <c r="EB47" s="2841"/>
      <c r="EC47" s="2841"/>
      <c r="ED47" s="2841"/>
      <c r="EE47" s="2841"/>
      <c r="EF47" s="2841"/>
      <c r="EG47" s="2841"/>
      <c r="EH47" s="2841"/>
      <c r="EI47" s="2841"/>
      <c r="EJ47" s="2472"/>
      <c r="EK47" s="2841"/>
      <c r="EL47" s="2841"/>
      <c r="EM47" s="2841"/>
      <c r="EN47" s="2472"/>
      <c r="EO47" s="2841"/>
      <c r="EP47" s="2841"/>
      <c r="EQ47" s="2841"/>
      <c r="ER47" s="2841"/>
      <c r="ES47" s="2841"/>
      <c r="ET47" s="2841"/>
      <c r="EU47" s="2472"/>
      <c r="EV47" s="2841"/>
      <c r="EW47" s="2841"/>
      <c r="EX47" s="2841"/>
      <c r="EY47" s="2841"/>
      <c r="EZ47" s="2841"/>
      <c r="FA47" s="2841"/>
      <c r="FB47" s="2841"/>
      <c r="FC47" s="2841"/>
      <c r="FD47" s="2841"/>
      <c r="FE47" s="2841"/>
      <c r="FF47" s="2472"/>
      <c r="FG47" s="2841"/>
      <c r="FH47" s="2841"/>
      <c r="FI47" s="2841"/>
      <c r="FJ47" s="2841"/>
      <c r="FK47" s="2841"/>
      <c r="FL47" s="2841"/>
      <c r="FM47" s="2841"/>
      <c r="FN47" s="2841"/>
      <c r="FO47" s="2841"/>
      <c r="FP47" s="2841"/>
      <c r="FQ47" s="2841"/>
      <c r="FR47" s="2841"/>
      <c r="FS47" s="2841"/>
      <c r="FT47" s="2472"/>
      <c r="FU47" s="2472"/>
      <c r="FV47" s="2472"/>
      <c r="FW47" s="2841"/>
      <c r="FX47" s="2472"/>
      <c r="FY47" s="2841"/>
      <c r="FZ47" s="2841"/>
      <c r="GA47" s="2841"/>
      <c r="GB47" s="2841"/>
      <c r="GC47" s="2841"/>
      <c r="GD47" s="2841"/>
      <c r="GE47" s="2472"/>
      <c r="GF47" s="2472"/>
      <c r="GG47" s="2472"/>
      <c r="GH47" s="2841"/>
      <c r="GI47" s="2841"/>
      <c r="GJ47" s="2472"/>
      <c r="GK47" s="2841"/>
      <c r="GL47" s="2841"/>
      <c r="GM47" s="2841"/>
      <c r="GN47" s="2841"/>
      <c r="GO47" s="2841"/>
      <c r="GP47" s="2841"/>
      <c r="GQ47" s="2841"/>
      <c r="GR47" s="2841"/>
      <c r="GS47" s="2841"/>
      <c r="GT47" s="2841"/>
      <c r="GU47" s="2841"/>
      <c r="GV47" s="2841"/>
      <c r="GW47" s="2472"/>
      <c r="GX47" s="2472">
        <v>302</v>
      </c>
      <c r="GY47" s="2841"/>
      <c r="GZ47" s="2841"/>
      <c r="HA47" s="2841"/>
      <c r="HB47" s="2472"/>
      <c r="HC47" s="2841"/>
      <c r="HD47" s="2472"/>
      <c r="HE47" s="2841"/>
      <c r="HF47" s="2472"/>
      <c r="HG47" s="2472"/>
      <c r="HH47" s="2841"/>
      <c r="HI47" s="2841"/>
      <c r="HJ47" s="2841"/>
      <c r="HK47" s="2841"/>
      <c r="HL47" s="2841"/>
      <c r="HM47" s="2841"/>
      <c r="HN47" s="2841"/>
      <c r="HO47" s="2841"/>
      <c r="HP47" s="2841"/>
      <c r="HQ47" s="2841"/>
      <c r="HR47" s="2841"/>
      <c r="HS47" s="2472"/>
      <c r="HT47" s="2841"/>
      <c r="HU47" s="2841"/>
      <c r="HV47" s="2841"/>
      <c r="HW47" s="2841"/>
      <c r="HX47" s="2841"/>
      <c r="HY47" s="2841"/>
      <c r="HZ47" s="2841"/>
      <c r="IA47" s="2841"/>
      <c r="IB47" s="2841"/>
      <c r="IC47" s="2841"/>
      <c r="ID47" s="2841"/>
      <c r="IE47" s="2841"/>
      <c r="IF47" s="2841"/>
      <c r="IG47" s="2841"/>
      <c r="IH47" s="2841"/>
      <c r="II47" s="2841"/>
      <c r="IJ47" s="2841"/>
      <c r="IK47" s="2841"/>
      <c r="IL47" s="2841"/>
      <c r="IM47" s="2841"/>
      <c r="IN47" s="2841"/>
      <c r="IO47" s="2472"/>
      <c r="IP47" s="2841"/>
      <c r="IQ47" s="2841"/>
      <c r="IR47" s="2841"/>
      <c r="IS47" s="4009"/>
      <c r="IT47" s="3998"/>
      <c r="IU47" s="3998"/>
      <c r="IV47" s="3998"/>
      <c r="IW47" s="3998"/>
      <c r="IX47" s="3998"/>
      <c r="IY47" s="3998"/>
      <c r="IZ47" s="2841"/>
      <c r="JA47" s="3998"/>
      <c r="JB47" s="3998"/>
      <c r="JC47" s="2841"/>
      <c r="JD47" s="2841"/>
      <c r="JE47" s="2841"/>
      <c r="JF47" s="2841"/>
      <c r="JG47" s="2617"/>
      <c r="JH47" s="1233"/>
      <c r="JI47" s="1393"/>
      <c r="JJ47" s="1686" t="s">
        <v>6108</v>
      </c>
    </row>
    <row r="48" spans="1:270" x14ac:dyDescent="0.2">
      <c r="A48" s="1128">
        <v>48</v>
      </c>
      <c r="B48" s="1534" t="str">
        <f si="1" t="shared"/>
        <v/>
      </c>
      <c r="C48" s="1548" t="s">
        <v>3469</v>
      </c>
      <c r="D48" s="676" t="s">
        <v>5717</v>
      </c>
      <c r="E48" s="2511"/>
      <c r="F48" s="2472"/>
      <c r="G48" s="2472"/>
      <c r="H48" s="2472"/>
      <c r="I48" s="2472"/>
      <c r="J48" s="2472"/>
      <c r="K48" s="2472"/>
      <c r="L48" s="2472"/>
      <c r="M48" s="2472"/>
      <c r="N48" s="2511"/>
      <c r="O48" s="2472"/>
      <c r="P48" s="2472"/>
      <c r="Q48" s="2472"/>
      <c r="R48" s="2472"/>
      <c r="S48" s="2472"/>
      <c r="T48" s="2472">
        <v>218</v>
      </c>
      <c r="U48" s="2472"/>
      <c r="V48" s="2472"/>
      <c r="W48" s="2472"/>
      <c r="X48" s="2472"/>
      <c r="Y48" s="2472"/>
      <c r="Z48" s="2472"/>
      <c r="AA48" s="2472"/>
      <c r="AB48" s="2472"/>
      <c r="AC48" s="2472"/>
      <c r="AD48" s="2472"/>
      <c r="AE48" s="2472"/>
      <c r="AF48" s="2472"/>
      <c r="AG48" s="2472"/>
      <c r="AH48" s="2472"/>
      <c r="AI48" s="2472"/>
      <c r="AJ48" s="2511">
        <v>593</v>
      </c>
      <c r="AK48" s="2472"/>
      <c r="AL48" s="2472"/>
      <c r="AM48" s="2472"/>
      <c r="AN48" s="2472"/>
      <c r="AO48" s="2472"/>
      <c r="AP48" s="2472"/>
      <c r="AQ48" s="2472"/>
      <c r="AR48" s="2472">
        <v>750</v>
      </c>
      <c r="AS48" s="2472"/>
      <c r="AT48" s="2472"/>
      <c r="AU48" s="2472"/>
      <c r="AV48" s="2472"/>
      <c r="AW48" s="2472">
        <v>1654</v>
      </c>
      <c r="AX48" s="2472"/>
      <c r="AY48" s="2472">
        <v>1654</v>
      </c>
      <c r="AZ48" s="2472">
        <v>1654</v>
      </c>
      <c r="BA48" s="2472"/>
      <c r="BB48" s="2472"/>
      <c r="BC48" s="2472"/>
      <c r="BD48" s="2472"/>
      <c r="BE48" s="2472"/>
      <c r="BF48" s="2472"/>
      <c r="BG48" s="2472"/>
      <c r="BH48" s="2472"/>
      <c r="BI48" s="3728"/>
      <c r="BJ48" s="2472"/>
      <c r="BK48" s="3728"/>
      <c r="BL48" s="2472"/>
      <c r="BM48" s="2472"/>
      <c r="BN48" s="2472"/>
      <c r="BO48" s="2472"/>
      <c r="BP48" s="2472"/>
      <c r="BQ48" s="2472"/>
      <c r="BR48" s="2472"/>
      <c r="BS48" s="2472"/>
      <c r="BT48" s="2472"/>
      <c r="BU48" s="2472"/>
      <c r="BV48" s="2472"/>
      <c r="BW48" s="2472"/>
      <c r="BX48" s="2472"/>
      <c r="BY48" s="2472"/>
      <c r="BZ48" s="2472"/>
      <c r="CA48" s="2472"/>
      <c r="CB48" s="3728">
        <v>1754</v>
      </c>
      <c r="CC48" s="2472">
        <v>1654</v>
      </c>
      <c r="CD48" s="2472"/>
      <c r="CE48" s="2841"/>
      <c r="CF48" s="2841"/>
      <c r="CG48" s="2841"/>
      <c r="CH48" s="2472"/>
      <c r="CI48" s="2472"/>
      <c r="CJ48" s="2841"/>
      <c r="CK48" s="2841"/>
      <c r="CL48" s="2841"/>
      <c r="CM48" s="2841"/>
      <c r="CN48" s="2841"/>
      <c r="CO48" s="2841"/>
      <c r="CP48" s="2841"/>
      <c r="CQ48" s="2472"/>
      <c r="CR48" s="2472">
        <v>4880</v>
      </c>
      <c r="CS48" s="2472">
        <v>4880</v>
      </c>
      <c r="CT48" s="2472"/>
      <c r="CU48" s="2841"/>
      <c r="CV48" s="2472">
        <v>5900</v>
      </c>
      <c r="CW48" s="2841"/>
      <c r="CX48" s="2841"/>
      <c r="CY48" s="2841"/>
      <c r="CZ48" s="2472">
        <v>1654</v>
      </c>
      <c r="DA48" s="2472">
        <v>1654</v>
      </c>
      <c r="DB48" s="3728">
        <v>4880</v>
      </c>
      <c r="DC48" s="2472"/>
      <c r="DD48" s="2841"/>
      <c r="DE48" s="2841"/>
      <c r="DF48" s="2841"/>
      <c r="DG48" s="2841"/>
      <c r="DH48" s="2841"/>
      <c r="DI48" s="2472">
        <v>5900</v>
      </c>
      <c r="DJ48" s="2841"/>
      <c r="DK48" s="2841"/>
      <c r="DL48" s="2472">
        <v>5900</v>
      </c>
      <c r="DM48" s="2472"/>
      <c r="DN48" s="2841"/>
      <c r="DO48" s="2841"/>
      <c r="DP48" s="2841"/>
      <c r="DQ48" s="2841"/>
      <c r="DR48" s="2472">
        <v>1654</v>
      </c>
      <c r="DS48" s="2841"/>
      <c r="DT48" s="2841"/>
      <c r="DU48" s="2841"/>
      <c r="DV48" s="2841"/>
      <c r="DW48" s="2841">
        <v>211</v>
      </c>
      <c r="DX48" s="2841"/>
      <c r="DY48" s="2841"/>
      <c r="DZ48" s="2841"/>
      <c r="EA48" s="2841"/>
      <c r="EB48" s="2841"/>
      <c r="EC48" s="2841"/>
      <c r="ED48" s="2841"/>
      <c r="EE48" s="2841"/>
      <c r="EF48" s="2841"/>
      <c r="EG48" s="2841"/>
      <c r="EH48" s="2841"/>
      <c r="EI48" s="2841"/>
      <c r="EJ48" s="2472"/>
      <c r="EK48" s="2841"/>
      <c r="EL48" s="2841"/>
      <c r="EM48" s="2841"/>
      <c r="EN48" s="2472">
        <v>1654</v>
      </c>
      <c r="EO48" s="2841"/>
      <c r="EP48" s="2841"/>
      <c r="EQ48" s="2841"/>
      <c r="ER48" s="2841"/>
      <c r="ES48" s="2841"/>
      <c r="ET48" s="2841"/>
      <c r="EU48" s="2472">
        <v>4880</v>
      </c>
      <c r="EV48" s="2841"/>
      <c r="EW48" s="2841"/>
      <c r="EX48" s="2841"/>
      <c r="EY48" s="2841"/>
      <c r="EZ48" s="2841"/>
      <c r="FA48" s="2841"/>
      <c r="FB48" s="2841"/>
      <c r="FC48" s="2841"/>
      <c r="FD48" s="2841"/>
      <c r="FE48" s="2841"/>
      <c r="FF48" s="2472"/>
      <c r="FG48" s="2841"/>
      <c r="FH48" s="2841"/>
      <c r="FI48" s="2841"/>
      <c r="FJ48" s="2841"/>
      <c r="FK48" s="2841"/>
      <c r="FL48" s="2841"/>
      <c r="FM48" s="2841"/>
      <c r="FN48" s="2841"/>
      <c r="FO48" s="2841"/>
      <c r="FP48" s="2841"/>
      <c r="FQ48" s="2841"/>
      <c r="FR48" s="2841"/>
      <c r="FS48" s="2841"/>
      <c r="FT48" s="2472">
        <v>1654</v>
      </c>
      <c r="FU48" s="2472">
        <v>1654</v>
      </c>
      <c r="FV48" s="2472"/>
      <c r="FW48" s="2841"/>
      <c r="FX48" s="2472">
        <v>4880</v>
      </c>
      <c r="FY48" s="2841"/>
      <c r="FZ48" s="2841"/>
      <c r="GA48" s="2841"/>
      <c r="GB48" s="2841"/>
      <c r="GC48" s="2841"/>
      <c r="GD48" s="2841"/>
      <c r="GE48" s="2472"/>
      <c r="GF48" s="2472"/>
      <c r="GG48" s="2472">
        <v>4880</v>
      </c>
      <c r="GH48" s="2841"/>
      <c r="GI48" s="2841"/>
      <c r="GJ48" s="2472">
        <v>4880</v>
      </c>
      <c r="GK48" s="2841"/>
      <c r="GL48" s="2841"/>
      <c r="GM48" s="2841"/>
      <c r="GN48" s="2841"/>
      <c r="GO48" s="2841"/>
      <c r="GP48" s="2841"/>
      <c r="GQ48" s="2841"/>
      <c r="GR48" s="2841"/>
      <c r="GS48" s="2841"/>
      <c r="GT48" s="2841"/>
      <c r="GU48" s="2841"/>
      <c r="GV48" s="2841"/>
      <c r="GW48" s="2472">
        <v>4880</v>
      </c>
      <c r="GX48" s="2472"/>
      <c r="GY48" s="2841"/>
      <c r="GZ48" s="2841"/>
      <c r="HA48" s="2841"/>
      <c r="HB48" s="2472">
        <v>5900</v>
      </c>
      <c r="HC48" s="2841"/>
      <c r="HD48" s="2472"/>
      <c r="HE48" s="2841"/>
      <c r="HF48" s="2472"/>
      <c r="HG48" s="2472"/>
      <c r="HH48" s="2841"/>
      <c r="HI48" s="2841"/>
      <c r="HJ48" s="2841"/>
      <c r="HK48" s="2841"/>
      <c r="HL48" s="2841"/>
      <c r="HM48" s="2841"/>
      <c r="HN48" s="2841"/>
      <c r="HO48" s="2841"/>
      <c r="HP48" s="2841"/>
      <c r="HQ48" s="2841"/>
      <c r="HR48" s="2841"/>
      <c r="HS48" s="2472"/>
      <c r="HT48" s="2841"/>
      <c r="HU48" s="2841"/>
      <c r="HV48" s="2841"/>
      <c r="HW48" s="2841"/>
      <c r="HX48" s="2841"/>
      <c r="HY48" s="2841"/>
      <c r="HZ48" s="2841"/>
      <c r="IA48" s="2841"/>
      <c r="IB48" s="2841"/>
      <c r="IC48" s="2841"/>
      <c r="ID48" s="2841"/>
      <c r="IE48" s="2841"/>
      <c r="IF48" s="2841"/>
      <c r="IG48" s="2841"/>
      <c r="IH48" s="2841"/>
      <c r="II48" s="2841"/>
      <c r="IJ48" s="2841"/>
      <c r="IK48" s="2841"/>
      <c r="IL48" s="2841"/>
      <c r="IM48" s="2841"/>
      <c r="IN48" s="2841"/>
      <c r="IO48" s="2472">
        <v>128</v>
      </c>
      <c r="IP48" s="3539">
        <v>2644</v>
      </c>
      <c r="IQ48" s="2841"/>
      <c r="IR48" s="2841"/>
      <c r="IS48" s="4009">
        <v>151</v>
      </c>
      <c r="IT48" s="3998">
        <v>22048</v>
      </c>
      <c r="IU48" s="3998">
        <v>1516</v>
      </c>
      <c r="IV48" s="3998"/>
      <c r="IW48" s="3998">
        <v>4518</v>
      </c>
      <c r="IX48" s="3998">
        <v>161</v>
      </c>
      <c r="IY48" s="3998">
        <v>161</v>
      </c>
      <c r="IZ48" s="2841"/>
      <c r="JA48" s="3998">
        <v>2790</v>
      </c>
      <c r="JB48" s="3998">
        <v>6676</v>
      </c>
      <c r="JC48" s="2841"/>
      <c r="JD48" s="2841"/>
      <c r="JE48" s="2841"/>
      <c r="JF48" s="2841"/>
      <c r="JG48" s="2617"/>
      <c r="JH48" s="1233"/>
      <c r="JI48" s="1393"/>
      <c r="JJ48" s="1686" t="s">
        <v>6108</v>
      </c>
    </row>
    <row r="49" spans="1:270" x14ac:dyDescent="0.2">
      <c r="A49" s="1128">
        <v>49</v>
      </c>
      <c r="B49" s="1534" t="str">
        <f si="1" t="shared"/>
        <v/>
      </c>
      <c r="C49" s="1548" t="s">
        <v>3470</v>
      </c>
      <c r="D49" s="676" t="s">
        <v>5718</v>
      </c>
      <c r="E49" s="2511"/>
      <c r="F49" s="2472"/>
      <c r="G49" s="2472"/>
      <c r="H49" s="2472"/>
      <c r="I49" s="2472"/>
      <c r="J49" s="2472"/>
      <c r="K49" s="2472"/>
      <c r="L49" s="2472"/>
      <c r="M49" s="2472"/>
      <c r="N49" s="2511"/>
      <c r="O49" s="2472"/>
      <c r="P49" s="2472"/>
      <c r="Q49" s="2472"/>
      <c r="R49" s="2472"/>
      <c r="S49" s="2472"/>
      <c r="T49" s="2511">
        <v>1817</v>
      </c>
      <c r="U49" s="2472"/>
      <c r="V49" s="2472"/>
      <c r="W49" s="2472"/>
      <c r="X49" s="2472"/>
      <c r="Y49" s="2472"/>
      <c r="Z49" s="2472"/>
      <c r="AA49" s="2472"/>
      <c r="AB49" s="2472"/>
      <c r="AC49" s="2472"/>
      <c r="AD49" s="2472"/>
      <c r="AE49" s="2472"/>
      <c r="AF49" s="2472"/>
      <c r="AG49" s="2472"/>
      <c r="AH49" s="2472"/>
      <c r="AI49" s="2472"/>
      <c r="AJ49" s="2511">
        <v>1505</v>
      </c>
      <c r="AK49" s="2472"/>
      <c r="AL49" s="2472"/>
      <c r="AM49" s="2472"/>
      <c r="AN49" s="2472"/>
      <c r="AO49" s="2472"/>
      <c r="AP49" s="2472"/>
      <c r="AQ49" s="2472"/>
      <c r="AR49" s="2472">
        <v>130</v>
      </c>
      <c r="AS49" s="2472"/>
      <c r="AT49" s="2472"/>
      <c r="AU49" s="2472"/>
      <c r="AV49" s="2472"/>
      <c r="AW49" s="2472">
        <v>4000</v>
      </c>
      <c r="AX49" s="2472"/>
      <c r="AY49" s="2472">
        <v>4000</v>
      </c>
      <c r="AZ49" s="2472">
        <v>4000</v>
      </c>
      <c r="BA49" s="2472"/>
      <c r="BB49" s="2472"/>
      <c r="BC49" s="2472"/>
      <c r="BD49" s="2472"/>
      <c r="BE49" s="2472"/>
      <c r="BF49" s="2472"/>
      <c r="BG49" s="2472"/>
      <c r="BH49" s="2472"/>
      <c r="BI49" s="3728"/>
      <c r="BJ49" s="2472"/>
      <c r="BK49" s="3728"/>
      <c r="BL49" s="2472"/>
      <c r="BM49" s="2472"/>
      <c r="BN49" s="2472"/>
      <c r="BO49" s="2472"/>
      <c r="BP49" s="2472"/>
      <c r="BQ49" s="2472"/>
      <c r="BR49" s="2472"/>
      <c r="BS49" s="2472"/>
      <c r="BT49" s="2472"/>
      <c r="BU49" s="2472"/>
      <c r="BV49" s="2472"/>
      <c r="BW49" s="2472"/>
      <c r="BX49" s="2472">
        <v>472</v>
      </c>
      <c r="BY49" s="2472"/>
      <c r="BZ49" s="2472"/>
      <c r="CA49" s="2472"/>
      <c r="CB49" s="3728">
        <v>14000</v>
      </c>
      <c r="CC49" s="2472">
        <v>4000</v>
      </c>
      <c r="CD49" s="2472"/>
      <c r="CE49" s="2841"/>
      <c r="CF49" s="2841"/>
      <c r="CG49" s="2841"/>
      <c r="CH49" s="2472"/>
      <c r="CI49" s="2472">
        <v>472</v>
      </c>
      <c r="CJ49" s="2841"/>
      <c r="CK49" s="2841"/>
      <c r="CL49" s="2841"/>
      <c r="CM49" s="2841"/>
      <c r="CN49" s="2841"/>
      <c r="CO49" s="2841"/>
      <c r="CP49" s="2841"/>
      <c r="CQ49" s="2472">
        <v>472</v>
      </c>
      <c r="CR49" s="2472">
        <v>3775</v>
      </c>
      <c r="CS49" s="2472">
        <v>3775</v>
      </c>
      <c r="CT49" s="2472"/>
      <c r="CU49" s="2841"/>
      <c r="CV49" s="2472">
        <v>4216</v>
      </c>
      <c r="CW49" s="2841"/>
      <c r="CX49" s="2841"/>
      <c r="CY49" s="2841"/>
      <c r="CZ49" s="2472">
        <v>4000</v>
      </c>
      <c r="DA49" s="2472">
        <v>4000</v>
      </c>
      <c r="DB49" s="3728">
        <v>3775</v>
      </c>
      <c r="DC49" s="2472">
        <v>472</v>
      </c>
      <c r="DD49" s="2841"/>
      <c r="DE49" s="2841"/>
      <c r="DF49" s="2841"/>
      <c r="DG49" s="2841"/>
      <c r="DH49" s="2841"/>
      <c r="DI49" s="2472">
        <v>4216</v>
      </c>
      <c r="DJ49" s="2841"/>
      <c r="DK49" s="2841"/>
      <c r="DL49" s="2472">
        <v>4216</v>
      </c>
      <c r="DM49" s="2472">
        <v>472</v>
      </c>
      <c r="DN49" s="2841"/>
      <c r="DO49" s="2841"/>
      <c r="DP49" s="2841"/>
      <c r="DQ49" s="2841"/>
      <c r="DR49" s="2472">
        <v>4000</v>
      </c>
      <c r="DS49" s="2841"/>
      <c r="DT49" s="2841"/>
      <c r="DU49" s="2841"/>
      <c r="DV49" s="2841"/>
      <c r="DW49" s="2841">
        <v>208</v>
      </c>
      <c r="DX49" s="2841"/>
      <c r="DY49" s="2841"/>
      <c r="DZ49" s="2841"/>
      <c r="EA49" s="2841"/>
      <c r="EB49" s="2841"/>
      <c r="EC49" s="2841"/>
      <c r="ED49" s="2841"/>
      <c r="EE49" s="2841"/>
      <c r="EF49" s="2841"/>
      <c r="EG49" s="2841"/>
      <c r="EH49" s="2841"/>
      <c r="EI49" s="2841"/>
      <c r="EJ49" s="2472"/>
      <c r="EK49" s="2841"/>
      <c r="EL49" s="2841"/>
      <c r="EM49" s="2841"/>
      <c r="EN49" s="2472">
        <v>4000</v>
      </c>
      <c r="EO49" s="2841"/>
      <c r="EP49" s="2841"/>
      <c r="EQ49" s="2841"/>
      <c r="ER49" s="2841"/>
      <c r="ES49" s="2841"/>
      <c r="ET49" s="2841"/>
      <c r="EU49" s="2472">
        <v>3775</v>
      </c>
      <c r="EV49" s="2841"/>
      <c r="EW49" s="2841"/>
      <c r="EX49" s="2841"/>
      <c r="EY49" s="2841"/>
      <c r="EZ49" s="2841"/>
      <c r="FA49" s="2841"/>
      <c r="FB49" s="2841"/>
      <c r="FC49" s="2841"/>
      <c r="FD49" s="2841"/>
      <c r="FE49" s="2841"/>
      <c r="FF49" s="2472"/>
      <c r="FG49" s="2841"/>
      <c r="FH49" s="2841"/>
      <c r="FI49" s="2841"/>
      <c r="FJ49" s="2841"/>
      <c r="FK49" s="2841"/>
      <c r="FL49" s="2841"/>
      <c r="FM49" s="2841"/>
      <c r="FN49" s="2841"/>
      <c r="FO49" s="2841"/>
      <c r="FP49" s="2841"/>
      <c r="FQ49" s="2841"/>
      <c r="FR49" s="2841"/>
      <c r="FS49" s="2841"/>
      <c r="FT49" s="2472">
        <v>4000</v>
      </c>
      <c r="FU49" s="2472">
        <v>4000</v>
      </c>
      <c r="FV49" s="2472"/>
      <c r="FW49" s="2841"/>
      <c r="FX49" s="2472">
        <v>3775</v>
      </c>
      <c r="FY49" s="2841"/>
      <c r="FZ49" s="2841"/>
      <c r="GA49" s="2841"/>
      <c r="GB49" s="2841"/>
      <c r="GC49" s="2841"/>
      <c r="GD49" s="2841"/>
      <c r="GE49" s="2472"/>
      <c r="GF49" s="2472"/>
      <c r="GG49" s="2472">
        <v>3775</v>
      </c>
      <c r="GH49" s="2841"/>
      <c r="GI49" s="2841"/>
      <c r="GJ49" s="2472">
        <v>3775</v>
      </c>
      <c r="GK49" s="2841"/>
      <c r="GL49" s="2841"/>
      <c r="GM49" s="2841"/>
      <c r="GN49" s="2841"/>
      <c r="GO49" s="2841"/>
      <c r="GP49" s="2841"/>
      <c r="GQ49" s="2841"/>
      <c r="GR49" s="2841"/>
      <c r="GS49" s="2841"/>
      <c r="GT49" s="2841"/>
      <c r="GU49" s="2841"/>
      <c r="GV49" s="2841"/>
      <c r="GW49" s="2472">
        <v>3775</v>
      </c>
      <c r="GX49" s="2472">
        <v>472</v>
      </c>
      <c r="GY49" s="2841"/>
      <c r="GZ49" s="2841"/>
      <c r="HA49" s="2841"/>
      <c r="HB49" s="2472">
        <v>4216</v>
      </c>
      <c r="HC49" s="2841"/>
      <c r="HD49" s="2472"/>
      <c r="HE49" s="2841"/>
      <c r="HF49" s="2472"/>
      <c r="HG49" s="2472"/>
      <c r="HH49" s="2841"/>
      <c r="HI49" s="2841"/>
      <c r="HJ49" s="2841"/>
      <c r="HK49" s="2841"/>
      <c r="HL49" s="2841"/>
      <c r="HM49" s="2841"/>
      <c r="HN49" s="2841"/>
      <c r="HO49" s="2841"/>
      <c r="HP49" s="2841"/>
      <c r="HQ49" s="2841"/>
      <c r="HR49" s="2841"/>
      <c r="HS49" s="2472"/>
      <c r="HT49" s="2841"/>
      <c r="HU49" s="2841"/>
      <c r="HV49" s="2841"/>
      <c r="HW49" s="2841"/>
      <c r="HX49" s="2841"/>
      <c r="HY49" s="2841"/>
      <c r="HZ49" s="2841"/>
      <c r="IA49" s="2841"/>
      <c r="IB49" s="2841"/>
      <c r="IC49" s="2841"/>
      <c r="ID49" s="2841"/>
      <c r="IE49" s="2841"/>
      <c r="IF49" s="2841"/>
      <c r="IG49" s="2841"/>
      <c r="IH49" s="2841"/>
      <c r="II49" s="2841"/>
      <c r="IJ49" s="2841"/>
      <c r="IK49" s="2841"/>
      <c r="IL49" s="2841"/>
      <c r="IM49" s="2841"/>
      <c r="IN49" s="2841"/>
      <c r="IO49" s="2472">
        <v>340</v>
      </c>
      <c r="IP49" s="3539">
        <v>6604</v>
      </c>
      <c r="IQ49" s="2841"/>
      <c r="IR49" s="2841"/>
      <c r="IS49" s="4009">
        <v>753</v>
      </c>
      <c r="IT49" s="3998">
        <v>80176</v>
      </c>
      <c r="IU49" s="3998">
        <v>12468</v>
      </c>
      <c r="IV49" s="3998">
        <v>1513</v>
      </c>
      <c r="IW49" s="3998"/>
      <c r="IX49" s="3998">
        <v>2586</v>
      </c>
      <c r="IY49" s="3998">
        <v>2586</v>
      </c>
      <c r="IZ49" s="2841"/>
      <c r="JA49" s="3998">
        <v>23798</v>
      </c>
      <c r="JB49" s="3998">
        <v>3160</v>
      </c>
      <c r="JC49" s="2841"/>
      <c r="JD49" s="2841"/>
      <c r="JE49" s="2841"/>
      <c r="JF49" s="2841"/>
      <c r="JG49" s="2617"/>
      <c r="JH49" s="1233"/>
      <c r="JI49" s="1393"/>
      <c r="JJ49" s="1686" t="s">
        <v>6108</v>
      </c>
    </row>
    <row r="50" spans="1:270" x14ac:dyDescent="0.2">
      <c r="A50" s="1128">
        <v>50</v>
      </c>
      <c r="B50" s="1534" t="str">
        <f si="1" t="shared"/>
        <v/>
      </c>
      <c r="C50" s="1548" t="s">
        <v>3471</v>
      </c>
      <c r="D50" s="676" t="s">
        <v>5704</v>
      </c>
      <c r="E50" s="2511"/>
      <c r="F50" s="2511">
        <v>3000</v>
      </c>
      <c r="G50" s="2472"/>
      <c r="H50" s="2472"/>
      <c r="I50" s="2472"/>
      <c r="J50" s="2472"/>
      <c r="K50" s="2472"/>
      <c r="L50" s="2472"/>
      <c r="M50" s="2511">
        <v>3000</v>
      </c>
      <c r="N50" s="2511"/>
      <c r="O50" s="2511">
        <v>3000</v>
      </c>
      <c r="P50" s="2472"/>
      <c r="Q50" s="2511">
        <v>3000</v>
      </c>
      <c r="R50" s="2472"/>
      <c r="S50" s="2472"/>
      <c r="T50" s="2511">
        <v>59000</v>
      </c>
      <c r="U50" s="2511">
        <v>13000</v>
      </c>
      <c r="V50" s="2472"/>
      <c r="W50" s="2472"/>
      <c r="X50" s="2472"/>
      <c r="Y50" s="2472"/>
      <c r="Z50" s="2472"/>
      <c r="AA50" s="2472"/>
      <c r="AB50" s="2472"/>
      <c r="AC50" s="2511">
        <v>13000</v>
      </c>
      <c r="AD50" s="2511"/>
      <c r="AE50" s="2511"/>
      <c r="AF50" s="2511"/>
      <c r="AG50" s="2511"/>
      <c r="AH50" s="2511"/>
      <c r="AI50" s="2472"/>
      <c r="AJ50" s="2511">
        <v>7</v>
      </c>
      <c r="AK50" s="2472"/>
      <c r="AL50" s="2472"/>
      <c r="AM50" s="2472"/>
      <c r="AN50" s="2472"/>
      <c r="AO50" s="2472"/>
      <c r="AP50" s="2472"/>
      <c r="AQ50" s="2472"/>
      <c r="AR50" s="2472">
        <v>800</v>
      </c>
      <c r="AS50" s="2472"/>
      <c r="AT50" s="2472"/>
      <c r="AU50" s="2472"/>
      <c r="AV50" s="2472"/>
      <c r="AW50" s="2472">
        <v>1500</v>
      </c>
      <c r="AX50" s="2472"/>
      <c r="AY50" s="2472">
        <v>1500</v>
      </c>
      <c r="AZ50" s="2472">
        <v>1500</v>
      </c>
      <c r="BA50" s="2472"/>
      <c r="BB50" s="2472"/>
      <c r="BC50" s="2472"/>
      <c r="BD50" s="2472"/>
      <c r="BE50" s="2472"/>
      <c r="BF50" s="2472"/>
      <c r="BG50" s="2472"/>
      <c r="BH50" s="2472"/>
      <c r="BI50" s="3728"/>
      <c r="BJ50" s="2472"/>
      <c r="BK50" s="3728"/>
      <c r="BL50" s="2472"/>
      <c r="BM50" s="2472"/>
      <c r="BN50" s="2472"/>
      <c r="BO50" s="2472"/>
      <c r="BP50" s="2472"/>
      <c r="BQ50" s="2472"/>
      <c r="BR50" s="2472"/>
      <c r="BS50" s="2472"/>
      <c r="BT50" s="2472"/>
      <c r="BU50" s="2472"/>
      <c r="BV50" s="2472"/>
      <c r="BW50" s="2472"/>
      <c r="BX50" s="2472">
        <v>1460</v>
      </c>
      <c r="BY50" s="2472"/>
      <c r="BZ50" s="2472"/>
      <c r="CA50" s="2472"/>
      <c r="CB50" s="3728">
        <v>2500</v>
      </c>
      <c r="CC50" s="2472">
        <v>1500</v>
      </c>
      <c r="CD50" s="2472"/>
      <c r="CE50" s="2841"/>
      <c r="CF50" s="2841"/>
      <c r="CG50" s="2841"/>
      <c r="CH50" s="2472"/>
      <c r="CI50" s="2472">
        <v>1460</v>
      </c>
      <c r="CJ50" s="2841"/>
      <c r="CK50" s="2841"/>
      <c r="CL50" s="2841"/>
      <c r="CM50" s="2841"/>
      <c r="CN50" s="2841"/>
      <c r="CO50" s="2841"/>
      <c r="CP50" s="2841"/>
      <c r="CQ50" s="2472">
        <v>1460</v>
      </c>
      <c r="CR50" s="2472"/>
      <c r="CS50" s="2472"/>
      <c r="CT50" s="2472"/>
      <c r="CU50" s="2841"/>
      <c r="CV50" s="2472">
        <v>29168</v>
      </c>
      <c r="CW50" s="2841"/>
      <c r="CX50" s="2841"/>
      <c r="CY50" s="2841"/>
      <c r="CZ50" s="2472">
        <v>1500</v>
      </c>
      <c r="DA50" s="2472">
        <v>1500</v>
      </c>
      <c r="DB50" s="3728"/>
      <c r="DC50" s="2472">
        <v>1460</v>
      </c>
      <c r="DD50" s="2841"/>
      <c r="DE50" s="2841"/>
      <c r="DF50" s="2841"/>
      <c r="DG50" s="2841"/>
      <c r="DH50" s="2841"/>
      <c r="DI50" s="2472">
        <v>29168</v>
      </c>
      <c r="DJ50" s="2841"/>
      <c r="DK50" s="2841"/>
      <c r="DL50" s="2472">
        <v>29168</v>
      </c>
      <c r="DM50" s="2472">
        <v>1460</v>
      </c>
      <c r="DN50" s="2841"/>
      <c r="DO50" s="2841"/>
      <c r="DP50" s="2841"/>
      <c r="DQ50" s="2841"/>
      <c r="DR50" s="2472">
        <v>1500</v>
      </c>
      <c r="DS50" s="2841"/>
      <c r="DT50" s="2841"/>
      <c r="DU50" s="2841"/>
      <c r="DV50" s="2841"/>
      <c r="DW50" s="2841">
        <v>1583</v>
      </c>
      <c r="DX50" s="2841"/>
      <c r="DY50" s="2841"/>
      <c r="DZ50" s="2841"/>
      <c r="EA50" s="2841"/>
      <c r="EB50" s="2841"/>
      <c r="EC50" s="2841"/>
      <c r="ED50" s="2841"/>
      <c r="EE50" s="2841"/>
      <c r="EF50" s="2841"/>
      <c r="EG50" s="2841"/>
      <c r="EH50" s="2841"/>
      <c r="EI50" s="2841"/>
      <c r="EJ50" s="2472"/>
      <c r="EK50" s="2841"/>
      <c r="EL50" s="2841"/>
      <c r="EM50" s="2841"/>
      <c r="EN50" s="2472">
        <v>1500</v>
      </c>
      <c r="EO50" s="2841"/>
      <c r="EP50" s="2841"/>
      <c r="EQ50" s="2841"/>
      <c r="ER50" s="2841"/>
      <c r="ES50" s="2841"/>
      <c r="ET50" s="2841"/>
      <c r="EU50" s="2472"/>
      <c r="EV50" s="2841"/>
      <c r="EW50" s="2841"/>
      <c r="EX50" s="2841"/>
      <c r="EY50" s="2841"/>
      <c r="EZ50" s="2841"/>
      <c r="FA50" s="2841"/>
      <c r="FB50" s="2841"/>
      <c r="FC50" s="2841"/>
      <c r="FD50" s="2841"/>
      <c r="FE50" s="2841"/>
      <c r="FF50" s="2472"/>
      <c r="FG50" s="2841"/>
      <c r="FH50" s="2841"/>
      <c r="FI50" s="2841"/>
      <c r="FJ50" s="2841"/>
      <c r="FK50" s="2841"/>
      <c r="FL50" s="2841"/>
      <c r="FM50" s="2841"/>
      <c r="FN50" s="2841"/>
      <c r="FO50" s="2841"/>
      <c r="FP50" s="2841"/>
      <c r="FQ50" s="2841"/>
      <c r="FR50" s="2841"/>
      <c r="FS50" s="2841"/>
      <c r="FT50" s="2472">
        <v>1500</v>
      </c>
      <c r="FU50" s="2472">
        <v>1500</v>
      </c>
      <c r="FV50" s="2472"/>
      <c r="FW50" s="2841"/>
      <c r="FX50" s="2472"/>
      <c r="FY50" s="2841"/>
      <c r="FZ50" s="2841"/>
      <c r="GA50" s="2841"/>
      <c r="GB50" s="2841"/>
      <c r="GC50" s="2841"/>
      <c r="GD50" s="2841"/>
      <c r="GE50" s="2472"/>
      <c r="GF50" s="2472"/>
      <c r="GG50" s="2472"/>
      <c r="GH50" s="2841"/>
      <c r="GI50" s="2841"/>
      <c r="GJ50" s="2472"/>
      <c r="GK50" s="2841"/>
      <c r="GL50" s="2841"/>
      <c r="GM50" s="2841"/>
      <c r="GN50" s="2841"/>
      <c r="GO50" s="2841"/>
      <c r="GP50" s="2841"/>
      <c r="GQ50" s="2841"/>
      <c r="GR50" s="2841"/>
      <c r="GS50" s="2841"/>
      <c r="GT50" s="2841"/>
      <c r="GU50" s="2841"/>
      <c r="GV50" s="2841"/>
      <c r="GW50" s="2472"/>
      <c r="GX50" s="2472">
        <v>1460</v>
      </c>
      <c r="GY50" s="2841"/>
      <c r="GZ50" s="2841"/>
      <c r="HA50" s="2841"/>
      <c r="HB50" s="2472">
        <v>29168</v>
      </c>
      <c r="HC50" s="2841"/>
      <c r="HD50" s="2472"/>
      <c r="HE50" s="2841"/>
      <c r="HF50" s="2472"/>
      <c r="HG50" s="2472"/>
      <c r="HH50" s="2841"/>
      <c r="HI50" s="2841"/>
      <c r="HJ50" s="2841"/>
      <c r="HK50" s="2841"/>
      <c r="HL50" s="2841"/>
      <c r="HM50" s="2841"/>
      <c r="HN50" s="2841"/>
      <c r="HO50" s="2841"/>
      <c r="HP50" s="2841"/>
      <c r="HQ50" s="2841"/>
      <c r="HR50" s="2841"/>
      <c r="HS50" s="2472"/>
      <c r="HT50" s="2841"/>
      <c r="HU50" s="2841"/>
      <c r="HV50" s="2841"/>
      <c r="HW50" s="2841"/>
      <c r="HX50" s="2841"/>
      <c r="HY50" s="2841"/>
      <c r="HZ50" s="2841"/>
      <c r="IA50" s="2841"/>
      <c r="IB50" s="2841"/>
      <c r="IC50" s="2841"/>
      <c r="ID50" s="2841"/>
      <c r="IE50" s="2841"/>
      <c r="IF50" s="2841"/>
      <c r="IG50" s="2841"/>
      <c r="IH50" s="2841"/>
      <c r="II50" s="2841"/>
      <c r="IJ50" s="2841"/>
      <c r="IK50" s="2841"/>
      <c r="IL50" s="2841"/>
      <c r="IM50" s="2841"/>
      <c r="IN50" s="2841"/>
      <c r="IO50" s="2472">
        <v>104</v>
      </c>
      <c r="IP50" s="3539">
        <v>41</v>
      </c>
      <c r="IQ50" s="2841"/>
      <c r="IR50" s="2841"/>
      <c r="IS50" s="4009">
        <v>491</v>
      </c>
      <c r="IT50" s="3998">
        <v>83561</v>
      </c>
      <c r="IU50" s="3998">
        <v>12418</v>
      </c>
      <c r="IV50" s="3998"/>
      <c r="IW50" s="3998"/>
      <c r="IX50" s="3998"/>
      <c r="IY50" s="3998"/>
      <c r="IZ50" s="2841"/>
      <c r="JA50" s="3998">
        <v>1642</v>
      </c>
      <c r="JB50" s="3998">
        <v>104136</v>
      </c>
      <c r="JC50" s="2841"/>
      <c r="JD50" s="2841"/>
      <c r="JE50" s="2841"/>
      <c r="JF50" s="2841"/>
      <c r="JG50" s="2617"/>
      <c r="JH50" s="1233"/>
      <c r="JI50" s="1393"/>
      <c r="JJ50" s="1686" t="s">
        <v>6108</v>
      </c>
    </row>
    <row r="51" spans="1:270" x14ac:dyDescent="0.2">
      <c r="A51" s="1128">
        <v>51</v>
      </c>
      <c r="B51" s="1534" t="str">
        <f si="1" t="shared"/>
        <v/>
      </c>
      <c r="C51" s="1548" t="s">
        <v>3472</v>
      </c>
      <c r="D51" s="676" t="s">
        <v>5454</v>
      </c>
      <c r="E51" s="2511"/>
      <c r="F51" s="2472"/>
      <c r="G51" s="2472"/>
      <c r="H51" s="2472"/>
      <c r="I51" s="2472"/>
      <c r="J51" s="2472"/>
      <c r="K51" s="2472"/>
      <c r="L51" s="2472"/>
      <c r="M51" s="2472"/>
      <c r="N51" s="2511"/>
      <c r="O51" s="2472"/>
      <c r="P51" s="2472"/>
      <c r="Q51" s="2472"/>
      <c r="R51" s="2472"/>
      <c r="S51" s="2472"/>
      <c r="T51" s="2472">
        <v>5527</v>
      </c>
      <c r="U51" s="2472"/>
      <c r="V51" s="2472"/>
      <c r="W51" s="2472"/>
      <c r="X51" s="2472"/>
      <c r="Y51" s="2472"/>
      <c r="Z51" s="2472"/>
      <c r="AA51" s="2472"/>
      <c r="AB51" s="2472"/>
      <c r="AC51" s="2472"/>
      <c r="AD51" s="2472"/>
      <c r="AE51" s="2472"/>
      <c r="AF51" s="2472"/>
      <c r="AG51" s="2472"/>
      <c r="AH51" s="2472"/>
      <c r="AI51" s="2472"/>
      <c r="AJ51" s="2511">
        <v>784</v>
      </c>
      <c r="AK51" s="2472"/>
      <c r="AL51" s="2472"/>
      <c r="AM51" s="2472"/>
      <c r="AN51" s="2472"/>
      <c r="AO51" s="2472"/>
      <c r="AP51" s="2472"/>
      <c r="AQ51" s="2472"/>
      <c r="AR51" s="2472">
        <v>300</v>
      </c>
      <c r="AS51" s="2472"/>
      <c r="AT51" s="2472"/>
      <c r="AU51" s="2472"/>
      <c r="AV51" s="2472"/>
      <c r="AW51" s="2472">
        <v>1200</v>
      </c>
      <c r="AX51" s="2472"/>
      <c r="AY51" s="2472">
        <v>1200</v>
      </c>
      <c r="AZ51" s="2472">
        <v>1200</v>
      </c>
      <c r="BA51" s="2472"/>
      <c r="BB51" s="2472"/>
      <c r="BC51" s="2472"/>
      <c r="BD51" s="2472"/>
      <c r="BE51" s="2472"/>
      <c r="BF51" s="2472"/>
      <c r="BG51" s="2472"/>
      <c r="BH51" s="2472"/>
      <c r="BI51" s="3728"/>
      <c r="BJ51" s="2472"/>
      <c r="BK51" s="3728"/>
      <c r="BL51" s="2472"/>
      <c r="BM51" s="2472"/>
      <c r="BN51" s="2472"/>
      <c r="BO51" s="2472"/>
      <c r="BP51" s="2472"/>
      <c r="BQ51" s="2472"/>
      <c r="BR51" s="2472"/>
      <c r="BS51" s="2472"/>
      <c r="BT51" s="2472"/>
      <c r="BU51" s="2472"/>
      <c r="BV51" s="2472"/>
      <c r="BW51" s="2472"/>
      <c r="BX51" s="2472"/>
      <c r="BY51" s="2472"/>
      <c r="BZ51" s="2472"/>
      <c r="CA51" s="2472"/>
      <c r="CB51" s="3728">
        <v>2100</v>
      </c>
      <c r="CC51" s="2472">
        <v>1200</v>
      </c>
      <c r="CD51" s="2472"/>
      <c r="CE51" s="2841"/>
      <c r="CF51" s="2841"/>
      <c r="CG51" s="2841"/>
      <c r="CH51" s="2472"/>
      <c r="CI51" s="2472"/>
      <c r="CJ51" s="2841"/>
      <c r="CK51" s="2841"/>
      <c r="CL51" s="2841"/>
      <c r="CM51" s="2841"/>
      <c r="CN51" s="2841"/>
      <c r="CO51" s="2841"/>
      <c r="CP51" s="2841"/>
      <c r="CQ51" s="2472"/>
      <c r="CR51" s="2472"/>
      <c r="CS51" s="2472"/>
      <c r="CT51" s="2472"/>
      <c r="CU51" s="2841"/>
      <c r="CV51" s="2472">
        <v>900</v>
      </c>
      <c r="CW51" s="2841"/>
      <c r="CX51" s="2841"/>
      <c r="CY51" s="2841"/>
      <c r="CZ51" s="2472">
        <v>1200</v>
      </c>
      <c r="DA51" s="2472">
        <v>1200</v>
      </c>
      <c r="DB51" s="3728"/>
      <c r="DC51" s="2472"/>
      <c r="DD51" s="2841"/>
      <c r="DE51" s="2841"/>
      <c r="DF51" s="2841"/>
      <c r="DG51" s="2841"/>
      <c r="DH51" s="2841"/>
      <c r="DI51" s="2472">
        <v>900</v>
      </c>
      <c r="DJ51" s="2841"/>
      <c r="DK51" s="2841"/>
      <c r="DL51" s="2472">
        <v>900</v>
      </c>
      <c r="DM51" s="2472"/>
      <c r="DN51" s="2841"/>
      <c r="DO51" s="2841"/>
      <c r="DP51" s="2841"/>
      <c r="DQ51" s="2841"/>
      <c r="DR51" s="2472">
        <v>1200</v>
      </c>
      <c r="DS51" s="2841"/>
      <c r="DT51" s="2841"/>
      <c r="DU51" s="2841"/>
      <c r="DV51" s="2841"/>
      <c r="DW51" s="2841">
        <v>917</v>
      </c>
      <c r="DX51" s="2841"/>
      <c r="DY51" s="2841"/>
      <c r="DZ51" s="2841"/>
      <c r="EA51" s="2841"/>
      <c r="EB51" s="2841"/>
      <c r="EC51" s="2841"/>
      <c r="ED51" s="2841"/>
      <c r="EE51" s="2841"/>
      <c r="EF51" s="2841"/>
      <c r="EG51" s="2841"/>
      <c r="EH51" s="2841"/>
      <c r="EI51" s="2841"/>
      <c r="EJ51" s="2472"/>
      <c r="EK51" s="2841"/>
      <c r="EL51" s="2841"/>
      <c r="EM51" s="2841"/>
      <c r="EN51" s="2472">
        <v>1200</v>
      </c>
      <c r="EO51" s="2841"/>
      <c r="EP51" s="2841"/>
      <c r="EQ51" s="2841"/>
      <c r="ER51" s="2841"/>
      <c r="ES51" s="2841"/>
      <c r="ET51" s="2841"/>
      <c r="EU51" s="2472"/>
      <c r="EV51" s="2841"/>
      <c r="EW51" s="2841"/>
      <c r="EX51" s="2841"/>
      <c r="EY51" s="2841"/>
      <c r="EZ51" s="2841"/>
      <c r="FA51" s="2841"/>
      <c r="FB51" s="2841"/>
      <c r="FC51" s="2841"/>
      <c r="FD51" s="2841"/>
      <c r="FE51" s="2841"/>
      <c r="FF51" s="2472"/>
      <c r="FG51" s="2841"/>
      <c r="FH51" s="2841"/>
      <c r="FI51" s="2841"/>
      <c r="FJ51" s="2841"/>
      <c r="FK51" s="2841"/>
      <c r="FL51" s="2841"/>
      <c r="FM51" s="2841"/>
      <c r="FN51" s="2841"/>
      <c r="FO51" s="2841"/>
      <c r="FP51" s="2841"/>
      <c r="FQ51" s="2841"/>
      <c r="FR51" s="2841"/>
      <c r="FS51" s="2841"/>
      <c r="FT51" s="2472">
        <v>1200</v>
      </c>
      <c r="FU51" s="2472">
        <v>1200</v>
      </c>
      <c r="FV51" s="2472"/>
      <c r="FW51" s="2841"/>
      <c r="FX51" s="2472"/>
      <c r="FY51" s="2841"/>
      <c r="FZ51" s="2841"/>
      <c r="GA51" s="2841"/>
      <c r="GB51" s="2841"/>
      <c r="GC51" s="2841"/>
      <c r="GD51" s="2841"/>
      <c r="GE51" s="2472"/>
      <c r="GF51" s="2472"/>
      <c r="GG51" s="2472"/>
      <c r="GH51" s="2841"/>
      <c r="GI51" s="2841"/>
      <c r="GJ51" s="2472"/>
      <c r="GK51" s="2841"/>
      <c r="GL51" s="2841"/>
      <c r="GM51" s="2841"/>
      <c r="GN51" s="2841"/>
      <c r="GO51" s="2841"/>
      <c r="GP51" s="2841"/>
      <c r="GQ51" s="2841"/>
      <c r="GR51" s="2841"/>
      <c r="GS51" s="2841"/>
      <c r="GT51" s="2841"/>
      <c r="GU51" s="2841"/>
      <c r="GV51" s="2841"/>
      <c r="GW51" s="2472"/>
      <c r="GX51" s="2472"/>
      <c r="GY51" s="2841"/>
      <c r="GZ51" s="2841"/>
      <c r="HA51" s="2841"/>
      <c r="HB51" s="2472">
        <v>900</v>
      </c>
      <c r="HC51" s="2841"/>
      <c r="HD51" s="2472"/>
      <c r="HE51" s="2841"/>
      <c r="HF51" s="2472"/>
      <c r="HG51" s="2472"/>
      <c r="HH51" s="2841"/>
      <c r="HI51" s="2841"/>
      <c r="HJ51" s="2841"/>
      <c r="HK51" s="2841"/>
      <c r="HL51" s="2841"/>
      <c r="HM51" s="2841"/>
      <c r="HN51" s="2841"/>
      <c r="HO51" s="2841"/>
      <c r="HP51" s="2841"/>
      <c r="HQ51" s="2841"/>
      <c r="HR51" s="2841"/>
      <c r="HS51" s="2472"/>
      <c r="HT51" s="2841"/>
      <c r="HU51" s="2841"/>
      <c r="HV51" s="2841"/>
      <c r="HW51" s="2841"/>
      <c r="HX51" s="2841"/>
      <c r="HY51" s="2841"/>
      <c r="HZ51" s="2841"/>
      <c r="IA51" s="2841"/>
      <c r="IB51" s="2841"/>
      <c r="IC51" s="2841"/>
      <c r="ID51" s="2841"/>
      <c r="IE51" s="2841"/>
      <c r="IF51" s="2841"/>
      <c r="IG51" s="2841"/>
      <c r="IH51" s="2841"/>
      <c r="II51" s="2841"/>
      <c r="IJ51" s="2841"/>
      <c r="IK51" s="2841"/>
      <c r="IL51" s="2841"/>
      <c r="IM51" s="2841"/>
      <c r="IN51" s="2841"/>
      <c r="IO51" s="2472">
        <v>177</v>
      </c>
      <c r="IP51" s="3539">
        <v>11142</v>
      </c>
      <c r="IQ51" s="2841"/>
      <c r="IR51" s="2841"/>
      <c r="IS51" s="4009">
        <v>312</v>
      </c>
      <c r="IT51" s="3998">
        <v>48709</v>
      </c>
      <c r="IU51" s="3998">
        <v>4718</v>
      </c>
      <c r="IV51" s="3998"/>
      <c r="IW51" s="3998">
        <v>3467</v>
      </c>
      <c r="IX51" s="3998">
        <v>540</v>
      </c>
      <c r="IY51" s="3998">
        <v>540</v>
      </c>
      <c r="IZ51" s="2841"/>
      <c r="JA51" s="3998">
        <v>1620</v>
      </c>
      <c r="JB51" s="3998">
        <v>10703</v>
      </c>
      <c r="JC51" s="2841"/>
      <c r="JD51" s="2841"/>
      <c r="JE51" s="2841"/>
      <c r="JF51" s="2841"/>
      <c r="JG51" s="2617"/>
      <c r="JH51" s="1233"/>
      <c r="JI51" s="1393"/>
      <c r="JJ51" s="1686" t="s">
        <v>6108</v>
      </c>
    </row>
    <row r="52" spans="1:270" x14ac:dyDescent="0.2">
      <c r="A52" s="1128">
        <v>52</v>
      </c>
      <c r="B52" s="1534" t="str">
        <f si="1" t="shared"/>
        <v/>
      </c>
      <c r="C52" s="1548" t="s">
        <v>3399</v>
      </c>
      <c r="D52" s="676" t="s">
        <v>5719</v>
      </c>
      <c r="E52" s="2511"/>
      <c r="F52" s="2472"/>
      <c r="G52" s="2472"/>
      <c r="H52" s="2472"/>
      <c r="I52" s="2472"/>
      <c r="J52" s="2472"/>
      <c r="K52" s="2472"/>
      <c r="L52" s="2472"/>
      <c r="M52" s="2472"/>
      <c r="N52" s="2511"/>
      <c r="O52" s="2472"/>
      <c r="P52" s="2472"/>
      <c r="Q52" s="2472"/>
      <c r="R52" s="2472"/>
      <c r="S52" s="2472"/>
      <c r="T52" s="2472"/>
      <c r="U52" s="2472"/>
      <c r="V52" s="2472"/>
      <c r="W52" s="2472"/>
      <c r="X52" s="2472"/>
      <c r="Y52" s="2472"/>
      <c r="Z52" s="2472"/>
      <c r="AA52" s="2472"/>
      <c r="AB52" s="2472"/>
      <c r="AC52" s="2472"/>
      <c r="AD52" s="2472"/>
      <c r="AE52" s="2472"/>
      <c r="AF52" s="2472"/>
      <c r="AG52" s="2472"/>
      <c r="AH52" s="2472"/>
      <c r="AI52" s="2472"/>
      <c r="AJ52" s="2472"/>
      <c r="AK52" s="2472"/>
      <c r="AL52" s="2472"/>
      <c r="AM52" s="2472"/>
      <c r="AN52" s="2472"/>
      <c r="AO52" s="2472"/>
      <c r="AP52" s="2472"/>
      <c r="AQ52" s="2472"/>
      <c r="AR52" s="2472"/>
      <c r="AS52" s="2472"/>
      <c r="AT52" s="2472"/>
      <c r="AU52" s="2472"/>
      <c r="AV52" s="2472"/>
      <c r="AW52" s="2472">
        <v>480</v>
      </c>
      <c r="AX52" s="2472"/>
      <c r="AY52" s="2472">
        <v>480</v>
      </c>
      <c r="AZ52" s="2472">
        <v>480</v>
      </c>
      <c r="BA52" s="2472"/>
      <c r="BB52" s="2472"/>
      <c r="BC52" s="2472"/>
      <c r="BD52" s="2472"/>
      <c r="BE52" s="2472"/>
      <c r="BF52" s="2472"/>
      <c r="BG52" s="2472"/>
      <c r="BH52" s="2472"/>
      <c r="BI52" s="3728"/>
      <c r="BJ52" s="2472"/>
      <c r="BK52" s="3728"/>
      <c r="BL52" s="2472"/>
      <c r="BM52" s="2472"/>
      <c r="BN52" s="2472"/>
      <c r="BO52" s="2472"/>
      <c r="BP52" s="2472"/>
      <c r="BQ52" s="2472"/>
      <c r="BR52" s="2472"/>
      <c r="BS52" s="2472"/>
      <c r="BT52" s="2472"/>
      <c r="BU52" s="2472"/>
      <c r="BV52" s="2472"/>
      <c r="BW52" s="2472"/>
      <c r="BX52" s="2472">
        <v>1900</v>
      </c>
      <c r="BY52" s="2472"/>
      <c r="BZ52" s="2472"/>
      <c r="CA52" s="2472"/>
      <c r="CB52" s="3728">
        <v>480</v>
      </c>
      <c r="CC52" s="2472">
        <v>480</v>
      </c>
      <c r="CD52" s="2472"/>
      <c r="CE52" s="2841"/>
      <c r="CF52" s="2841"/>
      <c r="CG52" s="2841"/>
      <c r="CH52" s="2472"/>
      <c r="CI52" s="2472">
        <v>1900</v>
      </c>
      <c r="CJ52" s="2841"/>
      <c r="CK52" s="2841"/>
      <c r="CL52" s="2841"/>
      <c r="CM52" s="2841"/>
      <c r="CN52" s="2841"/>
      <c r="CO52" s="2841"/>
      <c r="CP52" s="2841"/>
      <c r="CQ52" s="2472">
        <v>1900</v>
      </c>
      <c r="CR52" s="2472"/>
      <c r="CS52" s="2472"/>
      <c r="CT52" s="2472"/>
      <c r="CU52" s="2841"/>
      <c r="CV52" s="2472"/>
      <c r="CW52" s="2841"/>
      <c r="CX52" s="2841"/>
      <c r="CY52" s="2841"/>
      <c r="CZ52" s="2472">
        <v>480</v>
      </c>
      <c r="DA52" s="2472">
        <v>480</v>
      </c>
      <c r="DB52" s="3728"/>
      <c r="DC52" s="2472">
        <v>1900</v>
      </c>
      <c r="DD52" s="2841"/>
      <c r="DE52" s="2841"/>
      <c r="DF52" s="2841"/>
      <c r="DG52" s="2841"/>
      <c r="DH52" s="2841"/>
      <c r="DI52" s="2472"/>
      <c r="DJ52" s="2841"/>
      <c r="DK52" s="2841"/>
      <c r="DL52" s="2472"/>
      <c r="DM52" s="2472">
        <v>1900</v>
      </c>
      <c r="DN52" s="2841"/>
      <c r="DO52" s="2841"/>
      <c r="DP52" s="2841"/>
      <c r="DQ52" s="2841"/>
      <c r="DR52" s="2472">
        <v>480</v>
      </c>
      <c r="DS52" s="2841"/>
      <c r="DT52" s="2841"/>
      <c r="DU52" s="2841"/>
      <c r="DV52" s="2841"/>
      <c r="DW52" s="2841">
        <v>372</v>
      </c>
      <c r="DX52" s="2841"/>
      <c r="DY52" s="2841"/>
      <c r="DZ52" s="2841"/>
      <c r="EA52" s="2841"/>
      <c r="EB52" s="2841"/>
      <c r="EC52" s="2841"/>
      <c r="ED52" s="2841"/>
      <c r="EE52" s="2841"/>
      <c r="EF52" s="2841"/>
      <c r="EG52" s="2841"/>
      <c r="EH52" s="2841"/>
      <c r="EI52" s="2841"/>
      <c r="EJ52" s="2472"/>
      <c r="EK52" s="2841"/>
      <c r="EL52" s="2841"/>
      <c r="EM52" s="2841"/>
      <c r="EN52" s="2472">
        <v>480</v>
      </c>
      <c r="EO52" s="2841"/>
      <c r="EP52" s="2841"/>
      <c r="EQ52" s="2841"/>
      <c r="ER52" s="2841"/>
      <c r="ES52" s="2841"/>
      <c r="ET52" s="2841"/>
      <c r="EU52" s="2472"/>
      <c r="EV52" s="2841"/>
      <c r="EW52" s="2841"/>
      <c r="EX52" s="2841"/>
      <c r="EY52" s="2841"/>
      <c r="EZ52" s="2841"/>
      <c r="FA52" s="2841"/>
      <c r="FB52" s="2841"/>
      <c r="FC52" s="2841"/>
      <c r="FD52" s="2841"/>
      <c r="FE52" s="2841"/>
      <c r="FF52" s="2472"/>
      <c r="FG52" s="2841"/>
      <c r="FH52" s="2841"/>
      <c r="FI52" s="2841"/>
      <c r="FJ52" s="2841"/>
      <c r="FK52" s="2841"/>
      <c r="FL52" s="2841"/>
      <c r="FM52" s="2841"/>
      <c r="FN52" s="2841"/>
      <c r="FO52" s="2841"/>
      <c r="FP52" s="2841"/>
      <c r="FQ52" s="2841"/>
      <c r="FR52" s="2841"/>
      <c r="FS52" s="2841"/>
      <c r="FT52" s="2472">
        <v>480</v>
      </c>
      <c r="FU52" s="2472">
        <v>480</v>
      </c>
      <c r="FV52" s="2472"/>
      <c r="FW52" s="2841"/>
      <c r="FX52" s="2472"/>
      <c r="FY52" s="2841"/>
      <c r="FZ52" s="2841"/>
      <c r="GA52" s="2841"/>
      <c r="GB52" s="2841"/>
      <c r="GC52" s="2841"/>
      <c r="GD52" s="2841"/>
      <c r="GE52" s="2472"/>
      <c r="GF52" s="2472"/>
      <c r="GG52" s="2472"/>
      <c r="GH52" s="2841"/>
      <c r="GI52" s="2841"/>
      <c r="GJ52" s="2472"/>
      <c r="GK52" s="2841"/>
      <c r="GL52" s="2841"/>
      <c r="GM52" s="2841"/>
      <c r="GN52" s="2841"/>
      <c r="GO52" s="2841"/>
      <c r="GP52" s="2841"/>
      <c r="GQ52" s="2841"/>
      <c r="GR52" s="2841"/>
      <c r="GS52" s="2841"/>
      <c r="GT52" s="2841"/>
      <c r="GU52" s="2841"/>
      <c r="GV52" s="2841"/>
      <c r="GW52" s="2472"/>
      <c r="GX52" s="2472">
        <v>1900</v>
      </c>
      <c r="GY52" s="2841"/>
      <c r="GZ52" s="2841"/>
      <c r="HA52" s="2841"/>
      <c r="HB52" s="2472"/>
      <c r="HC52" s="2841"/>
      <c r="HD52" s="2472"/>
      <c r="HE52" s="2841"/>
      <c r="HF52" s="2472"/>
      <c r="HG52" s="2472"/>
      <c r="HH52" s="2841"/>
      <c r="HI52" s="2841"/>
      <c r="HJ52" s="2841"/>
      <c r="HK52" s="2841"/>
      <c r="HL52" s="2841"/>
      <c r="HM52" s="2841"/>
      <c r="HN52" s="2841"/>
      <c r="HO52" s="2841"/>
      <c r="HP52" s="2841"/>
      <c r="HQ52" s="2841"/>
      <c r="HR52" s="2841"/>
      <c r="HS52" s="2472"/>
      <c r="HT52" s="2841"/>
      <c r="HU52" s="2841"/>
      <c r="HV52" s="2841"/>
      <c r="HW52" s="2841"/>
      <c r="HX52" s="2841"/>
      <c r="HY52" s="2841"/>
      <c r="HZ52" s="2841"/>
      <c r="IA52" s="2841"/>
      <c r="IB52" s="2841"/>
      <c r="IC52" s="2841"/>
      <c r="ID52" s="2841"/>
      <c r="IE52" s="2841"/>
      <c r="IF52" s="2841"/>
      <c r="IG52" s="2841"/>
      <c r="IH52" s="2841"/>
      <c r="II52" s="2841"/>
      <c r="IJ52" s="2841"/>
      <c r="IK52" s="2841"/>
      <c r="IL52" s="2841"/>
      <c r="IM52" s="2841"/>
      <c r="IN52" s="2841"/>
      <c r="IO52" s="2472"/>
      <c r="IP52" s="3539">
        <v>364</v>
      </c>
      <c r="IQ52" s="2841"/>
      <c r="IR52" s="2841"/>
      <c r="IS52" s="4009"/>
      <c r="IT52" s="3998">
        <v>36001</v>
      </c>
      <c r="IU52" s="3998"/>
      <c r="IV52" s="3998">
        <v>150</v>
      </c>
      <c r="IW52" s="3998"/>
      <c r="IX52" s="3998">
        <v>48</v>
      </c>
      <c r="IY52" s="3998">
        <v>48</v>
      </c>
      <c r="IZ52" s="2841"/>
      <c r="JA52" s="3998">
        <v>2789</v>
      </c>
      <c r="JB52" s="3998"/>
      <c r="JC52" s="2841"/>
      <c r="JD52" s="2841"/>
      <c r="JE52" s="2841"/>
      <c r="JF52" s="2841"/>
      <c r="JG52" s="2617"/>
      <c r="JH52" s="1233"/>
      <c r="JI52" s="1393"/>
      <c r="JJ52" s="1686" t="s">
        <v>6108</v>
      </c>
    </row>
    <row r="53" spans="1:270" x14ac:dyDescent="0.2">
      <c r="A53" s="1128">
        <v>53</v>
      </c>
      <c r="B53" s="1534" t="str">
        <f si="1" t="shared"/>
        <v/>
      </c>
      <c r="C53" s="1548" t="s">
        <v>3400</v>
      </c>
      <c r="D53" s="676" t="s">
        <v>1865</v>
      </c>
      <c r="E53" s="2511"/>
      <c r="F53" s="2511">
        <v>1200</v>
      </c>
      <c r="G53" s="2472"/>
      <c r="H53" s="2472"/>
      <c r="I53" s="2472"/>
      <c r="J53" s="2472"/>
      <c r="K53" s="2472"/>
      <c r="L53" s="2511"/>
      <c r="M53" s="2511">
        <v>1200</v>
      </c>
      <c r="N53" s="2511"/>
      <c r="O53" s="2511">
        <v>1200</v>
      </c>
      <c r="P53" s="2511"/>
      <c r="Q53" s="2511">
        <v>1200</v>
      </c>
      <c r="R53" s="2511"/>
      <c r="S53" s="2511"/>
      <c r="T53" s="2472">
        <v>59</v>
      </c>
      <c r="U53" s="2511">
        <v>1200</v>
      </c>
      <c r="V53" s="2511"/>
      <c r="W53" s="2511"/>
      <c r="X53" s="2511"/>
      <c r="Y53" s="2511"/>
      <c r="Z53" s="2511"/>
      <c r="AA53" s="2472">
        <v>4200</v>
      </c>
      <c r="AB53" s="2511"/>
      <c r="AC53" s="2511">
        <v>1200</v>
      </c>
      <c r="AD53" s="2511"/>
      <c r="AE53" s="2511"/>
      <c r="AF53" s="2511"/>
      <c r="AG53" s="2511"/>
      <c r="AH53" s="2511"/>
      <c r="AI53" s="2511"/>
      <c r="AJ53" s="2472"/>
      <c r="AK53" s="2511"/>
      <c r="AL53" s="2511"/>
      <c r="AM53" s="2511"/>
      <c r="AN53" s="2511"/>
      <c r="AO53" s="2511"/>
      <c r="AP53" s="2511"/>
      <c r="AQ53" s="2511"/>
      <c r="AR53" s="2472">
        <v>1200</v>
      </c>
      <c r="AS53" s="2511"/>
      <c r="AT53" s="2511"/>
      <c r="AU53" s="2511"/>
      <c r="AV53" s="2511"/>
      <c r="AW53" s="2472">
        <v>6890</v>
      </c>
      <c r="AX53" s="2511"/>
      <c r="AY53" s="2472">
        <v>6890</v>
      </c>
      <c r="AZ53" s="2472">
        <v>6890</v>
      </c>
      <c r="BA53" s="2511"/>
      <c r="BB53" s="2511"/>
      <c r="BC53" s="2511"/>
      <c r="BD53" s="2472">
        <v>4200</v>
      </c>
      <c r="BE53" s="2472"/>
      <c r="BF53" s="2472"/>
      <c r="BG53" s="2472">
        <v>4200</v>
      </c>
      <c r="BH53" s="2472"/>
      <c r="BI53" s="3728"/>
      <c r="BJ53" s="2472"/>
      <c r="BK53" s="3728">
        <v>4200</v>
      </c>
      <c r="BL53" s="2472"/>
      <c r="BM53" s="2472"/>
      <c r="BN53" s="2472"/>
      <c r="BO53" s="2472"/>
      <c r="BP53" s="2472"/>
      <c r="BQ53" s="2472"/>
      <c r="BR53" s="2472"/>
      <c r="BS53" s="2472"/>
      <c r="BT53" s="2472">
        <v>4200</v>
      </c>
      <c r="BU53" s="2472"/>
      <c r="BV53" s="2472">
        <v>4200</v>
      </c>
      <c r="BW53" s="2472"/>
      <c r="BX53" s="2472"/>
      <c r="BY53" s="2472"/>
      <c r="BZ53" s="2472"/>
      <c r="CA53" s="2472"/>
      <c r="CB53" s="3728">
        <v>16890</v>
      </c>
      <c r="CC53" s="2472">
        <v>6890</v>
      </c>
      <c r="CD53" s="2472">
        <v>4200</v>
      </c>
      <c r="CE53" s="2841"/>
      <c r="CF53" s="2841"/>
      <c r="CG53" s="2841"/>
      <c r="CH53" s="2472">
        <v>4200</v>
      </c>
      <c r="CI53" s="2472"/>
      <c r="CJ53" s="2841"/>
      <c r="CK53" s="2841"/>
      <c r="CL53" s="2841"/>
      <c r="CM53" s="2841"/>
      <c r="CN53" s="2841"/>
      <c r="CO53" s="2841"/>
      <c r="CP53" s="2841"/>
      <c r="CQ53" s="2472"/>
      <c r="CR53" s="2472"/>
      <c r="CS53" s="2472"/>
      <c r="CT53" s="2472"/>
      <c r="CU53" s="2841"/>
      <c r="CV53" s="2472"/>
      <c r="CW53" s="2841"/>
      <c r="CX53" s="2841"/>
      <c r="CY53" s="2841"/>
      <c r="CZ53" s="2472">
        <v>6890</v>
      </c>
      <c r="DA53" s="2472">
        <v>6890</v>
      </c>
      <c r="DB53" s="3728"/>
      <c r="DC53" s="2472"/>
      <c r="DD53" s="2841"/>
      <c r="DE53" s="2841"/>
      <c r="DF53" s="2841"/>
      <c r="DG53" s="2841"/>
      <c r="DH53" s="2841"/>
      <c r="DI53" s="2472"/>
      <c r="DJ53" s="2841"/>
      <c r="DK53" s="2841"/>
      <c r="DL53" s="2472"/>
      <c r="DM53" s="2472"/>
      <c r="DN53" s="2841"/>
      <c r="DO53" s="2841"/>
      <c r="DP53" s="2841"/>
      <c r="DQ53" s="2841"/>
      <c r="DR53" s="2472">
        <v>6890</v>
      </c>
      <c r="DS53" s="2841"/>
      <c r="DT53" s="2841"/>
      <c r="DU53" s="2841"/>
      <c r="DV53" s="2841"/>
      <c r="DW53" s="2841"/>
      <c r="DX53" s="2841"/>
      <c r="DY53" s="2841"/>
      <c r="DZ53" s="2841"/>
      <c r="EA53" s="2841"/>
      <c r="EB53" s="2841"/>
      <c r="EC53" s="2841"/>
      <c r="ED53" s="2841"/>
      <c r="EE53" s="2841"/>
      <c r="EF53" s="2841"/>
      <c r="EG53" s="2841"/>
      <c r="EH53" s="2841"/>
      <c r="EI53" s="2841"/>
      <c r="EJ53" s="2511">
        <v>3000</v>
      </c>
      <c r="EK53" s="2841"/>
      <c r="EL53" s="2841"/>
      <c r="EM53" s="2841"/>
      <c r="EN53" s="2472">
        <v>6890</v>
      </c>
      <c r="EO53" s="2841"/>
      <c r="EP53" s="2841"/>
      <c r="EQ53" s="2841"/>
      <c r="ER53" s="2841"/>
      <c r="ES53" s="2841"/>
      <c r="ET53" s="2841"/>
      <c r="EU53" s="2472"/>
      <c r="EV53" s="2841"/>
      <c r="EW53" s="2841"/>
      <c r="EX53" s="2841"/>
      <c r="EY53" s="2841"/>
      <c r="EZ53" s="2841"/>
      <c r="FA53" s="2841"/>
      <c r="FB53" s="2841"/>
      <c r="FC53" s="2841"/>
      <c r="FD53" s="2841"/>
      <c r="FE53" s="2841"/>
      <c r="FF53" s="2472">
        <v>4200</v>
      </c>
      <c r="FG53" s="2841"/>
      <c r="FH53" s="2841"/>
      <c r="FI53" s="2841"/>
      <c r="FJ53" s="2841"/>
      <c r="FK53" s="2841"/>
      <c r="FL53" s="2841"/>
      <c r="FM53" s="2841"/>
      <c r="FN53" s="2841"/>
      <c r="FO53" s="2841"/>
      <c r="FP53" s="2841"/>
      <c r="FQ53" s="2841"/>
      <c r="FR53" s="2841"/>
      <c r="FS53" s="2841"/>
      <c r="FT53" s="2472">
        <v>6890</v>
      </c>
      <c r="FU53" s="2472">
        <v>6890</v>
      </c>
      <c r="FV53" s="2472"/>
      <c r="FW53" s="2841"/>
      <c r="FX53" s="2472"/>
      <c r="FY53" s="2841"/>
      <c r="FZ53" s="2841"/>
      <c r="GA53" s="2841"/>
      <c r="GB53" s="2841"/>
      <c r="GC53" s="2841"/>
      <c r="GD53" s="2841"/>
      <c r="GE53" s="2511">
        <v>3000</v>
      </c>
      <c r="GF53" s="2511">
        <v>3000</v>
      </c>
      <c r="GG53" s="2472"/>
      <c r="GH53" s="2841"/>
      <c r="GI53" s="2841"/>
      <c r="GJ53" s="2472"/>
      <c r="GK53" s="2841"/>
      <c r="GL53" s="2841"/>
      <c r="GM53" s="2841"/>
      <c r="GN53" s="2841"/>
      <c r="GO53" s="2841"/>
      <c r="GP53" s="2841"/>
      <c r="GQ53" s="2841"/>
      <c r="GR53" s="2841"/>
      <c r="GS53" s="2841"/>
      <c r="GT53" s="2841"/>
      <c r="GU53" s="2841"/>
      <c r="GV53" s="2841"/>
      <c r="GW53" s="2472"/>
      <c r="GX53" s="2472"/>
      <c r="GY53" s="2841"/>
      <c r="GZ53" s="2841"/>
      <c r="HA53" s="2841"/>
      <c r="HB53" s="2472"/>
      <c r="HC53" s="2841"/>
      <c r="HD53" s="2472">
        <v>47197</v>
      </c>
      <c r="HE53" s="2841"/>
      <c r="HF53" s="2472">
        <v>4200</v>
      </c>
      <c r="HG53" s="2472">
        <v>4200</v>
      </c>
      <c r="HH53" s="2841"/>
      <c r="HI53" s="2841"/>
      <c r="HJ53" s="2841"/>
      <c r="HK53" s="2841"/>
      <c r="HL53" s="2841"/>
      <c r="HM53" s="2841"/>
      <c r="HN53" s="2841"/>
      <c r="HO53" s="2841"/>
      <c r="HP53" s="2841"/>
      <c r="HQ53" s="2841"/>
      <c r="HR53" s="2841"/>
      <c r="HS53" s="2472"/>
      <c r="HT53" s="2841"/>
      <c r="HU53" s="2841"/>
      <c r="HV53" s="2841"/>
      <c r="HW53" s="2841"/>
      <c r="HX53" s="2841"/>
      <c r="HY53" s="2841"/>
      <c r="HZ53" s="2841"/>
      <c r="IA53" s="2841"/>
      <c r="IB53" s="2841"/>
      <c r="IC53" s="2841"/>
      <c r="ID53" s="2841"/>
      <c r="IE53" s="2841"/>
      <c r="IF53" s="2841"/>
      <c r="IG53" s="2841"/>
      <c r="IH53" s="2841"/>
      <c r="II53" s="2841"/>
      <c r="IJ53" s="2841"/>
      <c r="IK53" s="2841"/>
      <c r="IL53" s="2841"/>
      <c r="IM53" s="2841"/>
      <c r="IN53" s="2841"/>
      <c r="IO53" s="2472"/>
      <c r="IP53" s="3539">
        <v>1134</v>
      </c>
      <c r="IQ53" s="2841"/>
      <c r="IR53" s="2841"/>
      <c r="IS53" s="4009">
        <v>260</v>
      </c>
      <c r="IT53" s="3998">
        <v>5971</v>
      </c>
      <c r="IU53" s="3998">
        <v>2147</v>
      </c>
      <c r="IV53" s="3998"/>
      <c r="IW53" s="3998">
        <v>61</v>
      </c>
      <c r="IX53" s="3998"/>
      <c r="IY53" s="3998"/>
      <c r="IZ53" s="2841"/>
      <c r="JA53" s="3998">
        <v>285</v>
      </c>
      <c r="JB53" s="3998">
        <v>299</v>
      </c>
      <c r="JC53" s="2841"/>
      <c r="JD53" s="2841"/>
      <c r="JE53" s="2841"/>
      <c r="JF53" s="2841"/>
      <c r="JG53" s="2617"/>
      <c r="JH53" s="1233"/>
      <c r="JI53" s="1393"/>
      <c r="JJ53" s="1686" t="s">
        <v>6108</v>
      </c>
    </row>
    <row r="54" spans="1:270" x14ac:dyDescent="0.2">
      <c r="A54" s="1128">
        <v>54</v>
      </c>
      <c r="B54" s="1534" t="str">
        <f si="1" t="shared"/>
        <v/>
      </c>
      <c r="C54" s="1548" t="s">
        <v>3401</v>
      </c>
      <c r="D54" s="676" t="s">
        <v>5705</v>
      </c>
      <c r="E54" s="2511"/>
      <c r="F54" s="2472"/>
      <c r="G54" s="2472"/>
      <c r="H54" s="2472"/>
      <c r="I54" s="2472"/>
      <c r="J54" s="2472"/>
      <c r="K54" s="2472"/>
      <c r="L54" s="2511"/>
      <c r="M54" s="2511"/>
      <c r="N54" s="2511"/>
      <c r="O54" s="2472"/>
      <c r="P54" s="2511"/>
      <c r="Q54" s="2472"/>
      <c r="R54" s="2511"/>
      <c r="S54" s="2511"/>
      <c r="T54" s="2472"/>
      <c r="U54" s="2472"/>
      <c r="V54" s="2511"/>
      <c r="W54" s="2511"/>
      <c r="X54" s="2511"/>
      <c r="Y54" s="2511"/>
      <c r="Z54" s="2511"/>
      <c r="AA54" s="2472"/>
      <c r="AB54" s="2511"/>
      <c r="AC54" s="2472"/>
      <c r="AD54" s="2472"/>
      <c r="AE54" s="2472"/>
      <c r="AF54" s="2472"/>
      <c r="AG54" s="2472"/>
      <c r="AH54" s="2472"/>
      <c r="AI54" s="2511"/>
      <c r="AJ54" s="2930"/>
      <c r="AK54" s="2511"/>
      <c r="AL54" s="2511"/>
      <c r="AM54" s="2511"/>
      <c r="AN54" s="2511"/>
      <c r="AO54" s="2511"/>
      <c r="AP54" s="2511"/>
      <c r="AQ54" s="2511"/>
      <c r="AR54" s="2472">
        <v>790</v>
      </c>
      <c r="AS54" s="2511"/>
      <c r="AT54" s="2511"/>
      <c r="AU54" s="2511"/>
      <c r="AV54" s="2511"/>
      <c r="AW54" s="2472"/>
      <c r="AX54" s="2511"/>
      <c r="AY54" s="2472"/>
      <c r="AZ54" s="2472"/>
      <c r="BA54" s="2511"/>
      <c r="BB54" s="2511"/>
      <c r="BC54" s="2511"/>
      <c r="BD54" s="2472"/>
      <c r="BE54" s="2472"/>
      <c r="BF54" s="2472"/>
      <c r="BG54" s="2472"/>
      <c r="BH54" s="2472"/>
      <c r="BI54" s="3728"/>
      <c r="BJ54" s="2472"/>
      <c r="BK54" s="3728"/>
      <c r="BL54" s="2472"/>
      <c r="BM54" s="2472"/>
      <c r="BN54" s="2472"/>
      <c r="BO54" s="2472"/>
      <c r="BP54" s="2472"/>
      <c r="BQ54" s="2472"/>
      <c r="BR54" s="2472"/>
      <c r="BS54" s="2472"/>
      <c r="BT54" s="2472"/>
      <c r="BU54" s="2472"/>
      <c r="BV54" s="2472"/>
      <c r="BW54" s="2472"/>
      <c r="BX54" s="2472"/>
      <c r="BY54" s="2472"/>
      <c r="BZ54" s="2472"/>
      <c r="CA54" s="2472"/>
      <c r="CB54" s="2841"/>
      <c r="CC54" s="2472"/>
      <c r="CD54" s="2472"/>
      <c r="CE54" s="2841"/>
      <c r="CF54" s="2841"/>
      <c r="CG54" s="2841"/>
      <c r="CH54" s="2472"/>
      <c r="CI54" s="2472"/>
      <c r="CJ54" s="2841"/>
      <c r="CK54" s="2841"/>
      <c r="CL54" s="2841"/>
      <c r="CM54" s="2841"/>
      <c r="CN54" s="2841"/>
      <c r="CO54" s="2841"/>
      <c r="CP54" s="2841"/>
      <c r="CQ54" s="2472"/>
      <c r="CR54" s="2472"/>
      <c r="CS54" s="2472"/>
      <c r="CT54" s="2472"/>
      <c r="CU54" s="2841"/>
      <c r="CV54" s="2472"/>
      <c r="CW54" s="2841"/>
      <c r="CX54" s="2841"/>
      <c r="CY54" s="2841"/>
      <c r="CZ54" s="2472"/>
      <c r="DA54" s="2472"/>
      <c r="DB54" s="3728"/>
      <c r="DC54" s="2472"/>
      <c r="DD54" s="2841"/>
      <c r="DE54" s="2841"/>
      <c r="DF54" s="2841"/>
      <c r="DG54" s="2841"/>
      <c r="DH54" s="2841"/>
      <c r="DI54" s="2472"/>
      <c r="DJ54" s="2841"/>
      <c r="DK54" s="2841"/>
      <c r="DL54" s="2472"/>
      <c r="DM54" s="2472"/>
      <c r="DN54" s="2841"/>
      <c r="DO54" s="2841"/>
      <c r="DP54" s="2841"/>
      <c r="DQ54" s="2841"/>
      <c r="DR54" s="2472"/>
      <c r="DS54" s="2841"/>
      <c r="DT54" s="2841"/>
      <c r="DU54" s="2841"/>
      <c r="DV54" s="2841"/>
      <c r="DW54" s="2841"/>
      <c r="DX54" s="2841"/>
      <c r="DY54" s="2841"/>
      <c r="DZ54" s="2841"/>
      <c r="EA54" s="2841"/>
      <c r="EB54" s="2841"/>
      <c r="EC54" s="2841"/>
      <c r="ED54" s="2841"/>
      <c r="EE54" s="2841"/>
      <c r="EF54" s="2841"/>
      <c r="EG54" s="2841"/>
      <c r="EH54" s="2841"/>
      <c r="EI54" s="2841"/>
      <c r="EJ54" s="2511"/>
      <c r="EK54" s="2841"/>
      <c r="EL54" s="2841"/>
      <c r="EM54" s="2841"/>
      <c r="EN54" s="2472"/>
      <c r="EO54" s="2841"/>
      <c r="EP54" s="2841"/>
      <c r="EQ54" s="2841"/>
      <c r="ER54" s="2841"/>
      <c r="ES54" s="2841"/>
      <c r="ET54" s="2841"/>
      <c r="EU54" s="2472"/>
      <c r="EV54" s="2841"/>
      <c r="EW54" s="2841"/>
      <c r="EX54" s="2841"/>
      <c r="EY54" s="2841"/>
      <c r="EZ54" s="2841"/>
      <c r="FA54" s="2841"/>
      <c r="FB54" s="2841"/>
      <c r="FC54" s="2841"/>
      <c r="FD54" s="2841"/>
      <c r="FE54" s="2841"/>
      <c r="FF54" s="2472"/>
      <c r="FG54" s="2841"/>
      <c r="FH54" s="2841"/>
      <c r="FI54" s="2841"/>
      <c r="FJ54" s="2841"/>
      <c r="FK54" s="2841"/>
      <c r="FL54" s="2841"/>
      <c r="FM54" s="2841"/>
      <c r="FN54" s="2841"/>
      <c r="FO54" s="2841"/>
      <c r="FP54" s="2841"/>
      <c r="FQ54" s="2841"/>
      <c r="FR54" s="2841"/>
      <c r="FS54" s="2841"/>
      <c r="FT54" s="2472"/>
      <c r="FU54" s="2472"/>
      <c r="FV54" s="2472"/>
      <c r="FW54" s="2841"/>
      <c r="FX54" s="2472"/>
      <c r="FY54" s="2841"/>
      <c r="FZ54" s="2841"/>
      <c r="GA54" s="2841"/>
      <c r="GB54" s="2841"/>
      <c r="GC54" s="2841"/>
      <c r="GD54" s="2841"/>
      <c r="GE54" s="2511"/>
      <c r="GF54" s="2511"/>
      <c r="GG54" s="2472"/>
      <c r="GH54" s="2841"/>
      <c r="GI54" s="2841"/>
      <c r="GJ54" s="2472"/>
      <c r="GK54" s="2841"/>
      <c r="GL54" s="2841"/>
      <c r="GM54" s="2841"/>
      <c r="GN54" s="2841"/>
      <c r="GO54" s="2841"/>
      <c r="GP54" s="2841"/>
      <c r="GQ54" s="2841"/>
      <c r="GR54" s="2841"/>
      <c r="GS54" s="2841"/>
      <c r="GT54" s="2841"/>
      <c r="GU54" s="2841"/>
      <c r="GV54" s="2841"/>
      <c r="GW54" s="2472"/>
      <c r="GX54" s="2472"/>
      <c r="GY54" s="2841"/>
      <c r="GZ54" s="2841"/>
      <c r="HA54" s="2841"/>
      <c r="HB54" s="2472"/>
      <c r="HC54" s="2841"/>
      <c r="HD54" s="2472"/>
      <c r="HE54" s="2841"/>
      <c r="HF54" s="2472"/>
      <c r="HG54" s="2472"/>
      <c r="HH54" s="2841"/>
      <c r="HI54" s="2841"/>
      <c r="HJ54" s="2841"/>
      <c r="HK54" s="2841"/>
      <c r="HL54" s="2841"/>
      <c r="HM54" s="2841"/>
      <c r="HN54" s="2841"/>
      <c r="HO54" s="2841"/>
      <c r="HP54" s="2841"/>
      <c r="HQ54" s="2841"/>
      <c r="HR54" s="2841"/>
      <c r="HS54" s="2472"/>
      <c r="HT54" s="2841"/>
      <c r="HU54" s="2841"/>
      <c r="HV54" s="2841"/>
      <c r="HW54" s="2841"/>
      <c r="HX54" s="2841"/>
      <c r="HY54" s="2841"/>
      <c r="HZ54" s="2841"/>
      <c r="IA54" s="2841"/>
      <c r="IB54" s="2841"/>
      <c r="IC54" s="2841"/>
      <c r="ID54" s="2841"/>
      <c r="IE54" s="2841"/>
      <c r="IF54" s="2841"/>
      <c r="IG54" s="2841"/>
      <c r="IH54" s="2841"/>
      <c r="II54" s="2841"/>
      <c r="IJ54" s="2841"/>
      <c r="IK54" s="2841"/>
      <c r="IL54" s="2841"/>
      <c r="IM54" s="2841"/>
      <c r="IN54" s="2841"/>
      <c r="IO54" s="2472"/>
      <c r="IP54" s="2841"/>
      <c r="IQ54" s="2841"/>
      <c r="IR54" s="2841"/>
      <c r="IS54" s="4009"/>
      <c r="IT54" s="3998"/>
      <c r="IU54" s="3998"/>
      <c r="IV54" s="3998"/>
      <c r="IW54" s="3998"/>
      <c r="IX54" s="3998"/>
      <c r="IY54" s="3998"/>
      <c r="IZ54" s="2841"/>
      <c r="JA54" s="3998"/>
      <c r="JB54" s="3998"/>
      <c r="JC54" s="2841"/>
      <c r="JD54" s="2841"/>
      <c r="JE54" s="2841"/>
      <c r="JF54" s="2841"/>
      <c r="JG54" s="2617"/>
      <c r="JH54" s="1233"/>
      <c r="JI54" s="1393"/>
      <c r="JJ54" s="1686" t="s">
        <v>6108</v>
      </c>
    </row>
    <row ht="56.25" r="55" spans="1:270" x14ac:dyDescent="0.2">
      <c r="A55" s="1128">
        <v>55</v>
      </c>
      <c r="B55" s="1534" t="str">
        <f si="1" t="shared"/>
        <v/>
      </c>
      <c r="C55" s="1548" t="s">
        <v>3402</v>
      </c>
      <c r="D55" s="676" t="s">
        <v>5333</v>
      </c>
      <c r="E55" s="2511"/>
      <c r="F55" s="2472"/>
      <c r="G55" s="2472"/>
      <c r="H55" s="2472"/>
      <c r="I55" s="2472"/>
      <c r="J55" s="2472"/>
      <c r="K55" s="2472"/>
      <c r="L55" s="2511"/>
      <c r="M55" s="2472"/>
      <c r="N55" s="2511"/>
      <c r="O55" s="2472"/>
      <c r="P55" s="2511"/>
      <c r="Q55" s="2472"/>
      <c r="R55" s="2511"/>
      <c r="S55" s="2511"/>
      <c r="T55" s="2472"/>
      <c r="U55" s="2472"/>
      <c r="V55" s="2511"/>
      <c r="W55" s="2511"/>
      <c r="X55" s="2511"/>
      <c r="Y55" s="2511"/>
      <c r="Z55" s="2511"/>
      <c r="AA55" s="2472"/>
      <c r="AB55" s="2511"/>
      <c r="AC55" s="2472"/>
      <c r="AD55" s="2472"/>
      <c r="AE55" s="2472"/>
      <c r="AF55" s="2472"/>
      <c r="AG55" s="2472"/>
      <c r="AH55" s="2472"/>
      <c r="AI55" s="2511"/>
      <c r="AJ55" s="2930"/>
      <c r="AK55" s="2511"/>
      <c r="AL55" s="2511"/>
      <c r="AM55" s="2511"/>
      <c r="AN55" s="2511"/>
      <c r="AO55" s="2511"/>
      <c r="AP55" s="2511"/>
      <c r="AQ55" s="2511"/>
      <c r="AR55" s="2472"/>
      <c r="AS55" s="2511"/>
      <c r="AT55" s="2511"/>
      <c r="AU55" s="2511"/>
      <c r="AV55" s="2511"/>
      <c r="AW55" s="2472"/>
      <c r="AX55" s="2511"/>
      <c r="AY55" s="2472"/>
      <c r="AZ55" s="2472"/>
      <c r="BA55" s="2511"/>
      <c r="BB55" s="2511"/>
      <c r="BC55" s="2511"/>
      <c r="BD55" s="2472"/>
      <c r="BE55" s="2472"/>
      <c r="BF55" s="2472"/>
      <c r="BG55" s="2472"/>
      <c r="BH55" s="2472"/>
      <c r="BI55" s="3728"/>
      <c r="BJ55" s="2472"/>
      <c r="BK55" s="3728"/>
      <c r="BL55" s="2472"/>
      <c r="BM55" s="2472"/>
      <c r="BN55" s="2472"/>
      <c r="BO55" s="2472"/>
      <c r="BP55" s="2472"/>
      <c r="BQ55" s="2472"/>
      <c r="BR55" s="2472"/>
      <c r="BS55" s="2472"/>
      <c r="BT55" s="2472"/>
      <c r="BU55" s="2472"/>
      <c r="BV55" s="2472"/>
      <c r="BW55" s="2472"/>
      <c r="BX55" s="2472">
        <v>622</v>
      </c>
      <c r="BY55" s="2472"/>
      <c r="BZ55" s="2472"/>
      <c r="CA55" s="2472"/>
      <c r="CB55" s="2841"/>
      <c r="CC55" s="2472"/>
      <c r="CD55" s="2472"/>
      <c r="CE55" s="2841"/>
      <c r="CF55" s="2841"/>
      <c r="CG55" s="2841"/>
      <c r="CH55" s="2472"/>
      <c r="CI55" s="2472">
        <v>622</v>
      </c>
      <c r="CJ55" s="2841"/>
      <c r="CK55" s="2841"/>
      <c r="CL55" s="2841"/>
      <c r="CM55" s="2841"/>
      <c r="CN55" s="2841"/>
      <c r="CO55" s="2841"/>
      <c r="CP55" s="2841"/>
      <c r="CQ55" s="2472">
        <v>622</v>
      </c>
      <c r="CR55" s="2472"/>
      <c r="CS55" s="2472"/>
      <c r="CT55" s="2472"/>
      <c r="CU55" s="2841"/>
      <c r="CV55" s="2472">
        <v>1521</v>
      </c>
      <c r="CW55" s="2841"/>
      <c r="CX55" s="2841"/>
      <c r="CY55" s="2841"/>
      <c r="CZ55" s="2472"/>
      <c r="DA55" s="2472"/>
      <c r="DB55" s="3728"/>
      <c r="DC55" s="2472">
        <v>622</v>
      </c>
      <c r="DD55" s="2841"/>
      <c r="DE55" s="2841"/>
      <c r="DF55" s="2841"/>
      <c r="DG55" s="2841"/>
      <c r="DH55" s="2841"/>
      <c r="DI55" s="2472">
        <v>1521</v>
      </c>
      <c r="DJ55" s="2841"/>
      <c r="DK55" s="2841"/>
      <c r="DL55" s="2472">
        <v>1521</v>
      </c>
      <c r="DM55" s="2472">
        <v>622</v>
      </c>
      <c r="DN55" s="2841"/>
      <c r="DO55" s="2841"/>
      <c r="DP55" s="2841"/>
      <c r="DQ55" s="2841"/>
      <c r="DR55" s="2472"/>
      <c r="DS55" s="2841"/>
      <c r="DT55" s="2841"/>
      <c r="DU55" s="2841"/>
      <c r="DV55" s="2841"/>
      <c r="DW55" s="2841"/>
      <c r="DX55" s="2841"/>
      <c r="DY55" s="2841"/>
      <c r="DZ55" s="2841"/>
      <c r="EA55" s="2841"/>
      <c r="EB55" s="2841"/>
      <c r="EC55" s="2841"/>
      <c r="ED55" s="2841"/>
      <c r="EE55" s="2841"/>
      <c r="EF55" s="2841"/>
      <c r="EG55" s="2841"/>
      <c r="EH55" s="2841"/>
      <c r="EI55" s="2841"/>
      <c r="EJ55" s="2511"/>
      <c r="EK55" s="2841"/>
      <c r="EL55" s="2841"/>
      <c r="EM55" s="2841"/>
      <c r="EN55" s="2472"/>
      <c r="EO55" s="2841"/>
      <c r="EP55" s="2841"/>
      <c r="EQ55" s="2841"/>
      <c r="ER55" s="2841"/>
      <c r="ES55" s="2841"/>
      <c r="ET55" s="2841"/>
      <c r="EU55" s="2472"/>
      <c r="EV55" s="2841"/>
      <c r="EW55" s="2841"/>
      <c r="EX55" s="2841"/>
      <c r="EY55" s="2841"/>
      <c r="EZ55" s="2841"/>
      <c r="FA55" s="2841"/>
      <c r="FB55" s="2841"/>
      <c r="FC55" s="2841"/>
      <c r="FD55" s="2841"/>
      <c r="FE55" s="2841"/>
      <c r="FF55" s="2472"/>
      <c r="FG55" s="2841"/>
      <c r="FH55" s="2841"/>
      <c r="FI55" s="2841"/>
      <c r="FJ55" s="2841"/>
      <c r="FK55" s="2841"/>
      <c r="FL55" s="2841"/>
      <c r="FM55" s="2841"/>
      <c r="FN55" s="2841"/>
      <c r="FO55" s="2841"/>
      <c r="FP55" s="2841"/>
      <c r="FQ55" s="2841"/>
      <c r="FR55" s="2841"/>
      <c r="FS55" s="2841"/>
      <c r="FT55" s="2472"/>
      <c r="FU55" s="2472"/>
      <c r="FV55" s="2472"/>
      <c r="FW55" s="2841"/>
      <c r="FX55" s="2472"/>
      <c r="FY55" s="2841"/>
      <c r="FZ55" s="2841"/>
      <c r="GA55" s="2841"/>
      <c r="GB55" s="2841"/>
      <c r="GC55" s="2841"/>
      <c r="GD55" s="2841"/>
      <c r="GE55" s="2511"/>
      <c r="GF55" s="2511"/>
      <c r="GG55" s="2472"/>
      <c r="GH55" s="2841"/>
      <c r="GI55" s="2841"/>
      <c r="GJ55" s="2472"/>
      <c r="GK55" s="2841"/>
      <c r="GL55" s="2841"/>
      <c r="GM55" s="2841"/>
      <c r="GN55" s="2841"/>
      <c r="GO55" s="2841"/>
      <c r="GP55" s="2841"/>
      <c r="GQ55" s="2841"/>
      <c r="GR55" s="2841"/>
      <c r="GS55" s="2841"/>
      <c r="GT55" s="2841"/>
      <c r="GU55" s="2841"/>
      <c r="GV55" s="2841"/>
      <c r="GW55" s="2472"/>
      <c r="GX55" s="2472">
        <v>622</v>
      </c>
      <c r="GY55" s="2841"/>
      <c r="GZ55" s="2841"/>
      <c r="HA55" s="2841"/>
      <c r="HB55" s="2472">
        <v>1521</v>
      </c>
      <c r="HC55" s="2841"/>
      <c r="HD55" s="2472"/>
      <c r="HE55" s="2841"/>
      <c r="HF55" s="2472"/>
      <c r="HG55" s="2472"/>
      <c r="HH55" s="2841"/>
      <c r="HI55" s="2841"/>
      <c r="HJ55" s="2841"/>
      <c r="HK55" s="2841"/>
      <c r="HL55" s="2841"/>
      <c r="HM55" s="2841"/>
      <c r="HN55" s="2841"/>
      <c r="HO55" s="2841"/>
      <c r="HP55" s="2841"/>
      <c r="HQ55" s="2841"/>
      <c r="HR55" s="2841"/>
      <c r="HS55" s="2472"/>
      <c r="HT55" s="2841"/>
      <c r="HU55" s="2841"/>
      <c r="HV55" s="2841"/>
      <c r="HW55" s="2841"/>
      <c r="HX55" s="2841"/>
      <c r="HY55" s="2841"/>
      <c r="HZ55" s="2841"/>
      <c r="IA55" s="2841"/>
      <c r="IB55" s="2841"/>
      <c r="IC55" s="2841"/>
      <c r="ID55" s="2841"/>
      <c r="IE55" s="2841"/>
      <c r="IF55" s="2841"/>
      <c r="IG55" s="2841"/>
      <c r="IH55" s="2841"/>
      <c r="II55" s="2841"/>
      <c r="IJ55" s="2841"/>
      <c r="IK55" s="2841"/>
      <c r="IL55" s="2841"/>
      <c r="IM55" s="2841"/>
      <c r="IN55" s="2841"/>
      <c r="IO55" s="2472"/>
      <c r="IP55" s="2841"/>
      <c r="IQ55" s="2841"/>
      <c r="IR55" s="2841"/>
      <c r="IS55" s="4009"/>
      <c r="IT55" s="3998"/>
      <c r="IU55" s="3998"/>
      <c r="IV55" s="3998"/>
      <c r="IW55" s="3998"/>
      <c r="IX55" s="3998"/>
      <c r="IY55" s="3998"/>
      <c r="IZ55" s="2841"/>
      <c r="JA55" s="3998"/>
      <c r="JB55" s="3998"/>
      <c r="JC55" s="2841"/>
      <c r="JD55" s="2841"/>
      <c r="JE55" s="2841"/>
      <c r="JF55" s="2841"/>
      <c r="JG55" s="2617"/>
      <c r="JH55" s="1233"/>
      <c r="JI55" s="1393" t="s">
        <v>7294</v>
      </c>
      <c r="JJ55" s="1686" t="s">
        <v>6108</v>
      </c>
    </row>
    <row ht="33.75" r="56" spans="1:270" x14ac:dyDescent="0.2">
      <c r="A56" s="1128">
        <v>56</v>
      </c>
      <c r="B56" s="1534" t="str">
        <f si="1" t="shared"/>
        <v/>
      </c>
      <c r="C56" s="1548" t="s">
        <v>3403</v>
      </c>
      <c r="D56" s="676" t="s">
        <v>5720</v>
      </c>
      <c r="E56" s="2511"/>
      <c r="F56" s="2472"/>
      <c r="G56" s="2472"/>
      <c r="H56" s="2472"/>
      <c r="I56" s="2472"/>
      <c r="J56" s="2472"/>
      <c r="K56" s="2472"/>
      <c r="L56" s="2511"/>
      <c r="M56" s="2472"/>
      <c r="N56" s="2511"/>
      <c r="O56" s="2472"/>
      <c r="P56" s="2511"/>
      <c r="Q56" s="2472"/>
      <c r="R56" s="2511"/>
      <c r="S56" s="2511"/>
      <c r="T56" s="2472"/>
      <c r="U56" s="2472"/>
      <c r="V56" s="2511"/>
      <c r="W56" s="2511"/>
      <c r="X56" s="2511"/>
      <c r="Y56" s="2511"/>
      <c r="Z56" s="2511"/>
      <c r="AA56" s="2472"/>
      <c r="AB56" s="2511"/>
      <c r="AC56" s="2472"/>
      <c r="AD56" s="2472"/>
      <c r="AE56" s="2472"/>
      <c r="AF56" s="2472"/>
      <c r="AG56" s="2472"/>
      <c r="AH56" s="2472"/>
      <c r="AI56" s="2511"/>
      <c r="AJ56" s="2930"/>
      <c r="AK56" s="2511"/>
      <c r="AL56" s="2511"/>
      <c r="AM56" s="2511"/>
      <c r="AN56" s="2511"/>
      <c r="AO56" s="2511"/>
      <c r="AP56" s="2511"/>
      <c r="AQ56" s="2511"/>
      <c r="AR56" s="2472">
        <v>650</v>
      </c>
      <c r="AS56" s="2511"/>
      <c r="AT56" s="2511"/>
      <c r="AU56" s="2511"/>
      <c r="AV56" s="2511"/>
      <c r="AW56" s="2472"/>
      <c r="AX56" s="2511"/>
      <c r="AY56" s="2472"/>
      <c r="AZ56" s="2472"/>
      <c r="BA56" s="2511"/>
      <c r="BB56" s="2511"/>
      <c r="BC56" s="2511"/>
      <c r="BD56" s="2472"/>
      <c r="BE56" s="2472"/>
      <c r="BF56" s="2472"/>
      <c r="BG56" s="2472"/>
      <c r="BH56" s="2472"/>
      <c r="BI56" s="3728"/>
      <c r="BJ56" s="2472"/>
      <c r="BK56" s="3728"/>
      <c r="BL56" s="2472"/>
      <c r="BM56" s="2472"/>
      <c r="BN56" s="2472"/>
      <c r="BO56" s="2472"/>
      <c r="BP56" s="2472"/>
      <c r="BQ56" s="2472"/>
      <c r="BR56" s="2472"/>
      <c r="BS56" s="2472"/>
      <c r="BT56" s="2472"/>
      <c r="BU56" s="2472"/>
      <c r="BV56" s="2472"/>
      <c r="BW56" s="2472"/>
      <c r="BX56" s="2472">
        <v>1540</v>
      </c>
      <c r="BY56" s="2472"/>
      <c r="BZ56" s="2472"/>
      <c r="CA56" s="2472"/>
      <c r="CB56" s="3956">
        <v>1000000</v>
      </c>
      <c r="CC56" s="2472"/>
      <c r="CD56" s="2472"/>
      <c r="CE56" s="2841"/>
      <c r="CF56" s="2841"/>
      <c r="CG56" s="2841"/>
      <c r="CH56" s="2472"/>
      <c r="CI56" s="2472">
        <v>1540</v>
      </c>
      <c r="CJ56" s="2841"/>
      <c r="CK56" s="2841"/>
      <c r="CL56" s="2841"/>
      <c r="CM56" s="2841"/>
      <c r="CN56" s="2841"/>
      <c r="CO56" s="2841"/>
      <c r="CP56" s="2841"/>
      <c r="CQ56" s="2472">
        <v>1540</v>
      </c>
      <c r="CR56" s="2472"/>
      <c r="CS56" s="2472"/>
      <c r="CT56" s="2472"/>
      <c r="CU56" s="2841"/>
      <c r="CV56" s="2472">
        <v>3621</v>
      </c>
      <c r="CW56" s="2841"/>
      <c r="CX56" s="2841"/>
      <c r="CY56" s="2841"/>
      <c r="CZ56" s="2472"/>
      <c r="DA56" s="2472"/>
      <c r="DB56" s="3728"/>
      <c r="DC56" s="2472">
        <v>1540</v>
      </c>
      <c r="DD56" s="2841"/>
      <c r="DE56" s="2841"/>
      <c r="DF56" s="2841"/>
      <c r="DG56" s="2841"/>
      <c r="DH56" s="2841"/>
      <c r="DI56" s="2472">
        <v>3621</v>
      </c>
      <c r="DJ56" s="2841"/>
      <c r="DK56" s="2841"/>
      <c r="DL56" s="2472">
        <v>3621</v>
      </c>
      <c r="DM56" s="2472">
        <v>1540</v>
      </c>
      <c r="DN56" s="2841"/>
      <c r="DO56" s="2841"/>
      <c r="DP56" s="2841"/>
      <c r="DQ56" s="2841"/>
      <c r="DR56" s="2472"/>
      <c r="DS56" s="2841"/>
      <c r="DT56" s="2841"/>
      <c r="DU56" s="2841"/>
      <c r="DV56" s="2841"/>
      <c r="DW56" s="2841"/>
      <c r="DX56" s="2841"/>
      <c r="DY56" s="2841"/>
      <c r="DZ56" s="2841"/>
      <c r="EA56" s="2841"/>
      <c r="EB56" s="2841"/>
      <c r="EC56" s="2841"/>
      <c r="ED56" s="2841"/>
      <c r="EE56" s="2841"/>
      <c r="EF56" s="2841"/>
      <c r="EG56" s="2841"/>
      <c r="EH56" s="2841"/>
      <c r="EI56" s="2841"/>
      <c r="EJ56" s="2511"/>
      <c r="EK56" s="2841"/>
      <c r="EL56" s="2841"/>
      <c r="EM56" s="2841"/>
      <c r="EN56" s="2472"/>
      <c r="EO56" s="2841"/>
      <c r="EP56" s="2841"/>
      <c r="EQ56" s="2841"/>
      <c r="ER56" s="2841"/>
      <c r="ES56" s="2841"/>
      <c r="ET56" s="2841"/>
      <c r="EU56" s="2472"/>
      <c r="EV56" s="2841"/>
      <c r="EW56" s="2841"/>
      <c r="EX56" s="2841"/>
      <c r="EY56" s="2841"/>
      <c r="EZ56" s="2841"/>
      <c r="FA56" s="2841"/>
      <c r="FB56" s="2841"/>
      <c r="FC56" s="2841"/>
      <c r="FD56" s="2841"/>
      <c r="FE56" s="2841"/>
      <c r="FF56" s="2472"/>
      <c r="FG56" s="2841"/>
      <c r="FH56" s="2841"/>
      <c r="FI56" s="2841"/>
      <c r="FJ56" s="2841"/>
      <c r="FK56" s="2841"/>
      <c r="FL56" s="2841"/>
      <c r="FM56" s="2841"/>
      <c r="FN56" s="2841"/>
      <c r="FO56" s="2841"/>
      <c r="FP56" s="2841"/>
      <c r="FQ56" s="2841"/>
      <c r="FR56" s="2841"/>
      <c r="FS56" s="2841"/>
      <c r="FT56" s="2472"/>
      <c r="FU56" s="2472"/>
      <c r="FV56" s="2472"/>
      <c r="FW56" s="2841"/>
      <c r="FX56" s="2472"/>
      <c r="FY56" s="2841"/>
      <c r="FZ56" s="2841"/>
      <c r="GA56" s="2841"/>
      <c r="GB56" s="2841"/>
      <c r="GC56" s="2841"/>
      <c r="GD56" s="2841"/>
      <c r="GE56" s="2511"/>
      <c r="GF56" s="2511"/>
      <c r="GG56" s="2472"/>
      <c r="GH56" s="2841"/>
      <c r="GI56" s="2841"/>
      <c r="GJ56" s="2472"/>
      <c r="GK56" s="2841"/>
      <c r="GL56" s="2841"/>
      <c r="GM56" s="2841"/>
      <c r="GN56" s="2841"/>
      <c r="GO56" s="2841"/>
      <c r="GP56" s="2841"/>
      <c r="GQ56" s="2841"/>
      <c r="GR56" s="2841"/>
      <c r="GS56" s="2841"/>
      <c r="GT56" s="2841"/>
      <c r="GU56" s="2841"/>
      <c r="GV56" s="2841"/>
      <c r="GW56" s="2472"/>
      <c r="GX56" s="2472">
        <v>1540</v>
      </c>
      <c r="GY56" s="2841"/>
      <c r="GZ56" s="2841"/>
      <c r="HA56" s="2841"/>
      <c r="HB56" s="2472">
        <v>3621</v>
      </c>
      <c r="HC56" s="2841"/>
      <c r="HD56" s="2472"/>
      <c r="HE56" s="2841"/>
      <c r="HF56" s="2472"/>
      <c r="HG56" s="2472"/>
      <c r="HH56" s="2841"/>
      <c r="HI56" s="2841"/>
      <c r="HJ56" s="2841"/>
      <c r="HK56" s="2841"/>
      <c r="HL56" s="2841"/>
      <c r="HM56" s="2841"/>
      <c r="HN56" s="2841"/>
      <c r="HO56" s="2841"/>
      <c r="HP56" s="2841"/>
      <c r="HQ56" s="2841"/>
      <c r="HR56" s="2841"/>
      <c r="HS56" s="2472"/>
      <c r="HT56" s="2841"/>
      <c r="HU56" s="2841"/>
      <c r="HV56" s="2841"/>
      <c r="HW56" s="2841"/>
      <c r="HX56" s="2841"/>
      <c r="HY56" s="2841"/>
      <c r="HZ56" s="2841"/>
      <c r="IA56" s="2841"/>
      <c r="IB56" s="2841"/>
      <c r="IC56" s="2841"/>
      <c r="ID56" s="2841"/>
      <c r="IE56" s="2841"/>
      <c r="IF56" s="2841"/>
      <c r="IG56" s="2841"/>
      <c r="IH56" s="2841"/>
      <c r="II56" s="2841"/>
      <c r="IJ56" s="2841"/>
      <c r="IK56" s="2841"/>
      <c r="IL56" s="2841"/>
      <c r="IM56" s="2841"/>
      <c r="IN56" s="2841"/>
      <c r="IO56" s="2472"/>
      <c r="IP56" s="2841"/>
      <c r="IQ56" s="2841"/>
      <c r="IR56" s="2841"/>
      <c r="IS56" s="4009"/>
      <c r="IT56" s="3998">
        <v>481</v>
      </c>
      <c r="IU56" s="3998"/>
      <c r="IV56" s="3998"/>
      <c r="IW56" s="3998"/>
      <c r="IX56" s="3998"/>
      <c r="IY56" s="3998"/>
      <c r="IZ56" s="2841"/>
      <c r="JA56" s="3998"/>
      <c r="JB56" s="3998"/>
      <c r="JC56" s="2841"/>
      <c r="JD56" s="2841"/>
      <c r="JE56" s="2841"/>
      <c r="JF56" s="2841"/>
      <c r="JG56" s="2617"/>
      <c r="JH56" s="1233"/>
      <c r="JI56" s="1393" t="s">
        <v>7295</v>
      </c>
      <c r="JJ56" s="1686" t="s">
        <v>6108</v>
      </c>
    </row>
    <row r="57" spans="1:270" x14ac:dyDescent="0.2">
      <c r="A57" s="1128">
        <v>57</v>
      </c>
      <c r="B57" s="1534" t="str">
        <f si="1" t="shared"/>
        <v/>
      </c>
      <c r="C57" s="4055" t="s">
        <v>3404</v>
      </c>
      <c r="D57" s="4056" t="s">
        <v>8495</v>
      </c>
      <c r="E57" s="2511"/>
      <c r="F57" s="2472"/>
      <c r="G57" s="2472"/>
      <c r="H57" s="2472"/>
      <c r="I57" s="2472"/>
      <c r="J57" s="2472"/>
      <c r="K57" s="2472"/>
      <c r="L57" s="2511"/>
      <c r="M57" s="2472"/>
      <c r="N57" s="2511"/>
      <c r="O57" s="2472"/>
      <c r="P57" s="2511"/>
      <c r="Q57" s="2472"/>
      <c r="R57" s="2511"/>
      <c r="S57" s="2511"/>
      <c r="T57" s="2472"/>
      <c r="U57" s="2472"/>
      <c r="V57" s="2511"/>
      <c r="W57" s="2511"/>
      <c r="X57" s="2511"/>
      <c r="Y57" s="2511"/>
      <c r="Z57" s="2511"/>
      <c r="AA57" s="2472"/>
      <c r="AB57" s="2511"/>
      <c r="AC57" s="2472"/>
      <c r="AD57" s="2472"/>
      <c r="AE57" s="2472"/>
      <c r="AF57" s="2472"/>
      <c r="AG57" s="2472"/>
      <c r="AH57" s="2472"/>
      <c r="AI57" s="2511"/>
      <c r="AJ57" s="2930"/>
      <c r="AK57" s="2511"/>
      <c r="AL57" s="2511"/>
      <c r="AM57" s="2511"/>
      <c r="AN57" s="2511"/>
      <c r="AO57" s="2511"/>
      <c r="AP57" s="2511"/>
      <c r="AQ57" s="2511"/>
      <c r="AR57" s="2472"/>
      <c r="AS57" s="2511"/>
      <c r="AT57" s="2511"/>
      <c r="AU57" s="2511"/>
      <c r="AV57" s="2511"/>
      <c r="AW57" s="2472"/>
      <c r="AX57" s="2511"/>
      <c r="AY57" s="2472"/>
      <c r="AZ57" s="2472"/>
      <c r="BA57" s="2511"/>
      <c r="BB57" s="2511"/>
      <c r="BC57" s="2511"/>
      <c r="BD57" s="2472"/>
      <c r="BE57" s="2472"/>
      <c r="BF57" s="2472"/>
      <c r="BG57" s="2472"/>
      <c r="BH57" s="2472"/>
      <c r="BI57" s="3728"/>
      <c r="BJ57" s="2472"/>
      <c r="BK57" s="3728"/>
      <c r="BL57" s="2472"/>
      <c r="BM57" s="2472"/>
      <c r="BN57" s="2472"/>
      <c r="BO57" s="2472"/>
      <c r="BP57" s="2472"/>
      <c r="BQ57" s="2472"/>
      <c r="BR57" s="2472"/>
      <c r="BS57" s="2472"/>
      <c r="BT57" s="2472"/>
      <c r="BU57" s="2472"/>
      <c r="BV57" s="2472"/>
      <c r="BW57" s="2472"/>
      <c r="BX57" s="2472"/>
      <c r="BY57" s="2472"/>
      <c r="BZ57" s="2472"/>
      <c r="CA57" s="2472"/>
      <c r="CB57" s="3956">
        <v>3000</v>
      </c>
      <c r="CC57" s="2472"/>
      <c r="CD57" s="2472"/>
      <c r="CE57" s="2841"/>
      <c r="CF57" s="2841"/>
      <c r="CG57" s="2841"/>
      <c r="CH57" s="2472"/>
      <c r="CI57" s="2472"/>
      <c r="CJ57" s="2841"/>
      <c r="CK57" s="2841"/>
      <c r="CL57" s="2841"/>
      <c r="CM57" s="2841"/>
      <c r="CN57" s="2841"/>
      <c r="CO57" s="2841"/>
      <c r="CP57" s="2841"/>
      <c r="CQ57" s="2472"/>
      <c r="CR57" s="2472"/>
      <c r="CS57" s="2472"/>
      <c r="CT57" s="2472"/>
      <c r="CU57" s="2841"/>
      <c r="CV57" s="2472"/>
      <c r="CW57" s="2841"/>
      <c r="CX57" s="2841"/>
      <c r="CY57" s="2841"/>
      <c r="CZ57" s="2472"/>
      <c r="DA57" s="2472"/>
      <c r="DB57" s="3728"/>
      <c r="DC57" s="2472"/>
      <c r="DD57" s="2841"/>
      <c r="DE57" s="2841"/>
      <c r="DF57" s="2841"/>
      <c r="DG57" s="2841"/>
      <c r="DH57" s="2841"/>
      <c r="DI57" s="2472"/>
      <c r="DJ57" s="2841"/>
      <c r="DK57" s="2841"/>
      <c r="DL57" s="2472"/>
      <c r="DM57" s="2472"/>
      <c r="DN57" s="2841"/>
      <c r="DO57" s="2841"/>
      <c r="DP57" s="2841"/>
      <c r="DQ57" s="2841"/>
      <c r="DR57" s="2472"/>
      <c r="DS57" s="2841"/>
      <c r="DT57" s="2841"/>
      <c r="DU57" s="2841"/>
      <c r="DV57" s="2841"/>
      <c r="DW57" s="2841"/>
      <c r="DX57" s="2841"/>
      <c r="DY57" s="2841"/>
      <c r="DZ57" s="2841"/>
      <c r="EA57" s="2841"/>
      <c r="EB57" s="2841"/>
      <c r="EC57" s="2841"/>
      <c r="ED57" s="2841"/>
      <c r="EE57" s="2841"/>
      <c r="EF57" s="2841"/>
      <c r="EG57" s="2841"/>
      <c r="EH57" s="2841"/>
      <c r="EI57" s="2841"/>
      <c r="EJ57" s="2511"/>
      <c r="EK57" s="2841"/>
      <c r="EL57" s="2841"/>
      <c r="EM57" s="2841"/>
      <c r="EN57" s="2472"/>
      <c r="EO57" s="2841"/>
      <c r="EP57" s="2841"/>
      <c r="EQ57" s="2841"/>
      <c r="ER57" s="2841"/>
      <c r="ES57" s="2841"/>
      <c r="ET57" s="2841"/>
      <c r="EU57" s="2472"/>
      <c r="EV57" s="2841"/>
      <c r="EW57" s="2841"/>
      <c r="EX57" s="2841"/>
      <c r="EY57" s="2841"/>
      <c r="EZ57" s="2841"/>
      <c r="FA57" s="2841"/>
      <c r="FB57" s="2841"/>
      <c r="FC57" s="2841"/>
      <c r="FD57" s="2841"/>
      <c r="FE57" s="2841"/>
      <c r="FF57" s="2472"/>
      <c r="FG57" s="2841"/>
      <c r="FH57" s="2841"/>
      <c r="FI57" s="2841"/>
      <c r="FJ57" s="2841"/>
      <c r="FK57" s="2841"/>
      <c r="FL57" s="2841"/>
      <c r="FM57" s="2841"/>
      <c r="FN57" s="2841"/>
      <c r="FO57" s="2841"/>
      <c r="FP57" s="2841"/>
      <c r="FQ57" s="2841"/>
      <c r="FR57" s="2841"/>
      <c r="FS57" s="2841"/>
      <c r="FT57" s="2472"/>
      <c r="FU57" s="2472"/>
      <c r="FV57" s="2472"/>
      <c r="FW57" s="2841"/>
      <c r="FX57" s="2472"/>
      <c r="FY57" s="2841"/>
      <c r="FZ57" s="2841"/>
      <c r="GA57" s="2841"/>
      <c r="GB57" s="2841"/>
      <c r="GC57" s="2841"/>
      <c r="GD57" s="2841"/>
      <c r="GE57" s="2511"/>
      <c r="GF57" s="2511"/>
      <c r="GG57" s="2472"/>
      <c r="GH57" s="2841"/>
      <c r="GI57" s="2841"/>
      <c r="GJ57" s="2472"/>
      <c r="GK57" s="2841"/>
      <c r="GL57" s="2841"/>
      <c r="GM57" s="2841"/>
      <c r="GN57" s="2841"/>
      <c r="GO57" s="2841"/>
      <c r="GP57" s="2841"/>
      <c r="GQ57" s="2841"/>
      <c r="GR57" s="2841"/>
      <c r="GS57" s="2841"/>
      <c r="GT57" s="2841"/>
      <c r="GU57" s="2841"/>
      <c r="GV57" s="2841"/>
      <c r="GW57" s="2472"/>
      <c r="GX57" s="2472"/>
      <c r="GY57" s="2841"/>
      <c r="GZ57" s="2841"/>
      <c r="HA57" s="2841"/>
      <c r="HB57" s="2472"/>
      <c r="HC57" s="2841"/>
      <c r="HD57" s="2472"/>
      <c r="HE57" s="2841"/>
      <c r="HF57" s="2472"/>
      <c r="HG57" s="2472"/>
      <c r="HH57" s="2841"/>
      <c r="HI57" s="2841"/>
      <c r="HJ57" s="2841"/>
      <c r="HK57" s="2841"/>
      <c r="HL57" s="2841"/>
      <c r="HM57" s="2841"/>
      <c r="HN57" s="2841"/>
      <c r="HO57" s="2841"/>
      <c r="HP57" s="2841"/>
      <c r="HQ57" s="2841"/>
      <c r="HR57" s="2841"/>
      <c r="HS57" s="2472"/>
      <c r="HT57" s="2841"/>
      <c r="HU57" s="2841"/>
      <c r="HV57" s="2841"/>
      <c r="HW57" s="2841"/>
      <c r="HX57" s="2841"/>
      <c r="HY57" s="2841"/>
      <c r="HZ57" s="2841"/>
      <c r="IA57" s="2841"/>
      <c r="IB57" s="2841"/>
      <c r="IC57" s="2841"/>
      <c r="ID57" s="2841"/>
      <c r="IE57" s="2841"/>
      <c r="IF57" s="2841"/>
      <c r="IG57" s="2841"/>
      <c r="IH57" s="2841"/>
      <c r="II57" s="2841"/>
      <c r="IJ57" s="2841"/>
      <c r="IK57" s="2841"/>
      <c r="IL57" s="2841"/>
      <c r="IM57" s="2841"/>
      <c r="IN57" s="2841"/>
      <c r="IO57" s="2472"/>
      <c r="IP57" s="2841"/>
      <c r="IQ57" s="2841"/>
      <c r="IR57" s="2841"/>
      <c r="IS57" s="4009"/>
      <c r="IT57" s="3998"/>
      <c r="IU57" s="3998"/>
      <c r="IV57" s="3998"/>
      <c r="IW57" s="3998"/>
      <c r="IX57" s="3998"/>
      <c r="IY57" s="3998"/>
      <c r="IZ57" s="2841"/>
      <c r="JA57" s="3998"/>
      <c r="JB57" s="3998"/>
      <c r="JC57" s="2841"/>
      <c r="JD57" s="2841"/>
      <c r="JE57" s="2841"/>
      <c r="JF57" s="2841"/>
      <c r="JG57" s="2617"/>
      <c r="JH57" s="1233"/>
      <c r="JI57" s="1393"/>
      <c r="JJ57" s="1686" t="s">
        <v>6124</v>
      </c>
    </row>
    <row r="58" spans="1:270" x14ac:dyDescent="0.2">
      <c r="A58" s="1128">
        <v>58</v>
      </c>
      <c r="B58" s="1534" t="str">
        <f ref="B58:B70" si="2" t="shared">IF(PRO_IND&gt;1,IF(HLOOKUP(PRO_IND-1,PRO_RANGE,A58)="","",HLOOKUP(PRO_IND-1,PRO_RANGE,A58)),"")</f>
        <v/>
      </c>
      <c r="C58" s="4053" t="s">
        <v>8498</v>
      </c>
      <c r="D58" s="4054" t="s">
        <v>8499</v>
      </c>
      <c r="E58" s="2511"/>
      <c r="F58" s="2472"/>
      <c r="G58" s="2472"/>
      <c r="H58" s="2472"/>
      <c r="I58" s="2472"/>
      <c r="J58" s="2472"/>
      <c r="K58" s="2472"/>
      <c r="L58" s="2511"/>
      <c r="M58" s="2472"/>
      <c r="N58" s="2511"/>
      <c r="O58" s="2472"/>
      <c r="P58" s="2511"/>
      <c r="Q58" s="2472"/>
      <c r="R58" s="2511"/>
      <c r="S58" s="2511"/>
      <c r="T58" s="2472"/>
      <c r="U58" s="2472"/>
      <c r="V58" s="2511"/>
      <c r="W58" s="2511"/>
      <c r="X58" s="2511"/>
      <c r="Y58" s="2511"/>
      <c r="Z58" s="2511"/>
      <c r="AA58" s="2472"/>
      <c r="AB58" s="2511"/>
      <c r="AC58" s="2472"/>
      <c r="AD58" s="2472"/>
      <c r="AE58" s="2472"/>
      <c r="AF58" s="2472"/>
      <c r="AG58" s="2472"/>
      <c r="AH58" s="2472"/>
      <c r="AI58" s="2511"/>
      <c r="AJ58" s="2930"/>
      <c r="AK58" s="2511"/>
      <c r="AL58" s="2511"/>
      <c r="AM58" s="2511"/>
      <c r="AN58" s="2511"/>
      <c r="AO58" s="2511"/>
      <c r="AP58" s="2511"/>
      <c r="AQ58" s="2511"/>
      <c r="AR58" s="2472"/>
      <c r="AS58" s="2511"/>
      <c r="AT58" s="2511"/>
      <c r="AU58" s="2511"/>
      <c r="AV58" s="2511"/>
      <c r="AW58" s="2472"/>
      <c r="AX58" s="2511"/>
      <c r="AY58" s="2472"/>
      <c r="AZ58" s="2472"/>
      <c r="BA58" s="2511"/>
      <c r="BB58" s="2511"/>
      <c r="BC58" s="2511"/>
      <c r="BD58" s="2472"/>
      <c r="BE58" s="2472"/>
      <c r="BF58" s="2472"/>
      <c r="BG58" s="2472"/>
      <c r="BH58" s="2472"/>
      <c r="BI58" s="3728"/>
      <c r="BJ58" s="2472"/>
      <c r="BK58" s="3728"/>
      <c r="BL58" s="2472"/>
      <c r="BM58" s="2472"/>
      <c r="BN58" s="2472"/>
      <c r="BO58" s="2472"/>
      <c r="BP58" s="2472"/>
      <c r="BQ58" s="2472"/>
      <c r="BR58" s="2472"/>
      <c r="BS58" s="2472"/>
      <c r="BT58" s="2472"/>
      <c r="BU58" s="2472"/>
      <c r="BV58" s="2472"/>
      <c r="BW58" s="2472"/>
      <c r="BX58" s="2472"/>
      <c r="BY58" s="2472"/>
      <c r="BZ58" s="2472"/>
      <c r="CA58" s="2472"/>
      <c r="CB58" s="3956">
        <v>2500</v>
      </c>
      <c r="CC58" s="2472"/>
      <c r="CD58" s="2472"/>
      <c r="CE58" s="2841"/>
      <c r="CF58" s="2841"/>
      <c r="CG58" s="2841"/>
      <c r="CH58" s="2472"/>
      <c r="CI58" s="2472"/>
      <c r="CJ58" s="2841"/>
      <c r="CK58" s="2841"/>
      <c r="CL58" s="2841"/>
      <c r="CM58" s="2841"/>
      <c r="CN58" s="2841"/>
      <c r="CO58" s="2841"/>
      <c r="CP58" s="2841"/>
      <c r="CQ58" s="2472"/>
      <c r="CR58" s="2472"/>
      <c r="CS58" s="2472"/>
      <c r="CT58" s="2472"/>
      <c r="CU58" s="2841"/>
      <c r="CV58" s="2472"/>
      <c r="CW58" s="2841"/>
      <c r="CX58" s="2841"/>
      <c r="CY58" s="2841"/>
      <c r="CZ58" s="2472"/>
      <c r="DA58" s="2472"/>
      <c r="DB58" s="3728"/>
      <c r="DC58" s="2472"/>
      <c r="DD58" s="2841"/>
      <c r="DE58" s="2841"/>
      <c r="DF58" s="2841"/>
      <c r="DG58" s="2841"/>
      <c r="DH58" s="2841"/>
      <c r="DI58" s="2472"/>
      <c r="DJ58" s="2841"/>
      <c r="DK58" s="2841"/>
      <c r="DL58" s="2472"/>
      <c r="DM58" s="2472"/>
      <c r="DN58" s="2841"/>
      <c r="DO58" s="2841"/>
      <c r="DP58" s="2841"/>
      <c r="DQ58" s="2841"/>
      <c r="DR58" s="2472"/>
      <c r="DS58" s="2841"/>
      <c r="DT58" s="2841"/>
      <c r="DU58" s="2841"/>
      <c r="DV58" s="2841"/>
      <c r="DW58" s="2841"/>
      <c r="DX58" s="2841"/>
      <c r="DY58" s="2841"/>
      <c r="DZ58" s="2841"/>
      <c r="EA58" s="2841"/>
      <c r="EB58" s="2841"/>
      <c r="EC58" s="2841"/>
      <c r="ED58" s="2841"/>
      <c r="EE58" s="2841"/>
      <c r="EF58" s="2841"/>
      <c r="EG58" s="2841"/>
      <c r="EH58" s="2841"/>
      <c r="EI58" s="2841"/>
      <c r="EJ58" s="2511"/>
      <c r="EK58" s="2841"/>
      <c r="EL58" s="2841"/>
      <c r="EM58" s="2841"/>
      <c r="EN58" s="2472"/>
      <c r="EO58" s="2841"/>
      <c r="EP58" s="2841"/>
      <c r="EQ58" s="2841"/>
      <c r="ER58" s="2841"/>
      <c r="ES58" s="2841"/>
      <c r="ET58" s="2841"/>
      <c r="EU58" s="2472"/>
      <c r="EV58" s="2841"/>
      <c r="EW58" s="2841"/>
      <c r="EX58" s="2841"/>
      <c r="EY58" s="2841"/>
      <c r="EZ58" s="2841"/>
      <c r="FA58" s="2841"/>
      <c r="FB58" s="2841"/>
      <c r="FC58" s="2841"/>
      <c r="FD58" s="2841"/>
      <c r="FE58" s="2841"/>
      <c r="FF58" s="2472"/>
      <c r="FG58" s="2841"/>
      <c r="FH58" s="2841"/>
      <c r="FI58" s="2841"/>
      <c r="FJ58" s="2841"/>
      <c r="FK58" s="2841"/>
      <c r="FL58" s="2841"/>
      <c r="FM58" s="2841"/>
      <c r="FN58" s="2841"/>
      <c r="FO58" s="2841"/>
      <c r="FP58" s="2841"/>
      <c r="FQ58" s="2841"/>
      <c r="FR58" s="2841"/>
      <c r="FS58" s="2841"/>
      <c r="FT58" s="2472"/>
      <c r="FU58" s="2472"/>
      <c r="FV58" s="2472"/>
      <c r="FW58" s="2841"/>
      <c r="FX58" s="2472"/>
      <c r="FY58" s="2841"/>
      <c r="FZ58" s="2841"/>
      <c r="GA58" s="2841"/>
      <c r="GB58" s="2841"/>
      <c r="GC58" s="2841"/>
      <c r="GD58" s="2841"/>
      <c r="GE58" s="2511"/>
      <c r="GF58" s="2511"/>
      <c r="GG58" s="2472"/>
      <c r="GH58" s="2841"/>
      <c r="GI58" s="2841"/>
      <c r="GJ58" s="2472"/>
      <c r="GK58" s="2841"/>
      <c r="GL58" s="2841"/>
      <c r="GM58" s="2841"/>
      <c r="GN58" s="2841"/>
      <c r="GO58" s="2841"/>
      <c r="GP58" s="2841"/>
      <c r="GQ58" s="2841"/>
      <c r="GR58" s="2841"/>
      <c r="GS58" s="2841"/>
      <c r="GT58" s="2841"/>
      <c r="GU58" s="2841"/>
      <c r="GV58" s="2841"/>
      <c r="GW58" s="2472"/>
      <c r="GX58" s="2472"/>
      <c r="GY58" s="2841"/>
      <c r="GZ58" s="2841"/>
      <c r="HA58" s="2841"/>
      <c r="HB58" s="2472"/>
      <c r="HC58" s="2841"/>
      <c r="HD58" s="2472"/>
      <c r="HE58" s="2841"/>
      <c r="HF58" s="2472"/>
      <c r="HG58" s="2472"/>
      <c r="HH58" s="2841"/>
      <c r="HI58" s="2841"/>
      <c r="HJ58" s="2841"/>
      <c r="HK58" s="2841"/>
      <c r="HL58" s="2841"/>
      <c r="HM58" s="2841"/>
      <c r="HN58" s="2841"/>
      <c r="HO58" s="2841"/>
      <c r="HP58" s="2841"/>
      <c r="HQ58" s="2841"/>
      <c r="HR58" s="2841"/>
      <c r="HS58" s="2472"/>
      <c r="HT58" s="2841"/>
      <c r="HU58" s="2841"/>
      <c r="HV58" s="2841"/>
      <c r="HW58" s="2841"/>
      <c r="HX58" s="2841"/>
      <c r="HY58" s="2841"/>
      <c r="HZ58" s="2841"/>
      <c r="IA58" s="2841"/>
      <c r="IB58" s="2841"/>
      <c r="IC58" s="2841"/>
      <c r="ID58" s="2841"/>
      <c r="IE58" s="2841"/>
      <c r="IF58" s="2841"/>
      <c r="IG58" s="2841"/>
      <c r="IH58" s="2841"/>
      <c r="II58" s="2841"/>
      <c r="IJ58" s="2841"/>
      <c r="IK58" s="2841"/>
      <c r="IL58" s="2841"/>
      <c r="IM58" s="2841"/>
      <c r="IN58" s="2841"/>
      <c r="IO58" s="2472"/>
      <c r="IP58" s="2841"/>
      <c r="IQ58" s="2841"/>
      <c r="IR58" s="2841"/>
      <c r="IS58" s="4009"/>
      <c r="IT58" s="3998"/>
      <c r="IU58" s="3998"/>
      <c r="IV58" s="3998"/>
      <c r="IW58" s="3998"/>
      <c r="IX58" s="3998"/>
      <c r="IY58" s="3998"/>
      <c r="IZ58" s="2841"/>
      <c r="JA58" s="3998"/>
      <c r="JB58" s="3998"/>
      <c r="JC58" s="2841"/>
      <c r="JD58" s="2841"/>
      <c r="JE58" s="2841"/>
      <c r="JF58" s="2841"/>
      <c r="JG58" s="4052"/>
      <c r="JH58" s="1233"/>
      <c r="JI58" s="2248"/>
      <c r="JJ58" s="3300"/>
    </row>
    <row r="59" spans="1:270" x14ac:dyDescent="0.2">
      <c r="A59" s="1128">
        <v>59</v>
      </c>
      <c r="B59" s="1534" t="str">
        <f si="2" t="shared"/>
        <v/>
      </c>
      <c r="C59" s="1818" t="s">
        <v>3405</v>
      </c>
      <c r="D59" s="1817" t="s">
        <v>5317</v>
      </c>
      <c r="E59" s="2511"/>
      <c r="F59" s="2511"/>
      <c r="G59" s="2511"/>
      <c r="H59" s="2511"/>
      <c r="I59" s="2511"/>
      <c r="J59" s="2511"/>
      <c r="K59" s="2511"/>
      <c r="L59" s="2511"/>
      <c r="M59" s="2511"/>
      <c r="N59" s="2511"/>
      <c r="O59" s="2511"/>
      <c r="P59" s="2511"/>
      <c r="Q59" s="2511"/>
      <c r="R59" s="2511"/>
      <c r="S59" s="2511"/>
      <c r="T59" s="2511"/>
      <c r="U59" s="2511"/>
      <c r="V59" s="2511"/>
      <c r="W59" s="2511"/>
      <c r="X59" s="2511"/>
      <c r="Y59" s="2511"/>
      <c r="Z59" s="2511"/>
      <c r="AA59" s="2511"/>
      <c r="AB59" s="2511"/>
      <c r="AC59" s="2511"/>
      <c r="AD59" s="2511"/>
      <c r="AE59" s="2511"/>
      <c r="AF59" s="2511"/>
      <c r="AG59" s="2511"/>
      <c r="AH59" s="2511"/>
      <c r="AI59" s="2511"/>
      <c r="AJ59" s="2930"/>
      <c r="AK59" s="2511"/>
      <c r="AL59" s="2511"/>
      <c r="AM59" s="2511"/>
      <c r="AN59" s="2511"/>
      <c r="AO59" s="2511"/>
      <c r="AP59" s="2511"/>
      <c r="AQ59" s="2511"/>
      <c r="AR59" s="2511"/>
      <c r="AS59" s="2511"/>
      <c r="AT59" s="2511"/>
      <c r="AU59" s="2511"/>
      <c r="AV59" s="2511"/>
      <c r="AW59" s="2511"/>
      <c r="AX59" s="2511"/>
      <c r="AY59" s="2511"/>
      <c r="AZ59" s="2511"/>
      <c r="BA59" s="2511"/>
      <c r="BB59" s="2511"/>
      <c r="BC59" s="2511"/>
      <c r="BD59" s="2511"/>
      <c r="BE59" s="2511"/>
      <c r="BF59" s="2511"/>
      <c r="BG59" s="2511"/>
      <c r="BH59" s="2511"/>
      <c r="BI59" s="3728"/>
      <c r="BJ59" s="2511"/>
      <c r="BK59" s="3728"/>
      <c r="BL59" s="2511"/>
      <c r="BM59" s="2511"/>
      <c r="BN59" s="2511"/>
      <c r="BO59" s="2511"/>
      <c r="BP59" s="2511"/>
      <c r="BQ59" s="2511"/>
      <c r="BR59" s="2511"/>
      <c r="BS59" s="2511"/>
      <c r="BT59" s="2511"/>
      <c r="BU59" s="2511"/>
      <c r="BV59" s="2511"/>
      <c r="BW59" s="2511"/>
      <c r="BX59" s="2511"/>
      <c r="BY59" s="2511"/>
      <c r="BZ59" s="2511"/>
      <c r="CA59" s="2511"/>
      <c r="CB59" s="2889"/>
      <c r="CC59" s="2511"/>
      <c r="CD59" s="2511"/>
      <c r="CE59" s="2889"/>
      <c r="CF59" s="2889"/>
      <c r="CG59" s="2889"/>
      <c r="CH59" s="2511"/>
      <c r="CI59" s="2511"/>
      <c r="CJ59" s="2889"/>
      <c r="CK59" s="2889"/>
      <c r="CL59" s="2889"/>
      <c r="CM59" s="2889"/>
      <c r="CN59" s="2889"/>
      <c r="CO59" s="2889"/>
      <c r="CP59" s="2889"/>
      <c r="CQ59" s="2511"/>
      <c r="CR59" s="2511"/>
      <c r="CS59" s="2511"/>
      <c r="CT59" s="2511"/>
      <c r="CU59" s="2889"/>
      <c r="CV59" s="2511"/>
      <c r="CW59" s="2889"/>
      <c r="CX59" s="2889"/>
      <c r="CY59" s="2889"/>
      <c r="CZ59" s="2511"/>
      <c r="DA59" s="2511"/>
      <c r="DB59" s="3728"/>
      <c r="DC59" s="2511"/>
      <c r="DD59" s="2889"/>
      <c r="DE59" s="2889"/>
      <c r="DF59" s="2889"/>
      <c r="DG59" s="2889"/>
      <c r="DH59" s="2889"/>
      <c r="DI59" s="2511"/>
      <c r="DJ59" s="2889"/>
      <c r="DK59" s="2889"/>
      <c r="DL59" s="2511"/>
      <c r="DM59" s="2511"/>
      <c r="DN59" s="2889"/>
      <c r="DO59" s="2889"/>
      <c r="DP59" s="2889"/>
      <c r="DQ59" s="2889"/>
      <c r="DR59" s="2511"/>
      <c r="DS59" s="2889"/>
      <c r="DT59" s="2889"/>
      <c r="DU59" s="2889"/>
      <c r="DV59" s="2889"/>
      <c r="DW59" s="2889"/>
      <c r="DX59" s="2889"/>
      <c r="DY59" s="2889"/>
      <c r="DZ59" s="2889"/>
      <c r="EA59" s="2889"/>
      <c r="EB59" s="2889"/>
      <c r="EC59" s="2889"/>
      <c r="ED59" s="2889"/>
      <c r="EE59" s="2889"/>
      <c r="EF59" s="2889"/>
      <c r="EG59" s="2889"/>
      <c r="EH59" s="2889"/>
      <c r="EI59" s="2889"/>
      <c r="EJ59" s="2511"/>
      <c r="EK59" s="2889"/>
      <c r="EL59" s="2889"/>
      <c r="EM59" s="2889"/>
      <c r="EN59" s="2511"/>
      <c r="EO59" s="2889"/>
      <c r="EP59" s="2889"/>
      <c r="EQ59" s="2889"/>
      <c r="ER59" s="2889"/>
      <c r="ES59" s="2889"/>
      <c r="ET59" s="2889"/>
      <c r="EU59" s="2511"/>
      <c r="EV59" s="2889"/>
      <c r="EW59" s="2889"/>
      <c r="EX59" s="2889"/>
      <c r="EY59" s="2889"/>
      <c r="EZ59" s="2889"/>
      <c r="FA59" s="2889"/>
      <c r="FB59" s="2889"/>
      <c r="FC59" s="2889"/>
      <c r="FD59" s="2889"/>
      <c r="FE59" s="2889"/>
      <c r="FF59" s="2511"/>
      <c r="FG59" s="2889"/>
      <c r="FH59" s="2889"/>
      <c r="FI59" s="2889"/>
      <c r="FJ59" s="2889"/>
      <c r="FK59" s="2889"/>
      <c r="FL59" s="2889"/>
      <c r="FM59" s="2889"/>
      <c r="FN59" s="2889"/>
      <c r="FO59" s="2889"/>
      <c r="FP59" s="2889"/>
      <c r="FQ59" s="2889"/>
      <c r="FR59" s="2889"/>
      <c r="FS59" s="2889"/>
      <c r="FT59" s="2511"/>
      <c r="FU59" s="2511"/>
      <c r="FV59" s="2511"/>
      <c r="FW59" s="2889"/>
      <c r="FX59" s="2511"/>
      <c r="FY59" s="2889"/>
      <c r="FZ59" s="2889"/>
      <c r="GA59" s="2889"/>
      <c r="GB59" s="2889"/>
      <c r="GC59" s="2889"/>
      <c r="GD59" s="2889"/>
      <c r="GE59" s="2511"/>
      <c r="GF59" s="2511"/>
      <c r="GG59" s="2511"/>
      <c r="GH59" s="2889"/>
      <c r="GI59" s="2889"/>
      <c r="GJ59" s="2511"/>
      <c r="GK59" s="2889"/>
      <c r="GL59" s="2889"/>
      <c r="GM59" s="2889"/>
      <c r="GN59" s="2889"/>
      <c r="GO59" s="2889"/>
      <c r="GP59" s="2889"/>
      <c r="GQ59" s="2889"/>
      <c r="GR59" s="2889"/>
      <c r="GS59" s="2889"/>
      <c r="GT59" s="2889"/>
      <c r="GU59" s="2889"/>
      <c r="GV59" s="2889"/>
      <c r="GW59" s="2511"/>
      <c r="GX59" s="2511"/>
      <c r="GY59" s="2889"/>
      <c r="GZ59" s="2889"/>
      <c r="HA59" s="2889"/>
      <c r="HB59" s="2511"/>
      <c r="HC59" s="2889"/>
      <c r="HD59" s="2511"/>
      <c r="HE59" s="2889"/>
      <c r="HF59" s="2511"/>
      <c r="HG59" s="2511"/>
      <c r="HH59" s="2889"/>
      <c r="HI59" s="2889"/>
      <c r="HJ59" s="2889"/>
      <c r="HK59" s="2889"/>
      <c r="HL59" s="2889"/>
      <c r="HM59" s="2889"/>
      <c r="HN59" s="2889"/>
      <c r="HO59" s="2889"/>
      <c r="HP59" s="2889"/>
      <c r="HQ59" s="2889"/>
      <c r="HR59" s="2889"/>
      <c r="HS59" s="2511"/>
      <c r="HT59" s="2889"/>
      <c r="HU59" s="2889"/>
      <c r="HV59" s="2889"/>
      <c r="HW59" s="2889"/>
      <c r="HX59" s="2889"/>
      <c r="HY59" s="2889"/>
      <c r="HZ59" s="2889"/>
      <c r="IA59" s="2889"/>
      <c r="IB59" s="2889"/>
      <c r="IC59" s="2889"/>
      <c r="ID59" s="2889"/>
      <c r="IE59" s="2889"/>
      <c r="IF59" s="2889"/>
      <c r="IG59" s="2889"/>
      <c r="IH59" s="2889"/>
      <c r="II59" s="2889"/>
      <c r="IJ59" s="2889"/>
      <c r="IK59" s="2889"/>
      <c r="IL59" s="2889"/>
      <c r="IM59" s="2889"/>
      <c r="IN59" s="2889"/>
      <c r="IO59" s="2511"/>
      <c r="IP59" s="2889"/>
      <c r="IQ59" s="2889"/>
      <c r="IR59" s="2889"/>
      <c r="IS59" s="4009"/>
      <c r="IT59" s="3998"/>
      <c r="IU59" s="3998"/>
      <c r="IV59" s="3998"/>
      <c r="IW59" s="3998"/>
      <c r="IX59" s="3998"/>
      <c r="IY59" s="3998"/>
      <c r="IZ59" s="2889"/>
      <c r="JA59" s="3998"/>
      <c r="JB59" s="3998"/>
      <c r="JC59" s="2889"/>
      <c r="JD59" s="2889"/>
      <c r="JE59" s="2889"/>
      <c r="JF59" s="2889"/>
      <c r="JG59" s="2618"/>
      <c r="JH59" s="1233"/>
      <c r="JI59" s="2020"/>
      <c r="JJ59" s="1687" t="s">
        <v>6108</v>
      </c>
    </row>
    <row r="60" spans="1:270" x14ac:dyDescent="0.2">
      <c r="A60" s="1128">
        <v>60</v>
      </c>
      <c r="B60" s="1534" t="str">
        <f si="2" t="shared"/>
        <v/>
      </c>
      <c r="C60" s="1818" t="s">
        <v>3406</v>
      </c>
      <c r="D60" s="1817" t="s">
        <v>6079</v>
      </c>
      <c r="E60" s="2511"/>
      <c r="F60" s="2511"/>
      <c r="G60" s="2511"/>
      <c r="H60" s="2511"/>
      <c r="I60" s="2511"/>
      <c r="J60" s="2511"/>
      <c r="K60" s="2511"/>
      <c r="L60" s="2511"/>
      <c r="M60" s="2511"/>
      <c r="N60" s="2511"/>
      <c r="O60" s="2511"/>
      <c r="P60" s="2511"/>
      <c r="Q60" s="2511"/>
      <c r="R60" s="2511"/>
      <c r="S60" s="2511"/>
      <c r="T60" s="2511"/>
      <c r="U60" s="2511"/>
      <c r="V60" s="2511"/>
      <c r="W60" s="2511"/>
      <c r="X60" s="2511"/>
      <c r="Y60" s="2511"/>
      <c r="Z60" s="2511"/>
      <c r="AA60" s="2511"/>
      <c r="AB60" s="2511"/>
      <c r="AC60" s="2511"/>
      <c r="AD60" s="2511"/>
      <c r="AE60" s="2511"/>
      <c r="AF60" s="2511"/>
      <c r="AG60" s="2511"/>
      <c r="AH60" s="2511"/>
      <c r="AI60" s="2511"/>
      <c r="AJ60" s="2930"/>
      <c r="AK60" s="2511"/>
      <c r="AL60" s="2511"/>
      <c r="AM60" s="2511"/>
      <c r="AN60" s="2511"/>
      <c r="AO60" s="2511"/>
      <c r="AP60" s="2511"/>
      <c r="AQ60" s="2511"/>
      <c r="AR60" s="2511"/>
      <c r="AS60" s="2511"/>
      <c r="AT60" s="2511"/>
      <c r="AU60" s="2511"/>
      <c r="AV60" s="2511"/>
      <c r="AW60" s="2511"/>
      <c r="AX60" s="2511"/>
      <c r="AY60" s="2511"/>
      <c r="AZ60" s="2511"/>
      <c r="BA60" s="2511"/>
      <c r="BB60" s="2511"/>
      <c r="BC60" s="2511"/>
      <c r="BD60" s="2511"/>
      <c r="BE60" s="2511"/>
      <c r="BF60" s="2511"/>
      <c r="BG60" s="2511"/>
      <c r="BH60" s="2511"/>
      <c r="BI60" s="3728"/>
      <c r="BJ60" s="2511"/>
      <c r="BK60" s="3728"/>
      <c r="BL60" s="2511"/>
      <c r="BM60" s="2511"/>
      <c r="BN60" s="2511"/>
      <c r="BO60" s="2511"/>
      <c r="BP60" s="2511"/>
      <c r="BQ60" s="2511"/>
      <c r="BR60" s="2511"/>
      <c r="BS60" s="2511"/>
      <c r="BT60" s="2511"/>
      <c r="BU60" s="2511"/>
      <c r="BV60" s="2511"/>
      <c r="BW60" s="2511"/>
      <c r="BX60" s="2511"/>
      <c r="BY60" s="2511"/>
      <c r="BZ60" s="2511"/>
      <c r="CA60" s="2511"/>
      <c r="CB60" s="2889"/>
      <c r="CC60" s="2511"/>
      <c r="CD60" s="2511"/>
      <c r="CE60" s="2889"/>
      <c r="CF60" s="2889"/>
      <c r="CG60" s="2889"/>
      <c r="CH60" s="2511"/>
      <c r="CI60" s="2511"/>
      <c r="CJ60" s="2889"/>
      <c r="CK60" s="2889"/>
      <c r="CL60" s="2889"/>
      <c r="CM60" s="2889"/>
      <c r="CN60" s="2889"/>
      <c r="CO60" s="2889"/>
      <c r="CP60" s="2889"/>
      <c r="CQ60" s="2511"/>
      <c r="CR60" s="2511"/>
      <c r="CS60" s="2511"/>
      <c r="CT60" s="2511"/>
      <c r="CU60" s="2889"/>
      <c r="CV60" s="2511"/>
      <c r="CW60" s="2889"/>
      <c r="CX60" s="2889"/>
      <c r="CY60" s="2889"/>
      <c r="CZ60" s="2511"/>
      <c r="DA60" s="2511"/>
      <c r="DB60" s="3728"/>
      <c r="DC60" s="2511"/>
      <c r="DD60" s="2889"/>
      <c r="DE60" s="2889"/>
      <c r="DF60" s="2889"/>
      <c r="DG60" s="2889"/>
      <c r="DH60" s="2889"/>
      <c r="DI60" s="2511"/>
      <c r="DJ60" s="2889"/>
      <c r="DK60" s="2889"/>
      <c r="DL60" s="2511"/>
      <c r="DM60" s="2511"/>
      <c r="DN60" s="2889"/>
      <c r="DO60" s="2889"/>
      <c r="DP60" s="2889"/>
      <c r="DQ60" s="2889"/>
      <c r="DR60" s="2511"/>
      <c r="DS60" s="2889"/>
      <c r="DT60" s="2889"/>
      <c r="DU60" s="2889"/>
      <c r="DV60" s="2889"/>
      <c r="DW60" s="2889"/>
      <c r="DX60" s="2889"/>
      <c r="DY60" s="2889"/>
      <c r="DZ60" s="2889"/>
      <c r="EA60" s="2889"/>
      <c r="EB60" s="2889"/>
      <c r="EC60" s="2889"/>
      <c r="ED60" s="2889"/>
      <c r="EE60" s="2889"/>
      <c r="EF60" s="2889"/>
      <c r="EG60" s="2889"/>
      <c r="EH60" s="2889"/>
      <c r="EI60" s="2889"/>
      <c r="EJ60" s="2511">
        <v>500</v>
      </c>
      <c r="EK60" s="2889"/>
      <c r="EL60" s="2889"/>
      <c r="EM60" s="2889"/>
      <c r="EN60" s="2511"/>
      <c r="EO60" s="2889"/>
      <c r="EP60" s="2889"/>
      <c r="EQ60" s="2889"/>
      <c r="ER60" s="2889"/>
      <c r="ES60" s="2889"/>
      <c r="ET60" s="2889"/>
      <c r="EU60" s="2511"/>
      <c r="EV60" s="2889"/>
      <c r="EW60" s="2889"/>
      <c r="EX60" s="2889"/>
      <c r="EY60" s="2889"/>
      <c r="EZ60" s="2889"/>
      <c r="FA60" s="2889"/>
      <c r="FB60" s="2889"/>
      <c r="FC60" s="2889"/>
      <c r="FD60" s="2889"/>
      <c r="FE60" s="2889"/>
      <c r="FF60" s="2511"/>
      <c r="FG60" s="2889"/>
      <c r="FH60" s="2889"/>
      <c r="FI60" s="2889"/>
      <c r="FJ60" s="2889"/>
      <c r="FK60" s="2889"/>
      <c r="FL60" s="2889"/>
      <c r="FM60" s="2889"/>
      <c r="FN60" s="2889"/>
      <c r="FO60" s="2889"/>
      <c r="FP60" s="2889"/>
      <c r="FQ60" s="2889"/>
      <c r="FR60" s="2889"/>
      <c r="FS60" s="2889"/>
      <c r="FT60" s="2511"/>
      <c r="FU60" s="2511"/>
      <c r="FV60" s="2511"/>
      <c r="FW60" s="2889"/>
      <c r="FX60" s="2511"/>
      <c r="FY60" s="2889"/>
      <c r="FZ60" s="2889"/>
      <c r="GA60" s="2889"/>
      <c r="GB60" s="2889"/>
      <c r="GC60" s="2889"/>
      <c r="GD60" s="2889"/>
      <c r="GE60" s="2511">
        <v>500</v>
      </c>
      <c r="GF60" s="2511">
        <v>500</v>
      </c>
      <c r="GG60" s="2511"/>
      <c r="GH60" s="2889"/>
      <c r="GI60" s="2889"/>
      <c r="GJ60" s="2511"/>
      <c r="GK60" s="2889"/>
      <c r="GL60" s="2889"/>
      <c r="GM60" s="2889"/>
      <c r="GN60" s="2889"/>
      <c r="GO60" s="2889"/>
      <c r="GP60" s="2889"/>
      <c r="GQ60" s="2889"/>
      <c r="GR60" s="2889"/>
      <c r="GS60" s="2889"/>
      <c r="GT60" s="2889"/>
      <c r="GU60" s="2889"/>
      <c r="GV60" s="2889"/>
      <c r="GW60" s="2511"/>
      <c r="GX60" s="2511"/>
      <c r="GY60" s="2889"/>
      <c r="GZ60" s="2889"/>
      <c r="HA60" s="2889"/>
      <c r="HB60" s="2511"/>
      <c r="HC60" s="2889"/>
      <c r="HD60" s="2511"/>
      <c r="HE60" s="2889"/>
      <c r="HF60" s="2511"/>
      <c r="HG60" s="2511"/>
      <c r="HH60" s="2889"/>
      <c r="HI60" s="2889"/>
      <c r="HJ60" s="2889"/>
      <c r="HK60" s="2889"/>
      <c r="HL60" s="2889"/>
      <c r="HM60" s="2889"/>
      <c r="HN60" s="2889"/>
      <c r="HO60" s="2889"/>
      <c r="HP60" s="2889"/>
      <c r="HQ60" s="2889"/>
      <c r="HR60" s="2889"/>
      <c r="HS60" s="2511"/>
      <c r="HT60" s="2889"/>
      <c r="HU60" s="2889"/>
      <c r="HV60" s="2889"/>
      <c r="HW60" s="2889"/>
      <c r="HX60" s="2889"/>
      <c r="HY60" s="2889"/>
      <c r="HZ60" s="2889"/>
      <c r="IA60" s="2889"/>
      <c r="IB60" s="2889"/>
      <c r="IC60" s="2889"/>
      <c r="ID60" s="2889"/>
      <c r="IE60" s="2889"/>
      <c r="IF60" s="2889"/>
      <c r="IG60" s="2889"/>
      <c r="IH60" s="2889"/>
      <c r="II60" s="2889"/>
      <c r="IJ60" s="2889"/>
      <c r="IK60" s="2889"/>
      <c r="IL60" s="2889"/>
      <c r="IM60" s="2889"/>
      <c r="IN60" s="2889"/>
      <c r="IO60" s="2511"/>
      <c r="IP60" s="2889"/>
      <c r="IQ60" s="2889"/>
      <c r="IR60" s="2889"/>
      <c r="IS60" s="4009"/>
      <c r="IT60" s="3998"/>
      <c r="IU60" s="3998"/>
      <c r="IV60" s="3998"/>
      <c r="IW60" s="3998"/>
      <c r="IX60" s="3998"/>
      <c r="IY60" s="3998"/>
      <c r="IZ60" s="2889"/>
      <c r="JA60" s="3998"/>
      <c r="JB60" s="3998"/>
      <c r="JC60" s="2889"/>
      <c r="JD60" s="2889"/>
      <c r="JE60" s="2889"/>
      <c r="JF60" s="2889"/>
      <c r="JG60" s="2618"/>
      <c r="JH60" s="1233"/>
      <c r="JI60" s="2020"/>
      <c r="JJ60" s="1686" t="s">
        <v>6108</v>
      </c>
    </row>
    <row r="61" spans="1:270" x14ac:dyDescent="0.2">
      <c r="A61" s="1128">
        <v>61</v>
      </c>
      <c r="B61" s="1534" t="str">
        <f si="2" t="shared"/>
        <v/>
      </c>
      <c r="C61" s="1818" t="s">
        <v>1475</v>
      </c>
      <c r="D61" s="1817" t="s">
        <v>6080</v>
      </c>
      <c r="E61" s="2511"/>
      <c r="F61" s="2511"/>
      <c r="G61" s="2511"/>
      <c r="H61" s="2511"/>
      <c r="I61" s="2511"/>
      <c r="J61" s="2511"/>
      <c r="K61" s="2511"/>
      <c r="L61" s="2511"/>
      <c r="M61" s="2511"/>
      <c r="N61" s="2511"/>
      <c r="O61" s="2511"/>
      <c r="P61" s="2511"/>
      <c r="Q61" s="2511"/>
      <c r="R61" s="2511"/>
      <c r="S61" s="2511"/>
      <c r="T61" s="2472">
        <v>13171</v>
      </c>
      <c r="U61" s="2511"/>
      <c r="V61" s="2511"/>
      <c r="W61" s="2511"/>
      <c r="X61" s="2511"/>
      <c r="Y61" s="2511"/>
      <c r="Z61" s="2511"/>
      <c r="AA61" s="2511"/>
      <c r="AB61" s="2511"/>
      <c r="AC61" s="2511"/>
      <c r="AD61" s="2511"/>
      <c r="AE61" s="2511"/>
      <c r="AF61" s="2511"/>
      <c r="AG61" s="2511"/>
      <c r="AH61" s="2511"/>
      <c r="AI61" s="2511"/>
      <c r="AJ61" s="2930">
        <v>809</v>
      </c>
      <c r="AK61" s="2511"/>
      <c r="AL61" s="2511"/>
      <c r="AM61" s="2511"/>
      <c r="AN61" s="2511"/>
      <c r="AO61" s="2511"/>
      <c r="AP61" s="2511"/>
      <c r="AQ61" s="2511"/>
      <c r="AR61" s="2511"/>
      <c r="AS61" s="2511"/>
      <c r="AT61" s="2511"/>
      <c r="AU61" s="2511"/>
      <c r="AV61" s="2511"/>
      <c r="AW61" s="2511"/>
      <c r="AX61" s="2511"/>
      <c r="AY61" s="2511"/>
      <c r="AZ61" s="2511"/>
      <c r="BA61" s="2511"/>
      <c r="BB61" s="2511"/>
      <c r="BC61" s="2511"/>
      <c r="BD61" s="2511"/>
      <c r="BE61" s="2472"/>
      <c r="BF61" s="2472"/>
      <c r="BG61" s="2511"/>
      <c r="BH61" s="2472"/>
      <c r="BI61" s="3728"/>
      <c r="BJ61" s="2472"/>
      <c r="BK61" s="3728"/>
      <c r="BL61" s="2472"/>
      <c r="BM61" s="2472"/>
      <c r="BN61" s="2472"/>
      <c r="BO61" s="2472"/>
      <c r="BP61" s="2472"/>
      <c r="BQ61" s="2472"/>
      <c r="BR61" s="2472"/>
      <c r="BS61" s="2472"/>
      <c r="BT61" s="2511"/>
      <c r="BU61" s="2472"/>
      <c r="BV61" s="2511"/>
      <c r="BW61" s="2472"/>
      <c r="BX61" s="2511">
        <v>770</v>
      </c>
      <c r="BY61" s="2472"/>
      <c r="BZ61" s="2472"/>
      <c r="CA61" s="2472"/>
      <c r="CB61" s="2841"/>
      <c r="CC61" s="2511"/>
      <c r="CD61" s="2511"/>
      <c r="CE61" s="2841"/>
      <c r="CF61" s="2841"/>
      <c r="CG61" s="2841"/>
      <c r="CH61" s="2511"/>
      <c r="CI61" s="2511">
        <v>770</v>
      </c>
      <c r="CJ61" s="2841"/>
      <c r="CK61" s="2841"/>
      <c r="CL61" s="2841"/>
      <c r="CM61" s="2841"/>
      <c r="CN61" s="2841"/>
      <c r="CO61" s="2841"/>
      <c r="CP61" s="2841"/>
      <c r="CQ61" s="2511">
        <v>770</v>
      </c>
      <c r="CR61" s="2511"/>
      <c r="CS61" s="2511"/>
      <c r="CT61" s="2511"/>
      <c r="CU61" s="2841"/>
      <c r="CV61" s="2511"/>
      <c r="CW61" s="2841"/>
      <c r="CX61" s="2841"/>
      <c r="CY61" s="2841"/>
      <c r="CZ61" s="2511"/>
      <c r="DA61" s="2511"/>
      <c r="DB61" s="3728"/>
      <c r="DC61" s="2511">
        <v>770</v>
      </c>
      <c r="DD61" s="2841"/>
      <c r="DE61" s="2841"/>
      <c r="DF61" s="2841"/>
      <c r="DG61" s="2841"/>
      <c r="DH61" s="2841"/>
      <c r="DI61" s="2511"/>
      <c r="DJ61" s="2841"/>
      <c r="DK61" s="2841"/>
      <c r="DL61" s="2511"/>
      <c r="DM61" s="2511">
        <v>770</v>
      </c>
      <c r="DN61" s="2841"/>
      <c r="DO61" s="2841"/>
      <c r="DP61" s="2841"/>
      <c r="DQ61" s="2841"/>
      <c r="DR61" s="2511"/>
      <c r="DS61" s="2841"/>
      <c r="DT61" s="2841"/>
      <c r="DU61" s="2841"/>
      <c r="DV61" s="2841"/>
      <c r="DW61" s="2841"/>
      <c r="DX61" s="2841"/>
      <c r="DY61" s="2841"/>
      <c r="DZ61" s="2841"/>
      <c r="EA61" s="2841"/>
      <c r="EB61" s="2841"/>
      <c r="EC61" s="2841"/>
      <c r="ED61" s="2841"/>
      <c r="EE61" s="2841"/>
      <c r="EF61" s="2841"/>
      <c r="EG61" s="2841"/>
      <c r="EH61" s="2841"/>
      <c r="EI61" s="2841"/>
      <c r="EJ61" s="2511"/>
      <c r="EK61" s="2841"/>
      <c r="EL61" s="2841"/>
      <c r="EM61" s="2841"/>
      <c r="EN61" s="2511"/>
      <c r="EO61" s="2841"/>
      <c r="EP61" s="2841"/>
      <c r="EQ61" s="2841"/>
      <c r="ER61" s="2841"/>
      <c r="ES61" s="2841"/>
      <c r="ET61" s="2841"/>
      <c r="EU61" s="2511"/>
      <c r="EV61" s="2841"/>
      <c r="EW61" s="2841"/>
      <c r="EX61" s="2841"/>
      <c r="EY61" s="2841"/>
      <c r="EZ61" s="2841"/>
      <c r="FA61" s="2841"/>
      <c r="FB61" s="2841"/>
      <c r="FC61" s="2841"/>
      <c r="FD61" s="2841"/>
      <c r="FE61" s="2841"/>
      <c r="FF61" s="2511"/>
      <c r="FG61" s="2841"/>
      <c r="FH61" s="2841"/>
      <c r="FI61" s="2841"/>
      <c r="FJ61" s="2841"/>
      <c r="FK61" s="2841"/>
      <c r="FL61" s="2841"/>
      <c r="FM61" s="2841"/>
      <c r="FN61" s="2841"/>
      <c r="FO61" s="2841"/>
      <c r="FP61" s="2841"/>
      <c r="FQ61" s="2841"/>
      <c r="FR61" s="2841"/>
      <c r="FS61" s="2841"/>
      <c r="FT61" s="2511"/>
      <c r="FU61" s="2511"/>
      <c r="FV61" s="2511"/>
      <c r="FW61" s="2841"/>
      <c r="FX61" s="2511"/>
      <c r="FY61" s="2841"/>
      <c r="FZ61" s="2841"/>
      <c r="GA61" s="2841"/>
      <c r="GB61" s="2841"/>
      <c r="GC61" s="2841"/>
      <c r="GD61" s="2841"/>
      <c r="GE61" s="2511"/>
      <c r="GF61" s="2511"/>
      <c r="GG61" s="2511"/>
      <c r="GH61" s="2841"/>
      <c r="GI61" s="2841"/>
      <c r="GJ61" s="2511"/>
      <c r="GK61" s="2841"/>
      <c r="GL61" s="2841"/>
      <c r="GM61" s="2841"/>
      <c r="GN61" s="2841"/>
      <c r="GO61" s="2841"/>
      <c r="GP61" s="2841"/>
      <c r="GQ61" s="2841"/>
      <c r="GR61" s="2841"/>
      <c r="GS61" s="2841"/>
      <c r="GT61" s="2841"/>
      <c r="GU61" s="2841"/>
      <c r="GV61" s="2841"/>
      <c r="GW61" s="2511"/>
      <c r="GX61" s="2511">
        <v>770</v>
      </c>
      <c r="GY61" s="2841"/>
      <c r="GZ61" s="2841"/>
      <c r="HA61" s="2841"/>
      <c r="HB61" s="2511"/>
      <c r="HC61" s="2841"/>
      <c r="HD61" s="2472">
        <v>5379</v>
      </c>
      <c r="HE61" s="2841"/>
      <c r="HF61" s="2511"/>
      <c r="HG61" s="2511"/>
      <c r="HH61" s="2841"/>
      <c r="HI61" s="2841"/>
      <c r="HJ61" s="2841"/>
      <c r="HK61" s="2841"/>
      <c r="HL61" s="2841"/>
      <c r="HM61" s="2841"/>
      <c r="HN61" s="2841"/>
      <c r="HO61" s="2841"/>
      <c r="HP61" s="2841"/>
      <c r="HQ61" s="2841"/>
      <c r="HR61" s="2841"/>
      <c r="HS61" s="2511"/>
      <c r="HT61" s="2841"/>
      <c r="HU61" s="2841"/>
      <c r="HV61" s="2841"/>
      <c r="HW61" s="2841"/>
      <c r="HX61" s="2841"/>
      <c r="HY61" s="2841"/>
      <c r="HZ61" s="2841"/>
      <c r="IA61" s="2841"/>
      <c r="IB61" s="2841"/>
      <c r="IC61" s="2841"/>
      <c r="ID61" s="2841"/>
      <c r="IE61" s="2841"/>
      <c r="IF61" s="2841"/>
      <c r="IG61" s="2841"/>
      <c r="IH61" s="2841"/>
      <c r="II61" s="2841"/>
      <c r="IJ61" s="2841"/>
      <c r="IK61" s="2841"/>
      <c r="IL61" s="2841"/>
      <c r="IM61" s="2841"/>
      <c r="IN61" s="2841"/>
      <c r="IO61" s="2472"/>
      <c r="IP61" s="3539">
        <v>59</v>
      </c>
      <c r="IQ61" s="2841"/>
      <c r="IR61" s="2841"/>
      <c r="IS61" s="4009"/>
      <c r="IT61" s="3998"/>
      <c r="IU61" s="3998"/>
      <c r="IV61" s="3998"/>
      <c r="IW61" s="3998"/>
      <c r="IX61" s="3998"/>
      <c r="IY61" s="3998"/>
      <c r="IZ61" s="2841"/>
      <c r="JA61" s="3998"/>
      <c r="JB61" s="3998"/>
      <c r="JC61" s="2841"/>
      <c r="JD61" s="2841"/>
      <c r="JE61" s="2841"/>
      <c r="JF61" s="2841"/>
      <c r="JG61" s="2617"/>
      <c r="JH61" s="1233"/>
      <c r="JI61" s="2020" t="s">
        <v>5693</v>
      </c>
      <c r="JJ61" s="1686" t="s">
        <v>6108</v>
      </c>
    </row>
    <row ht="22.5" r="62" spans="1:270" x14ac:dyDescent="0.2">
      <c r="A62" s="1128">
        <v>62</v>
      </c>
      <c r="B62" s="1534" t="str">
        <f si="2" t="shared"/>
        <v/>
      </c>
      <c r="C62" s="1548" t="s">
        <v>1476</v>
      </c>
      <c r="D62" s="676" t="s">
        <v>5721</v>
      </c>
      <c r="E62" s="2511"/>
      <c r="F62" s="2472"/>
      <c r="G62" s="2472"/>
      <c r="H62" s="2472"/>
      <c r="I62" s="2472"/>
      <c r="J62" s="2472"/>
      <c r="K62" s="2472"/>
      <c r="L62" s="2472"/>
      <c r="M62" s="2472"/>
      <c r="N62" s="2511"/>
      <c r="O62" s="2472"/>
      <c r="P62" s="2472"/>
      <c r="Q62" s="2472"/>
      <c r="R62" s="2472"/>
      <c r="S62" s="2472"/>
      <c r="T62" s="2472"/>
      <c r="U62" s="2472"/>
      <c r="V62" s="2472"/>
      <c r="W62" s="2472"/>
      <c r="X62" s="2472"/>
      <c r="Y62" s="2472"/>
      <c r="Z62" s="2472"/>
      <c r="AA62" s="2472"/>
      <c r="AB62" s="2472"/>
      <c r="AC62" s="2472"/>
      <c r="AD62" s="2472"/>
      <c r="AE62" s="2472"/>
      <c r="AF62" s="2472"/>
      <c r="AG62" s="2472"/>
      <c r="AH62" s="2472"/>
      <c r="AI62" s="2472"/>
      <c r="AJ62" s="2473"/>
      <c r="AK62" s="2472"/>
      <c r="AL62" s="2472"/>
      <c r="AM62" s="2472"/>
      <c r="AN62" s="2472"/>
      <c r="AO62" s="2472"/>
      <c r="AP62" s="2472"/>
      <c r="AQ62" s="2472"/>
      <c r="AR62" s="2472"/>
      <c r="AS62" s="2472"/>
      <c r="AT62" s="2472"/>
      <c r="AU62" s="2472"/>
      <c r="AV62" s="2472"/>
      <c r="AW62" s="2472"/>
      <c r="AX62" s="2472"/>
      <c r="AY62" s="2472"/>
      <c r="AZ62" s="2472"/>
      <c r="BA62" s="2472"/>
      <c r="BB62" s="2472"/>
      <c r="BC62" s="2472"/>
      <c r="BD62" s="2472"/>
      <c r="BE62" s="2472"/>
      <c r="BF62" s="2472"/>
      <c r="BG62" s="2472"/>
      <c r="BH62" s="2472"/>
      <c r="BI62" s="3728"/>
      <c r="BJ62" s="2472"/>
      <c r="BK62" s="3728"/>
      <c r="BL62" s="2472"/>
      <c r="BM62" s="2472"/>
      <c r="BN62" s="2472"/>
      <c r="BO62" s="2472"/>
      <c r="BP62" s="2472"/>
      <c r="BQ62" s="2472"/>
      <c r="BR62" s="2472"/>
      <c r="BS62" s="2472"/>
      <c r="BT62" s="2472"/>
      <c r="BU62" s="2472"/>
      <c r="BV62" s="2472"/>
      <c r="BW62" s="2472"/>
      <c r="BX62" s="2472"/>
      <c r="BY62" s="2472"/>
      <c r="BZ62" s="2472"/>
      <c r="CA62" s="2472"/>
      <c r="CB62" s="2841"/>
      <c r="CC62" s="2472"/>
      <c r="CD62" s="2472"/>
      <c r="CE62" s="2841"/>
      <c r="CF62" s="2841"/>
      <c r="CG62" s="2841"/>
      <c r="CH62" s="2472"/>
      <c r="CI62" s="2472"/>
      <c r="CJ62" s="2841"/>
      <c r="CK62" s="2841"/>
      <c r="CL62" s="2841"/>
      <c r="CM62" s="2841"/>
      <c r="CN62" s="2841"/>
      <c r="CO62" s="2841"/>
      <c r="CP62" s="2841"/>
      <c r="CQ62" s="2472"/>
      <c r="CR62" s="2472"/>
      <c r="CS62" s="2472"/>
      <c r="CT62" s="2472"/>
      <c r="CU62" s="2841"/>
      <c r="CV62" s="2472"/>
      <c r="CW62" s="2841"/>
      <c r="CX62" s="2841"/>
      <c r="CY62" s="2841"/>
      <c r="CZ62" s="2472"/>
      <c r="DA62" s="2472"/>
      <c r="DB62" s="3728"/>
      <c r="DC62" s="2472"/>
      <c r="DD62" s="2841"/>
      <c r="DE62" s="2841"/>
      <c r="DF62" s="2841"/>
      <c r="DG62" s="2841"/>
      <c r="DH62" s="2841"/>
      <c r="DI62" s="2472"/>
      <c r="DJ62" s="2841"/>
      <c r="DK62" s="2841"/>
      <c r="DL62" s="2472"/>
      <c r="DM62" s="2472"/>
      <c r="DN62" s="2841"/>
      <c r="DO62" s="2841"/>
      <c r="DP62" s="2841"/>
      <c r="DQ62" s="2841"/>
      <c r="DR62" s="2472"/>
      <c r="DS62" s="2841"/>
      <c r="DT62" s="2841"/>
      <c r="DU62" s="2841"/>
      <c r="DV62" s="2841"/>
      <c r="DW62" s="2841"/>
      <c r="DX62" s="2841"/>
      <c r="DY62" s="2841"/>
      <c r="DZ62" s="2841"/>
      <c r="EA62" s="2841"/>
      <c r="EB62" s="2841"/>
      <c r="EC62" s="2841"/>
      <c r="ED62" s="2841"/>
      <c r="EE62" s="2841"/>
      <c r="EF62" s="2841"/>
      <c r="EG62" s="2841"/>
      <c r="EH62" s="2841"/>
      <c r="EI62" s="2841"/>
      <c r="EJ62" s="2472"/>
      <c r="EK62" s="2841"/>
      <c r="EL62" s="2841"/>
      <c r="EM62" s="2841"/>
      <c r="EN62" s="2472"/>
      <c r="EO62" s="2841"/>
      <c r="EP62" s="2841"/>
      <c r="EQ62" s="2841"/>
      <c r="ER62" s="2841"/>
      <c r="ES62" s="2841"/>
      <c r="ET62" s="2841"/>
      <c r="EU62" s="2472"/>
      <c r="EV62" s="2841"/>
      <c r="EW62" s="2841"/>
      <c r="EX62" s="2841"/>
      <c r="EY62" s="2841"/>
      <c r="EZ62" s="2841"/>
      <c r="FA62" s="2841"/>
      <c r="FB62" s="2841"/>
      <c r="FC62" s="2841"/>
      <c r="FD62" s="2841"/>
      <c r="FE62" s="2841"/>
      <c r="FF62" s="2472"/>
      <c r="FG62" s="2841"/>
      <c r="FH62" s="2841"/>
      <c r="FI62" s="2841"/>
      <c r="FJ62" s="2841"/>
      <c r="FK62" s="2841"/>
      <c r="FL62" s="2841"/>
      <c r="FM62" s="2841"/>
      <c r="FN62" s="2841"/>
      <c r="FO62" s="2841"/>
      <c r="FP62" s="2841"/>
      <c r="FQ62" s="2841"/>
      <c r="FR62" s="2841"/>
      <c r="FS62" s="2841"/>
      <c r="FT62" s="2472"/>
      <c r="FU62" s="2472"/>
      <c r="FV62" s="2472"/>
      <c r="FW62" s="2841"/>
      <c r="FX62" s="2472"/>
      <c r="FY62" s="2841"/>
      <c r="FZ62" s="2841"/>
      <c r="GA62" s="2841"/>
      <c r="GB62" s="2841"/>
      <c r="GC62" s="2841"/>
      <c r="GD62" s="2841"/>
      <c r="GE62" s="2472"/>
      <c r="GF62" s="2472"/>
      <c r="GG62" s="2472"/>
      <c r="GH62" s="2841"/>
      <c r="GI62" s="2841"/>
      <c r="GJ62" s="2472"/>
      <c r="GK62" s="2841"/>
      <c r="GL62" s="2841"/>
      <c r="GM62" s="2841"/>
      <c r="GN62" s="2841"/>
      <c r="GO62" s="2841"/>
      <c r="GP62" s="2841"/>
      <c r="GQ62" s="2841"/>
      <c r="GR62" s="2841"/>
      <c r="GS62" s="2841"/>
      <c r="GT62" s="2841"/>
      <c r="GU62" s="2841"/>
      <c r="GV62" s="2841"/>
      <c r="GW62" s="2472"/>
      <c r="GX62" s="2472"/>
      <c r="GY62" s="2841"/>
      <c r="GZ62" s="2841"/>
      <c r="HA62" s="2841"/>
      <c r="HB62" s="2472"/>
      <c r="HC62" s="2841"/>
      <c r="HD62" s="2472"/>
      <c r="HE62" s="2841"/>
      <c r="HF62" s="2472"/>
      <c r="HG62" s="2472"/>
      <c r="HH62" s="2841"/>
      <c r="HI62" s="2841"/>
      <c r="HJ62" s="2841"/>
      <c r="HK62" s="2841"/>
      <c r="HL62" s="2841"/>
      <c r="HM62" s="2841"/>
      <c r="HN62" s="2841"/>
      <c r="HO62" s="2841"/>
      <c r="HP62" s="2841"/>
      <c r="HQ62" s="2841"/>
      <c r="HR62" s="2841"/>
      <c r="HS62" s="2472"/>
      <c r="HT62" s="2841"/>
      <c r="HU62" s="2841"/>
      <c r="HV62" s="2841"/>
      <c r="HW62" s="2841"/>
      <c r="HX62" s="2841"/>
      <c r="HY62" s="2841"/>
      <c r="HZ62" s="2841"/>
      <c r="IA62" s="2841"/>
      <c r="IB62" s="2841"/>
      <c r="IC62" s="2841"/>
      <c r="ID62" s="2841"/>
      <c r="IE62" s="2841"/>
      <c r="IF62" s="2841"/>
      <c r="IG62" s="2841"/>
      <c r="IH62" s="2841"/>
      <c r="II62" s="2841"/>
      <c r="IJ62" s="2841"/>
      <c r="IK62" s="2841"/>
      <c r="IL62" s="2841"/>
      <c r="IM62" s="2841"/>
      <c r="IN62" s="2841"/>
      <c r="IO62" s="2472"/>
      <c r="IP62" s="2841"/>
      <c r="IQ62" s="2841"/>
      <c r="IR62" s="2841"/>
      <c r="IS62" s="4009"/>
      <c r="IT62" s="3998"/>
      <c r="IU62" s="3998"/>
      <c r="IV62" s="3998"/>
      <c r="IW62" s="3998"/>
      <c r="IX62" s="3998"/>
      <c r="IY62" s="3998"/>
      <c r="IZ62" s="2841"/>
      <c r="JA62" s="3998"/>
      <c r="JB62" s="3998"/>
      <c r="JC62" s="2841"/>
      <c r="JD62" s="2841"/>
      <c r="JE62" s="2841"/>
      <c r="JF62" s="2841"/>
      <c r="JG62" s="2617"/>
      <c r="JH62" s="1233"/>
      <c r="JI62" s="2020" t="s">
        <v>5694</v>
      </c>
      <c r="JJ62" s="1686" t="s">
        <v>6108</v>
      </c>
    </row>
    <row ht="45" r="63" spans="1:270" x14ac:dyDescent="0.2">
      <c r="A63" s="1128">
        <v>63</v>
      </c>
      <c r="B63" s="1534" t="str">
        <f si="2" t="shared"/>
        <v/>
      </c>
      <c r="C63" s="1555" t="s">
        <v>1477</v>
      </c>
      <c r="D63" s="676" t="s">
        <v>5722</v>
      </c>
      <c r="E63" s="2602"/>
      <c r="F63" s="2608">
        <f>MAX(0,(F42+F46+F47+F54+F55)-(F48+F49+F50+F51+F52+F53+F56+F59+F60+F61+F62))</f>
        <v>3600</v>
      </c>
      <c r="G63" s="2602"/>
      <c r="H63" s="2602"/>
      <c r="I63" s="2602"/>
      <c r="J63" s="2602"/>
      <c r="K63" s="2602"/>
      <c r="L63" s="2602"/>
      <c r="M63" s="2608">
        <f>MAX(0,(M42+M46+M47+M54+M55)-(M48+M49+M50+M51+M52+M53+M56+M59+M60+M61+M62))</f>
        <v>3600</v>
      </c>
      <c r="N63" s="2602"/>
      <c r="O63" s="2608">
        <f>MAX(0,(O42+O46+O47+O54+O55)-(O48+O49+O50+O51+O52+O53+O56+O59+O60+O61+O62))</f>
        <v>3600</v>
      </c>
      <c r="P63" s="2602"/>
      <c r="Q63" s="2608">
        <f>MAX(0,(Q42+Q46+Q47+Q54+Q55)-(Q48+Q49+Q50+Q51+Q52+Q53+Q56+Q59+Q60+Q61+Q62))</f>
        <v>3600</v>
      </c>
      <c r="R63" s="2602"/>
      <c r="S63" s="2602"/>
      <c r="T63" s="2608">
        <f>MAX(0,(T42+T46+T47+T54+T55)-(T48+T49+T50+T51+T52+T53+T56+T59+T60+T61+T62))</f>
        <v>51939</v>
      </c>
      <c r="U63" s="2608">
        <f>MAX(0,(U42+U46+U47+U54+U55)-(U48+U49+U50+U51+U52+U53+U56+U59+U60+U61+U62))</f>
        <v>3600</v>
      </c>
      <c r="V63" s="2602"/>
      <c r="W63" s="2602"/>
      <c r="X63" s="2602"/>
      <c r="Y63" s="2602"/>
      <c r="Z63" s="2602"/>
      <c r="AA63" s="2608">
        <f>MAX(0,(AA42+AA46+AA47+AA54+AA55)-(AA48+AA49+AA50+AA51+AA52+AA53+AA56+AA59+AA60+AA61+AA62))</f>
        <v>3600</v>
      </c>
      <c r="AB63" s="2602"/>
      <c r="AC63" s="2608">
        <f>MAX(0,(AC42+AC46+AC47+AC54+AC55)-(AC48+AC49+AC50+AC51+AC52+AC53+AC56+AC59+AC60+AC61+AC62))</f>
        <v>3600</v>
      </c>
      <c r="AD63" s="2608"/>
      <c r="AE63" s="3548">
        <f>MAX(0,(AE42+AE46+AE47+AE54+AE55)-(AE43+AE48+AE49+AE50+AE51+AE52+AE53+AE56+AE59+AE60+AE61+AE62))</f>
        <v>9000</v>
      </c>
      <c r="AF63" s="2608"/>
      <c r="AG63" s="2608"/>
      <c r="AH63" s="2608"/>
      <c r="AI63" s="2602"/>
      <c r="AJ63" s="2602">
        <f>MAX(0,(AJ42+AJ46+AJ47+AJ54+AJ55)-(AJ48+AJ49+AJ50+AJ51+AJ52+AJ53+AJ56+AJ59+AJ60+AJ61+AJ62))</f>
        <v>9737</v>
      </c>
      <c r="AK63" s="2602"/>
      <c r="AL63" s="2602"/>
      <c r="AM63" s="2602"/>
      <c r="AN63" s="2602"/>
      <c r="AO63" s="2602"/>
      <c r="AP63" s="2602"/>
      <c r="AQ63" s="2602"/>
      <c r="AR63" s="2608">
        <f>MAX(0,(AR42+AR46+AR47+AR54+AR55)-(AR48+AR49+AR50+AR51+AR52+AR53+AR56+AR59+AR60+AR61+AR62))</f>
        <v>3862</v>
      </c>
      <c r="AS63" s="2602"/>
      <c r="AT63" s="2602"/>
      <c r="AU63" s="2602"/>
      <c r="AV63" s="2602"/>
      <c r="AW63" s="2608">
        <f>MAX(0,(AW42+AW46+AW47+AW54+AW55)-(AW48+AW49+AW50+AW51+AW52+AW53+AW56+AW59+AW60+AW61+AW62))</f>
        <v>29276</v>
      </c>
      <c r="AX63" s="2602"/>
      <c r="AY63" s="2608">
        <f>MAX(0,(AY42+AY46+AY47+AY54+AY55)-(AY48+AY49+AY50+AY51+AY52+AY53+AY56+AY59+AY60+AY61+AY62))</f>
        <v>29276</v>
      </c>
      <c r="AZ63" s="2608">
        <f>MAX(0,(AZ42+AZ46+AZ47+AZ54+AZ55)-(AZ48+AZ49+AZ50+AZ51+AZ52+AZ53+AZ56+AZ59+AZ60+AZ61+AZ62))</f>
        <v>29276</v>
      </c>
      <c r="BA63" s="2602"/>
      <c r="BB63" s="2602"/>
      <c r="BC63" s="2602"/>
      <c r="BD63" s="2608">
        <f>MAX(0,(BD42+BD46+BD47+BD54+BD55)-(BD48+BD49+BD50+BD51+BD52+BD53+BD56+BD59+BD60+BD61+BD62))</f>
        <v>3600</v>
      </c>
      <c r="BE63" s="2608"/>
      <c r="BF63" s="2608"/>
      <c r="BG63" s="2608">
        <f>MAX(0,(BG42+BG46+BG47+BG54+BG55)-(BG48+BG49+BG50+BG51+BG52+BG53+BG56+BG59+BG60+BG61+BG62))</f>
        <v>3600</v>
      </c>
      <c r="BH63" s="2608"/>
      <c r="BI63" s="3730"/>
      <c r="BJ63" s="2608"/>
      <c r="BK63" s="3730">
        <f>MAX(0,(BK42+BK46+BK47+BK54+BK55)-(BK48+BK49+BK50+BK51+BK52+BK53+BK56+BK59+BK60+BK61+BK62))</f>
        <v>57211</v>
      </c>
      <c r="BL63" s="2608"/>
      <c r="BM63" s="2608"/>
      <c r="BN63" s="2608"/>
      <c r="BO63" s="2608"/>
      <c r="BP63" s="2608"/>
      <c r="BQ63" s="2608"/>
      <c r="BR63" s="2608"/>
      <c r="BS63" s="2608"/>
      <c r="BT63" s="2608">
        <f>MAX(0,(BT42+BT46+BT47+BT54+BT55)-(BT48+BT49+BT50+BT51+BT52+BT53+BT56+BT59+BT60+BT61+BT62))</f>
        <v>3600</v>
      </c>
      <c r="BU63" s="2608"/>
      <c r="BV63" s="2608">
        <f>MAX(0,(BV42+BV46+BV47+BV54+BV55)-(BV48+BV49+BV50+BV51+BV52+BV53+BV56+BV59+BV60+BV61+BV62))</f>
        <v>3600</v>
      </c>
      <c r="BW63" s="2608"/>
      <c r="BX63" s="2608">
        <f>MAX(0,(BX42+BX46+BX47+BX54+BX55)-(BX48+BX49+BX50+BX51+BX52+BX53+BX56+BX59+BX60+BX61+BX62))</f>
        <v>10393</v>
      </c>
      <c r="BY63" s="2608"/>
      <c r="BZ63" s="2608"/>
      <c r="CA63" s="2608"/>
      <c r="CB63" s="3730">
        <f>MAX(0,(CB42+CB46+CB47+CB54+CB55)-(CB48+CB49+CB50+CB51+CB52+CB53+CB56+CB57+CB58+CB59+CB60+CB61+CB62))</f>
        <v>1776</v>
      </c>
      <c r="CC63" s="2608">
        <f>MAX(0,(CC42+CC46+CC47+CC54+CC55)-(CC48+CC49+CC50+CC51+CC52+CC53+CC56+CC59+CC60+CC61+CC62))</f>
        <v>29276</v>
      </c>
      <c r="CD63" s="2608">
        <f>MAX(0,(CD42+CD46+CD47+CD54+CD55)-(CD48+CD49+CD50+CD51+CD52+CD53+CD56+CD59+CD60+CD61+CD62))</f>
        <v>3600</v>
      </c>
      <c r="CE63" s="2890"/>
      <c r="CF63" s="2890"/>
      <c r="CG63" s="2890"/>
      <c r="CH63" s="2608">
        <f>MAX(0,(CH42+CH46+CH47+CH54+CH55)-(CH48+CH49+CH50+CH51+CH52+CH53+CH56+CH59+CH60+CH61+CH62))</f>
        <v>3600</v>
      </c>
      <c r="CI63" s="2608">
        <f>MAX(0,(CI42+CI46+CI47+CI54+CI55)-(CI48+CI49+CI50+CI51+CI52+CI53+CI56+CI59+CI60+CI61+CI62))</f>
        <v>10393</v>
      </c>
      <c r="CJ63" s="2890"/>
      <c r="CK63" s="2890"/>
      <c r="CL63" s="2890"/>
      <c r="CM63" s="2890"/>
      <c r="CN63" s="2890"/>
      <c r="CO63" s="2890"/>
      <c r="CP63" s="2890"/>
      <c r="CQ63" s="2608">
        <f>MAX(0,(CQ42+CQ46+CQ47+CQ54+CQ55)-(CQ48+CQ49+CQ50+CQ51+CQ52+CQ53+CQ56+CQ59+CQ60+CQ61+CQ62))</f>
        <v>10393</v>
      </c>
      <c r="CR63" s="2608">
        <f>MAX(0,(CR42+CR46+CR47+CR54+CR55)-(CR48+CR49+CR50+CR51+CR52+CR53+CR56+CR59+CR60+CR61+CR62))</f>
        <v>36350</v>
      </c>
      <c r="CS63" s="2608">
        <f>MAX(0,(CS42+CS46+CS47+CS54+CS55)-(CS48+CS49+CS50+CS51+CS52+CS53+CS56+CS59+CS60+CS61+CS62))</f>
        <v>36350</v>
      </c>
      <c r="CT63" s="2608">
        <f>MAX(0,(CT42+CT46+CT47+CT54+CT55)-(CT48+CT49+CT50+CT51+CT52+CT53+CT56+CT59+CT60+CT61+CT62))</f>
        <v>5023</v>
      </c>
      <c r="CU63" s="2890"/>
      <c r="CV63" s="2608">
        <f>MAX(0,(CV42+CV46+CV47+CV54+CV55)-(CV48+CV49+CV50+CV51+CV52+CV53+CV56+CV59+CV60+CV61+CV62))</f>
        <v>0</v>
      </c>
      <c r="CW63" s="2890"/>
      <c r="CX63" s="2890"/>
      <c r="CY63" s="2890"/>
      <c r="CZ63" s="2608">
        <f>MAX(0,(CZ42+CZ46+CZ47+CZ54+CZ55)-(CZ48+CZ49+CZ50+CZ51+CZ52+CZ53+CZ56+CZ59+CZ60+CZ61+CZ62))</f>
        <v>29276</v>
      </c>
      <c r="DA63" s="2608">
        <f>MAX(0,(DA42+DA46+DA47+DA54+DA55)-(DA48+DA49+DA50+DA51+DA52+DA53+DA56+DA59+DA60+DA61+DA62))</f>
        <v>29276</v>
      </c>
      <c r="DB63" s="3730">
        <f>MAX(0,(DB42+DB46+DB47+DB54+DB55)-(DB48+DB49+DB50+DB51+DB52+DB53+DB56+DB59+DB60+DB61+DB62))</f>
        <v>42017</v>
      </c>
      <c r="DC63" s="2608">
        <f>MAX(0,(DC42+DC46+DC47+DC54+DC55)-(DC48+DC49+DC50+DC51+DC52+DC53+DC56+DC59+DC60+DC61+DC62))</f>
        <v>10393</v>
      </c>
      <c r="DD63" s="2890"/>
      <c r="DE63" s="2890"/>
      <c r="DF63" s="2890"/>
      <c r="DG63" s="2890"/>
      <c r="DH63" s="2890"/>
      <c r="DI63" s="2608">
        <f>MAX(0,(DI42+DI46+DI47+DI54+DI55)-(DI48+DI49+DI50+DI51+DI52+DI53+DI56+DI59+DI60+DI61+DI62))</f>
        <v>0</v>
      </c>
      <c r="DJ63" s="2890"/>
      <c r="DK63" s="2890"/>
      <c r="DL63" s="2608">
        <f>MAX(0,(DL42+DL46+DL47+DL54+DL55)-(DL48+DL49+DL50+DL51+DL52+DL53+DL56+DL59+DL60+DL61+DL62))</f>
        <v>0</v>
      </c>
      <c r="DM63" s="2608">
        <f>MAX(0,(DM42+DM46+DM47+DM54+DM55)-(DM48+DM49+DM50+DM51+DM52+DM53+DM56+DM59+DM60+DM61+DM62))</f>
        <v>10393</v>
      </c>
      <c r="DN63" s="2890"/>
      <c r="DO63" s="2890"/>
      <c r="DP63" s="2890"/>
      <c r="DQ63" s="2890"/>
      <c r="DR63" s="2608">
        <f>MAX(0,(DR42+DR46+DR47+DR54+DR55)-(DR48+DR49+DR50+DR51+DR52+DR53+DR56+DR59+DR60+DR61+DR62))</f>
        <v>29276</v>
      </c>
      <c r="DS63" s="2890"/>
      <c r="DT63" s="2890"/>
      <c r="DU63" s="2890"/>
      <c r="DV63" s="2890"/>
      <c r="DW63" s="2890">
        <f>MAX(0,(DW42+DW46+DW47+DW54+DW55)-(DW48+DW49+DW50+DW51+DW52+DW53+DW56+DW59+DW60+DW61+DW62))</f>
        <v>2649</v>
      </c>
      <c r="DX63" s="2890"/>
      <c r="DY63" s="2890"/>
      <c r="DZ63" s="2890"/>
      <c r="EA63" s="2890"/>
      <c r="EB63" s="2890"/>
      <c r="EC63" s="2890"/>
      <c r="ED63" s="2890"/>
      <c r="EE63" s="2890"/>
      <c r="EF63" s="2890"/>
      <c r="EG63" s="2890"/>
      <c r="EH63" s="2890"/>
      <c r="EI63" s="2890"/>
      <c r="EJ63" s="2608">
        <f>MAX(0,(EJ42+EJ46+EJ47+EJ54+EJ55)-(EJ48+EJ49+EJ50+EJ51+EJ52+EJ53+EJ56+EJ59+EJ60+EJ61+EJ62))</f>
        <v>4500</v>
      </c>
      <c r="EK63" s="2890"/>
      <c r="EL63" s="2890"/>
      <c r="EM63" s="2890"/>
      <c r="EN63" s="2608">
        <f>MAX(0,(EN42+EN46+EN47+EN54+EN55)-(EN48+EN49+EN50+EN51+EN52+EN53+EN56+EN59+EN60+EN61+EN62))</f>
        <v>29276</v>
      </c>
      <c r="EO63" s="2890"/>
      <c r="EP63" s="2890"/>
      <c r="EQ63" s="2890"/>
      <c r="ER63" s="2890"/>
      <c r="ES63" s="2890"/>
      <c r="ET63" s="2890"/>
      <c r="EU63" s="2608">
        <f>MAX(0,(EU42+EU46+EU47+EU54+EU55)-(EU48+EU49+EU50+EU51+EU52+EU53+EU56+EU59+EU60+EU61+EU62))</f>
        <v>36350</v>
      </c>
      <c r="EV63" s="2890"/>
      <c r="EW63" s="2890"/>
      <c r="EX63" s="2890"/>
      <c r="EY63" s="2890"/>
      <c r="EZ63" s="2890"/>
      <c r="FA63" s="2890"/>
      <c r="FB63" s="2890"/>
      <c r="FC63" s="2890"/>
      <c r="FD63" s="2890"/>
      <c r="FE63" s="2890"/>
      <c r="FF63" s="2608">
        <f>MAX(0,(FF42+FF46+FF47+FF54+FF55)-(FF48+FF49+FF50+FF51+FF52+FF53+FF56+FF59+FF60+FF61+FF62))</f>
        <v>3600</v>
      </c>
      <c r="FG63" s="2890"/>
      <c r="FH63" s="2890"/>
      <c r="FI63" s="2890"/>
      <c r="FJ63" s="2890"/>
      <c r="FK63" s="2890"/>
      <c r="FL63" s="2890"/>
      <c r="FM63" s="2890"/>
      <c r="FN63" s="2890"/>
      <c r="FO63" s="2890"/>
      <c r="FP63" s="2890"/>
      <c r="FQ63" s="2890"/>
      <c r="FR63" s="2890"/>
      <c r="FS63" s="2890"/>
      <c r="FT63" s="2608">
        <f>MAX(0,(FT42+FT46+FT47+FT54+FT55)-(FT48+FT49+FT50+FT51+FT52+FT53+FT56+FT59+FT60+FT61+FT62))</f>
        <v>29276</v>
      </c>
      <c r="FU63" s="2608">
        <f>MAX(0,(FU42+FU46+FU47+FU54+FU55)-(FU48+FU49+FU50+FU51+FU52+FU53+FU56+FU59+FU60+FU61+FU62))</f>
        <v>29276</v>
      </c>
      <c r="FV63" s="2608">
        <f>MAX(0,(FV42+FV46+FV47+FV54+FV55)-(FV48+FV49+FV50+FV51+FV52+FV53+FV56+FV59+FV60+FV61+FV62))</f>
        <v>5023</v>
      </c>
      <c r="FW63" s="2890"/>
      <c r="FX63" s="2608">
        <f>MAX(0,(FX42+FX46+FX47+FX54+FX55)-(FX48+FX49+FX50+FX51+FX52+FX53+FX56+FX59+FX60+FX61+FX62))</f>
        <v>36350</v>
      </c>
      <c r="FY63" s="2890"/>
      <c r="FZ63" s="2890"/>
      <c r="GA63" s="2890"/>
      <c r="GB63" s="2890"/>
      <c r="GC63" s="2890"/>
      <c r="GD63" s="2890"/>
      <c r="GE63" s="2608">
        <f>MAX(0,(GE42+GE46+GE47+GE54+GE55)-(GE48+GE49+GE50+GE51+GE52+GE53+GE56+GE59+GE60+GE61+GE62))</f>
        <v>4500</v>
      </c>
      <c r="GF63" s="2608">
        <f>MAX(0,(GF42+GF46+GF47+GF54+GF55)-(GF48+GF49+GF50+GF51+GF52+GF53+GF56+GF59+GF60+GF61+GF62))</f>
        <v>4500</v>
      </c>
      <c r="GG63" s="2608">
        <f>MAX(0,(GG42+GG46+GG47+GG54+GG55)-(GG48+GG49+GG50+GG51+GG52+GG53+GG56+GG59+GG60+GG61+GG62))</f>
        <v>36350</v>
      </c>
      <c r="GH63" s="2890"/>
      <c r="GI63" s="2890"/>
      <c r="GJ63" s="2608">
        <f>MAX(0,(GJ42+GJ46+GJ47+GJ54+GJ55)-(GJ48+GJ49+GJ50+GJ51+GJ52+GJ53+GJ56+GJ59+GJ60+GJ61+GJ62))</f>
        <v>36350</v>
      </c>
      <c r="GK63" s="2890"/>
      <c r="GL63" s="2890"/>
      <c r="GM63" s="2890"/>
      <c r="GN63" s="2890"/>
      <c r="GO63" s="2890"/>
      <c r="GP63" s="2890"/>
      <c r="GQ63" s="2890"/>
      <c r="GR63" s="2890"/>
      <c r="GS63" s="2890"/>
      <c r="GT63" s="2890"/>
      <c r="GU63" s="2890"/>
      <c r="GV63" s="2890"/>
      <c r="GW63" s="2608">
        <f>MAX(0,(GW42+GW46+GW47+GW54+GW55)-(GW48+GW49+GW50+GW51+GW52+GW53+GW56+GW59+GW60+GW61+GW62))</f>
        <v>36350</v>
      </c>
      <c r="GX63" s="2608">
        <f>MAX(0,(GX42+GX46+GX47+GX54+GX55)-(GX48+GX49+GX50+GX51+GX52+GX53+GX56+GX59+GX60+GX61+GX62))</f>
        <v>10393</v>
      </c>
      <c r="GY63" s="2890"/>
      <c r="GZ63" s="2890"/>
      <c r="HA63" s="2890"/>
      <c r="HB63" s="2608">
        <f>MAX(0,(HB42+HB46+HB47+HB54+HB55)-(HB48+HB49+HB50+HB51+HB52+HB53+HB56+HB59+HB60+HB61+HB62))</f>
        <v>34947</v>
      </c>
      <c r="HC63" s="2890"/>
      <c r="HD63" s="2608">
        <f>MAX(0,(HD42+HD46+HD47+HD54+HD55)-(HD48+HD49+HD50+HD51+HD52+HD53+HD56+HD59+HD60+HD61+HD62))</f>
        <v>1204</v>
      </c>
      <c r="HE63" s="2890"/>
      <c r="HF63" s="2608">
        <f>MAX(0,(HF42+HF46+HF47+HF54+HF55)-(HF48+HF49+HF50+HF51+HF52+HF53+HF56+HF59+HF60+HF61+HF62))</f>
        <v>3600</v>
      </c>
      <c r="HG63" s="2608">
        <f>MAX(0,(HG42+HG46+HG47+HG54+HG55)-(HG48+HG49+HG50+HG51+HG52+HG53+HG56+HG59+HG60+HG61+HG62))</f>
        <v>3600</v>
      </c>
      <c r="HH63" s="2890"/>
      <c r="HI63" s="2890"/>
      <c r="HJ63" s="2890"/>
      <c r="HK63" s="2890"/>
      <c r="HL63" s="2890"/>
      <c r="HM63" s="2890"/>
      <c r="HN63" s="2890"/>
      <c r="HO63" s="2890"/>
      <c r="HP63" s="2890"/>
      <c r="HQ63" s="2890"/>
      <c r="HR63" s="2890"/>
      <c r="HS63" s="2608">
        <f>MAX(0,(HS42+HS46+HS47+HS54+HS55)-(HS48+HS49+HS50+HS51+HS52+HS53+HS56+HS59+HS60+HS61+HS62))</f>
        <v>5023</v>
      </c>
      <c r="HT63" s="2890"/>
      <c r="HU63" s="2890"/>
      <c r="HV63" s="2890"/>
      <c r="HW63" s="2890"/>
      <c r="HX63" s="2890"/>
      <c r="HY63" s="2890"/>
      <c r="HZ63" s="2890"/>
      <c r="IA63" s="2890"/>
      <c r="IB63" s="2890"/>
      <c r="IC63" s="2890"/>
      <c r="ID63" s="2890"/>
      <c r="IE63" s="2890"/>
      <c r="IF63" s="2890"/>
      <c r="IG63" s="2890"/>
      <c r="IH63" s="2890"/>
      <c r="II63" s="2890"/>
      <c r="IJ63" s="2890"/>
      <c r="IK63" s="2890"/>
      <c r="IL63" s="2890"/>
      <c r="IM63" s="2890"/>
      <c r="IN63" s="2890"/>
      <c r="IO63" s="2608">
        <f>MAX(0,(IO42+IO46+IO47+IO54+IO55)-(IO48+IO49+IO50+IO51+IO52+IO53+IO56+IO59+IO60+IO61+IO62))</f>
        <v>2551</v>
      </c>
      <c r="IP63" s="3548">
        <f>MAX(0,(IP42+IP46+IP47+IP54+IP55)-(IP48+IP49+IP50+IP51+IP52+IP53+IP56+IP59+IP60+IP61+IP62))</f>
        <v>91831</v>
      </c>
      <c r="IQ63" s="2890"/>
      <c r="IR63" s="2890"/>
      <c r="IS63" s="4010">
        <f ref="IS63:IY63" si="3" t="shared">MAX(0,(IS42+IS46+IS47+IS54+IS55)-(IS48+IS49+IS50+IS51+IS52+IS53+IS56+IS59+IS60+IS61+IS62))</f>
        <v>1013</v>
      </c>
      <c r="IT63" s="4005">
        <f si="3" t="shared"/>
        <v>58249</v>
      </c>
      <c r="IU63" s="4005">
        <f si="3" t="shared"/>
        <v>7447</v>
      </c>
      <c r="IV63" s="4005">
        <f si="3" t="shared"/>
        <v>7067</v>
      </c>
      <c r="IW63" s="4005">
        <f si="3" t="shared"/>
        <v>14053</v>
      </c>
      <c r="IX63" s="4005">
        <f si="3" t="shared"/>
        <v>18449</v>
      </c>
      <c r="IY63" s="4005">
        <f si="3" t="shared"/>
        <v>18449</v>
      </c>
      <c r="IZ63" s="2890"/>
      <c r="JA63" s="4005">
        <f>MAX(0,(JA42+JA46+JA47+JA54+JA55)-(JA48+JA49+JA50+JA51+JA52+JA53+JA56+JA59+JA60+JA61+JA62))</f>
        <v>1082</v>
      </c>
      <c r="JB63" s="4005">
        <f>MAX(0,(JB42+JB46+JB47+JB54+JB55)-(JB48+JB49+JB50+JB51+JB52+JB53+JB56+JB59+JB60+JB61+JB62))</f>
        <v>73048</v>
      </c>
      <c r="JC63" s="2890"/>
      <c r="JD63" s="2890"/>
      <c r="JE63" s="2890"/>
      <c r="JF63" s="2890"/>
      <c r="JG63" s="2619">
        <f>MAX(0,(JG42+JG46+JG47+JG54+JG55)-(JG48+JG49+JG50+JG51+JG52+JG53+JG56+JG59+JG60+JG61+JG62))</f>
        <v>0</v>
      </c>
      <c r="JH63" s="1233"/>
      <c r="JI63" s="2020" t="s">
        <v>5695</v>
      </c>
      <c r="JJ63" s="1686" t="s">
        <v>6124</v>
      </c>
    </row>
    <row r="64" spans="1:270" x14ac:dyDescent="0.2">
      <c r="A64" s="1128">
        <v>64</v>
      </c>
      <c r="B64" s="1534" t="str">
        <f si="2" t="shared"/>
        <v/>
      </c>
      <c r="C64" s="1555" t="s">
        <v>1478</v>
      </c>
      <c r="D64" s="676" t="s">
        <v>5723</v>
      </c>
      <c r="E64" s="2519"/>
      <c r="F64" s="2518"/>
      <c r="G64" s="2519"/>
      <c r="H64" s="2519"/>
      <c r="I64" s="2519"/>
      <c r="J64" s="2519"/>
      <c r="K64" s="2519"/>
      <c r="L64" s="2519"/>
      <c r="M64" s="2518"/>
      <c r="N64" s="2519"/>
      <c r="O64" s="2518"/>
      <c r="P64" s="2519"/>
      <c r="Q64" s="2518"/>
      <c r="R64" s="2519"/>
      <c r="S64" s="2519"/>
      <c r="T64" s="2518">
        <v>1197</v>
      </c>
      <c r="U64" s="2518"/>
      <c r="V64" s="2519"/>
      <c r="W64" s="2519"/>
      <c r="X64" s="2519"/>
      <c r="Y64" s="2519"/>
      <c r="Z64" s="2519"/>
      <c r="AA64" s="2518"/>
      <c r="AB64" s="2519"/>
      <c r="AC64" s="2518"/>
      <c r="AD64" s="2518"/>
      <c r="AE64" s="2518"/>
      <c r="AF64" s="2518"/>
      <c r="AG64" s="2518"/>
      <c r="AH64" s="2518"/>
      <c r="AI64" s="2519"/>
      <c r="AJ64" s="2518"/>
      <c r="AK64" s="2519"/>
      <c r="AL64" s="2519"/>
      <c r="AM64" s="2519"/>
      <c r="AN64" s="2519"/>
      <c r="AO64" s="2519"/>
      <c r="AP64" s="2519"/>
      <c r="AQ64" s="2519"/>
      <c r="AR64" s="2519"/>
      <c r="AS64" s="2519"/>
      <c r="AT64" s="2519"/>
      <c r="AU64" s="2519"/>
      <c r="AV64" s="2519"/>
      <c r="AW64" s="2519">
        <v>2691</v>
      </c>
      <c r="AX64" s="2519"/>
      <c r="AY64" s="2519">
        <v>2691</v>
      </c>
      <c r="AZ64" s="2519">
        <v>2691</v>
      </c>
      <c r="BA64" s="2519"/>
      <c r="BB64" s="2519"/>
      <c r="BC64" s="2519"/>
      <c r="BD64" s="2518"/>
      <c r="BE64" s="2518"/>
      <c r="BF64" s="2518"/>
      <c r="BG64" s="2518"/>
      <c r="BH64" s="2518"/>
      <c r="BI64" s="3731"/>
      <c r="BJ64" s="2518"/>
      <c r="BK64" s="3731"/>
      <c r="BL64" s="2518"/>
      <c r="BM64" s="2518"/>
      <c r="BN64" s="2518"/>
      <c r="BO64" s="2518"/>
      <c r="BP64" s="2518"/>
      <c r="BQ64" s="2518"/>
      <c r="BR64" s="2518"/>
      <c r="BS64" s="2518"/>
      <c r="BT64" s="2518"/>
      <c r="BU64" s="2518"/>
      <c r="BV64" s="2518"/>
      <c r="BW64" s="2518"/>
      <c r="BX64" s="2518">
        <v>7462</v>
      </c>
      <c r="BY64" s="2518"/>
      <c r="BZ64" s="2518"/>
      <c r="CA64" s="2518"/>
      <c r="CB64" s="2888"/>
      <c r="CC64" s="2519">
        <v>2691</v>
      </c>
      <c r="CD64" s="2518"/>
      <c r="CE64" s="2888"/>
      <c r="CF64" s="2888"/>
      <c r="CG64" s="2888"/>
      <c r="CH64" s="2518"/>
      <c r="CI64" s="2518">
        <v>7462</v>
      </c>
      <c r="CJ64" s="2888"/>
      <c r="CK64" s="2888"/>
      <c r="CL64" s="2888"/>
      <c r="CM64" s="2888"/>
      <c r="CN64" s="2888"/>
      <c r="CO64" s="2888"/>
      <c r="CP64" s="2888"/>
      <c r="CQ64" s="2518">
        <v>7462</v>
      </c>
      <c r="CR64" s="2518"/>
      <c r="CS64" s="2518"/>
      <c r="CT64" s="2519"/>
      <c r="CU64" s="2888"/>
      <c r="CV64" s="2518"/>
      <c r="CW64" s="2888"/>
      <c r="CX64" s="2888"/>
      <c r="CY64" s="2888"/>
      <c r="CZ64" s="2519">
        <v>2691</v>
      </c>
      <c r="DA64" s="2519">
        <v>2691</v>
      </c>
      <c r="DB64" s="3731"/>
      <c r="DC64" s="2518">
        <v>7462</v>
      </c>
      <c r="DD64" s="2888"/>
      <c r="DE64" s="2888"/>
      <c r="DF64" s="2888"/>
      <c r="DG64" s="2888"/>
      <c r="DH64" s="2888"/>
      <c r="DI64" s="2518"/>
      <c r="DJ64" s="2888"/>
      <c r="DK64" s="2888"/>
      <c r="DL64" s="2518"/>
      <c r="DM64" s="2518">
        <v>7462</v>
      </c>
      <c r="DN64" s="2888"/>
      <c r="DO64" s="2888"/>
      <c r="DP64" s="2888"/>
      <c r="DQ64" s="2888"/>
      <c r="DR64" s="2519">
        <v>2691</v>
      </c>
      <c r="DS64" s="2888"/>
      <c r="DT64" s="2888"/>
      <c r="DU64" s="2888"/>
      <c r="DV64" s="2888"/>
      <c r="DW64" s="2888"/>
      <c r="DX64" s="2888"/>
      <c r="DY64" s="2888"/>
      <c r="DZ64" s="2888"/>
      <c r="EA64" s="2888"/>
      <c r="EB64" s="2888"/>
      <c r="EC64" s="2888"/>
      <c r="ED64" s="2888"/>
      <c r="EE64" s="2888"/>
      <c r="EF64" s="2888"/>
      <c r="EG64" s="2888"/>
      <c r="EH64" s="2888"/>
      <c r="EI64" s="2888"/>
      <c r="EJ64" s="2518"/>
      <c r="EK64" s="2888"/>
      <c r="EL64" s="2888"/>
      <c r="EM64" s="2888"/>
      <c r="EN64" s="2519">
        <v>2691</v>
      </c>
      <c r="EO64" s="2888"/>
      <c r="EP64" s="2888"/>
      <c r="EQ64" s="2888"/>
      <c r="ER64" s="2888"/>
      <c r="ES64" s="2888"/>
      <c r="ET64" s="2888"/>
      <c r="EU64" s="2518"/>
      <c r="EV64" s="2888"/>
      <c r="EW64" s="2888"/>
      <c r="EX64" s="2888"/>
      <c r="EY64" s="2888"/>
      <c r="EZ64" s="2888"/>
      <c r="FA64" s="2888"/>
      <c r="FB64" s="2888"/>
      <c r="FC64" s="2888"/>
      <c r="FD64" s="2888"/>
      <c r="FE64" s="2888"/>
      <c r="FF64" s="2518"/>
      <c r="FG64" s="2888"/>
      <c r="FH64" s="2888"/>
      <c r="FI64" s="2888"/>
      <c r="FJ64" s="2888"/>
      <c r="FK64" s="2888"/>
      <c r="FL64" s="2888"/>
      <c r="FM64" s="2888"/>
      <c r="FN64" s="2888"/>
      <c r="FO64" s="2888"/>
      <c r="FP64" s="2888"/>
      <c r="FQ64" s="2888"/>
      <c r="FR64" s="2888"/>
      <c r="FS64" s="2888"/>
      <c r="FT64" s="2519">
        <v>2691</v>
      </c>
      <c r="FU64" s="2519">
        <v>2691</v>
      </c>
      <c r="FV64" s="2519"/>
      <c r="FW64" s="2888"/>
      <c r="FX64" s="2518"/>
      <c r="FY64" s="2888"/>
      <c r="FZ64" s="2888"/>
      <c r="GA64" s="2888"/>
      <c r="GB64" s="2888"/>
      <c r="GC64" s="2888"/>
      <c r="GD64" s="2888"/>
      <c r="GE64" s="2518"/>
      <c r="GF64" s="2518"/>
      <c r="GG64" s="2518"/>
      <c r="GH64" s="2888"/>
      <c r="GI64" s="2888"/>
      <c r="GJ64" s="2518"/>
      <c r="GK64" s="2888"/>
      <c r="GL64" s="2888"/>
      <c r="GM64" s="2888"/>
      <c r="GN64" s="2888"/>
      <c r="GO64" s="2888"/>
      <c r="GP64" s="2888"/>
      <c r="GQ64" s="2888"/>
      <c r="GR64" s="2888"/>
      <c r="GS64" s="2888"/>
      <c r="GT64" s="2888"/>
      <c r="GU64" s="2888"/>
      <c r="GV64" s="2888"/>
      <c r="GW64" s="2518"/>
      <c r="GX64" s="2518">
        <v>7462</v>
      </c>
      <c r="GY64" s="2888"/>
      <c r="GZ64" s="2888"/>
      <c r="HA64" s="2888"/>
      <c r="HB64" s="2518"/>
      <c r="HC64" s="2888"/>
      <c r="HD64" s="2518">
        <v>1204</v>
      </c>
      <c r="HE64" s="2888"/>
      <c r="HF64" s="2518"/>
      <c r="HG64" s="2518"/>
      <c r="HH64" s="2888"/>
      <c r="HI64" s="2888"/>
      <c r="HJ64" s="2888"/>
      <c r="HK64" s="2888"/>
      <c r="HL64" s="2888"/>
      <c r="HM64" s="2888"/>
      <c r="HN64" s="2888"/>
      <c r="HO64" s="2888"/>
      <c r="HP64" s="2888"/>
      <c r="HQ64" s="2888"/>
      <c r="HR64" s="2888"/>
      <c r="HS64" s="2519"/>
      <c r="HT64" s="2888"/>
      <c r="HU64" s="2888"/>
      <c r="HV64" s="2888"/>
      <c r="HW64" s="2888"/>
      <c r="HX64" s="2888"/>
      <c r="HY64" s="2888"/>
      <c r="HZ64" s="2888"/>
      <c r="IA64" s="2888"/>
      <c r="IB64" s="2888"/>
      <c r="IC64" s="2888"/>
      <c r="ID64" s="2888"/>
      <c r="IE64" s="2888"/>
      <c r="IF64" s="2888"/>
      <c r="IG64" s="2888"/>
      <c r="IH64" s="2888"/>
      <c r="II64" s="2888"/>
      <c r="IJ64" s="2888"/>
      <c r="IK64" s="2888"/>
      <c r="IL64" s="2888"/>
      <c r="IM64" s="2888"/>
      <c r="IN64" s="2888"/>
      <c r="IO64" s="2518"/>
      <c r="IP64" s="2888"/>
      <c r="IQ64" s="2888"/>
      <c r="IR64" s="2888"/>
      <c r="IS64" s="4011"/>
      <c r="IT64" s="4004">
        <v>58249</v>
      </c>
      <c r="IU64" s="4004">
        <v>7447</v>
      </c>
      <c r="IV64" s="4004"/>
      <c r="IW64" s="4004"/>
      <c r="IX64" s="4004"/>
      <c r="IY64" s="4004"/>
      <c r="IZ64" s="2888"/>
      <c r="JA64" s="4004"/>
      <c r="JB64" s="4004"/>
      <c r="JC64" s="2888"/>
      <c r="JD64" s="2888"/>
      <c r="JE64" s="2888"/>
      <c r="JF64" s="2888"/>
      <c r="JG64" s="2616"/>
      <c r="JH64" s="1233"/>
      <c r="JI64" s="2020" t="s">
        <v>6530</v>
      </c>
      <c r="JJ64" s="1686" t="s">
        <v>6108</v>
      </c>
    </row>
    <row ht="22.5" r="65" spans="1:270" x14ac:dyDescent="0.2">
      <c r="A65" s="1128">
        <v>65</v>
      </c>
      <c r="B65" s="1534" t="str">
        <f si="2" t="shared"/>
        <v/>
      </c>
      <c r="C65" s="1555" t="s">
        <v>1479</v>
      </c>
      <c r="D65" s="676" t="s">
        <v>5724</v>
      </c>
      <c r="E65" s="2602"/>
      <c r="F65" s="2603">
        <f>MAX(0,F63-F64)</f>
        <v>3600</v>
      </c>
      <c r="G65" s="2602"/>
      <c r="H65" s="2602"/>
      <c r="I65" s="2602"/>
      <c r="J65" s="2602"/>
      <c r="K65" s="2602"/>
      <c r="L65" s="2602"/>
      <c r="M65" s="2603">
        <f>MAX(0,M63-M64)</f>
        <v>3600</v>
      </c>
      <c r="N65" s="2602"/>
      <c r="O65" s="2603">
        <f>MAX(0,O63-O64)</f>
        <v>3600</v>
      </c>
      <c r="P65" s="2602"/>
      <c r="Q65" s="2603">
        <f>MAX(0,Q63-Q64)</f>
        <v>3600</v>
      </c>
      <c r="R65" s="2602"/>
      <c r="S65" s="2602"/>
      <c r="T65" s="2603">
        <f>MAX(0,T63-T64)</f>
        <v>50742</v>
      </c>
      <c r="U65" s="2603">
        <f>MAX(0,U63-U64)</f>
        <v>3600</v>
      </c>
      <c r="V65" s="2602"/>
      <c r="W65" s="2602"/>
      <c r="X65" s="2602"/>
      <c r="Y65" s="2602"/>
      <c r="Z65" s="2602"/>
      <c r="AA65" s="2603">
        <f>MAX(0,AA63-AA64)</f>
        <v>3600</v>
      </c>
      <c r="AB65" s="2602"/>
      <c r="AC65" s="2603">
        <f>MAX(0,AC63-AC64)</f>
        <v>3600</v>
      </c>
      <c r="AD65" s="2603"/>
      <c r="AE65" s="3548">
        <f>MAX(0,AE63-AE64)</f>
        <v>9000</v>
      </c>
      <c r="AF65" s="2603"/>
      <c r="AG65" s="2603"/>
      <c r="AH65" s="2603"/>
      <c r="AI65" s="2602"/>
      <c r="AJ65" s="2602">
        <f>MAX(0,AJ63-AJ64)</f>
        <v>9737</v>
      </c>
      <c r="AK65" s="2602"/>
      <c r="AL65" s="2602"/>
      <c r="AM65" s="2602"/>
      <c r="AN65" s="2602"/>
      <c r="AO65" s="2602"/>
      <c r="AP65" s="2602"/>
      <c r="AQ65" s="2602"/>
      <c r="AR65" s="2603">
        <f>MAX(0,AR63-AR64)</f>
        <v>3862</v>
      </c>
      <c r="AS65" s="2602"/>
      <c r="AT65" s="2602"/>
      <c r="AU65" s="2602"/>
      <c r="AV65" s="2602"/>
      <c r="AW65" s="2603">
        <f>MAX(0,AW63-AW64)</f>
        <v>26585</v>
      </c>
      <c r="AX65" s="2602"/>
      <c r="AY65" s="2603">
        <f>MAX(0,AY63-AY64)</f>
        <v>26585</v>
      </c>
      <c r="AZ65" s="2603">
        <f>MAX(0,AZ63-AZ64)</f>
        <v>26585</v>
      </c>
      <c r="BA65" s="2602"/>
      <c r="BB65" s="2602"/>
      <c r="BC65" s="2602"/>
      <c r="BD65" s="2603">
        <f>MAX(0,BD63-BD64)</f>
        <v>3600</v>
      </c>
      <c r="BE65" s="2608"/>
      <c r="BF65" s="2608"/>
      <c r="BG65" s="2603">
        <f>MAX(0,BG63-BG64)</f>
        <v>3600</v>
      </c>
      <c r="BH65" s="2608"/>
      <c r="BI65" s="3730"/>
      <c r="BJ65" s="2608"/>
      <c r="BK65" s="3730">
        <f>MAX(0,BK63-BK64)</f>
        <v>57211</v>
      </c>
      <c r="BL65" s="2608"/>
      <c r="BM65" s="2608"/>
      <c r="BN65" s="2608"/>
      <c r="BO65" s="2608"/>
      <c r="BP65" s="2608"/>
      <c r="BQ65" s="2608"/>
      <c r="BR65" s="2608"/>
      <c r="BS65" s="2608"/>
      <c r="BT65" s="2603">
        <f>MAX(0,BT63-BT64)</f>
        <v>3600</v>
      </c>
      <c r="BU65" s="2608"/>
      <c r="BV65" s="2603">
        <f>MAX(0,BV63-BV64)</f>
        <v>3600</v>
      </c>
      <c r="BW65" s="2608"/>
      <c r="BX65" s="2603">
        <f>MAX(0,BX63-BX64)</f>
        <v>2931</v>
      </c>
      <c r="BY65" s="2608"/>
      <c r="BZ65" s="2608"/>
      <c r="CA65" s="2608"/>
      <c r="CB65" s="3730">
        <f>MAX(0,CB63-CB64)</f>
        <v>1776</v>
      </c>
      <c r="CC65" s="2603">
        <f>MAX(0,CC63-CC64)</f>
        <v>26585</v>
      </c>
      <c r="CD65" s="2603">
        <f>MAX(0,CD63-CD64)</f>
        <v>3600</v>
      </c>
      <c r="CE65" s="2890"/>
      <c r="CF65" s="2890"/>
      <c r="CG65" s="2890"/>
      <c r="CH65" s="2603">
        <f>MAX(0,CH63-CH64)</f>
        <v>3600</v>
      </c>
      <c r="CI65" s="2603">
        <f>MAX(0,CI63-CI64)</f>
        <v>2931</v>
      </c>
      <c r="CJ65" s="2890"/>
      <c r="CK65" s="2890"/>
      <c r="CL65" s="2890"/>
      <c r="CM65" s="2890"/>
      <c r="CN65" s="2890"/>
      <c r="CO65" s="2890"/>
      <c r="CP65" s="2890"/>
      <c r="CQ65" s="2603">
        <f>MAX(0,CQ63-CQ64)</f>
        <v>2931</v>
      </c>
      <c r="CR65" s="2608">
        <f>MAX(0,CR63-CR64)</f>
        <v>36350</v>
      </c>
      <c r="CS65" s="2608">
        <f>MAX(0,CS63-CS64)</f>
        <v>36350</v>
      </c>
      <c r="CT65" s="2603">
        <f>MAX(0,CT63-CT64)</f>
        <v>5023</v>
      </c>
      <c r="CU65" s="2890"/>
      <c r="CV65" s="2603">
        <f>MAX(0,CV63-CV64)</f>
        <v>0</v>
      </c>
      <c r="CW65" s="2890"/>
      <c r="CX65" s="2890"/>
      <c r="CY65" s="2890"/>
      <c r="CZ65" s="2603">
        <f>MAX(0,CZ63-CZ64)</f>
        <v>26585</v>
      </c>
      <c r="DA65" s="2603">
        <f>MAX(0,DA63-DA64)</f>
        <v>26585</v>
      </c>
      <c r="DB65" s="3730">
        <f>MAX(0,DB63-DB64)</f>
        <v>42017</v>
      </c>
      <c r="DC65" s="2603">
        <f>MAX(0,DC63-DC64)</f>
        <v>2931</v>
      </c>
      <c r="DD65" s="2890"/>
      <c r="DE65" s="2890"/>
      <c r="DF65" s="2890"/>
      <c r="DG65" s="2890"/>
      <c r="DH65" s="2890"/>
      <c r="DI65" s="2603">
        <f>MAX(0,DI63-DI64)</f>
        <v>0</v>
      </c>
      <c r="DJ65" s="2890"/>
      <c r="DK65" s="2890"/>
      <c r="DL65" s="2603">
        <f>MAX(0,DL63-DL64)</f>
        <v>0</v>
      </c>
      <c r="DM65" s="2603">
        <f>MAX(0,DM63-DM64)</f>
        <v>2931</v>
      </c>
      <c r="DN65" s="2890"/>
      <c r="DO65" s="2890"/>
      <c r="DP65" s="2890"/>
      <c r="DQ65" s="2890"/>
      <c r="DR65" s="2603">
        <f>MAX(0,DR63-DR64)</f>
        <v>26585</v>
      </c>
      <c r="DS65" s="2890"/>
      <c r="DT65" s="2890"/>
      <c r="DU65" s="2890"/>
      <c r="DV65" s="2890"/>
      <c r="DW65" s="2890">
        <f>MAX(0,DW63-DW64)</f>
        <v>2649</v>
      </c>
      <c r="DX65" s="2890"/>
      <c r="DY65" s="2890"/>
      <c r="DZ65" s="2890"/>
      <c r="EA65" s="2890"/>
      <c r="EB65" s="2890"/>
      <c r="EC65" s="2890"/>
      <c r="ED65" s="2890"/>
      <c r="EE65" s="2890"/>
      <c r="EF65" s="2890"/>
      <c r="EG65" s="2890"/>
      <c r="EH65" s="2890"/>
      <c r="EI65" s="2890"/>
      <c r="EJ65" s="2603">
        <f>MAX(0,EJ63-EJ64)</f>
        <v>4500</v>
      </c>
      <c r="EK65" s="2890"/>
      <c r="EL65" s="2890"/>
      <c r="EM65" s="2890"/>
      <c r="EN65" s="2603">
        <f>MAX(0,EN63-EN64)</f>
        <v>26585</v>
      </c>
      <c r="EO65" s="2890"/>
      <c r="EP65" s="2890"/>
      <c r="EQ65" s="2890"/>
      <c r="ER65" s="2890"/>
      <c r="ES65" s="2890"/>
      <c r="ET65" s="2890"/>
      <c r="EU65" s="2608">
        <f>MAX(0,EU63-EU64)</f>
        <v>36350</v>
      </c>
      <c r="EV65" s="2890"/>
      <c r="EW65" s="2890"/>
      <c r="EX65" s="2890"/>
      <c r="EY65" s="2890"/>
      <c r="EZ65" s="2890"/>
      <c r="FA65" s="2890"/>
      <c r="FB65" s="2890"/>
      <c r="FC65" s="2890"/>
      <c r="FD65" s="2890"/>
      <c r="FE65" s="2890"/>
      <c r="FF65" s="2603">
        <f>MAX(0,FF63-FF64)</f>
        <v>3600</v>
      </c>
      <c r="FG65" s="2890"/>
      <c r="FH65" s="2890"/>
      <c r="FI65" s="2890"/>
      <c r="FJ65" s="2890"/>
      <c r="FK65" s="2890"/>
      <c r="FL65" s="2890"/>
      <c r="FM65" s="2890"/>
      <c r="FN65" s="2890"/>
      <c r="FO65" s="2890"/>
      <c r="FP65" s="2890"/>
      <c r="FQ65" s="2890"/>
      <c r="FR65" s="2890"/>
      <c r="FS65" s="2890"/>
      <c r="FT65" s="2603">
        <f>MAX(0,FT63-FT64)</f>
        <v>26585</v>
      </c>
      <c r="FU65" s="2603">
        <f>MAX(0,FU63-FU64)</f>
        <v>26585</v>
      </c>
      <c r="FV65" s="2603">
        <f>MAX(0,FV63-FV64)</f>
        <v>5023</v>
      </c>
      <c r="FW65" s="2890"/>
      <c r="FX65" s="2608">
        <f>MAX(0,FX63-FX64)</f>
        <v>36350</v>
      </c>
      <c r="FY65" s="2890"/>
      <c r="FZ65" s="2890"/>
      <c r="GA65" s="2890"/>
      <c r="GB65" s="2890"/>
      <c r="GC65" s="2890"/>
      <c r="GD65" s="2890"/>
      <c r="GE65" s="2603">
        <f>MAX(0,GE63-GE64)</f>
        <v>4500</v>
      </c>
      <c r="GF65" s="2603">
        <f>MAX(0,GF63-GF64)</f>
        <v>4500</v>
      </c>
      <c r="GG65" s="2608">
        <f>MAX(0,GG63-GG64)</f>
        <v>36350</v>
      </c>
      <c r="GH65" s="2890"/>
      <c r="GI65" s="2890"/>
      <c r="GJ65" s="2608">
        <f>MAX(0,GJ63-GJ64)</f>
        <v>36350</v>
      </c>
      <c r="GK65" s="2890"/>
      <c r="GL65" s="2890"/>
      <c r="GM65" s="2890"/>
      <c r="GN65" s="2890"/>
      <c r="GO65" s="2890"/>
      <c r="GP65" s="2890"/>
      <c r="GQ65" s="2890"/>
      <c r="GR65" s="2890"/>
      <c r="GS65" s="2890"/>
      <c r="GT65" s="2890"/>
      <c r="GU65" s="2890"/>
      <c r="GV65" s="2890"/>
      <c r="GW65" s="2608">
        <f>MAX(0,GW63-GW64)</f>
        <v>36350</v>
      </c>
      <c r="GX65" s="2603">
        <f>MAX(0,GX63-GX64)</f>
        <v>2931</v>
      </c>
      <c r="GY65" s="2890"/>
      <c r="GZ65" s="2890"/>
      <c r="HA65" s="2890"/>
      <c r="HB65" s="2603">
        <f>MAX(0,HB63-HB64)</f>
        <v>34947</v>
      </c>
      <c r="HC65" s="2890"/>
      <c r="HD65" s="2603">
        <f>MAX(0,HD63-HD64)</f>
        <v>0</v>
      </c>
      <c r="HE65" s="2890"/>
      <c r="HF65" s="2603">
        <f>MAX(0,HF63-HF64)</f>
        <v>3600</v>
      </c>
      <c r="HG65" s="2603">
        <f>MAX(0,HG63-HG64)</f>
        <v>3600</v>
      </c>
      <c r="HH65" s="2890"/>
      <c r="HI65" s="2890"/>
      <c r="HJ65" s="2890"/>
      <c r="HK65" s="2890"/>
      <c r="HL65" s="2890"/>
      <c r="HM65" s="2890"/>
      <c r="HN65" s="2890"/>
      <c r="HO65" s="2890"/>
      <c r="HP65" s="2890"/>
      <c r="HQ65" s="2890"/>
      <c r="HR65" s="2890"/>
      <c r="HS65" s="2603">
        <f>MAX(0,HS63-HS64)</f>
        <v>5023</v>
      </c>
      <c r="HT65" s="2890"/>
      <c r="HU65" s="2890"/>
      <c r="HV65" s="2890"/>
      <c r="HW65" s="2890"/>
      <c r="HX65" s="2890"/>
      <c r="HY65" s="2890"/>
      <c r="HZ65" s="2890"/>
      <c r="IA65" s="2890"/>
      <c r="IB65" s="2890"/>
      <c r="IC65" s="2890"/>
      <c r="ID65" s="2890"/>
      <c r="IE65" s="2890"/>
      <c r="IF65" s="2890"/>
      <c r="IG65" s="2890"/>
      <c r="IH65" s="2890"/>
      <c r="II65" s="2890"/>
      <c r="IJ65" s="2890"/>
      <c r="IK65" s="2890"/>
      <c r="IL65" s="2890"/>
      <c r="IM65" s="2890"/>
      <c r="IN65" s="2890"/>
      <c r="IO65" s="2608">
        <f>MAX(0,IO63-IO64)</f>
        <v>2551</v>
      </c>
      <c r="IP65" s="3548">
        <f>MAX(0,IP63-IP64)</f>
        <v>91831</v>
      </c>
      <c r="IQ65" s="2891"/>
      <c r="IR65" s="2891"/>
      <c r="IS65" s="4010">
        <f ref="IS65:IY65" si="4" t="shared">MAX(0,IS63-IS64)</f>
        <v>1013</v>
      </c>
      <c r="IT65" s="4005">
        <f si="4" t="shared"/>
        <v>0</v>
      </c>
      <c r="IU65" s="4005">
        <f si="4" t="shared"/>
        <v>0</v>
      </c>
      <c r="IV65" s="4005">
        <f si="4" t="shared"/>
        <v>7067</v>
      </c>
      <c r="IW65" s="4005">
        <f si="4" t="shared"/>
        <v>14053</v>
      </c>
      <c r="IX65" s="4005">
        <f si="4" t="shared"/>
        <v>18449</v>
      </c>
      <c r="IY65" s="4005">
        <f si="4" t="shared"/>
        <v>18449</v>
      </c>
      <c r="IZ65" s="2890"/>
      <c r="JA65" s="4005">
        <f>MAX(0,JA63-JA64)</f>
        <v>1082</v>
      </c>
      <c r="JB65" s="4005">
        <f>MAX(0,JB63-JB64)</f>
        <v>73048</v>
      </c>
      <c r="JC65" s="2890"/>
      <c r="JD65" s="2890"/>
      <c r="JE65" s="2890"/>
      <c r="JF65" s="2890"/>
      <c r="JG65" s="2619">
        <f>MAX(0,JG63-JG64)</f>
        <v>0</v>
      </c>
      <c r="JH65" s="1233"/>
      <c r="JI65" s="1393" t="s">
        <v>5696</v>
      </c>
      <c r="JJ65" s="1686" t="s">
        <v>6124</v>
      </c>
    </row>
    <row ht="45" r="66" spans="1:270" x14ac:dyDescent="0.2">
      <c r="A66" s="1128">
        <v>66</v>
      </c>
      <c r="B66" s="1534" t="str">
        <f si="2" t="shared"/>
        <v/>
      </c>
      <c r="C66" s="1548" t="s">
        <v>1480</v>
      </c>
      <c r="D66" s="676" t="s">
        <v>5725</v>
      </c>
      <c r="E66" s="2609"/>
      <c r="F66" s="2610">
        <f>MAX(0,(F48+F49+F50+F51+F52+F53+F56+F57+F59+F60+F61+F62)-(F42+F46+F47+F54+F55))</f>
        <v>0</v>
      </c>
      <c r="G66" s="2609"/>
      <c r="H66" s="2609"/>
      <c r="I66" s="2609"/>
      <c r="J66" s="2609"/>
      <c r="K66" s="2609"/>
      <c r="L66" s="2609"/>
      <c r="M66" s="2610">
        <f>MAX(0,(M48+M49+M50+M51+M52+M53+M56+M57+M59+M60+M61+M62)-(M42+M46+M47+M54+M55))</f>
        <v>0</v>
      </c>
      <c r="N66" s="2609"/>
      <c r="O66" s="2610">
        <f>MAX(0,(O48+O49+O50+O51+O52+O53+O56+O57+O59+O60+O61+O62)-(O42+O46+O47+O54+O55))</f>
        <v>0</v>
      </c>
      <c r="P66" s="2609"/>
      <c r="Q66" s="2610">
        <f>MAX(0,(Q48+Q49+Q50+Q51+Q52+Q53+Q56+Q57+Q59+Q60+Q61+Q62)-(Q42+Q46+Q47+Q54+Q55))</f>
        <v>0</v>
      </c>
      <c r="R66" s="2609"/>
      <c r="S66" s="2609"/>
      <c r="T66" s="2610">
        <f>MAX(0,(T48+T49+T50+T51+T52+T53+T56+T57+T59+T60+T61+T62)-(T42+T46+T47+T54+T55))</f>
        <v>0</v>
      </c>
      <c r="U66" s="2610">
        <f>MAX(0,(U48+U49+U50+U51+U52+U53+U56+U57+U59+U60+U61+U62)-(U42+U46+U47+U54+U55))</f>
        <v>0</v>
      </c>
      <c r="V66" s="2609"/>
      <c r="W66" s="2609"/>
      <c r="X66" s="2609"/>
      <c r="Y66" s="2609"/>
      <c r="Z66" s="2609"/>
      <c r="AA66" s="2610">
        <f>MAX(0,(AA48+AA49+AA50+AA51+AA52+AA53+AA56+AA57+AA59+AA60+AA61+AA62)-(AA42+AA46+AA47+AA54+AA55))</f>
        <v>0</v>
      </c>
      <c r="AB66" s="2609"/>
      <c r="AC66" s="2610">
        <f>MAX(0,(AC48+AC49+AC50+AC51+AC52+AC53+AC56+AC57+AC59+AC60+AC61+AC62)-(AC42+AC46+AC47+AC54+AC55))</f>
        <v>0</v>
      </c>
      <c r="AD66" s="2610"/>
      <c r="AE66" s="3549">
        <f>MAX(0,(AE48+AE49+AE50+AE51+AE52+AE53+AE56+AE57+AE59+AE60+AE61+AE62)-(AE42+AE46+AE47+AE54+AE55))</f>
        <v>0</v>
      </c>
      <c r="AF66" s="2610"/>
      <c r="AG66" s="2610"/>
      <c r="AH66" s="2610"/>
      <c r="AI66" s="2609"/>
      <c r="AJ66" s="2609">
        <f>MAX(0,(AJ48+AJ49+AJ50+AJ51+AJ52+AJ53+AJ56+AJ57+AJ59+AJ60+AJ61+AJ62)-(AJ42+AJ46+AJ47+AJ54+AJ55))</f>
        <v>0</v>
      </c>
      <c r="AK66" s="2609"/>
      <c r="AL66" s="2609"/>
      <c r="AM66" s="2609"/>
      <c r="AN66" s="2609"/>
      <c r="AO66" s="2609"/>
      <c r="AP66" s="2609"/>
      <c r="AQ66" s="2609"/>
      <c r="AR66" s="2610">
        <f>MAX(0,(AR48+AR49+AR50+AR51+AR52+AR53+AR56+AR57+AR59+AR60+AR61+AR62)-(AR42+AR46+AR47+AR54+AR55))</f>
        <v>0</v>
      </c>
      <c r="AS66" s="2609"/>
      <c r="AT66" s="2609"/>
      <c r="AU66" s="2609"/>
      <c r="AV66" s="2609"/>
      <c r="AW66" s="2610">
        <f>MAX(0,(AW48+AW49+AW50+AW51+AW52+AW53+AW56+AW57+AW59+AW60+AW61+AW62)-(AW42+AW46+AW47+AW54+AW55))</f>
        <v>0</v>
      </c>
      <c r="AX66" s="2609"/>
      <c r="AY66" s="2610">
        <f>MAX(0,(AY48+AY49+AY50+AY51+AY52+AY53+AY56+AY57+AY59+AY60+AY61+AY62)-(AY42+AY46+AY47+AY54+AY55))</f>
        <v>0</v>
      </c>
      <c r="AZ66" s="2610">
        <f>MAX(0,(AZ48+AZ49+AZ50+AZ51+AZ52+AZ53+AZ56+AZ57+AZ59+AZ60+AZ61+AZ62)-(AZ42+AZ46+AZ47+AZ54+AZ55))</f>
        <v>0</v>
      </c>
      <c r="BA66" s="2609"/>
      <c r="BB66" s="2609"/>
      <c r="BC66" s="2609"/>
      <c r="BD66" s="2610">
        <f>MAX(0,(BD48+BD49+BD50+BD51+BD52+BD53+BD56+BD57+BD59+BD60+BD61+BD62)-(BD42+BD46+BD47+BD54+BD55))</f>
        <v>0</v>
      </c>
      <c r="BE66" s="2611"/>
      <c r="BF66" s="2611"/>
      <c r="BG66" s="2610">
        <f>MAX(0,(BG48+BG49+BG50+BG51+BG52+BG53+BG56+BG57+BG59+BG60+BG61+BG62)-(BG42+BG46+BG47+BG54+BG55))</f>
        <v>0</v>
      </c>
      <c r="BH66" s="2611"/>
      <c r="BI66" s="3732"/>
      <c r="BJ66" s="2611"/>
      <c r="BK66" s="3732">
        <f>MAX(0,(BK48+BK49+BK50+BK51+BK52+BK53+BK56+BK57+BK59+BK60+BK61+BK62)-(BK42+BK46+BK47+BK54+BK55))</f>
        <v>0</v>
      </c>
      <c r="BL66" s="2611"/>
      <c r="BM66" s="2611"/>
      <c r="BN66" s="2611"/>
      <c r="BO66" s="2611"/>
      <c r="BP66" s="2611"/>
      <c r="BQ66" s="2611"/>
      <c r="BR66" s="2611"/>
      <c r="BS66" s="2611"/>
      <c r="BT66" s="2610">
        <f>MAX(0,(BT48+BT49+BT50+BT51+BT52+BT53+BT56+BT57+BT59+BT60+BT61+BT62)-(BT42+BT46+BT47+BT54+BT55))</f>
        <v>0</v>
      </c>
      <c r="BU66" s="2611"/>
      <c r="BV66" s="2610">
        <f>MAX(0,(BV48+BV49+BV50+BV51+BV52+BV53+BV56+BV57+BV59+BV60+BV61+BV62)-(BV42+BV46+BV47+BV54+BV55))</f>
        <v>0</v>
      </c>
      <c r="BW66" s="2611"/>
      <c r="BX66" s="2610">
        <f>MAX(0,(BX48+BX49+BX50+BX51+BX52+BX53+BX56+BX57+BX59+BX60+BX61+BX62)-(BX42+BX46+BX47+BX54+BX55))</f>
        <v>0</v>
      </c>
      <c r="BY66" s="2611"/>
      <c r="BZ66" s="2611"/>
      <c r="CA66" s="2611"/>
      <c r="CB66" s="2891"/>
      <c r="CC66" s="2610">
        <f>MAX(0,(CC48+CC49+CC50+CC51+CC52+CC53+CC56+CC57+CC59+CC60+CC61+CC62)-(CC42+CC46+CC47+CC54+CC55))</f>
        <v>0</v>
      </c>
      <c r="CD66" s="2610">
        <f>MAX(0,(CD48+CD49+CD50+CD51+CD52+CD53+CD56+CD57+CD59+CD60+CD61+CD62)-(CD42+CD46+CD47+CD54+CD55))</f>
        <v>0</v>
      </c>
      <c r="CE66" s="2891"/>
      <c r="CF66" s="2891"/>
      <c r="CG66" s="2891"/>
      <c r="CH66" s="2610">
        <f>MAX(0,(CH48+CH49+CH50+CH51+CH52+CH53+CH56+CH57+CH59+CH60+CH61+CH62)-(CH42+CH46+CH47+CH54+CH55))</f>
        <v>0</v>
      </c>
      <c r="CI66" s="2610">
        <f>MAX(0,(CI48+CI49+CI50+CI51+CI52+CI53+CI56+CI57+CI59+CI60+CI61+CI62)-(CI42+CI46+CI47+CI54+CI55))</f>
        <v>0</v>
      </c>
      <c r="CJ66" s="2891"/>
      <c r="CK66" s="2891"/>
      <c r="CL66" s="2891"/>
      <c r="CM66" s="2891"/>
      <c r="CN66" s="2891"/>
      <c r="CO66" s="2891"/>
      <c r="CP66" s="2891"/>
      <c r="CQ66" s="2610">
        <f>MAX(0,(CQ48+CQ49+CQ50+CQ51+CQ52+CQ53+CQ56+CQ57+CQ59+CQ60+CQ61+CQ62)-(CQ42+CQ46+CQ47+CQ54+CQ55))</f>
        <v>0</v>
      </c>
      <c r="CR66" s="2610">
        <f>MAX(0,(CR48+CR49+CR50+CR51+CR52+CR53+CR56+CR57+CR59+CR60+CR61+CR62)-(CR42+CR46+CR47+CR54+CR55))</f>
        <v>0</v>
      </c>
      <c r="CS66" s="2610">
        <f>MAX(0,(CS48+CS49+CS50+CS51+CS52+CS53+CS56+CS57+CS59+CS60+CS61+CS62)-(CS42+CS46+CS47+CS54+CS55))</f>
        <v>0</v>
      </c>
      <c r="CT66" s="2610">
        <f>MAX(0,(CT48+CT49+CT50+CT51+CT52+CT53+CT56+CT57+CT59+CT60+CT61+CT62)-(CT42+CT46+CT47+CT54+CT55))</f>
        <v>0</v>
      </c>
      <c r="CU66" s="2891"/>
      <c r="CV66" s="2610">
        <f>MAX(0,(CV48+CV49+CV50+CV51+CV52+CV53+CV56+CV57+CV59+CV60+CV61+CV62)-(CV42+CV46+CV47+CV54+CV55))</f>
        <v>3884</v>
      </c>
      <c r="CW66" s="2891"/>
      <c r="CX66" s="2891"/>
      <c r="CY66" s="2891"/>
      <c r="CZ66" s="2610">
        <f>MAX(0,(CZ48+CZ49+CZ50+CZ51+CZ52+CZ53+CZ56+CZ57+CZ59+CZ60+CZ61+CZ62)-(CZ42+CZ46+CZ47+CZ54+CZ55))</f>
        <v>0</v>
      </c>
      <c r="DA66" s="2610">
        <f>MAX(0,(DA48+DA49+DA50+DA51+DA52+DA53+DA56+DA57+DA59+DA60+DA61+DA62)-(DA42+DA46+DA47+DA54+DA55))</f>
        <v>0</v>
      </c>
      <c r="DB66" s="3732">
        <f>MAX(0,(DB48+DB49+DB50+DB51+DB52+DB53+DB56+DB57+DB59+DB60+DB61+DB62)-(DB42+DB46+DB47+DB54+DB55))</f>
        <v>0</v>
      </c>
      <c r="DC66" s="2610">
        <f>MAX(0,(DC48+DC49+DC50+DC51+DC52+DC53+DC56+DC57+DC59+DC60+DC61+DC62)-(DC42+DC46+DC47+DC54+DC55))</f>
        <v>0</v>
      </c>
      <c r="DD66" s="2891"/>
      <c r="DE66" s="2891"/>
      <c r="DF66" s="2891"/>
      <c r="DG66" s="2891"/>
      <c r="DH66" s="2891"/>
      <c r="DI66" s="2610">
        <f>MAX(0,(DI48+DI49+DI50+DI51+DI52+DI53+DI56+DI57+DI59+DI60+DI61+DI62)-(DI42+DI46+DI47+DI54+DI55))</f>
        <v>3884</v>
      </c>
      <c r="DJ66" s="2891"/>
      <c r="DK66" s="2891"/>
      <c r="DL66" s="2610">
        <f>MAX(0,(DL48+DL49+DL50+DL51+DL52+DL53+DL56+DL57+DL59+DL60+DL61+DL62)-(DL42+DL46+DL47+DL54+DL55))</f>
        <v>3884</v>
      </c>
      <c r="DM66" s="2610">
        <f>MAX(0,(DM48+DM49+DM50+DM51+DM52+DM53+DM56+DM57+DM59+DM60+DM61+DM62)-(DM42+DM46+DM47+DM54+DM55))</f>
        <v>0</v>
      </c>
      <c r="DN66" s="2891"/>
      <c r="DO66" s="2891"/>
      <c r="DP66" s="2891"/>
      <c r="DQ66" s="2891"/>
      <c r="DR66" s="2610">
        <f>MAX(0,(DR48+DR49+DR50+DR51+DR52+DR53+DR56+DR57+DR59+DR60+DR61+DR62)-(DR42+DR46+DR47+DR54+DR55))</f>
        <v>0</v>
      </c>
      <c r="DS66" s="2891"/>
      <c r="DT66" s="2891"/>
      <c r="DU66" s="2891"/>
      <c r="DV66" s="2891"/>
      <c r="DW66" s="2891">
        <f>MAX(0,(DW48+DW49+DW50+DW51+DW52+DW53+DW56+DW57+DW59+DW60+DW61+DW62)-(DW42+DW46+DW47+DW54+DW55))</f>
        <v>0</v>
      </c>
      <c r="DX66" s="2891"/>
      <c r="DY66" s="2891"/>
      <c r="DZ66" s="2891"/>
      <c r="EA66" s="2891"/>
      <c r="EB66" s="2891"/>
      <c r="EC66" s="2891"/>
      <c r="ED66" s="2891"/>
      <c r="EE66" s="2891"/>
      <c r="EF66" s="2891"/>
      <c r="EG66" s="2891"/>
      <c r="EH66" s="2891"/>
      <c r="EI66" s="2891"/>
      <c r="EJ66" s="2610">
        <f>MAX(0,(EJ48+EJ49+EJ50+EJ51+EJ52+EJ53+EJ56+EJ57+EJ59+EJ60+EJ61+EJ62)-(EJ42+EJ46+EJ47+EJ54+EJ55))</f>
        <v>0</v>
      </c>
      <c r="EK66" s="2891"/>
      <c r="EL66" s="2891"/>
      <c r="EM66" s="2891"/>
      <c r="EN66" s="2610">
        <f>MAX(0,(EN48+EN49+EN50+EN51+EN52+EN53+EN56+EN57+EN59+EN60+EN61+EN62)-(EN42+EN46+EN47+EN54+EN55))</f>
        <v>0</v>
      </c>
      <c r="EO66" s="2891"/>
      <c r="EP66" s="2891"/>
      <c r="EQ66" s="2891"/>
      <c r="ER66" s="2891"/>
      <c r="ES66" s="2891"/>
      <c r="ET66" s="2891"/>
      <c r="EU66" s="2610">
        <f>MAX(0,(EU48+EU49+EU50+EU51+EU52+EU53+EU56+EU57+EU59+EU60+EU61+EU62)-(EU42+EU46+EU47+EU54+EU55))</f>
        <v>0</v>
      </c>
      <c r="EV66" s="2891"/>
      <c r="EW66" s="2891"/>
      <c r="EX66" s="2891"/>
      <c r="EY66" s="2891"/>
      <c r="EZ66" s="2891"/>
      <c r="FA66" s="2891"/>
      <c r="FB66" s="2891"/>
      <c r="FC66" s="2891"/>
      <c r="FD66" s="2891"/>
      <c r="FE66" s="2891"/>
      <c r="FF66" s="2610">
        <f>MAX(0,(FF48+FF49+FF50+FF51+FF52+FF53+FF56+FF57+FF59+FF60+FF61+FF62)-(FF42+FF46+FF47+FF54+FF55))</f>
        <v>0</v>
      </c>
      <c r="FG66" s="2891"/>
      <c r="FH66" s="2891"/>
      <c r="FI66" s="2891"/>
      <c r="FJ66" s="2891"/>
      <c r="FK66" s="2891"/>
      <c r="FL66" s="2891"/>
      <c r="FM66" s="2891"/>
      <c r="FN66" s="2891"/>
      <c r="FO66" s="2891"/>
      <c r="FP66" s="2891"/>
      <c r="FQ66" s="2891"/>
      <c r="FR66" s="2891"/>
      <c r="FS66" s="2891"/>
      <c r="FT66" s="2610">
        <f>MAX(0,(FT48+FT49+FT50+FT51+FT52+FT53+FT56+FT57+FT59+FT60+FT61+FT62)-(FT42+FT46+FT47+FT54+FT55))</f>
        <v>0</v>
      </c>
      <c r="FU66" s="2610">
        <f>MAX(0,(FU48+FU49+FU50+FU51+FU52+FU53+FU56+FU57+FU59+FU60+FU61+FU62)-(FU42+FU46+FU47+FU54+FU55))</f>
        <v>0</v>
      </c>
      <c r="FV66" s="2610">
        <f>MAX(0,(FV48+FV49+FV50+FV51+FV52+FV53+FV56+FV57+FV59+FV60+FV61+FV62)-(FV42+FV46+FV47+FV54+FV55))</f>
        <v>0</v>
      </c>
      <c r="FW66" s="2891"/>
      <c r="FX66" s="2610">
        <f>MAX(0,(FX48+FX49+FX50+FX51+FX52+FX53+FX56+FX57+FX59+FX60+FX61+FX62)-(FX42+FX46+FX47+FX54+FX55))</f>
        <v>0</v>
      </c>
      <c r="FY66" s="2891"/>
      <c r="FZ66" s="2891"/>
      <c r="GA66" s="2891"/>
      <c r="GB66" s="2891"/>
      <c r="GC66" s="2891"/>
      <c r="GD66" s="2891"/>
      <c r="GE66" s="2610">
        <f>MAX(0,(GE48+GE49+GE50+GE51+GE52+GE53+GE56+GE57+GE59+GE60+GE61+GE62)-(GE42+GE46+GE47+GE54+GE55))</f>
        <v>0</v>
      </c>
      <c r="GF66" s="2610">
        <f>MAX(0,(GF48+GF49+GF50+GF51+GF52+GF53+GF56+GF57+GF59+GF60+GF61+GF62)-(GF42+GF46+GF47+GF54+GF55))</f>
        <v>0</v>
      </c>
      <c r="GG66" s="2610">
        <f>MAX(0,(GG48+GG49+GG50+GG51+GG52+GG53+GG56+GG57+GG59+GG60+GG61+GG62)-(GG42+GG46+GG47+GG54+GG55))</f>
        <v>0</v>
      </c>
      <c r="GH66" s="2891"/>
      <c r="GI66" s="2891"/>
      <c r="GJ66" s="2610">
        <f>MAX(0,(GJ48+GJ49+GJ50+GJ51+GJ52+GJ53+GJ56+GJ57+GJ59+GJ60+GJ61+GJ62)-(GJ42+GJ46+GJ47+GJ54+GJ55))</f>
        <v>0</v>
      </c>
      <c r="GK66" s="2891"/>
      <c r="GL66" s="2891"/>
      <c r="GM66" s="2891"/>
      <c r="GN66" s="2891"/>
      <c r="GO66" s="2891"/>
      <c r="GP66" s="2891"/>
      <c r="GQ66" s="2891"/>
      <c r="GR66" s="2891"/>
      <c r="GS66" s="2891"/>
      <c r="GT66" s="2891"/>
      <c r="GU66" s="2891"/>
      <c r="GV66" s="2891"/>
      <c r="GW66" s="2610">
        <f>MAX(0,(GW48+GW49+GW50+GW51+GW52+GW53+GW56+GW57+GW59+GW60+GW61+GW62)-(GW42+GW46+GW47+GW54+GW55))</f>
        <v>0</v>
      </c>
      <c r="GX66" s="2610">
        <f>MAX(0,(GX48+GX49+GX50+GX51+GX52+GX53+GX56+GX57+GX59+GX60+GX61+GX62)-(GX42+GX46+GX47+GX54+GX55))</f>
        <v>0</v>
      </c>
      <c r="GY66" s="2891"/>
      <c r="GZ66" s="2891"/>
      <c r="HA66" s="2891"/>
      <c r="HB66" s="2610">
        <f>MAX(0,(HB48+HB49+HB50+HB51+HB52+HB53+HB56+HB57+HB59+HB60+HB61+HB62)-(HB42+HB46+HB47+HB54+HB55))</f>
        <v>0</v>
      </c>
      <c r="HC66" s="2891"/>
      <c r="HD66" s="2610">
        <f>MAX(0,(HD48+HD49+HD50+HD51+HD52+HD53+HD56+HD57+HD59+HD60+HD61+HD62)-(HD42+HD46+HD47+HD54+HD55))</f>
        <v>0</v>
      </c>
      <c r="HE66" s="2891"/>
      <c r="HF66" s="2610">
        <f>MAX(0,(HF48+HF49+HF50+HF51+HF52+HF53+HF56+HF57+HF59+HF60+HF61+HF62)-(HF42+HF46+HF47+HF54+HF55))</f>
        <v>0</v>
      </c>
      <c r="HG66" s="2610">
        <f>MAX(0,(HG48+HG49+HG50+HG51+HG52+HG53+HG56+HG57+HG59+HG60+HG61+HG62)-(HG42+HG46+HG47+HG54+HG55))</f>
        <v>0</v>
      </c>
      <c r="HH66" s="2891"/>
      <c r="HI66" s="2891"/>
      <c r="HJ66" s="2891"/>
      <c r="HK66" s="2891"/>
      <c r="HL66" s="2891"/>
      <c r="HM66" s="2891"/>
      <c r="HN66" s="2891"/>
      <c r="HO66" s="2891"/>
      <c r="HP66" s="2891"/>
      <c r="HQ66" s="2891"/>
      <c r="HR66" s="2891"/>
      <c r="HS66" s="2610">
        <f>MAX(0,(HS48+HS49+HS50+HS51+HS52+HS53+HS56+HS57+HS59+HS60+HS61+HS62)-(HS42+HS46+HS47+HS54+HS55))</f>
        <v>0</v>
      </c>
      <c r="HT66" s="2891"/>
      <c r="HU66" s="2891"/>
      <c r="HV66" s="2891"/>
      <c r="HW66" s="2891"/>
      <c r="HX66" s="2891"/>
      <c r="HY66" s="2891"/>
      <c r="HZ66" s="2891"/>
      <c r="IA66" s="2891"/>
      <c r="IB66" s="2891"/>
      <c r="IC66" s="2891"/>
      <c r="ID66" s="2891"/>
      <c r="IE66" s="2891"/>
      <c r="IF66" s="2891"/>
      <c r="IG66" s="2891"/>
      <c r="IH66" s="2891"/>
      <c r="II66" s="2891"/>
      <c r="IJ66" s="2891"/>
      <c r="IK66" s="2891"/>
      <c r="IL66" s="2891"/>
      <c r="IM66" s="2891"/>
      <c r="IN66" s="2891"/>
      <c r="IO66" s="2611">
        <f>MAX(0,(IO48+IO49+IO50+IO51+IO52+IO53+IO56+IO57+IO59+IO60+IO61+IO62)-(IO42+IO46+IO47+IO54+IO55))</f>
        <v>0</v>
      </c>
      <c r="IP66" s="3549">
        <f>MAX(0,(IP48+IP49+IP50+IP51+IP52+IP53+IP56+IP57+IP59+IP60+IP61+IP62)-(IP42+IP46+IP47+IP54+IP55))</f>
        <v>0</v>
      </c>
      <c r="IQ66" s="2891"/>
      <c r="IR66" s="2891"/>
      <c r="IS66" s="4012">
        <f>MAX(0,(IS48+IS49+IS50+IS51+IS52+IS53+IS56+IS57+IS59+IS60+IS61+IS62)-(IS42+IS46+IS47+IS54+IS55))</f>
        <v>0</v>
      </c>
      <c r="IT66" s="4006"/>
      <c r="IU66" s="4006"/>
      <c r="IV66" s="4006"/>
      <c r="IW66" s="4006"/>
      <c r="IX66" s="4006"/>
      <c r="IY66" s="4006"/>
      <c r="IZ66" s="2891"/>
      <c r="JA66" s="4006">
        <v>0</v>
      </c>
      <c r="JB66" s="4006">
        <v>0</v>
      </c>
      <c r="JC66" s="2891"/>
      <c r="JD66" s="2891"/>
      <c r="JE66" s="2891"/>
      <c r="JF66" s="2891"/>
      <c r="JG66" s="2620">
        <f>MAX(0,(JG48+JG49+JG50+JG51+JG52+JG53+JG56+JG57+JG59+JG60+JG61+JG62)-(JG42+JG46+JG47+JG54+JG55))</f>
        <v>0</v>
      </c>
      <c r="JH66" s="1233"/>
      <c r="JI66" s="1393" t="s">
        <v>5697</v>
      </c>
      <c r="JJ66" s="1686" t="s">
        <v>6124</v>
      </c>
    </row>
    <row r="67" spans="1:270" x14ac:dyDescent="0.2">
      <c r="A67" s="1128">
        <v>67</v>
      </c>
      <c r="B67" s="1534" t="str">
        <f si="2" t="shared"/>
        <v/>
      </c>
      <c r="C67" s="2021" t="s">
        <v>1653</v>
      </c>
      <c r="D67" s="2022" t="s">
        <v>5726</v>
      </c>
      <c r="E67" s="2519"/>
      <c r="F67" s="2518"/>
      <c r="G67" s="2519"/>
      <c r="H67" s="2519"/>
      <c r="I67" s="2519"/>
      <c r="J67" s="2519"/>
      <c r="K67" s="2519"/>
      <c r="L67" s="2519"/>
      <c r="M67" s="2518"/>
      <c r="N67" s="2519"/>
      <c r="O67" s="2518"/>
      <c r="P67" s="2519"/>
      <c r="Q67" s="2518"/>
      <c r="R67" s="2519"/>
      <c r="S67" s="2519"/>
      <c r="T67" s="2518"/>
      <c r="U67" s="2518"/>
      <c r="V67" s="2519"/>
      <c r="W67" s="2519"/>
      <c r="X67" s="2519"/>
      <c r="Y67" s="2519"/>
      <c r="Z67" s="2519"/>
      <c r="AA67" s="2518"/>
      <c r="AB67" s="2519"/>
      <c r="AC67" s="2518"/>
      <c r="AD67" s="2518"/>
      <c r="AE67" s="2518"/>
      <c r="AF67" s="2518"/>
      <c r="AG67" s="2518"/>
      <c r="AH67" s="2518"/>
      <c r="AI67" s="2519"/>
      <c r="AJ67" s="2518"/>
      <c r="AK67" s="2519"/>
      <c r="AL67" s="2519"/>
      <c r="AM67" s="2519"/>
      <c r="AN67" s="2519"/>
      <c r="AO67" s="2519"/>
      <c r="AP67" s="2519"/>
      <c r="AQ67" s="2519"/>
      <c r="AR67" s="2518"/>
      <c r="AS67" s="2519"/>
      <c r="AT67" s="2519"/>
      <c r="AU67" s="2519"/>
      <c r="AV67" s="2519"/>
      <c r="AW67" s="2518"/>
      <c r="AX67" s="2519"/>
      <c r="AY67" s="2518"/>
      <c r="AZ67" s="2518"/>
      <c r="BA67" s="2519"/>
      <c r="BB67" s="2519"/>
      <c r="BC67" s="2519"/>
      <c r="BD67" s="2518"/>
      <c r="BE67" s="2518"/>
      <c r="BF67" s="2518"/>
      <c r="BG67" s="2518"/>
      <c r="BH67" s="2518"/>
      <c r="BI67" s="3731"/>
      <c r="BJ67" s="2518"/>
      <c r="BK67" s="3731"/>
      <c r="BL67" s="2518"/>
      <c r="BM67" s="2518"/>
      <c r="BN67" s="2518"/>
      <c r="BO67" s="2518"/>
      <c r="BP67" s="2518"/>
      <c r="BQ67" s="2518"/>
      <c r="BR67" s="2518"/>
      <c r="BS67" s="2518"/>
      <c r="BT67" s="2518"/>
      <c r="BU67" s="2518"/>
      <c r="BV67" s="2518"/>
      <c r="BW67" s="2518"/>
      <c r="BX67" s="2518"/>
      <c r="BY67" s="2518"/>
      <c r="BZ67" s="2518"/>
      <c r="CA67" s="2518"/>
      <c r="CB67" s="2888"/>
      <c r="CC67" s="2518"/>
      <c r="CD67" s="2518"/>
      <c r="CE67" s="2888"/>
      <c r="CF67" s="2888"/>
      <c r="CG67" s="2888"/>
      <c r="CH67" s="2518"/>
      <c r="CI67" s="2518"/>
      <c r="CJ67" s="2888"/>
      <c r="CK67" s="2888"/>
      <c r="CL67" s="2888"/>
      <c r="CM67" s="2888"/>
      <c r="CN67" s="2888"/>
      <c r="CO67" s="2888"/>
      <c r="CP67" s="2888"/>
      <c r="CQ67" s="2518"/>
      <c r="CR67" s="2518"/>
      <c r="CS67" s="2518"/>
      <c r="CT67" s="2518"/>
      <c r="CU67" s="2888"/>
      <c r="CV67" s="2518">
        <v>2100</v>
      </c>
      <c r="CW67" s="2888"/>
      <c r="CX67" s="2888"/>
      <c r="CY67" s="2888"/>
      <c r="CZ67" s="2518"/>
      <c r="DA67" s="2518"/>
      <c r="DB67" s="3731"/>
      <c r="DC67" s="2518"/>
      <c r="DD67" s="2888"/>
      <c r="DE67" s="2888"/>
      <c r="DF67" s="2888"/>
      <c r="DG67" s="2888"/>
      <c r="DH67" s="2888"/>
      <c r="DI67" s="2518">
        <v>2100</v>
      </c>
      <c r="DJ67" s="2888"/>
      <c r="DK67" s="2888"/>
      <c r="DL67" s="2518">
        <v>2100</v>
      </c>
      <c r="DM67" s="2518"/>
      <c r="DN67" s="2888"/>
      <c r="DO67" s="2888"/>
      <c r="DP67" s="2888"/>
      <c r="DQ67" s="2888"/>
      <c r="DR67" s="2518"/>
      <c r="DS67" s="2888"/>
      <c r="DT67" s="2888"/>
      <c r="DU67" s="2888"/>
      <c r="DV67" s="2888"/>
      <c r="DW67" s="2888"/>
      <c r="DX67" s="2888"/>
      <c r="DY67" s="2888"/>
      <c r="DZ67" s="2888"/>
      <c r="EA67" s="2888"/>
      <c r="EB67" s="2888"/>
      <c r="EC67" s="2888"/>
      <c r="ED67" s="2888"/>
      <c r="EE67" s="2888"/>
      <c r="EF67" s="2888"/>
      <c r="EG67" s="2888"/>
      <c r="EH67" s="2888"/>
      <c r="EI67" s="2888"/>
      <c r="EJ67" s="2518"/>
      <c r="EK67" s="2888"/>
      <c r="EL67" s="2888"/>
      <c r="EM67" s="2888"/>
      <c r="EN67" s="2518"/>
      <c r="EO67" s="2888"/>
      <c r="EP67" s="2888"/>
      <c r="EQ67" s="2888"/>
      <c r="ER67" s="2888"/>
      <c r="ES67" s="2888"/>
      <c r="ET67" s="2888"/>
      <c r="EU67" s="2518"/>
      <c r="EV67" s="2888"/>
      <c r="EW67" s="2888"/>
      <c r="EX67" s="2888"/>
      <c r="EY67" s="2888"/>
      <c r="EZ67" s="2888"/>
      <c r="FA67" s="2888"/>
      <c r="FB67" s="2888"/>
      <c r="FC67" s="2888"/>
      <c r="FD67" s="2888"/>
      <c r="FE67" s="2888"/>
      <c r="FF67" s="2518"/>
      <c r="FG67" s="2888"/>
      <c r="FH67" s="2888"/>
      <c r="FI67" s="2888"/>
      <c r="FJ67" s="2888"/>
      <c r="FK67" s="2888"/>
      <c r="FL67" s="2888"/>
      <c r="FM67" s="2888"/>
      <c r="FN67" s="2888"/>
      <c r="FO67" s="2888"/>
      <c r="FP67" s="2888"/>
      <c r="FQ67" s="2888"/>
      <c r="FR67" s="2888"/>
      <c r="FS67" s="2888"/>
      <c r="FT67" s="2518"/>
      <c r="FU67" s="2518"/>
      <c r="FV67" s="2518"/>
      <c r="FW67" s="2888"/>
      <c r="FX67" s="2518"/>
      <c r="FY67" s="2888"/>
      <c r="FZ67" s="2888"/>
      <c r="GA67" s="2888"/>
      <c r="GB67" s="2888"/>
      <c r="GC67" s="2888"/>
      <c r="GD67" s="2888"/>
      <c r="GE67" s="2518"/>
      <c r="GF67" s="2518"/>
      <c r="GG67" s="2518"/>
      <c r="GH67" s="2888"/>
      <c r="GI67" s="2888"/>
      <c r="GJ67" s="2518"/>
      <c r="GK67" s="2888"/>
      <c r="GL67" s="2888"/>
      <c r="GM67" s="2888"/>
      <c r="GN67" s="2888"/>
      <c r="GO67" s="2888"/>
      <c r="GP67" s="2888"/>
      <c r="GQ67" s="2888"/>
      <c r="GR67" s="2888"/>
      <c r="GS67" s="2888"/>
      <c r="GT67" s="2888"/>
      <c r="GU67" s="2888"/>
      <c r="GV67" s="2888"/>
      <c r="GW67" s="2518"/>
      <c r="GX67" s="2518"/>
      <c r="GY67" s="2888"/>
      <c r="GZ67" s="2888"/>
      <c r="HA67" s="2888"/>
      <c r="HB67" s="2518">
        <v>2100</v>
      </c>
      <c r="HC67" s="2888"/>
      <c r="HD67" s="2518"/>
      <c r="HE67" s="2888"/>
      <c r="HF67" s="2518"/>
      <c r="HG67" s="2518"/>
      <c r="HH67" s="2888"/>
      <c r="HI67" s="2888"/>
      <c r="HJ67" s="2888"/>
      <c r="HK67" s="2888"/>
      <c r="HL67" s="2888"/>
      <c r="HM67" s="2888"/>
      <c r="HN67" s="2888"/>
      <c r="HO67" s="2888"/>
      <c r="HP67" s="2888"/>
      <c r="HQ67" s="2888"/>
      <c r="HR67" s="2888"/>
      <c r="HS67" s="2518"/>
      <c r="HT67" s="2888"/>
      <c r="HU67" s="2888"/>
      <c r="HV67" s="2888"/>
      <c r="HW67" s="2888"/>
      <c r="HX67" s="2888"/>
      <c r="HY67" s="2888"/>
      <c r="HZ67" s="2888"/>
      <c r="IA67" s="2888"/>
      <c r="IB67" s="2888"/>
      <c r="IC67" s="2888"/>
      <c r="ID67" s="2888"/>
      <c r="IE67" s="2888"/>
      <c r="IF67" s="2888"/>
      <c r="IG67" s="2888"/>
      <c r="IH67" s="2888"/>
      <c r="II67" s="2888"/>
      <c r="IJ67" s="2888"/>
      <c r="IK67" s="2888"/>
      <c r="IL67" s="2888"/>
      <c r="IM67" s="2888"/>
      <c r="IN67" s="2888"/>
      <c r="IO67" s="2518"/>
      <c r="IP67" s="2888"/>
      <c r="IQ67" s="2888"/>
      <c r="IR67" s="2888"/>
      <c r="IS67" s="4011"/>
      <c r="IT67" s="4004"/>
      <c r="IU67" s="4004"/>
      <c r="IV67" s="4004"/>
      <c r="IW67" s="4004"/>
      <c r="IX67" s="4004"/>
      <c r="IY67" s="4004"/>
      <c r="IZ67" s="2888"/>
      <c r="JA67" s="4004"/>
      <c r="JB67" s="4004"/>
      <c r="JC67" s="2888"/>
      <c r="JD67" s="2888"/>
      <c r="JE67" s="2888"/>
      <c r="JF67" s="2888"/>
      <c r="JG67" s="2616"/>
      <c r="JH67" s="1233"/>
      <c r="JI67" s="2020" t="s">
        <v>6572</v>
      </c>
      <c r="JJ67" s="1686" t="s">
        <v>6108</v>
      </c>
    </row>
    <row r="68" spans="1:270" x14ac:dyDescent="0.2">
      <c r="A68" s="1128">
        <v>68</v>
      </c>
      <c r="B68" s="1534" t="str">
        <f si="2" t="shared"/>
        <v/>
      </c>
      <c r="C68" s="1840" t="s">
        <v>1654</v>
      </c>
      <c r="D68" s="2022" t="s">
        <v>5727</v>
      </c>
      <c r="E68" s="2511"/>
      <c r="F68" s="2589">
        <f>MAX(0,(F64-F63)+(F66-F67))</f>
        <v>0</v>
      </c>
      <c r="G68" s="2511"/>
      <c r="H68" s="2511"/>
      <c r="I68" s="2511"/>
      <c r="J68" s="2511"/>
      <c r="K68" s="2511"/>
      <c r="L68" s="2511"/>
      <c r="M68" s="2589">
        <f>MAX(0,(M64-M63)+(M66-M67))</f>
        <v>0</v>
      </c>
      <c r="N68" s="2511"/>
      <c r="O68" s="2589">
        <f>MAX(0,(O64-O63)+(O66-O67))</f>
        <v>0</v>
      </c>
      <c r="P68" s="2511"/>
      <c r="Q68" s="2589">
        <f>MAX(0,(Q64-Q63)+(Q66-Q67))</f>
        <v>0</v>
      </c>
      <c r="R68" s="2511"/>
      <c r="S68" s="2511"/>
      <c r="T68" s="2621">
        <f>MAX(0,(T64-T63)+(T66-T67))</f>
        <v>0</v>
      </c>
      <c r="U68" s="2589">
        <f>MAX(0,(U64-U63)+(U66-U67))</f>
        <v>0</v>
      </c>
      <c r="V68" s="2511"/>
      <c r="W68" s="2511"/>
      <c r="X68" s="2511"/>
      <c r="Y68" s="2511"/>
      <c r="Z68" s="2511"/>
      <c r="AA68" s="2589">
        <f>MAX(0,(AA64-AA63)+(AA66-AA67))</f>
        <v>0</v>
      </c>
      <c r="AB68" s="2511"/>
      <c r="AC68" s="2589">
        <f>MAX(0,(AC64-AC63)+(AC66-AC67))</f>
        <v>0</v>
      </c>
      <c r="AD68" s="2589"/>
      <c r="AE68" s="3547">
        <f>MAX(0,(AE64-AE63)+(AE66-AE67))</f>
        <v>0</v>
      </c>
      <c r="AF68" s="2589"/>
      <c r="AG68" s="2589"/>
      <c r="AH68" s="2589"/>
      <c r="AI68" s="2511"/>
      <c r="AJ68" s="2511">
        <f>MAX(0,(AJ64-AJ63)+(AJ66-AJ67))</f>
        <v>0</v>
      </c>
      <c r="AK68" s="2511"/>
      <c r="AL68" s="2511"/>
      <c r="AM68" s="2511"/>
      <c r="AN68" s="2511"/>
      <c r="AO68" s="2511"/>
      <c r="AP68" s="2511"/>
      <c r="AQ68" s="2511"/>
      <c r="AR68" s="2589">
        <f>MAX(0,(AR64-AR63)+(AR66-AR67))</f>
        <v>0</v>
      </c>
      <c r="AS68" s="2511"/>
      <c r="AT68" s="2511"/>
      <c r="AU68" s="2511"/>
      <c r="AV68" s="2511"/>
      <c r="AW68" s="2589">
        <f>MAX(0,(AW64-AW63)+(AW66-AW67))</f>
        <v>0</v>
      </c>
      <c r="AX68" s="2511"/>
      <c r="AY68" s="2589">
        <f>MAX(0,(AY64-AY63)+(AY66-AY67))</f>
        <v>0</v>
      </c>
      <c r="AZ68" s="2589">
        <f>MAX(0,(AZ64-AZ63)+(AZ66-AZ67))</f>
        <v>0</v>
      </c>
      <c r="BA68" s="2511"/>
      <c r="BB68" s="2511"/>
      <c r="BC68" s="2511"/>
      <c r="BD68" s="2589">
        <f>MAX(0,(BD64-BD63)+(BD66-BD67))</f>
        <v>0</v>
      </c>
      <c r="BE68" s="2621"/>
      <c r="BF68" s="2621"/>
      <c r="BG68" s="2589">
        <f>MAX(0,(BG64-BG63)+(BG66-BG67))</f>
        <v>0</v>
      </c>
      <c r="BH68" s="2621"/>
      <c r="BI68" s="3728"/>
      <c r="BJ68" s="2621"/>
      <c r="BK68" s="3728">
        <f>MAX(0,(BK64-BK63)+(BK66-BK67))</f>
        <v>0</v>
      </c>
      <c r="BL68" s="2621"/>
      <c r="BM68" s="2621"/>
      <c r="BN68" s="2621"/>
      <c r="BO68" s="2621"/>
      <c r="BP68" s="2621"/>
      <c r="BQ68" s="2621"/>
      <c r="BR68" s="2621"/>
      <c r="BS68" s="2621"/>
      <c r="BT68" s="2589">
        <f>MAX(0,(BT64-BT63)+(BT66-BT67))</f>
        <v>0</v>
      </c>
      <c r="BU68" s="2621"/>
      <c r="BV68" s="2589">
        <f>MAX(0,(BV64-BV63)+(BV66-BV67))</f>
        <v>0</v>
      </c>
      <c r="BW68" s="2621"/>
      <c r="BX68" s="2589">
        <f>MAX(0,(BX64-BX63)+(BX66-BX67))</f>
        <v>0</v>
      </c>
      <c r="BY68" s="2621"/>
      <c r="BZ68" s="2621"/>
      <c r="CA68" s="2621"/>
      <c r="CB68" s="2892"/>
      <c r="CC68" s="2589">
        <f>MAX(0,(CC64-CC63)+(CC66-CC67))</f>
        <v>0</v>
      </c>
      <c r="CD68" s="2589">
        <f>MAX(0,(CD64-CD63)+(CD66-CD67))</f>
        <v>0</v>
      </c>
      <c r="CE68" s="2892"/>
      <c r="CF68" s="2892"/>
      <c r="CG68" s="2892"/>
      <c r="CH68" s="2589">
        <f>MAX(0,(CH64-CH63)+(CH66-CH67))</f>
        <v>0</v>
      </c>
      <c r="CI68" s="2589">
        <f>MAX(0,(CI64-CI63)+(CI66-CI67))</f>
        <v>0</v>
      </c>
      <c r="CJ68" s="2892"/>
      <c r="CK68" s="2892"/>
      <c r="CL68" s="2892"/>
      <c r="CM68" s="2892"/>
      <c r="CN68" s="2892"/>
      <c r="CO68" s="2892"/>
      <c r="CP68" s="2892"/>
      <c r="CQ68" s="2589">
        <f>MAX(0,(CQ64-CQ63)+(CQ66-CQ67))</f>
        <v>0</v>
      </c>
      <c r="CR68" s="2589">
        <f>MAX(0,(CR64-CR63)+(CR66-CR67))</f>
        <v>0</v>
      </c>
      <c r="CS68" s="2589">
        <f>MAX(0,(CS64-CS63)+(CS66-CS67))</f>
        <v>0</v>
      </c>
      <c r="CT68" s="2589">
        <f>MAX(0,(CT64-CT63)+(CT66-CT67))</f>
        <v>0</v>
      </c>
      <c r="CU68" s="2892"/>
      <c r="CV68" s="2589">
        <f>MAX(0,(CV64-CV63)+(CV66-CV67))</f>
        <v>1784</v>
      </c>
      <c r="CW68" s="2892"/>
      <c r="CX68" s="2892"/>
      <c r="CY68" s="2892"/>
      <c r="CZ68" s="2589">
        <f>MAX(0,(CZ64-CZ63)+(CZ66-CZ67))</f>
        <v>0</v>
      </c>
      <c r="DA68" s="2589">
        <f>MAX(0,(DA64-DA63)+(DA66-DA67))</f>
        <v>0</v>
      </c>
      <c r="DB68" s="3728">
        <f>MAX(0,(DB64-DB63)+(DB66-DB67))</f>
        <v>0</v>
      </c>
      <c r="DC68" s="2589">
        <f>MAX(0,(DC64-DC63)+(DC66-DC67))</f>
        <v>0</v>
      </c>
      <c r="DD68" s="2892"/>
      <c r="DE68" s="2892"/>
      <c r="DF68" s="2892"/>
      <c r="DG68" s="2892"/>
      <c r="DH68" s="2892"/>
      <c r="DI68" s="2589">
        <f>MAX(0,(DI64-DI63)+(DI66-DI67))</f>
        <v>1784</v>
      </c>
      <c r="DJ68" s="2892"/>
      <c r="DK68" s="2892"/>
      <c r="DL68" s="2589">
        <f>MAX(0,(DL64-DL63)+(DL66-DL67))</f>
        <v>1784</v>
      </c>
      <c r="DM68" s="2589">
        <f>MAX(0,(DM64-DM63)+(DM66-DM67))</f>
        <v>0</v>
      </c>
      <c r="DN68" s="2892"/>
      <c r="DO68" s="2892"/>
      <c r="DP68" s="2892"/>
      <c r="DQ68" s="2892"/>
      <c r="DR68" s="2589">
        <f>MAX(0,(DR64-DR63)+(DR66-DR67))</f>
        <v>0</v>
      </c>
      <c r="DS68" s="2892"/>
      <c r="DT68" s="2892"/>
      <c r="DU68" s="2892"/>
      <c r="DV68" s="2892"/>
      <c r="DW68" s="2892">
        <f>MAX(0,(DW64-DW63)+(DW66-DW67))</f>
        <v>0</v>
      </c>
      <c r="DX68" s="2892"/>
      <c r="DY68" s="2892"/>
      <c r="DZ68" s="2892"/>
      <c r="EA68" s="2892"/>
      <c r="EB68" s="2892"/>
      <c r="EC68" s="2892"/>
      <c r="ED68" s="2892"/>
      <c r="EE68" s="2892"/>
      <c r="EF68" s="2892"/>
      <c r="EG68" s="2892"/>
      <c r="EH68" s="2892"/>
      <c r="EI68" s="2892"/>
      <c r="EJ68" s="2589">
        <f>MAX(0,(EJ64-EJ63)+(EJ66-EJ67))</f>
        <v>0</v>
      </c>
      <c r="EK68" s="2892"/>
      <c r="EL68" s="2892"/>
      <c r="EM68" s="2892"/>
      <c r="EN68" s="2589">
        <f>MAX(0,(EN64-EN63)+(EN66-EN67))</f>
        <v>0</v>
      </c>
      <c r="EO68" s="2892"/>
      <c r="EP68" s="2892"/>
      <c r="EQ68" s="2892"/>
      <c r="ER68" s="2892"/>
      <c r="ES68" s="2892"/>
      <c r="ET68" s="2892"/>
      <c r="EU68" s="2589">
        <f>MAX(0,(EU64-EU63)+(EU66-EU67))</f>
        <v>0</v>
      </c>
      <c r="EV68" s="2892"/>
      <c r="EW68" s="2892"/>
      <c r="EX68" s="2892"/>
      <c r="EY68" s="2892"/>
      <c r="EZ68" s="2892"/>
      <c r="FA68" s="2892"/>
      <c r="FB68" s="2892"/>
      <c r="FC68" s="2892"/>
      <c r="FD68" s="2892"/>
      <c r="FE68" s="2892"/>
      <c r="FF68" s="2589">
        <f>MAX(0,(FF64-FF63)+(FF66-FF67))</f>
        <v>0</v>
      </c>
      <c r="FG68" s="2892"/>
      <c r="FH68" s="2892"/>
      <c r="FI68" s="2892"/>
      <c r="FJ68" s="2892"/>
      <c r="FK68" s="2892"/>
      <c r="FL68" s="2892"/>
      <c r="FM68" s="2892"/>
      <c r="FN68" s="2892"/>
      <c r="FO68" s="2892"/>
      <c r="FP68" s="2892"/>
      <c r="FQ68" s="2892"/>
      <c r="FR68" s="2892"/>
      <c r="FS68" s="2892"/>
      <c r="FT68" s="2589">
        <f>MAX(0,(FT64-FT63)+(FT66-FT67))</f>
        <v>0</v>
      </c>
      <c r="FU68" s="2589">
        <f>MAX(0,(FU64-FU63)+(FU66-FU67))</f>
        <v>0</v>
      </c>
      <c r="FV68" s="2589">
        <f>MAX(0,(FV64-FV63)+(FV66-FV67))</f>
        <v>0</v>
      </c>
      <c r="FW68" s="2892"/>
      <c r="FX68" s="2589">
        <f>MAX(0,(FX64-FX63)+(FX66-FX67))</f>
        <v>0</v>
      </c>
      <c r="FY68" s="2892"/>
      <c r="FZ68" s="2892"/>
      <c r="GA68" s="2892"/>
      <c r="GB68" s="2892"/>
      <c r="GC68" s="2892"/>
      <c r="GD68" s="2892"/>
      <c r="GE68" s="2589">
        <f>MAX(0,(GE64-GE63)+(GE66-GE67))</f>
        <v>0</v>
      </c>
      <c r="GF68" s="2589">
        <f>MAX(0,(GF64-GF63)+(GF66-GF67))</f>
        <v>0</v>
      </c>
      <c r="GG68" s="2589">
        <f>MAX(0,(GG64-GG63)+(GG66-GG67))</f>
        <v>0</v>
      </c>
      <c r="GH68" s="2892"/>
      <c r="GI68" s="2892"/>
      <c r="GJ68" s="2589">
        <f>MAX(0,(GJ64-GJ63)+(GJ66-GJ67))</f>
        <v>0</v>
      </c>
      <c r="GK68" s="2892"/>
      <c r="GL68" s="2892"/>
      <c r="GM68" s="2892"/>
      <c r="GN68" s="2892"/>
      <c r="GO68" s="2892"/>
      <c r="GP68" s="2892"/>
      <c r="GQ68" s="2892"/>
      <c r="GR68" s="2892"/>
      <c r="GS68" s="2892"/>
      <c r="GT68" s="2892"/>
      <c r="GU68" s="2892"/>
      <c r="GV68" s="2892"/>
      <c r="GW68" s="2589">
        <f>MAX(0,(GW64-GW63)+(GW66-GW67))</f>
        <v>0</v>
      </c>
      <c r="GX68" s="2589">
        <f>MAX(0,(GX64-GX63)+(GX66-GX67))</f>
        <v>0</v>
      </c>
      <c r="GY68" s="2892"/>
      <c r="GZ68" s="2892"/>
      <c r="HA68" s="2892"/>
      <c r="HB68" s="2589">
        <f>MAX(0,(HB64-HB63)+(HB66-HB67))</f>
        <v>0</v>
      </c>
      <c r="HC68" s="2892"/>
      <c r="HD68" s="2621">
        <f>MAX(0,(HD64-HD63)+(HD66-HD67))</f>
        <v>0</v>
      </c>
      <c r="HE68" s="2892"/>
      <c r="HF68" s="2589">
        <f>MAX(0,(HF64-HF63)+(HF66-HF67))</f>
        <v>0</v>
      </c>
      <c r="HG68" s="2589">
        <f>MAX(0,(HG64-HG63)+(HG66-HG67))</f>
        <v>0</v>
      </c>
      <c r="HH68" s="2892"/>
      <c r="HI68" s="2892"/>
      <c r="HJ68" s="2892"/>
      <c r="HK68" s="2892"/>
      <c r="HL68" s="2892"/>
      <c r="HM68" s="2892"/>
      <c r="HN68" s="2892"/>
      <c r="HO68" s="2892"/>
      <c r="HP68" s="2892"/>
      <c r="HQ68" s="2892"/>
      <c r="HR68" s="2892"/>
      <c r="HS68" s="2589">
        <f>MAX(0,(HS64-HS63)+(HS66-HS67))</f>
        <v>0</v>
      </c>
      <c r="HT68" s="2892"/>
      <c r="HU68" s="2892"/>
      <c r="HV68" s="2892"/>
      <c r="HW68" s="2892"/>
      <c r="HX68" s="2892"/>
      <c r="HY68" s="2892"/>
      <c r="HZ68" s="2892"/>
      <c r="IA68" s="2892"/>
      <c r="IB68" s="2892"/>
      <c r="IC68" s="2892"/>
      <c r="ID68" s="2892"/>
      <c r="IE68" s="2892"/>
      <c r="IF68" s="2892"/>
      <c r="IG68" s="2892"/>
      <c r="IH68" s="2892"/>
      <c r="II68" s="2892"/>
      <c r="IJ68" s="2892"/>
      <c r="IK68" s="2892"/>
      <c r="IL68" s="2892"/>
      <c r="IM68" s="2892"/>
      <c r="IN68" s="2892"/>
      <c r="IO68" s="2621">
        <f>MAX(0,(IO64-IO63)+(IO66-IO67))</f>
        <v>0</v>
      </c>
      <c r="IP68" s="3547">
        <f>MAX(0,(IP64-IP63)+(IP66-IP67))</f>
        <v>0</v>
      </c>
      <c r="IQ68" s="2892"/>
      <c r="IR68" s="2892"/>
      <c r="IS68" s="4009">
        <f>MAX(0,(IS64-IS63)+(IS66-IS67))</f>
        <v>0</v>
      </c>
      <c r="IT68" s="3998"/>
      <c r="IU68" s="3998">
        <v>153921</v>
      </c>
      <c r="IV68" s="3998"/>
      <c r="IW68" s="3998"/>
      <c r="IX68" s="3998"/>
      <c r="IY68" s="3998"/>
      <c r="IZ68" s="2892"/>
      <c r="JA68" s="3998">
        <v>0</v>
      </c>
      <c r="JB68" s="3998">
        <v>0</v>
      </c>
      <c r="JC68" s="2892"/>
      <c r="JD68" s="2892"/>
      <c r="JE68" s="2892"/>
      <c r="JF68" s="2892"/>
      <c r="JG68" s="2622">
        <f>MAX(0,(JG64-JG63)+(JG66-JG67))</f>
        <v>0</v>
      </c>
      <c r="JH68" s="1233"/>
      <c r="JI68" s="1393"/>
      <c r="JJ68" s="1686" t="s">
        <v>6124</v>
      </c>
    </row>
    <row ht="33.75" r="69" spans="1:270" x14ac:dyDescent="0.2">
      <c r="A69" s="1128">
        <v>69</v>
      </c>
      <c r="B69" s="1534" t="str">
        <f si="2" t="shared"/>
        <v/>
      </c>
      <c r="C69" s="2256" t="s">
        <v>6252</v>
      </c>
      <c r="D69" s="4079" t="s">
        <v>8518</v>
      </c>
      <c r="E69" s="2519"/>
      <c r="F69" s="2519">
        <v>700</v>
      </c>
      <c r="K69" s="2519"/>
      <c r="L69" s="2519"/>
      <c r="M69" s="2519">
        <v>500</v>
      </c>
      <c r="N69" s="2519"/>
      <c r="O69" s="2519">
        <v>625</v>
      </c>
      <c r="P69" s="2519"/>
      <c r="Q69" s="2519"/>
      <c r="R69" s="2519"/>
      <c r="S69" s="2519"/>
      <c r="T69" s="2519">
        <v>28900</v>
      </c>
      <c r="U69" s="2519">
        <v>4000</v>
      </c>
      <c r="V69" s="2519"/>
      <c r="W69" s="2519"/>
      <c r="X69" s="2519"/>
      <c r="Y69" s="2519"/>
      <c r="Z69" s="2519"/>
      <c r="AA69" s="2519"/>
      <c r="AB69" s="2519"/>
      <c r="AC69" s="2519">
        <v>5000</v>
      </c>
      <c r="AD69" s="2519"/>
      <c r="AE69" s="3731"/>
      <c r="AF69" s="2519"/>
      <c r="AG69" s="2519"/>
      <c r="AH69" s="2519"/>
      <c r="AI69" s="2519"/>
      <c r="AJ69" s="2932"/>
      <c r="AK69" s="2519"/>
      <c r="AL69" s="2519"/>
      <c r="AM69" s="2519"/>
      <c r="AN69" s="2519"/>
      <c r="AO69" s="2519"/>
      <c r="AP69" s="2519"/>
      <c r="AQ69" s="2519"/>
      <c r="AR69" s="2519">
        <v>266.66666666666669</v>
      </c>
      <c r="AS69" s="2519"/>
      <c r="AT69" s="2519"/>
      <c r="AU69" s="2519"/>
      <c r="AV69" s="2519"/>
      <c r="AW69" s="2519">
        <v>500</v>
      </c>
      <c r="AX69" s="2519"/>
      <c r="AY69" s="2519">
        <v>500</v>
      </c>
      <c r="AZ69" s="2519">
        <v>500</v>
      </c>
      <c r="BA69" s="2519"/>
      <c r="BB69" s="2519"/>
      <c r="BC69" s="2519"/>
      <c r="BD69" s="2688"/>
      <c r="BE69" s="2519"/>
      <c r="BF69" s="2519"/>
      <c r="BG69" s="2688"/>
      <c r="BH69" s="2519"/>
      <c r="BI69" s="3731"/>
      <c r="BJ69" s="2519"/>
      <c r="BK69" s="3977"/>
      <c r="BL69" s="2519"/>
      <c r="BM69" s="2519"/>
      <c r="BN69" s="2519"/>
      <c r="BO69" s="2519"/>
      <c r="BP69" s="2519"/>
      <c r="BQ69" s="2519"/>
      <c r="BR69" s="2519"/>
      <c r="BS69" s="2519"/>
      <c r="BT69" s="2688"/>
      <c r="BU69" s="2519"/>
      <c r="BV69" s="2688"/>
      <c r="BW69" s="2519"/>
      <c r="BX69" s="2519">
        <v>486.66666666666669</v>
      </c>
      <c r="BY69" s="2519"/>
      <c r="BZ69" s="2519"/>
      <c r="CA69" s="2519"/>
      <c r="CB69" s="2893"/>
      <c r="CC69" s="2519">
        <v>500</v>
      </c>
      <c r="CD69" s="2688"/>
      <c r="CE69" s="2893"/>
      <c r="CF69" s="2893"/>
      <c r="CG69" s="2893"/>
      <c r="CH69" s="2688"/>
      <c r="CI69" s="2519">
        <v>486.66666666666669</v>
      </c>
      <c r="CJ69" s="2893"/>
      <c r="CK69" s="2893"/>
      <c r="CL69" s="2893"/>
      <c r="CM69" s="2893"/>
      <c r="CN69" s="2893"/>
      <c r="CO69" s="2893"/>
      <c r="CP69" s="2893"/>
      <c r="CQ69" s="2519">
        <v>486.66666666666669</v>
      </c>
      <c r="CR69" s="2519"/>
      <c r="CS69" s="2519"/>
      <c r="CT69" s="2688"/>
      <c r="CU69" s="2893"/>
      <c r="CV69" s="2519">
        <v>9722.6666666666661</v>
      </c>
      <c r="CW69" s="2893"/>
      <c r="CX69" s="2893"/>
      <c r="CY69" s="2893"/>
      <c r="CZ69" s="2519">
        <v>500</v>
      </c>
      <c r="DA69" s="2519">
        <v>500</v>
      </c>
      <c r="DB69" s="3731"/>
      <c r="DC69" s="2519">
        <v>486.66666666666669</v>
      </c>
      <c r="DD69" s="2893"/>
      <c r="DE69" s="2893"/>
      <c r="DF69" s="2893"/>
      <c r="DG69" s="2893"/>
      <c r="DH69" s="2893"/>
      <c r="DI69" s="2519">
        <v>9722.6666666666661</v>
      </c>
      <c r="DJ69" s="2893"/>
      <c r="DK69" s="2893"/>
      <c r="DL69" s="2519">
        <v>9722.6666666666661</v>
      </c>
      <c r="DM69" s="2519">
        <v>486.66666666666669</v>
      </c>
      <c r="DN69" s="2893"/>
      <c r="DO69" s="2893"/>
      <c r="DP69" s="2893"/>
      <c r="DQ69" s="2893"/>
      <c r="DR69" s="2519">
        <v>500</v>
      </c>
      <c r="DS69" s="2893"/>
      <c r="DT69" s="2893"/>
      <c r="DU69" s="2893"/>
      <c r="DV69" s="2893"/>
      <c r="DW69" s="2893">
        <v>450</v>
      </c>
      <c r="DX69" s="2893"/>
      <c r="DY69" s="2893"/>
      <c r="DZ69" s="2893"/>
      <c r="EA69" s="2893"/>
      <c r="EB69" s="2893"/>
      <c r="EC69" s="2893"/>
      <c r="ED69" s="2893"/>
      <c r="EE69" s="2893"/>
      <c r="EF69" s="2893"/>
      <c r="EG69" s="2893"/>
      <c r="EH69" s="2893"/>
      <c r="EI69" s="2893"/>
      <c r="EJ69" s="2519"/>
      <c r="EK69" s="2893"/>
      <c r="EL69" s="2893"/>
      <c r="EM69" s="2893"/>
      <c r="EN69" s="2519">
        <v>500</v>
      </c>
      <c r="EO69" s="2893"/>
      <c r="EP69" s="2893"/>
      <c r="EQ69" s="2893"/>
      <c r="ER69" s="2893"/>
      <c r="ES69" s="2893"/>
      <c r="ET69" s="2893"/>
      <c r="EU69" s="2519"/>
      <c r="EV69" s="2893"/>
      <c r="EW69" s="2893"/>
      <c r="EX69" s="2893"/>
      <c r="EY69" s="2893"/>
      <c r="EZ69" s="2893"/>
      <c r="FA69" s="2893"/>
      <c r="FB69" s="2893"/>
      <c r="FC69" s="2893"/>
      <c r="FD69" s="2893"/>
      <c r="FE69" s="2893"/>
      <c r="FF69" s="2688"/>
      <c r="FG69" s="2893"/>
      <c r="FH69" s="2893"/>
      <c r="FI69" s="2893"/>
      <c r="FJ69" s="2893"/>
      <c r="FK69" s="2893"/>
      <c r="FL69" s="2893"/>
      <c r="FM69" s="2893"/>
      <c r="FN69" s="2893"/>
      <c r="FO69" s="2893"/>
      <c r="FP69" s="2893"/>
      <c r="FQ69" s="2893"/>
      <c r="FR69" s="2893"/>
      <c r="FS69" s="2893"/>
      <c r="FT69" s="2519">
        <v>500</v>
      </c>
      <c r="FU69" s="2519">
        <v>500</v>
      </c>
      <c r="FV69" s="2688"/>
      <c r="FW69" s="2893"/>
      <c r="FX69" s="2519"/>
      <c r="FY69" s="2893"/>
      <c r="FZ69" s="2893"/>
      <c r="GA69" s="2893"/>
      <c r="GB69" s="2893"/>
      <c r="GC69" s="2893"/>
      <c r="GD69" s="2893"/>
      <c r="GE69" s="2519"/>
      <c r="GF69" s="2519"/>
      <c r="GG69" s="2519"/>
      <c r="GH69" s="2893"/>
      <c r="GI69" s="2893"/>
      <c r="GJ69" s="2519"/>
      <c r="GK69" s="2893"/>
      <c r="GL69" s="2893"/>
      <c r="GM69" s="2893"/>
      <c r="GN69" s="2893"/>
      <c r="GO69" s="2893"/>
      <c r="GP69" s="2893"/>
      <c r="GQ69" s="2893"/>
      <c r="GR69" s="2893"/>
      <c r="GS69" s="2893"/>
      <c r="GT69" s="2893"/>
      <c r="GU69" s="2893"/>
      <c r="GV69" s="2893"/>
      <c r="GW69" s="2519"/>
      <c r="GX69" s="2519">
        <v>486.66666666666669</v>
      </c>
      <c r="GY69" s="2893"/>
      <c r="GZ69" s="2893"/>
      <c r="HA69" s="2893"/>
      <c r="HB69" s="2519">
        <v>9722.6666666666661</v>
      </c>
      <c r="HC69" s="2893"/>
      <c r="HD69" s="2519"/>
      <c r="HE69" s="2893"/>
      <c r="HF69" s="2688"/>
      <c r="HG69" s="2688"/>
      <c r="HH69" s="2893"/>
      <c r="HI69" s="2893"/>
      <c r="HJ69" s="2893"/>
      <c r="HK69" s="2893"/>
      <c r="HL69" s="2893"/>
      <c r="HM69" s="2893"/>
      <c r="HN69" s="2893"/>
      <c r="HO69" s="2893"/>
      <c r="HP69" s="2893"/>
      <c r="HQ69" s="2893"/>
      <c r="HR69" s="2893"/>
      <c r="HS69" s="2688"/>
      <c r="HT69" s="2893"/>
      <c r="HU69" s="2893"/>
      <c r="HV69" s="2893"/>
      <c r="HW69" s="2893"/>
      <c r="HX69" s="2893"/>
      <c r="HY69" s="2893"/>
      <c r="HZ69" s="2893"/>
      <c r="IA69" s="2893"/>
      <c r="IB69" s="2893"/>
      <c r="IC69" s="2893"/>
      <c r="ID69" s="2893"/>
      <c r="IE69" s="2893"/>
      <c r="IF69" s="2893"/>
      <c r="IG69" s="2893"/>
      <c r="IH69" s="2893"/>
      <c r="II69" s="2893"/>
      <c r="IJ69" s="2893"/>
      <c r="IK69" s="2893"/>
      <c r="IL69" s="2893"/>
      <c r="IM69" s="2893"/>
      <c r="IN69" s="2893"/>
      <c r="IO69" s="2519"/>
      <c r="IP69" s="2893"/>
      <c r="IQ69" s="2893"/>
      <c r="IR69" s="2893"/>
      <c r="IS69" s="4013"/>
      <c r="IT69" s="4004">
        <v>25068</v>
      </c>
      <c r="IU69" s="4004">
        <v>4739</v>
      </c>
      <c r="IV69" s="4004"/>
      <c r="IW69" s="4004"/>
      <c r="IX69" s="4004"/>
      <c r="IY69" s="4004"/>
      <c r="IZ69" s="2893"/>
      <c r="JA69" s="4004">
        <v>514</v>
      </c>
      <c r="JB69" s="4004"/>
      <c r="JC69" s="2893"/>
      <c r="JD69" s="2893"/>
      <c r="JE69" s="2893"/>
      <c r="JF69" s="2893"/>
      <c r="JG69" s="2618"/>
      <c r="JH69" s="1233"/>
      <c r="JI69" s="3100" t="s">
        <v>7297</v>
      </c>
      <c r="JJ69" s="2255" t="s">
        <v>6108</v>
      </c>
    </row>
    <row ht="26.25" r="70" spans="1:270" thickBot="1" x14ac:dyDescent="0.25">
      <c r="A70" s="1128">
        <v>70</v>
      </c>
      <c r="B70" s="1534" t="str">
        <f si="2" t="shared"/>
        <v/>
      </c>
      <c r="C70" s="1840" t="s">
        <v>6876</v>
      </c>
      <c r="D70" s="2022"/>
      <c r="E70" s="2511"/>
      <c r="F70" s="2589">
        <v>50</v>
      </c>
      <c r="G70" s="2511"/>
      <c r="H70" s="2511"/>
      <c r="I70" s="2511"/>
      <c r="J70" s="2511"/>
      <c r="K70" s="2511"/>
      <c r="L70" s="2511"/>
      <c r="M70" s="2589"/>
      <c r="N70" s="2511"/>
      <c r="O70" s="2589"/>
      <c r="P70" s="2511"/>
      <c r="Q70" s="2589"/>
      <c r="R70" s="2511"/>
      <c r="S70" s="2511"/>
      <c r="T70" s="2621">
        <v>800</v>
      </c>
      <c r="U70" s="2589"/>
      <c r="V70" s="2511"/>
      <c r="W70" s="2511"/>
      <c r="X70" s="2511"/>
      <c r="Y70" s="2511"/>
      <c r="Z70" s="2511"/>
      <c r="AA70" s="2589"/>
      <c r="AB70" s="2511"/>
      <c r="AC70" s="2589"/>
      <c r="AD70" s="2589"/>
      <c r="AE70" s="2589"/>
      <c r="AF70" s="2589"/>
      <c r="AG70" s="2589"/>
      <c r="AH70" s="2589"/>
      <c r="AI70" s="2511"/>
      <c r="AJ70" s="2511"/>
      <c r="AK70" s="2511"/>
      <c r="AL70" s="2511"/>
      <c r="AM70" s="2511"/>
      <c r="AN70" s="2511"/>
      <c r="AO70" s="2511"/>
      <c r="AP70" s="2511"/>
      <c r="AQ70" s="2511"/>
      <c r="AR70" s="2589"/>
      <c r="AS70" s="2511"/>
      <c r="AT70" s="2511"/>
      <c r="AU70" s="2511"/>
      <c r="AV70" s="2511"/>
      <c r="AW70" s="2589"/>
      <c r="AX70" s="2511"/>
      <c r="AY70" s="2589"/>
      <c r="AZ70" s="2589"/>
      <c r="BA70" s="2511"/>
      <c r="BB70" s="2511"/>
      <c r="BC70" s="2511"/>
      <c r="BD70" s="2589"/>
      <c r="BE70" s="2621"/>
      <c r="BF70" s="2621"/>
      <c r="BG70" s="2589"/>
      <c r="BH70" s="2621"/>
      <c r="BI70" s="3728"/>
      <c r="BJ70" s="2621"/>
      <c r="BK70" s="3728"/>
      <c r="BL70" s="2621"/>
      <c r="BM70" s="2621"/>
      <c r="BN70" s="2621"/>
      <c r="BO70" s="2621"/>
      <c r="BP70" s="2621"/>
      <c r="BQ70" s="2621"/>
      <c r="BR70" s="2621"/>
      <c r="BS70" s="2621"/>
      <c r="BT70" s="2589"/>
      <c r="BU70" s="2621"/>
      <c r="BV70" s="2589"/>
      <c r="BW70" s="2621"/>
      <c r="BX70" s="2589"/>
      <c r="BY70" s="2621"/>
      <c r="BZ70" s="2621"/>
      <c r="CA70" s="2621"/>
      <c r="CB70" s="2892"/>
      <c r="CC70" s="2589"/>
      <c r="CD70" s="2589"/>
      <c r="CE70" s="2892"/>
      <c r="CF70" s="2892"/>
      <c r="CG70" s="2892"/>
      <c r="CH70" s="2589"/>
      <c r="CI70" s="2589"/>
      <c r="CJ70" s="2892"/>
      <c r="CK70" s="2892"/>
      <c r="CL70" s="2892"/>
      <c r="CM70" s="2892"/>
      <c r="CN70" s="2892"/>
      <c r="CO70" s="2892"/>
      <c r="CP70" s="2892"/>
      <c r="CQ70" s="2589"/>
      <c r="CR70" s="2589"/>
      <c r="CS70" s="2589"/>
      <c r="CT70" s="2589"/>
      <c r="CU70" s="2892"/>
      <c r="CV70" s="2589"/>
      <c r="CW70" s="2892"/>
      <c r="CX70" s="2892"/>
      <c r="CY70" s="2892"/>
      <c r="CZ70" s="2589"/>
      <c r="DA70" s="2589"/>
      <c r="DB70" s="3728"/>
      <c r="DC70" s="2589"/>
      <c r="DD70" s="2892"/>
      <c r="DE70" s="2892"/>
      <c r="DF70" s="2892"/>
      <c r="DG70" s="2892"/>
      <c r="DH70" s="2892"/>
      <c r="DI70" s="2589"/>
      <c r="DJ70" s="2892"/>
      <c r="DK70" s="2892"/>
      <c r="DL70" s="2589"/>
      <c r="DM70" s="2589"/>
      <c r="DN70" s="2892"/>
      <c r="DO70" s="2892"/>
      <c r="DP70" s="2892"/>
      <c r="DQ70" s="2892"/>
      <c r="DR70" s="2589"/>
      <c r="DS70" s="2892"/>
      <c r="DT70" s="2892"/>
      <c r="DU70" s="2892"/>
      <c r="DV70" s="2892"/>
      <c r="DW70" s="2892"/>
      <c r="DX70" s="2892"/>
      <c r="DY70" s="2892"/>
      <c r="DZ70" s="2892"/>
      <c r="EA70" s="2892"/>
      <c r="EB70" s="2892"/>
      <c r="EC70" s="2892"/>
      <c r="ED70" s="2892"/>
      <c r="EE70" s="2892"/>
      <c r="EF70" s="2892"/>
      <c r="EG70" s="2892"/>
      <c r="EH70" s="2892"/>
      <c r="EI70" s="2892"/>
      <c r="EJ70" s="2589"/>
      <c r="EK70" s="2892"/>
      <c r="EL70" s="2892"/>
      <c r="EM70" s="2892"/>
      <c r="EN70" s="2589"/>
      <c r="EO70" s="2892"/>
      <c r="EP70" s="2892"/>
      <c r="EQ70" s="2892"/>
      <c r="ER70" s="2892"/>
      <c r="ES70" s="2892"/>
      <c r="ET70" s="2892"/>
      <c r="EU70" s="2589"/>
      <c r="EV70" s="2892"/>
      <c r="EW70" s="2892"/>
      <c r="EX70" s="2892"/>
      <c r="EY70" s="2892"/>
      <c r="EZ70" s="2892"/>
      <c r="FA70" s="2892"/>
      <c r="FB70" s="2892"/>
      <c r="FC70" s="2892"/>
      <c r="FD70" s="2892"/>
      <c r="FE70" s="2892"/>
      <c r="FF70" s="2589"/>
      <c r="FG70" s="2892"/>
      <c r="FH70" s="2892"/>
      <c r="FI70" s="2892"/>
      <c r="FJ70" s="2892"/>
      <c r="FK70" s="2892"/>
      <c r="FL70" s="2892"/>
      <c r="FM70" s="2892"/>
      <c r="FN70" s="2892"/>
      <c r="FO70" s="2892"/>
      <c r="FP70" s="2892"/>
      <c r="FQ70" s="2892"/>
      <c r="FR70" s="2892"/>
      <c r="FS70" s="2892"/>
      <c r="FT70" s="2589"/>
      <c r="FU70" s="2589"/>
      <c r="FV70" s="2589"/>
      <c r="FW70" s="2892"/>
      <c r="FX70" s="2589"/>
      <c r="FY70" s="2892"/>
      <c r="FZ70" s="2892"/>
      <c r="GA70" s="2892"/>
      <c r="GB70" s="2892"/>
      <c r="GC70" s="2892"/>
      <c r="GD70" s="2892"/>
      <c r="GE70" s="2589"/>
      <c r="GF70" s="2589"/>
      <c r="GG70" s="2589"/>
      <c r="GH70" s="2892"/>
      <c r="GI70" s="2892"/>
      <c r="GJ70" s="2589"/>
      <c r="GK70" s="2892"/>
      <c r="GL70" s="2892"/>
      <c r="GM70" s="2892"/>
      <c r="GN70" s="2892"/>
      <c r="GO70" s="2892"/>
      <c r="GP70" s="2892"/>
      <c r="GQ70" s="2892"/>
      <c r="GR70" s="2892"/>
      <c r="GS70" s="2892"/>
      <c r="GT70" s="2892"/>
      <c r="GU70" s="2892"/>
      <c r="GV70" s="2892"/>
      <c r="GW70" s="2589"/>
      <c r="GX70" s="2589"/>
      <c r="GY70" s="2892"/>
      <c r="GZ70" s="2892"/>
      <c r="HA70" s="2892"/>
      <c r="HB70" s="2589"/>
      <c r="HC70" s="2892"/>
      <c r="HD70" s="2621"/>
      <c r="HE70" s="2892"/>
      <c r="HF70" s="2589"/>
      <c r="HG70" s="2589"/>
      <c r="HH70" s="2892"/>
      <c r="HI70" s="2892"/>
      <c r="HJ70" s="2892"/>
      <c r="HK70" s="2892"/>
      <c r="HL70" s="2892"/>
      <c r="HM70" s="2892"/>
      <c r="HN70" s="2892"/>
      <c r="HO70" s="2892"/>
      <c r="HP70" s="2892"/>
      <c r="HQ70" s="2892"/>
      <c r="HR70" s="2892"/>
      <c r="HS70" s="2589"/>
      <c r="HT70" s="2892"/>
      <c r="HU70" s="2892"/>
      <c r="HV70" s="2892"/>
      <c r="HW70" s="2892"/>
      <c r="HX70" s="2892"/>
      <c r="HY70" s="2892"/>
      <c r="HZ70" s="2892"/>
      <c r="IA70" s="2892"/>
      <c r="IB70" s="2892"/>
      <c r="IC70" s="2892"/>
      <c r="ID70" s="2892"/>
      <c r="IE70" s="2892"/>
      <c r="IF70" s="2892"/>
      <c r="IG70" s="2892"/>
      <c r="IH70" s="2892"/>
      <c r="II70" s="2892"/>
      <c r="IJ70" s="2892"/>
      <c r="IK70" s="2892"/>
      <c r="IL70" s="2892"/>
      <c r="IM70" s="2892"/>
      <c r="IN70" s="2892"/>
      <c r="IO70" s="2621"/>
      <c r="IP70" s="2892"/>
      <c r="IQ70" s="2892"/>
      <c r="IR70" s="2892"/>
      <c r="IS70" s="4009"/>
      <c r="IT70" s="3998"/>
      <c r="IU70" s="3998"/>
      <c r="IV70" s="3998"/>
      <c r="IW70" s="3998"/>
      <c r="IX70" s="3998"/>
      <c r="IY70" s="3998"/>
      <c r="IZ70" s="2892"/>
      <c r="JA70" s="4321"/>
      <c r="JB70" s="4321"/>
      <c r="JC70" s="2892"/>
      <c r="JD70" s="2892"/>
      <c r="JE70" s="2892"/>
      <c r="JF70" s="2892"/>
      <c r="JG70" s="2622"/>
      <c r="JH70" s="1233"/>
      <c r="JI70" s="1393"/>
      <c r="JJ70" s="1686" t="s">
        <v>7296</v>
      </c>
    </row>
    <row ht="33.75" r="71" spans="1:270" x14ac:dyDescent="0.2">
      <c r="JI71" s="2020" t="s">
        <v>6601</v>
      </c>
      <c r="JJ71" s="2069" t="s">
        <v>6614</v>
      </c>
    </row>
  </sheetData>
  <phoneticPr fontId="67" type="noConversion"/>
  <dataValidations count="1">
    <dataValidation allowBlank="1" showErrorMessage="1" showInputMessage="1" sqref="JJ2:JJ70" type="list" xr:uid="{00000000-0002-0000-0E00-000000000000}">
      <formula1>allowedTypes</formula1>
    </dataValidation>
  </dataValidations>
  <pageMargins bottom="1" footer="0.5" header="0.5" left="0.75" right="0.75" top="1"/>
  <pageSetup horizontalDpi="1200" orientation="portrait" paperSize="9" r:id="rId1" verticalDpi="1200"/>
  <headerFooter alignWithMargins="0"/>
</worksheet>
</file>

<file path=xl/worksheets/sheet16.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xmlns:xr="http://schemas.microsoft.com/office/spreadsheetml/2014/revision" xmlns:xr2="http://schemas.microsoft.com/office/spreadsheetml/2015/revision2" xmlns:xr3="http://schemas.microsoft.com/office/spreadsheetml/2016/revision3" mc:Ignorable="x14ac xr xr2 xr3" xr:uid="{00000000-0001-0000-0F00-000000000000}">
  <sheetPr codeName="Sheet67">
    <pageSetUpPr fitToPage="1"/>
  </sheetPr>
  <dimension ref="A1:JK185"/>
  <sheetViews>
    <sheetView showGridLines="0" workbookViewId="0" zoomScaleNormal="100">
      <pane activePane="bottomRight" state="frozen" topLeftCell="AZ2" xSplit="3" ySplit="1"/>
      <selection activeCell="JF25" sqref="JF25"/>
      <selection activeCell="JF25" pane="topRight" sqref="JF25"/>
      <selection activeCell="JF25" pane="bottomLeft" sqref="JF25"/>
      <selection activeCell="BL99" pane="bottomRight" sqref="BL99"/>
    </sheetView>
  </sheetViews>
  <sheetFormatPr defaultRowHeight="12.75" x14ac:dyDescent="0.2"/>
  <cols>
    <col min="1" max="1" customWidth="true" style="1129" width="7.140625" collapsed="true"/>
    <col min="2" max="2" customWidth="true" width="10.28515625" collapsed="true"/>
    <col min="3" max="3" bestFit="true" customWidth="true" style="181" width="15.28515625" collapsed="true"/>
    <col min="4" max="4" customWidth="true" style="181" width="40.5703125" collapsed="true"/>
    <col min="5" max="17" bestFit="true" customWidth="true" style="181" width="10.5703125" collapsed="true"/>
    <col min="18" max="29" bestFit="true" customWidth="true" width="10.5703125" collapsed="true"/>
    <col min="30" max="34" customWidth="true" style="34" width="9.42578125" collapsed="true"/>
    <col min="35" max="39" customWidth="true" width="10.5703125" collapsed="true"/>
    <col min="40" max="46" bestFit="true" customWidth="true" width="10.5703125" collapsed="true"/>
    <col min="47" max="47" bestFit="true" customWidth="true" width="11.5703125" collapsed="true"/>
    <col min="48" max="213" bestFit="true" customWidth="true" width="10.5703125" collapsed="true"/>
    <col min="214" max="214" customWidth="true" width="10.5703125" collapsed="true"/>
    <col min="215" max="244" bestFit="true" customWidth="true" width="10.5703125" collapsed="true"/>
    <col min="245" max="245" bestFit="true" customWidth="true" width="11.5703125" collapsed="true"/>
    <col min="246" max="246" bestFit="true" customWidth="true" width="10.5703125" collapsed="true"/>
    <col min="247" max="247" bestFit="true" customWidth="true" width="11.5703125" collapsed="true"/>
    <col min="248" max="251" bestFit="true" customWidth="true" width="10.5703125" collapsed="true"/>
    <col min="252" max="252" customWidth="true" width="10.5703125" collapsed="true"/>
    <col min="253" max="254" bestFit="true" customWidth="true" width="10.5703125" collapsed="true"/>
    <col min="255" max="267" customWidth="true" width="10.5703125" collapsed="true"/>
    <col min="268" max="268" customWidth="true" width="2.28515625" collapsed="true"/>
    <col min="269" max="270" customWidth="true" width="26.140625" collapsed="true"/>
  </cols>
  <sheetData>
    <row r="1" spans="1:270" x14ac:dyDescent="0.2">
      <c r="A1" s="1128" t="s">
        <v>4479</v>
      </c>
      <c r="B1" s="628" t="str">
        <f>"selected "&amp;FOR_IND-1</f>
        <v>selected 0</v>
      </c>
      <c r="C1" s="1542" t="s">
        <v>3319</v>
      </c>
      <c r="D1" s="1543"/>
      <c r="E1" s="1134">
        <v>1</v>
      </c>
      <c r="F1" s="1134">
        <v>2</v>
      </c>
      <c r="G1" s="1134">
        <v>3</v>
      </c>
      <c r="H1" s="1134">
        <v>4</v>
      </c>
      <c r="I1" s="1134">
        <v>5</v>
      </c>
      <c r="J1" s="1134">
        <v>6</v>
      </c>
      <c r="K1" s="1134">
        <v>7</v>
      </c>
      <c r="L1" s="1134">
        <v>8</v>
      </c>
      <c r="M1" s="1134">
        <v>9</v>
      </c>
      <c r="N1" s="1134">
        <v>10</v>
      </c>
      <c r="O1" s="1134">
        <v>11</v>
      </c>
      <c r="P1" s="1134">
        <v>12</v>
      </c>
      <c r="Q1" s="1134">
        <v>13</v>
      </c>
      <c r="R1" s="1134">
        <v>14</v>
      </c>
      <c r="S1" s="1134">
        <v>15</v>
      </c>
      <c r="T1" s="1134">
        <v>16</v>
      </c>
      <c r="U1" s="1134">
        <v>17</v>
      </c>
      <c r="V1" s="1134">
        <v>18</v>
      </c>
      <c r="W1" s="1134">
        <v>19</v>
      </c>
      <c r="X1" s="1134">
        <v>20</v>
      </c>
      <c r="Y1" s="1134">
        <v>21</v>
      </c>
      <c r="Z1" s="1134">
        <v>22</v>
      </c>
      <c r="AA1" s="1134">
        <v>23</v>
      </c>
      <c r="AB1" s="1134">
        <v>24</v>
      </c>
      <c r="AC1" s="1134">
        <v>25</v>
      </c>
      <c r="AD1" s="3502">
        <v>26</v>
      </c>
      <c r="AE1" s="3502">
        <v>27</v>
      </c>
      <c r="AF1" s="3502">
        <v>28</v>
      </c>
      <c r="AG1" s="3502">
        <v>29</v>
      </c>
      <c r="AH1" s="3502">
        <v>30</v>
      </c>
      <c r="AI1" s="2026">
        <v>31</v>
      </c>
      <c r="AJ1" s="2026">
        <v>32</v>
      </c>
      <c r="AK1" s="2026">
        <v>33</v>
      </c>
      <c r="AL1" s="2026">
        <v>34</v>
      </c>
      <c r="AM1" s="2026">
        <v>35</v>
      </c>
      <c r="AN1" s="2026">
        <v>36</v>
      </c>
      <c r="AO1" s="2026">
        <v>37</v>
      </c>
      <c r="AP1" s="2026">
        <v>38</v>
      </c>
      <c r="AQ1" s="2026">
        <v>39</v>
      </c>
      <c r="AR1" s="2026">
        <v>40</v>
      </c>
      <c r="AS1" s="2026">
        <v>41</v>
      </c>
      <c r="AT1" s="2026">
        <v>42</v>
      </c>
      <c r="AU1" s="2026">
        <v>43</v>
      </c>
      <c r="AV1" s="2026">
        <v>44</v>
      </c>
      <c r="AW1" s="2026">
        <v>45</v>
      </c>
      <c r="AX1" s="2026">
        <v>46</v>
      </c>
      <c r="AY1" s="2026">
        <v>47</v>
      </c>
      <c r="AZ1" s="2026">
        <v>48</v>
      </c>
      <c r="BA1" s="2026">
        <v>49</v>
      </c>
      <c r="BB1" s="2026">
        <v>50</v>
      </c>
      <c r="BC1" s="2026">
        <v>51</v>
      </c>
      <c r="BD1" s="2026">
        <v>52</v>
      </c>
      <c r="BE1" s="2026">
        <v>53</v>
      </c>
      <c r="BF1" s="2026">
        <v>54</v>
      </c>
      <c r="BG1" s="2026">
        <v>55</v>
      </c>
      <c r="BH1" s="2026">
        <v>56</v>
      </c>
      <c r="BI1" s="2026">
        <v>57</v>
      </c>
      <c r="BJ1" s="2026">
        <v>58</v>
      </c>
      <c r="BK1" s="2026">
        <v>59</v>
      </c>
      <c r="BL1" s="2026">
        <v>60</v>
      </c>
      <c r="BM1" s="2026">
        <v>61</v>
      </c>
      <c r="BN1" s="2026">
        <v>62</v>
      </c>
      <c r="BO1" s="2026">
        <v>63</v>
      </c>
      <c r="BP1" s="2026">
        <v>64</v>
      </c>
      <c r="BQ1" s="2026">
        <v>65</v>
      </c>
      <c r="BR1" s="2026">
        <v>66</v>
      </c>
      <c r="BS1" s="2026">
        <v>67</v>
      </c>
      <c r="BT1" s="2026">
        <v>68</v>
      </c>
      <c r="BU1" s="2026">
        <v>69</v>
      </c>
      <c r="BV1" s="2026">
        <v>70</v>
      </c>
      <c r="BW1" s="2026">
        <v>71</v>
      </c>
      <c r="BX1" s="2026">
        <v>72</v>
      </c>
      <c r="BY1" s="2026">
        <v>73</v>
      </c>
      <c r="BZ1" s="2026">
        <v>74</v>
      </c>
      <c r="CA1" s="2026">
        <v>75</v>
      </c>
      <c r="CB1" s="2026">
        <v>76</v>
      </c>
      <c r="CC1" s="2026">
        <v>77</v>
      </c>
      <c r="CD1" s="2026">
        <v>78</v>
      </c>
      <c r="CE1" s="2026">
        <v>79</v>
      </c>
      <c r="CF1" s="2026">
        <v>80</v>
      </c>
      <c r="CG1" s="2026">
        <v>81</v>
      </c>
      <c r="CH1" s="2026">
        <v>82</v>
      </c>
      <c r="CI1" s="2026">
        <v>83</v>
      </c>
      <c r="CJ1" s="2026">
        <v>84</v>
      </c>
      <c r="CK1" s="2026">
        <v>85</v>
      </c>
      <c r="CL1" s="2026">
        <v>86</v>
      </c>
      <c r="CM1" s="2026">
        <v>87</v>
      </c>
      <c r="CN1" s="2026">
        <v>88</v>
      </c>
      <c r="CO1" s="2026">
        <v>89</v>
      </c>
      <c r="CP1" s="2026">
        <v>90</v>
      </c>
      <c r="CQ1" s="2026">
        <v>91</v>
      </c>
      <c r="CR1" s="2026">
        <v>92</v>
      </c>
      <c r="CS1" s="2026">
        <v>93</v>
      </c>
      <c r="CT1" s="2026">
        <v>94</v>
      </c>
      <c r="CU1" s="2026">
        <v>95</v>
      </c>
      <c r="CV1" s="2026">
        <v>96</v>
      </c>
      <c r="CW1" s="2026">
        <v>97</v>
      </c>
      <c r="CX1" s="2026">
        <v>98</v>
      </c>
      <c r="CY1" s="2026">
        <v>99</v>
      </c>
      <c r="CZ1" s="2026">
        <v>100</v>
      </c>
      <c r="DA1" s="2026">
        <v>101</v>
      </c>
      <c r="DB1" s="2026">
        <v>102</v>
      </c>
      <c r="DC1" s="2026">
        <v>103</v>
      </c>
      <c r="DD1" s="2026">
        <v>104</v>
      </c>
      <c r="DE1" s="2026">
        <v>105</v>
      </c>
      <c r="DF1" s="2026">
        <v>106</v>
      </c>
      <c r="DG1" s="2026">
        <v>107</v>
      </c>
      <c r="DH1" s="2026">
        <v>108</v>
      </c>
      <c r="DI1" s="2026">
        <v>109</v>
      </c>
      <c r="DJ1" s="2026">
        <v>110</v>
      </c>
      <c r="DK1" s="2026">
        <v>111</v>
      </c>
      <c r="DL1" s="2026">
        <v>112</v>
      </c>
      <c r="DM1" s="2026">
        <v>113</v>
      </c>
      <c r="DN1" s="2026">
        <v>114</v>
      </c>
      <c r="DO1" s="2026">
        <v>115</v>
      </c>
      <c r="DP1" s="2026">
        <v>116</v>
      </c>
      <c r="DQ1" s="2026">
        <v>117</v>
      </c>
      <c r="DR1" s="2026">
        <v>118</v>
      </c>
      <c r="DS1" s="2026">
        <v>119</v>
      </c>
      <c r="DT1" s="2026">
        <v>120</v>
      </c>
      <c r="DU1" s="2026">
        <v>121</v>
      </c>
      <c r="DV1" s="2026">
        <v>122</v>
      </c>
      <c r="DW1" s="2026">
        <v>123</v>
      </c>
      <c r="DX1" s="2026">
        <v>124</v>
      </c>
      <c r="DY1" s="2026">
        <v>125</v>
      </c>
      <c r="DZ1" s="2026">
        <v>126</v>
      </c>
      <c r="EA1" s="2026">
        <v>127</v>
      </c>
      <c r="EB1" s="2026">
        <v>128</v>
      </c>
      <c r="EC1" s="2026">
        <v>129</v>
      </c>
      <c r="ED1" s="2026">
        <v>130</v>
      </c>
      <c r="EE1" s="2026">
        <v>131</v>
      </c>
      <c r="EF1" s="2026">
        <v>132</v>
      </c>
      <c r="EG1" s="2026">
        <v>133</v>
      </c>
      <c r="EH1" s="2026">
        <v>134</v>
      </c>
      <c r="EI1" s="2026">
        <v>135</v>
      </c>
      <c r="EJ1" s="2026">
        <v>136</v>
      </c>
      <c r="EK1" s="2026">
        <v>137</v>
      </c>
      <c r="EL1" s="2026">
        <v>138</v>
      </c>
      <c r="EM1" s="2026">
        <v>139</v>
      </c>
      <c r="EN1" s="2026">
        <v>140</v>
      </c>
      <c r="EO1" s="2026">
        <v>141</v>
      </c>
      <c r="EP1" s="2026">
        <v>142</v>
      </c>
      <c r="EQ1" s="2026">
        <v>143</v>
      </c>
      <c r="ER1" s="2026">
        <v>144</v>
      </c>
      <c r="ES1" s="2026">
        <v>145</v>
      </c>
      <c r="ET1" s="2026">
        <v>146</v>
      </c>
      <c r="EU1" s="2026">
        <v>147</v>
      </c>
      <c r="EV1" s="2026">
        <v>148</v>
      </c>
      <c r="EW1" s="2026">
        <v>149</v>
      </c>
      <c r="EX1" s="2026">
        <v>150</v>
      </c>
      <c r="EY1" s="2026">
        <v>151</v>
      </c>
      <c r="EZ1" s="2026">
        <v>152</v>
      </c>
      <c r="FA1" s="2026">
        <v>153</v>
      </c>
      <c r="FB1" s="2026">
        <v>154</v>
      </c>
      <c r="FC1" s="2026">
        <v>155</v>
      </c>
      <c r="FD1" s="2026">
        <v>156</v>
      </c>
      <c r="FE1" s="2026">
        <v>157</v>
      </c>
      <c r="FF1" s="2026">
        <v>158</v>
      </c>
      <c r="FG1" s="2026">
        <v>159</v>
      </c>
      <c r="FH1" s="2026">
        <v>160</v>
      </c>
      <c r="FI1" s="2026">
        <v>161</v>
      </c>
      <c r="FJ1" s="2026">
        <v>162</v>
      </c>
      <c r="FK1" s="2026">
        <v>163</v>
      </c>
      <c r="FL1" s="2026">
        <v>164</v>
      </c>
      <c r="FM1" s="2026">
        <v>165</v>
      </c>
      <c r="FN1" s="2026">
        <v>166</v>
      </c>
      <c r="FO1" s="2026">
        <v>167</v>
      </c>
      <c r="FP1" s="2026">
        <v>168</v>
      </c>
      <c r="FQ1" s="2026">
        <v>169</v>
      </c>
      <c r="FR1" s="2026">
        <v>170</v>
      </c>
      <c r="FS1" s="2026">
        <v>171</v>
      </c>
      <c r="FT1" s="2026">
        <v>172</v>
      </c>
      <c r="FU1" s="2026">
        <v>173</v>
      </c>
      <c r="FV1" s="2026">
        <v>174</v>
      </c>
      <c r="FW1" s="2026">
        <v>175</v>
      </c>
      <c r="FX1" s="2026">
        <v>176</v>
      </c>
      <c r="FY1" s="2026">
        <v>177</v>
      </c>
      <c r="FZ1" s="2026">
        <v>178</v>
      </c>
      <c r="GA1" s="2026">
        <v>179</v>
      </c>
      <c r="GB1" s="2026">
        <v>180</v>
      </c>
      <c r="GC1" s="2026">
        <v>181</v>
      </c>
      <c r="GD1" s="2026">
        <v>182</v>
      </c>
      <c r="GE1" s="2026">
        <v>183</v>
      </c>
      <c r="GF1" s="2026">
        <v>184</v>
      </c>
      <c r="GG1" s="2026">
        <v>185</v>
      </c>
      <c r="GH1" s="2026">
        <v>186</v>
      </c>
      <c r="GI1" s="2026">
        <v>187</v>
      </c>
      <c r="GJ1" s="2026">
        <v>188</v>
      </c>
      <c r="GK1" s="2026">
        <v>189</v>
      </c>
      <c r="GL1" s="2026">
        <v>190</v>
      </c>
      <c r="GM1" s="2026">
        <v>191</v>
      </c>
      <c r="GN1" s="2026">
        <v>192</v>
      </c>
      <c r="GO1" s="2026">
        <v>193</v>
      </c>
      <c r="GP1" s="2026">
        <v>194</v>
      </c>
      <c r="GQ1" s="2026">
        <v>195</v>
      </c>
      <c r="GR1" s="2026">
        <v>196</v>
      </c>
      <c r="GS1" s="2026">
        <v>197</v>
      </c>
      <c r="GT1" s="2026">
        <v>198</v>
      </c>
      <c r="GU1" s="2026">
        <v>199</v>
      </c>
      <c r="GV1" s="2026">
        <v>200</v>
      </c>
      <c r="GW1" s="2026">
        <v>201</v>
      </c>
      <c r="GX1" s="2026">
        <v>202</v>
      </c>
      <c r="GY1" s="2026">
        <v>203</v>
      </c>
      <c r="GZ1" s="2026">
        <v>204</v>
      </c>
      <c r="HA1" s="2026">
        <v>205</v>
      </c>
      <c r="HB1" s="2026">
        <v>206</v>
      </c>
      <c r="HC1" s="2026">
        <v>207</v>
      </c>
      <c r="HD1" s="2026">
        <v>208</v>
      </c>
      <c r="HE1" s="2026">
        <v>209</v>
      </c>
      <c r="HF1" s="2026">
        <v>210</v>
      </c>
      <c r="HG1" s="2026">
        <v>211</v>
      </c>
      <c r="HH1" s="2026">
        <v>212</v>
      </c>
      <c r="HI1" s="2026">
        <v>213</v>
      </c>
      <c r="HJ1" s="2026">
        <v>214</v>
      </c>
      <c r="HK1" s="2026">
        <v>215</v>
      </c>
      <c r="HL1" s="2026">
        <v>216</v>
      </c>
      <c r="HM1" s="2026">
        <v>217</v>
      </c>
      <c r="HN1" s="2026">
        <v>218</v>
      </c>
      <c r="HO1" s="2026">
        <v>219</v>
      </c>
      <c r="HP1" s="2026">
        <v>220</v>
      </c>
      <c r="HQ1" s="2026">
        <v>221</v>
      </c>
      <c r="HR1" s="2026">
        <v>222</v>
      </c>
      <c r="HS1" s="2026">
        <v>223</v>
      </c>
      <c r="HT1" s="2026">
        <v>224</v>
      </c>
      <c r="HU1" s="2026">
        <v>225</v>
      </c>
      <c r="HV1" s="2026">
        <v>226</v>
      </c>
      <c r="HW1" s="2026">
        <v>227</v>
      </c>
      <c r="HX1" s="2026">
        <v>228</v>
      </c>
      <c r="HY1" s="2026">
        <v>229</v>
      </c>
      <c r="HZ1" s="2026">
        <v>230</v>
      </c>
      <c r="IA1" s="2026">
        <v>231</v>
      </c>
      <c r="IB1" s="2026">
        <v>232</v>
      </c>
      <c r="IC1" s="2026">
        <v>233</v>
      </c>
      <c r="ID1" s="2026">
        <v>234</v>
      </c>
      <c r="IE1" s="2026">
        <v>235</v>
      </c>
      <c r="IF1" s="2026">
        <v>236</v>
      </c>
      <c r="IG1" s="2026">
        <v>237</v>
      </c>
      <c r="IH1" s="2026">
        <v>238</v>
      </c>
      <c r="II1" s="2026">
        <v>239</v>
      </c>
      <c r="IJ1" s="2026">
        <v>240</v>
      </c>
      <c r="IK1" s="2026">
        <v>241</v>
      </c>
      <c r="IL1" s="2026">
        <v>242</v>
      </c>
      <c r="IM1" s="2026">
        <v>243</v>
      </c>
      <c r="IN1" s="2026">
        <v>244</v>
      </c>
      <c r="IO1" s="2026">
        <v>245</v>
      </c>
      <c r="IP1" s="2026">
        <v>246</v>
      </c>
      <c r="IQ1" s="2026">
        <v>247</v>
      </c>
      <c r="IR1" s="2026">
        <v>248</v>
      </c>
      <c r="IS1" s="2026">
        <v>249</v>
      </c>
      <c r="IT1" s="2026">
        <v>250</v>
      </c>
      <c r="IU1" s="2026">
        <v>251</v>
      </c>
      <c r="IV1" s="2026">
        <v>252</v>
      </c>
      <c r="IW1" s="2026">
        <v>253</v>
      </c>
      <c r="IX1" s="2026">
        <v>254</v>
      </c>
      <c r="IY1" s="2026">
        <v>255</v>
      </c>
      <c r="IZ1" s="2026">
        <v>256</v>
      </c>
      <c r="JA1" s="2026">
        <v>257</v>
      </c>
      <c r="JB1" s="2026">
        <v>258</v>
      </c>
      <c r="JC1" s="2026">
        <v>259</v>
      </c>
      <c r="JD1" s="2026">
        <v>260</v>
      </c>
      <c r="JE1" s="2026">
        <v>261</v>
      </c>
      <c r="JF1" s="2026">
        <v>262</v>
      </c>
      <c r="JG1" s="2485">
        <v>263</v>
      </c>
      <c r="JH1" s="1233"/>
      <c r="JI1" s="1232" t="s">
        <v>5040</v>
      </c>
      <c r="JJ1" s="1685" t="s">
        <v>6104</v>
      </c>
    </row>
    <row r="2" spans="1:270" x14ac:dyDescent="0.2">
      <c r="A2" s="1128">
        <v>2</v>
      </c>
      <c r="B2" s="1534" t="str">
        <f ref="B2:B65" si="0" t="shared">IF(FOR_IND&gt;1,IF(HLOOKUP(FOR_IND-1,FOR_RANGE,A2)="","",HLOOKUP(FOR_IND-1,FOR_RANGE,A2)),"")</f>
        <v/>
      </c>
      <c r="C2" s="1278" t="s">
        <v>2121</v>
      </c>
      <c r="D2" s="1386" t="s">
        <v>5319</v>
      </c>
      <c r="E2" s="3359"/>
      <c r="F2" s="3359"/>
      <c r="G2" s="3359"/>
      <c r="H2" s="3359"/>
      <c r="I2" s="3359"/>
      <c r="J2" s="3359"/>
      <c r="K2" s="3359"/>
      <c r="L2" s="3359"/>
      <c r="M2" s="3359"/>
      <c r="N2" s="3359"/>
      <c r="O2" s="3359"/>
      <c r="P2" s="3359"/>
      <c r="Q2" s="3359"/>
      <c r="R2" s="3359"/>
      <c r="S2" s="3359"/>
      <c r="T2" s="3359"/>
      <c r="U2" s="3359"/>
      <c r="V2" s="3359"/>
      <c r="W2" s="3359"/>
      <c r="X2" s="3359"/>
      <c r="Y2" s="3359"/>
      <c r="Z2" s="3359"/>
      <c r="AA2" s="3359"/>
      <c r="AB2" s="3359"/>
      <c r="AC2" s="3359"/>
      <c r="AD2" s="3359"/>
      <c r="AE2" s="3359"/>
      <c r="AF2" s="3359"/>
      <c r="AG2" s="3359"/>
      <c r="AH2" s="3359"/>
      <c r="AI2" s="3359"/>
      <c r="AJ2" s="3359"/>
      <c r="AK2" s="3359"/>
      <c r="AL2" s="3359"/>
      <c r="AM2" s="3359"/>
      <c r="AN2" s="3359"/>
      <c r="AO2" s="3359"/>
      <c r="AP2" s="3359" t="s">
        <v>1189</v>
      </c>
      <c r="AQ2" s="3359" t="s">
        <v>1189</v>
      </c>
      <c r="AR2" s="3359"/>
      <c r="AS2" s="3359"/>
      <c r="AT2" s="3359"/>
      <c r="AU2" s="3359"/>
      <c r="AV2" s="3359"/>
      <c r="AW2" s="3359" t="s">
        <v>1189</v>
      </c>
      <c r="AX2" s="3359"/>
      <c r="AY2" s="3359"/>
      <c r="AZ2" s="3359"/>
      <c r="BA2" s="3359"/>
      <c r="BB2" s="3359" t="s">
        <v>1189</v>
      </c>
      <c r="BC2" s="3359" t="s">
        <v>1189</v>
      </c>
      <c r="BD2" s="3359" t="s">
        <v>1189</v>
      </c>
      <c r="BE2" s="3359"/>
      <c r="BF2" s="3359"/>
      <c r="BG2" s="3359"/>
      <c r="BH2" s="3359"/>
      <c r="BI2" s="3359"/>
      <c r="BJ2" s="3359" t="s">
        <v>1189</v>
      </c>
      <c r="BK2" s="3359"/>
      <c r="BL2" s="3359"/>
      <c r="BM2" s="3359"/>
      <c r="BN2" s="3359"/>
      <c r="BO2" s="3359"/>
      <c r="BP2" s="3359"/>
      <c r="BQ2" s="3359"/>
      <c r="BR2" s="3359"/>
      <c r="BS2" s="3359"/>
      <c r="BT2" s="3359"/>
      <c r="BU2" s="3359"/>
      <c r="BV2" s="3359"/>
      <c r="BW2" s="3359"/>
      <c r="BX2" s="3359"/>
      <c r="BY2" s="3359"/>
      <c r="BZ2" s="3359"/>
      <c r="CA2" s="3359"/>
      <c r="CB2" s="3359"/>
      <c r="CC2" s="3359"/>
      <c r="CD2" s="3359"/>
      <c r="CE2" s="3359"/>
      <c r="CF2" s="3359"/>
      <c r="CG2" s="3359"/>
      <c r="CH2" s="3359"/>
      <c r="CI2" s="3359"/>
      <c r="CJ2" s="3359" t="s">
        <v>1189</v>
      </c>
      <c r="CK2" s="3359"/>
      <c r="CL2" s="3359"/>
      <c r="CM2" s="3359"/>
      <c r="CN2" s="3359"/>
      <c r="CO2" s="3359"/>
      <c r="CP2" s="3359"/>
      <c r="CQ2" s="3359"/>
      <c r="CR2" s="3359"/>
      <c r="CS2" s="3359"/>
      <c r="CT2" s="3359" t="s">
        <v>1189</v>
      </c>
      <c r="CU2" s="3359"/>
      <c r="CV2" s="3359"/>
      <c r="CW2" s="3359"/>
      <c r="CX2" s="3359"/>
      <c r="CY2" s="3359"/>
      <c r="CZ2" s="3359"/>
      <c r="DA2" s="3359"/>
      <c r="DB2" s="3359"/>
      <c r="DC2" s="3359"/>
      <c r="DD2" s="3359"/>
      <c r="DE2" s="3359"/>
      <c r="DF2" s="3359"/>
      <c r="DG2" s="3359"/>
      <c r="DH2" s="3359"/>
      <c r="DI2" s="3359" t="s">
        <v>1189</v>
      </c>
      <c r="DJ2" s="3359"/>
      <c r="DK2" s="3359"/>
      <c r="DL2" s="3359"/>
      <c r="DM2" s="3359" t="s">
        <v>1189</v>
      </c>
      <c r="DN2" s="3359"/>
      <c r="DO2" s="3359"/>
      <c r="DP2" s="3359"/>
      <c r="DQ2" s="3359"/>
      <c r="DR2" s="3359"/>
      <c r="DS2" s="3359"/>
      <c r="DT2" s="3359" t="s">
        <v>1189</v>
      </c>
      <c r="DU2" s="3359"/>
      <c r="DV2" s="3359"/>
      <c r="DW2" s="3359"/>
      <c r="DX2" s="3359"/>
      <c r="DY2" s="3359"/>
      <c r="DZ2" s="3359"/>
      <c r="EA2" s="3359"/>
      <c r="EB2" s="3359"/>
      <c r="EC2" s="3359"/>
      <c r="ED2" s="3359"/>
      <c r="EE2" s="3359"/>
      <c r="EF2" s="3359"/>
      <c r="EG2" s="3359"/>
      <c r="EH2" s="3359"/>
      <c r="EI2" s="3359"/>
      <c r="EJ2" s="3359"/>
      <c r="EK2" s="3359"/>
      <c r="EL2" s="3359"/>
      <c r="EM2" s="3359"/>
      <c r="EN2" s="3359"/>
      <c r="EO2" s="3359" t="s">
        <v>1189</v>
      </c>
      <c r="EP2" s="3359"/>
      <c r="EQ2" s="3359"/>
      <c r="ER2" s="3359"/>
      <c r="ES2" s="3359"/>
      <c r="ET2" s="3359"/>
      <c r="EU2" s="3359"/>
      <c r="EV2" s="3359"/>
      <c r="EW2" s="3359"/>
      <c r="EX2" s="3359" t="s">
        <v>1189</v>
      </c>
      <c r="EY2" s="3359"/>
      <c r="EZ2" s="3359"/>
      <c r="FA2" s="3359"/>
      <c r="FB2" s="3359"/>
      <c r="FC2" s="3359"/>
      <c r="FD2" s="3359"/>
      <c r="FE2" s="3359"/>
      <c r="FF2" s="3359"/>
      <c r="FG2" s="3359"/>
      <c r="FH2" s="3359"/>
      <c r="FI2" s="3359"/>
      <c r="FJ2" s="3359"/>
      <c r="FK2" s="3359"/>
      <c r="FL2" s="3359"/>
      <c r="FM2" s="3359"/>
      <c r="FN2" s="3359"/>
      <c r="FO2" s="3359"/>
      <c r="FP2" s="3359"/>
      <c r="FQ2" s="3359"/>
      <c r="FR2" s="3359"/>
      <c r="FS2" s="3359"/>
      <c r="FT2" s="3359"/>
      <c r="FU2" s="3359"/>
      <c r="FV2" s="3359"/>
      <c r="FW2" s="3359"/>
      <c r="FX2" s="3359"/>
      <c r="FY2" s="3359"/>
      <c r="FZ2" s="3359"/>
      <c r="GA2" s="3359"/>
      <c r="GB2" s="3359"/>
      <c r="GC2" s="3359"/>
      <c r="GD2" s="3359"/>
      <c r="GE2" s="3359"/>
      <c r="GF2" s="3359" t="s">
        <v>1189</v>
      </c>
      <c r="GG2" s="3359"/>
      <c r="GH2" s="3359"/>
      <c r="GI2" s="3359"/>
      <c r="GJ2" s="3359"/>
      <c r="GK2" s="3359"/>
      <c r="GL2" s="3359"/>
      <c r="GM2" s="3359"/>
      <c r="GN2" s="3359"/>
      <c r="GO2" s="3359"/>
      <c r="GP2" s="3359"/>
      <c r="GQ2" s="3359"/>
      <c r="GR2" s="3359"/>
      <c r="GS2" s="3359"/>
      <c r="GT2" s="3359"/>
      <c r="GU2" s="3359"/>
      <c r="GV2" s="3359"/>
      <c r="GW2" s="3359"/>
      <c r="GX2" s="3359"/>
      <c r="GY2" s="3359"/>
      <c r="GZ2" s="3359"/>
      <c r="HA2" s="3359"/>
      <c r="HB2" s="3359"/>
      <c r="HC2" s="3359"/>
      <c r="HD2" s="3359"/>
      <c r="HE2" s="3359"/>
      <c r="HF2" s="3359"/>
      <c r="HG2" s="3359"/>
      <c r="HH2" s="3359" t="s">
        <v>1189</v>
      </c>
      <c r="HI2" s="3359"/>
      <c r="HJ2" s="3359"/>
      <c r="HK2" s="3359"/>
      <c r="HL2" s="3359"/>
      <c r="HM2" s="3359"/>
      <c r="HN2" s="3359"/>
      <c r="HO2" s="3359"/>
      <c r="HP2" s="3359" t="s">
        <v>1189</v>
      </c>
      <c r="HQ2" s="3359"/>
      <c r="HR2" s="3359" t="s">
        <v>1189</v>
      </c>
      <c r="HS2" s="3359"/>
      <c r="HT2" s="3359"/>
      <c r="HU2" s="3359"/>
      <c r="HV2" s="3359"/>
      <c r="HW2" s="3359"/>
      <c r="HX2" s="3359"/>
      <c r="HY2" s="3359"/>
      <c r="HZ2" s="3359"/>
      <c r="IA2" s="3359"/>
      <c r="IB2" s="3359"/>
      <c r="IC2" s="3359"/>
      <c r="ID2" s="3359"/>
      <c r="IE2" s="3359"/>
      <c r="IF2" s="3359" t="s">
        <v>1189</v>
      </c>
      <c r="IG2" s="3359"/>
      <c r="IH2" s="3359"/>
      <c r="II2" s="3359"/>
      <c r="IJ2" s="3359"/>
      <c r="IK2" s="3359"/>
      <c r="IL2" s="3359"/>
      <c r="IM2" s="3359"/>
      <c r="IN2" s="3359"/>
      <c r="IO2" s="3359"/>
      <c r="IP2" s="2815"/>
      <c r="IQ2" s="2815"/>
      <c r="IR2" s="2815"/>
      <c r="IS2" s="2815"/>
      <c r="IT2" s="2815"/>
      <c r="IU2" s="2815"/>
      <c r="IV2" s="2815"/>
      <c r="IW2" s="2815"/>
      <c r="IX2" s="2815"/>
      <c r="IY2" s="2815"/>
      <c r="IZ2" s="2815"/>
      <c r="JA2" s="2815"/>
      <c r="JB2" s="2815"/>
      <c r="JC2" s="2815"/>
      <c r="JD2" s="2815"/>
      <c r="JE2" s="2815"/>
      <c r="JF2" s="2815"/>
      <c r="JG2" s="3348"/>
      <c r="JH2" s="1233"/>
    </row>
    <row r="3" spans="1:270" x14ac:dyDescent="0.2">
      <c r="A3" s="1128">
        <v>3</v>
      </c>
      <c r="B3" s="1534" t="str">
        <f si="0" t="shared"/>
        <v/>
      </c>
      <c r="C3" s="1278" t="s">
        <v>2122</v>
      </c>
      <c r="D3" s="1386" t="s">
        <v>5320</v>
      </c>
      <c r="E3" s="2688"/>
      <c r="F3" s="2688"/>
      <c r="G3" s="2688"/>
      <c r="H3" s="2688"/>
      <c r="I3" s="2688"/>
      <c r="J3" s="2688"/>
      <c r="K3" s="2688"/>
      <c r="L3" s="2688"/>
      <c r="M3" s="2688"/>
      <c r="N3" s="2688"/>
      <c r="O3" s="2688"/>
      <c r="P3" s="2688"/>
      <c r="Q3" s="2688"/>
      <c r="R3" s="2688"/>
      <c r="S3" s="2688"/>
      <c r="T3" s="2688"/>
      <c r="U3" s="2688"/>
      <c r="V3" s="2688"/>
      <c r="W3" s="2688"/>
      <c r="X3" s="2688"/>
      <c r="Y3" s="2688"/>
      <c r="Z3" s="2688"/>
      <c r="AA3" s="2688"/>
      <c r="AB3" s="2688"/>
      <c r="AC3" s="2688"/>
      <c r="AD3" s="2688"/>
      <c r="AE3" s="2688"/>
      <c r="AF3" s="2688"/>
      <c r="AG3" s="2688"/>
      <c r="AH3" s="2688"/>
      <c r="AI3" s="2688"/>
      <c r="AJ3" s="2688"/>
      <c r="AK3" s="2688"/>
      <c r="AL3" s="2688"/>
      <c r="AM3" s="2688"/>
      <c r="AN3" s="2688"/>
      <c r="AO3" s="2688"/>
      <c r="AP3" s="2688">
        <v>2261.67</v>
      </c>
      <c r="AQ3" s="2688">
        <v>42</v>
      </c>
      <c r="AR3" s="2688"/>
      <c r="AS3" s="2688"/>
      <c r="AT3" s="2688"/>
      <c r="AU3" s="2688"/>
      <c r="AV3" s="2688"/>
      <c r="AW3" s="2688"/>
      <c r="AX3" s="2688"/>
      <c r="AY3" s="2688"/>
      <c r="AZ3" s="2688"/>
      <c r="BA3" s="2688"/>
      <c r="BB3" s="2688">
        <v>0</v>
      </c>
      <c r="BC3" s="2688">
        <v>2442</v>
      </c>
      <c r="BD3" s="2688">
        <v>2442</v>
      </c>
      <c r="BE3" s="2688"/>
      <c r="BF3" s="2688"/>
      <c r="BG3" s="2688"/>
      <c r="BH3" s="2688"/>
      <c r="BI3" s="2688"/>
      <c r="BJ3" s="2688">
        <v>2442</v>
      </c>
      <c r="BK3" s="2688"/>
      <c r="BL3" s="2688"/>
      <c r="BM3" s="2688"/>
      <c r="BN3" s="2688"/>
      <c r="BO3" s="2688"/>
      <c r="BP3" s="2688"/>
      <c r="BQ3" s="2688"/>
      <c r="BR3" s="2688"/>
      <c r="BS3" s="2688"/>
      <c r="BT3" s="2688"/>
      <c r="BU3" s="2688"/>
      <c r="BV3" s="2688"/>
      <c r="BW3" s="2688"/>
      <c r="BX3" s="2688"/>
      <c r="BY3" s="2688"/>
      <c r="BZ3" s="2688"/>
      <c r="CA3" s="2688"/>
      <c r="CB3" s="2688"/>
      <c r="CC3" s="2688"/>
      <c r="CD3" s="2688"/>
      <c r="CE3" s="2688"/>
      <c r="CF3" s="2688"/>
      <c r="CG3" s="2688"/>
      <c r="CH3" s="2688"/>
      <c r="CI3" s="2688"/>
      <c r="CJ3" s="2688"/>
      <c r="CK3" s="2688"/>
      <c r="CL3" s="2688"/>
      <c r="CM3" s="2688"/>
      <c r="CN3" s="2688"/>
      <c r="CO3" s="2688"/>
      <c r="CP3" s="2688"/>
      <c r="CQ3" s="2688"/>
      <c r="CR3" s="2688"/>
      <c r="CS3" s="2688"/>
      <c r="CT3" s="2688">
        <v>42</v>
      </c>
      <c r="CU3" s="2688"/>
      <c r="CV3" s="2688"/>
      <c r="CW3" s="2688"/>
      <c r="CX3" s="2688"/>
      <c r="CY3" s="2688"/>
      <c r="CZ3" s="2688"/>
      <c r="DA3" s="2688"/>
      <c r="DB3" s="2688"/>
      <c r="DC3" s="2688"/>
      <c r="DD3" s="2688"/>
      <c r="DE3" s="2688"/>
      <c r="DF3" s="2688"/>
      <c r="DG3" s="2688"/>
      <c r="DH3" s="2688"/>
      <c r="DI3" s="2688">
        <v>0</v>
      </c>
      <c r="DJ3" s="2688"/>
      <c r="DK3" s="2688"/>
      <c r="DL3" s="2688"/>
      <c r="DM3" s="2688"/>
      <c r="DN3" s="2688"/>
      <c r="DO3" s="2688"/>
      <c r="DP3" s="2688"/>
      <c r="DQ3" s="2688"/>
      <c r="DR3" s="2688"/>
      <c r="DS3" s="2688"/>
      <c r="DT3" s="2688">
        <v>200</v>
      </c>
      <c r="DU3" s="2688"/>
      <c r="DV3" s="2688"/>
      <c r="DW3" s="2688"/>
      <c r="DX3" s="2688"/>
      <c r="DY3" s="2688"/>
      <c r="DZ3" s="2688"/>
      <c r="EA3" s="2688"/>
      <c r="EB3" s="2688"/>
      <c r="EC3" s="2688"/>
      <c r="ED3" s="2688"/>
      <c r="EE3" s="2688"/>
      <c r="EF3" s="2688"/>
      <c r="EG3" s="2688"/>
      <c r="EH3" s="2688"/>
      <c r="EI3" s="2688"/>
      <c r="EJ3" s="2688"/>
      <c r="EK3" s="2688"/>
      <c r="EL3" s="2688"/>
      <c r="EM3" s="2688"/>
      <c r="EN3" s="2688"/>
      <c r="EO3" s="2688"/>
      <c r="EP3" s="2688"/>
      <c r="EQ3" s="2688"/>
      <c r="ER3" s="2688"/>
      <c r="ES3" s="2688"/>
      <c r="ET3" s="2688"/>
      <c r="EU3" s="2688"/>
      <c r="EV3" s="2688"/>
      <c r="EW3" s="2688"/>
      <c r="EX3" s="2688">
        <v>393.5</v>
      </c>
      <c r="EY3" s="2688"/>
      <c r="EZ3" s="2688"/>
      <c r="FA3" s="2688"/>
      <c r="FB3" s="2688"/>
      <c r="FC3" s="2688"/>
      <c r="FD3" s="2688"/>
      <c r="FE3" s="2688"/>
      <c r="FF3" s="2688"/>
      <c r="FG3" s="2688"/>
      <c r="FH3" s="2688"/>
      <c r="FI3" s="2688"/>
      <c r="FJ3" s="2688"/>
      <c r="FK3" s="2688"/>
      <c r="FL3" s="2688"/>
      <c r="FM3" s="2688"/>
      <c r="FN3" s="2688"/>
      <c r="FO3" s="2688"/>
      <c r="FP3" s="2688"/>
      <c r="FQ3" s="2688"/>
      <c r="FR3" s="2688"/>
      <c r="FS3" s="2688"/>
      <c r="FT3" s="2688"/>
      <c r="FU3" s="2688"/>
      <c r="FV3" s="2688"/>
      <c r="FW3" s="2688"/>
      <c r="FX3" s="2688"/>
      <c r="FY3" s="2688"/>
      <c r="FZ3" s="2688"/>
      <c r="GA3" s="2688"/>
      <c r="GB3" s="2688"/>
      <c r="GC3" s="2688"/>
      <c r="GD3" s="2688"/>
      <c r="GE3" s="2688"/>
      <c r="GF3" s="2688">
        <v>2261.67</v>
      </c>
      <c r="GG3" s="2688"/>
      <c r="GH3" s="2688"/>
      <c r="GI3" s="2688"/>
      <c r="GJ3" s="2688"/>
      <c r="GK3" s="2688"/>
      <c r="GL3" s="2688"/>
      <c r="GM3" s="2688"/>
      <c r="GN3" s="2688"/>
      <c r="GO3" s="2688"/>
      <c r="GP3" s="2688"/>
      <c r="GQ3" s="2688"/>
      <c r="GR3" s="2688"/>
      <c r="GS3" s="2688"/>
      <c r="GT3" s="2688"/>
      <c r="GU3" s="2688"/>
      <c r="GV3" s="2688"/>
      <c r="GW3" s="2688"/>
      <c r="GX3" s="2688"/>
      <c r="GY3" s="2688"/>
      <c r="GZ3" s="2688"/>
      <c r="HA3" s="2688"/>
      <c r="HB3" s="2688"/>
      <c r="HC3" s="2688"/>
      <c r="HD3" s="2688"/>
      <c r="HE3" s="2688"/>
      <c r="HF3" s="2688"/>
      <c r="HG3" s="2688"/>
      <c r="HH3" s="2688">
        <v>0</v>
      </c>
      <c r="HI3" s="2688"/>
      <c r="HJ3" s="2688">
        <v>35299</v>
      </c>
      <c r="HK3" s="2688">
        <v>35299</v>
      </c>
      <c r="HL3" s="2688">
        <v>35299</v>
      </c>
      <c r="HM3" s="2688">
        <v>35299</v>
      </c>
      <c r="HN3" s="2688"/>
      <c r="HO3" s="2688"/>
      <c r="HP3" s="2688">
        <v>97.12</v>
      </c>
      <c r="HQ3" s="2688"/>
      <c r="HR3" s="2688">
        <v>393.5</v>
      </c>
      <c r="HS3" s="2688"/>
      <c r="HT3" s="2688"/>
      <c r="HU3" s="2688"/>
      <c r="HV3" s="2688"/>
      <c r="HW3" s="2688"/>
      <c r="HX3" s="2688"/>
      <c r="HY3" s="2688"/>
      <c r="HZ3" s="2688"/>
      <c r="IA3" s="2688"/>
      <c r="IB3" s="2688"/>
      <c r="IC3" s="2688"/>
      <c r="ID3" s="2688"/>
      <c r="IE3" s="2688"/>
      <c r="IF3" s="2688">
        <v>4632.3900000000003</v>
      </c>
      <c r="IG3" s="2688"/>
      <c r="IH3" s="2688"/>
      <c r="II3" s="2688"/>
      <c r="IJ3" s="2688"/>
      <c r="IK3" s="2688"/>
      <c r="IL3" s="2688"/>
      <c r="IM3" s="2688"/>
      <c r="IN3" s="2688"/>
      <c r="IO3" s="2688"/>
      <c r="IP3" s="3556"/>
      <c r="IQ3" s="3556"/>
      <c r="IR3" s="3556"/>
      <c r="IS3" s="3556"/>
      <c r="IT3" s="3556"/>
      <c r="IU3" s="3556"/>
      <c r="IV3" s="3556"/>
      <c r="IW3" s="3556"/>
      <c r="IX3" s="3556"/>
      <c r="IY3" s="3556"/>
      <c r="IZ3" s="3556"/>
      <c r="JA3" s="3556"/>
      <c r="JB3" s="3556"/>
      <c r="JC3" s="3556"/>
      <c r="JD3" s="3556"/>
      <c r="JE3" s="3556"/>
      <c r="JF3" s="3946">
        <v>1334.77</v>
      </c>
      <c r="JG3" s="3929"/>
      <c r="JH3" s="1233"/>
    </row>
    <row r="4" spans="1:270" x14ac:dyDescent="0.2">
      <c r="A4" s="1128">
        <v>4</v>
      </c>
      <c r="B4" s="1534" t="str">
        <f si="0" t="shared"/>
        <v/>
      </c>
      <c r="C4" s="1278" t="s">
        <v>3531</v>
      </c>
      <c r="D4" s="1386" t="s">
        <v>5321</v>
      </c>
      <c r="E4" s="3359"/>
      <c r="F4" s="3359"/>
      <c r="G4" s="3359"/>
      <c r="H4" s="3359"/>
      <c r="I4" s="3359"/>
      <c r="J4" s="3359"/>
      <c r="K4" s="3359"/>
      <c r="L4" s="3359"/>
      <c r="M4" s="3359"/>
      <c r="N4" s="3359"/>
      <c r="O4" s="3359"/>
      <c r="P4" s="3359"/>
      <c r="Q4" s="3359"/>
      <c r="R4" s="3359"/>
      <c r="S4" s="3359"/>
      <c r="T4" s="3359"/>
      <c r="U4" s="3359"/>
      <c r="V4" s="3359"/>
      <c r="W4" s="3359"/>
      <c r="X4" s="3359"/>
      <c r="Y4" s="3359"/>
      <c r="Z4" s="3359"/>
      <c r="AA4" s="3359"/>
      <c r="AB4" s="3359"/>
      <c r="AC4" s="3359"/>
      <c r="AD4" s="3359"/>
      <c r="AE4" s="3359"/>
      <c r="AF4" s="3359"/>
      <c r="AG4" s="3359"/>
      <c r="AH4" s="3359"/>
      <c r="AI4" s="3359"/>
      <c r="AJ4" s="3359"/>
      <c r="AK4" s="3359"/>
      <c r="AL4" s="3359"/>
      <c r="AM4" s="3359"/>
      <c r="AN4" s="3359"/>
      <c r="AO4" s="3359"/>
      <c r="AP4" s="3359" t="s">
        <v>3031</v>
      </c>
      <c r="AQ4" s="3359" t="s">
        <v>2755</v>
      </c>
      <c r="AR4" s="3359"/>
      <c r="AS4" s="3359"/>
      <c r="AT4" s="3359"/>
      <c r="AU4" s="3359"/>
      <c r="AV4" s="3359"/>
      <c r="AW4" s="3359" t="s">
        <v>1563</v>
      </c>
      <c r="AX4" s="3359"/>
      <c r="AY4" s="3359"/>
      <c r="AZ4" s="3359"/>
      <c r="BA4" s="3359"/>
      <c r="BB4" s="3359" t="s">
        <v>2755</v>
      </c>
      <c r="BC4" s="3359" t="s">
        <v>3031</v>
      </c>
      <c r="BD4" s="3359" t="s">
        <v>3031</v>
      </c>
      <c r="BE4" s="3359"/>
      <c r="BF4" s="3359"/>
      <c r="BG4" s="3359"/>
      <c r="BH4" s="3359"/>
      <c r="BI4" s="3359"/>
      <c r="BJ4" s="3359" t="s">
        <v>3031</v>
      </c>
      <c r="BK4" s="3359"/>
      <c r="BL4" s="3359"/>
      <c r="BM4" s="3359"/>
      <c r="BN4" s="3359"/>
      <c r="BO4" s="3359"/>
      <c r="BP4" s="3359"/>
      <c r="BQ4" s="3359"/>
      <c r="BR4" s="3359"/>
      <c r="BS4" s="3359"/>
      <c r="BT4" s="3359"/>
      <c r="BU4" s="3359"/>
      <c r="BV4" s="3359"/>
      <c r="BW4" s="3359"/>
      <c r="BX4" s="3359"/>
      <c r="BY4" s="3359"/>
      <c r="BZ4" s="3359"/>
      <c r="CA4" s="3359"/>
      <c r="CB4" s="3359"/>
      <c r="CC4" s="3359"/>
      <c r="CD4" s="3359"/>
      <c r="CE4" s="3359"/>
      <c r="CF4" s="3359"/>
      <c r="CG4" s="3359"/>
      <c r="CH4" s="3359"/>
      <c r="CI4" s="3359"/>
      <c r="CJ4" s="3359" t="s">
        <v>2788</v>
      </c>
      <c r="CK4" s="3359"/>
      <c r="CL4" s="3359"/>
      <c r="CM4" s="3359"/>
      <c r="CN4" s="3359"/>
      <c r="CO4" s="3359"/>
      <c r="CP4" s="3359"/>
      <c r="CQ4" s="3359"/>
      <c r="CR4" s="3359"/>
      <c r="CS4" s="3359"/>
      <c r="CT4" s="3359" t="s">
        <v>2755</v>
      </c>
      <c r="CU4" s="3359"/>
      <c r="CV4" s="3359"/>
      <c r="CW4" s="3359"/>
      <c r="CX4" s="3359"/>
      <c r="CY4" s="3359"/>
      <c r="CZ4" s="3359"/>
      <c r="DA4" s="3359"/>
      <c r="DB4" s="3359"/>
      <c r="DC4" s="3359"/>
      <c r="DD4" s="3359"/>
      <c r="DE4" s="3359"/>
      <c r="DF4" s="3359"/>
      <c r="DG4" s="3359"/>
      <c r="DH4" s="3359"/>
      <c r="DI4" s="3359" t="s">
        <v>2755</v>
      </c>
      <c r="DJ4" s="3359"/>
      <c r="DK4" s="3359"/>
      <c r="DL4" s="3359"/>
      <c r="DM4" s="3359" t="s">
        <v>2788</v>
      </c>
      <c r="DN4" s="3359"/>
      <c r="DO4" s="3359"/>
      <c r="DP4" s="3359"/>
      <c r="DQ4" s="3359"/>
      <c r="DR4" s="3359"/>
      <c r="DS4" s="3359"/>
      <c r="DT4" s="3359"/>
      <c r="DU4" s="3359"/>
      <c r="DV4" s="3359"/>
      <c r="DW4" s="3359"/>
      <c r="DX4" s="3359"/>
      <c r="DY4" s="3359"/>
      <c r="DZ4" s="3359"/>
      <c r="EA4" s="3359"/>
      <c r="EB4" s="3359"/>
      <c r="EC4" s="3359"/>
      <c r="ED4" s="3359"/>
      <c r="EE4" s="3359"/>
      <c r="EF4" s="3359"/>
      <c r="EG4" s="3359"/>
      <c r="EH4" s="3359"/>
      <c r="EI4" s="3359"/>
      <c r="EJ4" s="3359"/>
      <c r="EK4" s="3359"/>
      <c r="EL4" s="3359"/>
      <c r="EM4" s="3359"/>
      <c r="EN4" s="3359"/>
      <c r="EO4" s="3359" t="s">
        <v>2788</v>
      </c>
      <c r="EP4" s="3359"/>
      <c r="EQ4" s="3359"/>
      <c r="ER4" s="3359"/>
      <c r="ES4" s="3359"/>
      <c r="ET4" s="3359"/>
      <c r="EU4" s="3359"/>
      <c r="EV4" s="3359"/>
      <c r="EW4" s="3359"/>
      <c r="EX4" s="3359" t="s">
        <v>1149</v>
      </c>
      <c r="EY4" s="3359"/>
      <c r="EZ4" s="3359"/>
      <c r="FA4" s="3359"/>
      <c r="FB4" s="3359"/>
      <c r="FC4" s="3359"/>
      <c r="FD4" s="3359"/>
      <c r="FE4" s="3359"/>
      <c r="FF4" s="3359"/>
      <c r="FG4" s="3359"/>
      <c r="FH4" s="3359"/>
      <c r="FI4" s="3359"/>
      <c r="FJ4" s="3359"/>
      <c r="FK4" s="3359"/>
      <c r="FL4" s="3359"/>
      <c r="FM4" s="3359"/>
      <c r="FN4" s="3359"/>
      <c r="FO4" s="3359"/>
      <c r="FP4" s="3359"/>
      <c r="FQ4" s="3359"/>
      <c r="FR4" s="3359"/>
      <c r="FS4" s="3359"/>
      <c r="FT4" s="3359"/>
      <c r="FU4" s="3359"/>
      <c r="FV4" s="3359"/>
      <c r="FW4" s="3359"/>
      <c r="FX4" s="3359"/>
      <c r="FY4" s="3359"/>
      <c r="FZ4" s="3359"/>
      <c r="GA4" s="3359"/>
      <c r="GB4" s="3359"/>
      <c r="GC4" s="3359"/>
      <c r="GD4" s="3359"/>
      <c r="GE4" s="3359"/>
      <c r="GF4" s="3359" t="s">
        <v>3031</v>
      </c>
      <c r="GG4" s="3359"/>
      <c r="GH4" s="3359"/>
      <c r="GI4" s="3359"/>
      <c r="GJ4" s="3359"/>
      <c r="GK4" s="3359"/>
      <c r="GL4" s="3359"/>
      <c r="GM4" s="3359"/>
      <c r="GN4" s="3359"/>
      <c r="GO4" s="3359"/>
      <c r="GP4" s="3359"/>
      <c r="GQ4" s="3359"/>
      <c r="GR4" s="3359"/>
      <c r="GS4" s="3359"/>
      <c r="GT4" s="3359"/>
      <c r="GU4" s="3359"/>
      <c r="GV4" s="3359"/>
      <c r="GW4" s="3359"/>
      <c r="GX4" s="3359"/>
      <c r="GY4" s="3359"/>
      <c r="GZ4" s="3359"/>
      <c r="HA4" s="3359"/>
      <c r="HB4" s="3359"/>
      <c r="HC4" s="3359"/>
      <c r="HD4" s="3359"/>
      <c r="HE4" s="3359"/>
      <c r="HF4" s="3359"/>
      <c r="HG4" s="3359"/>
      <c r="HH4" s="3359" t="s">
        <v>3031</v>
      </c>
      <c r="HI4" s="3359"/>
      <c r="HJ4" s="3359"/>
      <c r="HK4" s="3359"/>
      <c r="HL4" s="3359"/>
      <c r="HM4" s="3359"/>
      <c r="HN4" s="3359"/>
      <c r="HO4" s="3359"/>
      <c r="HP4" s="3359" t="s">
        <v>1149</v>
      </c>
      <c r="HQ4" s="3359"/>
      <c r="HR4" s="3359" t="s">
        <v>1149</v>
      </c>
      <c r="HS4" s="3359"/>
      <c r="HT4" s="3359"/>
      <c r="HU4" s="3359"/>
      <c r="HV4" s="3359"/>
      <c r="HW4" s="3359"/>
      <c r="HX4" s="3359"/>
      <c r="HY4" s="3359"/>
      <c r="HZ4" s="3359"/>
      <c r="IA4" s="3359"/>
      <c r="IB4" s="3359"/>
      <c r="IC4" s="3359" t="s">
        <v>2755</v>
      </c>
      <c r="ID4" s="3359"/>
      <c r="IE4" s="3359"/>
      <c r="IF4" s="3359" t="s">
        <v>2755</v>
      </c>
      <c r="IG4" s="3359"/>
      <c r="IH4" s="3359" t="s">
        <v>1229</v>
      </c>
      <c r="II4" s="3359"/>
      <c r="IJ4" s="3359"/>
      <c r="IK4" s="3359"/>
      <c r="IL4" s="3359"/>
      <c r="IM4" s="3359"/>
      <c r="IN4" s="3359"/>
      <c r="IO4" s="3359"/>
      <c r="IP4" s="2815"/>
      <c r="IQ4" s="2815"/>
      <c r="IR4" s="2815"/>
      <c r="IS4" s="2815"/>
      <c r="IT4" s="2815"/>
      <c r="IU4" s="2815"/>
      <c r="IV4" s="2815"/>
      <c r="IW4" s="2815"/>
      <c r="IX4" s="3979" t="s">
        <v>1983</v>
      </c>
      <c r="IY4" s="2815"/>
      <c r="IZ4" s="2815"/>
      <c r="JA4" s="2815"/>
      <c r="JB4" s="2815"/>
      <c r="JC4" s="2815"/>
      <c r="JD4" s="2815"/>
      <c r="JE4" s="2815"/>
      <c r="JF4" s="2815"/>
      <c r="JG4" s="3348"/>
      <c r="JH4" s="1233"/>
    </row>
    <row r="5" spans="1:270" x14ac:dyDescent="0.2">
      <c r="A5" s="1128">
        <v>5</v>
      </c>
      <c r="B5" s="1534" t="str">
        <f si="0" t="shared"/>
        <v/>
      </c>
      <c r="C5" s="1278" t="s">
        <v>3532</v>
      </c>
      <c r="D5" s="1386" t="s">
        <v>5322</v>
      </c>
      <c r="E5" s="2688"/>
      <c r="F5" s="2688"/>
      <c r="G5" s="2688"/>
      <c r="H5" s="2688"/>
      <c r="I5" s="2688"/>
      <c r="J5" s="2688"/>
      <c r="K5" s="2688"/>
      <c r="L5" s="2688"/>
      <c r="M5" s="2688"/>
      <c r="N5" s="2688"/>
      <c r="O5" s="2688"/>
      <c r="P5" s="2688"/>
      <c r="Q5" s="2688"/>
      <c r="R5" s="2688"/>
      <c r="S5" s="2688"/>
      <c r="T5" s="2688"/>
      <c r="U5" s="2688"/>
      <c r="V5" s="2688"/>
      <c r="W5" s="2688"/>
      <c r="X5" s="2688"/>
      <c r="Y5" s="2688"/>
      <c r="Z5" s="2688"/>
      <c r="AA5" s="2688"/>
      <c r="AB5" s="2688"/>
      <c r="AC5" s="2688"/>
      <c r="AD5" s="2688"/>
      <c r="AE5" s="2688"/>
      <c r="AF5" s="2688"/>
      <c r="AG5" s="2688"/>
      <c r="AH5" s="2688"/>
      <c r="AI5" s="2688"/>
      <c r="AJ5" s="2688"/>
      <c r="AK5" s="2688"/>
      <c r="AL5" s="2688"/>
      <c r="AM5" s="2688"/>
      <c r="AN5" s="2688"/>
      <c r="AO5" s="2688"/>
      <c r="AP5" s="2688">
        <v>3562</v>
      </c>
      <c r="AQ5" s="2688">
        <v>1263</v>
      </c>
      <c r="AR5" s="2688"/>
      <c r="AS5" s="2688"/>
      <c r="AT5" s="2688"/>
      <c r="AU5" s="2688"/>
      <c r="AV5" s="2688"/>
      <c r="AW5" s="2688">
        <v>500</v>
      </c>
      <c r="AX5" s="2688"/>
      <c r="AY5" s="2688"/>
      <c r="AZ5" s="2688"/>
      <c r="BA5" s="2688"/>
      <c r="BB5" s="2688">
        <v>1263</v>
      </c>
      <c r="BC5" s="2688">
        <v>3562</v>
      </c>
      <c r="BD5" s="2688">
        <v>3562</v>
      </c>
      <c r="BE5" s="2688"/>
      <c r="BF5" s="2688"/>
      <c r="BG5" s="2688"/>
      <c r="BH5" s="2688"/>
      <c r="BI5" s="2688"/>
      <c r="BJ5" s="2688">
        <v>3562</v>
      </c>
      <c r="BK5" s="2688"/>
      <c r="BL5" s="2688"/>
      <c r="BM5" s="2688"/>
      <c r="BN5" s="2688"/>
      <c r="BO5" s="2688"/>
      <c r="BP5" s="2688"/>
      <c r="BQ5" s="2688"/>
      <c r="BR5" s="2688"/>
      <c r="BS5" s="2688"/>
      <c r="BT5" s="2688"/>
      <c r="BU5" s="2688"/>
      <c r="BV5" s="2688"/>
      <c r="BW5" s="2688"/>
      <c r="BX5" s="2688"/>
      <c r="BY5" s="2688"/>
      <c r="BZ5" s="2688"/>
      <c r="CA5" s="2688"/>
      <c r="CB5" s="2688"/>
      <c r="CC5" s="2688"/>
      <c r="CD5" s="2688"/>
      <c r="CE5" s="2688"/>
      <c r="CF5" s="2688"/>
      <c r="CG5" s="2688"/>
      <c r="CH5" s="2688"/>
      <c r="CI5" s="2688"/>
      <c r="CJ5" s="2688">
        <v>4227</v>
      </c>
      <c r="CK5" s="2688"/>
      <c r="CL5" s="2688"/>
      <c r="CM5" s="2688"/>
      <c r="CN5" s="2688"/>
      <c r="CO5" s="2688"/>
      <c r="CP5" s="2688"/>
      <c r="CQ5" s="2688"/>
      <c r="CR5" s="2688"/>
      <c r="CS5" s="2688"/>
      <c r="CT5" s="2688">
        <v>1263</v>
      </c>
      <c r="CU5" s="2688"/>
      <c r="CV5" s="2688"/>
      <c r="CW5" s="2688"/>
      <c r="CX5" s="2688"/>
      <c r="CY5" s="2688"/>
      <c r="CZ5" s="2688"/>
      <c r="DA5" s="2688"/>
      <c r="DB5" s="2688"/>
      <c r="DC5" s="2688"/>
      <c r="DD5" s="2688"/>
      <c r="DE5" s="2688"/>
      <c r="DF5" s="2688"/>
      <c r="DG5" s="2688"/>
      <c r="DH5" s="2688"/>
      <c r="DI5" s="2688">
        <v>1263</v>
      </c>
      <c r="DJ5" s="2688"/>
      <c r="DK5" s="2688"/>
      <c r="DL5" s="2688"/>
      <c r="DM5" s="2688">
        <v>4227</v>
      </c>
      <c r="DN5" s="2688"/>
      <c r="DO5" s="2688"/>
      <c r="DP5" s="2688"/>
      <c r="DQ5" s="2688"/>
      <c r="DR5" s="2688"/>
      <c r="DS5" s="2688"/>
      <c r="DT5" s="2688"/>
      <c r="DU5" s="2688"/>
      <c r="DV5" s="2688"/>
      <c r="DW5" s="2688"/>
      <c r="DX5" s="2688"/>
      <c r="DY5" s="2688"/>
      <c r="DZ5" s="2688"/>
      <c r="EA5" s="2688"/>
      <c r="EB5" s="2688"/>
      <c r="EC5" s="2688"/>
      <c r="ED5" s="2688"/>
      <c r="EE5" s="2688"/>
      <c r="EF5" s="2688"/>
      <c r="EG5" s="2688"/>
      <c r="EH5" s="2688"/>
      <c r="EI5" s="2688"/>
      <c r="EJ5" s="2688"/>
      <c r="EK5" s="2688"/>
      <c r="EL5" s="2688"/>
      <c r="EM5" s="2688"/>
      <c r="EN5" s="2688"/>
      <c r="EO5" s="2688">
        <v>4227</v>
      </c>
      <c r="EP5" s="2688"/>
      <c r="EQ5" s="2688"/>
      <c r="ER5" s="2688"/>
      <c r="ES5" s="2688"/>
      <c r="ET5" s="2688"/>
      <c r="EU5" s="2688"/>
      <c r="EV5" s="2688"/>
      <c r="EW5" s="2688"/>
      <c r="EX5" s="2688">
        <v>500</v>
      </c>
      <c r="EY5" s="2688"/>
      <c r="EZ5" s="2688"/>
      <c r="FA5" s="2688"/>
      <c r="FB5" s="2688"/>
      <c r="FC5" s="2688"/>
      <c r="FD5" s="2688"/>
      <c r="FE5" s="2688"/>
      <c r="FF5" s="2688"/>
      <c r="FG5" s="2688"/>
      <c r="FH5" s="2688"/>
      <c r="FI5" s="2688"/>
      <c r="FJ5" s="2688"/>
      <c r="FK5" s="2688"/>
      <c r="FL5" s="2688"/>
      <c r="FM5" s="2688"/>
      <c r="FN5" s="2688"/>
      <c r="FO5" s="2688"/>
      <c r="FP5" s="2688"/>
      <c r="FQ5" s="2688"/>
      <c r="FR5" s="2688"/>
      <c r="FS5" s="2688"/>
      <c r="FT5" s="2688"/>
      <c r="FU5" s="2688"/>
      <c r="FV5" s="2688"/>
      <c r="FW5" s="2688"/>
      <c r="FX5" s="2688"/>
      <c r="FY5" s="2688"/>
      <c r="FZ5" s="2688"/>
      <c r="GA5" s="2688"/>
      <c r="GB5" s="2688"/>
      <c r="GC5" s="2688"/>
      <c r="GD5" s="2688"/>
      <c r="GE5" s="2688"/>
      <c r="GF5" s="2688">
        <v>3562</v>
      </c>
      <c r="GG5" s="2688"/>
      <c r="GH5" s="2688"/>
      <c r="GI5" s="2688"/>
      <c r="GJ5" s="2688"/>
      <c r="GK5" s="2688"/>
      <c r="GL5" s="2688"/>
      <c r="GM5" s="2688"/>
      <c r="GN5" s="2688"/>
      <c r="GO5" s="2688"/>
      <c r="GP5" s="2688"/>
      <c r="GQ5" s="2688"/>
      <c r="GR5" s="2688"/>
      <c r="GS5" s="2688"/>
      <c r="GT5" s="2688"/>
      <c r="GU5" s="2688"/>
      <c r="GV5" s="2688"/>
      <c r="GW5" s="2688"/>
      <c r="GX5" s="2688"/>
      <c r="GY5" s="2688"/>
      <c r="GZ5" s="2688"/>
      <c r="HA5" s="2688"/>
      <c r="HB5" s="2688"/>
      <c r="HC5" s="2688"/>
      <c r="HD5" s="2688"/>
      <c r="HE5" s="2688"/>
      <c r="HF5" s="2688"/>
      <c r="HG5" s="2688"/>
      <c r="HH5" s="2688">
        <v>1697</v>
      </c>
      <c r="HI5" s="2688"/>
      <c r="HJ5" s="2688"/>
      <c r="HK5" s="2688"/>
      <c r="HL5" s="2688"/>
      <c r="HM5" s="2688"/>
      <c r="HN5" s="2688"/>
      <c r="HO5" s="2688"/>
      <c r="HP5" s="2688">
        <v>500</v>
      </c>
      <c r="HQ5" s="2688"/>
      <c r="HR5" s="2688">
        <v>500</v>
      </c>
      <c r="HS5" s="2688"/>
      <c r="HT5" s="2688"/>
      <c r="HU5" s="2688"/>
      <c r="HV5" s="2688"/>
      <c r="HW5" s="2688"/>
      <c r="HX5" s="2688"/>
      <c r="HY5" s="2688"/>
      <c r="HZ5" s="2688"/>
      <c r="IA5" s="2688"/>
      <c r="IB5" s="2688"/>
      <c r="IC5" s="2688">
        <v>451</v>
      </c>
      <c r="ID5" s="2688"/>
      <c r="IE5" s="2688"/>
      <c r="IF5" s="2688">
        <v>19048</v>
      </c>
      <c r="IG5" s="2688"/>
      <c r="IH5" s="2688">
        <v>2703</v>
      </c>
      <c r="II5" s="2688"/>
      <c r="IJ5" s="2688"/>
      <c r="IK5" s="2688"/>
      <c r="IL5" s="2688"/>
      <c r="IM5" s="2688"/>
      <c r="IN5" s="2688"/>
      <c r="IO5" s="2688"/>
      <c r="IP5" s="3557"/>
      <c r="IQ5" s="3557"/>
      <c r="IR5" s="3557"/>
      <c r="IS5" s="3557"/>
      <c r="IT5" s="3557"/>
      <c r="IU5" s="3557"/>
      <c r="IV5" s="3557"/>
      <c r="IW5" s="3557"/>
      <c r="IX5" s="4031">
        <v>130</v>
      </c>
      <c r="IY5" s="3557"/>
      <c r="IZ5" s="3557"/>
      <c r="JA5" s="3557"/>
      <c r="JB5" s="3557"/>
      <c r="JC5" s="3557"/>
      <c r="JD5" s="3557"/>
      <c r="JE5" s="3557"/>
      <c r="JF5" s="3557"/>
      <c r="JG5" s="4085"/>
      <c r="JH5" s="1233"/>
    </row>
    <row r="6" spans="1:270" x14ac:dyDescent="0.2">
      <c r="A6" s="1128">
        <v>6</v>
      </c>
      <c r="B6" s="1534" t="str">
        <f si="0" t="shared"/>
        <v/>
      </c>
      <c r="C6" s="1278" t="s">
        <v>3533</v>
      </c>
      <c r="D6" s="1386" t="s">
        <v>5323</v>
      </c>
      <c r="E6" s="2688"/>
      <c r="F6" s="2688"/>
      <c r="G6" s="2688"/>
      <c r="H6" s="2688"/>
      <c r="I6" s="2688"/>
      <c r="J6" s="2688"/>
      <c r="K6" s="2688"/>
      <c r="L6" s="2688"/>
      <c r="M6" s="2688"/>
      <c r="N6" s="2688"/>
      <c r="O6" s="2688"/>
      <c r="P6" s="2688"/>
      <c r="Q6" s="2688"/>
      <c r="R6" s="2688"/>
      <c r="S6" s="2688"/>
      <c r="T6" s="2688"/>
      <c r="U6" s="2688"/>
      <c r="V6" s="2688"/>
      <c r="W6" s="2688"/>
      <c r="X6" s="2688"/>
      <c r="Y6" s="2688"/>
      <c r="Z6" s="2688"/>
      <c r="AA6" s="2688"/>
      <c r="AB6" s="2688"/>
      <c r="AC6" s="2688"/>
      <c r="AD6" s="2688"/>
      <c r="AE6" s="2688"/>
      <c r="AF6" s="2688"/>
      <c r="AG6" s="2688"/>
      <c r="AH6" s="2688"/>
      <c r="AI6" s="2688"/>
      <c r="AJ6" s="2688"/>
      <c r="AK6" s="2688"/>
      <c r="AL6" s="2688"/>
      <c r="AM6" s="2688"/>
      <c r="AN6" s="2688"/>
      <c r="AO6" s="2688"/>
      <c r="AP6" s="2688">
        <v>356</v>
      </c>
      <c r="AQ6" s="2688"/>
      <c r="AR6" s="2688"/>
      <c r="AS6" s="2688"/>
      <c r="AT6" s="2688"/>
      <c r="AU6" s="2688"/>
      <c r="AV6" s="2688"/>
      <c r="AW6" s="2688">
        <v>100</v>
      </c>
      <c r="AX6" s="2688"/>
      <c r="AY6" s="2688"/>
      <c r="AZ6" s="2688"/>
      <c r="BA6" s="2688"/>
      <c r="BB6" s="2688"/>
      <c r="BC6" s="2688">
        <v>356</v>
      </c>
      <c r="BD6" s="2688">
        <v>356</v>
      </c>
      <c r="BE6" s="2688"/>
      <c r="BF6" s="2688"/>
      <c r="BG6" s="2688"/>
      <c r="BH6" s="2688"/>
      <c r="BI6" s="2688"/>
      <c r="BJ6" s="2688">
        <v>356</v>
      </c>
      <c r="BK6" s="2688"/>
      <c r="BL6" s="2688"/>
      <c r="BM6" s="2688"/>
      <c r="BN6" s="2688"/>
      <c r="BO6" s="2688"/>
      <c r="BP6" s="2688"/>
      <c r="BQ6" s="2688"/>
      <c r="BR6" s="2688"/>
      <c r="BS6" s="2688"/>
      <c r="BT6" s="2688"/>
      <c r="BU6" s="2688"/>
      <c r="BV6" s="2688"/>
      <c r="BW6" s="2688"/>
      <c r="BX6" s="2688"/>
      <c r="BY6" s="2688"/>
      <c r="BZ6" s="2688"/>
      <c r="CA6" s="2688"/>
      <c r="CB6" s="2688"/>
      <c r="CC6" s="2688"/>
      <c r="CD6" s="2688"/>
      <c r="CE6" s="2688"/>
      <c r="CF6" s="2688"/>
      <c r="CG6" s="2688"/>
      <c r="CH6" s="2688"/>
      <c r="CI6" s="2688"/>
      <c r="CJ6" s="2688">
        <v>507</v>
      </c>
      <c r="CK6" s="2688"/>
      <c r="CL6" s="2688"/>
      <c r="CM6" s="2688"/>
      <c r="CN6" s="2688"/>
      <c r="CO6" s="2688"/>
      <c r="CP6" s="2688"/>
      <c r="CQ6" s="2688"/>
      <c r="CR6" s="2688"/>
      <c r="CS6" s="2688"/>
      <c r="CT6" s="2688"/>
      <c r="CU6" s="2688"/>
      <c r="CV6" s="2688"/>
      <c r="CW6" s="2688"/>
      <c r="CX6" s="2688"/>
      <c r="CY6" s="2688"/>
      <c r="CZ6" s="2688"/>
      <c r="DA6" s="2688"/>
      <c r="DB6" s="2688"/>
      <c r="DC6" s="2688"/>
      <c r="DD6" s="2688"/>
      <c r="DE6" s="2688"/>
      <c r="DF6" s="2688"/>
      <c r="DG6" s="2688"/>
      <c r="DH6" s="2688"/>
      <c r="DI6" s="2688"/>
      <c r="DJ6" s="2688"/>
      <c r="DK6" s="2688"/>
      <c r="DL6" s="2688"/>
      <c r="DM6" s="2688">
        <v>507</v>
      </c>
      <c r="DN6" s="2688"/>
      <c r="DO6" s="2688"/>
      <c r="DP6" s="2688"/>
      <c r="DQ6" s="2688"/>
      <c r="DR6" s="2688"/>
      <c r="DS6" s="2688"/>
      <c r="DT6" s="2688"/>
      <c r="DU6" s="2688"/>
      <c r="DV6" s="2688"/>
      <c r="DW6" s="2688"/>
      <c r="DX6" s="2688"/>
      <c r="DY6" s="2688"/>
      <c r="DZ6" s="2688"/>
      <c r="EA6" s="2688"/>
      <c r="EB6" s="2688"/>
      <c r="EC6" s="2688"/>
      <c r="ED6" s="2688"/>
      <c r="EE6" s="2688"/>
      <c r="EF6" s="2688"/>
      <c r="EG6" s="2688"/>
      <c r="EH6" s="2688"/>
      <c r="EI6" s="2688"/>
      <c r="EJ6" s="2688"/>
      <c r="EK6" s="2688"/>
      <c r="EL6" s="2688"/>
      <c r="EM6" s="2688"/>
      <c r="EN6" s="2688"/>
      <c r="EO6" s="2688">
        <v>507</v>
      </c>
      <c r="EP6" s="2688"/>
      <c r="EQ6" s="2688"/>
      <c r="ER6" s="2688"/>
      <c r="ES6" s="2688"/>
      <c r="ET6" s="2688"/>
      <c r="EU6" s="2688"/>
      <c r="EV6" s="2688"/>
      <c r="EW6" s="2688"/>
      <c r="EX6" s="2688">
        <v>100</v>
      </c>
      <c r="EY6" s="2688"/>
      <c r="EZ6" s="2688"/>
      <c r="FA6" s="2688"/>
      <c r="FB6" s="2688"/>
      <c r="FC6" s="2688"/>
      <c r="FD6" s="2688"/>
      <c r="FE6" s="2688"/>
      <c r="FF6" s="2688"/>
      <c r="FG6" s="2688"/>
      <c r="FH6" s="2688"/>
      <c r="FI6" s="2688"/>
      <c r="FJ6" s="2688"/>
      <c r="FK6" s="2688"/>
      <c r="FL6" s="2688"/>
      <c r="FM6" s="2688"/>
      <c r="FN6" s="2688"/>
      <c r="FO6" s="2688"/>
      <c r="FP6" s="2688"/>
      <c r="FQ6" s="2688"/>
      <c r="FR6" s="2688"/>
      <c r="FS6" s="2688"/>
      <c r="FT6" s="2688"/>
      <c r="FU6" s="2688"/>
      <c r="FV6" s="2688"/>
      <c r="FW6" s="2688"/>
      <c r="FX6" s="2688"/>
      <c r="FY6" s="2688"/>
      <c r="FZ6" s="2688"/>
      <c r="GA6" s="2688"/>
      <c r="GB6" s="2688"/>
      <c r="GC6" s="2688"/>
      <c r="GD6" s="2688"/>
      <c r="GE6" s="2688"/>
      <c r="GF6" s="2688">
        <v>356</v>
      </c>
      <c r="GG6" s="2688"/>
      <c r="GH6" s="2688"/>
      <c r="GI6" s="2688"/>
      <c r="GJ6" s="2688"/>
      <c r="GK6" s="2688"/>
      <c r="GL6" s="2688"/>
      <c r="GM6" s="2688"/>
      <c r="GN6" s="2688"/>
      <c r="GO6" s="2688"/>
      <c r="GP6" s="2688"/>
      <c r="GQ6" s="2688"/>
      <c r="GR6" s="2688"/>
      <c r="GS6" s="2688"/>
      <c r="GT6" s="2688"/>
      <c r="GU6" s="2688"/>
      <c r="GV6" s="2688"/>
      <c r="GW6" s="2688"/>
      <c r="GX6" s="2688"/>
      <c r="GY6" s="2688"/>
      <c r="GZ6" s="2688"/>
      <c r="HA6" s="2688"/>
      <c r="HB6" s="2688"/>
      <c r="HC6" s="2688"/>
      <c r="HD6" s="2688"/>
      <c r="HE6" s="2688"/>
      <c r="HF6" s="2688"/>
      <c r="HG6" s="2688"/>
      <c r="HH6" s="2688">
        <v>170</v>
      </c>
      <c r="HI6" s="2688"/>
      <c r="HJ6" s="2688"/>
      <c r="HK6" s="2688"/>
      <c r="HL6" s="2688"/>
      <c r="HM6" s="2688"/>
      <c r="HN6" s="2688"/>
      <c r="HO6" s="2688"/>
      <c r="HP6" s="2688">
        <v>100</v>
      </c>
      <c r="HQ6" s="2688"/>
      <c r="HR6" s="2688">
        <v>100</v>
      </c>
      <c r="HS6" s="2688"/>
      <c r="HT6" s="2688"/>
      <c r="HU6" s="2688"/>
      <c r="HV6" s="2688"/>
      <c r="HW6" s="2688"/>
      <c r="HX6" s="2688"/>
      <c r="HY6" s="2688"/>
      <c r="HZ6" s="2688"/>
      <c r="IA6" s="2688"/>
      <c r="IB6" s="2688"/>
      <c r="IC6" s="2688"/>
      <c r="ID6" s="2688"/>
      <c r="IE6" s="2688"/>
      <c r="IF6" s="2688"/>
      <c r="IG6" s="2688"/>
      <c r="IH6" s="2688"/>
      <c r="II6" s="2688"/>
      <c r="IJ6" s="2688"/>
      <c r="IK6" s="2688"/>
      <c r="IL6" s="2688"/>
      <c r="IM6" s="2688"/>
      <c r="IN6" s="2688"/>
      <c r="IO6" s="2688"/>
      <c r="IP6" s="3557"/>
      <c r="IQ6" s="3557"/>
      <c r="IR6" s="3557"/>
      <c r="IS6" s="3557"/>
      <c r="IT6" s="3557"/>
      <c r="IU6" s="3557"/>
      <c r="IV6" s="3557"/>
      <c r="IW6" s="3557"/>
      <c r="IX6" s="4031"/>
      <c r="IY6" s="3557"/>
      <c r="IZ6" s="3557"/>
      <c r="JA6" s="3557"/>
      <c r="JB6" s="3557"/>
      <c r="JC6" s="3557"/>
      <c r="JD6" s="3557"/>
      <c r="JE6" s="3557"/>
      <c r="JF6" s="3557"/>
      <c r="JG6" s="4085"/>
      <c r="JH6" s="1233"/>
    </row>
    <row r="7" spans="1:270" x14ac:dyDescent="0.2">
      <c r="A7" s="1128">
        <v>7</v>
      </c>
      <c r="B7" s="1534" t="str">
        <f si="0" t="shared"/>
        <v/>
      </c>
      <c r="C7" s="1278" t="s">
        <v>3535</v>
      </c>
      <c r="D7" s="1386" t="s">
        <v>5324</v>
      </c>
      <c r="E7" s="2688"/>
      <c r="F7" s="2688"/>
      <c r="G7" s="2688"/>
      <c r="H7" s="2688"/>
      <c r="I7" s="2688"/>
      <c r="J7" s="2688"/>
      <c r="K7" s="2688"/>
      <c r="L7" s="2688"/>
      <c r="M7" s="2688"/>
      <c r="N7" s="2688"/>
      <c r="O7" s="2688"/>
      <c r="P7" s="2688"/>
      <c r="Q7" s="2688"/>
      <c r="R7" s="2688"/>
      <c r="S7" s="2688"/>
      <c r="T7" s="2688"/>
      <c r="U7" s="2688"/>
      <c r="V7" s="2688"/>
      <c r="W7" s="2688"/>
      <c r="X7" s="2688"/>
      <c r="Y7" s="2688"/>
      <c r="Z7" s="2688"/>
      <c r="AA7" s="2688"/>
      <c r="AB7" s="2688"/>
      <c r="AC7" s="2688"/>
      <c r="AD7" s="2688"/>
      <c r="AE7" s="2688"/>
      <c r="AF7" s="2688"/>
      <c r="AG7" s="2688"/>
      <c r="AH7" s="2688"/>
      <c r="AI7" s="2688"/>
      <c r="AJ7" s="2688"/>
      <c r="AK7" s="2688"/>
      <c r="AL7" s="2688"/>
      <c r="AM7" s="2688"/>
      <c r="AN7" s="2688"/>
      <c r="AO7" s="2688"/>
      <c r="AP7" s="2688"/>
      <c r="AQ7" s="2688">
        <v>252</v>
      </c>
      <c r="AR7" s="2688"/>
      <c r="AS7" s="2688"/>
      <c r="AT7" s="2688"/>
      <c r="AU7" s="2688"/>
      <c r="AV7" s="2688"/>
      <c r="AW7" s="2688"/>
      <c r="AX7" s="2688"/>
      <c r="AY7" s="2688"/>
      <c r="AZ7" s="2688"/>
      <c r="BA7" s="2688"/>
      <c r="BB7" s="2688">
        <v>252</v>
      </c>
      <c r="BC7" s="2688"/>
      <c r="BD7" s="2688"/>
      <c r="BE7" s="2688"/>
      <c r="BF7" s="2688"/>
      <c r="BG7" s="2688"/>
      <c r="BH7" s="2688"/>
      <c r="BI7" s="2688"/>
      <c r="BJ7" s="2688"/>
      <c r="BK7" s="2688"/>
      <c r="BL7" s="2688"/>
      <c r="BM7" s="2688"/>
      <c r="BN7" s="2688"/>
      <c r="BO7" s="2688"/>
      <c r="BP7" s="2688"/>
      <c r="BQ7" s="2688"/>
      <c r="BR7" s="2688"/>
      <c r="BS7" s="2688"/>
      <c r="BT7" s="2688"/>
      <c r="BU7" s="2688"/>
      <c r="BV7" s="2688"/>
      <c r="BW7" s="2688"/>
      <c r="BX7" s="2688"/>
      <c r="BY7" s="2688"/>
      <c r="BZ7" s="2688"/>
      <c r="CA7" s="2688"/>
      <c r="CB7" s="2688"/>
      <c r="CC7" s="2688"/>
      <c r="CD7" s="2688"/>
      <c r="CE7" s="2688"/>
      <c r="CF7" s="2688"/>
      <c r="CG7" s="2688"/>
      <c r="CH7" s="2688"/>
      <c r="CI7" s="2688"/>
      <c r="CJ7" s="2688"/>
      <c r="CK7" s="2688"/>
      <c r="CL7" s="2688"/>
      <c r="CM7" s="2688"/>
      <c r="CN7" s="2688"/>
      <c r="CO7" s="2688"/>
      <c r="CP7" s="2688"/>
      <c r="CQ7" s="2688"/>
      <c r="CR7" s="2688"/>
      <c r="CS7" s="2688"/>
      <c r="CT7" s="2688">
        <v>252</v>
      </c>
      <c r="CU7" s="2688"/>
      <c r="CV7" s="2688"/>
      <c r="CW7" s="2688"/>
      <c r="CX7" s="2688"/>
      <c r="CY7" s="2688"/>
      <c r="CZ7" s="2688"/>
      <c r="DA7" s="2688"/>
      <c r="DB7" s="2688"/>
      <c r="DC7" s="2688"/>
      <c r="DD7" s="2688"/>
      <c r="DE7" s="2688"/>
      <c r="DF7" s="2688"/>
      <c r="DG7" s="2688"/>
      <c r="DH7" s="2688"/>
      <c r="DI7" s="2688">
        <v>252</v>
      </c>
      <c r="DJ7" s="2688"/>
      <c r="DK7" s="2688"/>
      <c r="DL7" s="2688"/>
      <c r="DM7" s="2688"/>
      <c r="DN7" s="2688"/>
      <c r="DO7" s="2688"/>
      <c r="DP7" s="2688"/>
      <c r="DQ7" s="2688"/>
      <c r="DR7" s="2688"/>
      <c r="DS7" s="2688"/>
      <c r="DT7" s="2688"/>
      <c r="DU7" s="2688"/>
      <c r="DV7" s="2688"/>
      <c r="DW7" s="2688"/>
      <c r="DX7" s="2688"/>
      <c r="DY7" s="2688"/>
      <c r="DZ7" s="2688"/>
      <c r="EA7" s="2688"/>
      <c r="EB7" s="2688"/>
      <c r="EC7" s="2688"/>
      <c r="ED7" s="2688"/>
      <c r="EE7" s="2688"/>
      <c r="EF7" s="2688"/>
      <c r="EG7" s="2688"/>
      <c r="EH7" s="2688"/>
      <c r="EI7" s="2688"/>
      <c r="EJ7" s="2688"/>
      <c r="EK7" s="2688"/>
      <c r="EL7" s="2688"/>
      <c r="EM7" s="2688"/>
      <c r="EN7" s="2688"/>
      <c r="EO7" s="2688"/>
      <c r="EP7" s="2688"/>
      <c r="EQ7" s="2688"/>
      <c r="ER7" s="2688"/>
      <c r="ES7" s="2688"/>
      <c r="ET7" s="2688"/>
      <c r="EU7" s="2688"/>
      <c r="EV7" s="2688"/>
      <c r="EW7" s="2688"/>
      <c r="EX7" s="2688">
        <v>75</v>
      </c>
      <c r="EY7" s="2688"/>
      <c r="EZ7" s="2688"/>
      <c r="FA7" s="2688"/>
      <c r="FB7" s="2688"/>
      <c r="FC7" s="2688"/>
      <c r="FD7" s="2688"/>
      <c r="FE7" s="2688"/>
      <c r="FF7" s="2688"/>
      <c r="FG7" s="2688"/>
      <c r="FH7" s="2688"/>
      <c r="FI7" s="2688"/>
      <c r="FJ7" s="2688"/>
      <c r="FK7" s="2688"/>
      <c r="FL7" s="2688"/>
      <c r="FM7" s="2688"/>
      <c r="FN7" s="2688"/>
      <c r="FO7" s="2688"/>
      <c r="FP7" s="2688"/>
      <c r="FQ7" s="2688"/>
      <c r="FR7" s="2688"/>
      <c r="FS7" s="2688"/>
      <c r="FT7" s="2688"/>
      <c r="FU7" s="2688"/>
      <c r="FV7" s="2688"/>
      <c r="FW7" s="2688"/>
      <c r="FX7" s="2688"/>
      <c r="FY7" s="2688"/>
      <c r="FZ7" s="2688"/>
      <c r="GA7" s="2688"/>
      <c r="GB7" s="2688"/>
      <c r="GC7" s="2688"/>
      <c r="GD7" s="2688"/>
      <c r="GE7" s="2688"/>
      <c r="GF7" s="2688"/>
      <c r="GG7" s="2688"/>
      <c r="GH7" s="2688"/>
      <c r="GI7" s="2688"/>
      <c r="GJ7" s="2688"/>
      <c r="GK7" s="2688"/>
      <c r="GL7" s="2688"/>
      <c r="GM7" s="2688"/>
      <c r="GN7" s="2688"/>
      <c r="GO7" s="2688"/>
      <c r="GP7" s="2688"/>
      <c r="GQ7" s="2688"/>
      <c r="GR7" s="2688"/>
      <c r="GS7" s="2688"/>
      <c r="GT7" s="2688"/>
      <c r="GU7" s="2688"/>
      <c r="GV7" s="2688"/>
      <c r="GW7" s="2688"/>
      <c r="GX7" s="2688"/>
      <c r="GY7" s="2688"/>
      <c r="GZ7" s="2688"/>
      <c r="HA7" s="2688"/>
      <c r="HB7" s="2688"/>
      <c r="HC7" s="2688"/>
      <c r="HD7" s="2688"/>
      <c r="HE7" s="2688"/>
      <c r="HF7" s="2688"/>
      <c r="HG7" s="2688"/>
      <c r="HH7" s="2688"/>
      <c r="HI7" s="2688"/>
      <c r="HJ7" s="2688"/>
      <c r="HK7" s="2688"/>
      <c r="HL7" s="2688"/>
      <c r="HM7" s="2688"/>
      <c r="HN7" s="2688"/>
      <c r="HO7" s="2688"/>
      <c r="HP7" s="2688">
        <v>75</v>
      </c>
      <c r="HQ7" s="2688"/>
      <c r="HR7" s="2688">
        <v>75</v>
      </c>
      <c r="HS7" s="2688"/>
      <c r="HT7" s="2688"/>
      <c r="HU7" s="2688"/>
      <c r="HV7" s="2688"/>
      <c r="HW7" s="2688"/>
      <c r="HX7" s="2688"/>
      <c r="HY7" s="2688"/>
      <c r="HZ7" s="2688"/>
      <c r="IA7" s="2688"/>
      <c r="IB7" s="2688"/>
      <c r="IC7" s="2688"/>
      <c r="ID7" s="2688"/>
      <c r="IE7" s="2688"/>
      <c r="IF7" s="2688"/>
      <c r="IG7" s="2688"/>
      <c r="IH7" s="2688"/>
      <c r="II7" s="2688"/>
      <c r="IJ7" s="2688"/>
      <c r="IK7" s="2688"/>
      <c r="IL7" s="2688"/>
      <c r="IM7" s="2688"/>
      <c r="IN7" s="2688"/>
      <c r="IO7" s="2688"/>
      <c r="IP7" s="3557"/>
      <c r="IQ7" s="3557"/>
      <c r="IR7" s="3557"/>
      <c r="IS7" s="3557"/>
      <c r="IT7" s="3557"/>
      <c r="IU7" s="3557"/>
      <c r="IV7" s="3557"/>
      <c r="IW7" s="3557"/>
      <c r="IX7" s="4031"/>
      <c r="IY7" s="3557"/>
      <c r="IZ7" s="3557"/>
      <c r="JA7" s="3557"/>
      <c r="JB7" s="3557"/>
      <c r="JC7" s="3557"/>
      <c r="JD7" s="3557"/>
      <c r="JE7" s="3557"/>
      <c r="JF7" s="3557"/>
      <c r="JG7" s="4085"/>
      <c r="JH7" s="1233"/>
    </row>
    <row r="8" spans="1:270" x14ac:dyDescent="0.2">
      <c r="A8" s="1128">
        <v>8</v>
      </c>
      <c r="B8" s="1534" t="str">
        <f si="0" t="shared"/>
        <v/>
      </c>
      <c r="C8" s="1278" t="s">
        <v>3534</v>
      </c>
      <c r="D8" s="1386" t="s">
        <v>5325</v>
      </c>
      <c r="E8" s="3359"/>
      <c r="F8" s="3359"/>
      <c r="G8" s="3359"/>
      <c r="H8" s="3359"/>
      <c r="I8" s="3359"/>
      <c r="J8" s="3359"/>
      <c r="K8" s="3359"/>
      <c r="L8" s="3359"/>
      <c r="M8" s="3359"/>
      <c r="N8" s="3359"/>
      <c r="O8" s="3359"/>
      <c r="P8" s="3359"/>
      <c r="Q8" s="3359"/>
      <c r="R8" s="3359"/>
      <c r="S8" s="3359"/>
      <c r="T8" s="3359"/>
      <c r="U8" s="3359"/>
      <c r="V8" s="3359"/>
      <c r="W8" s="3359"/>
      <c r="X8" s="3359"/>
      <c r="Y8" s="3359"/>
      <c r="Z8" s="3359"/>
      <c r="AA8" s="3359"/>
      <c r="AB8" s="3359"/>
      <c r="AC8" s="3359"/>
      <c r="AD8" s="3359"/>
      <c r="AE8" s="3359"/>
      <c r="AF8" s="3359"/>
      <c r="AG8" s="3359"/>
      <c r="AH8" s="3359"/>
      <c r="AI8" s="3359"/>
      <c r="AJ8" s="3359"/>
      <c r="AK8" s="3359"/>
      <c r="AL8" s="3359"/>
      <c r="AM8" s="3359"/>
      <c r="AN8" s="3359"/>
      <c r="AO8" s="3359"/>
      <c r="AP8" s="3359" t="s">
        <v>572</v>
      </c>
      <c r="AQ8" s="3359"/>
      <c r="AR8" s="3359"/>
      <c r="AS8" s="3359"/>
      <c r="AT8" s="3359"/>
      <c r="AU8" s="3359"/>
      <c r="AV8" s="3359"/>
      <c r="AW8" s="3359"/>
      <c r="AX8" s="3359"/>
      <c r="AY8" s="3359"/>
      <c r="AZ8" s="3359"/>
      <c r="BA8" s="3359"/>
      <c r="BB8" s="3359"/>
      <c r="BC8" s="3359" t="s">
        <v>572</v>
      </c>
      <c r="BD8" s="3359" t="s">
        <v>572</v>
      </c>
      <c r="BE8" s="3359"/>
      <c r="BF8" s="3359"/>
      <c r="BG8" s="3359"/>
      <c r="BH8" s="3359"/>
      <c r="BI8" s="3359"/>
      <c r="BJ8" s="3359" t="s">
        <v>572</v>
      </c>
      <c r="BK8" s="3359"/>
      <c r="BL8" s="3359"/>
      <c r="BM8" s="3359"/>
      <c r="BN8" s="3359"/>
      <c r="BO8" s="3359"/>
      <c r="BP8" s="3359"/>
      <c r="BQ8" s="3359"/>
      <c r="BR8" s="3359"/>
      <c r="BS8" s="3359"/>
      <c r="BT8" s="3359"/>
      <c r="BU8" s="3359"/>
      <c r="BV8" s="3359"/>
      <c r="BW8" s="3359"/>
      <c r="BX8" s="3359"/>
      <c r="BY8" s="3359"/>
      <c r="BZ8" s="3359"/>
      <c r="CA8" s="3359"/>
      <c r="CB8" s="3359"/>
      <c r="CC8" s="3359"/>
      <c r="CD8" s="3359"/>
      <c r="CE8" s="3359"/>
      <c r="CF8" s="3359"/>
      <c r="CG8" s="3359"/>
      <c r="CH8" s="3359"/>
      <c r="CI8" s="3359"/>
      <c r="CJ8" s="3359"/>
      <c r="CK8" s="3359"/>
      <c r="CL8" s="3359"/>
      <c r="CM8" s="3359"/>
      <c r="CN8" s="3359"/>
      <c r="CO8" s="3359"/>
      <c r="CP8" s="3359"/>
      <c r="CQ8" s="3359"/>
      <c r="CR8" s="3359"/>
      <c r="CS8" s="3359"/>
      <c r="CT8" s="3359"/>
      <c r="CU8" s="3359"/>
      <c r="CV8" s="3359"/>
      <c r="CW8" s="3359"/>
      <c r="CX8" s="3359"/>
      <c r="CY8" s="3359"/>
      <c r="CZ8" s="3359"/>
      <c r="DA8" s="3359"/>
      <c r="DB8" s="3359"/>
      <c r="DC8" s="3359"/>
      <c r="DD8" s="3359"/>
      <c r="DE8" s="3359"/>
      <c r="DF8" s="3359"/>
      <c r="DG8" s="3359"/>
      <c r="DH8" s="3359"/>
      <c r="DI8" s="3359"/>
      <c r="DJ8" s="3359"/>
      <c r="DK8" s="3359"/>
      <c r="DL8" s="3359"/>
      <c r="DM8" s="3359"/>
      <c r="DN8" s="3359"/>
      <c r="DO8" s="3359"/>
      <c r="DP8" s="3359"/>
      <c r="DQ8" s="3359"/>
      <c r="DR8" s="3359"/>
      <c r="DS8" s="3359"/>
      <c r="DT8" s="3359"/>
      <c r="DU8" s="3359"/>
      <c r="DV8" s="3359"/>
      <c r="DW8" s="3359"/>
      <c r="DX8" s="3359"/>
      <c r="DY8" s="3359"/>
      <c r="DZ8" s="3359"/>
      <c r="EA8" s="3359"/>
      <c r="EB8" s="3359"/>
      <c r="EC8" s="3359"/>
      <c r="ED8" s="3359"/>
      <c r="EE8" s="3359"/>
      <c r="EF8" s="3359"/>
      <c r="EG8" s="3359"/>
      <c r="EH8" s="3359"/>
      <c r="EI8" s="3359"/>
      <c r="EJ8" s="3359"/>
      <c r="EK8" s="3359"/>
      <c r="EL8" s="3359"/>
      <c r="EM8" s="3359"/>
      <c r="EN8" s="3359"/>
      <c r="EO8" s="3359"/>
      <c r="EP8" s="3359"/>
      <c r="EQ8" s="3359"/>
      <c r="ER8" s="3359"/>
      <c r="ES8" s="3359"/>
      <c r="ET8" s="3359"/>
      <c r="EU8" s="3359"/>
      <c r="EV8" s="3359"/>
      <c r="EW8" s="3359"/>
      <c r="EX8" s="3359" t="s">
        <v>572</v>
      </c>
      <c r="EY8" s="3359"/>
      <c r="EZ8" s="3359"/>
      <c r="FA8" s="3359"/>
      <c r="FB8" s="3359"/>
      <c r="FC8" s="3359"/>
      <c r="FD8" s="3359"/>
      <c r="FE8" s="3359"/>
      <c r="FF8" s="3359"/>
      <c r="FG8" s="3359"/>
      <c r="FH8" s="3359"/>
      <c r="FI8" s="3359"/>
      <c r="FJ8" s="3359"/>
      <c r="FK8" s="3359"/>
      <c r="FL8" s="3359"/>
      <c r="FM8" s="3359"/>
      <c r="FN8" s="3359"/>
      <c r="FO8" s="3359"/>
      <c r="FP8" s="3359"/>
      <c r="FQ8" s="3359"/>
      <c r="FR8" s="3359"/>
      <c r="FS8" s="3359"/>
      <c r="FT8" s="3359"/>
      <c r="FU8" s="3359"/>
      <c r="FV8" s="3359"/>
      <c r="FW8" s="3359"/>
      <c r="FX8" s="3359"/>
      <c r="FY8" s="3359"/>
      <c r="FZ8" s="3359"/>
      <c r="GA8" s="3359"/>
      <c r="GB8" s="3359"/>
      <c r="GC8" s="3359"/>
      <c r="GD8" s="3359"/>
      <c r="GE8" s="3359"/>
      <c r="GF8" s="3359" t="s">
        <v>572</v>
      </c>
      <c r="GG8" s="3359"/>
      <c r="GH8" s="3359"/>
      <c r="GI8" s="3359"/>
      <c r="GJ8" s="3359"/>
      <c r="GK8" s="3359"/>
      <c r="GL8" s="3359"/>
      <c r="GM8" s="3359"/>
      <c r="GN8" s="3359"/>
      <c r="GO8" s="3359"/>
      <c r="GP8" s="3359"/>
      <c r="GQ8" s="3359"/>
      <c r="GR8" s="3359"/>
      <c r="GS8" s="3359"/>
      <c r="GT8" s="3359"/>
      <c r="GU8" s="3359"/>
      <c r="GV8" s="3359"/>
      <c r="GW8" s="3359"/>
      <c r="GX8" s="3359"/>
      <c r="GY8" s="3359"/>
      <c r="GZ8" s="3359"/>
      <c r="HA8" s="3359"/>
      <c r="HB8" s="3359"/>
      <c r="HC8" s="3359"/>
      <c r="HD8" s="3359"/>
      <c r="HE8" s="3359"/>
      <c r="HF8" s="3359"/>
      <c r="HG8" s="3359"/>
      <c r="HH8" s="3359" t="s">
        <v>572</v>
      </c>
      <c r="HI8" s="3359"/>
      <c r="HJ8" s="3359"/>
      <c r="HK8" s="3359"/>
      <c r="HL8" s="3359"/>
      <c r="HM8" s="3359"/>
      <c r="HN8" s="3359"/>
      <c r="HO8" s="3359"/>
      <c r="HP8" s="3359" t="s">
        <v>572</v>
      </c>
      <c r="HQ8" s="3359"/>
      <c r="HR8" s="3359" t="s">
        <v>572</v>
      </c>
      <c r="HS8" s="3359"/>
      <c r="HT8" s="3359"/>
      <c r="HU8" s="3359"/>
      <c r="HV8" s="3359"/>
      <c r="HW8" s="3359"/>
      <c r="HX8" s="3359"/>
      <c r="HY8" s="3359"/>
      <c r="HZ8" s="3359"/>
      <c r="IA8" s="3359"/>
      <c r="IB8" s="3359"/>
      <c r="IC8" s="3359"/>
      <c r="ID8" s="3359"/>
      <c r="IE8" s="3359"/>
      <c r="IF8" s="3359"/>
      <c r="IG8" s="3359"/>
      <c r="IH8" s="3359"/>
      <c r="II8" s="3359"/>
      <c r="IJ8" s="3359"/>
      <c r="IK8" s="3359"/>
      <c r="IL8" s="3359"/>
      <c r="IM8" s="3359"/>
      <c r="IN8" s="3359"/>
      <c r="IO8" s="3359"/>
      <c r="IP8" s="2815"/>
      <c r="IQ8" s="2815"/>
      <c r="IR8" s="2815"/>
      <c r="IS8" s="2815"/>
      <c r="IT8" s="2815"/>
      <c r="IU8" s="2815"/>
      <c r="IV8" s="2815"/>
      <c r="IW8" s="2815"/>
      <c r="IX8" s="3979"/>
      <c r="IY8" s="2815"/>
      <c r="IZ8" s="2815"/>
      <c r="JA8" s="2815"/>
      <c r="JB8" s="2815"/>
      <c r="JC8" s="2815"/>
      <c r="JD8" s="2815"/>
      <c r="JE8" s="2815"/>
      <c r="JF8" s="2815"/>
      <c r="JG8" s="3348"/>
      <c r="JH8" s="1233"/>
    </row>
    <row r="9" spans="1:270" x14ac:dyDescent="0.2">
      <c r="A9" s="1128">
        <v>9</v>
      </c>
      <c r="B9" s="1534" t="str">
        <f si="0" t="shared"/>
        <v/>
      </c>
      <c r="C9" s="1278" t="s">
        <v>3536</v>
      </c>
      <c r="D9" s="1386" t="s">
        <v>5326</v>
      </c>
      <c r="E9" s="2688"/>
      <c r="F9" s="2688"/>
      <c r="G9" s="2688"/>
      <c r="H9" s="2688"/>
      <c r="I9" s="2688"/>
      <c r="J9" s="2688"/>
      <c r="K9" s="2688"/>
      <c r="L9" s="2688"/>
      <c r="M9" s="2688"/>
      <c r="N9" s="2688"/>
      <c r="O9" s="2688"/>
      <c r="P9" s="2688"/>
      <c r="Q9" s="2688"/>
      <c r="R9" s="2688"/>
      <c r="S9" s="2688"/>
      <c r="T9" s="2688"/>
      <c r="U9" s="2688"/>
      <c r="V9" s="2688"/>
      <c r="W9" s="2688"/>
      <c r="X9" s="2688"/>
      <c r="Y9" s="2688"/>
      <c r="Z9" s="2688"/>
      <c r="AA9" s="2688"/>
      <c r="AB9" s="2688"/>
      <c r="AC9" s="2688"/>
      <c r="AD9" s="2688"/>
      <c r="AE9" s="2688"/>
      <c r="AF9" s="2688"/>
      <c r="AG9" s="2688"/>
      <c r="AH9" s="2688"/>
      <c r="AI9" s="2688"/>
      <c r="AJ9" s="2688"/>
      <c r="AK9" s="2688"/>
      <c r="AL9" s="2688"/>
      <c r="AM9" s="2688"/>
      <c r="AN9" s="2688"/>
      <c r="AO9" s="2688"/>
      <c r="AP9" s="3360">
        <f>IF(AP8="Y",AP5,MAX(0,AP5-AP6))</f>
        <v>3562</v>
      </c>
      <c r="AQ9" s="3360">
        <f>IF(AQ8="Y",AQ5,MAX(0,AQ5-AQ6))</f>
        <v>1263</v>
      </c>
      <c r="AR9" s="2688"/>
      <c r="AS9" s="2688"/>
      <c r="AT9" s="2688"/>
      <c r="AU9" s="2688"/>
      <c r="AV9" s="2688"/>
      <c r="AW9" s="3360">
        <f>IF(AW8="Y",AW5,MAX(0,AW5-AW6))</f>
        <v>400</v>
      </c>
      <c r="AX9" s="2688"/>
      <c r="AY9" s="2688"/>
      <c r="AZ9" s="2688"/>
      <c r="BA9" s="2688"/>
      <c r="BB9" s="3360">
        <f>IF(BB8="Y",BB5,MAX(0,BB5-BB6))</f>
        <v>1263</v>
      </c>
      <c r="BC9" s="3360">
        <f>IF(BC8="Y",BC5,MAX(0,BC5-BC6))</f>
        <v>3562</v>
      </c>
      <c r="BD9" s="3360">
        <f>IF(BD8="Y",BD5,MAX(0,BD5-BD6))</f>
        <v>3562</v>
      </c>
      <c r="BE9" s="2688"/>
      <c r="BF9" s="2688"/>
      <c r="BG9" s="2688"/>
      <c r="BH9" s="2688"/>
      <c r="BI9" s="2688"/>
      <c r="BJ9" s="3360">
        <f>IF(BJ8="Y",BJ5,MAX(0,BJ5-BJ6))</f>
        <v>3562</v>
      </c>
      <c r="BK9" s="2688"/>
      <c r="BL9" s="2688"/>
      <c r="BM9" s="2688"/>
      <c r="BN9" s="2688"/>
      <c r="BO9" s="2688"/>
      <c r="BP9" s="2688"/>
      <c r="BQ9" s="2688"/>
      <c r="BR9" s="2688"/>
      <c r="BS9" s="2688"/>
      <c r="BT9" s="2688"/>
      <c r="BU9" s="2688"/>
      <c r="BV9" s="2688"/>
      <c r="BW9" s="2688"/>
      <c r="BX9" s="2688"/>
      <c r="BY9" s="2688"/>
      <c r="BZ9" s="2688"/>
      <c r="CA9" s="2688"/>
      <c r="CB9" s="2688"/>
      <c r="CC9" s="2688"/>
      <c r="CD9" s="2688"/>
      <c r="CE9" s="2688"/>
      <c r="CF9" s="2688"/>
      <c r="CG9" s="2688"/>
      <c r="CH9" s="2688"/>
      <c r="CI9" s="2688"/>
      <c r="CJ9" s="3360">
        <f>IF(CJ8="Y",CJ5,MAX(0,CJ5-CJ6))</f>
        <v>3720</v>
      </c>
      <c r="CK9" s="2688"/>
      <c r="CL9" s="2688"/>
      <c r="CM9" s="2688"/>
      <c r="CN9" s="2688"/>
      <c r="CO9" s="2688"/>
      <c r="CP9" s="2688"/>
      <c r="CQ9" s="2688"/>
      <c r="CR9" s="2688"/>
      <c r="CS9" s="2688"/>
      <c r="CT9" s="3360">
        <f>IF(CT8="Y",CT5,MAX(0,CT5-CT6))</f>
        <v>1263</v>
      </c>
      <c r="CU9" s="2688"/>
      <c r="CV9" s="2688"/>
      <c r="CW9" s="2688"/>
      <c r="CX9" s="2688"/>
      <c r="CY9" s="2688"/>
      <c r="CZ9" s="2688"/>
      <c r="DA9" s="2688"/>
      <c r="DB9" s="2688"/>
      <c r="DC9" s="2688"/>
      <c r="DD9" s="2688"/>
      <c r="DE9" s="2688"/>
      <c r="DF9" s="2688"/>
      <c r="DG9" s="2688"/>
      <c r="DH9" s="2688"/>
      <c r="DI9" s="3360">
        <f>IF(DI8="Y",DI5,MAX(0,DI5-DI6))</f>
        <v>1263</v>
      </c>
      <c r="DJ9" s="2688"/>
      <c r="DK9" s="2688"/>
      <c r="DL9" s="2688"/>
      <c r="DM9" s="3360">
        <f>IF(DM8="Y",DM5,MAX(0,DM5-DM6))</f>
        <v>3720</v>
      </c>
      <c r="DN9" s="2688"/>
      <c r="DO9" s="2688"/>
      <c r="DP9" s="2688"/>
      <c r="DQ9" s="2688"/>
      <c r="DR9" s="2688"/>
      <c r="DS9" s="2688"/>
      <c r="DT9" s="2688"/>
      <c r="DU9" s="2688"/>
      <c r="DV9" s="2688"/>
      <c r="DW9" s="2688"/>
      <c r="DX9" s="2688"/>
      <c r="DY9" s="2688"/>
      <c r="DZ9" s="2688"/>
      <c r="EA9" s="2688"/>
      <c r="EB9" s="2688"/>
      <c r="EC9" s="2688"/>
      <c r="ED9" s="2688"/>
      <c r="EE9" s="2688"/>
      <c r="EF9" s="2688"/>
      <c r="EG9" s="2688"/>
      <c r="EH9" s="2688"/>
      <c r="EI9" s="2688"/>
      <c r="EJ9" s="2688"/>
      <c r="EK9" s="2688"/>
      <c r="EL9" s="2688"/>
      <c r="EM9" s="2688"/>
      <c r="EN9" s="2688"/>
      <c r="EO9" s="3360">
        <f>IF(EO8="Y",EO5,MAX(0,EO5-EO6))</f>
        <v>3720</v>
      </c>
      <c r="EP9" s="2688"/>
      <c r="EQ9" s="2688"/>
      <c r="ER9" s="2688"/>
      <c r="ES9" s="2688"/>
      <c r="ET9" s="2688"/>
      <c r="EU9" s="2688"/>
      <c r="EV9" s="2688"/>
      <c r="EW9" s="2688"/>
      <c r="EX9" s="3360">
        <f>IF(EX8="Y",EX5,MAX(0,EX5-EX6))</f>
        <v>500</v>
      </c>
      <c r="EY9" s="2688"/>
      <c r="EZ9" s="2688"/>
      <c r="FA9" s="2688"/>
      <c r="FB9" s="2688"/>
      <c r="FC9" s="2688"/>
      <c r="FD9" s="2688"/>
      <c r="FE9" s="2688"/>
      <c r="FF9" s="2688"/>
      <c r="FG9" s="2688"/>
      <c r="FH9" s="2688"/>
      <c r="FI9" s="2688"/>
      <c r="FJ9" s="2688"/>
      <c r="FK9" s="2688"/>
      <c r="FL9" s="2688"/>
      <c r="FM9" s="2688"/>
      <c r="FN9" s="2688"/>
      <c r="FO9" s="2688"/>
      <c r="FP9" s="2688"/>
      <c r="FQ9" s="2688"/>
      <c r="FR9" s="2688"/>
      <c r="FS9" s="2688"/>
      <c r="FT9" s="2688"/>
      <c r="FU9" s="2688"/>
      <c r="FV9" s="2688"/>
      <c r="FW9" s="2688"/>
      <c r="FX9" s="2688"/>
      <c r="FY9" s="2688"/>
      <c r="FZ9" s="2688"/>
      <c r="GA9" s="2688"/>
      <c r="GB9" s="2688"/>
      <c r="GC9" s="2688"/>
      <c r="GD9" s="2688"/>
      <c r="GE9" s="2688"/>
      <c r="GF9" s="3360">
        <f>IF(GF8="Y",GF5,MAX(0,GF5-GF6))</f>
        <v>3562</v>
      </c>
      <c r="GG9" s="2688"/>
      <c r="GH9" s="2688"/>
      <c r="GI9" s="2688"/>
      <c r="GJ9" s="2688"/>
      <c r="GK9" s="2688"/>
      <c r="GL9" s="2688"/>
      <c r="GM9" s="2688"/>
      <c r="GN9" s="2688"/>
      <c r="GO9" s="2688"/>
      <c r="GP9" s="2688"/>
      <c r="GQ9" s="2688"/>
      <c r="GR9" s="2688"/>
      <c r="GS9" s="2688"/>
      <c r="GT9" s="2688"/>
      <c r="GU9" s="2688"/>
      <c r="GV9" s="2688"/>
      <c r="GW9" s="2688"/>
      <c r="GX9" s="2688"/>
      <c r="GY9" s="2688"/>
      <c r="GZ9" s="2688"/>
      <c r="HA9" s="2688"/>
      <c r="HB9" s="2688"/>
      <c r="HC9" s="2688"/>
      <c r="HD9" s="2688"/>
      <c r="HE9" s="2688"/>
      <c r="HF9" s="2688"/>
      <c r="HG9" s="2688"/>
      <c r="HH9" s="3360">
        <f>IF(HH8="Y",HH5,MAX(0,HH5-HH6))</f>
        <v>1697</v>
      </c>
      <c r="HI9" s="2688"/>
      <c r="HJ9" s="2688"/>
      <c r="HK9" s="2688"/>
      <c r="HL9" s="2688"/>
      <c r="HM9" s="2688"/>
      <c r="HN9" s="2688"/>
      <c r="HO9" s="2688"/>
      <c r="HP9" s="3360">
        <f>IF(HP8="Y",HP5,MAX(0,HP5-HP6))</f>
        <v>500</v>
      </c>
      <c r="HQ9" s="2688"/>
      <c r="HR9" s="3360">
        <f>IF(HR8="Y",HR5,MAX(0,HR5-HR6))</f>
        <v>500</v>
      </c>
      <c r="HS9" s="2688"/>
      <c r="HT9" s="2688"/>
      <c r="HU9" s="2688"/>
      <c r="HV9" s="2688"/>
      <c r="HW9" s="2688"/>
      <c r="HX9" s="2688"/>
      <c r="HY9" s="2688"/>
      <c r="HZ9" s="2688"/>
      <c r="IA9" s="2688"/>
      <c r="IB9" s="2688"/>
      <c r="IC9" s="3360">
        <f>IF(IC8="Y",IC5,MAX(0,IC5-IC6))</f>
        <v>451</v>
      </c>
      <c r="ID9" s="2688"/>
      <c r="IE9" s="2688"/>
      <c r="IF9" s="3360">
        <f>IF(IF8="Y",IF5,MAX(0,IF5-IF6))</f>
        <v>19048</v>
      </c>
      <c r="IG9" s="2688"/>
      <c r="IH9" s="3360">
        <f>IF(IH8="Y",IH5,MAX(0,IH5-IH6))</f>
        <v>2703</v>
      </c>
      <c r="II9" s="2688"/>
      <c r="IJ9" s="2688"/>
      <c r="IK9" s="2688"/>
      <c r="IL9" s="2688"/>
      <c r="IM9" s="2688"/>
      <c r="IN9" s="2688"/>
      <c r="IO9" s="2688"/>
      <c r="IP9" s="3558"/>
      <c r="IQ9" s="3558"/>
      <c r="IR9" s="3558"/>
      <c r="IS9" s="3558"/>
      <c r="IT9" s="3558"/>
      <c r="IU9" s="3558"/>
      <c r="IV9" s="3558"/>
      <c r="IW9" s="3558"/>
      <c r="IX9" s="4032">
        <v>130</v>
      </c>
      <c r="IY9" s="3558"/>
      <c r="IZ9" s="3558"/>
      <c r="JA9" s="3558"/>
      <c r="JB9" s="3558"/>
      <c r="JC9" s="3558"/>
      <c r="JD9" s="3558"/>
      <c r="JE9" s="3558"/>
      <c r="JF9" s="3558"/>
      <c r="JG9" s="4086"/>
      <c r="JH9" s="1233"/>
    </row>
    <row r="10" spans="1:270" x14ac:dyDescent="0.2">
      <c r="A10" s="1128">
        <v>10</v>
      </c>
      <c r="B10" s="1534" t="str">
        <f si="0" t="shared"/>
        <v/>
      </c>
      <c r="C10" s="1278" t="s">
        <v>2646</v>
      </c>
      <c r="D10" s="1386" t="s">
        <v>5321</v>
      </c>
      <c r="E10" s="2688"/>
      <c r="F10" s="2688"/>
      <c r="G10" s="2688"/>
      <c r="H10" s="2688"/>
      <c r="I10" s="2688"/>
      <c r="J10" s="2688"/>
      <c r="K10" s="2688"/>
      <c r="L10" s="2688"/>
      <c r="M10" s="2688"/>
      <c r="N10" s="2688"/>
      <c r="O10" s="2688"/>
      <c r="P10" s="2688"/>
      <c r="Q10" s="2688"/>
      <c r="R10" s="2688"/>
      <c r="S10" s="2688"/>
      <c r="T10" s="2688"/>
      <c r="U10" s="2688"/>
      <c r="V10" s="2688"/>
      <c r="W10" s="2688"/>
      <c r="X10" s="2688"/>
      <c r="Y10" s="2688"/>
      <c r="Z10" s="2688"/>
      <c r="AA10" s="2688"/>
      <c r="AB10" s="2688"/>
      <c r="AC10" s="2688"/>
      <c r="AD10" s="2688"/>
      <c r="AE10" s="2688"/>
      <c r="AF10" s="2688"/>
      <c r="AG10" s="2688"/>
      <c r="AH10" s="2688"/>
      <c r="AI10" s="2688"/>
      <c r="AJ10" s="2688"/>
      <c r="AK10" s="2688"/>
      <c r="AL10" s="2688"/>
      <c r="AM10" s="2688"/>
      <c r="AN10" s="2688"/>
      <c r="AO10" s="2688"/>
      <c r="AP10" s="2688"/>
      <c r="AQ10" s="2688"/>
      <c r="AR10" s="2688"/>
      <c r="AS10" s="2688"/>
      <c r="AT10" s="2688"/>
      <c r="AU10" s="2688"/>
      <c r="AV10" s="2688"/>
      <c r="AW10" s="2688"/>
      <c r="AX10" s="2688"/>
      <c r="AY10" s="2688"/>
      <c r="AZ10" s="2688"/>
      <c r="BA10" s="2688"/>
      <c r="BB10" s="2688"/>
      <c r="BC10" s="2688"/>
      <c r="BD10" s="2688"/>
      <c r="BE10" s="2688"/>
      <c r="BF10" s="2688"/>
      <c r="BG10" s="2688"/>
      <c r="BH10" s="2688"/>
      <c r="BI10" s="2688"/>
      <c r="BJ10" s="2688"/>
      <c r="BK10" s="2688"/>
      <c r="BL10" s="2688"/>
      <c r="BM10" s="2688"/>
      <c r="BN10" s="2688"/>
      <c r="BO10" s="2688"/>
      <c r="BP10" s="2688"/>
      <c r="BQ10" s="2688"/>
      <c r="BR10" s="2688"/>
      <c r="BS10" s="2688"/>
      <c r="BT10" s="2688"/>
      <c r="BU10" s="2688"/>
      <c r="BV10" s="2688"/>
      <c r="BW10" s="2688"/>
      <c r="BX10" s="2688"/>
      <c r="BY10" s="2688"/>
      <c r="BZ10" s="2688"/>
      <c r="CA10" s="2688"/>
      <c r="CB10" s="2688"/>
      <c r="CC10" s="2688"/>
      <c r="CD10" s="2688"/>
      <c r="CE10" s="2688"/>
      <c r="CF10" s="2688"/>
      <c r="CG10" s="2688"/>
      <c r="CH10" s="2688"/>
      <c r="CI10" s="2688"/>
      <c r="CJ10" s="2688"/>
      <c r="CK10" s="2688"/>
      <c r="CL10" s="2688"/>
      <c r="CM10" s="2688"/>
      <c r="CN10" s="2688"/>
      <c r="CO10" s="2688"/>
      <c r="CP10" s="2688"/>
      <c r="CQ10" s="2688"/>
      <c r="CR10" s="2688"/>
      <c r="CS10" s="2688"/>
      <c r="CT10" s="2688"/>
      <c r="CU10" s="2688"/>
      <c r="CV10" s="2688"/>
      <c r="CW10" s="2688"/>
      <c r="CX10" s="2688"/>
      <c r="CY10" s="2688"/>
      <c r="CZ10" s="2688"/>
      <c r="DA10" s="2688"/>
      <c r="DB10" s="2688"/>
      <c r="DC10" s="2688"/>
      <c r="DD10" s="2688"/>
      <c r="DE10" s="2688"/>
      <c r="DF10" s="2688"/>
      <c r="DG10" s="2688"/>
      <c r="DH10" s="2688"/>
      <c r="DI10" s="2688"/>
      <c r="DJ10" s="2688"/>
      <c r="DK10" s="2688"/>
      <c r="DL10" s="2688"/>
      <c r="DM10" s="2688"/>
      <c r="DN10" s="2688"/>
      <c r="DO10" s="2688"/>
      <c r="DP10" s="2688"/>
      <c r="DQ10" s="2688"/>
      <c r="DR10" s="2688"/>
      <c r="DS10" s="2688"/>
      <c r="DT10" s="2688"/>
      <c r="DU10" s="2688"/>
      <c r="DV10" s="2688"/>
      <c r="DW10" s="2688"/>
      <c r="DX10" s="2688"/>
      <c r="DY10" s="2688"/>
      <c r="DZ10" s="2688"/>
      <c r="EA10" s="2688"/>
      <c r="EB10" s="2688"/>
      <c r="EC10" s="2688"/>
      <c r="ED10" s="2688"/>
      <c r="EE10" s="2688"/>
      <c r="EF10" s="2688"/>
      <c r="EG10" s="2688"/>
      <c r="EH10" s="2688"/>
      <c r="EI10" s="2688"/>
      <c r="EJ10" s="2688"/>
      <c r="EK10" s="2688"/>
      <c r="EL10" s="2688"/>
      <c r="EM10" s="2688"/>
      <c r="EN10" s="2688"/>
      <c r="EO10" s="2688"/>
      <c r="EP10" s="2688"/>
      <c r="EQ10" s="2688"/>
      <c r="ER10" s="2688"/>
      <c r="ES10" s="2688"/>
      <c r="ET10" s="2688"/>
      <c r="EU10" s="2688"/>
      <c r="EV10" s="2688"/>
      <c r="EW10" s="2688"/>
      <c r="EX10" s="2688"/>
      <c r="EY10" s="2688"/>
      <c r="EZ10" s="2688"/>
      <c r="FA10" s="2688"/>
      <c r="FB10" s="2688"/>
      <c r="FC10" s="2688"/>
      <c r="FD10" s="2688"/>
      <c r="FE10" s="2688"/>
      <c r="FF10" s="2688"/>
      <c r="FG10" s="2688"/>
      <c r="FH10" s="2688"/>
      <c r="FI10" s="2688"/>
      <c r="FJ10" s="2688"/>
      <c r="FK10" s="2688"/>
      <c r="FL10" s="2688"/>
      <c r="FM10" s="2688"/>
      <c r="FN10" s="2688"/>
      <c r="FO10" s="2688"/>
      <c r="FP10" s="2688"/>
      <c r="FQ10" s="2688"/>
      <c r="FR10" s="2688"/>
      <c r="FS10" s="2688"/>
      <c r="FT10" s="2688"/>
      <c r="FU10" s="2688"/>
      <c r="FV10" s="2688"/>
      <c r="FW10" s="2688"/>
      <c r="FX10" s="2688"/>
      <c r="FY10" s="2688"/>
      <c r="FZ10" s="2688"/>
      <c r="GA10" s="2688"/>
      <c r="GB10" s="2688"/>
      <c r="GC10" s="2688"/>
      <c r="GD10" s="2688"/>
      <c r="GE10" s="2688"/>
      <c r="GF10" s="2688"/>
      <c r="GG10" s="2688"/>
      <c r="GH10" s="2688"/>
      <c r="GI10" s="2688"/>
      <c r="GJ10" s="2688"/>
      <c r="GK10" s="2688"/>
      <c r="GL10" s="2688"/>
      <c r="GM10" s="2688"/>
      <c r="GN10" s="2688"/>
      <c r="GO10" s="2688"/>
      <c r="GP10" s="2688"/>
      <c r="GQ10" s="2688"/>
      <c r="GR10" s="2688"/>
      <c r="GS10" s="2688"/>
      <c r="GT10" s="2688"/>
      <c r="GU10" s="2688"/>
      <c r="GV10" s="2688"/>
      <c r="GW10" s="2688"/>
      <c r="GX10" s="2688"/>
      <c r="GY10" s="2688"/>
      <c r="GZ10" s="2688"/>
      <c r="HA10" s="2688"/>
      <c r="HB10" s="2688"/>
      <c r="HC10" s="2688"/>
      <c r="HD10" s="2688"/>
      <c r="HE10" s="2688"/>
      <c r="HF10" s="2688"/>
      <c r="HG10" s="2688"/>
      <c r="HH10" s="2688" t="s">
        <v>1937</v>
      </c>
      <c r="HI10" s="2688"/>
      <c r="HJ10" s="2688"/>
      <c r="HK10" s="2688"/>
      <c r="HL10" s="2688"/>
      <c r="HM10" s="2688"/>
      <c r="HN10" s="2688"/>
      <c r="HO10" s="2688"/>
      <c r="HP10" s="2688"/>
      <c r="HQ10" s="2688"/>
      <c r="HR10" s="2688"/>
      <c r="HS10" s="2688"/>
      <c r="HT10" s="2688"/>
      <c r="HU10" s="2688"/>
      <c r="HV10" s="2688"/>
      <c r="HW10" s="2688"/>
      <c r="HX10" s="2688"/>
      <c r="HY10" s="2688"/>
      <c r="HZ10" s="2688"/>
      <c r="IA10" s="2688"/>
      <c r="IB10" s="2688"/>
      <c r="IC10" s="2688"/>
      <c r="ID10" s="2688"/>
      <c r="IE10" s="2688"/>
      <c r="IF10" s="2688"/>
      <c r="IG10" s="2688"/>
      <c r="IH10" s="2688"/>
      <c r="II10" s="2688"/>
      <c r="IJ10" s="2688"/>
      <c r="IK10" s="2688"/>
      <c r="IL10" s="2688"/>
      <c r="IM10" s="2688"/>
      <c r="IN10" s="2688"/>
      <c r="IO10" s="2688"/>
      <c r="IP10" s="2815"/>
      <c r="IQ10" s="2815"/>
      <c r="IR10" s="2815"/>
      <c r="IS10" s="2815"/>
      <c r="IT10" s="2815"/>
      <c r="IU10" s="2815"/>
      <c r="IV10" s="2815"/>
      <c r="IW10" s="2815"/>
      <c r="IX10" s="3979" t="s">
        <v>1930</v>
      </c>
      <c r="IY10" s="2815"/>
      <c r="IZ10" s="2815"/>
      <c r="JA10" s="2815"/>
      <c r="JB10" s="2815"/>
      <c r="JC10" s="2815"/>
      <c r="JD10" s="2815"/>
      <c r="JE10" s="2815"/>
      <c r="JF10" s="2815"/>
      <c r="JG10" s="3348"/>
      <c r="JH10" s="1233"/>
    </row>
    <row r="11" spans="1:270" x14ac:dyDescent="0.2">
      <c r="A11" s="1128">
        <v>11</v>
      </c>
      <c r="B11" s="1534" t="str">
        <f si="0" t="shared"/>
        <v/>
      </c>
      <c r="C11" s="1278" t="s">
        <v>2647</v>
      </c>
      <c r="D11" s="1386" t="s">
        <v>5322</v>
      </c>
      <c r="E11" s="2688"/>
      <c r="F11" s="2688"/>
      <c r="G11" s="2688"/>
      <c r="H11" s="2688"/>
      <c r="I11" s="2688"/>
      <c r="J11" s="2688"/>
      <c r="K11" s="2688"/>
      <c r="L11" s="2688"/>
      <c r="M11" s="2688"/>
      <c r="N11" s="2688"/>
      <c r="O11" s="2688"/>
      <c r="P11" s="2688"/>
      <c r="Q11" s="2688"/>
      <c r="R11" s="2688"/>
      <c r="S11" s="2688"/>
      <c r="T11" s="2688"/>
      <c r="U11" s="2688"/>
      <c r="V11" s="2688"/>
      <c r="W11" s="2688"/>
      <c r="X11" s="2688"/>
      <c r="Y11" s="2688"/>
      <c r="Z11" s="2688"/>
      <c r="AA11" s="2688"/>
      <c r="AB11" s="2688"/>
      <c r="AC11" s="2688"/>
      <c r="AD11" s="2688"/>
      <c r="AE11" s="2688"/>
      <c r="AF11" s="2688"/>
      <c r="AG11" s="2688"/>
      <c r="AH11" s="2688"/>
      <c r="AI11" s="2688"/>
      <c r="AJ11" s="2688"/>
      <c r="AK11" s="2688"/>
      <c r="AL11" s="2688"/>
      <c r="AM11" s="2688"/>
      <c r="AN11" s="2688"/>
      <c r="AO11" s="2688"/>
      <c r="AP11" s="2688"/>
      <c r="AQ11" s="2688"/>
      <c r="AR11" s="2688"/>
      <c r="AS11" s="2688"/>
      <c r="AT11" s="2688"/>
      <c r="AU11" s="2688"/>
      <c r="AV11" s="2688"/>
      <c r="AW11" s="2688"/>
      <c r="AX11" s="2688"/>
      <c r="AY11" s="2688"/>
      <c r="AZ11" s="2688"/>
      <c r="BA11" s="2688"/>
      <c r="BB11" s="2688"/>
      <c r="BC11" s="2688"/>
      <c r="BD11" s="2688"/>
      <c r="BE11" s="2688"/>
      <c r="BF11" s="2688"/>
      <c r="BG11" s="2688"/>
      <c r="BH11" s="2688"/>
      <c r="BI11" s="2688"/>
      <c r="BJ11" s="2688"/>
      <c r="BK11" s="2688"/>
      <c r="BL11" s="2688"/>
      <c r="BM11" s="2688"/>
      <c r="BN11" s="2688"/>
      <c r="BO11" s="2688"/>
      <c r="BP11" s="2688"/>
      <c r="BQ11" s="2688"/>
      <c r="BR11" s="2688"/>
      <c r="BS11" s="2688"/>
      <c r="BT11" s="2688"/>
      <c r="BU11" s="2688"/>
      <c r="BV11" s="2688"/>
      <c r="BW11" s="2688"/>
      <c r="BX11" s="2688"/>
      <c r="BY11" s="2688"/>
      <c r="BZ11" s="2688"/>
      <c r="CA11" s="2688"/>
      <c r="CB11" s="2688"/>
      <c r="CC11" s="2688"/>
      <c r="CD11" s="2688"/>
      <c r="CE11" s="2688"/>
      <c r="CF11" s="2688"/>
      <c r="CG11" s="2688"/>
      <c r="CH11" s="2688"/>
      <c r="CI11" s="2688"/>
      <c r="CJ11" s="2688"/>
      <c r="CK11" s="2688"/>
      <c r="CL11" s="2688"/>
      <c r="CM11" s="2688"/>
      <c r="CN11" s="2688"/>
      <c r="CO11" s="2688"/>
      <c r="CP11" s="2688"/>
      <c r="CQ11" s="2688"/>
      <c r="CR11" s="2688"/>
      <c r="CS11" s="2688"/>
      <c r="CT11" s="2688"/>
      <c r="CU11" s="2688"/>
      <c r="CV11" s="2688"/>
      <c r="CW11" s="2688"/>
      <c r="CX11" s="2688"/>
      <c r="CY11" s="2688"/>
      <c r="CZ11" s="2688"/>
      <c r="DA11" s="2688"/>
      <c r="DB11" s="2688"/>
      <c r="DC11" s="2688"/>
      <c r="DD11" s="2688"/>
      <c r="DE11" s="2688"/>
      <c r="DF11" s="2688"/>
      <c r="DG11" s="2688"/>
      <c r="DH11" s="2688"/>
      <c r="DI11" s="2688"/>
      <c r="DJ11" s="2688"/>
      <c r="DK11" s="2688"/>
      <c r="DL11" s="2688"/>
      <c r="DM11" s="2688"/>
      <c r="DN11" s="2688"/>
      <c r="DO11" s="2688"/>
      <c r="DP11" s="2688"/>
      <c r="DQ11" s="2688"/>
      <c r="DR11" s="2688"/>
      <c r="DS11" s="2688"/>
      <c r="DT11" s="2688"/>
      <c r="DU11" s="2688"/>
      <c r="DV11" s="2688"/>
      <c r="DW11" s="2688"/>
      <c r="DX11" s="2688"/>
      <c r="DY11" s="2688"/>
      <c r="DZ11" s="2688"/>
      <c r="EA11" s="2688"/>
      <c r="EB11" s="2688"/>
      <c r="EC11" s="2688"/>
      <c r="ED11" s="2688"/>
      <c r="EE11" s="2688"/>
      <c r="EF11" s="2688"/>
      <c r="EG11" s="2688"/>
      <c r="EH11" s="2688"/>
      <c r="EI11" s="2688"/>
      <c r="EJ11" s="2688"/>
      <c r="EK11" s="2688"/>
      <c r="EL11" s="2688"/>
      <c r="EM11" s="2688"/>
      <c r="EN11" s="2688"/>
      <c r="EO11" s="2688"/>
      <c r="EP11" s="2688"/>
      <c r="EQ11" s="2688"/>
      <c r="ER11" s="2688"/>
      <c r="ES11" s="2688"/>
      <c r="ET11" s="2688"/>
      <c r="EU11" s="2688"/>
      <c r="EV11" s="2688"/>
      <c r="EW11" s="2688"/>
      <c r="EX11" s="2688"/>
      <c r="EY11" s="2688"/>
      <c r="EZ11" s="2688"/>
      <c r="FA11" s="2688"/>
      <c r="FB11" s="2688"/>
      <c r="FC11" s="2688"/>
      <c r="FD11" s="2688"/>
      <c r="FE11" s="2688"/>
      <c r="FF11" s="2688"/>
      <c r="FG11" s="2688"/>
      <c r="FH11" s="2688"/>
      <c r="FI11" s="2688"/>
      <c r="FJ11" s="2688"/>
      <c r="FK11" s="2688"/>
      <c r="FL11" s="2688"/>
      <c r="FM11" s="2688"/>
      <c r="FN11" s="2688"/>
      <c r="FO11" s="2688"/>
      <c r="FP11" s="2688"/>
      <c r="FQ11" s="2688"/>
      <c r="FR11" s="2688"/>
      <c r="FS11" s="2688"/>
      <c r="FT11" s="2688"/>
      <c r="FU11" s="2688"/>
      <c r="FV11" s="2688"/>
      <c r="FW11" s="2688"/>
      <c r="FX11" s="2688"/>
      <c r="FY11" s="2688"/>
      <c r="FZ11" s="2688"/>
      <c r="GA11" s="2688"/>
      <c r="GB11" s="2688"/>
      <c r="GC11" s="2688"/>
      <c r="GD11" s="2688"/>
      <c r="GE11" s="2688"/>
      <c r="GF11" s="2688"/>
      <c r="GG11" s="2688"/>
      <c r="GH11" s="2688"/>
      <c r="GI11" s="2688"/>
      <c r="GJ11" s="2688"/>
      <c r="GK11" s="2688"/>
      <c r="GL11" s="2688"/>
      <c r="GM11" s="2688"/>
      <c r="GN11" s="2688"/>
      <c r="GO11" s="2688"/>
      <c r="GP11" s="2688"/>
      <c r="GQ11" s="2688"/>
      <c r="GR11" s="2688"/>
      <c r="GS11" s="2688"/>
      <c r="GT11" s="2688"/>
      <c r="GU11" s="2688"/>
      <c r="GV11" s="2688"/>
      <c r="GW11" s="2688"/>
      <c r="GX11" s="2688"/>
      <c r="GY11" s="2688"/>
      <c r="GZ11" s="2688"/>
      <c r="HA11" s="2688"/>
      <c r="HB11" s="2688"/>
      <c r="HC11" s="2688"/>
      <c r="HD11" s="2688"/>
      <c r="HE11" s="2688"/>
      <c r="HF11" s="2688"/>
      <c r="HG11" s="2688"/>
      <c r="HH11" s="2688">
        <v>5759</v>
      </c>
      <c r="HI11" s="2688"/>
      <c r="HJ11" s="2688"/>
      <c r="HK11" s="2688"/>
      <c r="HL11" s="2688"/>
      <c r="HM11" s="2688"/>
      <c r="HN11" s="2688"/>
      <c r="HO11" s="2688"/>
      <c r="HP11" s="2688"/>
      <c r="HQ11" s="2688"/>
      <c r="HR11" s="2688"/>
      <c r="HS11" s="2688"/>
      <c r="HT11" s="2688"/>
      <c r="HU11" s="2688"/>
      <c r="HV11" s="2688"/>
      <c r="HW11" s="2688"/>
      <c r="HX11" s="2688"/>
      <c r="HY11" s="2688"/>
      <c r="HZ11" s="2688"/>
      <c r="IA11" s="2688"/>
      <c r="IB11" s="2688"/>
      <c r="IC11" s="2688"/>
      <c r="ID11" s="2688"/>
      <c r="IE11" s="2688"/>
      <c r="IF11" s="2688"/>
      <c r="IG11" s="2688"/>
      <c r="IH11" s="2688"/>
      <c r="II11" s="2688"/>
      <c r="IJ11" s="2688"/>
      <c r="IK11" s="2688"/>
      <c r="IL11" s="2688"/>
      <c r="IM11" s="2688"/>
      <c r="IN11" s="2688"/>
      <c r="IO11" s="2688"/>
      <c r="IP11" s="3557"/>
      <c r="IQ11" s="3557"/>
      <c r="IR11" s="3557"/>
      <c r="IS11" s="3557"/>
      <c r="IT11" s="3557"/>
      <c r="IU11" s="3557"/>
      <c r="IV11" s="3557"/>
      <c r="IW11" s="3557"/>
      <c r="IX11" s="4031">
        <v>475</v>
      </c>
      <c r="IY11" s="3557"/>
      <c r="IZ11" s="3557"/>
      <c r="JA11" s="3557"/>
      <c r="JB11" s="3557"/>
      <c r="JC11" s="3557"/>
      <c r="JD11" s="3557"/>
      <c r="JE11" s="3557"/>
      <c r="JF11" s="3557"/>
      <c r="JG11" s="4085"/>
      <c r="JH11" s="1233"/>
    </row>
    <row r="12" spans="1:270" x14ac:dyDescent="0.2">
      <c r="A12" s="1128">
        <v>12</v>
      </c>
      <c r="B12" s="1534" t="str">
        <f si="0" t="shared"/>
        <v/>
      </c>
      <c r="C12" s="1278" t="s">
        <v>2648</v>
      </c>
      <c r="D12" s="1386" t="s">
        <v>5323</v>
      </c>
      <c r="E12" s="2688"/>
      <c r="F12" s="2688"/>
      <c r="G12" s="2688"/>
      <c r="H12" s="2688"/>
      <c r="I12" s="2688"/>
      <c r="J12" s="2688"/>
      <c r="K12" s="2688"/>
      <c r="L12" s="2688"/>
      <c r="M12" s="2688"/>
      <c r="N12" s="2688"/>
      <c r="O12" s="2688"/>
      <c r="P12" s="2688"/>
      <c r="Q12" s="2688"/>
      <c r="R12" s="2688"/>
      <c r="S12" s="2688"/>
      <c r="T12" s="2688"/>
      <c r="U12" s="2688"/>
      <c r="V12" s="2688"/>
      <c r="W12" s="2688"/>
      <c r="X12" s="2688"/>
      <c r="Y12" s="2688"/>
      <c r="Z12" s="2688"/>
      <c r="AA12" s="2688"/>
      <c r="AB12" s="2688"/>
      <c r="AC12" s="2688"/>
      <c r="AD12" s="2688"/>
      <c r="AE12" s="2688"/>
      <c r="AF12" s="2688"/>
      <c r="AG12" s="2688"/>
      <c r="AH12" s="2688"/>
      <c r="AI12" s="2688"/>
      <c r="AJ12" s="2688"/>
      <c r="AK12" s="2688"/>
      <c r="AL12" s="2688"/>
      <c r="AM12" s="2688"/>
      <c r="AN12" s="2688"/>
      <c r="AO12" s="2688"/>
      <c r="AP12" s="2688"/>
      <c r="AQ12" s="2688"/>
      <c r="AR12" s="2688"/>
      <c r="AS12" s="2688"/>
      <c r="AT12" s="2688"/>
      <c r="AU12" s="2688"/>
      <c r="AV12" s="2688"/>
      <c r="AW12" s="2688"/>
      <c r="AX12" s="2688"/>
      <c r="AY12" s="2688"/>
      <c r="AZ12" s="2688"/>
      <c r="BA12" s="2688"/>
      <c r="BB12" s="2688"/>
      <c r="BC12" s="2688"/>
      <c r="BD12" s="2688"/>
      <c r="BE12" s="2688"/>
      <c r="BF12" s="2688"/>
      <c r="BG12" s="2688"/>
      <c r="BH12" s="2688"/>
      <c r="BI12" s="2688"/>
      <c r="BJ12" s="2688"/>
      <c r="BK12" s="2688"/>
      <c r="BL12" s="2688"/>
      <c r="BM12" s="2688"/>
      <c r="BN12" s="2688"/>
      <c r="BO12" s="2688"/>
      <c r="BP12" s="2688"/>
      <c r="BQ12" s="2688"/>
      <c r="BR12" s="2688"/>
      <c r="BS12" s="2688"/>
      <c r="BT12" s="2688"/>
      <c r="BU12" s="2688"/>
      <c r="BV12" s="2688"/>
      <c r="BW12" s="2688"/>
      <c r="BX12" s="2688"/>
      <c r="BY12" s="2688"/>
      <c r="BZ12" s="2688"/>
      <c r="CA12" s="2688"/>
      <c r="CB12" s="2688"/>
      <c r="CC12" s="2688"/>
      <c r="CD12" s="2688"/>
      <c r="CE12" s="2688"/>
      <c r="CF12" s="2688"/>
      <c r="CG12" s="2688"/>
      <c r="CH12" s="2688"/>
      <c r="CI12" s="2688"/>
      <c r="CJ12" s="2688"/>
      <c r="CK12" s="2688"/>
      <c r="CL12" s="2688"/>
      <c r="CM12" s="2688"/>
      <c r="CN12" s="2688"/>
      <c r="CO12" s="2688"/>
      <c r="CP12" s="2688"/>
      <c r="CQ12" s="2688"/>
      <c r="CR12" s="2688"/>
      <c r="CS12" s="2688"/>
      <c r="CT12" s="2688"/>
      <c r="CU12" s="2688"/>
      <c r="CV12" s="2688"/>
      <c r="CW12" s="2688"/>
      <c r="CX12" s="2688"/>
      <c r="CY12" s="2688"/>
      <c r="CZ12" s="2688"/>
      <c r="DA12" s="2688"/>
      <c r="DB12" s="2688"/>
      <c r="DC12" s="2688"/>
      <c r="DD12" s="2688"/>
      <c r="DE12" s="2688"/>
      <c r="DF12" s="2688"/>
      <c r="DG12" s="2688"/>
      <c r="DH12" s="2688"/>
      <c r="DI12" s="2688"/>
      <c r="DJ12" s="2688"/>
      <c r="DK12" s="2688"/>
      <c r="DL12" s="2688"/>
      <c r="DM12" s="2688"/>
      <c r="DN12" s="2688"/>
      <c r="DO12" s="2688"/>
      <c r="DP12" s="2688"/>
      <c r="DQ12" s="2688"/>
      <c r="DR12" s="2688"/>
      <c r="DS12" s="2688"/>
      <c r="DT12" s="2688"/>
      <c r="DU12" s="2688"/>
      <c r="DV12" s="2688"/>
      <c r="DW12" s="2688"/>
      <c r="DX12" s="2688"/>
      <c r="DY12" s="2688"/>
      <c r="DZ12" s="2688"/>
      <c r="EA12" s="2688"/>
      <c r="EB12" s="2688"/>
      <c r="EC12" s="2688"/>
      <c r="ED12" s="2688"/>
      <c r="EE12" s="2688"/>
      <c r="EF12" s="2688"/>
      <c r="EG12" s="2688"/>
      <c r="EH12" s="2688"/>
      <c r="EI12" s="2688"/>
      <c r="EJ12" s="2688"/>
      <c r="EK12" s="2688"/>
      <c r="EL12" s="2688"/>
      <c r="EM12" s="2688"/>
      <c r="EN12" s="2688"/>
      <c r="EO12" s="2688"/>
      <c r="EP12" s="2688"/>
      <c r="EQ12" s="2688"/>
      <c r="ER12" s="2688"/>
      <c r="ES12" s="2688"/>
      <c r="ET12" s="2688"/>
      <c r="EU12" s="2688"/>
      <c r="EV12" s="2688"/>
      <c r="EW12" s="2688"/>
      <c r="EX12" s="2688"/>
      <c r="EY12" s="2688"/>
      <c r="EZ12" s="2688"/>
      <c r="FA12" s="2688"/>
      <c r="FB12" s="2688"/>
      <c r="FC12" s="2688"/>
      <c r="FD12" s="2688"/>
      <c r="FE12" s="2688"/>
      <c r="FF12" s="2688"/>
      <c r="FG12" s="2688"/>
      <c r="FH12" s="2688"/>
      <c r="FI12" s="2688"/>
      <c r="FJ12" s="2688"/>
      <c r="FK12" s="2688"/>
      <c r="FL12" s="2688"/>
      <c r="FM12" s="2688"/>
      <c r="FN12" s="2688"/>
      <c r="FO12" s="2688"/>
      <c r="FP12" s="2688"/>
      <c r="FQ12" s="2688"/>
      <c r="FR12" s="2688"/>
      <c r="FS12" s="2688"/>
      <c r="FT12" s="2688"/>
      <c r="FU12" s="2688"/>
      <c r="FV12" s="2688"/>
      <c r="FW12" s="2688"/>
      <c r="FX12" s="2688"/>
      <c r="FY12" s="2688"/>
      <c r="FZ12" s="2688"/>
      <c r="GA12" s="2688"/>
      <c r="GB12" s="2688"/>
      <c r="GC12" s="2688"/>
      <c r="GD12" s="2688"/>
      <c r="GE12" s="2688"/>
      <c r="GF12" s="2688"/>
      <c r="GG12" s="2688"/>
      <c r="GH12" s="2688"/>
      <c r="GI12" s="2688"/>
      <c r="GJ12" s="2688"/>
      <c r="GK12" s="2688"/>
      <c r="GL12" s="2688"/>
      <c r="GM12" s="2688"/>
      <c r="GN12" s="2688"/>
      <c r="GO12" s="2688"/>
      <c r="GP12" s="2688"/>
      <c r="GQ12" s="2688"/>
      <c r="GR12" s="2688"/>
      <c r="GS12" s="2688"/>
      <c r="GT12" s="2688"/>
      <c r="GU12" s="2688"/>
      <c r="GV12" s="2688"/>
      <c r="GW12" s="2688"/>
      <c r="GX12" s="2688"/>
      <c r="GY12" s="2688"/>
      <c r="GZ12" s="2688"/>
      <c r="HA12" s="2688"/>
      <c r="HB12" s="2688"/>
      <c r="HC12" s="2688"/>
      <c r="HD12" s="2688"/>
      <c r="HE12" s="2688"/>
      <c r="HF12" s="2688"/>
      <c r="HG12" s="2688"/>
      <c r="HH12" s="2688">
        <v>575.9</v>
      </c>
      <c r="HI12" s="2688"/>
      <c r="HJ12" s="2688"/>
      <c r="HK12" s="2688"/>
      <c r="HL12" s="2688"/>
      <c r="HM12" s="2688"/>
      <c r="HN12" s="2688"/>
      <c r="HO12" s="2688"/>
      <c r="HP12" s="2688"/>
      <c r="HQ12" s="2688"/>
      <c r="HR12" s="2688"/>
      <c r="HS12" s="2688"/>
      <c r="HT12" s="2688"/>
      <c r="HU12" s="2688"/>
      <c r="HV12" s="2688"/>
      <c r="HW12" s="2688"/>
      <c r="HX12" s="2688"/>
      <c r="HY12" s="2688"/>
      <c r="HZ12" s="2688"/>
      <c r="IA12" s="2688"/>
      <c r="IB12" s="2688"/>
      <c r="IC12" s="2688"/>
      <c r="ID12" s="2688"/>
      <c r="IE12" s="2688"/>
      <c r="IF12" s="2688"/>
      <c r="IG12" s="2688"/>
      <c r="IH12" s="2688"/>
      <c r="II12" s="2688"/>
      <c r="IJ12" s="2688"/>
      <c r="IK12" s="2688"/>
      <c r="IL12" s="2688"/>
      <c r="IM12" s="2688"/>
      <c r="IN12" s="2688"/>
      <c r="IO12" s="2688"/>
      <c r="IP12" s="3557"/>
      <c r="IQ12" s="3557"/>
      <c r="IR12" s="3557"/>
      <c r="IS12" s="3557"/>
      <c r="IT12" s="3557"/>
      <c r="IU12" s="3557"/>
      <c r="IV12" s="3557"/>
      <c r="IW12" s="3557"/>
      <c r="IX12" s="4031"/>
      <c r="IY12" s="3557"/>
      <c r="IZ12" s="3557"/>
      <c r="JA12" s="3557"/>
      <c r="JB12" s="3557"/>
      <c r="JC12" s="3557"/>
      <c r="JD12" s="3557"/>
      <c r="JE12" s="3557"/>
      <c r="JF12" s="3557"/>
      <c r="JG12" s="4085"/>
      <c r="JH12" s="1233"/>
    </row>
    <row r="13" spans="1:270" x14ac:dyDescent="0.2">
      <c r="A13" s="1128">
        <v>13</v>
      </c>
      <c r="B13" s="1534" t="str">
        <f si="0" t="shared"/>
        <v/>
      </c>
      <c r="C13" s="1278" t="s">
        <v>2649</v>
      </c>
      <c r="D13" s="1386" t="s">
        <v>5324</v>
      </c>
      <c r="E13" s="2688"/>
      <c r="F13" s="2688"/>
      <c r="G13" s="2688"/>
      <c r="H13" s="2688"/>
      <c r="I13" s="2688"/>
      <c r="J13" s="2688"/>
      <c r="K13" s="2688"/>
      <c r="L13" s="2688"/>
      <c r="M13" s="2688"/>
      <c r="N13" s="2688"/>
      <c r="O13" s="2688"/>
      <c r="P13" s="2688"/>
      <c r="Q13" s="2688"/>
      <c r="R13" s="2688"/>
      <c r="S13" s="2688"/>
      <c r="T13" s="2688"/>
      <c r="U13" s="2688"/>
      <c r="V13" s="2688"/>
      <c r="W13" s="2688"/>
      <c r="X13" s="2688"/>
      <c r="Y13" s="2688"/>
      <c r="Z13" s="2688"/>
      <c r="AA13" s="2688"/>
      <c r="AB13" s="2688"/>
      <c r="AC13" s="2688"/>
      <c r="AD13" s="2688"/>
      <c r="AE13" s="2688"/>
      <c r="AF13" s="2688"/>
      <c r="AG13" s="2688"/>
      <c r="AH13" s="2688"/>
      <c r="AI13" s="2688"/>
      <c r="AJ13" s="2688"/>
      <c r="AK13" s="2688"/>
      <c r="AL13" s="2688"/>
      <c r="AM13" s="2688"/>
      <c r="AN13" s="2688"/>
      <c r="AO13" s="2688"/>
      <c r="AP13" s="2688"/>
      <c r="AQ13" s="2688"/>
      <c r="AR13" s="2688"/>
      <c r="AS13" s="2688"/>
      <c r="AT13" s="2688"/>
      <c r="AU13" s="2688"/>
      <c r="AV13" s="2688"/>
      <c r="AW13" s="2688"/>
      <c r="AX13" s="2688"/>
      <c r="AY13" s="2688"/>
      <c r="AZ13" s="2688"/>
      <c r="BA13" s="2688"/>
      <c r="BB13" s="2688"/>
      <c r="BC13" s="2688"/>
      <c r="BD13" s="2688"/>
      <c r="BE13" s="2688"/>
      <c r="BF13" s="2688"/>
      <c r="BG13" s="2688"/>
      <c r="BH13" s="2688"/>
      <c r="BI13" s="2688"/>
      <c r="BJ13" s="2688"/>
      <c r="BK13" s="2688"/>
      <c r="BL13" s="2688"/>
      <c r="BM13" s="2688"/>
      <c r="BN13" s="2688"/>
      <c r="BO13" s="2688"/>
      <c r="BP13" s="2688"/>
      <c r="BQ13" s="2688"/>
      <c r="BR13" s="2688"/>
      <c r="BS13" s="2688"/>
      <c r="BT13" s="2688"/>
      <c r="BU13" s="2688"/>
      <c r="BV13" s="2688"/>
      <c r="BW13" s="2688"/>
      <c r="BX13" s="2688"/>
      <c r="BY13" s="2688"/>
      <c r="BZ13" s="2688"/>
      <c r="CA13" s="2688"/>
      <c r="CB13" s="2688"/>
      <c r="CC13" s="2688"/>
      <c r="CD13" s="2688"/>
      <c r="CE13" s="2688"/>
      <c r="CF13" s="2688"/>
      <c r="CG13" s="2688"/>
      <c r="CH13" s="2688"/>
      <c r="CI13" s="2688"/>
      <c r="CJ13" s="2688"/>
      <c r="CK13" s="2688"/>
      <c r="CL13" s="2688"/>
      <c r="CM13" s="2688"/>
      <c r="CN13" s="2688"/>
      <c r="CO13" s="2688"/>
      <c r="CP13" s="2688"/>
      <c r="CQ13" s="2688"/>
      <c r="CR13" s="2688"/>
      <c r="CS13" s="2688"/>
      <c r="CT13" s="2688"/>
      <c r="CU13" s="2688"/>
      <c r="CV13" s="2688"/>
      <c r="CW13" s="2688"/>
      <c r="CX13" s="2688"/>
      <c r="CY13" s="2688"/>
      <c r="CZ13" s="2688"/>
      <c r="DA13" s="2688"/>
      <c r="DB13" s="2688"/>
      <c r="DC13" s="2688"/>
      <c r="DD13" s="2688"/>
      <c r="DE13" s="2688"/>
      <c r="DF13" s="2688"/>
      <c r="DG13" s="2688"/>
      <c r="DH13" s="2688"/>
      <c r="DI13" s="2688"/>
      <c r="DJ13" s="2688"/>
      <c r="DK13" s="2688"/>
      <c r="DL13" s="2688"/>
      <c r="DM13" s="2688"/>
      <c r="DN13" s="2688"/>
      <c r="DO13" s="2688"/>
      <c r="DP13" s="2688"/>
      <c r="DQ13" s="2688"/>
      <c r="DR13" s="2688"/>
      <c r="DS13" s="2688"/>
      <c r="DT13" s="2688"/>
      <c r="DU13" s="2688"/>
      <c r="DV13" s="2688"/>
      <c r="DW13" s="2688"/>
      <c r="DX13" s="2688"/>
      <c r="DY13" s="2688"/>
      <c r="DZ13" s="2688"/>
      <c r="EA13" s="2688"/>
      <c r="EB13" s="2688"/>
      <c r="EC13" s="2688"/>
      <c r="ED13" s="2688"/>
      <c r="EE13" s="2688"/>
      <c r="EF13" s="2688"/>
      <c r="EG13" s="2688"/>
      <c r="EH13" s="2688"/>
      <c r="EI13" s="2688"/>
      <c r="EJ13" s="2688"/>
      <c r="EK13" s="2688"/>
      <c r="EL13" s="2688"/>
      <c r="EM13" s="2688"/>
      <c r="EN13" s="2688"/>
      <c r="EO13" s="2688"/>
      <c r="EP13" s="2688"/>
      <c r="EQ13" s="2688"/>
      <c r="ER13" s="2688"/>
      <c r="ES13" s="2688"/>
      <c r="ET13" s="2688"/>
      <c r="EU13" s="2688"/>
      <c r="EV13" s="2688"/>
      <c r="EW13" s="2688"/>
      <c r="EX13" s="2688"/>
      <c r="EY13" s="2688"/>
      <c r="EZ13" s="2688"/>
      <c r="FA13" s="2688"/>
      <c r="FB13" s="2688"/>
      <c r="FC13" s="2688"/>
      <c r="FD13" s="2688"/>
      <c r="FE13" s="2688"/>
      <c r="FF13" s="2688"/>
      <c r="FG13" s="2688"/>
      <c r="FH13" s="2688"/>
      <c r="FI13" s="2688"/>
      <c r="FJ13" s="2688"/>
      <c r="FK13" s="2688"/>
      <c r="FL13" s="2688"/>
      <c r="FM13" s="2688"/>
      <c r="FN13" s="2688"/>
      <c r="FO13" s="2688"/>
      <c r="FP13" s="2688"/>
      <c r="FQ13" s="2688"/>
      <c r="FR13" s="2688"/>
      <c r="FS13" s="2688"/>
      <c r="FT13" s="2688"/>
      <c r="FU13" s="2688"/>
      <c r="FV13" s="2688"/>
      <c r="FW13" s="2688"/>
      <c r="FX13" s="2688"/>
      <c r="FY13" s="2688"/>
      <c r="FZ13" s="2688"/>
      <c r="GA13" s="2688"/>
      <c r="GB13" s="2688"/>
      <c r="GC13" s="2688"/>
      <c r="GD13" s="2688"/>
      <c r="GE13" s="2688"/>
      <c r="GF13" s="2688"/>
      <c r="GG13" s="2688"/>
      <c r="GH13" s="2688"/>
      <c r="GI13" s="2688"/>
      <c r="GJ13" s="2688"/>
      <c r="GK13" s="2688"/>
      <c r="GL13" s="2688"/>
      <c r="GM13" s="2688"/>
      <c r="GN13" s="2688"/>
      <c r="GO13" s="2688"/>
      <c r="GP13" s="2688"/>
      <c r="GQ13" s="2688"/>
      <c r="GR13" s="2688"/>
      <c r="GS13" s="2688"/>
      <c r="GT13" s="2688"/>
      <c r="GU13" s="2688"/>
      <c r="GV13" s="2688"/>
      <c r="GW13" s="2688"/>
      <c r="GX13" s="2688"/>
      <c r="GY13" s="2688"/>
      <c r="GZ13" s="2688"/>
      <c r="HA13" s="2688"/>
      <c r="HB13" s="2688"/>
      <c r="HC13" s="2688"/>
      <c r="HD13" s="2688"/>
      <c r="HE13" s="2688"/>
      <c r="HF13" s="2688"/>
      <c r="HG13" s="2688"/>
      <c r="HH13" s="2688"/>
      <c r="HI13" s="2688"/>
      <c r="HJ13" s="2688"/>
      <c r="HK13" s="2688"/>
      <c r="HL13" s="2688"/>
      <c r="HM13" s="2688"/>
      <c r="HN13" s="2688"/>
      <c r="HO13" s="2688"/>
      <c r="HP13" s="2688"/>
      <c r="HQ13" s="2688"/>
      <c r="HR13" s="2688"/>
      <c r="HS13" s="2688"/>
      <c r="HT13" s="2688"/>
      <c r="HU13" s="2688"/>
      <c r="HV13" s="2688"/>
      <c r="HW13" s="2688"/>
      <c r="HX13" s="2688"/>
      <c r="HY13" s="2688"/>
      <c r="HZ13" s="2688"/>
      <c r="IA13" s="2688"/>
      <c r="IB13" s="2688"/>
      <c r="IC13" s="2688"/>
      <c r="ID13" s="2688"/>
      <c r="IE13" s="2688"/>
      <c r="IF13" s="2688"/>
      <c r="IG13" s="2688"/>
      <c r="IH13" s="2688"/>
      <c r="II13" s="2688"/>
      <c r="IJ13" s="2688"/>
      <c r="IK13" s="2688"/>
      <c r="IL13" s="2688"/>
      <c r="IM13" s="2688"/>
      <c r="IN13" s="2688"/>
      <c r="IO13" s="2688"/>
      <c r="IP13" s="3557"/>
      <c r="IQ13" s="3557"/>
      <c r="IR13" s="3557"/>
      <c r="IS13" s="3557"/>
      <c r="IT13" s="3557"/>
      <c r="IU13" s="3557"/>
      <c r="IV13" s="3557"/>
      <c r="IW13" s="3557"/>
      <c r="IX13" s="4031"/>
      <c r="IY13" s="3557"/>
      <c r="IZ13" s="3557"/>
      <c r="JA13" s="3557"/>
      <c r="JB13" s="3557"/>
      <c r="JC13" s="3557"/>
      <c r="JD13" s="3557"/>
      <c r="JE13" s="3557"/>
      <c r="JF13" s="3557"/>
      <c r="JG13" s="4085"/>
      <c r="JH13" s="1233"/>
    </row>
    <row r="14" spans="1:270" x14ac:dyDescent="0.2">
      <c r="A14" s="1128">
        <v>14</v>
      </c>
      <c r="B14" s="1534" t="str">
        <f si="0" t="shared"/>
        <v/>
      </c>
      <c r="C14" s="1278" t="s">
        <v>2650</v>
      </c>
      <c r="D14" s="1386" t="s">
        <v>5325</v>
      </c>
      <c r="E14" s="3359"/>
      <c r="F14" s="3359"/>
      <c r="G14" s="3359"/>
      <c r="H14" s="3359"/>
      <c r="I14" s="3359"/>
      <c r="J14" s="3359"/>
      <c r="K14" s="3359"/>
      <c r="L14" s="3359"/>
      <c r="M14" s="3359"/>
      <c r="N14" s="3359"/>
      <c r="O14" s="3359"/>
      <c r="P14" s="3359"/>
      <c r="Q14" s="3359"/>
      <c r="R14" s="3359"/>
      <c r="S14" s="3359"/>
      <c r="T14" s="3359"/>
      <c r="U14" s="3359"/>
      <c r="V14" s="3359"/>
      <c r="W14" s="3359"/>
      <c r="X14" s="3359"/>
      <c r="Y14" s="3359"/>
      <c r="Z14" s="3359"/>
      <c r="AA14" s="3359"/>
      <c r="AB14" s="3359"/>
      <c r="AC14" s="3359"/>
      <c r="AD14" s="3359"/>
      <c r="AE14" s="3359"/>
      <c r="AF14" s="3359"/>
      <c r="AG14" s="3359"/>
      <c r="AH14" s="3359"/>
      <c r="AI14" s="3359"/>
      <c r="AJ14" s="3359"/>
      <c r="AK14" s="3359"/>
      <c r="AL14" s="3359"/>
      <c r="AM14" s="3359"/>
      <c r="AN14" s="3359"/>
      <c r="AO14" s="3359"/>
      <c r="AP14" s="3359"/>
      <c r="AQ14" s="3359"/>
      <c r="AR14" s="3359"/>
      <c r="AS14" s="3359"/>
      <c r="AT14" s="3359"/>
      <c r="AU14" s="3359"/>
      <c r="AV14" s="3359"/>
      <c r="AW14" s="3359"/>
      <c r="AX14" s="3359"/>
      <c r="AY14" s="3359"/>
      <c r="AZ14" s="3359"/>
      <c r="BA14" s="3359"/>
      <c r="BB14" s="3359"/>
      <c r="BC14" s="3359"/>
      <c r="BD14" s="3359"/>
      <c r="BE14" s="3359"/>
      <c r="BF14" s="3359"/>
      <c r="BG14" s="3359"/>
      <c r="BH14" s="3359"/>
      <c r="BI14" s="3359"/>
      <c r="BJ14" s="3359"/>
      <c r="BK14" s="3359"/>
      <c r="BL14" s="3359"/>
      <c r="BM14" s="3359"/>
      <c r="BN14" s="3359"/>
      <c r="BO14" s="3359"/>
      <c r="BP14" s="3359"/>
      <c r="BQ14" s="3359"/>
      <c r="BR14" s="3359"/>
      <c r="BS14" s="3359"/>
      <c r="BT14" s="3359"/>
      <c r="BU14" s="3359"/>
      <c r="BV14" s="3359"/>
      <c r="BW14" s="3359"/>
      <c r="BX14" s="3359"/>
      <c r="BY14" s="3359"/>
      <c r="BZ14" s="3359"/>
      <c r="CA14" s="3359"/>
      <c r="CB14" s="3359"/>
      <c r="CC14" s="3359"/>
      <c r="CD14" s="3359"/>
      <c r="CE14" s="3359"/>
      <c r="CF14" s="3359"/>
      <c r="CG14" s="3359"/>
      <c r="CH14" s="3359"/>
      <c r="CI14" s="3359"/>
      <c r="CJ14" s="3359"/>
      <c r="CK14" s="3359"/>
      <c r="CL14" s="3359"/>
      <c r="CM14" s="3359"/>
      <c r="CN14" s="3359"/>
      <c r="CO14" s="3359"/>
      <c r="CP14" s="3359"/>
      <c r="CQ14" s="3359"/>
      <c r="CR14" s="3359"/>
      <c r="CS14" s="3359"/>
      <c r="CT14" s="3359"/>
      <c r="CU14" s="3359"/>
      <c r="CV14" s="3359"/>
      <c r="CW14" s="3359"/>
      <c r="CX14" s="3359"/>
      <c r="CY14" s="3359"/>
      <c r="CZ14" s="3359"/>
      <c r="DA14" s="3359"/>
      <c r="DB14" s="3359"/>
      <c r="DC14" s="3359"/>
      <c r="DD14" s="3359"/>
      <c r="DE14" s="3359"/>
      <c r="DF14" s="3359"/>
      <c r="DG14" s="3359"/>
      <c r="DH14" s="3359"/>
      <c r="DI14" s="3359"/>
      <c r="DJ14" s="3359"/>
      <c r="DK14" s="3359"/>
      <c r="DL14" s="3359"/>
      <c r="DM14" s="3359"/>
      <c r="DN14" s="3359"/>
      <c r="DO14" s="3359"/>
      <c r="DP14" s="3359"/>
      <c r="DQ14" s="3359"/>
      <c r="DR14" s="3359"/>
      <c r="DS14" s="3359"/>
      <c r="DT14" s="3359"/>
      <c r="DU14" s="3359"/>
      <c r="DV14" s="3359"/>
      <c r="DW14" s="3359"/>
      <c r="DX14" s="3359"/>
      <c r="DY14" s="3359"/>
      <c r="DZ14" s="3359"/>
      <c r="EA14" s="3359"/>
      <c r="EB14" s="3359"/>
      <c r="EC14" s="3359"/>
      <c r="ED14" s="3359"/>
      <c r="EE14" s="3359"/>
      <c r="EF14" s="3359"/>
      <c r="EG14" s="3359"/>
      <c r="EH14" s="3359"/>
      <c r="EI14" s="3359"/>
      <c r="EJ14" s="3359"/>
      <c r="EK14" s="3359"/>
      <c r="EL14" s="3359"/>
      <c r="EM14" s="3359"/>
      <c r="EN14" s="3359"/>
      <c r="EO14" s="3359"/>
      <c r="EP14" s="3359"/>
      <c r="EQ14" s="3359"/>
      <c r="ER14" s="3359"/>
      <c r="ES14" s="3359"/>
      <c r="ET14" s="3359"/>
      <c r="EU14" s="3359"/>
      <c r="EV14" s="3359"/>
      <c r="EW14" s="3359"/>
      <c r="EX14" s="3359"/>
      <c r="EY14" s="3359"/>
      <c r="EZ14" s="3359"/>
      <c r="FA14" s="3359"/>
      <c r="FB14" s="3359"/>
      <c r="FC14" s="3359"/>
      <c r="FD14" s="3359"/>
      <c r="FE14" s="3359"/>
      <c r="FF14" s="3359"/>
      <c r="FG14" s="3359"/>
      <c r="FH14" s="3359"/>
      <c r="FI14" s="3359"/>
      <c r="FJ14" s="3359"/>
      <c r="FK14" s="3359"/>
      <c r="FL14" s="3359"/>
      <c r="FM14" s="3359"/>
      <c r="FN14" s="3359"/>
      <c r="FO14" s="3359"/>
      <c r="FP14" s="3359"/>
      <c r="FQ14" s="3359"/>
      <c r="FR14" s="3359"/>
      <c r="FS14" s="3359"/>
      <c r="FT14" s="3359"/>
      <c r="FU14" s="3359"/>
      <c r="FV14" s="3359"/>
      <c r="FW14" s="3359"/>
      <c r="FX14" s="3359"/>
      <c r="FY14" s="3359"/>
      <c r="FZ14" s="3359"/>
      <c r="GA14" s="3359"/>
      <c r="GB14" s="3359"/>
      <c r="GC14" s="3359"/>
      <c r="GD14" s="3359"/>
      <c r="GE14" s="3359"/>
      <c r="GF14" s="3359"/>
      <c r="GG14" s="3359"/>
      <c r="GH14" s="3359"/>
      <c r="GI14" s="3359"/>
      <c r="GJ14" s="3359"/>
      <c r="GK14" s="3359"/>
      <c r="GL14" s="3359"/>
      <c r="GM14" s="3359"/>
      <c r="GN14" s="3359"/>
      <c r="GO14" s="3359"/>
      <c r="GP14" s="3359"/>
      <c r="GQ14" s="3359"/>
      <c r="GR14" s="3359"/>
      <c r="GS14" s="3359"/>
      <c r="GT14" s="3359"/>
      <c r="GU14" s="3359"/>
      <c r="GV14" s="3359"/>
      <c r="GW14" s="3359"/>
      <c r="GX14" s="3359"/>
      <c r="GY14" s="3359"/>
      <c r="GZ14" s="3359"/>
      <c r="HA14" s="3359"/>
      <c r="HB14" s="3359"/>
      <c r="HC14" s="3359"/>
      <c r="HD14" s="3359"/>
      <c r="HE14" s="3359"/>
      <c r="HF14" s="3359"/>
      <c r="HG14" s="3359"/>
      <c r="HH14" s="3359" t="s">
        <v>572</v>
      </c>
      <c r="HI14" s="3359"/>
      <c r="HJ14" s="3359"/>
      <c r="HK14" s="3359"/>
      <c r="HL14" s="3359"/>
      <c r="HM14" s="3359"/>
      <c r="HN14" s="3359"/>
      <c r="HO14" s="3359"/>
      <c r="HP14" s="3359"/>
      <c r="HQ14" s="3359"/>
      <c r="HR14" s="3359"/>
      <c r="HS14" s="3359"/>
      <c r="HT14" s="3359"/>
      <c r="HU14" s="3359"/>
      <c r="HV14" s="3359"/>
      <c r="HW14" s="3359"/>
      <c r="HX14" s="3359"/>
      <c r="HY14" s="3359"/>
      <c r="HZ14" s="3359"/>
      <c r="IA14" s="3359"/>
      <c r="IB14" s="3359"/>
      <c r="IC14" s="3359"/>
      <c r="ID14" s="3359"/>
      <c r="IE14" s="3359"/>
      <c r="IF14" s="3359"/>
      <c r="IG14" s="3359"/>
      <c r="IH14" s="3359"/>
      <c r="II14" s="3359"/>
      <c r="IJ14" s="3359"/>
      <c r="IK14" s="3359"/>
      <c r="IL14" s="3359"/>
      <c r="IM14" s="3359"/>
      <c r="IN14" s="3359"/>
      <c r="IO14" s="3359"/>
      <c r="IP14" s="2815"/>
      <c r="IQ14" s="2815"/>
      <c r="IR14" s="2815"/>
      <c r="IS14" s="2815"/>
      <c r="IT14" s="2815"/>
      <c r="IU14" s="2815"/>
      <c r="IV14" s="2815"/>
      <c r="IW14" s="2815"/>
      <c r="IX14" s="3979"/>
      <c r="IY14" s="2815"/>
      <c r="IZ14" s="2815"/>
      <c r="JA14" s="2815"/>
      <c r="JB14" s="2815"/>
      <c r="JC14" s="2815"/>
      <c r="JD14" s="2815"/>
      <c r="JE14" s="2815"/>
      <c r="JF14" s="2815"/>
      <c r="JG14" s="3348"/>
      <c r="JH14" s="1233"/>
    </row>
    <row r="15" spans="1:270" x14ac:dyDescent="0.2">
      <c r="A15" s="1128">
        <v>15</v>
      </c>
      <c r="B15" s="1534" t="str">
        <f si="0" t="shared"/>
        <v/>
      </c>
      <c r="C15" s="1278" t="s">
        <v>2651</v>
      </c>
      <c r="D15" s="1386" t="s">
        <v>5326</v>
      </c>
      <c r="E15" s="2688"/>
      <c r="F15" s="2688"/>
      <c r="G15" s="2688"/>
      <c r="H15" s="2688"/>
      <c r="I15" s="2688"/>
      <c r="J15" s="2688"/>
      <c r="K15" s="2688"/>
      <c r="L15" s="2688"/>
      <c r="M15" s="2688"/>
      <c r="N15" s="2688"/>
      <c r="O15" s="2688"/>
      <c r="P15" s="2688"/>
      <c r="Q15" s="2688"/>
      <c r="R15" s="2688"/>
      <c r="S15" s="2688"/>
      <c r="T15" s="2688"/>
      <c r="U15" s="2688"/>
      <c r="V15" s="2688"/>
      <c r="W15" s="2688"/>
      <c r="X15" s="2688"/>
      <c r="Y15" s="2688"/>
      <c r="Z15" s="2688"/>
      <c r="AA15" s="2688"/>
      <c r="AB15" s="2688"/>
      <c r="AC15" s="2688"/>
      <c r="AD15" s="2688"/>
      <c r="AE15" s="2688"/>
      <c r="AF15" s="2688"/>
      <c r="AG15" s="2688"/>
      <c r="AH15" s="2688"/>
      <c r="AI15" s="2688"/>
      <c r="AJ15" s="2688"/>
      <c r="AK15" s="2688"/>
      <c r="AL15" s="2688"/>
      <c r="AM15" s="2688"/>
      <c r="AN15" s="2688"/>
      <c r="AO15" s="2688"/>
      <c r="AP15" s="2688"/>
      <c r="AQ15" s="2688"/>
      <c r="AR15" s="2688"/>
      <c r="AS15" s="2688"/>
      <c r="AT15" s="2688"/>
      <c r="AU15" s="2688"/>
      <c r="AV15" s="2688"/>
      <c r="AW15" s="2688"/>
      <c r="AX15" s="2688"/>
      <c r="AY15" s="2688"/>
      <c r="AZ15" s="2688"/>
      <c r="BA15" s="2688"/>
      <c r="BB15" s="2688"/>
      <c r="BC15" s="2688"/>
      <c r="BD15" s="2688"/>
      <c r="BE15" s="2688"/>
      <c r="BF15" s="2688"/>
      <c r="BG15" s="2688"/>
      <c r="BH15" s="2688"/>
      <c r="BI15" s="2688"/>
      <c r="BJ15" s="2688"/>
      <c r="BK15" s="2688"/>
      <c r="BL15" s="2688"/>
      <c r="BM15" s="2688"/>
      <c r="BN15" s="2688"/>
      <c r="BO15" s="2688"/>
      <c r="BP15" s="2688"/>
      <c r="BQ15" s="2688"/>
      <c r="BR15" s="2688"/>
      <c r="BS15" s="2688"/>
      <c r="BT15" s="2688"/>
      <c r="BU15" s="2688"/>
      <c r="BV15" s="2688"/>
      <c r="BW15" s="2688"/>
      <c r="BX15" s="2688"/>
      <c r="BY15" s="2688"/>
      <c r="BZ15" s="2688"/>
      <c r="CA15" s="2688"/>
      <c r="CB15" s="2688"/>
      <c r="CC15" s="2688"/>
      <c r="CD15" s="2688"/>
      <c r="CE15" s="2688"/>
      <c r="CF15" s="2688"/>
      <c r="CG15" s="2688"/>
      <c r="CH15" s="2688"/>
      <c r="CI15" s="2688"/>
      <c r="CJ15" s="2688"/>
      <c r="CK15" s="2688"/>
      <c r="CL15" s="2688"/>
      <c r="CM15" s="2688"/>
      <c r="CN15" s="2688"/>
      <c r="CO15" s="2688"/>
      <c r="CP15" s="2688"/>
      <c r="CQ15" s="2688"/>
      <c r="CR15" s="2688"/>
      <c r="CS15" s="2688"/>
      <c r="CT15" s="2688"/>
      <c r="CU15" s="2688"/>
      <c r="CV15" s="2688"/>
      <c r="CW15" s="2688"/>
      <c r="CX15" s="2688"/>
      <c r="CY15" s="2688"/>
      <c r="CZ15" s="2688"/>
      <c r="DA15" s="2688"/>
      <c r="DB15" s="2688"/>
      <c r="DC15" s="2688"/>
      <c r="DD15" s="2688"/>
      <c r="DE15" s="2688"/>
      <c r="DF15" s="2688"/>
      <c r="DG15" s="2688"/>
      <c r="DH15" s="2688"/>
      <c r="DI15" s="2688"/>
      <c r="DJ15" s="2688"/>
      <c r="DK15" s="2688"/>
      <c r="DL15" s="2688"/>
      <c r="DM15" s="2688"/>
      <c r="DN15" s="2688"/>
      <c r="DO15" s="2688"/>
      <c r="DP15" s="2688"/>
      <c r="DQ15" s="2688"/>
      <c r="DR15" s="2688"/>
      <c r="DS15" s="2688"/>
      <c r="DT15" s="2688"/>
      <c r="DU15" s="2688"/>
      <c r="DV15" s="2688"/>
      <c r="DW15" s="2688"/>
      <c r="DX15" s="2688"/>
      <c r="DY15" s="2688"/>
      <c r="DZ15" s="2688"/>
      <c r="EA15" s="2688"/>
      <c r="EB15" s="2688"/>
      <c r="EC15" s="2688"/>
      <c r="ED15" s="2688"/>
      <c r="EE15" s="2688"/>
      <c r="EF15" s="2688"/>
      <c r="EG15" s="2688"/>
      <c r="EH15" s="2688"/>
      <c r="EI15" s="2688"/>
      <c r="EJ15" s="2688"/>
      <c r="EK15" s="2688"/>
      <c r="EL15" s="2688"/>
      <c r="EM15" s="2688"/>
      <c r="EN15" s="2688"/>
      <c r="EO15" s="2688"/>
      <c r="EP15" s="2688"/>
      <c r="EQ15" s="2688"/>
      <c r="ER15" s="2688"/>
      <c r="ES15" s="2688"/>
      <c r="ET15" s="2688"/>
      <c r="EU15" s="2688"/>
      <c r="EV15" s="2688"/>
      <c r="EW15" s="2688"/>
      <c r="EX15" s="2688"/>
      <c r="EY15" s="2688"/>
      <c r="EZ15" s="2688"/>
      <c r="FA15" s="2688"/>
      <c r="FB15" s="2688"/>
      <c r="FC15" s="2688"/>
      <c r="FD15" s="2688"/>
      <c r="FE15" s="2688"/>
      <c r="FF15" s="2688"/>
      <c r="FG15" s="2688"/>
      <c r="FH15" s="2688"/>
      <c r="FI15" s="2688"/>
      <c r="FJ15" s="2688"/>
      <c r="FK15" s="2688"/>
      <c r="FL15" s="2688"/>
      <c r="FM15" s="2688"/>
      <c r="FN15" s="2688"/>
      <c r="FO15" s="2688"/>
      <c r="FP15" s="2688"/>
      <c r="FQ15" s="2688"/>
      <c r="FR15" s="2688"/>
      <c r="FS15" s="2688"/>
      <c r="FT15" s="2688"/>
      <c r="FU15" s="2688"/>
      <c r="FV15" s="2688"/>
      <c r="FW15" s="2688"/>
      <c r="FX15" s="2688"/>
      <c r="FY15" s="2688"/>
      <c r="FZ15" s="2688"/>
      <c r="GA15" s="2688"/>
      <c r="GB15" s="2688"/>
      <c r="GC15" s="2688"/>
      <c r="GD15" s="2688"/>
      <c r="GE15" s="2688"/>
      <c r="GF15" s="2688"/>
      <c r="GG15" s="2688"/>
      <c r="GH15" s="2688"/>
      <c r="GI15" s="2688"/>
      <c r="GJ15" s="2688"/>
      <c r="GK15" s="2688"/>
      <c r="GL15" s="2688"/>
      <c r="GM15" s="2688"/>
      <c r="GN15" s="2688"/>
      <c r="GO15" s="2688"/>
      <c r="GP15" s="2688"/>
      <c r="GQ15" s="2688"/>
      <c r="GR15" s="2688"/>
      <c r="GS15" s="2688"/>
      <c r="GT15" s="2688"/>
      <c r="GU15" s="2688"/>
      <c r="GV15" s="2688"/>
      <c r="GW15" s="2688"/>
      <c r="GX15" s="2688"/>
      <c r="GY15" s="2688"/>
      <c r="GZ15" s="2688"/>
      <c r="HA15" s="2688"/>
      <c r="HB15" s="2688"/>
      <c r="HC15" s="2688"/>
      <c r="HD15" s="2688"/>
      <c r="HE15" s="2688"/>
      <c r="HF15" s="2688"/>
      <c r="HG15" s="2688"/>
      <c r="HH15" s="3360">
        <f>IF(HH14="Y",HH11,MAX(0,HH11-HH12))</f>
        <v>5759</v>
      </c>
      <c r="HI15" s="2688"/>
      <c r="HJ15" s="2688"/>
      <c r="HK15" s="2688"/>
      <c r="HL15" s="2688"/>
      <c r="HM15" s="2688"/>
      <c r="HN15" s="2688"/>
      <c r="HO15" s="2688"/>
      <c r="HP15" s="2688"/>
      <c r="HQ15" s="2688"/>
      <c r="HR15" s="2688"/>
      <c r="HS15" s="2688"/>
      <c r="HT15" s="2688"/>
      <c r="HU15" s="2688"/>
      <c r="HV15" s="2688"/>
      <c r="HW15" s="2688"/>
      <c r="HX15" s="2688"/>
      <c r="HY15" s="2688"/>
      <c r="HZ15" s="2688"/>
      <c r="IA15" s="2688"/>
      <c r="IB15" s="2688"/>
      <c r="IC15" s="2688"/>
      <c r="ID15" s="2688"/>
      <c r="IE15" s="2688"/>
      <c r="IF15" s="2688"/>
      <c r="IG15" s="2688"/>
      <c r="IH15" s="2688"/>
      <c r="II15" s="2688"/>
      <c r="IJ15" s="2688"/>
      <c r="IK15" s="2688"/>
      <c r="IL15" s="2688"/>
      <c r="IM15" s="2688"/>
      <c r="IN15" s="2688"/>
      <c r="IO15" s="2688"/>
      <c r="IP15" s="3559"/>
      <c r="IQ15" s="3559"/>
      <c r="IR15" s="3559"/>
      <c r="IS15" s="3559"/>
      <c r="IT15" s="3559"/>
      <c r="IU15" s="3559"/>
      <c r="IV15" s="3559"/>
      <c r="IW15" s="3559"/>
      <c r="IX15" s="4032">
        <v>475</v>
      </c>
      <c r="IY15" s="3559"/>
      <c r="IZ15" s="3559"/>
      <c r="JA15" s="3559"/>
      <c r="JB15" s="3559"/>
      <c r="JC15" s="3559"/>
      <c r="JD15" s="3559"/>
      <c r="JE15" s="3559"/>
      <c r="JF15" s="3559"/>
      <c r="JG15" s="4087"/>
      <c r="JH15" s="1233"/>
    </row>
    <row r="16" spans="1:270" x14ac:dyDescent="0.2">
      <c r="A16" s="1128">
        <v>16</v>
      </c>
      <c r="B16" s="1534" t="str">
        <f si="0" t="shared"/>
        <v/>
      </c>
      <c r="C16" s="1524" t="s">
        <v>137</v>
      </c>
      <c r="D16" s="1386" t="s">
        <v>2562</v>
      </c>
      <c r="E16" s="2688"/>
      <c r="F16" s="2688"/>
      <c r="G16" s="2688"/>
      <c r="H16" s="2688"/>
      <c r="I16" s="2688"/>
      <c r="J16" s="2688"/>
      <c r="K16" s="2688"/>
      <c r="L16" s="2688"/>
      <c r="M16" s="2688"/>
      <c r="N16" s="2688"/>
      <c r="O16" s="2688"/>
      <c r="P16" s="2688"/>
      <c r="Q16" s="2688"/>
      <c r="R16" s="2688"/>
      <c r="S16" s="2688"/>
      <c r="T16" s="2688"/>
      <c r="U16" s="2688"/>
      <c r="V16" s="2688"/>
      <c r="W16" s="2688"/>
      <c r="X16" s="2688"/>
      <c r="Y16" s="2688"/>
      <c r="Z16" s="2688"/>
      <c r="AA16" s="2688"/>
      <c r="AB16" s="2688"/>
      <c r="AC16" s="2688"/>
      <c r="AD16" s="2688"/>
      <c r="AE16" s="2688"/>
      <c r="AF16" s="2688"/>
      <c r="AG16" s="2688"/>
      <c r="AH16" s="2688"/>
      <c r="AI16" s="2688"/>
      <c r="AJ16" s="2688"/>
      <c r="AK16" s="2688"/>
      <c r="AL16" s="2688"/>
      <c r="AM16" s="2688"/>
      <c r="AN16" s="2688"/>
      <c r="AO16" s="2688"/>
      <c r="AP16" s="2688"/>
      <c r="AQ16" s="3360">
        <f>AQ7+AQ13</f>
        <v>252</v>
      </c>
      <c r="AR16" s="2688"/>
      <c r="AS16" s="2688"/>
      <c r="AT16" s="2688"/>
      <c r="AU16" s="2688"/>
      <c r="AV16" s="2688"/>
      <c r="AW16" s="2688"/>
      <c r="AX16" s="2688"/>
      <c r="AY16" s="2688"/>
      <c r="AZ16" s="2688"/>
      <c r="BA16" s="2688"/>
      <c r="BB16" s="3360">
        <f>BB7+BB13</f>
        <v>252</v>
      </c>
      <c r="BC16" s="2688"/>
      <c r="BD16" s="2688"/>
      <c r="BE16" s="2688"/>
      <c r="BF16" s="2688"/>
      <c r="BG16" s="2688"/>
      <c r="BH16" s="2688"/>
      <c r="BI16" s="2688"/>
      <c r="BJ16" s="2688"/>
      <c r="BK16" s="2688"/>
      <c r="BL16" s="2688"/>
      <c r="BM16" s="2688"/>
      <c r="BN16" s="2688"/>
      <c r="BO16" s="2688"/>
      <c r="BP16" s="2688"/>
      <c r="BQ16" s="2688"/>
      <c r="BR16" s="2688"/>
      <c r="BS16" s="2688"/>
      <c r="BT16" s="2688"/>
      <c r="BU16" s="2688"/>
      <c r="BV16" s="2688"/>
      <c r="BW16" s="2688"/>
      <c r="BX16" s="2688"/>
      <c r="BY16" s="2688"/>
      <c r="BZ16" s="2688"/>
      <c r="CA16" s="2688"/>
      <c r="CB16" s="2688"/>
      <c r="CC16" s="2688"/>
      <c r="CD16" s="2688"/>
      <c r="CE16" s="2688"/>
      <c r="CF16" s="2688"/>
      <c r="CG16" s="2688"/>
      <c r="CH16" s="2688"/>
      <c r="CI16" s="2688"/>
      <c r="CJ16" s="2688"/>
      <c r="CK16" s="2688"/>
      <c r="CL16" s="2688"/>
      <c r="CM16" s="2688"/>
      <c r="CN16" s="2688"/>
      <c r="CO16" s="2688"/>
      <c r="CP16" s="2688"/>
      <c r="CQ16" s="2688"/>
      <c r="CR16" s="2688"/>
      <c r="CS16" s="2688"/>
      <c r="CT16" s="3360">
        <f>CT7+CT13</f>
        <v>252</v>
      </c>
      <c r="CU16" s="2688"/>
      <c r="CV16" s="2688"/>
      <c r="CW16" s="2688"/>
      <c r="CX16" s="2688"/>
      <c r="CY16" s="2688"/>
      <c r="CZ16" s="2688"/>
      <c r="DA16" s="2688"/>
      <c r="DB16" s="2688"/>
      <c r="DC16" s="2688"/>
      <c r="DD16" s="2688"/>
      <c r="DE16" s="2688"/>
      <c r="DF16" s="2688"/>
      <c r="DG16" s="2688"/>
      <c r="DH16" s="2688"/>
      <c r="DI16" s="3360">
        <f>DI7+DI13</f>
        <v>252</v>
      </c>
      <c r="DJ16" s="2688"/>
      <c r="DK16" s="2688"/>
      <c r="DL16" s="2688"/>
      <c r="DM16" s="2688"/>
      <c r="DN16" s="2688"/>
      <c r="DO16" s="2688"/>
      <c r="DP16" s="2688"/>
      <c r="DQ16" s="2688"/>
      <c r="DR16" s="2688"/>
      <c r="DS16" s="2688"/>
      <c r="DT16" s="2688"/>
      <c r="DU16" s="2688"/>
      <c r="DV16" s="2688"/>
      <c r="DW16" s="2688"/>
      <c r="DX16" s="2688"/>
      <c r="DY16" s="2688"/>
      <c r="DZ16" s="2688"/>
      <c r="EA16" s="2688"/>
      <c r="EB16" s="2688"/>
      <c r="EC16" s="2688"/>
      <c r="ED16" s="2688"/>
      <c r="EE16" s="2688"/>
      <c r="EF16" s="2688"/>
      <c r="EG16" s="2688"/>
      <c r="EH16" s="2688"/>
      <c r="EI16" s="2688"/>
      <c r="EJ16" s="2688"/>
      <c r="EK16" s="2688"/>
      <c r="EL16" s="2688"/>
      <c r="EM16" s="2688"/>
      <c r="EN16" s="2688"/>
      <c r="EO16" s="2688"/>
      <c r="EP16" s="2688"/>
      <c r="EQ16" s="2688"/>
      <c r="ER16" s="2688"/>
      <c r="ES16" s="2688"/>
      <c r="ET16" s="2688"/>
      <c r="EU16" s="2688"/>
      <c r="EV16" s="2688"/>
      <c r="EW16" s="2688"/>
      <c r="EX16" s="3360">
        <f>EX7+EX13</f>
        <v>75</v>
      </c>
      <c r="EY16" s="2688"/>
      <c r="EZ16" s="2688"/>
      <c r="FA16" s="2688"/>
      <c r="FB16" s="2688"/>
      <c r="FC16" s="2688"/>
      <c r="FD16" s="2688"/>
      <c r="FE16" s="2688"/>
      <c r="FF16" s="2688"/>
      <c r="FG16" s="2688"/>
      <c r="FH16" s="2688"/>
      <c r="FI16" s="2688"/>
      <c r="FJ16" s="2688"/>
      <c r="FK16" s="2688"/>
      <c r="FL16" s="2688"/>
      <c r="FM16" s="2688"/>
      <c r="FN16" s="2688"/>
      <c r="FO16" s="2688"/>
      <c r="FP16" s="2688"/>
      <c r="FQ16" s="2688"/>
      <c r="FR16" s="2688"/>
      <c r="FS16" s="2688"/>
      <c r="FT16" s="2688"/>
      <c r="FU16" s="2688"/>
      <c r="FV16" s="2688"/>
      <c r="FW16" s="2688"/>
      <c r="FX16" s="2688"/>
      <c r="FY16" s="2688"/>
      <c r="FZ16" s="2688"/>
      <c r="GA16" s="2688"/>
      <c r="GB16" s="2688"/>
      <c r="GC16" s="2688"/>
      <c r="GD16" s="2688"/>
      <c r="GE16" s="2688"/>
      <c r="GF16" s="2688"/>
      <c r="GG16" s="2688"/>
      <c r="GH16" s="2688"/>
      <c r="GI16" s="2688"/>
      <c r="GJ16" s="2688"/>
      <c r="GK16" s="2688"/>
      <c r="GL16" s="2688"/>
      <c r="GM16" s="2688"/>
      <c r="GN16" s="2688"/>
      <c r="GO16" s="2688"/>
      <c r="GP16" s="2688"/>
      <c r="GQ16" s="2688"/>
      <c r="GR16" s="2688"/>
      <c r="GS16" s="2688"/>
      <c r="GT16" s="2688"/>
      <c r="GU16" s="2688"/>
      <c r="GV16" s="2688"/>
      <c r="GW16" s="2688"/>
      <c r="GX16" s="2688"/>
      <c r="GY16" s="2688"/>
      <c r="GZ16" s="2688"/>
      <c r="HA16" s="2688"/>
      <c r="HB16" s="2688"/>
      <c r="HC16" s="2688"/>
      <c r="HD16" s="2688"/>
      <c r="HE16" s="2688"/>
      <c r="HF16" s="2688"/>
      <c r="HG16" s="2688"/>
      <c r="HH16" s="2688"/>
      <c r="HI16" s="2688"/>
      <c r="HJ16" s="2688"/>
      <c r="HK16" s="2688"/>
      <c r="HL16" s="2688"/>
      <c r="HM16" s="2688"/>
      <c r="HN16" s="2688"/>
      <c r="HO16" s="2688"/>
      <c r="HP16" s="3360">
        <f>HP7+HP13</f>
        <v>75</v>
      </c>
      <c r="HQ16" s="2688"/>
      <c r="HR16" s="3360">
        <f>HR7+HR13</f>
        <v>75</v>
      </c>
      <c r="HS16" s="2688"/>
      <c r="HT16" s="2688"/>
      <c r="HU16" s="2688"/>
      <c r="HV16" s="2688"/>
      <c r="HW16" s="2688"/>
      <c r="HX16" s="2688"/>
      <c r="HY16" s="2688"/>
      <c r="HZ16" s="2688"/>
      <c r="IA16" s="2688"/>
      <c r="IB16" s="2688"/>
      <c r="IC16" s="2688"/>
      <c r="ID16" s="2688"/>
      <c r="IE16" s="2688"/>
      <c r="IF16" s="2688"/>
      <c r="IG16" s="2688"/>
      <c r="IH16" s="2688"/>
      <c r="II16" s="2688"/>
      <c r="IJ16" s="2688"/>
      <c r="IK16" s="2688"/>
      <c r="IL16" s="2688"/>
      <c r="IM16" s="2688"/>
      <c r="IN16" s="2688"/>
      <c r="IO16" s="2688"/>
      <c r="IP16" s="3560"/>
      <c r="IQ16" s="3560"/>
      <c r="IR16" s="3560"/>
      <c r="IS16" s="3560"/>
      <c r="IT16" s="3560"/>
      <c r="IU16" s="3560"/>
      <c r="IV16" s="3560"/>
      <c r="IW16" s="3560"/>
      <c r="IX16" s="4033"/>
      <c r="IY16" s="3560"/>
      <c r="IZ16" s="3560"/>
      <c r="JA16" s="3560"/>
      <c r="JB16" s="3560"/>
      <c r="JC16" s="3560"/>
      <c r="JD16" s="3560"/>
      <c r="JE16" s="3560"/>
      <c r="JF16" s="3560"/>
      <c r="JG16" s="4088"/>
      <c r="JH16" s="1233"/>
    </row>
    <row r="17" spans="1:268" x14ac:dyDescent="0.2">
      <c r="A17" s="1128">
        <v>17</v>
      </c>
      <c r="B17" s="1534" t="str">
        <f si="0" t="shared"/>
        <v/>
      </c>
      <c r="C17" s="1524" t="s">
        <v>138</v>
      </c>
      <c r="D17" s="1386" t="s">
        <v>2562</v>
      </c>
      <c r="E17" s="2688"/>
      <c r="F17" s="2688"/>
      <c r="G17" s="2688"/>
      <c r="H17" s="2688"/>
      <c r="I17" s="2688"/>
      <c r="J17" s="2688"/>
      <c r="K17" s="2688"/>
      <c r="L17" s="2688"/>
      <c r="M17" s="2688"/>
      <c r="N17" s="2688"/>
      <c r="O17" s="2688"/>
      <c r="P17" s="2688"/>
      <c r="Q17" s="2688"/>
      <c r="R17" s="2688"/>
      <c r="S17" s="2688"/>
      <c r="T17" s="2688"/>
      <c r="U17" s="2688"/>
      <c r="V17" s="2688"/>
      <c r="W17" s="2688"/>
      <c r="X17" s="2688"/>
      <c r="Y17" s="2688"/>
      <c r="Z17" s="2688"/>
      <c r="AA17" s="2688"/>
      <c r="AB17" s="2688"/>
      <c r="AC17" s="2688"/>
      <c r="AD17" s="2688"/>
      <c r="AE17" s="2688"/>
      <c r="AF17" s="2688"/>
      <c r="AG17" s="2688"/>
      <c r="AH17" s="2688"/>
      <c r="AI17" s="2688"/>
      <c r="AJ17" s="2688"/>
      <c r="AK17" s="2688"/>
      <c r="AL17" s="2688"/>
      <c r="AM17" s="2688"/>
      <c r="AN17" s="2688"/>
      <c r="AO17" s="2688"/>
      <c r="AP17" s="3360">
        <f>AP9+AP15</f>
        <v>3562</v>
      </c>
      <c r="AQ17" s="3360">
        <f>AQ9+AQ15</f>
        <v>1263</v>
      </c>
      <c r="AR17" s="2688"/>
      <c r="AS17" s="2688"/>
      <c r="AT17" s="2688"/>
      <c r="AU17" s="2688"/>
      <c r="AV17" s="2688"/>
      <c r="AW17" s="3360">
        <f>AW9+AW15</f>
        <v>400</v>
      </c>
      <c r="AX17" s="2688"/>
      <c r="AY17" s="2688"/>
      <c r="AZ17" s="2688"/>
      <c r="BA17" s="2688"/>
      <c r="BB17" s="3360">
        <f>BB9+BB15</f>
        <v>1263</v>
      </c>
      <c r="BC17" s="3360">
        <f>BC9+BC15</f>
        <v>3562</v>
      </c>
      <c r="BD17" s="3360">
        <f>BD9+BD15</f>
        <v>3562</v>
      </c>
      <c r="BE17" s="2688"/>
      <c r="BF17" s="2688"/>
      <c r="BG17" s="2688"/>
      <c r="BH17" s="2688"/>
      <c r="BI17" s="2688"/>
      <c r="BJ17" s="3360">
        <f>BJ9+BJ15</f>
        <v>3562</v>
      </c>
      <c r="BK17" s="2688"/>
      <c r="BL17" s="2688"/>
      <c r="BM17" s="2688"/>
      <c r="BN17" s="2688"/>
      <c r="BO17" s="2688"/>
      <c r="BP17" s="2688"/>
      <c r="BQ17" s="2688"/>
      <c r="BR17" s="2688"/>
      <c r="BS17" s="2688"/>
      <c r="BT17" s="2688"/>
      <c r="BU17" s="2688"/>
      <c r="BV17" s="2688"/>
      <c r="BW17" s="2688"/>
      <c r="BX17" s="2688"/>
      <c r="BY17" s="2688"/>
      <c r="BZ17" s="2688"/>
      <c r="CA17" s="2688"/>
      <c r="CB17" s="2688"/>
      <c r="CC17" s="2688"/>
      <c r="CD17" s="2688"/>
      <c r="CE17" s="2688"/>
      <c r="CF17" s="2688"/>
      <c r="CG17" s="2688"/>
      <c r="CH17" s="2688"/>
      <c r="CI17" s="2688"/>
      <c r="CJ17" s="3360">
        <f>CJ9+CJ15</f>
        <v>3720</v>
      </c>
      <c r="CK17" s="2688"/>
      <c r="CL17" s="2688"/>
      <c r="CM17" s="2688"/>
      <c r="CN17" s="2688"/>
      <c r="CO17" s="2688"/>
      <c r="CP17" s="2688"/>
      <c r="CQ17" s="2688"/>
      <c r="CR17" s="2688"/>
      <c r="CS17" s="2688"/>
      <c r="CT17" s="3360">
        <f>CT9+CT15</f>
        <v>1263</v>
      </c>
      <c r="CU17" s="2688"/>
      <c r="CV17" s="2688"/>
      <c r="CW17" s="2688"/>
      <c r="CX17" s="2688"/>
      <c r="CY17" s="2688"/>
      <c r="CZ17" s="2688"/>
      <c r="DA17" s="2688"/>
      <c r="DB17" s="2688"/>
      <c r="DC17" s="2688"/>
      <c r="DD17" s="2688"/>
      <c r="DE17" s="2688"/>
      <c r="DF17" s="2688"/>
      <c r="DG17" s="2688"/>
      <c r="DH17" s="2688"/>
      <c r="DI17" s="3360">
        <f>DI9+DI15</f>
        <v>1263</v>
      </c>
      <c r="DJ17" s="2688"/>
      <c r="DK17" s="2688"/>
      <c r="DL17" s="2688"/>
      <c r="DM17" s="3360">
        <f>DM9+DM15</f>
        <v>3720</v>
      </c>
      <c r="DN17" s="2688"/>
      <c r="DO17" s="2688"/>
      <c r="DP17" s="2688"/>
      <c r="DQ17" s="2688"/>
      <c r="DR17" s="2688"/>
      <c r="DS17" s="2688"/>
      <c r="DT17" s="2688"/>
      <c r="DU17" s="2688"/>
      <c r="DV17" s="2688"/>
      <c r="DW17" s="2688"/>
      <c r="DX17" s="2688"/>
      <c r="DY17" s="2688"/>
      <c r="DZ17" s="2688"/>
      <c r="EA17" s="2688"/>
      <c r="EB17" s="2688"/>
      <c r="EC17" s="2688"/>
      <c r="ED17" s="2688"/>
      <c r="EE17" s="2688"/>
      <c r="EF17" s="2688"/>
      <c r="EG17" s="2688"/>
      <c r="EH17" s="2688"/>
      <c r="EI17" s="2688"/>
      <c r="EJ17" s="2688"/>
      <c r="EK17" s="2688"/>
      <c r="EL17" s="2688"/>
      <c r="EM17" s="2688"/>
      <c r="EN17" s="2688"/>
      <c r="EO17" s="3360">
        <f>EO9+EO15</f>
        <v>3720</v>
      </c>
      <c r="EP17" s="2688"/>
      <c r="EQ17" s="2688"/>
      <c r="ER17" s="2688"/>
      <c r="ES17" s="2688"/>
      <c r="ET17" s="2688"/>
      <c r="EU17" s="2688"/>
      <c r="EV17" s="2688"/>
      <c r="EW17" s="2688"/>
      <c r="EX17" s="3360">
        <f>EX9+EX15</f>
        <v>500</v>
      </c>
      <c r="EY17" s="2688"/>
      <c r="EZ17" s="2688"/>
      <c r="FA17" s="2688"/>
      <c r="FB17" s="2688"/>
      <c r="FC17" s="2688"/>
      <c r="FD17" s="2688"/>
      <c r="FE17" s="2688"/>
      <c r="FF17" s="2688"/>
      <c r="FG17" s="2688"/>
      <c r="FH17" s="2688"/>
      <c r="FI17" s="2688"/>
      <c r="FJ17" s="2688"/>
      <c r="FK17" s="2688"/>
      <c r="FL17" s="2688"/>
      <c r="FM17" s="2688"/>
      <c r="FN17" s="2688"/>
      <c r="FO17" s="2688"/>
      <c r="FP17" s="2688"/>
      <c r="FQ17" s="2688"/>
      <c r="FR17" s="2688"/>
      <c r="FS17" s="2688"/>
      <c r="FT17" s="2688"/>
      <c r="FU17" s="2688"/>
      <c r="FV17" s="2688"/>
      <c r="FW17" s="2688"/>
      <c r="FX17" s="2688"/>
      <c r="FY17" s="2688"/>
      <c r="FZ17" s="2688"/>
      <c r="GA17" s="2688"/>
      <c r="GB17" s="2688"/>
      <c r="GC17" s="2688"/>
      <c r="GD17" s="2688"/>
      <c r="GE17" s="2688"/>
      <c r="GF17" s="3360">
        <f>GF9+GF15</f>
        <v>3562</v>
      </c>
      <c r="GG17" s="2688"/>
      <c r="GH17" s="2688"/>
      <c r="GI17" s="2688"/>
      <c r="GJ17" s="2688"/>
      <c r="GK17" s="2688"/>
      <c r="GL17" s="2688"/>
      <c r="GM17" s="2688"/>
      <c r="GN17" s="2688"/>
      <c r="GO17" s="2688"/>
      <c r="GP17" s="2688"/>
      <c r="GQ17" s="2688"/>
      <c r="GR17" s="2688"/>
      <c r="GS17" s="2688"/>
      <c r="GT17" s="2688"/>
      <c r="GU17" s="2688"/>
      <c r="GV17" s="2688"/>
      <c r="GW17" s="2688"/>
      <c r="GX17" s="2688"/>
      <c r="GY17" s="2688"/>
      <c r="GZ17" s="2688"/>
      <c r="HA17" s="2688"/>
      <c r="HB17" s="2688"/>
      <c r="HC17" s="2688"/>
      <c r="HD17" s="2688"/>
      <c r="HE17" s="2688"/>
      <c r="HF17" s="2688"/>
      <c r="HG17" s="2688"/>
      <c r="HH17" s="3360">
        <f>HH9+HH15</f>
        <v>7456</v>
      </c>
      <c r="HI17" s="2688"/>
      <c r="HJ17" s="2688"/>
      <c r="HK17" s="2688"/>
      <c r="HL17" s="2688"/>
      <c r="HM17" s="2688"/>
      <c r="HN17" s="2688"/>
      <c r="HO17" s="2688"/>
      <c r="HP17" s="3360">
        <f>HP9+HP15</f>
        <v>500</v>
      </c>
      <c r="HQ17" s="2688"/>
      <c r="HR17" s="3360">
        <f>HR9+HR15</f>
        <v>500</v>
      </c>
      <c r="HS17" s="2688"/>
      <c r="HT17" s="2688"/>
      <c r="HU17" s="2688"/>
      <c r="HV17" s="2688"/>
      <c r="HW17" s="2688"/>
      <c r="HX17" s="2688"/>
      <c r="HY17" s="2688"/>
      <c r="HZ17" s="2688"/>
      <c r="IA17" s="2688"/>
      <c r="IB17" s="2688"/>
      <c r="IC17" s="3360">
        <f>IC9+IC15</f>
        <v>451</v>
      </c>
      <c r="ID17" s="2688"/>
      <c r="IE17" s="2688"/>
      <c r="IF17" s="3360">
        <f>IF9+IF15</f>
        <v>19048</v>
      </c>
      <c r="IG17" s="2688"/>
      <c r="IH17" s="3360">
        <f>IH9+IH15</f>
        <v>2703</v>
      </c>
      <c r="II17" s="2688"/>
      <c r="IJ17" s="2688"/>
      <c r="IK17" s="2688"/>
      <c r="IL17" s="2688"/>
      <c r="IM17" s="2688"/>
      <c r="IN17" s="2688"/>
      <c r="IO17" s="2688"/>
      <c r="IP17" s="3561"/>
      <c r="IQ17" s="3561"/>
      <c r="IR17" s="3561"/>
      <c r="IS17" s="3561"/>
      <c r="IT17" s="3561"/>
      <c r="IU17" s="3561"/>
      <c r="IV17" s="3561"/>
      <c r="IW17" s="3561"/>
      <c r="IX17" s="4033">
        <v>605</v>
      </c>
      <c r="IY17" s="3561"/>
      <c r="IZ17" s="3561"/>
      <c r="JA17" s="3561"/>
      <c r="JB17" s="3561"/>
      <c r="JC17" s="3561"/>
      <c r="JD17" s="3561"/>
      <c r="JE17" s="3561"/>
      <c r="JF17" s="3561"/>
      <c r="JG17" s="4089"/>
      <c r="JH17" s="1233"/>
    </row>
    <row r="18" spans="1:268" x14ac:dyDescent="0.2">
      <c r="A18" s="1128">
        <v>18</v>
      </c>
      <c r="B18" s="1534" t="str">
        <f si="0" t="shared"/>
        <v/>
      </c>
      <c r="C18" s="1278" t="s">
        <v>3537</v>
      </c>
      <c r="D18" s="1386" t="s">
        <v>5321</v>
      </c>
      <c r="E18" s="3359"/>
      <c r="F18" s="3359"/>
      <c r="G18" s="3359"/>
      <c r="H18" s="3359"/>
      <c r="I18" s="3359"/>
      <c r="J18" s="3359"/>
      <c r="K18" s="3359"/>
      <c r="L18" s="3359"/>
      <c r="M18" s="3359"/>
      <c r="N18" s="3359"/>
      <c r="O18" s="3359"/>
      <c r="P18" s="3359"/>
      <c r="Q18" s="3359"/>
      <c r="R18" s="3359"/>
      <c r="S18" s="3359"/>
      <c r="T18" s="3359"/>
      <c r="U18" s="3359"/>
      <c r="V18" s="3359"/>
      <c r="W18" s="3359"/>
      <c r="X18" s="3359"/>
      <c r="Y18" s="3359"/>
      <c r="Z18" s="3359"/>
      <c r="AA18" s="3359"/>
      <c r="AB18" s="3359"/>
      <c r="AC18" s="3359"/>
      <c r="AD18" s="3359"/>
      <c r="AE18" s="3359"/>
      <c r="AF18" s="3359"/>
      <c r="AG18" s="3359"/>
      <c r="AH18" s="3359"/>
      <c r="AI18" s="3359"/>
      <c r="AJ18" s="3359"/>
      <c r="AK18" s="3359"/>
      <c r="AL18" s="3359"/>
      <c r="AM18" s="3359"/>
      <c r="AN18" s="3359"/>
      <c r="AO18" s="3359"/>
      <c r="AP18" s="3359" t="s">
        <v>3256</v>
      </c>
      <c r="AQ18" s="3359" t="s">
        <v>3032</v>
      </c>
      <c r="AR18" s="3359"/>
      <c r="AS18" s="3359"/>
      <c r="AT18" s="3359"/>
      <c r="AU18" s="3359"/>
      <c r="AV18" s="3359"/>
      <c r="AW18" s="3359" t="s">
        <v>1563</v>
      </c>
      <c r="AX18" s="3359"/>
      <c r="AY18" s="3359"/>
      <c r="AZ18" s="3359"/>
      <c r="BA18" s="3359"/>
      <c r="BB18" s="3359" t="s">
        <v>3032</v>
      </c>
      <c r="BC18" s="3359" t="s">
        <v>3256</v>
      </c>
      <c r="BD18" s="3359" t="s">
        <v>3256</v>
      </c>
      <c r="BE18" s="3359"/>
      <c r="BF18" s="3359"/>
      <c r="BG18" s="3359"/>
      <c r="BH18" s="3359"/>
      <c r="BI18" s="3359"/>
      <c r="BJ18" s="3359" t="s">
        <v>3256</v>
      </c>
      <c r="BK18" s="3359"/>
      <c r="BL18" s="3359"/>
      <c r="BM18" s="3359"/>
      <c r="BN18" s="3359"/>
      <c r="BO18" s="3359"/>
      <c r="BP18" s="3359"/>
      <c r="BQ18" s="3359"/>
      <c r="BR18" s="3359"/>
      <c r="BS18" s="3359"/>
      <c r="BT18" s="3359"/>
      <c r="BU18" s="3359"/>
      <c r="BV18" s="3359"/>
      <c r="BW18" s="3359"/>
      <c r="BX18" s="3359"/>
      <c r="BY18" s="3359"/>
      <c r="BZ18" s="3359"/>
      <c r="CA18" s="3359"/>
      <c r="CB18" s="3359"/>
      <c r="CC18" s="3359"/>
      <c r="CD18" s="3359"/>
      <c r="CE18" s="3359"/>
      <c r="CF18" s="3359"/>
      <c r="CG18" s="3359"/>
      <c r="CH18" s="3359"/>
      <c r="CI18" s="3359"/>
      <c r="CJ18" s="3359" t="s">
        <v>1149</v>
      </c>
      <c r="CK18" s="3359"/>
      <c r="CL18" s="3359"/>
      <c r="CM18" s="3359"/>
      <c r="CN18" s="3359"/>
      <c r="CO18" s="3359"/>
      <c r="CP18" s="3359"/>
      <c r="CQ18" s="3359"/>
      <c r="CR18" s="3359"/>
      <c r="CS18" s="3359"/>
      <c r="CT18" s="3359" t="s">
        <v>3032</v>
      </c>
      <c r="CU18" s="3359"/>
      <c r="CV18" s="3359"/>
      <c r="CW18" s="3359"/>
      <c r="CX18" s="3359"/>
      <c r="CY18" s="3359"/>
      <c r="CZ18" s="3359"/>
      <c r="DA18" s="3359"/>
      <c r="DB18" s="3359"/>
      <c r="DC18" s="3359"/>
      <c r="DD18" s="3359"/>
      <c r="DE18" s="3359"/>
      <c r="DF18" s="3359"/>
      <c r="DG18" s="3359"/>
      <c r="DH18" s="3359"/>
      <c r="DI18" s="3359" t="s">
        <v>3032</v>
      </c>
      <c r="DJ18" s="3359"/>
      <c r="DK18" s="3359"/>
      <c r="DL18" s="3359"/>
      <c r="DM18" s="3359" t="s">
        <v>1149</v>
      </c>
      <c r="DN18" s="3359"/>
      <c r="DO18" s="3359"/>
      <c r="DP18" s="3359"/>
      <c r="DQ18" s="3359"/>
      <c r="DR18" s="3359"/>
      <c r="DS18" s="3359"/>
      <c r="DT18" s="3359" t="s">
        <v>1563</v>
      </c>
      <c r="DU18" s="3359"/>
      <c r="DV18" s="3359"/>
      <c r="DW18" s="3359"/>
      <c r="DX18" s="3359"/>
      <c r="DY18" s="3359"/>
      <c r="DZ18" s="3359"/>
      <c r="EA18" s="3359"/>
      <c r="EB18" s="3359"/>
      <c r="EC18" s="3359"/>
      <c r="ED18" s="3359"/>
      <c r="EE18" s="3359"/>
      <c r="EF18" s="3359"/>
      <c r="EG18" s="3359"/>
      <c r="EH18" s="3359"/>
      <c r="EI18" s="3359"/>
      <c r="EJ18" s="3359"/>
      <c r="EK18" s="3359"/>
      <c r="EL18" s="3359"/>
      <c r="EM18" s="3359"/>
      <c r="EN18" s="3359"/>
      <c r="EO18" s="3359" t="s">
        <v>1149</v>
      </c>
      <c r="EP18" s="3359"/>
      <c r="EQ18" s="3359"/>
      <c r="ER18" s="3359"/>
      <c r="ES18" s="3359"/>
      <c r="ET18" s="3359"/>
      <c r="EU18" s="3359"/>
      <c r="EV18" s="3359"/>
      <c r="EW18" s="3359"/>
      <c r="EX18" s="3359" t="s">
        <v>1897</v>
      </c>
      <c r="EY18" s="3359"/>
      <c r="EZ18" s="3359"/>
      <c r="FA18" s="3359"/>
      <c r="FB18" s="3359"/>
      <c r="FC18" s="3359"/>
      <c r="FD18" s="3359"/>
      <c r="FE18" s="3359"/>
      <c r="FF18" s="3359"/>
      <c r="FG18" s="3359"/>
      <c r="FH18" s="3359"/>
      <c r="FI18" s="3359"/>
      <c r="FJ18" s="3359"/>
      <c r="FK18" s="3359"/>
      <c r="FL18" s="3359"/>
      <c r="FM18" s="3359"/>
      <c r="FN18" s="3359"/>
      <c r="FO18" s="3359"/>
      <c r="FP18" s="3359"/>
      <c r="FQ18" s="3359"/>
      <c r="FR18" s="3359"/>
      <c r="FS18" s="3359"/>
      <c r="FT18" s="3359"/>
      <c r="FU18" s="3359"/>
      <c r="FV18" s="3359"/>
      <c r="FW18" s="3359"/>
      <c r="FX18" s="3359"/>
      <c r="FY18" s="3359"/>
      <c r="FZ18" s="3359"/>
      <c r="GA18" s="3359"/>
      <c r="GB18" s="3359"/>
      <c r="GC18" s="3359"/>
      <c r="GD18" s="3359"/>
      <c r="GE18" s="3359"/>
      <c r="GF18" s="3359" t="s">
        <v>3256</v>
      </c>
      <c r="GG18" s="3359"/>
      <c r="GH18" s="3359"/>
      <c r="GI18" s="3359"/>
      <c r="GJ18" s="3359"/>
      <c r="GK18" s="3359"/>
      <c r="GL18" s="3359"/>
      <c r="GM18" s="3359"/>
      <c r="GN18" s="3359"/>
      <c r="GO18" s="3359"/>
      <c r="GP18" s="3359"/>
      <c r="GQ18" s="3359"/>
      <c r="GR18" s="3359"/>
      <c r="GS18" s="3359"/>
      <c r="GT18" s="3359"/>
      <c r="GU18" s="3359"/>
      <c r="GV18" s="3359"/>
      <c r="GW18" s="3359"/>
      <c r="GX18" s="3359"/>
      <c r="GY18" s="3359"/>
      <c r="GZ18" s="3359"/>
      <c r="HA18" s="3359"/>
      <c r="HB18" s="3359"/>
      <c r="HC18" s="3359"/>
      <c r="HD18" s="3359"/>
      <c r="HE18" s="3359"/>
      <c r="HF18" s="3359"/>
      <c r="HG18" s="3359"/>
      <c r="HH18" s="3359" t="s">
        <v>1930</v>
      </c>
      <c r="HI18" s="3359"/>
      <c r="HJ18" s="3359"/>
      <c r="HK18" s="3359"/>
      <c r="HL18" s="3359"/>
      <c r="HM18" s="3359"/>
      <c r="HN18" s="3359"/>
      <c r="HO18" s="3359"/>
      <c r="HP18" s="3359" t="s">
        <v>1897</v>
      </c>
      <c r="HQ18" s="3359"/>
      <c r="HR18" s="3359" t="s">
        <v>1897</v>
      </c>
      <c r="HS18" s="3359"/>
      <c r="HT18" s="3359"/>
      <c r="HU18" s="3359"/>
      <c r="HV18" s="3359"/>
      <c r="HW18" s="3359"/>
      <c r="HX18" s="3359"/>
      <c r="HY18" s="3359"/>
      <c r="HZ18" s="3359"/>
      <c r="IA18" s="3359"/>
      <c r="IB18" s="3359"/>
      <c r="IC18" s="3359"/>
      <c r="ID18" s="3359"/>
      <c r="IE18" s="3359"/>
      <c r="IF18" s="3359" t="s">
        <v>1917</v>
      </c>
      <c r="IG18" s="3359"/>
      <c r="IH18" s="3359" t="s">
        <v>1917</v>
      </c>
      <c r="II18" s="3359"/>
      <c r="IJ18" s="3359"/>
      <c r="IK18" s="3359"/>
      <c r="IL18" s="3359"/>
      <c r="IM18" s="3359"/>
      <c r="IN18" s="3359"/>
      <c r="IO18" s="3359"/>
      <c r="IP18" s="2815"/>
      <c r="IQ18" s="2815"/>
      <c r="IR18" s="2815"/>
      <c r="IS18" s="2815"/>
      <c r="IT18" s="2815"/>
      <c r="IU18" s="2815"/>
      <c r="IV18" s="2815"/>
      <c r="IW18" s="2815"/>
      <c r="IX18" s="3979" t="s">
        <v>1917</v>
      </c>
      <c r="IY18" s="2815"/>
      <c r="IZ18" s="2815"/>
      <c r="JA18" s="2815"/>
      <c r="JB18" s="2815"/>
      <c r="JC18" s="2815"/>
      <c r="JD18" s="2815"/>
      <c r="JE18" s="2815"/>
      <c r="JF18" s="4261" t="s">
        <v>1897</v>
      </c>
      <c r="JG18" s="4085"/>
      <c r="JH18" s="1233"/>
    </row>
    <row r="19" spans="1:268" x14ac:dyDescent="0.2">
      <c r="A19" s="1128">
        <v>19</v>
      </c>
      <c r="B19" s="1534" t="str">
        <f si="0" t="shared"/>
        <v/>
      </c>
      <c r="C19" s="1278" t="s">
        <v>3538</v>
      </c>
      <c r="D19" s="1386" t="s">
        <v>5322</v>
      </c>
      <c r="E19" s="2688"/>
      <c r="F19" s="2688"/>
      <c r="G19" s="2688"/>
      <c r="H19" s="2688"/>
      <c r="I19" s="2688"/>
      <c r="J19" s="2688"/>
      <c r="K19" s="2688"/>
      <c r="L19" s="2688"/>
      <c r="M19" s="2688"/>
      <c r="N19" s="2688"/>
      <c r="O19" s="2688"/>
      <c r="P19" s="2688"/>
      <c r="Q19" s="2688"/>
      <c r="R19" s="2688"/>
      <c r="S19" s="2688"/>
      <c r="T19" s="2688"/>
      <c r="U19" s="2688"/>
      <c r="V19" s="2688"/>
      <c r="W19" s="2688"/>
      <c r="X19" s="2688"/>
      <c r="Y19" s="2688"/>
      <c r="Z19" s="2688"/>
      <c r="AA19" s="2688"/>
      <c r="AB19" s="2688"/>
      <c r="AC19" s="2688"/>
      <c r="AD19" s="2688"/>
      <c r="AE19" s="2688"/>
      <c r="AF19" s="2688"/>
      <c r="AG19" s="2688"/>
      <c r="AH19" s="2688"/>
      <c r="AI19" s="2688"/>
      <c r="AJ19" s="2688"/>
      <c r="AK19" s="2688"/>
      <c r="AL19" s="2688"/>
      <c r="AM19" s="2688"/>
      <c r="AN19" s="2688"/>
      <c r="AO19" s="2688"/>
      <c r="AP19" s="2688">
        <v>2679</v>
      </c>
      <c r="AQ19" s="2688">
        <v>422</v>
      </c>
      <c r="AR19" s="2688"/>
      <c r="AS19" s="2688"/>
      <c r="AT19" s="2688"/>
      <c r="AU19" s="2688"/>
      <c r="AV19" s="2688"/>
      <c r="AW19" s="2688">
        <v>1500</v>
      </c>
      <c r="AX19" s="2688"/>
      <c r="AY19" s="2688"/>
      <c r="AZ19" s="2688"/>
      <c r="BA19" s="2688"/>
      <c r="BB19" s="2688">
        <v>422</v>
      </c>
      <c r="BC19" s="2688">
        <v>2679</v>
      </c>
      <c r="BD19" s="2688">
        <v>2679</v>
      </c>
      <c r="BE19" s="2688"/>
      <c r="BF19" s="2688"/>
      <c r="BG19" s="2688"/>
      <c r="BH19" s="2688"/>
      <c r="BI19" s="2688"/>
      <c r="BJ19" s="2688">
        <v>2679</v>
      </c>
      <c r="BK19" s="2688"/>
      <c r="BL19" s="2688"/>
      <c r="BM19" s="2688"/>
      <c r="BN19" s="2688"/>
      <c r="BO19" s="2688"/>
      <c r="BP19" s="2688"/>
      <c r="BQ19" s="2688"/>
      <c r="BR19" s="2688"/>
      <c r="BS19" s="2688"/>
      <c r="BT19" s="2688"/>
      <c r="BU19" s="2688"/>
      <c r="BV19" s="2688"/>
      <c r="BW19" s="2688"/>
      <c r="BX19" s="2688"/>
      <c r="BY19" s="2688"/>
      <c r="BZ19" s="2688"/>
      <c r="CA19" s="2688"/>
      <c r="CB19" s="2688"/>
      <c r="CC19" s="2688"/>
      <c r="CD19" s="2688"/>
      <c r="CE19" s="2688"/>
      <c r="CF19" s="2688"/>
      <c r="CG19" s="2688"/>
      <c r="CH19" s="2688"/>
      <c r="CI19" s="2688"/>
      <c r="CJ19" s="2688">
        <v>16200</v>
      </c>
      <c r="CK19" s="2688"/>
      <c r="CL19" s="2688"/>
      <c r="CM19" s="2688"/>
      <c r="CN19" s="2688"/>
      <c r="CO19" s="2688"/>
      <c r="CP19" s="2688"/>
      <c r="CQ19" s="2688"/>
      <c r="CR19" s="2688"/>
      <c r="CS19" s="2688"/>
      <c r="CT19" s="2688">
        <v>422</v>
      </c>
      <c r="CU19" s="2688"/>
      <c r="CV19" s="2688"/>
      <c r="CW19" s="2688"/>
      <c r="CX19" s="2688"/>
      <c r="CY19" s="2688"/>
      <c r="CZ19" s="2688"/>
      <c r="DA19" s="2688"/>
      <c r="DB19" s="2688"/>
      <c r="DC19" s="2688"/>
      <c r="DD19" s="2688"/>
      <c r="DE19" s="2688"/>
      <c r="DF19" s="2688"/>
      <c r="DG19" s="2688"/>
      <c r="DH19" s="2688"/>
      <c r="DI19" s="2688">
        <v>422</v>
      </c>
      <c r="DJ19" s="2688"/>
      <c r="DK19" s="2688"/>
      <c r="DL19" s="2688"/>
      <c r="DM19" s="2688">
        <v>16200</v>
      </c>
      <c r="DN19" s="2688"/>
      <c r="DO19" s="2688"/>
      <c r="DP19" s="2688"/>
      <c r="DQ19" s="2688"/>
      <c r="DR19" s="2688"/>
      <c r="DS19" s="2688"/>
      <c r="DT19" s="2688">
        <v>500</v>
      </c>
      <c r="DU19" s="2688"/>
      <c r="DV19" s="2688"/>
      <c r="DW19" s="2688"/>
      <c r="DX19" s="2688"/>
      <c r="DY19" s="2688"/>
      <c r="DZ19" s="2688"/>
      <c r="EA19" s="2688"/>
      <c r="EB19" s="2688"/>
      <c r="EC19" s="2688"/>
      <c r="ED19" s="2688"/>
      <c r="EE19" s="2688"/>
      <c r="EF19" s="2688"/>
      <c r="EG19" s="2688"/>
      <c r="EH19" s="2688"/>
      <c r="EI19" s="2688"/>
      <c r="EJ19" s="2688"/>
      <c r="EK19" s="2688"/>
      <c r="EL19" s="2688"/>
      <c r="EM19" s="2688"/>
      <c r="EN19" s="2688"/>
      <c r="EO19" s="2688">
        <v>16200</v>
      </c>
      <c r="EP19" s="2688"/>
      <c r="EQ19" s="2688"/>
      <c r="ER19" s="2688"/>
      <c r="ES19" s="2688"/>
      <c r="ET19" s="2688"/>
      <c r="EU19" s="2688"/>
      <c r="EV19" s="2688"/>
      <c r="EW19" s="2688"/>
      <c r="EX19" s="2688">
        <v>659</v>
      </c>
      <c r="EY19" s="2688"/>
      <c r="EZ19" s="2688"/>
      <c r="FA19" s="2688"/>
      <c r="FB19" s="2688"/>
      <c r="FC19" s="2688"/>
      <c r="FD19" s="2688"/>
      <c r="FE19" s="2688"/>
      <c r="FF19" s="2688"/>
      <c r="FG19" s="2688"/>
      <c r="FH19" s="2688"/>
      <c r="FI19" s="2688"/>
      <c r="FJ19" s="2688"/>
      <c r="FK19" s="2688"/>
      <c r="FL19" s="2688"/>
      <c r="FM19" s="2688"/>
      <c r="FN19" s="2688"/>
      <c r="FO19" s="2688"/>
      <c r="FP19" s="2688"/>
      <c r="FQ19" s="2688"/>
      <c r="FR19" s="2688"/>
      <c r="FS19" s="2688"/>
      <c r="FT19" s="2688"/>
      <c r="FU19" s="2688"/>
      <c r="FV19" s="2688"/>
      <c r="FW19" s="2688"/>
      <c r="FX19" s="2688"/>
      <c r="FY19" s="2688"/>
      <c r="FZ19" s="2688"/>
      <c r="GA19" s="2688"/>
      <c r="GB19" s="2688"/>
      <c r="GC19" s="2688"/>
      <c r="GD19" s="2688"/>
      <c r="GE19" s="2688"/>
      <c r="GF19" s="2688">
        <v>2679</v>
      </c>
      <c r="GG19" s="2688"/>
      <c r="GH19" s="2688"/>
      <c r="GI19" s="2688"/>
      <c r="GJ19" s="2688"/>
      <c r="GK19" s="2688"/>
      <c r="GL19" s="2688"/>
      <c r="GM19" s="2688"/>
      <c r="GN19" s="2688"/>
      <c r="GO19" s="2688"/>
      <c r="GP19" s="2688"/>
      <c r="GQ19" s="2688"/>
      <c r="GR19" s="2688"/>
      <c r="GS19" s="2688"/>
      <c r="GT19" s="2688"/>
      <c r="GU19" s="2688"/>
      <c r="GV19" s="2688"/>
      <c r="GW19" s="2688"/>
      <c r="GX19" s="2688"/>
      <c r="GY19" s="2688"/>
      <c r="GZ19" s="2688"/>
      <c r="HA19" s="2688"/>
      <c r="HB19" s="2688"/>
      <c r="HC19" s="2688"/>
      <c r="HD19" s="2688"/>
      <c r="HE19" s="2688"/>
      <c r="HF19" s="2688"/>
      <c r="HG19" s="2688"/>
      <c r="HH19" s="2688">
        <v>500</v>
      </c>
      <c r="HI19" s="2688"/>
      <c r="HJ19" s="2688"/>
      <c r="HK19" s="2688"/>
      <c r="HL19" s="2688"/>
      <c r="HM19" s="2688"/>
      <c r="HN19" s="2688"/>
      <c r="HO19" s="2688"/>
      <c r="HP19" s="2688">
        <v>659</v>
      </c>
      <c r="HQ19" s="2688"/>
      <c r="HR19" s="2688">
        <v>659</v>
      </c>
      <c r="HS19" s="2688"/>
      <c r="HT19" s="2688"/>
      <c r="HU19" s="2688"/>
      <c r="HV19" s="2688"/>
      <c r="HW19" s="2688"/>
      <c r="HX19" s="2688"/>
      <c r="HY19" s="2688"/>
      <c r="HZ19" s="2688"/>
      <c r="IA19" s="2688"/>
      <c r="IB19" s="2688"/>
      <c r="IC19" s="2688"/>
      <c r="ID19" s="2688"/>
      <c r="IE19" s="2688"/>
      <c r="IF19" s="2688">
        <v>84227</v>
      </c>
      <c r="IG19" s="2688"/>
      <c r="IH19" s="2688">
        <v>6332</v>
      </c>
      <c r="II19" s="2688"/>
      <c r="IJ19" s="2688"/>
      <c r="IK19" s="2688"/>
      <c r="IL19" s="2688"/>
      <c r="IM19" s="2688"/>
      <c r="IN19" s="2688"/>
      <c r="IO19" s="2688"/>
      <c r="IP19" s="3557"/>
      <c r="IQ19" s="3557"/>
      <c r="IR19" s="3557"/>
      <c r="IS19" s="3557"/>
      <c r="IT19" s="3557"/>
      <c r="IU19" s="3557"/>
      <c r="IV19" s="3557"/>
      <c r="IW19" s="3557"/>
      <c r="IX19" s="4031">
        <v>244</v>
      </c>
      <c r="IY19" s="3557"/>
      <c r="IZ19" s="3557"/>
      <c r="JA19" s="3557"/>
      <c r="JB19" s="3557"/>
      <c r="JC19" s="3557"/>
      <c r="JD19" s="3557"/>
      <c r="JE19" s="3557"/>
      <c r="JF19" s="3977">
        <v>17997</v>
      </c>
      <c r="JG19" s="4085"/>
      <c r="JH19" s="1233"/>
    </row>
    <row r="20" spans="1:268" x14ac:dyDescent="0.2">
      <c r="A20" s="1128">
        <v>20</v>
      </c>
      <c r="B20" s="1534" t="str">
        <f si="0" t="shared"/>
        <v/>
      </c>
      <c r="C20" s="1278" t="s">
        <v>3539</v>
      </c>
      <c r="D20" s="1386" t="s">
        <v>5323</v>
      </c>
      <c r="E20" s="2688"/>
      <c r="F20" s="2688"/>
      <c r="G20" s="2688"/>
      <c r="H20" s="2688"/>
      <c r="I20" s="2688"/>
      <c r="J20" s="2688"/>
      <c r="K20" s="2688"/>
      <c r="L20" s="2688"/>
      <c r="M20" s="2688"/>
      <c r="N20" s="2688"/>
      <c r="O20" s="2688"/>
      <c r="P20" s="2688"/>
      <c r="Q20" s="2688"/>
      <c r="R20" s="2688"/>
      <c r="S20" s="2688"/>
      <c r="T20" s="2688"/>
      <c r="U20" s="2688"/>
      <c r="V20" s="2688"/>
      <c r="W20" s="2688"/>
      <c r="X20" s="2688"/>
      <c r="Y20" s="2688"/>
      <c r="Z20" s="2688"/>
      <c r="AA20" s="2688"/>
      <c r="AB20" s="2688"/>
      <c r="AC20" s="2688"/>
      <c r="AD20" s="2688"/>
      <c r="AE20" s="2688"/>
      <c r="AF20" s="2688"/>
      <c r="AG20" s="2688"/>
      <c r="AH20" s="2688"/>
      <c r="AI20" s="2688"/>
      <c r="AJ20" s="2688"/>
      <c r="AK20" s="2688"/>
      <c r="AL20" s="2688"/>
      <c r="AM20" s="2688"/>
      <c r="AN20" s="2688"/>
      <c r="AO20" s="2688"/>
      <c r="AP20" s="2688">
        <v>401</v>
      </c>
      <c r="AQ20" s="2688">
        <v>42</v>
      </c>
      <c r="AR20" s="2688"/>
      <c r="AS20" s="2688"/>
      <c r="AT20" s="2688"/>
      <c r="AU20" s="2688"/>
      <c r="AV20" s="2688"/>
      <c r="AW20" s="2688">
        <v>225</v>
      </c>
      <c r="AX20" s="2688"/>
      <c r="AY20" s="2688"/>
      <c r="AZ20" s="2688"/>
      <c r="BA20" s="2688"/>
      <c r="BB20" s="2688">
        <v>42</v>
      </c>
      <c r="BC20" s="2688">
        <v>401</v>
      </c>
      <c r="BD20" s="2688">
        <v>401</v>
      </c>
      <c r="BE20" s="2688"/>
      <c r="BF20" s="2688"/>
      <c r="BG20" s="2688"/>
      <c r="BH20" s="2688"/>
      <c r="BI20" s="2688"/>
      <c r="BJ20" s="2688">
        <v>401</v>
      </c>
      <c r="BK20" s="2688"/>
      <c r="BL20" s="2688"/>
      <c r="BM20" s="2688"/>
      <c r="BN20" s="2688"/>
      <c r="BO20" s="2688"/>
      <c r="BP20" s="2688"/>
      <c r="BQ20" s="2688"/>
      <c r="BR20" s="2688"/>
      <c r="BS20" s="2688"/>
      <c r="BT20" s="2688"/>
      <c r="BU20" s="2688"/>
      <c r="BV20" s="2688"/>
      <c r="BW20" s="2688"/>
      <c r="BX20" s="2688"/>
      <c r="BY20" s="2688"/>
      <c r="BZ20" s="2688"/>
      <c r="CA20" s="2688"/>
      <c r="CB20" s="2688"/>
      <c r="CC20" s="2688"/>
      <c r="CD20" s="2688"/>
      <c r="CE20" s="2688"/>
      <c r="CF20" s="2688"/>
      <c r="CG20" s="2688"/>
      <c r="CH20" s="2688"/>
      <c r="CI20" s="2688"/>
      <c r="CJ20" s="2688">
        <v>2430</v>
      </c>
      <c r="CK20" s="2688"/>
      <c r="CL20" s="2688"/>
      <c r="CM20" s="2688"/>
      <c r="CN20" s="2688"/>
      <c r="CO20" s="2688"/>
      <c r="CP20" s="2688"/>
      <c r="CQ20" s="2688"/>
      <c r="CR20" s="2688"/>
      <c r="CS20" s="2688"/>
      <c r="CT20" s="2688">
        <v>42</v>
      </c>
      <c r="CU20" s="2688"/>
      <c r="CV20" s="2688"/>
      <c r="CW20" s="2688"/>
      <c r="CX20" s="2688"/>
      <c r="CY20" s="2688"/>
      <c r="CZ20" s="2688"/>
      <c r="DA20" s="2688"/>
      <c r="DB20" s="2688"/>
      <c r="DC20" s="2688"/>
      <c r="DD20" s="2688"/>
      <c r="DE20" s="2688"/>
      <c r="DF20" s="2688"/>
      <c r="DG20" s="2688"/>
      <c r="DH20" s="2688"/>
      <c r="DI20" s="2688">
        <v>42</v>
      </c>
      <c r="DJ20" s="2688"/>
      <c r="DK20" s="2688"/>
      <c r="DL20" s="2688"/>
      <c r="DM20" s="2688">
        <v>2430</v>
      </c>
      <c r="DN20" s="2688"/>
      <c r="DO20" s="2688"/>
      <c r="DP20" s="2688"/>
      <c r="DQ20" s="2688"/>
      <c r="DR20" s="2688"/>
      <c r="DS20" s="2688"/>
      <c r="DT20" s="2688">
        <v>75</v>
      </c>
      <c r="DU20" s="2688"/>
      <c r="DV20" s="2688"/>
      <c r="DW20" s="2688"/>
      <c r="DX20" s="2688"/>
      <c r="DY20" s="2688"/>
      <c r="DZ20" s="2688"/>
      <c r="EA20" s="2688"/>
      <c r="EB20" s="2688"/>
      <c r="EC20" s="2688"/>
      <c r="ED20" s="2688"/>
      <c r="EE20" s="2688"/>
      <c r="EF20" s="2688"/>
      <c r="EG20" s="2688"/>
      <c r="EH20" s="2688"/>
      <c r="EI20" s="2688"/>
      <c r="EJ20" s="2688"/>
      <c r="EK20" s="2688"/>
      <c r="EL20" s="2688"/>
      <c r="EM20" s="2688"/>
      <c r="EN20" s="2688"/>
      <c r="EO20" s="2688">
        <v>2430</v>
      </c>
      <c r="EP20" s="2688"/>
      <c r="EQ20" s="2688"/>
      <c r="ER20" s="2688"/>
      <c r="ES20" s="2688"/>
      <c r="ET20" s="2688"/>
      <c r="EU20" s="2688"/>
      <c r="EV20" s="2688"/>
      <c r="EW20" s="2688"/>
      <c r="EX20" s="2688">
        <v>98.85</v>
      </c>
      <c r="EY20" s="2688"/>
      <c r="EZ20" s="2688"/>
      <c r="FA20" s="2688"/>
      <c r="FB20" s="2688"/>
      <c r="FC20" s="2688"/>
      <c r="FD20" s="2688"/>
      <c r="FE20" s="2688"/>
      <c r="FF20" s="2688"/>
      <c r="FG20" s="2688"/>
      <c r="FH20" s="2688"/>
      <c r="FI20" s="2688"/>
      <c r="FJ20" s="2688"/>
      <c r="FK20" s="2688"/>
      <c r="FL20" s="2688"/>
      <c r="FM20" s="2688"/>
      <c r="FN20" s="2688"/>
      <c r="FO20" s="2688"/>
      <c r="FP20" s="2688"/>
      <c r="FQ20" s="2688"/>
      <c r="FR20" s="2688"/>
      <c r="FS20" s="2688"/>
      <c r="FT20" s="2688"/>
      <c r="FU20" s="2688"/>
      <c r="FV20" s="2688"/>
      <c r="FW20" s="2688"/>
      <c r="FX20" s="2688"/>
      <c r="FY20" s="2688"/>
      <c r="FZ20" s="2688"/>
      <c r="GA20" s="2688"/>
      <c r="GB20" s="2688"/>
      <c r="GC20" s="2688"/>
      <c r="GD20" s="2688"/>
      <c r="GE20" s="2688"/>
      <c r="GF20" s="2688">
        <v>401</v>
      </c>
      <c r="GG20" s="2688"/>
      <c r="GH20" s="2688"/>
      <c r="GI20" s="2688"/>
      <c r="GJ20" s="2688"/>
      <c r="GK20" s="2688"/>
      <c r="GL20" s="2688"/>
      <c r="GM20" s="2688"/>
      <c r="GN20" s="2688"/>
      <c r="GO20" s="2688"/>
      <c r="GP20" s="2688"/>
      <c r="GQ20" s="2688"/>
      <c r="GR20" s="2688"/>
      <c r="GS20" s="2688"/>
      <c r="GT20" s="2688"/>
      <c r="GU20" s="2688"/>
      <c r="GV20" s="2688"/>
      <c r="GW20" s="2688"/>
      <c r="GX20" s="2688"/>
      <c r="GY20" s="2688"/>
      <c r="GZ20" s="2688"/>
      <c r="HA20" s="2688"/>
      <c r="HB20" s="2688"/>
      <c r="HC20" s="2688"/>
      <c r="HD20" s="2688"/>
      <c r="HE20" s="2688"/>
      <c r="HF20" s="2688"/>
      <c r="HG20" s="2688"/>
      <c r="HH20" s="2688">
        <v>75</v>
      </c>
      <c r="HI20" s="2688"/>
      <c r="HJ20" s="2688"/>
      <c r="HK20" s="2688"/>
      <c r="HL20" s="2688"/>
      <c r="HM20" s="2688"/>
      <c r="HN20" s="2688"/>
      <c r="HO20" s="2688"/>
      <c r="HP20" s="2688">
        <v>98.85</v>
      </c>
      <c r="HQ20" s="2688"/>
      <c r="HR20" s="2688">
        <v>98.85</v>
      </c>
      <c r="HS20" s="2688"/>
      <c r="HT20" s="2688"/>
      <c r="HU20" s="2688"/>
      <c r="HV20" s="2688"/>
      <c r="HW20" s="2688"/>
      <c r="HX20" s="2688"/>
      <c r="HY20" s="2688"/>
      <c r="HZ20" s="2688"/>
      <c r="IA20" s="2688"/>
      <c r="IB20" s="2688"/>
      <c r="IC20" s="2688"/>
      <c r="ID20" s="2688"/>
      <c r="IE20" s="2688"/>
      <c r="IF20" s="2688"/>
      <c r="IG20" s="2688"/>
      <c r="IH20" s="2688"/>
      <c r="II20" s="2688"/>
      <c r="IJ20" s="2688"/>
      <c r="IK20" s="2688"/>
      <c r="IL20" s="2688"/>
      <c r="IM20" s="2688"/>
      <c r="IN20" s="2688"/>
      <c r="IO20" s="2688"/>
      <c r="IP20" s="3557"/>
      <c r="IQ20" s="3557"/>
      <c r="IR20" s="3557"/>
      <c r="IS20" s="3557"/>
      <c r="IT20" s="3557"/>
      <c r="IU20" s="3557"/>
      <c r="IV20" s="3557"/>
      <c r="IW20" s="3557"/>
      <c r="IX20" s="4031"/>
      <c r="IY20" s="3557"/>
      <c r="IZ20" s="3557"/>
      <c r="JA20" s="3557"/>
      <c r="JB20" s="3557"/>
      <c r="JC20" s="3557"/>
      <c r="JD20" s="3557"/>
      <c r="JE20" s="3557"/>
      <c r="JF20" s="3977">
        <v>4499.25</v>
      </c>
      <c r="JG20" s="3348"/>
      <c r="JH20" s="1233"/>
    </row>
    <row r="21" spans="1:268" x14ac:dyDescent="0.2">
      <c r="A21" s="1128">
        <v>21</v>
      </c>
      <c r="B21" s="1534" t="str">
        <f si="0" t="shared"/>
        <v/>
      </c>
      <c r="C21" s="1278" t="s">
        <v>3541</v>
      </c>
      <c r="D21" s="1386" t="s">
        <v>5324</v>
      </c>
      <c r="E21" s="2688"/>
      <c r="F21" s="2688"/>
      <c r="G21" s="2688"/>
      <c r="H21" s="2688"/>
      <c r="I21" s="2688"/>
      <c r="J21" s="2688"/>
      <c r="K21" s="2688"/>
      <c r="L21" s="2688"/>
      <c r="M21" s="2688"/>
      <c r="N21" s="2688"/>
      <c r="O21" s="2688"/>
      <c r="P21" s="2688"/>
      <c r="Q21" s="2688"/>
      <c r="R21" s="2688"/>
      <c r="S21" s="2688"/>
      <c r="T21" s="2688"/>
      <c r="U21" s="2688"/>
      <c r="V21" s="2688"/>
      <c r="W21" s="2688"/>
      <c r="X21" s="2688"/>
      <c r="Y21" s="2688"/>
      <c r="Z21" s="2688"/>
      <c r="AA21" s="2688"/>
      <c r="AB21" s="2688"/>
      <c r="AC21" s="2688"/>
      <c r="AD21" s="2688"/>
      <c r="AE21" s="2688"/>
      <c r="AF21" s="2688"/>
      <c r="AG21" s="2688"/>
      <c r="AH21" s="2688"/>
      <c r="AI21" s="2688"/>
      <c r="AJ21" s="2688"/>
      <c r="AK21" s="2688"/>
      <c r="AL21" s="2688"/>
      <c r="AM21" s="2688"/>
      <c r="AN21" s="2688"/>
      <c r="AO21" s="2688"/>
      <c r="AP21" s="2688"/>
      <c r="AQ21" s="2688"/>
      <c r="AR21" s="2688"/>
      <c r="AS21" s="2688"/>
      <c r="AT21" s="2688"/>
      <c r="AU21" s="2688"/>
      <c r="AV21" s="2688"/>
      <c r="AW21" s="2688"/>
      <c r="AX21" s="2688"/>
      <c r="AY21" s="2688"/>
      <c r="AZ21" s="2688"/>
      <c r="BA21" s="2688"/>
      <c r="BB21" s="2688"/>
      <c r="BC21" s="2688"/>
      <c r="BD21" s="2688"/>
      <c r="BE21" s="2688"/>
      <c r="BF21" s="2688"/>
      <c r="BG21" s="2688"/>
      <c r="BH21" s="2688"/>
      <c r="BI21" s="2688"/>
      <c r="BJ21" s="2688"/>
      <c r="BK21" s="2688"/>
      <c r="BL21" s="2688"/>
      <c r="BM21" s="2688"/>
      <c r="BN21" s="2688"/>
      <c r="BO21" s="2688"/>
      <c r="BP21" s="2688"/>
      <c r="BQ21" s="2688"/>
      <c r="BR21" s="2688"/>
      <c r="BS21" s="2688"/>
      <c r="BT21" s="2688"/>
      <c r="BU21" s="2688"/>
      <c r="BV21" s="2688"/>
      <c r="BW21" s="2688"/>
      <c r="BX21" s="2688"/>
      <c r="BY21" s="2688"/>
      <c r="BZ21" s="2688"/>
      <c r="CA21" s="2688"/>
      <c r="CB21" s="2688"/>
      <c r="CC21" s="2688"/>
      <c r="CD21" s="2688"/>
      <c r="CE21" s="2688"/>
      <c r="CF21" s="2688"/>
      <c r="CG21" s="2688"/>
      <c r="CH21" s="2688"/>
      <c r="CI21" s="2688"/>
      <c r="CJ21" s="2688"/>
      <c r="CK21" s="2688"/>
      <c r="CL21" s="2688"/>
      <c r="CM21" s="2688"/>
      <c r="CN21" s="2688"/>
      <c r="CO21" s="2688"/>
      <c r="CP21" s="2688"/>
      <c r="CQ21" s="2688"/>
      <c r="CR21" s="2688"/>
      <c r="CS21" s="2688"/>
      <c r="CT21" s="2688"/>
      <c r="CU21" s="2688"/>
      <c r="CV21" s="2688"/>
      <c r="CW21" s="2688"/>
      <c r="CX21" s="2688"/>
      <c r="CY21" s="2688"/>
      <c r="CZ21" s="2688"/>
      <c r="DA21" s="2688"/>
      <c r="DB21" s="2688"/>
      <c r="DC21" s="2688"/>
      <c r="DD21" s="2688"/>
      <c r="DE21" s="2688"/>
      <c r="DF21" s="2688"/>
      <c r="DG21" s="2688"/>
      <c r="DH21" s="2688"/>
      <c r="DI21" s="2688"/>
      <c r="DJ21" s="2688"/>
      <c r="DK21" s="2688"/>
      <c r="DL21" s="2688"/>
      <c r="DM21" s="2688"/>
      <c r="DN21" s="2688"/>
      <c r="DO21" s="2688"/>
      <c r="DP21" s="2688"/>
      <c r="DQ21" s="2688"/>
      <c r="DR21" s="2688"/>
      <c r="DS21" s="2688"/>
      <c r="DT21" s="2688"/>
      <c r="DU21" s="2688"/>
      <c r="DV21" s="2688"/>
      <c r="DW21" s="2688"/>
      <c r="DX21" s="2688"/>
      <c r="DY21" s="2688"/>
      <c r="DZ21" s="2688"/>
      <c r="EA21" s="2688"/>
      <c r="EB21" s="2688"/>
      <c r="EC21" s="2688"/>
      <c r="ED21" s="2688"/>
      <c r="EE21" s="2688"/>
      <c r="EF21" s="2688"/>
      <c r="EG21" s="2688"/>
      <c r="EH21" s="2688"/>
      <c r="EI21" s="2688"/>
      <c r="EJ21" s="2688"/>
      <c r="EK21" s="2688"/>
      <c r="EL21" s="2688"/>
      <c r="EM21" s="2688"/>
      <c r="EN21" s="2688"/>
      <c r="EO21" s="2688"/>
      <c r="EP21" s="2688"/>
      <c r="EQ21" s="2688"/>
      <c r="ER21" s="2688"/>
      <c r="ES21" s="2688"/>
      <c r="ET21" s="2688"/>
      <c r="EU21" s="2688"/>
      <c r="EV21" s="2688"/>
      <c r="EW21" s="2688"/>
      <c r="EX21" s="2688"/>
      <c r="EY21" s="2688"/>
      <c r="EZ21" s="2688"/>
      <c r="FA21" s="2688"/>
      <c r="FB21" s="2688"/>
      <c r="FC21" s="2688"/>
      <c r="FD21" s="2688"/>
      <c r="FE21" s="2688"/>
      <c r="FF21" s="2688"/>
      <c r="FG21" s="2688"/>
      <c r="FH21" s="2688"/>
      <c r="FI21" s="2688"/>
      <c r="FJ21" s="2688"/>
      <c r="FK21" s="2688"/>
      <c r="FL21" s="2688"/>
      <c r="FM21" s="2688"/>
      <c r="FN21" s="2688"/>
      <c r="FO21" s="2688"/>
      <c r="FP21" s="2688"/>
      <c r="FQ21" s="2688"/>
      <c r="FR21" s="2688"/>
      <c r="FS21" s="2688"/>
      <c r="FT21" s="2688"/>
      <c r="FU21" s="2688"/>
      <c r="FV21" s="2688"/>
      <c r="FW21" s="2688"/>
      <c r="FX21" s="2688"/>
      <c r="FY21" s="2688"/>
      <c r="FZ21" s="2688"/>
      <c r="GA21" s="2688"/>
      <c r="GB21" s="2688"/>
      <c r="GC21" s="2688"/>
      <c r="GD21" s="2688"/>
      <c r="GE21" s="2688"/>
      <c r="GF21" s="2688"/>
      <c r="GG21" s="2688"/>
      <c r="GH21" s="2688"/>
      <c r="GI21" s="2688"/>
      <c r="GJ21" s="2688"/>
      <c r="GK21" s="2688"/>
      <c r="GL21" s="2688"/>
      <c r="GM21" s="2688"/>
      <c r="GN21" s="2688"/>
      <c r="GO21" s="2688"/>
      <c r="GP21" s="2688"/>
      <c r="GQ21" s="2688"/>
      <c r="GR21" s="2688"/>
      <c r="GS21" s="2688"/>
      <c r="GT21" s="2688"/>
      <c r="GU21" s="2688"/>
      <c r="GV21" s="2688"/>
      <c r="GW21" s="2688"/>
      <c r="GX21" s="2688"/>
      <c r="GY21" s="2688"/>
      <c r="GZ21" s="2688"/>
      <c r="HA21" s="2688"/>
      <c r="HB21" s="2688"/>
      <c r="HC21" s="2688"/>
      <c r="HD21" s="2688"/>
      <c r="HE21" s="2688"/>
      <c r="HF21" s="2688"/>
      <c r="HG21" s="2688"/>
      <c r="HH21" s="2688"/>
      <c r="HI21" s="2688"/>
      <c r="HJ21" s="2688"/>
      <c r="HK21" s="2688"/>
      <c r="HL21" s="2688"/>
      <c r="HM21" s="2688"/>
      <c r="HN21" s="2688"/>
      <c r="HO21" s="2688"/>
      <c r="HP21" s="2688"/>
      <c r="HQ21" s="2688"/>
      <c r="HR21" s="2688"/>
      <c r="HS21" s="2688"/>
      <c r="HT21" s="2688"/>
      <c r="HU21" s="2688"/>
      <c r="HV21" s="2688"/>
      <c r="HW21" s="2688"/>
      <c r="HX21" s="2688"/>
      <c r="HY21" s="2688"/>
      <c r="HZ21" s="2688"/>
      <c r="IA21" s="2688"/>
      <c r="IB21" s="2688"/>
      <c r="IC21" s="2688"/>
      <c r="ID21" s="2688"/>
      <c r="IE21" s="2688"/>
      <c r="IF21" s="2688"/>
      <c r="IG21" s="2688"/>
      <c r="IH21" s="2688"/>
      <c r="II21" s="2688"/>
      <c r="IJ21" s="2688"/>
      <c r="IK21" s="2688"/>
      <c r="IL21" s="2688"/>
      <c r="IM21" s="2688"/>
      <c r="IN21" s="2688"/>
      <c r="IO21" s="2688"/>
      <c r="IP21" s="3557"/>
      <c r="IQ21" s="3557"/>
      <c r="IR21" s="3557"/>
      <c r="IS21" s="3557"/>
      <c r="IT21" s="3557"/>
      <c r="IU21" s="3557"/>
      <c r="IV21" s="3557"/>
      <c r="IW21" s="3557"/>
      <c r="IX21" s="4031"/>
      <c r="IY21" s="3557"/>
      <c r="IZ21" s="3557"/>
      <c r="JA21" s="3557"/>
      <c r="JB21" s="3557"/>
      <c r="JC21" s="3557"/>
      <c r="JD21" s="3557"/>
      <c r="JE21" s="3557"/>
      <c r="JF21" s="3977"/>
      <c r="JG21" s="4087"/>
      <c r="JH21" s="1233"/>
    </row>
    <row r="22" spans="1:268" x14ac:dyDescent="0.2">
      <c r="A22" s="1128">
        <v>22</v>
      </c>
      <c r="B22" s="1534" t="str">
        <f si="0" t="shared"/>
        <v/>
      </c>
      <c r="C22" s="1278" t="s">
        <v>3540</v>
      </c>
      <c r="D22" s="1386" t="s">
        <v>5325</v>
      </c>
      <c r="E22" s="3359"/>
      <c r="F22" s="3359"/>
      <c r="G22" s="3359"/>
      <c r="H22" s="3359"/>
      <c r="I22" s="3359"/>
      <c r="J22" s="3359"/>
      <c r="K22" s="3359"/>
      <c r="L22" s="3359"/>
      <c r="M22" s="3359"/>
      <c r="N22" s="3359"/>
      <c r="O22" s="3359"/>
      <c r="P22" s="3359"/>
      <c r="Q22" s="3359"/>
      <c r="R22" s="3359"/>
      <c r="S22" s="3359"/>
      <c r="T22" s="3359"/>
      <c r="U22" s="3359"/>
      <c r="V22" s="3359"/>
      <c r="W22" s="3359"/>
      <c r="X22" s="3359"/>
      <c r="Y22" s="3359"/>
      <c r="Z22" s="3359"/>
      <c r="AA22" s="3359"/>
      <c r="AB22" s="3359"/>
      <c r="AC22" s="3359"/>
      <c r="AD22" s="3359"/>
      <c r="AE22" s="3359"/>
      <c r="AF22" s="3359"/>
      <c r="AG22" s="3359"/>
      <c r="AH22" s="3359"/>
      <c r="AI22" s="3359"/>
      <c r="AJ22" s="3359"/>
      <c r="AK22" s="3359"/>
      <c r="AL22" s="3359"/>
      <c r="AM22" s="3359"/>
      <c r="AN22" s="3359"/>
      <c r="AO22" s="3359"/>
      <c r="AP22" s="3359" t="s">
        <v>572</v>
      </c>
      <c r="AQ22" s="3359" t="s">
        <v>572</v>
      </c>
      <c r="AR22" s="3359"/>
      <c r="AS22" s="3359"/>
      <c r="AT22" s="3359"/>
      <c r="AU22" s="3359"/>
      <c r="AV22" s="3359"/>
      <c r="AW22" s="3359"/>
      <c r="AX22" s="3359"/>
      <c r="AY22" s="3359"/>
      <c r="AZ22" s="3359"/>
      <c r="BA22" s="3359"/>
      <c r="BB22" s="3359" t="s">
        <v>572</v>
      </c>
      <c r="BC22" s="3359" t="s">
        <v>572</v>
      </c>
      <c r="BD22" s="3359" t="s">
        <v>572</v>
      </c>
      <c r="BE22" s="3359"/>
      <c r="BF22" s="3359"/>
      <c r="BG22" s="3359"/>
      <c r="BH22" s="3359"/>
      <c r="BI22" s="3359"/>
      <c r="BJ22" s="3359" t="s">
        <v>572</v>
      </c>
      <c r="BK22" s="3359"/>
      <c r="BL22" s="3359"/>
      <c r="BM22" s="3359"/>
      <c r="BN22" s="3359"/>
      <c r="BO22" s="3359"/>
      <c r="BP22" s="3359"/>
      <c r="BQ22" s="3359"/>
      <c r="BR22" s="3359"/>
      <c r="BS22" s="3359"/>
      <c r="BT22" s="3359"/>
      <c r="BU22" s="3359"/>
      <c r="BV22" s="3359"/>
      <c r="BW22" s="3359"/>
      <c r="BX22" s="3359"/>
      <c r="BY22" s="3359"/>
      <c r="BZ22" s="3359"/>
      <c r="CA22" s="3359"/>
      <c r="CB22" s="3359"/>
      <c r="CC22" s="3359"/>
      <c r="CD22" s="3359"/>
      <c r="CE22" s="3359"/>
      <c r="CF22" s="3359"/>
      <c r="CG22" s="3359"/>
      <c r="CH22" s="3359"/>
      <c r="CI22" s="3359"/>
      <c r="CJ22" s="3359"/>
      <c r="CK22" s="3359"/>
      <c r="CL22" s="3359"/>
      <c r="CM22" s="3359"/>
      <c r="CN22" s="3359"/>
      <c r="CO22" s="3359"/>
      <c r="CP22" s="3359"/>
      <c r="CQ22" s="3359"/>
      <c r="CR22" s="3359"/>
      <c r="CS22" s="3359"/>
      <c r="CT22" s="3359" t="s">
        <v>572</v>
      </c>
      <c r="CU22" s="3359"/>
      <c r="CV22" s="3359"/>
      <c r="CW22" s="3359"/>
      <c r="CX22" s="3359"/>
      <c r="CY22" s="3359"/>
      <c r="CZ22" s="3359"/>
      <c r="DA22" s="3359"/>
      <c r="DB22" s="3359"/>
      <c r="DC22" s="3359"/>
      <c r="DD22" s="3359"/>
      <c r="DE22" s="3359"/>
      <c r="DF22" s="3359"/>
      <c r="DG22" s="3359"/>
      <c r="DH22" s="3359"/>
      <c r="DI22" s="3359" t="s">
        <v>572</v>
      </c>
      <c r="DJ22" s="3359"/>
      <c r="DK22" s="3359"/>
      <c r="DL22" s="3359"/>
      <c r="DM22" s="3359"/>
      <c r="DN22" s="3359"/>
      <c r="DO22" s="3359"/>
      <c r="DP22" s="3359"/>
      <c r="DQ22" s="3359"/>
      <c r="DR22" s="3359"/>
      <c r="DS22" s="3359"/>
      <c r="DT22" s="3359" t="s">
        <v>572</v>
      </c>
      <c r="DU22" s="3359"/>
      <c r="DV22" s="3359"/>
      <c r="DW22" s="3359"/>
      <c r="DX22" s="3359"/>
      <c r="DY22" s="3359"/>
      <c r="DZ22" s="3359"/>
      <c r="EA22" s="3359"/>
      <c r="EB22" s="3359"/>
      <c r="EC22" s="3359"/>
      <c r="ED22" s="3359"/>
      <c r="EE22" s="3359"/>
      <c r="EF22" s="3359"/>
      <c r="EG22" s="3359"/>
      <c r="EH22" s="3359"/>
      <c r="EI22" s="3359"/>
      <c r="EJ22" s="3359"/>
      <c r="EK22" s="3359"/>
      <c r="EL22" s="3359"/>
      <c r="EM22" s="3359"/>
      <c r="EN22" s="3359"/>
      <c r="EO22" s="3359"/>
      <c r="EP22" s="3359"/>
      <c r="EQ22" s="3359"/>
      <c r="ER22" s="3359"/>
      <c r="ES22" s="3359"/>
      <c r="ET22" s="3359"/>
      <c r="EU22" s="3359"/>
      <c r="EV22" s="3359"/>
      <c r="EW22" s="3359"/>
      <c r="EX22" s="3359" t="s">
        <v>572</v>
      </c>
      <c r="EY22" s="3359"/>
      <c r="EZ22" s="3359"/>
      <c r="FA22" s="3359"/>
      <c r="FB22" s="3359"/>
      <c r="FC22" s="3359"/>
      <c r="FD22" s="3359"/>
      <c r="FE22" s="3359"/>
      <c r="FF22" s="3359"/>
      <c r="FG22" s="3359"/>
      <c r="FH22" s="3359"/>
      <c r="FI22" s="3359"/>
      <c r="FJ22" s="3359"/>
      <c r="FK22" s="3359"/>
      <c r="FL22" s="3359"/>
      <c r="FM22" s="3359"/>
      <c r="FN22" s="3359"/>
      <c r="FO22" s="3359"/>
      <c r="FP22" s="3359"/>
      <c r="FQ22" s="3359"/>
      <c r="FR22" s="3359"/>
      <c r="FS22" s="3359"/>
      <c r="FT22" s="3359"/>
      <c r="FU22" s="3359"/>
      <c r="FV22" s="3359"/>
      <c r="FW22" s="3359"/>
      <c r="FX22" s="3359"/>
      <c r="FY22" s="3359"/>
      <c r="FZ22" s="3359"/>
      <c r="GA22" s="3359"/>
      <c r="GB22" s="3359"/>
      <c r="GC22" s="3359"/>
      <c r="GD22" s="3359"/>
      <c r="GE22" s="3359"/>
      <c r="GF22" s="3359" t="s">
        <v>572</v>
      </c>
      <c r="GG22" s="3359"/>
      <c r="GH22" s="3359"/>
      <c r="GI22" s="3359"/>
      <c r="GJ22" s="3359"/>
      <c r="GK22" s="3359"/>
      <c r="GL22" s="3359"/>
      <c r="GM22" s="3359"/>
      <c r="GN22" s="3359"/>
      <c r="GO22" s="3359"/>
      <c r="GP22" s="3359"/>
      <c r="GQ22" s="3359"/>
      <c r="GR22" s="3359"/>
      <c r="GS22" s="3359"/>
      <c r="GT22" s="3359"/>
      <c r="GU22" s="3359"/>
      <c r="GV22" s="3359"/>
      <c r="GW22" s="3359"/>
      <c r="GX22" s="3359"/>
      <c r="GY22" s="3359"/>
      <c r="GZ22" s="3359"/>
      <c r="HA22" s="3359"/>
      <c r="HB22" s="3359"/>
      <c r="HC22" s="3359"/>
      <c r="HD22" s="3359"/>
      <c r="HE22" s="3359"/>
      <c r="HF22" s="3359"/>
      <c r="HG22" s="3359"/>
      <c r="HH22" s="3359" t="s">
        <v>572</v>
      </c>
      <c r="HI22" s="3359"/>
      <c r="HJ22" s="3359"/>
      <c r="HK22" s="3359"/>
      <c r="HL22" s="3359"/>
      <c r="HM22" s="3359"/>
      <c r="HN22" s="3359"/>
      <c r="HO22" s="3359"/>
      <c r="HP22" s="3359" t="s">
        <v>572</v>
      </c>
      <c r="HQ22" s="3359"/>
      <c r="HR22" s="3359" t="s">
        <v>572</v>
      </c>
      <c r="HS22" s="3359"/>
      <c r="HT22" s="3359"/>
      <c r="HU22" s="3359"/>
      <c r="HV22" s="3359"/>
      <c r="HW22" s="3359"/>
      <c r="HX22" s="3359"/>
      <c r="HY22" s="3359"/>
      <c r="HZ22" s="3359"/>
      <c r="IA22" s="3359"/>
      <c r="IB22" s="3359"/>
      <c r="IC22" s="3359"/>
      <c r="ID22" s="3359"/>
      <c r="IE22" s="3359"/>
      <c r="IF22" s="3359"/>
      <c r="IG22" s="3359"/>
      <c r="IH22" s="3359"/>
      <c r="II22" s="3359"/>
      <c r="IJ22" s="3359"/>
      <c r="IK22" s="3359"/>
      <c r="IL22" s="3359"/>
      <c r="IM22" s="3359"/>
      <c r="IN22" s="3359"/>
      <c r="IO22" s="3359"/>
      <c r="IP22" s="2815"/>
      <c r="IQ22" s="2815"/>
      <c r="IR22" s="2815"/>
      <c r="IS22" s="2815"/>
      <c r="IT22" s="2815"/>
      <c r="IU22" s="2815"/>
      <c r="IV22" s="2815"/>
      <c r="IW22" s="2815"/>
      <c r="IX22" s="3979"/>
      <c r="IY22" s="2815"/>
      <c r="IZ22" s="2815"/>
      <c r="JA22" s="2815"/>
      <c r="JB22" s="2815"/>
      <c r="JC22" s="2815"/>
      <c r="JD22" s="2815"/>
      <c r="JE22" s="2815"/>
      <c r="JF22" s="4261" t="s">
        <v>572</v>
      </c>
      <c r="JG22" s="4088"/>
      <c r="JH22" s="1233"/>
    </row>
    <row r="23" spans="1:268" x14ac:dyDescent="0.2">
      <c r="A23" s="1128">
        <v>23</v>
      </c>
      <c r="B23" s="1534" t="str">
        <f si="0" t="shared"/>
        <v/>
      </c>
      <c r="C23" s="1278" t="s">
        <v>3542</v>
      </c>
      <c r="D23" s="1386" t="s">
        <v>5326</v>
      </c>
      <c r="E23" s="2688"/>
      <c r="F23" s="2688"/>
      <c r="G23" s="2688"/>
      <c r="H23" s="2688"/>
      <c r="I23" s="2688"/>
      <c r="J23" s="2688"/>
      <c r="K23" s="2688"/>
      <c r="L23" s="2688"/>
      <c r="M23" s="2688"/>
      <c r="N23" s="2688"/>
      <c r="O23" s="2688"/>
      <c r="P23" s="2688"/>
      <c r="Q23" s="2688"/>
      <c r="R23" s="2688"/>
      <c r="S23" s="2688"/>
      <c r="T23" s="2688"/>
      <c r="U23" s="2688"/>
      <c r="V23" s="2688"/>
      <c r="W23" s="2688"/>
      <c r="X23" s="2688"/>
      <c r="Y23" s="2688"/>
      <c r="Z23" s="2688"/>
      <c r="AA23" s="2688"/>
      <c r="AB23" s="2688"/>
      <c r="AC23" s="2688"/>
      <c r="AD23" s="2688"/>
      <c r="AE23" s="2688"/>
      <c r="AF23" s="2688"/>
      <c r="AG23" s="2688"/>
      <c r="AH23" s="2688"/>
      <c r="AI23" s="2688"/>
      <c r="AJ23" s="2688"/>
      <c r="AK23" s="2688"/>
      <c r="AL23" s="2688"/>
      <c r="AM23" s="2688"/>
      <c r="AN23" s="2688"/>
      <c r="AO23" s="2688"/>
      <c r="AP23" s="3360">
        <f>IF(AP22="Y",AP19,MAX(0,AP19-AP20))</f>
        <v>2679</v>
      </c>
      <c r="AQ23" s="3360">
        <f>IF(AQ22="Y",AQ19,MAX(0,AQ19-AQ20))</f>
        <v>422</v>
      </c>
      <c r="AR23" s="2688"/>
      <c r="AS23" s="2688"/>
      <c r="AT23" s="2688"/>
      <c r="AU23" s="2688"/>
      <c r="AV23" s="2688"/>
      <c r="AW23" s="3360">
        <f>IF(AW22="Y",AW19,MAX(0,AW19-AW20))</f>
        <v>1275</v>
      </c>
      <c r="AX23" s="2688"/>
      <c r="AY23" s="2688"/>
      <c r="AZ23" s="2688"/>
      <c r="BA23" s="2688"/>
      <c r="BB23" s="3360">
        <f>IF(BB22="Y",BB19,MAX(0,BB19-BB20))</f>
        <v>422</v>
      </c>
      <c r="BC23" s="3360">
        <f>IF(BC22="Y",BC19,MAX(0,BC19-BC20))</f>
        <v>2679</v>
      </c>
      <c r="BD23" s="3360">
        <f>IF(BD22="Y",BD19,MAX(0,BD19-BD20))</f>
        <v>2679</v>
      </c>
      <c r="BE23" s="2688"/>
      <c r="BF23" s="2688"/>
      <c r="BG23" s="2688"/>
      <c r="BH23" s="2688"/>
      <c r="BI23" s="2688"/>
      <c r="BJ23" s="3360">
        <f>IF(BJ22="Y",BJ19,MAX(0,BJ19-BJ20))</f>
        <v>2679</v>
      </c>
      <c r="BK23" s="2688"/>
      <c r="BL23" s="2688"/>
      <c r="BM23" s="2688"/>
      <c r="BN23" s="2688"/>
      <c r="BO23" s="2688"/>
      <c r="BP23" s="2688"/>
      <c r="BQ23" s="2688"/>
      <c r="BR23" s="2688"/>
      <c r="BS23" s="2688"/>
      <c r="BT23" s="2688"/>
      <c r="BU23" s="2688"/>
      <c r="BV23" s="2688"/>
      <c r="BW23" s="2688"/>
      <c r="BX23" s="2688"/>
      <c r="BY23" s="2688"/>
      <c r="BZ23" s="2688"/>
      <c r="CA23" s="2688"/>
      <c r="CB23" s="2688"/>
      <c r="CC23" s="2688"/>
      <c r="CD23" s="2688"/>
      <c r="CE23" s="2688"/>
      <c r="CF23" s="2688"/>
      <c r="CG23" s="2688"/>
      <c r="CH23" s="2688"/>
      <c r="CI23" s="2688"/>
      <c r="CJ23" s="3360">
        <f>IF(CJ22="Y",CJ19,MAX(0,CJ19-CJ20))</f>
        <v>13770</v>
      </c>
      <c r="CK23" s="2688"/>
      <c r="CL23" s="2688"/>
      <c r="CM23" s="2688"/>
      <c r="CN23" s="2688"/>
      <c r="CO23" s="2688"/>
      <c r="CP23" s="2688"/>
      <c r="CQ23" s="2688"/>
      <c r="CR23" s="2688"/>
      <c r="CS23" s="2688"/>
      <c r="CT23" s="3360">
        <f>IF(CT22="Y",CT19,MAX(0,CT19-CT20))</f>
        <v>422</v>
      </c>
      <c r="CU23" s="2688"/>
      <c r="CV23" s="2688"/>
      <c r="CW23" s="2688"/>
      <c r="CX23" s="2688"/>
      <c r="CY23" s="2688"/>
      <c r="CZ23" s="2688"/>
      <c r="DA23" s="2688"/>
      <c r="DB23" s="2688"/>
      <c r="DC23" s="2688"/>
      <c r="DD23" s="2688"/>
      <c r="DE23" s="2688"/>
      <c r="DF23" s="2688"/>
      <c r="DG23" s="2688"/>
      <c r="DH23" s="2688"/>
      <c r="DI23" s="3360">
        <f>IF(DI22="Y",DI19,MAX(0,DI19-DI20))</f>
        <v>422</v>
      </c>
      <c r="DJ23" s="2688"/>
      <c r="DK23" s="2688"/>
      <c r="DL23" s="2688"/>
      <c r="DM23" s="3360">
        <f>IF(DM22="Y",DM19,MAX(0,DM19-DM20))</f>
        <v>13770</v>
      </c>
      <c r="DN23" s="2688"/>
      <c r="DO23" s="2688"/>
      <c r="DP23" s="2688"/>
      <c r="DQ23" s="2688"/>
      <c r="DR23" s="2688"/>
      <c r="DS23" s="2688"/>
      <c r="DT23" s="3360">
        <f>IF(DT22="Y",DT19,MAX(0,DT19-DT20))</f>
        <v>500</v>
      </c>
      <c r="DU23" s="2688"/>
      <c r="DV23" s="2688"/>
      <c r="DW23" s="2688"/>
      <c r="DX23" s="2688"/>
      <c r="DY23" s="2688"/>
      <c r="DZ23" s="2688"/>
      <c r="EA23" s="2688"/>
      <c r="EB23" s="2688"/>
      <c r="EC23" s="2688"/>
      <c r="ED23" s="2688"/>
      <c r="EE23" s="2688"/>
      <c r="EF23" s="2688"/>
      <c r="EG23" s="2688"/>
      <c r="EH23" s="2688"/>
      <c r="EI23" s="2688"/>
      <c r="EJ23" s="2688"/>
      <c r="EK23" s="2688"/>
      <c r="EL23" s="2688"/>
      <c r="EM23" s="2688"/>
      <c r="EN23" s="2688"/>
      <c r="EO23" s="3360">
        <f>IF(EO22="Y",EO19,MAX(0,EO19-EO20))</f>
        <v>13770</v>
      </c>
      <c r="EP23" s="2688"/>
      <c r="EQ23" s="2688"/>
      <c r="ER23" s="2688"/>
      <c r="ES23" s="2688"/>
      <c r="ET23" s="2688"/>
      <c r="EU23" s="2688"/>
      <c r="EV23" s="2688"/>
      <c r="EW23" s="2688"/>
      <c r="EX23" s="3360">
        <f>IF(EX22="Y",EX19,MAX(0,EX19-EX20))</f>
        <v>659</v>
      </c>
      <c r="EY23" s="2688"/>
      <c r="EZ23" s="2688"/>
      <c r="FA23" s="2688"/>
      <c r="FB23" s="2688"/>
      <c r="FC23" s="2688"/>
      <c r="FD23" s="2688"/>
      <c r="FE23" s="2688"/>
      <c r="FF23" s="2688"/>
      <c r="FG23" s="2688"/>
      <c r="FH23" s="2688"/>
      <c r="FI23" s="2688"/>
      <c r="FJ23" s="2688"/>
      <c r="FK23" s="2688"/>
      <c r="FL23" s="2688"/>
      <c r="FM23" s="2688"/>
      <c r="FN23" s="2688"/>
      <c r="FO23" s="2688"/>
      <c r="FP23" s="2688"/>
      <c r="FQ23" s="2688"/>
      <c r="FR23" s="2688"/>
      <c r="FS23" s="2688"/>
      <c r="FT23" s="2688"/>
      <c r="FU23" s="2688"/>
      <c r="FV23" s="2688"/>
      <c r="FW23" s="2688"/>
      <c r="FX23" s="2688"/>
      <c r="FY23" s="2688"/>
      <c r="FZ23" s="2688"/>
      <c r="GA23" s="2688"/>
      <c r="GB23" s="2688"/>
      <c r="GC23" s="2688"/>
      <c r="GD23" s="2688"/>
      <c r="GE23" s="2688"/>
      <c r="GF23" s="3360">
        <f>IF(GF22="Y",GF19,MAX(0,GF19-GF20))</f>
        <v>2679</v>
      </c>
      <c r="GG23" s="2688"/>
      <c r="GH23" s="2688"/>
      <c r="GI23" s="2688"/>
      <c r="GJ23" s="2688"/>
      <c r="GK23" s="2688"/>
      <c r="GL23" s="2688"/>
      <c r="GM23" s="2688"/>
      <c r="GN23" s="2688"/>
      <c r="GO23" s="2688"/>
      <c r="GP23" s="2688"/>
      <c r="GQ23" s="2688"/>
      <c r="GR23" s="2688"/>
      <c r="GS23" s="2688"/>
      <c r="GT23" s="2688"/>
      <c r="GU23" s="2688"/>
      <c r="GV23" s="2688"/>
      <c r="GW23" s="2688"/>
      <c r="GX23" s="2688"/>
      <c r="GY23" s="2688"/>
      <c r="GZ23" s="2688"/>
      <c r="HA23" s="2688"/>
      <c r="HB23" s="2688"/>
      <c r="HC23" s="2688"/>
      <c r="HD23" s="2688"/>
      <c r="HE23" s="2688"/>
      <c r="HF23" s="2688"/>
      <c r="HG23" s="2688"/>
      <c r="HH23" s="3360">
        <f>IF(HH22="Y",HH19,MAX(0,HH19-HH20))</f>
        <v>500</v>
      </c>
      <c r="HI23" s="2688"/>
      <c r="HJ23" s="2688"/>
      <c r="HK23" s="2688"/>
      <c r="HL23" s="2688"/>
      <c r="HM23" s="2688"/>
      <c r="HN23" s="2688"/>
      <c r="HO23" s="2688"/>
      <c r="HP23" s="3360">
        <f>IF(HP22="Y",HP19,MAX(0,HP19-HP20))</f>
        <v>659</v>
      </c>
      <c r="HQ23" s="2688"/>
      <c r="HR23" s="3360">
        <f>IF(HR22="Y",HR19,MAX(0,HR19-HR20))</f>
        <v>659</v>
      </c>
      <c r="HS23" s="2688"/>
      <c r="HT23" s="2688"/>
      <c r="HU23" s="2688"/>
      <c r="HV23" s="2688"/>
      <c r="HW23" s="2688"/>
      <c r="HX23" s="2688"/>
      <c r="HY23" s="2688"/>
      <c r="HZ23" s="2688"/>
      <c r="IA23" s="2688"/>
      <c r="IB23" s="2688"/>
      <c r="IC23" s="2688"/>
      <c r="ID23" s="2688"/>
      <c r="IE23" s="2688"/>
      <c r="IF23" s="3360">
        <f>IF(IF22="Y",IF19,MAX(0,IF19-IF20))</f>
        <v>84227</v>
      </c>
      <c r="IG23" s="2688"/>
      <c r="IH23" s="3360">
        <f>IF(IH22="Y",IH19,MAX(0,IH19-IH20))</f>
        <v>6332</v>
      </c>
      <c r="II23" s="2688"/>
      <c r="IJ23" s="2688"/>
      <c r="IK23" s="2688"/>
      <c r="IL23" s="2688"/>
      <c r="IM23" s="2688"/>
      <c r="IN23" s="2688"/>
      <c r="IO23" s="2688"/>
      <c r="IP23" s="3558"/>
      <c r="IQ23" s="3558"/>
      <c r="IR23" s="3558"/>
      <c r="IS23" s="3558"/>
      <c r="IT23" s="3558"/>
      <c r="IU23" s="3558"/>
      <c r="IV23" s="3558"/>
      <c r="IW23" s="3558"/>
      <c r="IX23" s="4032">
        <v>244</v>
      </c>
      <c r="IY23" s="3558"/>
      <c r="IZ23" s="3558"/>
      <c r="JA23" s="3558"/>
      <c r="JB23" s="3558"/>
      <c r="JC23" s="3558"/>
      <c r="JD23" s="3558"/>
      <c r="JE23" s="3558"/>
      <c r="JF23" s="3977">
        <v>17997</v>
      </c>
      <c r="JG23" s="4089"/>
      <c r="JH23" s="1233"/>
    </row>
    <row r="24" spans="1:268" x14ac:dyDescent="0.2">
      <c r="A24" s="1128">
        <v>24</v>
      </c>
      <c r="B24" s="1534" t="str">
        <f si="0" t="shared"/>
        <v/>
      </c>
      <c r="C24" s="1278" t="s">
        <v>3543</v>
      </c>
      <c r="D24" s="1386" t="s">
        <v>5321</v>
      </c>
      <c r="E24" s="3359"/>
      <c r="F24" s="3359"/>
      <c r="G24" s="3359"/>
      <c r="H24" s="3359"/>
      <c r="I24" s="3359"/>
      <c r="J24" s="3359"/>
      <c r="K24" s="3359"/>
      <c r="L24" s="3359"/>
      <c r="M24" s="3359"/>
      <c r="N24" s="3359"/>
      <c r="O24" s="3359"/>
      <c r="P24" s="3359"/>
      <c r="Q24" s="3359"/>
      <c r="R24" s="3359"/>
      <c r="S24" s="3359"/>
      <c r="T24" s="3359"/>
      <c r="U24" s="3359"/>
      <c r="V24" s="3359"/>
      <c r="W24" s="3359"/>
      <c r="X24" s="3359"/>
      <c r="Y24" s="3359"/>
      <c r="Z24" s="3359"/>
      <c r="AA24" s="3359"/>
      <c r="AB24" s="3359"/>
      <c r="AC24" s="3359"/>
      <c r="AD24" s="3359"/>
      <c r="AE24" s="3359"/>
      <c r="AF24" s="3359"/>
      <c r="AG24" s="3359"/>
      <c r="AH24" s="3359"/>
      <c r="AI24" s="3359"/>
      <c r="AJ24" s="3359"/>
      <c r="AK24" s="3359"/>
      <c r="AL24" s="3359"/>
      <c r="AM24" s="3359"/>
      <c r="AN24" s="3359"/>
      <c r="AO24" s="3359"/>
      <c r="AP24" s="3359"/>
      <c r="AQ24" s="3359"/>
      <c r="AR24" s="3359"/>
      <c r="AS24" s="3359"/>
      <c r="AT24" s="3359"/>
      <c r="AU24" s="3359"/>
      <c r="AV24" s="3359"/>
      <c r="AW24" s="3359"/>
      <c r="AX24" s="3359"/>
      <c r="AY24" s="3359"/>
      <c r="AZ24" s="3359"/>
      <c r="BA24" s="3359"/>
      <c r="BB24" s="3359"/>
      <c r="BC24" s="3359"/>
      <c r="BD24" s="3359"/>
      <c r="BE24" s="3359"/>
      <c r="BF24" s="3359"/>
      <c r="BG24" s="3359"/>
      <c r="BH24" s="3359"/>
      <c r="BI24" s="3359"/>
      <c r="BJ24" s="3359"/>
      <c r="BK24" s="3359"/>
      <c r="BL24" s="3359"/>
      <c r="BM24" s="3359"/>
      <c r="BN24" s="3359"/>
      <c r="BO24" s="3359"/>
      <c r="BP24" s="3359"/>
      <c r="BQ24" s="3359"/>
      <c r="BR24" s="3359"/>
      <c r="BS24" s="3359"/>
      <c r="BT24" s="3359"/>
      <c r="BU24" s="3359"/>
      <c r="BV24" s="3359"/>
      <c r="BW24" s="3359"/>
      <c r="BX24" s="3359"/>
      <c r="BY24" s="3359"/>
      <c r="BZ24" s="3359"/>
      <c r="CA24" s="3359"/>
      <c r="CB24" s="3359"/>
      <c r="CC24" s="3359"/>
      <c r="CD24" s="3359"/>
      <c r="CE24" s="3359"/>
      <c r="CF24" s="3359"/>
      <c r="CG24" s="3359"/>
      <c r="CH24" s="3359"/>
      <c r="CI24" s="3359"/>
      <c r="CJ24" s="3359"/>
      <c r="CK24" s="3359"/>
      <c r="CL24" s="3359"/>
      <c r="CM24" s="3359"/>
      <c r="CN24" s="3359"/>
      <c r="CO24" s="3359"/>
      <c r="CP24" s="3359"/>
      <c r="CQ24" s="3359"/>
      <c r="CR24" s="3359"/>
      <c r="CS24" s="3359"/>
      <c r="CT24" s="3359"/>
      <c r="CU24" s="3359"/>
      <c r="CV24" s="3359"/>
      <c r="CW24" s="3359"/>
      <c r="CX24" s="3359"/>
      <c r="CY24" s="3359"/>
      <c r="CZ24" s="3359"/>
      <c r="DA24" s="3359"/>
      <c r="DB24" s="3359"/>
      <c r="DC24" s="3359"/>
      <c r="DD24" s="3359"/>
      <c r="DE24" s="3359"/>
      <c r="DF24" s="3359"/>
      <c r="DG24" s="3359"/>
      <c r="DH24" s="3359"/>
      <c r="DI24" s="3359"/>
      <c r="DJ24" s="3359"/>
      <c r="DK24" s="3359"/>
      <c r="DL24" s="3359"/>
      <c r="DM24" s="3359"/>
      <c r="DN24" s="3359"/>
      <c r="DO24" s="3359"/>
      <c r="DP24" s="3359"/>
      <c r="DQ24" s="3359"/>
      <c r="DR24" s="3359"/>
      <c r="DS24" s="3359"/>
      <c r="DT24" s="3359" t="s">
        <v>1563</v>
      </c>
      <c r="DU24" s="3359"/>
      <c r="DV24" s="3359"/>
      <c r="DW24" s="3359"/>
      <c r="DX24" s="3359"/>
      <c r="DY24" s="3359"/>
      <c r="DZ24" s="3359"/>
      <c r="EA24" s="3359"/>
      <c r="EB24" s="3359"/>
      <c r="EC24" s="3359"/>
      <c r="ED24" s="3359"/>
      <c r="EE24" s="3359"/>
      <c r="EF24" s="3359"/>
      <c r="EG24" s="3359"/>
      <c r="EH24" s="3359"/>
      <c r="EI24" s="3359"/>
      <c r="EJ24" s="3359"/>
      <c r="EK24" s="3359"/>
      <c r="EL24" s="3359"/>
      <c r="EM24" s="3359"/>
      <c r="EN24" s="3359"/>
      <c r="EO24" s="3359"/>
      <c r="EP24" s="3359"/>
      <c r="EQ24" s="3359"/>
      <c r="ER24" s="3359"/>
      <c r="ES24" s="3359"/>
      <c r="ET24" s="3359"/>
      <c r="EU24" s="3359"/>
      <c r="EV24" s="3359"/>
      <c r="EW24" s="3359"/>
      <c r="EX24" s="3359"/>
      <c r="EY24" s="3359"/>
      <c r="EZ24" s="3359"/>
      <c r="FA24" s="3359"/>
      <c r="FB24" s="3359"/>
      <c r="FC24" s="3359"/>
      <c r="FD24" s="3359"/>
      <c r="FE24" s="3359"/>
      <c r="FF24" s="3359"/>
      <c r="FG24" s="3359"/>
      <c r="FH24" s="3359"/>
      <c r="FI24" s="3359"/>
      <c r="FJ24" s="3359"/>
      <c r="FK24" s="3359"/>
      <c r="FL24" s="3359"/>
      <c r="FM24" s="3359"/>
      <c r="FN24" s="3359"/>
      <c r="FO24" s="3359"/>
      <c r="FP24" s="3359"/>
      <c r="FQ24" s="3359"/>
      <c r="FR24" s="3359"/>
      <c r="FS24" s="3359"/>
      <c r="FT24" s="3359"/>
      <c r="FU24" s="3359"/>
      <c r="FV24" s="3359"/>
      <c r="FW24" s="3359"/>
      <c r="FX24" s="3359"/>
      <c r="FY24" s="3359"/>
      <c r="FZ24" s="3359"/>
      <c r="GA24" s="3359"/>
      <c r="GB24" s="3359"/>
      <c r="GC24" s="3359"/>
      <c r="GD24" s="3359"/>
      <c r="GE24" s="3359"/>
      <c r="GF24" s="3359"/>
      <c r="GG24" s="3359"/>
      <c r="GH24" s="3359"/>
      <c r="GI24" s="3359"/>
      <c r="GJ24" s="3359"/>
      <c r="GK24" s="3359"/>
      <c r="GL24" s="3359"/>
      <c r="GM24" s="3359"/>
      <c r="GN24" s="3359"/>
      <c r="GO24" s="3359"/>
      <c r="GP24" s="3359"/>
      <c r="GQ24" s="3359"/>
      <c r="GR24" s="3359"/>
      <c r="GS24" s="3359"/>
      <c r="GT24" s="3359"/>
      <c r="GU24" s="3359"/>
      <c r="GV24" s="3359"/>
      <c r="GW24" s="3359"/>
      <c r="GX24" s="3359"/>
      <c r="GY24" s="3359"/>
      <c r="GZ24" s="3359"/>
      <c r="HA24" s="3359"/>
      <c r="HB24" s="3359"/>
      <c r="HC24" s="3359"/>
      <c r="HD24" s="3359"/>
      <c r="HE24" s="3359"/>
      <c r="HF24" s="3359"/>
      <c r="HG24" s="3359"/>
      <c r="HH24" s="3359" t="s">
        <v>1937</v>
      </c>
      <c r="HI24" s="3359"/>
      <c r="HJ24" s="3359"/>
      <c r="HK24" s="3359"/>
      <c r="HL24" s="3359"/>
      <c r="HM24" s="3359"/>
      <c r="HN24" s="3359"/>
      <c r="HO24" s="3359"/>
      <c r="HP24" s="3359"/>
      <c r="HQ24" s="3359"/>
      <c r="HR24" s="3359"/>
      <c r="HS24" s="3359"/>
      <c r="HT24" s="3359"/>
      <c r="HU24" s="3359"/>
      <c r="HV24" s="3359"/>
      <c r="HW24" s="3359"/>
      <c r="HX24" s="3359"/>
      <c r="HY24" s="3359"/>
      <c r="HZ24" s="3359"/>
      <c r="IA24" s="3359"/>
      <c r="IB24" s="3359"/>
      <c r="IC24" s="3359"/>
      <c r="ID24" s="3359"/>
      <c r="IE24" s="3359"/>
      <c r="IF24" s="3359"/>
      <c r="IG24" s="3359"/>
      <c r="IH24" s="3359"/>
      <c r="II24" s="3359"/>
      <c r="IJ24" s="3359"/>
      <c r="IK24" s="3359"/>
      <c r="IL24" s="3359"/>
      <c r="IM24" s="3359"/>
      <c r="IN24" s="3359"/>
      <c r="IO24" s="3359"/>
      <c r="IP24" s="2815"/>
      <c r="IQ24" s="2815"/>
      <c r="IR24" s="2815"/>
      <c r="IS24" s="2815"/>
      <c r="IT24" s="2815"/>
      <c r="IU24" s="2815"/>
      <c r="IV24" s="2815"/>
      <c r="IW24" s="2815"/>
      <c r="IX24" s="3979" t="s">
        <v>1935</v>
      </c>
      <c r="IY24" s="2815"/>
      <c r="IZ24" s="2815"/>
      <c r="JA24" s="2815"/>
      <c r="JB24" s="2815"/>
      <c r="JC24" s="2815"/>
      <c r="JD24" s="2815"/>
      <c r="JE24" s="2815"/>
      <c r="JF24" s="2815"/>
      <c r="JG24" s="3348"/>
      <c r="JH24" s="1233"/>
    </row>
    <row r="25" spans="1:268" x14ac:dyDescent="0.2">
      <c r="A25" s="1128">
        <v>25</v>
      </c>
      <c r="B25" s="1534" t="str">
        <f si="0" t="shared"/>
        <v/>
      </c>
      <c r="C25" s="1278" t="s">
        <v>3544</v>
      </c>
      <c r="D25" s="1386" t="s">
        <v>5322</v>
      </c>
      <c r="E25" s="2688"/>
      <c r="F25" s="2688"/>
      <c r="G25" s="2688"/>
      <c r="H25" s="2688"/>
      <c r="I25" s="2688"/>
      <c r="J25" s="2688"/>
      <c r="K25" s="2688"/>
      <c r="L25" s="2688"/>
      <c r="M25" s="2688"/>
      <c r="N25" s="2688"/>
      <c r="O25" s="2688"/>
      <c r="P25" s="2688"/>
      <c r="Q25" s="2688"/>
      <c r="R25" s="2688"/>
      <c r="S25" s="2688"/>
      <c r="T25" s="2688"/>
      <c r="U25" s="2688"/>
      <c r="V25" s="2688"/>
      <c r="W25" s="2688"/>
      <c r="X25" s="2688"/>
      <c r="Y25" s="2688"/>
      <c r="Z25" s="2688"/>
      <c r="AA25" s="2688"/>
      <c r="AB25" s="2688"/>
      <c r="AC25" s="2688"/>
      <c r="AD25" s="2688"/>
      <c r="AE25" s="2688"/>
      <c r="AF25" s="2688"/>
      <c r="AG25" s="2688"/>
      <c r="AH25" s="2688"/>
      <c r="AI25" s="2688"/>
      <c r="AJ25" s="2688"/>
      <c r="AK25" s="2688"/>
      <c r="AL25" s="2688"/>
      <c r="AM25" s="2688"/>
      <c r="AN25" s="2688"/>
      <c r="AO25" s="2688"/>
      <c r="AP25" s="2688"/>
      <c r="AQ25" s="2688"/>
      <c r="AR25" s="2688"/>
      <c r="AS25" s="2688"/>
      <c r="AT25" s="2688"/>
      <c r="AU25" s="2688"/>
      <c r="AV25" s="2688"/>
      <c r="AW25" s="2688"/>
      <c r="AX25" s="2688"/>
      <c r="AY25" s="2688"/>
      <c r="AZ25" s="2688"/>
      <c r="BA25" s="2688"/>
      <c r="BB25" s="2688"/>
      <c r="BC25" s="2688"/>
      <c r="BD25" s="2688"/>
      <c r="BE25" s="2688"/>
      <c r="BF25" s="2688"/>
      <c r="BG25" s="2688"/>
      <c r="BH25" s="2688"/>
      <c r="BI25" s="2688"/>
      <c r="BJ25" s="2688"/>
      <c r="BK25" s="2688"/>
      <c r="BL25" s="2688"/>
      <c r="BM25" s="2688"/>
      <c r="BN25" s="2688"/>
      <c r="BO25" s="2688"/>
      <c r="BP25" s="2688"/>
      <c r="BQ25" s="2688"/>
      <c r="BR25" s="2688"/>
      <c r="BS25" s="2688"/>
      <c r="BT25" s="2688"/>
      <c r="BU25" s="2688"/>
      <c r="BV25" s="2688"/>
      <c r="BW25" s="2688"/>
      <c r="BX25" s="2688"/>
      <c r="BY25" s="2688"/>
      <c r="BZ25" s="2688"/>
      <c r="CA25" s="2688"/>
      <c r="CB25" s="2688"/>
      <c r="CC25" s="2688"/>
      <c r="CD25" s="2688"/>
      <c r="CE25" s="2688"/>
      <c r="CF25" s="2688"/>
      <c r="CG25" s="2688"/>
      <c r="CH25" s="2688"/>
      <c r="CI25" s="2688"/>
      <c r="CJ25" s="2688"/>
      <c r="CK25" s="2688"/>
      <c r="CL25" s="2688"/>
      <c r="CM25" s="2688"/>
      <c r="CN25" s="2688"/>
      <c r="CO25" s="2688"/>
      <c r="CP25" s="2688"/>
      <c r="CQ25" s="2688"/>
      <c r="CR25" s="2688"/>
      <c r="CS25" s="2688"/>
      <c r="CT25" s="2688"/>
      <c r="CU25" s="2688"/>
      <c r="CV25" s="2688"/>
      <c r="CW25" s="2688"/>
      <c r="CX25" s="2688"/>
      <c r="CY25" s="2688"/>
      <c r="CZ25" s="2688"/>
      <c r="DA25" s="2688"/>
      <c r="DB25" s="2688"/>
      <c r="DC25" s="2688"/>
      <c r="DD25" s="2688"/>
      <c r="DE25" s="2688"/>
      <c r="DF25" s="2688"/>
      <c r="DG25" s="2688"/>
      <c r="DH25" s="2688"/>
      <c r="DI25" s="2688"/>
      <c r="DJ25" s="2688"/>
      <c r="DK25" s="2688"/>
      <c r="DL25" s="2688"/>
      <c r="DM25" s="2688"/>
      <c r="DN25" s="2688"/>
      <c r="DO25" s="2688"/>
      <c r="DP25" s="2688"/>
      <c r="DQ25" s="2688"/>
      <c r="DR25" s="2688"/>
      <c r="DS25" s="2688"/>
      <c r="DT25" s="2688">
        <v>500</v>
      </c>
      <c r="DU25" s="2688"/>
      <c r="DV25" s="2688"/>
      <c r="DW25" s="2688"/>
      <c r="DX25" s="2688"/>
      <c r="DY25" s="2688"/>
      <c r="DZ25" s="2688"/>
      <c r="EA25" s="2688"/>
      <c r="EB25" s="2688"/>
      <c r="EC25" s="2688"/>
      <c r="ED25" s="2688"/>
      <c r="EE25" s="2688"/>
      <c r="EF25" s="2688"/>
      <c r="EG25" s="2688"/>
      <c r="EH25" s="2688"/>
      <c r="EI25" s="2688"/>
      <c r="EJ25" s="2688"/>
      <c r="EK25" s="2688"/>
      <c r="EL25" s="2688"/>
      <c r="EM25" s="2688"/>
      <c r="EN25" s="2688"/>
      <c r="EO25" s="2688"/>
      <c r="EP25" s="2688"/>
      <c r="EQ25" s="2688"/>
      <c r="ER25" s="2688"/>
      <c r="ES25" s="2688"/>
      <c r="ET25" s="2688"/>
      <c r="EU25" s="2688"/>
      <c r="EV25" s="2688"/>
      <c r="EW25" s="2688"/>
      <c r="EX25" s="2688"/>
      <c r="EY25" s="2688"/>
      <c r="EZ25" s="2688"/>
      <c r="FA25" s="2688"/>
      <c r="FB25" s="2688"/>
      <c r="FC25" s="2688"/>
      <c r="FD25" s="2688"/>
      <c r="FE25" s="2688"/>
      <c r="FF25" s="2688"/>
      <c r="FG25" s="2688"/>
      <c r="FH25" s="2688"/>
      <c r="FI25" s="2688"/>
      <c r="FJ25" s="2688"/>
      <c r="FK25" s="2688"/>
      <c r="FL25" s="2688"/>
      <c r="FM25" s="2688"/>
      <c r="FN25" s="2688"/>
      <c r="FO25" s="2688"/>
      <c r="FP25" s="2688"/>
      <c r="FQ25" s="2688"/>
      <c r="FR25" s="2688"/>
      <c r="FS25" s="2688"/>
      <c r="FT25" s="2688"/>
      <c r="FU25" s="2688"/>
      <c r="FV25" s="2688"/>
      <c r="FW25" s="2688"/>
      <c r="FX25" s="2688"/>
      <c r="FY25" s="2688"/>
      <c r="FZ25" s="2688"/>
      <c r="GA25" s="2688"/>
      <c r="GB25" s="2688"/>
      <c r="GC25" s="2688"/>
      <c r="GD25" s="2688"/>
      <c r="GE25" s="2688"/>
      <c r="GF25" s="2688"/>
      <c r="GG25" s="2688"/>
      <c r="GH25" s="2688"/>
      <c r="GI25" s="2688"/>
      <c r="GJ25" s="2688"/>
      <c r="GK25" s="2688"/>
      <c r="GL25" s="2688"/>
      <c r="GM25" s="2688"/>
      <c r="GN25" s="2688"/>
      <c r="GO25" s="2688"/>
      <c r="GP25" s="2688"/>
      <c r="GQ25" s="2688"/>
      <c r="GR25" s="2688"/>
      <c r="GS25" s="2688"/>
      <c r="GT25" s="2688"/>
      <c r="GU25" s="2688"/>
      <c r="GV25" s="2688"/>
      <c r="GW25" s="2688"/>
      <c r="GX25" s="2688"/>
      <c r="GY25" s="2688"/>
      <c r="GZ25" s="2688"/>
      <c r="HA25" s="2688"/>
      <c r="HB25" s="2688"/>
      <c r="HC25" s="2688"/>
      <c r="HD25" s="2688"/>
      <c r="HE25" s="2688"/>
      <c r="HF25" s="2688"/>
      <c r="HG25" s="2688"/>
      <c r="HH25" s="2688">
        <v>1000</v>
      </c>
      <c r="HI25" s="2688"/>
      <c r="HJ25" s="2688"/>
      <c r="HK25" s="2688"/>
      <c r="HL25" s="2688"/>
      <c r="HM25" s="2688"/>
      <c r="HN25" s="2688"/>
      <c r="HO25" s="2688"/>
      <c r="HP25" s="2688"/>
      <c r="HQ25" s="2688"/>
      <c r="HR25" s="2688"/>
      <c r="HS25" s="2688"/>
      <c r="HT25" s="2688"/>
      <c r="HU25" s="2688"/>
      <c r="HV25" s="2688"/>
      <c r="HW25" s="2688"/>
      <c r="HX25" s="2688"/>
      <c r="HY25" s="2688"/>
      <c r="HZ25" s="2688"/>
      <c r="IA25" s="2688"/>
      <c r="IB25" s="2688"/>
      <c r="IC25" s="2688"/>
      <c r="ID25" s="2688"/>
      <c r="IE25" s="2688"/>
      <c r="IF25" s="2688"/>
      <c r="IG25" s="2688"/>
      <c r="IH25" s="2688"/>
      <c r="II25" s="2688"/>
      <c r="IJ25" s="2688"/>
      <c r="IK25" s="2688"/>
      <c r="IL25" s="2688"/>
      <c r="IM25" s="2688"/>
      <c r="IN25" s="2688"/>
      <c r="IO25" s="2688"/>
      <c r="IP25" s="3557"/>
      <c r="IQ25" s="3557"/>
      <c r="IR25" s="3557"/>
      <c r="IS25" s="3557"/>
      <c r="IT25" s="3557"/>
      <c r="IU25" s="3557"/>
      <c r="IV25" s="3557"/>
      <c r="IW25" s="3557"/>
      <c r="IX25" s="4031">
        <v>1700</v>
      </c>
      <c r="IY25" s="3557"/>
      <c r="IZ25" s="3557"/>
      <c r="JA25" s="3557"/>
      <c r="JB25" s="3557"/>
      <c r="JC25" s="3557"/>
      <c r="JD25" s="3557"/>
      <c r="JE25" s="3557"/>
      <c r="JF25" s="3557"/>
      <c r="JG25" s="4085"/>
      <c r="JH25" s="1233"/>
    </row>
    <row r="26" spans="1:268" x14ac:dyDescent="0.2">
      <c r="A26" s="1128">
        <v>26</v>
      </c>
      <c r="B26" s="1534" t="str">
        <f si="0" t="shared"/>
        <v/>
      </c>
      <c r="C26" s="1278" t="s">
        <v>3545</v>
      </c>
      <c r="D26" s="1386" t="s">
        <v>5323</v>
      </c>
      <c r="E26" s="2688"/>
      <c r="F26" s="2688"/>
      <c r="G26" s="2688"/>
      <c r="H26" s="2688"/>
      <c r="I26" s="2688"/>
      <c r="J26" s="2688"/>
      <c r="K26" s="2688"/>
      <c r="L26" s="2688"/>
      <c r="M26" s="2688"/>
      <c r="N26" s="2688"/>
      <c r="O26" s="2688"/>
      <c r="P26" s="2688"/>
      <c r="Q26" s="2688"/>
      <c r="R26" s="2688"/>
      <c r="S26" s="2688"/>
      <c r="T26" s="2688"/>
      <c r="U26" s="2688"/>
      <c r="V26" s="2688"/>
      <c r="W26" s="2688"/>
      <c r="X26" s="2688"/>
      <c r="Y26" s="2688"/>
      <c r="Z26" s="2688"/>
      <c r="AA26" s="2688"/>
      <c r="AB26" s="2688"/>
      <c r="AC26" s="2688"/>
      <c r="AD26" s="2688"/>
      <c r="AE26" s="2688"/>
      <c r="AF26" s="2688"/>
      <c r="AG26" s="2688"/>
      <c r="AH26" s="2688"/>
      <c r="AI26" s="2688"/>
      <c r="AJ26" s="2688"/>
      <c r="AK26" s="2688"/>
      <c r="AL26" s="2688"/>
      <c r="AM26" s="2688"/>
      <c r="AN26" s="2688"/>
      <c r="AO26" s="2688"/>
      <c r="AP26" s="2688"/>
      <c r="AQ26" s="2688"/>
      <c r="AR26" s="2688"/>
      <c r="AS26" s="2688"/>
      <c r="AT26" s="2688"/>
      <c r="AU26" s="2688"/>
      <c r="AV26" s="2688"/>
      <c r="AW26" s="2688"/>
      <c r="AX26" s="2688"/>
      <c r="AY26" s="2688"/>
      <c r="AZ26" s="2688"/>
      <c r="BA26" s="2688"/>
      <c r="BB26" s="2688"/>
      <c r="BC26" s="2688"/>
      <c r="BD26" s="2688"/>
      <c r="BE26" s="2688"/>
      <c r="BF26" s="2688"/>
      <c r="BG26" s="2688"/>
      <c r="BH26" s="2688"/>
      <c r="BI26" s="2688"/>
      <c r="BJ26" s="2688"/>
      <c r="BK26" s="2688"/>
      <c r="BL26" s="2688"/>
      <c r="BM26" s="2688"/>
      <c r="BN26" s="2688"/>
      <c r="BO26" s="2688"/>
      <c r="BP26" s="2688"/>
      <c r="BQ26" s="2688"/>
      <c r="BR26" s="2688"/>
      <c r="BS26" s="2688"/>
      <c r="BT26" s="2688"/>
      <c r="BU26" s="2688"/>
      <c r="BV26" s="2688"/>
      <c r="BW26" s="2688"/>
      <c r="BX26" s="2688"/>
      <c r="BY26" s="2688"/>
      <c r="BZ26" s="2688"/>
      <c r="CA26" s="2688"/>
      <c r="CB26" s="2688"/>
      <c r="CC26" s="2688"/>
      <c r="CD26" s="2688"/>
      <c r="CE26" s="2688"/>
      <c r="CF26" s="2688"/>
      <c r="CG26" s="2688"/>
      <c r="CH26" s="2688"/>
      <c r="CI26" s="2688"/>
      <c r="CJ26" s="2688"/>
      <c r="CK26" s="2688"/>
      <c r="CL26" s="2688"/>
      <c r="CM26" s="2688"/>
      <c r="CN26" s="2688"/>
      <c r="CO26" s="2688"/>
      <c r="CP26" s="2688"/>
      <c r="CQ26" s="2688"/>
      <c r="CR26" s="2688"/>
      <c r="CS26" s="2688"/>
      <c r="CT26" s="2688"/>
      <c r="CU26" s="2688"/>
      <c r="CV26" s="2688"/>
      <c r="CW26" s="2688"/>
      <c r="CX26" s="2688"/>
      <c r="CY26" s="2688"/>
      <c r="CZ26" s="2688"/>
      <c r="DA26" s="2688"/>
      <c r="DB26" s="2688"/>
      <c r="DC26" s="2688"/>
      <c r="DD26" s="2688"/>
      <c r="DE26" s="2688"/>
      <c r="DF26" s="2688"/>
      <c r="DG26" s="2688"/>
      <c r="DH26" s="2688"/>
      <c r="DI26" s="2688"/>
      <c r="DJ26" s="2688"/>
      <c r="DK26" s="2688"/>
      <c r="DL26" s="2688"/>
      <c r="DM26" s="2688"/>
      <c r="DN26" s="2688"/>
      <c r="DO26" s="2688"/>
      <c r="DP26" s="2688"/>
      <c r="DQ26" s="2688"/>
      <c r="DR26" s="2688"/>
      <c r="DS26" s="2688"/>
      <c r="DT26" s="2688">
        <v>75</v>
      </c>
      <c r="DU26" s="2688"/>
      <c r="DV26" s="2688"/>
      <c r="DW26" s="2688"/>
      <c r="DX26" s="2688"/>
      <c r="DY26" s="2688"/>
      <c r="DZ26" s="2688"/>
      <c r="EA26" s="2688"/>
      <c r="EB26" s="2688"/>
      <c r="EC26" s="2688"/>
      <c r="ED26" s="2688"/>
      <c r="EE26" s="2688"/>
      <c r="EF26" s="2688"/>
      <c r="EG26" s="2688"/>
      <c r="EH26" s="2688"/>
      <c r="EI26" s="2688"/>
      <c r="EJ26" s="2688"/>
      <c r="EK26" s="2688"/>
      <c r="EL26" s="2688"/>
      <c r="EM26" s="2688"/>
      <c r="EN26" s="2688"/>
      <c r="EO26" s="2688"/>
      <c r="EP26" s="2688"/>
      <c r="EQ26" s="2688"/>
      <c r="ER26" s="2688"/>
      <c r="ES26" s="2688"/>
      <c r="ET26" s="2688"/>
      <c r="EU26" s="2688"/>
      <c r="EV26" s="2688"/>
      <c r="EW26" s="2688"/>
      <c r="EX26" s="2688"/>
      <c r="EY26" s="2688"/>
      <c r="EZ26" s="2688"/>
      <c r="FA26" s="2688"/>
      <c r="FB26" s="2688"/>
      <c r="FC26" s="2688"/>
      <c r="FD26" s="2688"/>
      <c r="FE26" s="2688"/>
      <c r="FF26" s="2688"/>
      <c r="FG26" s="2688"/>
      <c r="FH26" s="2688"/>
      <c r="FI26" s="2688"/>
      <c r="FJ26" s="2688"/>
      <c r="FK26" s="2688"/>
      <c r="FL26" s="2688"/>
      <c r="FM26" s="2688"/>
      <c r="FN26" s="2688"/>
      <c r="FO26" s="2688"/>
      <c r="FP26" s="2688"/>
      <c r="FQ26" s="2688"/>
      <c r="FR26" s="2688"/>
      <c r="FS26" s="2688"/>
      <c r="FT26" s="2688"/>
      <c r="FU26" s="2688"/>
      <c r="FV26" s="2688"/>
      <c r="FW26" s="2688"/>
      <c r="FX26" s="2688"/>
      <c r="FY26" s="2688"/>
      <c r="FZ26" s="2688"/>
      <c r="GA26" s="2688"/>
      <c r="GB26" s="2688"/>
      <c r="GC26" s="2688"/>
      <c r="GD26" s="2688"/>
      <c r="GE26" s="2688"/>
      <c r="GF26" s="2688"/>
      <c r="GG26" s="2688"/>
      <c r="GH26" s="2688"/>
      <c r="GI26" s="2688"/>
      <c r="GJ26" s="2688"/>
      <c r="GK26" s="2688"/>
      <c r="GL26" s="2688"/>
      <c r="GM26" s="2688"/>
      <c r="GN26" s="2688"/>
      <c r="GO26" s="2688"/>
      <c r="GP26" s="2688"/>
      <c r="GQ26" s="2688"/>
      <c r="GR26" s="2688"/>
      <c r="GS26" s="2688"/>
      <c r="GT26" s="2688"/>
      <c r="GU26" s="2688"/>
      <c r="GV26" s="2688"/>
      <c r="GW26" s="2688"/>
      <c r="GX26" s="2688"/>
      <c r="GY26" s="2688"/>
      <c r="GZ26" s="2688"/>
      <c r="HA26" s="2688"/>
      <c r="HB26" s="2688"/>
      <c r="HC26" s="2688"/>
      <c r="HD26" s="2688"/>
      <c r="HE26" s="2688"/>
      <c r="HF26" s="2688"/>
      <c r="HG26" s="2688"/>
      <c r="HH26" s="2688">
        <v>100</v>
      </c>
      <c r="HI26" s="2688"/>
      <c r="HJ26" s="2688"/>
      <c r="HK26" s="2688"/>
      <c r="HL26" s="2688"/>
      <c r="HM26" s="2688"/>
      <c r="HN26" s="2688"/>
      <c r="HO26" s="2688"/>
      <c r="HP26" s="2688"/>
      <c r="HQ26" s="2688"/>
      <c r="HR26" s="2688"/>
      <c r="HS26" s="2688"/>
      <c r="HT26" s="2688"/>
      <c r="HU26" s="2688"/>
      <c r="HV26" s="2688"/>
      <c r="HW26" s="2688"/>
      <c r="HX26" s="2688"/>
      <c r="HY26" s="2688"/>
      <c r="HZ26" s="2688"/>
      <c r="IA26" s="2688"/>
      <c r="IB26" s="2688"/>
      <c r="IC26" s="2688"/>
      <c r="ID26" s="2688"/>
      <c r="IE26" s="2688"/>
      <c r="IF26" s="2688"/>
      <c r="IG26" s="2688"/>
      <c r="IH26" s="2688"/>
      <c r="II26" s="2688"/>
      <c r="IJ26" s="2688"/>
      <c r="IK26" s="2688"/>
      <c r="IL26" s="2688"/>
      <c r="IM26" s="2688"/>
      <c r="IN26" s="2688"/>
      <c r="IO26" s="2688"/>
      <c r="IP26" s="3557"/>
      <c r="IQ26" s="3557"/>
      <c r="IR26" s="3557"/>
      <c r="IS26" s="3557"/>
      <c r="IT26" s="3557"/>
      <c r="IU26" s="3557"/>
      <c r="IV26" s="3557"/>
      <c r="IW26" s="3557"/>
      <c r="IX26" s="4031"/>
      <c r="IY26" s="3557"/>
      <c r="IZ26" s="3557"/>
      <c r="JA26" s="3557"/>
      <c r="JB26" s="3557"/>
      <c r="JC26" s="3557"/>
      <c r="JD26" s="3557"/>
      <c r="JE26" s="3557"/>
      <c r="JF26" s="3557"/>
      <c r="JG26" s="4085"/>
      <c r="JH26" s="1233"/>
    </row>
    <row r="27" spans="1:268" x14ac:dyDescent="0.2">
      <c r="A27" s="1128">
        <v>27</v>
      </c>
      <c r="B27" s="1534" t="str">
        <f si="0" t="shared"/>
        <v/>
      </c>
      <c r="C27" s="1278" t="s">
        <v>3546</v>
      </c>
      <c r="D27" s="1386" t="s">
        <v>5324</v>
      </c>
      <c r="E27" s="2688"/>
      <c r="F27" s="2688"/>
      <c r="G27" s="2688"/>
      <c r="H27" s="2688"/>
      <c r="I27" s="2688"/>
      <c r="J27" s="2688"/>
      <c r="K27" s="2688"/>
      <c r="L27" s="2688"/>
      <c r="M27" s="2688"/>
      <c r="N27" s="2688"/>
      <c r="O27" s="2688"/>
      <c r="P27" s="2688"/>
      <c r="Q27" s="2688"/>
      <c r="R27" s="2688"/>
      <c r="S27" s="2688"/>
      <c r="T27" s="2688"/>
      <c r="U27" s="2688"/>
      <c r="V27" s="2688"/>
      <c r="W27" s="2688"/>
      <c r="X27" s="2688"/>
      <c r="Y27" s="2688"/>
      <c r="Z27" s="2688"/>
      <c r="AA27" s="2688"/>
      <c r="AB27" s="2688"/>
      <c r="AC27" s="2688"/>
      <c r="AD27" s="2688"/>
      <c r="AE27" s="2688"/>
      <c r="AF27" s="2688"/>
      <c r="AG27" s="2688"/>
      <c r="AH27" s="2688"/>
      <c r="AI27" s="2688"/>
      <c r="AJ27" s="2688"/>
      <c r="AK27" s="2688"/>
      <c r="AL27" s="2688"/>
      <c r="AM27" s="2688"/>
      <c r="AN27" s="2688"/>
      <c r="AO27" s="2688"/>
      <c r="AP27" s="2688"/>
      <c r="AQ27" s="2688"/>
      <c r="AR27" s="2688"/>
      <c r="AS27" s="2688"/>
      <c r="AT27" s="2688"/>
      <c r="AU27" s="2688"/>
      <c r="AV27" s="2688"/>
      <c r="AW27" s="2688"/>
      <c r="AX27" s="2688"/>
      <c r="AY27" s="2688"/>
      <c r="AZ27" s="2688"/>
      <c r="BA27" s="2688"/>
      <c r="BB27" s="2688"/>
      <c r="BC27" s="2688"/>
      <c r="BD27" s="2688"/>
      <c r="BE27" s="2688"/>
      <c r="BF27" s="2688"/>
      <c r="BG27" s="2688"/>
      <c r="BH27" s="2688"/>
      <c r="BI27" s="2688"/>
      <c r="BJ27" s="2688"/>
      <c r="BK27" s="2688"/>
      <c r="BL27" s="2688"/>
      <c r="BM27" s="2688"/>
      <c r="BN27" s="2688"/>
      <c r="BO27" s="2688"/>
      <c r="BP27" s="2688"/>
      <c r="BQ27" s="2688"/>
      <c r="BR27" s="2688"/>
      <c r="BS27" s="2688"/>
      <c r="BT27" s="2688"/>
      <c r="BU27" s="2688"/>
      <c r="BV27" s="2688"/>
      <c r="BW27" s="2688"/>
      <c r="BX27" s="2688"/>
      <c r="BY27" s="2688"/>
      <c r="BZ27" s="2688"/>
      <c r="CA27" s="2688"/>
      <c r="CB27" s="2688"/>
      <c r="CC27" s="2688"/>
      <c r="CD27" s="2688"/>
      <c r="CE27" s="2688"/>
      <c r="CF27" s="2688"/>
      <c r="CG27" s="2688"/>
      <c r="CH27" s="2688"/>
      <c r="CI27" s="2688"/>
      <c r="CJ27" s="2688"/>
      <c r="CK27" s="2688"/>
      <c r="CL27" s="2688"/>
      <c r="CM27" s="2688"/>
      <c r="CN27" s="2688"/>
      <c r="CO27" s="2688"/>
      <c r="CP27" s="2688"/>
      <c r="CQ27" s="2688"/>
      <c r="CR27" s="2688"/>
      <c r="CS27" s="2688"/>
      <c r="CT27" s="2688"/>
      <c r="CU27" s="2688"/>
      <c r="CV27" s="2688"/>
      <c r="CW27" s="2688"/>
      <c r="CX27" s="2688"/>
      <c r="CY27" s="2688"/>
      <c r="CZ27" s="2688"/>
      <c r="DA27" s="2688"/>
      <c r="DB27" s="2688"/>
      <c r="DC27" s="2688"/>
      <c r="DD27" s="2688"/>
      <c r="DE27" s="2688"/>
      <c r="DF27" s="2688"/>
      <c r="DG27" s="2688"/>
      <c r="DH27" s="2688"/>
      <c r="DI27" s="2688"/>
      <c r="DJ27" s="2688"/>
      <c r="DK27" s="2688"/>
      <c r="DL27" s="2688"/>
      <c r="DM27" s="2688"/>
      <c r="DN27" s="2688"/>
      <c r="DO27" s="2688"/>
      <c r="DP27" s="2688"/>
      <c r="DQ27" s="2688"/>
      <c r="DR27" s="2688"/>
      <c r="DS27" s="2688"/>
      <c r="DT27" s="2688"/>
      <c r="DU27" s="2688"/>
      <c r="DV27" s="2688"/>
      <c r="DW27" s="2688"/>
      <c r="DX27" s="2688"/>
      <c r="DY27" s="2688"/>
      <c r="DZ27" s="2688"/>
      <c r="EA27" s="2688"/>
      <c r="EB27" s="2688"/>
      <c r="EC27" s="2688"/>
      <c r="ED27" s="2688"/>
      <c r="EE27" s="2688"/>
      <c r="EF27" s="2688"/>
      <c r="EG27" s="2688"/>
      <c r="EH27" s="2688"/>
      <c r="EI27" s="2688"/>
      <c r="EJ27" s="2688"/>
      <c r="EK27" s="2688"/>
      <c r="EL27" s="2688"/>
      <c r="EM27" s="2688"/>
      <c r="EN27" s="2688"/>
      <c r="EO27" s="2688"/>
      <c r="EP27" s="2688"/>
      <c r="EQ27" s="2688"/>
      <c r="ER27" s="2688"/>
      <c r="ES27" s="2688"/>
      <c r="ET27" s="2688"/>
      <c r="EU27" s="2688"/>
      <c r="EV27" s="2688"/>
      <c r="EW27" s="2688"/>
      <c r="EX27" s="2688"/>
      <c r="EY27" s="2688"/>
      <c r="EZ27" s="2688"/>
      <c r="FA27" s="2688"/>
      <c r="FB27" s="2688"/>
      <c r="FC27" s="2688"/>
      <c r="FD27" s="2688"/>
      <c r="FE27" s="2688"/>
      <c r="FF27" s="2688"/>
      <c r="FG27" s="2688"/>
      <c r="FH27" s="2688"/>
      <c r="FI27" s="2688"/>
      <c r="FJ27" s="2688"/>
      <c r="FK27" s="2688"/>
      <c r="FL27" s="2688"/>
      <c r="FM27" s="2688"/>
      <c r="FN27" s="2688"/>
      <c r="FO27" s="2688"/>
      <c r="FP27" s="2688"/>
      <c r="FQ27" s="2688"/>
      <c r="FR27" s="2688"/>
      <c r="FS27" s="2688"/>
      <c r="FT27" s="2688"/>
      <c r="FU27" s="2688"/>
      <c r="FV27" s="2688"/>
      <c r="FW27" s="2688"/>
      <c r="FX27" s="2688"/>
      <c r="FY27" s="2688"/>
      <c r="FZ27" s="2688"/>
      <c r="GA27" s="2688"/>
      <c r="GB27" s="2688"/>
      <c r="GC27" s="2688"/>
      <c r="GD27" s="2688"/>
      <c r="GE27" s="2688"/>
      <c r="GF27" s="2688"/>
      <c r="GG27" s="2688"/>
      <c r="GH27" s="2688"/>
      <c r="GI27" s="2688"/>
      <c r="GJ27" s="2688"/>
      <c r="GK27" s="2688"/>
      <c r="GL27" s="2688"/>
      <c r="GM27" s="2688"/>
      <c r="GN27" s="2688"/>
      <c r="GO27" s="2688"/>
      <c r="GP27" s="2688"/>
      <c r="GQ27" s="2688"/>
      <c r="GR27" s="2688"/>
      <c r="GS27" s="2688"/>
      <c r="GT27" s="2688"/>
      <c r="GU27" s="2688"/>
      <c r="GV27" s="2688"/>
      <c r="GW27" s="2688"/>
      <c r="GX27" s="2688"/>
      <c r="GY27" s="2688"/>
      <c r="GZ27" s="2688"/>
      <c r="HA27" s="2688"/>
      <c r="HB27" s="2688"/>
      <c r="HC27" s="2688"/>
      <c r="HD27" s="2688"/>
      <c r="HE27" s="2688"/>
      <c r="HF27" s="2688"/>
      <c r="HG27" s="2688"/>
      <c r="HH27" s="2688"/>
      <c r="HI27" s="2688"/>
      <c r="HJ27" s="2688"/>
      <c r="HK27" s="2688"/>
      <c r="HL27" s="2688"/>
      <c r="HM27" s="2688"/>
      <c r="HN27" s="2688"/>
      <c r="HO27" s="2688"/>
      <c r="HP27" s="2688"/>
      <c r="HQ27" s="2688"/>
      <c r="HR27" s="2688"/>
      <c r="HS27" s="2688"/>
      <c r="HT27" s="2688"/>
      <c r="HU27" s="2688"/>
      <c r="HV27" s="2688"/>
      <c r="HW27" s="2688"/>
      <c r="HX27" s="2688"/>
      <c r="HY27" s="2688"/>
      <c r="HZ27" s="2688"/>
      <c r="IA27" s="2688"/>
      <c r="IB27" s="2688"/>
      <c r="IC27" s="2688"/>
      <c r="ID27" s="2688"/>
      <c r="IE27" s="2688"/>
      <c r="IF27" s="2688"/>
      <c r="IG27" s="2688"/>
      <c r="IH27" s="2688"/>
      <c r="II27" s="2688"/>
      <c r="IJ27" s="2688"/>
      <c r="IK27" s="2688"/>
      <c r="IL27" s="2688"/>
      <c r="IM27" s="2688"/>
      <c r="IN27" s="2688"/>
      <c r="IO27" s="2688"/>
      <c r="IP27" s="3557"/>
      <c r="IQ27" s="3557"/>
      <c r="IR27" s="3557"/>
      <c r="IS27" s="3557"/>
      <c r="IT27" s="3557"/>
      <c r="IU27" s="3557"/>
      <c r="IV27" s="3557"/>
      <c r="IW27" s="3557"/>
      <c r="IX27" s="4031"/>
      <c r="IY27" s="3557"/>
      <c r="IZ27" s="3557"/>
      <c r="JA27" s="3557"/>
      <c r="JB27" s="3557"/>
      <c r="JC27" s="3557"/>
      <c r="JD27" s="3557"/>
      <c r="JE27" s="3557"/>
      <c r="JF27" s="3557"/>
      <c r="JG27" s="4085"/>
      <c r="JH27" s="1233"/>
    </row>
    <row r="28" spans="1:268" x14ac:dyDescent="0.2">
      <c r="A28" s="1128">
        <v>28</v>
      </c>
      <c r="B28" s="1534" t="str">
        <f si="0" t="shared"/>
        <v/>
      </c>
      <c r="C28" s="1278" t="s">
        <v>135</v>
      </c>
      <c r="D28" s="1386" t="s">
        <v>5325</v>
      </c>
      <c r="E28" s="3359"/>
      <c r="F28" s="3359"/>
      <c r="G28" s="3359"/>
      <c r="H28" s="3359"/>
      <c r="I28" s="3359"/>
      <c r="J28" s="3359"/>
      <c r="K28" s="3359"/>
      <c r="L28" s="3359"/>
      <c r="M28" s="3359"/>
      <c r="N28" s="3359"/>
      <c r="O28" s="3359"/>
      <c r="P28" s="3359"/>
      <c r="Q28" s="3359"/>
      <c r="R28" s="3359"/>
      <c r="S28" s="3359"/>
      <c r="T28" s="3359"/>
      <c r="U28" s="3359"/>
      <c r="V28" s="3359"/>
      <c r="W28" s="3359"/>
      <c r="X28" s="3359"/>
      <c r="Y28" s="3359"/>
      <c r="Z28" s="3359"/>
      <c r="AA28" s="3359"/>
      <c r="AB28" s="3359"/>
      <c r="AC28" s="3359"/>
      <c r="AD28" s="3359"/>
      <c r="AE28" s="3359"/>
      <c r="AF28" s="3359"/>
      <c r="AG28" s="3359"/>
      <c r="AH28" s="3359"/>
      <c r="AI28" s="3359"/>
      <c r="AJ28" s="3359"/>
      <c r="AK28" s="3359"/>
      <c r="AL28" s="3359"/>
      <c r="AM28" s="3359"/>
      <c r="AN28" s="3359"/>
      <c r="AO28" s="3359"/>
      <c r="AP28" s="3359"/>
      <c r="AQ28" s="3359"/>
      <c r="AR28" s="3359"/>
      <c r="AS28" s="3359"/>
      <c r="AT28" s="3359"/>
      <c r="AU28" s="3359"/>
      <c r="AV28" s="3359"/>
      <c r="AW28" s="3359"/>
      <c r="AX28" s="3359"/>
      <c r="AY28" s="3359"/>
      <c r="AZ28" s="3359"/>
      <c r="BA28" s="3359"/>
      <c r="BB28" s="3359"/>
      <c r="BC28" s="3359"/>
      <c r="BD28" s="3359"/>
      <c r="BE28" s="3359"/>
      <c r="BF28" s="3359"/>
      <c r="BG28" s="3359"/>
      <c r="BH28" s="3359"/>
      <c r="BI28" s="3359"/>
      <c r="BJ28" s="3359"/>
      <c r="BK28" s="3359"/>
      <c r="BL28" s="3359"/>
      <c r="BM28" s="3359"/>
      <c r="BN28" s="3359"/>
      <c r="BO28" s="3359"/>
      <c r="BP28" s="3359"/>
      <c r="BQ28" s="3359"/>
      <c r="BR28" s="3359"/>
      <c r="BS28" s="3359"/>
      <c r="BT28" s="3359"/>
      <c r="BU28" s="3359"/>
      <c r="BV28" s="3359"/>
      <c r="BW28" s="3359"/>
      <c r="BX28" s="3359"/>
      <c r="BY28" s="3359"/>
      <c r="BZ28" s="3359"/>
      <c r="CA28" s="3359"/>
      <c r="CB28" s="3359"/>
      <c r="CC28" s="3359"/>
      <c r="CD28" s="3359"/>
      <c r="CE28" s="3359"/>
      <c r="CF28" s="3359"/>
      <c r="CG28" s="3359"/>
      <c r="CH28" s="3359"/>
      <c r="CI28" s="3359"/>
      <c r="CJ28" s="3359"/>
      <c r="CK28" s="3359"/>
      <c r="CL28" s="3359"/>
      <c r="CM28" s="3359"/>
      <c r="CN28" s="3359"/>
      <c r="CO28" s="3359"/>
      <c r="CP28" s="3359"/>
      <c r="CQ28" s="3359"/>
      <c r="CR28" s="3359"/>
      <c r="CS28" s="3359"/>
      <c r="CT28" s="3359"/>
      <c r="CU28" s="3359"/>
      <c r="CV28" s="3359"/>
      <c r="CW28" s="3359"/>
      <c r="CX28" s="3359"/>
      <c r="CY28" s="3359"/>
      <c r="CZ28" s="3359"/>
      <c r="DA28" s="3359"/>
      <c r="DB28" s="3359"/>
      <c r="DC28" s="3359"/>
      <c r="DD28" s="3359"/>
      <c r="DE28" s="3359"/>
      <c r="DF28" s="3359"/>
      <c r="DG28" s="3359"/>
      <c r="DH28" s="3359"/>
      <c r="DI28" s="3359"/>
      <c r="DJ28" s="3359"/>
      <c r="DK28" s="3359"/>
      <c r="DL28" s="3359"/>
      <c r="DM28" s="3359"/>
      <c r="DN28" s="3359"/>
      <c r="DO28" s="3359"/>
      <c r="DP28" s="3359"/>
      <c r="DQ28" s="3359"/>
      <c r="DR28" s="3359"/>
      <c r="DS28" s="3359"/>
      <c r="DT28" s="3359" t="s">
        <v>572</v>
      </c>
      <c r="DU28" s="3359"/>
      <c r="DV28" s="3359"/>
      <c r="DW28" s="3359"/>
      <c r="DX28" s="3359"/>
      <c r="DY28" s="3359"/>
      <c r="DZ28" s="3359"/>
      <c r="EA28" s="3359"/>
      <c r="EB28" s="3359"/>
      <c r="EC28" s="3359"/>
      <c r="ED28" s="3359"/>
      <c r="EE28" s="3359"/>
      <c r="EF28" s="3359"/>
      <c r="EG28" s="3359"/>
      <c r="EH28" s="3359"/>
      <c r="EI28" s="3359"/>
      <c r="EJ28" s="3359"/>
      <c r="EK28" s="3359"/>
      <c r="EL28" s="3359"/>
      <c r="EM28" s="3359"/>
      <c r="EN28" s="3359"/>
      <c r="EO28" s="3359"/>
      <c r="EP28" s="3359"/>
      <c r="EQ28" s="3359"/>
      <c r="ER28" s="3359"/>
      <c r="ES28" s="3359"/>
      <c r="ET28" s="3359"/>
      <c r="EU28" s="3359"/>
      <c r="EV28" s="3359"/>
      <c r="EW28" s="3359"/>
      <c r="EX28" s="3359"/>
      <c r="EY28" s="3359"/>
      <c r="EZ28" s="3359"/>
      <c r="FA28" s="3359"/>
      <c r="FB28" s="3359"/>
      <c r="FC28" s="3359"/>
      <c r="FD28" s="3359"/>
      <c r="FE28" s="3359"/>
      <c r="FF28" s="3359"/>
      <c r="FG28" s="3359"/>
      <c r="FH28" s="3359"/>
      <c r="FI28" s="3359"/>
      <c r="FJ28" s="3359"/>
      <c r="FK28" s="3359"/>
      <c r="FL28" s="3359"/>
      <c r="FM28" s="3359"/>
      <c r="FN28" s="3359"/>
      <c r="FO28" s="3359"/>
      <c r="FP28" s="3359"/>
      <c r="FQ28" s="3359"/>
      <c r="FR28" s="3359"/>
      <c r="FS28" s="3359"/>
      <c r="FT28" s="3359"/>
      <c r="FU28" s="3359"/>
      <c r="FV28" s="3359"/>
      <c r="FW28" s="3359"/>
      <c r="FX28" s="3359"/>
      <c r="FY28" s="3359"/>
      <c r="FZ28" s="3359"/>
      <c r="GA28" s="3359"/>
      <c r="GB28" s="3359"/>
      <c r="GC28" s="3359"/>
      <c r="GD28" s="3359"/>
      <c r="GE28" s="3359"/>
      <c r="GF28" s="3359"/>
      <c r="GG28" s="3359"/>
      <c r="GH28" s="3359"/>
      <c r="GI28" s="3359"/>
      <c r="GJ28" s="3359"/>
      <c r="GK28" s="3359"/>
      <c r="GL28" s="3359"/>
      <c r="GM28" s="3359"/>
      <c r="GN28" s="3359"/>
      <c r="GO28" s="3359"/>
      <c r="GP28" s="3359"/>
      <c r="GQ28" s="3359"/>
      <c r="GR28" s="3359"/>
      <c r="GS28" s="3359"/>
      <c r="GT28" s="3359"/>
      <c r="GU28" s="3359"/>
      <c r="GV28" s="3359"/>
      <c r="GW28" s="3359"/>
      <c r="GX28" s="3359"/>
      <c r="GY28" s="3359"/>
      <c r="GZ28" s="3359"/>
      <c r="HA28" s="3359"/>
      <c r="HB28" s="3359"/>
      <c r="HC28" s="3359"/>
      <c r="HD28" s="3359"/>
      <c r="HE28" s="3359"/>
      <c r="HF28" s="3359"/>
      <c r="HG28" s="3359"/>
      <c r="HH28" s="3359" t="s">
        <v>572</v>
      </c>
      <c r="HI28" s="3359"/>
      <c r="HJ28" s="3359"/>
      <c r="HK28" s="3359"/>
      <c r="HL28" s="3359"/>
      <c r="HM28" s="3359"/>
      <c r="HN28" s="3359"/>
      <c r="HO28" s="3359"/>
      <c r="HP28" s="3359"/>
      <c r="HQ28" s="3359"/>
      <c r="HR28" s="3359"/>
      <c r="HS28" s="3359"/>
      <c r="HT28" s="3359"/>
      <c r="HU28" s="3359"/>
      <c r="HV28" s="3359"/>
      <c r="HW28" s="3359"/>
      <c r="HX28" s="3359"/>
      <c r="HY28" s="3359"/>
      <c r="HZ28" s="3359"/>
      <c r="IA28" s="3359"/>
      <c r="IB28" s="3359"/>
      <c r="IC28" s="3359"/>
      <c r="ID28" s="3359"/>
      <c r="IE28" s="3359"/>
      <c r="IF28" s="3359"/>
      <c r="IG28" s="3359"/>
      <c r="IH28" s="3359"/>
      <c r="II28" s="3359"/>
      <c r="IJ28" s="3359"/>
      <c r="IK28" s="3359"/>
      <c r="IL28" s="3359"/>
      <c r="IM28" s="3359"/>
      <c r="IN28" s="3359"/>
      <c r="IO28" s="3359"/>
      <c r="IP28" s="2815"/>
      <c r="IQ28" s="2815"/>
      <c r="IR28" s="2815"/>
      <c r="IS28" s="2815"/>
      <c r="IT28" s="2815"/>
      <c r="IU28" s="2815"/>
      <c r="IV28" s="2815"/>
      <c r="IW28" s="2815"/>
      <c r="IX28" s="3979"/>
      <c r="IY28" s="2815"/>
      <c r="IZ28" s="2815"/>
      <c r="JA28" s="2815"/>
      <c r="JB28" s="2815"/>
      <c r="JC28" s="2815"/>
      <c r="JD28" s="2815"/>
      <c r="JE28" s="2815"/>
      <c r="JF28" s="2815"/>
      <c r="JG28" s="3348"/>
      <c r="JH28" s="1233"/>
    </row>
    <row r="29" spans="1:268" x14ac:dyDescent="0.2">
      <c r="A29" s="1128">
        <v>29</v>
      </c>
      <c r="B29" s="1534" t="str">
        <f si="0" t="shared"/>
        <v/>
      </c>
      <c r="C29" s="1278" t="s">
        <v>136</v>
      </c>
      <c r="D29" s="1386" t="s">
        <v>5326</v>
      </c>
      <c r="E29" s="2688"/>
      <c r="F29" s="2688"/>
      <c r="G29" s="2688"/>
      <c r="H29" s="2688"/>
      <c r="I29" s="2688"/>
      <c r="J29" s="2688"/>
      <c r="K29" s="2688"/>
      <c r="L29" s="2688"/>
      <c r="M29" s="2688"/>
      <c r="N29" s="2688"/>
      <c r="O29" s="2688"/>
      <c r="P29" s="2688"/>
      <c r="Q29" s="2688"/>
      <c r="R29" s="2688"/>
      <c r="S29" s="2688"/>
      <c r="T29" s="2688"/>
      <c r="U29" s="2688"/>
      <c r="V29" s="2688"/>
      <c r="W29" s="2688"/>
      <c r="X29" s="2688"/>
      <c r="Y29" s="2688"/>
      <c r="Z29" s="2688"/>
      <c r="AA29" s="2688"/>
      <c r="AB29" s="2688"/>
      <c r="AC29" s="2688"/>
      <c r="AD29" s="2688"/>
      <c r="AE29" s="2688"/>
      <c r="AF29" s="2688"/>
      <c r="AG29" s="2688"/>
      <c r="AH29" s="2688"/>
      <c r="AI29" s="2688"/>
      <c r="AJ29" s="2688"/>
      <c r="AK29" s="2688"/>
      <c r="AL29" s="2688"/>
      <c r="AM29" s="2688"/>
      <c r="AN29" s="2688"/>
      <c r="AO29" s="2688"/>
      <c r="AP29" s="2688"/>
      <c r="AQ29" s="2688"/>
      <c r="AR29" s="2688"/>
      <c r="AS29" s="2688"/>
      <c r="AT29" s="2688"/>
      <c r="AU29" s="2688"/>
      <c r="AV29" s="2688"/>
      <c r="AW29" s="2688"/>
      <c r="AX29" s="2688"/>
      <c r="AY29" s="2688"/>
      <c r="AZ29" s="2688"/>
      <c r="BA29" s="2688"/>
      <c r="BB29" s="2688"/>
      <c r="BC29" s="2688"/>
      <c r="BD29" s="2688"/>
      <c r="BE29" s="2688"/>
      <c r="BF29" s="2688"/>
      <c r="BG29" s="2688"/>
      <c r="BH29" s="2688"/>
      <c r="BI29" s="2688"/>
      <c r="BJ29" s="2688"/>
      <c r="BK29" s="2688"/>
      <c r="BL29" s="2688"/>
      <c r="BM29" s="2688"/>
      <c r="BN29" s="2688"/>
      <c r="BO29" s="2688"/>
      <c r="BP29" s="2688"/>
      <c r="BQ29" s="2688"/>
      <c r="BR29" s="2688"/>
      <c r="BS29" s="2688"/>
      <c r="BT29" s="2688"/>
      <c r="BU29" s="2688"/>
      <c r="BV29" s="2688"/>
      <c r="BW29" s="2688"/>
      <c r="BX29" s="2688"/>
      <c r="BY29" s="2688"/>
      <c r="BZ29" s="2688"/>
      <c r="CA29" s="2688"/>
      <c r="CB29" s="2688"/>
      <c r="CC29" s="2688"/>
      <c r="CD29" s="2688"/>
      <c r="CE29" s="2688"/>
      <c r="CF29" s="2688"/>
      <c r="CG29" s="2688"/>
      <c r="CH29" s="2688"/>
      <c r="CI29" s="2688"/>
      <c r="CJ29" s="2688"/>
      <c r="CK29" s="2688"/>
      <c r="CL29" s="2688"/>
      <c r="CM29" s="2688"/>
      <c r="CN29" s="2688"/>
      <c r="CO29" s="2688"/>
      <c r="CP29" s="2688"/>
      <c r="CQ29" s="2688"/>
      <c r="CR29" s="2688"/>
      <c r="CS29" s="2688"/>
      <c r="CT29" s="2688"/>
      <c r="CU29" s="2688"/>
      <c r="CV29" s="2688"/>
      <c r="CW29" s="2688"/>
      <c r="CX29" s="2688"/>
      <c r="CY29" s="2688"/>
      <c r="CZ29" s="2688"/>
      <c r="DA29" s="2688"/>
      <c r="DB29" s="2688"/>
      <c r="DC29" s="2688"/>
      <c r="DD29" s="2688"/>
      <c r="DE29" s="2688"/>
      <c r="DF29" s="2688"/>
      <c r="DG29" s="2688"/>
      <c r="DH29" s="2688"/>
      <c r="DI29" s="2688"/>
      <c r="DJ29" s="2688"/>
      <c r="DK29" s="2688"/>
      <c r="DL29" s="2688"/>
      <c r="DM29" s="2688"/>
      <c r="DN29" s="2688"/>
      <c r="DO29" s="2688"/>
      <c r="DP29" s="2688"/>
      <c r="DQ29" s="2688"/>
      <c r="DR29" s="2688"/>
      <c r="DS29" s="2688"/>
      <c r="DT29" s="3360">
        <f>IF(DT28="Y",DT25,MAX(0,DT25-DT26))</f>
        <v>500</v>
      </c>
      <c r="DU29" s="2688"/>
      <c r="DV29" s="2688"/>
      <c r="DW29" s="2688"/>
      <c r="DX29" s="2688"/>
      <c r="DY29" s="2688"/>
      <c r="DZ29" s="2688"/>
      <c r="EA29" s="2688"/>
      <c r="EB29" s="2688"/>
      <c r="EC29" s="2688"/>
      <c r="ED29" s="2688"/>
      <c r="EE29" s="2688"/>
      <c r="EF29" s="2688"/>
      <c r="EG29" s="2688"/>
      <c r="EH29" s="2688"/>
      <c r="EI29" s="2688"/>
      <c r="EJ29" s="2688"/>
      <c r="EK29" s="2688"/>
      <c r="EL29" s="2688"/>
      <c r="EM29" s="2688"/>
      <c r="EN29" s="2688"/>
      <c r="EO29" s="2688"/>
      <c r="EP29" s="2688"/>
      <c r="EQ29" s="2688"/>
      <c r="ER29" s="2688"/>
      <c r="ES29" s="2688"/>
      <c r="ET29" s="2688"/>
      <c r="EU29" s="2688"/>
      <c r="EV29" s="2688"/>
      <c r="EW29" s="2688"/>
      <c r="EX29" s="2688"/>
      <c r="EY29" s="2688"/>
      <c r="EZ29" s="2688"/>
      <c r="FA29" s="2688"/>
      <c r="FB29" s="2688"/>
      <c r="FC29" s="2688"/>
      <c r="FD29" s="2688"/>
      <c r="FE29" s="2688"/>
      <c r="FF29" s="2688"/>
      <c r="FG29" s="2688"/>
      <c r="FH29" s="2688"/>
      <c r="FI29" s="2688"/>
      <c r="FJ29" s="2688"/>
      <c r="FK29" s="2688"/>
      <c r="FL29" s="2688"/>
      <c r="FM29" s="2688"/>
      <c r="FN29" s="2688"/>
      <c r="FO29" s="2688"/>
      <c r="FP29" s="2688"/>
      <c r="FQ29" s="2688"/>
      <c r="FR29" s="2688"/>
      <c r="FS29" s="2688"/>
      <c r="FT29" s="2688"/>
      <c r="FU29" s="2688"/>
      <c r="FV29" s="2688"/>
      <c r="FW29" s="2688"/>
      <c r="FX29" s="2688"/>
      <c r="FY29" s="2688"/>
      <c r="FZ29" s="2688"/>
      <c r="GA29" s="2688"/>
      <c r="GB29" s="2688"/>
      <c r="GC29" s="2688"/>
      <c r="GD29" s="2688"/>
      <c r="GE29" s="2688"/>
      <c r="GF29" s="2688"/>
      <c r="GG29" s="2688"/>
      <c r="GH29" s="2688"/>
      <c r="GI29" s="2688"/>
      <c r="GJ29" s="2688"/>
      <c r="GK29" s="2688"/>
      <c r="GL29" s="2688"/>
      <c r="GM29" s="2688"/>
      <c r="GN29" s="2688"/>
      <c r="GO29" s="2688"/>
      <c r="GP29" s="2688"/>
      <c r="GQ29" s="2688"/>
      <c r="GR29" s="2688"/>
      <c r="GS29" s="2688"/>
      <c r="GT29" s="2688"/>
      <c r="GU29" s="2688"/>
      <c r="GV29" s="2688"/>
      <c r="GW29" s="2688"/>
      <c r="GX29" s="2688"/>
      <c r="GY29" s="2688"/>
      <c r="GZ29" s="2688"/>
      <c r="HA29" s="2688"/>
      <c r="HB29" s="2688"/>
      <c r="HC29" s="2688"/>
      <c r="HD29" s="2688"/>
      <c r="HE29" s="2688"/>
      <c r="HF29" s="2688"/>
      <c r="HG29" s="2688"/>
      <c r="HH29" s="3360">
        <f>IF(HH28="Y",HH25,MAX(0,HH25-HH26))</f>
        <v>1000</v>
      </c>
      <c r="HI29" s="2688"/>
      <c r="HJ29" s="2688"/>
      <c r="HK29" s="2688"/>
      <c r="HL29" s="2688"/>
      <c r="HM29" s="2688"/>
      <c r="HN29" s="2688"/>
      <c r="HO29" s="2688"/>
      <c r="HP29" s="2688"/>
      <c r="HQ29" s="2688"/>
      <c r="HR29" s="2688"/>
      <c r="HS29" s="2688"/>
      <c r="HT29" s="2688"/>
      <c r="HU29" s="2688"/>
      <c r="HV29" s="2688"/>
      <c r="HW29" s="2688"/>
      <c r="HX29" s="2688"/>
      <c r="HY29" s="2688"/>
      <c r="HZ29" s="2688"/>
      <c r="IA29" s="2688"/>
      <c r="IB29" s="2688"/>
      <c r="IC29" s="2688"/>
      <c r="ID29" s="2688"/>
      <c r="IE29" s="2688"/>
      <c r="IF29" s="2688"/>
      <c r="IG29" s="2688"/>
      <c r="IH29" s="2688"/>
      <c r="II29" s="2688"/>
      <c r="IJ29" s="2688"/>
      <c r="IK29" s="2688"/>
      <c r="IL29" s="2688"/>
      <c r="IM29" s="2688"/>
      <c r="IN29" s="2688"/>
      <c r="IO29" s="2688"/>
      <c r="IP29" s="3559"/>
      <c r="IQ29" s="3559"/>
      <c r="IR29" s="3559"/>
      <c r="IS29" s="3559"/>
      <c r="IT29" s="3559"/>
      <c r="IU29" s="3559"/>
      <c r="IV29" s="3559"/>
      <c r="IW29" s="3559"/>
      <c r="IX29" s="4032">
        <v>1700</v>
      </c>
      <c r="IY29" s="3559"/>
      <c r="IZ29" s="3559"/>
      <c r="JA29" s="3559"/>
      <c r="JB29" s="3559"/>
      <c r="JC29" s="3559"/>
      <c r="JD29" s="3559"/>
      <c r="JE29" s="3559"/>
      <c r="JF29" s="3559"/>
      <c r="JG29" s="4087"/>
      <c r="JH29" s="1233"/>
    </row>
    <row r="30" spans="1:268" x14ac:dyDescent="0.2">
      <c r="A30" s="1128">
        <v>30</v>
      </c>
      <c r="B30" s="1534" t="str">
        <f si="0" t="shared"/>
        <v/>
      </c>
      <c r="C30" s="1544" t="s">
        <v>4042</v>
      </c>
      <c r="D30" s="1386" t="s">
        <v>5321</v>
      </c>
      <c r="E30" s="3359"/>
      <c r="F30" s="3359"/>
      <c r="G30" s="3359"/>
      <c r="H30" s="3359"/>
      <c r="I30" s="3359"/>
      <c r="J30" s="3359"/>
      <c r="K30" s="3359"/>
      <c r="L30" s="3359"/>
      <c r="M30" s="3359"/>
      <c r="N30" s="3359"/>
      <c r="O30" s="3359"/>
      <c r="P30" s="3359"/>
      <c r="Q30" s="3359"/>
      <c r="R30" s="3359"/>
      <c r="S30" s="3359"/>
      <c r="T30" s="3359"/>
      <c r="U30" s="3359"/>
      <c r="V30" s="3359"/>
      <c r="W30" s="3359"/>
      <c r="X30" s="3359"/>
      <c r="Y30" s="3359"/>
      <c r="Z30" s="3359"/>
      <c r="AA30" s="3359"/>
      <c r="AB30" s="3359"/>
      <c r="AC30" s="3359"/>
      <c r="AD30" s="3359"/>
      <c r="AE30" s="3359"/>
      <c r="AF30" s="3359"/>
      <c r="AG30" s="3359"/>
      <c r="AH30" s="3359"/>
      <c r="AI30" s="3359"/>
      <c r="AJ30" s="3359"/>
      <c r="AK30" s="3359"/>
      <c r="AL30" s="3359"/>
      <c r="AM30" s="3359"/>
      <c r="AN30" s="3359"/>
      <c r="AO30" s="3359"/>
      <c r="AP30" s="3359"/>
      <c r="AQ30" s="3359"/>
      <c r="AR30" s="3359"/>
      <c r="AS30" s="3359"/>
      <c r="AT30" s="3359"/>
      <c r="AU30" s="3359"/>
      <c r="AV30" s="3359"/>
      <c r="AW30" s="3359"/>
      <c r="AX30" s="3359"/>
      <c r="AY30" s="3359"/>
      <c r="AZ30" s="3359"/>
      <c r="BA30" s="3359"/>
      <c r="BB30" s="3359"/>
      <c r="BC30" s="3359"/>
      <c r="BD30" s="3359"/>
      <c r="BE30" s="3359"/>
      <c r="BF30" s="3359"/>
      <c r="BG30" s="3359"/>
      <c r="BH30" s="3359"/>
      <c r="BI30" s="3359"/>
      <c r="BJ30" s="3359"/>
      <c r="BK30" s="3359"/>
      <c r="BL30" s="3359"/>
      <c r="BM30" s="3359"/>
      <c r="BN30" s="3359"/>
      <c r="BO30" s="3359"/>
      <c r="BP30" s="3359"/>
      <c r="BQ30" s="3359"/>
      <c r="BR30" s="3359"/>
      <c r="BS30" s="3359"/>
      <c r="BT30" s="3359"/>
      <c r="BU30" s="3359"/>
      <c r="BV30" s="3359"/>
      <c r="BW30" s="3359"/>
      <c r="BX30" s="3359"/>
      <c r="BY30" s="3359"/>
      <c r="BZ30" s="3359"/>
      <c r="CA30" s="3359"/>
      <c r="CB30" s="3359"/>
      <c r="CC30" s="3359"/>
      <c r="CD30" s="3359"/>
      <c r="CE30" s="3359"/>
      <c r="CF30" s="3359"/>
      <c r="CG30" s="3359"/>
      <c r="CH30" s="3359"/>
      <c r="CI30" s="3359"/>
      <c r="CJ30" s="3359"/>
      <c r="CK30" s="3359"/>
      <c r="CL30" s="3359"/>
      <c r="CM30" s="3359"/>
      <c r="CN30" s="3359"/>
      <c r="CO30" s="3359"/>
      <c r="CP30" s="3359"/>
      <c r="CQ30" s="3359"/>
      <c r="CR30" s="3359"/>
      <c r="CS30" s="3359"/>
      <c r="CT30" s="3359"/>
      <c r="CU30" s="3359"/>
      <c r="CV30" s="3359"/>
      <c r="CW30" s="3359"/>
      <c r="CX30" s="3359"/>
      <c r="CY30" s="3359"/>
      <c r="CZ30" s="3359"/>
      <c r="DA30" s="3359"/>
      <c r="DB30" s="3359"/>
      <c r="DC30" s="3359"/>
      <c r="DD30" s="3359"/>
      <c r="DE30" s="3359"/>
      <c r="DF30" s="3359"/>
      <c r="DG30" s="3359"/>
      <c r="DH30" s="3359"/>
      <c r="DI30" s="3359"/>
      <c r="DJ30" s="3359"/>
      <c r="DK30" s="3359"/>
      <c r="DL30" s="3359"/>
      <c r="DM30" s="3359"/>
      <c r="DN30" s="3359"/>
      <c r="DO30" s="3359"/>
      <c r="DP30" s="3359"/>
      <c r="DQ30" s="3359"/>
      <c r="DR30" s="3359"/>
      <c r="DS30" s="3359"/>
      <c r="DT30" s="3359" t="s">
        <v>1897</v>
      </c>
      <c r="DU30" s="3359"/>
      <c r="DV30" s="3359"/>
      <c r="DW30" s="3359"/>
      <c r="DX30" s="3359"/>
      <c r="DY30" s="3359"/>
      <c r="DZ30" s="3359"/>
      <c r="EA30" s="3359"/>
      <c r="EB30" s="3359"/>
      <c r="EC30" s="3359"/>
      <c r="ED30" s="3359"/>
      <c r="EE30" s="3359"/>
      <c r="EF30" s="3359"/>
      <c r="EG30" s="3359"/>
      <c r="EH30" s="3359"/>
      <c r="EI30" s="3359"/>
      <c r="EJ30" s="3359"/>
      <c r="EK30" s="3359"/>
      <c r="EL30" s="3359"/>
      <c r="EM30" s="3359"/>
      <c r="EN30" s="3359"/>
      <c r="EO30" s="3359"/>
      <c r="EP30" s="3359"/>
      <c r="EQ30" s="3359"/>
      <c r="ER30" s="3359"/>
      <c r="ES30" s="3359"/>
      <c r="ET30" s="3359"/>
      <c r="EU30" s="3359"/>
      <c r="EV30" s="3359"/>
      <c r="EW30" s="3359"/>
      <c r="EX30" s="3359"/>
      <c r="EY30" s="3359"/>
      <c r="EZ30" s="3359"/>
      <c r="FA30" s="3359"/>
      <c r="FB30" s="3359"/>
      <c r="FC30" s="3359"/>
      <c r="FD30" s="3359"/>
      <c r="FE30" s="3359"/>
      <c r="FF30" s="3359"/>
      <c r="FG30" s="3359"/>
      <c r="FH30" s="3359"/>
      <c r="FI30" s="3359"/>
      <c r="FJ30" s="3359"/>
      <c r="FK30" s="3359"/>
      <c r="FL30" s="3359"/>
      <c r="FM30" s="3359"/>
      <c r="FN30" s="3359"/>
      <c r="FO30" s="3359"/>
      <c r="FP30" s="3359"/>
      <c r="FQ30" s="3359"/>
      <c r="FR30" s="3359"/>
      <c r="FS30" s="3359"/>
      <c r="FT30" s="3359"/>
      <c r="FU30" s="3359"/>
      <c r="FV30" s="3359"/>
      <c r="FW30" s="3359"/>
      <c r="FX30" s="3359"/>
      <c r="FY30" s="3359"/>
      <c r="FZ30" s="3359"/>
      <c r="GA30" s="3359"/>
      <c r="GB30" s="3359"/>
      <c r="GC30" s="3359"/>
      <c r="GD30" s="3359"/>
      <c r="GE30" s="3359"/>
      <c r="GF30" s="3359"/>
      <c r="GG30" s="3359"/>
      <c r="GH30" s="3359"/>
      <c r="GI30" s="3359"/>
      <c r="GJ30" s="3359"/>
      <c r="GK30" s="3359"/>
      <c r="GL30" s="3359"/>
      <c r="GM30" s="3359"/>
      <c r="GN30" s="3359"/>
      <c r="GO30" s="3359"/>
      <c r="GP30" s="3359"/>
      <c r="GQ30" s="3359"/>
      <c r="GR30" s="3359"/>
      <c r="GS30" s="3359"/>
      <c r="GT30" s="3359"/>
      <c r="GU30" s="3359"/>
      <c r="GV30" s="3359"/>
      <c r="GW30" s="3359"/>
      <c r="GX30" s="3359"/>
      <c r="GY30" s="3359"/>
      <c r="GZ30" s="3359"/>
      <c r="HA30" s="3359"/>
      <c r="HB30" s="3359"/>
      <c r="HC30" s="3359"/>
      <c r="HD30" s="3359"/>
      <c r="HE30" s="3359"/>
      <c r="HF30" s="3359"/>
      <c r="HG30" s="3359"/>
      <c r="HH30" s="3359" t="s">
        <v>1937</v>
      </c>
      <c r="HI30" s="3359"/>
      <c r="HJ30" s="3359"/>
      <c r="HK30" s="3359"/>
      <c r="HL30" s="3359"/>
      <c r="HM30" s="3359"/>
      <c r="HN30" s="3359"/>
      <c r="HO30" s="3359"/>
      <c r="HP30" s="3359"/>
      <c r="HQ30" s="3359"/>
      <c r="HR30" s="3359"/>
      <c r="HS30" s="3359"/>
      <c r="HT30" s="3359"/>
      <c r="HU30" s="3359"/>
      <c r="HV30" s="3359"/>
      <c r="HW30" s="3359"/>
      <c r="HX30" s="3359"/>
      <c r="HY30" s="3359"/>
      <c r="HZ30" s="3359"/>
      <c r="IA30" s="3359"/>
      <c r="IB30" s="3359"/>
      <c r="IC30" s="3359"/>
      <c r="ID30" s="3359"/>
      <c r="IE30" s="3359"/>
      <c r="IF30" s="3359"/>
      <c r="IG30" s="3359"/>
      <c r="IH30" s="3359"/>
      <c r="II30" s="3359"/>
      <c r="IJ30" s="3359"/>
      <c r="IK30" s="3359"/>
      <c r="IL30" s="3359"/>
      <c r="IM30" s="3359"/>
      <c r="IN30" s="3359"/>
      <c r="IO30" s="3359"/>
      <c r="IP30" s="3562"/>
      <c r="IQ30" s="3562"/>
      <c r="IR30" s="3562"/>
      <c r="IS30" s="3562"/>
      <c r="IT30" s="3562"/>
      <c r="IU30" s="3562"/>
      <c r="IV30" s="3562"/>
      <c r="IW30" s="3562"/>
      <c r="IX30" s="3979" t="s">
        <v>1930</v>
      </c>
      <c r="IY30" s="3562"/>
      <c r="IZ30" s="3562"/>
      <c r="JA30" s="3562"/>
      <c r="JB30" s="3562"/>
      <c r="JC30" s="3562"/>
      <c r="JD30" s="3562"/>
      <c r="JE30" s="3562"/>
      <c r="JF30" s="3562"/>
      <c r="JG30" s="3777"/>
      <c r="JH30" s="1233"/>
    </row>
    <row r="31" spans="1:268" x14ac:dyDescent="0.2">
      <c r="A31" s="1128">
        <v>31</v>
      </c>
      <c r="B31" s="1534" t="str">
        <f si="0" t="shared"/>
        <v/>
      </c>
      <c r="C31" s="1544" t="s">
        <v>4043</v>
      </c>
      <c r="D31" s="1386" t="s">
        <v>5322</v>
      </c>
      <c r="E31" s="2688"/>
      <c r="F31" s="2688"/>
      <c r="G31" s="2688"/>
      <c r="H31" s="2688"/>
      <c r="I31" s="2688"/>
      <c r="J31" s="2688"/>
      <c r="K31" s="2688"/>
      <c r="L31" s="2688"/>
      <c r="M31" s="2688"/>
      <c r="N31" s="2688"/>
      <c r="O31" s="2688"/>
      <c r="P31" s="2688"/>
      <c r="Q31" s="2688"/>
      <c r="R31" s="2688"/>
      <c r="S31" s="2688"/>
      <c r="T31" s="2688"/>
      <c r="U31" s="2688"/>
      <c r="V31" s="2688"/>
      <c r="W31" s="2688"/>
      <c r="X31" s="2688"/>
      <c r="Y31" s="2688"/>
      <c r="Z31" s="2688"/>
      <c r="AA31" s="2688"/>
      <c r="AB31" s="2688"/>
      <c r="AC31" s="2688"/>
      <c r="AD31" s="2688"/>
      <c r="AE31" s="2688"/>
      <c r="AF31" s="2688"/>
      <c r="AG31" s="2688"/>
      <c r="AH31" s="2688"/>
      <c r="AI31" s="2688"/>
      <c r="AJ31" s="2688"/>
      <c r="AK31" s="2688"/>
      <c r="AL31" s="2688"/>
      <c r="AM31" s="2688"/>
      <c r="AN31" s="2688"/>
      <c r="AO31" s="2688"/>
      <c r="AP31" s="2688"/>
      <c r="AQ31" s="2688"/>
      <c r="AR31" s="2688"/>
      <c r="AS31" s="2688"/>
      <c r="AT31" s="2688"/>
      <c r="AU31" s="2688"/>
      <c r="AV31" s="2688"/>
      <c r="AW31" s="2688"/>
      <c r="AX31" s="2688"/>
      <c r="AY31" s="2688"/>
      <c r="AZ31" s="2688"/>
      <c r="BA31" s="2688"/>
      <c r="BB31" s="2688"/>
      <c r="BC31" s="2688"/>
      <c r="BD31" s="2688"/>
      <c r="BE31" s="2688"/>
      <c r="BF31" s="2688"/>
      <c r="BG31" s="2688"/>
      <c r="BH31" s="2688"/>
      <c r="BI31" s="2688"/>
      <c r="BJ31" s="2688"/>
      <c r="BK31" s="2688"/>
      <c r="BL31" s="2688"/>
      <c r="BM31" s="2688"/>
      <c r="BN31" s="2688"/>
      <c r="BO31" s="2688"/>
      <c r="BP31" s="2688"/>
      <c r="BQ31" s="2688"/>
      <c r="BR31" s="2688"/>
      <c r="BS31" s="2688"/>
      <c r="BT31" s="2688"/>
      <c r="BU31" s="2688"/>
      <c r="BV31" s="2688"/>
      <c r="BW31" s="2688"/>
      <c r="BX31" s="2688"/>
      <c r="BY31" s="2688"/>
      <c r="BZ31" s="2688"/>
      <c r="CA31" s="2688"/>
      <c r="CB31" s="2688"/>
      <c r="CC31" s="2688"/>
      <c r="CD31" s="2688"/>
      <c r="CE31" s="2688"/>
      <c r="CF31" s="2688"/>
      <c r="CG31" s="2688"/>
      <c r="CH31" s="2688"/>
      <c r="CI31" s="2688"/>
      <c r="CJ31" s="2688"/>
      <c r="CK31" s="2688"/>
      <c r="CL31" s="2688"/>
      <c r="CM31" s="2688"/>
      <c r="CN31" s="2688"/>
      <c r="CO31" s="2688"/>
      <c r="CP31" s="2688"/>
      <c r="CQ31" s="2688"/>
      <c r="CR31" s="2688"/>
      <c r="CS31" s="2688"/>
      <c r="CT31" s="2688"/>
      <c r="CU31" s="2688"/>
      <c r="CV31" s="2688"/>
      <c r="CW31" s="2688"/>
      <c r="CX31" s="2688"/>
      <c r="CY31" s="2688"/>
      <c r="CZ31" s="2688"/>
      <c r="DA31" s="2688"/>
      <c r="DB31" s="2688"/>
      <c r="DC31" s="2688"/>
      <c r="DD31" s="2688"/>
      <c r="DE31" s="2688"/>
      <c r="DF31" s="2688"/>
      <c r="DG31" s="2688"/>
      <c r="DH31" s="2688"/>
      <c r="DI31" s="2688"/>
      <c r="DJ31" s="2688"/>
      <c r="DK31" s="2688"/>
      <c r="DL31" s="2688"/>
      <c r="DM31" s="2688"/>
      <c r="DN31" s="2688"/>
      <c r="DO31" s="2688"/>
      <c r="DP31" s="2688"/>
      <c r="DQ31" s="2688"/>
      <c r="DR31" s="2688"/>
      <c r="DS31" s="2688"/>
      <c r="DT31" s="2688">
        <v>659</v>
      </c>
      <c r="DU31" s="2688"/>
      <c r="DV31" s="2688"/>
      <c r="DW31" s="2688"/>
      <c r="DX31" s="2688"/>
      <c r="DY31" s="2688"/>
      <c r="DZ31" s="2688"/>
      <c r="EA31" s="2688"/>
      <c r="EB31" s="2688"/>
      <c r="EC31" s="2688"/>
      <c r="ED31" s="2688"/>
      <c r="EE31" s="2688"/>
      <c r="EF31" s="2688"/>
      <c r="EG31" s="2688"/>
      <c r="EH31" s="2688"/>
      <c r="EI31" s="2688"/>
      <c r="EJ31" s="2688"/>
      <c r="EK31" s="2688"/>
      <c r="EL31" s="2688"/>
      <c r="EM31" s="2688"/>
      <c r="EN31" s="2688"/>
      <c r="EO31" s="2688"/>
      <c r="EP31" s="2688"/>
      <c r="EQ31" s="2688"/>
      <c r="ER31" s="2688"/>
      <c r="ES31" s="2688"/>
      <c r="ET31" s="2688"/>
      <c r="EU31" s="2688"/>
      <c r="EV31" s="2688"/>
      <c r="EW31" s="2688"/>
      <c r="EX31" s="2688"/>
      <c r="EY31" s="2688"/>
      <c r="EZ31" s="2688"/>
      <c r="FA31" s="2688"/>
      <c r="FB31" s="2688"/>
      <c r="FC31" s="2688"/>
      <c r="FD31" s="2688"/>
      <c r="FE31" s="2688"/>
      <c r="FF31" s="2688"/>
      <c r="FG31" s="2688"/>
      <c r="FH31" s="2688"/>
      <c r="FI31" s="2688"/>
      <c r="FJ31" s="2688"/>
      <c r="FK31" s="2688"/>
      <c r="FL31" s="2688"/>
      <c r="FM31" s="2688"/>
      <c r="FN31" s="2688"/>
      <c r="FO31" s="2688"/>
      <c r="FP31" s="2688"/>
      <c r="FQ31" s="2688"/>
      <c r="FR31" s="2688"/>
      <c r="FS31" s="2688"/>
      <c r="FT31" s="2688"/>
      <c r="FU31" s="2688"/>
      <c r="FV31" s="2688"/>
      <c r="FW31" s="2688"/>
      <c r="FX31" s="2688"/>
      <c r="FY31" s="2688"/>
      <c r="FZ31" s="2688"/>
      <c r="GA31" s="2688"/>
      <c r="GB31" s="2688"/>
      <c r="GC31" s="2688"/>
      <c r="GD31" s="2688"/>
      <c r="GE31" s="2688"/>
      <c r="GF31" s="2688"/>
      <c r="GG31" s="2688"/>
      <c r="GH31" s="2688"/>
      <c r="GI31" s="2688"/>
      <c r="GJ31" s="2688"/>
      <c r="GK31" s="2688"/>
      <c r="GL31" s="2688"/>
      <c r="GM31" s="2688"/>
      <c r="GN31" s="2688"/>
      <c r="GO31" s="2688"/>
      <c r="GP31" s="2688"/>
      <c r="GQ31" s="2688"/>
      <c r="GR31" s="2688"/>
      <c r="GS31" s="2688"/>
      <c r="GT31" s="2688"/>
      <c r="GU31" s="2688"/>
      <c r="GV31" s="2688"/>
      <c r="GW31" s="2688"/>
      <c r="GX31" s="2688"/>
      <c r="GY31" s="2688"/>
      <c r="GZ31" s="2688"/>
      <c r="HA31" s="2688"/>
      <c r="HB31" s="2688"/>
      <c r="HC31" s="2688"/>
      <c r="HD31" s="2688"/>
      <c r="HE31" s="2688"/>
      <c r="HF31" s="2688"/>
      <c r="HG31" s="2688"/>
      <c r="HH31" s="2688">
        <v>500</v>
      </c>
      <c r="HI31" s="2688"/>
      <c r="HJ31" s="2688"/>
      <c r="HK31" s="2688"/>
      <c r="HL31" s="2688"/>
      <c r="HM31" s="2688"/>
      <c r="HN31" s="2688"/>
      <c r="HO31" s="2688"/>
      <c r="HP31" s="2688"/>
      <c r="HQ31" s="2688"/>
      <c r="HR31" s="2688"/>
      <c r="HS31" s="2688"/>
      <c r="HT31" s="2688"/>
      <c r="HU31" s="2688"/>
      <c r="HV31" s="2688"/>
      <c r="HW31" s="2688"/>
      <c r="HX31" s="2688"/>
      <c r="HY31" s="2688"/>
      <c r="HZ31" s="2688"/>
      <c r="IA31" s="2688"/>
      <c r="IB31" s="2688"/>
      <c r="IC31" s="2688"/>
      <c r="ID31" s="2688"/>
      <c r="IE31" s="2688"/>
      <c r="IF31" s="2688"/>
      <c r="IG31" s="2688"/>
      <c r="IH31" s="2688"/>
      <c r="II31" s="2688"/>
      <c r="IJ31" s="2688"/>
      <c r="IK31" s="2688"/>
      <c r="IL31" s="2688"/>
      <c r="IM31" s="2688"/>
      <c r="IN31" s="2688"/>
      <c r="IO31" s="2688"/>
      <c r="IP31" s="3563"/>
      <c r="IQ31" s="3563"/>
      <c r="IR31" s="3563"/>
      <c r="IS31" s="3563"/>
      <c r="IT31" s="3563"/>
      <c r="IU31" s="3563"/>
      <c r="IV31" s="3563"/>
      <c r="IW31" s="3563"/>
      <c r="IX31" s="4031">
        <v>468</v>
      </c>
      <c r="IY31" s="3563"/>
      <c r="IZ31" s="3563"/>
      <c r="JA31" s="3563"/>
      <c r="JB31" s="3563"/>
      <c r="JC31" s="3563"/>
      <c r="JD31" s="3563"/>
      <c r="JE31" s="3563"/>
      <c r="JF31" s="3563"/>
      <c r="JG31" s="4090"/>
      <c r="JH31" s="1233"/>
    </row>
    <row r="32" spans="1:268" x14ac:dyDescent="0.2">
      <c r="A32" s="1128">
        <v>32</v>
      </c>
      <c r="B32" s="1534" t="str">
        <f si="0" t="shared"/>
        <v/>
      </c>
      <c r="C32" s="1544" t="s">
        <v>4044</v>
      </c>
      <c r="D32" s="1386" t="s">
        <v>5323</v>
      </c>
      <c r="E32" s="2688"/>
      <c r="F32" s="2688"/>
      <c r="G32" s="2688"/>
      <c r="H32" s="2688"/>
      <c r="I32" s="2688"/>
      <c r="J32" s="2688"/>
      <c r="K32" s="2688"/>
      <c r="L32" s="2688"/>
      <c r="M32" s="2688"/>
      <c r="N32" s="2688"/>
      <c r="O32" s="2688"/>
      <c r="P32" s="2688"/>
      <c r="Q32" s="2688"/>
      <c r="R32" s="2688"/>
      <c r="S32" s="2688"/>
      <c r="T32" s="2688"/>
      <c r="U32" s="2688"/>
      <c r="V32" s="2688"/>
      <c r="W32" s="2688"/>
      <c r="X32" s="2688"/>
      <c r="Y32" s="2688"/>
      <c r="Z32" s="2688"/>
      <c r="AA32" s="2688"/>
      <c r="AB32" s="2688"/>
      <c r="AC32" s="2688"/>
      <c r="AD32" s="2688"/>
      <c r="AE32" s="2688"/>
      <c r="AF32" s="2688"/>
      <c r="AG32" s="2688"/>
      <c r="AH32" s="2688"/>
      <c r="AI32" s="2688"/>
      <c r="AJ32" s="2688"/>
      <c r="AK32" s="2688"/>
      <c r="AL32" s="2688"/>
      <c r="AM32" s="2688"/>
      <c r="AN32" s="2688"/>
      <c r="AO32" s="2688"/>
      <c r="AP32" s="2688"/>
      <c r="AQ32" s="2688"/>
      <c r="AR32" s="2688"/>
      <c r="AS32" s="2688"/>
      <c r="AT32" s="2688"/>
      <c r="AU32" s="2688"/>
      <c r="AV32" s="2688"/>
      <c r="AW32" s="2688"/>
      <c r="AX32" s="2688"/>
      <c r="AY32" s="2688"/>
      <c r="AZ32" s="2688"/>
      <c r="BA32" s="2688"/>
      <c r="BB32" s="2688"/>
      <c r="BC32" s="2688"/>
      <c r="BD32" s="2688"/>
      <c r="BE32" s="2688"/>
      <c r="BF32" s="2688"/>
      <c r="BG32" s="2688"/>
      <c r="BH32" s="2688"/>
      <c r="BI32" s="2688"/>
      <c r="BJ32" s="2688"/>
      <c r="BK32" s="2688"/>
      <c r="BL32" s="2688"/>
      <c r="BM32" s="2688"/>
      <c r="BN32" s="2688"/>
      <c r="BO32" s="2688"/>
      <c r="BP32" s="2688"/>
      <c r="BQ32" s="2688"/>
      <c r="BR32" s="2688"/>
      <c r="BS32" s="2688"/>
      <c r="BT32" s="2688"/>
      <c r="BU32" s="2688"/>
      <c r="BV32" s="2688"/>
      <c r="BW32" s="2688"/>
      <c r="BX32" s="2688"/>
      <c r="BY32" s="2688"/>
      <c r="BZ32" s="2688"/>
      <c r="CA32" s="2688"/>
      <c r="CB32" s="2688"/>
      <c r="CC32" s="2688"/>
      <c r="CD32" s="2688"/>
      <c r="CE32" s="2688"/>
      <c r="CF32" s="2688"/>
      <c r="CG32" s="2688"/>
      <c r="CH32" s="2688"/>
      <c r="CI32" s="2688"/>
      <c r="CJ32" s="2688"/>
      <c r="CK32" s="2688"/>
      <c r="CL32" s="2688"/>
      <c r="CM32" s="2688"/>
      <c r="CN32" s="2688"/>
      <c r="CO32" s="2688"/>
      <c r="CP32" s="2688"/>
      <c r="CQ32" s="2688"/>
      <c r="CR32" s="2688"/>
      <c r="CS32" s="2688"/>
      <c r="CT32" s="2688"/>
      <c r="CU32" s="2688"/>
      <c r="CV32" s="2688"/>
      <c r="CW32" s="2688"/>
      <c r="CX32" s="2688"/>
      <c r="CY32" s="2688"/>
      <c r="CZ32" s="2688"/>
      <c r="DA32" s="2688"/>
      <c r="DB32" s="2688"/>
      <c r="DC32" s="2688"/>
      <c r="DD32" s="2688"/>
      <c r="DE32" s="2688"/>
      <c r="DF32" s="2688"/>
      <c r="DG32" s="2688"/>
      <c r="DH32" s="2688"/>
      <c r="DI32" s="2688"/>
      <c r="DJ32" s="2688"/>
      <c r="DK32" s="2688"/>
      <c r="DL32" s="2688"/>
      <c r="DM32" s="2688"/>
      <c r="DN32" s="2688"/>
      <c r="DO32" s="2688"/>
      <c r="DP32" s="2688"/>
      <c r="DQ32" s="2688"/>
      <c r="DR32" s="2688"/>
      <c r="DS32" s="2688"/>
      <c r="DT32" s="2688">
        <v>98.85</v>
      </c>
      <c r="DU32" s="2688"/>
      <c r="DV32" s="2688"/>
      <c r="DW32" s="2688"/>
      <c r="DX32" s="2688"/>
      <c r="DY32" s="2688"/>
      <c r="DZ32" s="2688"/>
      <c r="EA32" s="2688"/>
      <c r="EB32" s="2688"/>
      <c r="EC32" s="2688"/>
      <c r="ED32" s="2688"/>
      <c r="EE32" s="2688"/>
      <c r="EF32" s="2688"/>
      <c r="EG32" s="2688"/>
      <c r="EH32" s="2688"/>
      <c r="EI32" s="2688"/>
      <c r="EJ32" s="2688"/>
      <c r="EK32" s="2688"/>
      <c r="EL32" s="2688"/>
      <c r="EM32" s="2688"/>
      <c r="EN32" s="2688"/>
      <c r="EO32" s="2688"/>
      <c r="EP32" s="2688"/>
      <c r="EQ32" s="2688"/>
      <c r="ER32" s="2688"/>
      <c r="ES32" s="2688"/>
      <c r="ET32" s="2688"/>
      <c r="EU32" s="2688"/>
      <c r="EV32" s="2688"/>
      <c r="EW32" s="2688"/>
      <c r="EX32" s="2688"/>
      <c r="EY32" s="2688"/>
      <c r="EZ32" s="2688"/>
      <c r="FA32" s="2688"/>
      <c r="FB32" s="2688"/>
      <c r="FC32" s="2688"/>
      <c r="FD32" s="2688"/>
      <c r="FE32" s="2688"/>
      <c r="FF32" s="2688"/>
      <c r="FG32" s="2688"/>
      <c r="FH32" s="2688"/>
      <c r="FI32" s="2688"/>
      <c r="FJ32" s="2688"/>
      <c r="FK32" s="2688"/>
      <c r="FL32" s="2688"/>
      <c r="FM32" s="2688"/>
      <c r="FN32" s="2688"/>
      <c r="FO32" s="2688"/>
      <c r="FP32" s="2688"/>
      <c r="FQ32" s="2688"/>
      <c r="FR32" s="2688"/>
      <c r="FS32" s="2688"/>
      <c r="FT32" s="2688"/>
      <c r="FU32" s="2688"/>
      <c r="FV32" s="2688"/>
      <c r="FW32" s="2688"/>
      <c r="FX32" s="2688"/>
      <c r="FY32" s="2688"/>
      <c r="FZ32" s="2688"/>
      <c r="GA32" s="2688"/>
      <c r="GB32" s="2688"/>
      <c r="GC32" s="2688"/>
      <c r="GD32" s="2688"/>
      <c r="GE32" s="2688"/>
      <c r="GF32" s="2688"/>
      <c r="GG32" s="2688"/>
      <c r="GH32" s="2688"/>
      <c r="GI32" s="2688"/>
      <c r="GJ32" s="2688"/>
      <c r="GK32" s="2688"/>
      <c r="GL32" s="2688"/>
      <c r="GM32" s="2688"/>
      <c r="GN32" s="2688"/>
      <c r="GO32" s="2688"/>
      <c r="GP32" s="2688"/>
      <c r="GQ32" s="2688"/>
      <c r="GR32" s="2688"/>
      <c r="GS32" s="2688"/>
      <c r="GT32" s="2688"/>
      <c r="GU32" s="2688"/>
      <c r="GV32" s="2688"/>
      <c r="GW32" s="2688"/>
      <c r="GX32" s="2688"/>
      <c r="GY32" s="2688"/>
      <c r="GZ32" s="2688"/>
      <c r="HA32" s="2688"/>
      <c r="HB32" s="2688"/>
      <c r="HC32" s="2688"/>
      <c r="HD32" s="2688"/>
      <c r="HE32" s="2688"/>
      <c r="HF32" s="2688"/>
      <c r="HG32" s="2688"/>
      <c r="HH32" s="2688">
        <v>50</v>
      </c>
      <c r="HI32" s="2688"/>
      <c r="HJ32" s="2688"/>
      <c r="HK32" s="2688"/>
      <c r="HL32" s="2688"/>
      <c r="HM32" s="2688"/>
      <c r="HN32" s="2688"/>
      <c r="HO32" s="2688"/>
      <c r="HP32" s="2688"/>
      <c r="HQ32" s="2688"/>
      <c r="HR32" s="2688"/>
      <c r="HS32" s="2688"/>
      <c r="HT32" s="2688"/>
      <c r="HU32" s="2688"/>
      <c r="HV32" s="2688"/>
      <c r="HW32" s="2688"/>
      <c r="HX32" s="2688"/>
      <c r="HY32" s="2688"/>
      <c r="HZ32" s="2688"/>
      <c r="IA32" s="2688"/>
      <c r="IB32" s="2688"/>
      <c r="IC32" s="2688"/>
      <c r="ID32" s="2688"/>
      <c r="IE32" s="2688"/>
      <c r="IF32" s="2688"/>
      <c r="IG32" s="2688"/>
      <c r="IH32" s="2688"/>
      <c r="II32" s="2688"/>
      <c r="IJ32" s="2688"/>
      <c r="IK32" s="2688"/>
      <c r="IL32" s="2688"/>
      <c r="IM32" s="2688"/>
      <c r="IN32" s="2688"/>
      <c r="IO32" s="2688"/>
      <c r="IP32" s="3563"/>
      <c r="IQ32" s="3563"/>
      <c r="IR32" s="3563"/>
      <c r="IS32" s="3563"/>
      <c r="IT32" s="3563"/>
      <c r="IU32" s="3563"/>
      <c r="IV32" s="3563"/>
      <c r="IW32" s="3563"/>
      <c r="IX32" s="4031"/>
      <c r="IY32" s="3563"/>
      <c r="IZ32" s="3563"/>
      <c r="JA32" s="3563"/>
      <c r="JB32" s="3563"/>
      <c r="JC32" s="3563"/>
      <c r="JD32" s="3563"/>
      <c r="JE32" s="3563"/>
      <c r="JF32" s="3563"/>
      <c r="JG32" s="4090"/>
      <c r="JH32" s="1233"/>
    </row>
    <row r="33" spans="1:268" x14ac:dyDescent="0.2">
      <c r="A33" s="1128">
        <v>33</v>
      </c>
      <c r="B33" s="1534" t="str">
        <f si="0" t="shared"/>
        <v/>
      </c>
      <c r="C33" s="1544" t="s">
        <v>4045</v>
      </c>
      <c r="D33" s="1386" t="s">
        <v>5324</v>
      </c>
      <c r="E33" s="2688"/>
      <c r="F33" s="2688"/>
      <c r="G33" s="2688"/>
      <c r="H33" s="2688"/>
      <c r="I33" s="2688"/>
      <c r="J33" s="2688"/>
      <c r="K33" s="2688"/>
      <c r="L33" s="2688"/>
      <c r="M33" s="2688"/>
      <c r="N33" s="2688"/>
      <c r="O33" s="2688"/>
      <c r="P33" s="2688"/>
      <c r="Q33" s="2688"/>
      <c r="R33" s="2688"/>
      <c r="S33" s="2688"/>
      <c r="T33" s="2688"/>
      <c r="U33" s="2688"/>
      <c r="V33" s="2688"/>
      <c r="W33" s="2688"/>
      <c r="X33" s="2688"/>
      <c r="Y33" s="2688"/>
      <c r="Z33" s="2688"/>
      <c r="AA33" s="2688"/>
      <c r="AB33" s="2688"/>
      <c r="AC33" s="2688"/>
      <c r="AD33" s="2688"/>
      <c r="AE33" s="2688"/>
      <c r="AF33" s="2688"/>
      <c r="AG33" s="2688"/>
      <c r="AH33" s="2688"/>
      <c r="AI33" s="2688"/>
      <c r="AJ33" s="2688"/>
      <c r="AK33" s="2688"/>
      <c r="AL33" s="2688"/>
      <c r="AM33" s="2688"/>
      <c r="AN33" s="2688"/>
      <c r="AO33" s="2688"/>
      <c r="AP33" s="2688"/>
      <c r="AQ33" s="2688"/>
      <c r="AR33" s="2688"/>
      <c r="AS33" s="2688"/>
      <c r="AT33" s="2688"/>
      <c r="AU33" s="2688"/>
      <c r="AV33" s="2688"/>
      <c r="AW33" s="2688"/>
      <c r="AX33" s="2688"/>
      <c r="AY33" s="2688"/>
      <c r="AZ33" s="2688"/>
      <c r="BA33" s="2688"/>
      <c r="BB33" s="2688"/>
      <c r="BC33" s="2688"/>
      <c r="BD33" s="2688"/>
      <c r="BE33" s="2688"/>
      <c r="BF33" s="2688"/>
      <c r="BG33" s="2688"/>
      <c r="BH33" s="2688"/>
      <c r="BI33" s="2688"/>
      <c r="BJ33" s="2688"/>
      <c r="BK33" s="2688"/>
      <c r="BL33" s="2688"/>
      <c r="BM33" s="2688"/>
      <c r="BN33" s="2688"/>
      <c r="BO33" s="2688"/>
      <c r="BP33" s="2688"/>
      <c r="BQ33" s="2688"/>
      <c r="BR33" s="2688"/>
      <c r="BS33" s="2688"/>
      <c r="BT33" s="2688"/>
      <c r="BU33" s="2688"/>
      <c r="BV33" s="2688"/>
      <c r="BW33" s="2688"/>
      <c r="BX33" s="2688"/>
      <c r="BY33" s="2688"/>
      <c r="BZ33" s="2688"/>
      <c r="CA33" s="2688"/>
      <c r="CB33" s="2688"/>
      <c r="CC33" s="2688"/>
      <c r="CD33" s="2688"/>
      <c r="CE33" s="2688"/>
      <c r="CF33" s="2688"/>
      <c r="CG33" s="2688"/>
      <c r="CH33" s="2688"/>
      <c r="CI33" s="2688"/>
      <c r="CJ33" s="2688"/>
      <c r="CK33" s="2688"/>
      <c r="CL33" s="2688"/>
      <c r="CM33" s="2688"/>
      <c r="CN33" s="2688"/>
      <c r="CO33" s="2688"/>
      <c r="CP33" s="2688"/>
      <c r="CQ33" s="2688"/>
      <c r="CR33" s="2688"/>
      <c r="CS33" s="2688"/>
      <c r="CT33" s="2688"/>
      <c r="CU33" s="2688"/>
      <c r="CV33" s="2688"/>
      <c r="CW33" s="2688"/>
      <c r="CX33" s="2688"/>
      <c r="CY33" s="2688"/>
      <c r="CZ33" s="2688"/>
      <c r="DA33" s="2688"/>
      <c r="DB33" s="2688"/>
      <c r="DC33" s="2688"/>
      <c r="DD33" s="2688"/>
      <c r="DE33" s="2688"/>
      <c r="DF33" s="2688"/>
      <c r="DG33" s="2688"/>
      <c r="DH33" s="2688"/>
      <c r="DI33" s="2688"/>
      <c r="DJ33" s="2688"/>
      <c r="DK33" s="2688"/>
      <c r="DL33" s="2688"/>
      <c r="DM33" s="2688"/>
      <c r="DN33" s="2688"/>
      <c r="DO33" s="2688"/>
      <c r="DP33" s="2688"/>
      <c r="DQ33" s="2688"/>
      <c r="DR33" s="2688"/>
      <c r="DS33" s="2688"/>
      <c r="DT33" s="2688"/>
      <c r="DU33" s="2688"/>
      <c r="DV33" s="2688"/>
      <c r="DW33" s="2688"/>
      <c r="DX33" s="2688"/>
      <c r="DY33" s="2688"/>
      <c r="DZ33" s="2688"/>
      <c r="EA33" s="2688"/>
      <c r="EB33" s="2688"/>
      <c r="EC33" s="2688"/>
      <c r="ED33" s="2688"/>
      <c r="EE33" s="2688"/>
      <c r="EF33" s="2688"/>
      <c r="EG33" s="2688"/>
      <c r="EH33" s="2688"/>
      <c r="EI33" s="2688"/>
      <c r="EJ33" s="2688"/>
      <c r="EK33" s="2688"/>
      <c r="EL33" s="2688"/>
      <c r="EM33" s="2688"/>
      <c r="EN33" s="2688"/>
      <c r="EO33" s="2688"/>
      <c r="EP33" s="2688"/>
      <c r="EQ33" s="2688"/>
      <c r="ER33" s="2688"/>
      <c r="ES33" s="2688"/>
      <c r="ET33" s="2688"/>
      <c r="EU33" s="2688"/>
      <c r="EV33" s="2688"/>
      <c r="EW33" s="2688"/>
      <c r="EX33" s="2688"/>
      <c r="EY33" s="2688"/>
      <c r="EZ33" s="2688"/>
      <c r="FA33" s="2688"/>
      <c r="FB33" s="2688"/>
      <c r="FC33" s="2688"/>
      <c r="FD33" s="2688"/>
      <c r="FE33" s="2688"/>
      <c r="FF33" s="2688"/>
      <c r="FG33" s="2688"/>
      <c r="FH33" s="2688"/>
      <c r="FI33" s="2688"/>
      <c r="FJ33" s="2688"/>
      <c r="FK33" s="2688"/>
      <c r="FL33" s="2688"/>
      <c r="FM33" s="2688"/>
      <c r="FN33" s="2688"/>
      <c r="FO33" s="2688"/>
      <c r="FP33" s="2688"/>
      <c r="FQ33" s="2688"/>
      <c r="FR33" s="2688"/>
      <c r="FS33" s="2688"/>
      <c r="FT33" s="2688"/>
      <c r="FU33" s="2688"/>
      <c r="FV33" s="2688"/>
      <c r="FW33" s="2688"/>
      <c r="FX33" s="2688"/>
      <c r="FY33" s="2688"/>
      <c r="FZ33" s="2688"/>
      <c r="GA33" s="2688"/>
      <c r="GB33" s="2688"/>
      <c r="GC33" s="2688"/>
      <c r="GD33" s="2688"/>
      <c r="GE33" s="2688"/>
      <c r="GF33" s="2688"/>
      <c r="GG33" s="2688"/>
      <c r="GH33" s="2688"/>
      <c r="GI33" s="2688"/>
      <c r="GJ33" s="2688"/>
      <c r="GK33" s="2688"/>
      <c r="GL33" s="2688"/>
      <c r="GM33" s="2688"/>
      <c r="GN33" s="2688"/>
      <c r="GO33" s="2688"/>
      <c r="GP33" s="2688"/>
      <c r="GQ33" s="2688"/>
      <c r="GR33" s="2688"/>
      <c r="GS33" s="2688"/>
      <c r="GT33" s="2688"/>
      <c r="GU33" s="2688"/>
      <c r="GV33" s="2688"/>
      <c r="GW33" s="2688"/>
      <c r="GX33" s="2688"/>
      <c r="GY33" s="2688"/>
      <c r="GZ33" s="2688"/>
      <c r="HA33" s="2688"/>
      <c r="HB33" s="2688"/>
      <c r="HC33" s="2688"/>
      <c r="HD33" s="2688"/>
      <c r="HE33" s="2688"/>
      <c r="HF33" s="2688"/>
      <c r="HG33" s="2688"/>
      <c r="HH33" s="2688"/>
      <c r="HI33" s="2688"/>
      <c r="HJ33" s="2688"/>
      <c r="HK33" s="2688"/>
      <c r="HL33" s="2688"/>
      <c r="HM33" s="2688"/>
      <c r="HN33" s="2688"/>
      <c r="HO33" s="2688"/>
      <c r="HP33" s="2688"/>
      <c r="HQ33" s="2688"/>
      <c r="HR33" s="2688"/>
      <c r="HS33" s="2688"/>
      <c r="HT33" s="2688"/>
      <c r="HU33" s="2688"/>
      <c r="HV33" s="2688"/>
      <c r="HW33" s="2688"/>
      <c r="HX33" s="2688"/>
      <c r="HY33" s="2688"/>
      <c r="HZ33" s="2688"/>
      <c r="IA33" s="2688"/>
      <c r="IB33" s="2688"/>
      <c r="IC33" s="2688"/>
      <c r="ID33" s="2688"/>
      <c r="IE33" s="2688"/>
      <c r="IF33" s="2688"/>
      <c r="IG33" s="2688"/>
      <c r="IH33" s="2688"/>
      <c r="II33" s="2688"/>
      <c r="IJ33" s="2688"/>
      <c r="IK33" s="2688"/>
      <c r="IL33" s="2688"/>
      <c r="IM33" s="2688"/>
      <c r="IN33" s="2688"/>
      <c r="IO33" s="2688"/>
      <c r="IP33" s="3563"/>
      <c r="IQ33" s="3563"/>
      <c r="IR33" s="3563"/>
      <c r="IS33" s="3563"/>
      <c r="IT33" s="3563"/>
      <c r="IU33" s="3563"/>
      <c r="IV33" s="3563"/>
      <c r="IW33" s="3563"/>
      <c r="IX33" s="4031"/>
      <c r="IY33" s="3563"/>
      <c r="IZ33" s="3563"/>
      <c r="JA33" s="3563"/>
      <c r="JB33" s="3563"/>
      <c r="JC33" s="3563"/>
      <c r="JD33" s="3563"/>
      <c r="JE33" s="3563"/>
      <c r="JF33" s="3563"/>
      <c r="JG33" s="4090"/>
      <c r="JH33" s="1233"/>
    </row>
    <row r="34" spans="1:268" x14ac:dyDescent="0.2">
      <c r="A34" s="1128">
        <v>34</v>
      </c>
      <c r="B34" s="1534" t="str">
        <f si="0" t="shared"/>
        <v/>
      </c>
      <c r="C34" s="1544" t="s">
        <v>4046</v>
      </c>
      <c r="D34" s="1386" t="s">
        <v>5325</v>
      </c>
      <c r="E34" s="3359"/>
      <c r="F34" s="3359"/>
      <c r="G34" s="3359"/>
      <c r="H34" s="3359"/>
      <c r="I34" s="3359"/>
      <c r="J34" s="3359"/>
      <c r="K34" s="3359"/>
      <c r="L34" s="3359"/>
      <c r="M34" s="3359"/>
      <c r="N34" s="3359"/>
      <c r="O34" s="3359"/>
      <c r="P34" s="3359"/>
      <c r="Q34" s="3359"/>
      <c r="R34" s="3359"/>
      <c r="S34" s="3359"/>
      <c r="T34" s="3359"/>
      <c r="U34" s="3359"/>
      <c r="V34" s="3359"/>
      <c r="W34" s="3359"/>
      <c r="X34" s="3359"/>
      <c r="Y34" s="3359"/>
      <c r="Z34" s="3359"/>
      <c r="AA34" s="3359"/>
      <c r="AB34" s="3359"/>
      <c r="AC34" s="3359"/>
      <c r="AD34" s="3359"/>
      <c r="AE34" s="3359"/>
      <c r="AF34" s="3359"/>
      <c r="AG34" s="3359"/>
      <c r="AH34" s="3359"/>
      <c r="AI34" s="3359"/>
      <c r="AJ34" s="3359"/>
      <c r="AK34" s="3359"/>
      <c r="AL34" s="3359"/>
      <c r="AM34" s="3359"/>
      <c r="AN34" s="3359"/>
      <c r="AO34" s="3359"/>
      <c r="AP34" s="3359"/>
      <c r="AQ34" s="3359"/>
      <c r="AR34" s="3359"/>
      <c r="AS34" s="3359"/>
      <c r="AT34" s="3359"/>
      <c r="AU34" s="3359"/>
      <c r="AV34" s="3359"/>
      <c r="AW34" s="3359"/>
      <c r="AX34" s="3359"/>
      <c r="AY34" s="3359"/>
      <c r="AZ34" s="3359"/>
      <c r="BA34" s="3359"/>
      <c r="BB34" s="3359"/>
      <c r="BC34" s="3359"/>
      <c r="BD34" s="3359"/>
      <c r="BE34" s="3359"/>
      <c r="BF34" s="3359"/>
      <c r="BG34" s="3359"/>
      <c r="BH34" s="3359"/>
      <c r="BI34" s="3359"/>
      <c r="BJ34" s="3359"/>
      <c r="BK34" s="3359"/>
      <c r="BL34" s="3359"/>
      <c r="BM34" s="3359"/>
      <c r="BN34" s="3359"/>
      <c r="BO34" s="3359"/>
      <c r="BP34" s="3359"/>
      <c r="BQ34" s="3359"/>
      <c r="BR34" s="3359"/>
      <c r="BS34" s="3359"/>
      <c r="BT34" s="3359"/>
      <c r="BU34" s="3359"/>
      <c r="BV34" s="3359"/>
      <c r="BW34" s="3359"/>
      <c r="BX34" s="3359"/>
      <c r="BY34" s="3359"/>
      <c r="BZ34" s="3359"/>
      <c r="CA34" s="3359"/>
      <c r="CB34" s="3359"/>
      <c r="CC34" s="3359"/>
      <c r="CD34" s="3359"/>
      <c r="CE34" s="3359"/>
      <c r="CF34" s="3359"/>
      <c r="CG34" s="3359"/>
      <c r="CH34" s="3359"/>
      <c r="CI34" s="3359"/>
      <c r="CJ34" s="3359"/>
      <c r="CK34" s="3359"/>
      <c r="CL34" s="3359"/>
      <c r="CM34" s="3359"/>
      <c r="CN34" s="3359"/>
      <c r="CO34" s="3359"/>
      <c r="CP34" s="3359"/>
      <c r="CQ34" s="3359"/>
      <c r="CR34" s="3359"/>
      <c r="CS34" s="3359"/>
      <c r="CT34" s="3359"/>
      <c r="CU34" s="3359"/>
      <c r="CV34" s="3359"/>
      <c r="CW34" s="3359"/>
      <c r="CX34" s="3359"/>
      <c r="CY34" s="3359"/>
      <c r="CZ34" s="3359"/>
      <c r="DA34" s="3359"/>
      <c r="DB34" s="3359"/>
      <c r="DC34" s="3359"/>
      <c r="DD34" s="3359"/>
      <c r="DE34" s="3359"/>
      <c r="DF34" s="3359"/>
      <c r="DG34" s="3359"/>
      <c r="DH34" s="3359"/>
      <c r="DI34" s="3359"/>
      <c r="DJ34" s="3359"/>
      <c r="DK34" s="3359"/>
      <c r="DL34" s="3359"/>
      <c r="DM34" s="3359"/>
      <c r="DN34" s="3359"/>
      <c r="DO34" s="3359"/>
      <c r="DP34" s="3359"/>
      <c r="DQ34" s="3359"/>
      <c r="DR34" s="3359"/>
      <c r="DS34" s="3359"/>
      <c r="DT34" s="3359" t="s">
        <v>572</v>
      </c>
      <c r="DU34" s="3359"/>
      <c r="DV34" s="3359"/>
      <c r="DW34" s="3359"/>
      <c r="DX34" s="3359"/>
      <c r="DY34" s="3359"/>
      <c r="DZ34" s="3359"/>
      <c r="EA34" s="3359"/>
      <c r="EB34" s="3359"/>
      <c r="EC34" s="3359"/>
      <c r="ED34" s="3359"/>
      <c r="EE34" s="3359"/>
      <c r="EF34" s="3359"/>
      <c r="EG34" s="3359"/>
      <c r="EH34" s="3359"/>
      <c r="EI34" s="3359"/>
      <c r="EJ34" s="3359"/>
      <c r="EK34" s="3359"/>
      <c r="EL34" s="3359"/>
      <c r="EM34" s="3359"/>
      <c r="EN34" s="3359"/>
      <c r="EO34" s="3359"/>
      <c r="EP34" s="3359"/>
      <c r="EQ34" s="3359"/>
      <c r="ER34" s="3359"/>
      <c r="ES34" s="3359"/>
      <c r="ET34" s="3359"/>
      <c r="EU34" s="3359"/>
      <c r="EV34" s="3359"/>
      <c r="EW34" s="3359"/>
      <c r="EX34" s="3359"/>
      <c r="EY34" s="3359"/>
      <c r="EZ34" s="3359"/>
      <c r="FA34" s="3359"/>
      <c r="FB34" s="3359"/>
      <c r="FC34" s="3359"/>
      <c r="FD34" s="3359"/>
      <c r="FE34" s="3359"/>
      <c r="FF34" s="3359"/>
      <c r="FG34" s="3359"/>
      <c r="FH34" s="3359"/>
      <c r="FI34" s="3359"/>
      <c r="FJ34" s="3359"/>
      <c r="FK34" s="3359"/>
      <c r="FL34" s="3359"/>
      <c r="FM34" s="3359"/>
      <c r="FN34" s="3359"/>
      <c r="FO34" s="3359"/>
      <c r="FP34" s="3359"/>
      <c r="FQ34" s="3359"/>
      <c r="FR34" s="3359"/>
      <c r="FS34" s="3359"/>
      <c r="FT34" s="3359"/>
      <c r="FU34" s="3359"/>
      <c r="FV34" s="3359"/>
      <c r="FW34" s="3359"/>
      <c r="FX34" s="3359"/>
      <c r="FY34" s="3359"/>
      <c r="FZ34" s="3359"/>
      <c r="GA34" s="3359"/>
      <c r="GB34" s="3359"/>
      <c r="GC34" s="3359"/>
      <c r="GD34" s="3359"/>
      <c r="GE34" s="3359"/>
      <c r="GF34" s="3359"/>
      <c r="GG34" s="3359"/>
      <c r="GH34" s="3359"/>
      <c r="GI34" s="3359"/>
      <c r="GJ34" s="3359"/>
      <c r="GK34" s="3359"/>
      <c r="GL34" s="3359"/>
      <c r="GM34" s="3359"/>
      <c r="GN34" s="3359"/>
      <c r="GO34" s="3359"/>
      <c r="GP34" s="3359"/>
      <c r="GQ34" s="3359"/>
      <c r="GR34" s="3359"/>
      <c r="GS34" s="3359"/>
      <c r="GT34" s="3359"/>
      <c r="GU34" s="3359"/>
      <c r="GV34" s="3359"/>
      <c r="GW34" s="3359"/>
      <c r="GX34" s="3359"/>
      <c r="GY34" s="3359"/>
      <c r="GZ34" s="3359"/>
      <c r="HA34" s="3359"/>
      <c r="HB34" s="3359"/>
      <c r="HC34" s="3359"/>
      <c r="HD34" s="3359"/>
      <c r="HE34" s="3359"/>
      <c r="HF34" s="3359"/>
      <c r="HG34" s="3359"/>
      <c r="HH34" s="3359" t="s">
        <v>572</v>
      </c>
      <c r="HI34" s="3359"/>
      <c r="HJ34" s="3359"/>
      <c r="HK34" s="3359"/>
      <c r="HL34" s="3359"/>
      <c r="HM34" s="3359"/>
      <c r="HN34" s="3359"/>
      <c r="HO34" s="3359"/>
      <c r="HP34" s="3359"/>
      <c r="HQ34" s="3359"/>
      <c r="HR34" s="3359"/>
      <c r="HS34" s="3359"/>
      <c r="HT34" s="3359"/>
      <c r="HU34" s="3359"/>
      <c r="HV34" s="3359"/>
      <c r="HW34" s="3359"/>
      <c r="HX34" s="3359"/>
      <c r="HY34" s="3359"/>
      <c r="HZ34" s="3359"/>
      <c r="IA34" s="3359"/>
      <c r="IB34" s="3359"/>
      <c r="IC34" s="3359"/>
      <c r="ID34" s="3359"/>
      <c r="IE34" s="3359"/>
      <c r="IF34" s="3359"/>
      <c r="IG34" s="3359"/>
      <c r="IH34" s="3359"/>
      <c r="II34" s="3359"/>
      <c r="IJ34" s="3359"/>
      <c r="IK34" s="3359"/>
      <c r="IL34" s="3359"/>
      <c r="IM34" s="3359"/>
      <c r="IN34" s="3359"/>
      <c r="IO34" s="3359"/>
      <c r="IP34" s="3562"/>
      <c r="IQ34" s="3562"/>
      <c r="IR34" s="3562"/>
      <c r="IS34" s="3562"/>
      <c r="IT34" s="3562"/>
      <c r="IU34" s="3562"/>
      <c r="IV34" s="3562"/>
      <c r="IW34" s="3562"/>
      <c r="IX34" s="3979"/>
      <c r="IY34" s="3562"/>
      <c r="IZ34" s="3562"/>
      <c r="JA34" s="3562"/>
      <c r="JB34" s="3562"/>
      <c r="JC34" s="3562"/>
      <c r="JD34" s="3562"/>
      <c r="JE34" s="3562"/>
      <c r="JF34" s="3562"/>
      <c r="JG34" s="3777"/>
      <c r="JH34" s="1233"/>
    </row>
    <row r="35" spans="1:268" x14ac:dyDescent="0.2">
      <c r="A35" s="1128">
        <v>35</v>
      </c>
      <c r="B35" s="1534" t="str">
        <f si="0" t="shared"/>
        <v/>
      </c>
      <c r="C35" s="1544" t="s">
        <v>4047</v>
      </c>
      <c r="D35" s="1386" t="s">
        <v>5326</v>
      </c>
      <c r="E35" s="2688"/>
      <c r="F35" s="2688"/>
      <c r="G35" s="2688"/>
      <c r="H35" s="2688"/>
      <c r="I35" s="2688"/>
      <c r="J35" s="2688"/>
      <c r="K35" s="2688"/>
      <c r="L35" s="2688"/>
      <c r="M35" s="2688"/>
      <c r="N35" s="2688"/>
      <c r="O35" s="2688"/>
      <c r="P35" s="2688"/>
      <c r="Q35" s="2688"/>
      <c r="R35" s="2688"/>
      <c r="S35" s="2688"/>
      <c r="T35" s="2688"/>
      <c r="U35" s="2688"/>
      <c r="V35" s="2688"/>
      <c r="W35" s="2688"/>
      <c r="X35" s="2688"/>
      <c r="Y35" s="2688"/>
      <c r="Z35" s="2688"/>
      <c r="AA35" s="2688"/>
      <c r="AB35" s="2688"/>
      <c r="AC35" s="2688"/>
      <c r="AD35" s="2688"/>
      <c r="AE35" s="2688"/>
      <c r="AF35" s="2688"/>
      <c r="AG35" s="2688"/>
      <c r="AH35" s="2688"/>
      <c r="AI35" s="2688"/>
      <c r="AJ35" s="2688"/>
      <c r="AK35" s="2688"/>
      <c r="AL35" s="2688"/>
      <c r="AM35" s="2688"/>
      <c r="AN35" s="2688"/>
      <c r="AO35" s="2688"/>
      <c r="AP35" s="2688"/>
      <c r="AQ35" s="2688"/>
      <c r="AR35" s="2688"/>
      <c r="AS35" s="2688"/>
      <c r="AT35" s="2688"/>
      <c r="AU35" s="2688"/>
      <c r="AV35" s="2688"/>
      <c r="AW35" s="2688"/>
      <c r="AX35" s="2688"/>
      <c r="AY35" s="2688"/>
      <c r="AZ35" s="2688"/>
      <c r="BA35" s="2688"/>
      <c r="BB35" s="2688"/>
      <c r="BC35" s="2688"/>
      <c r="BD35" s="2688"/>
      <c r="BE35" s="2688"/>
      <c r="BF35" s="2688"/>
      <c r="BG35" s="2688"/>
      <c r="BH35" s="2688"/>
      <c r="BI35" s="2688"/>
      <c r="BJ35" s="2688"/>
      <c r="BK35" s="2688"/>
      <c r="BL35" s="2688"/>
      <c r="BM35" s="2688"/>
      <c r="BN35" s="2688"/>
      <c r="BO35" s="2688"/>
      <c r="BP35" s="2688"/>
      <c r="BQ35" s="2688"/>
      <c r="BR35" s="2688"/>
      <c r="BS35" s="2688"/>
      <c r="BT35" s="2688"/>
      <c r="BU35" s="2688"/>
      <c r="BV35" s="2688"/>
      <c r="BW35" s="2688"/>
      <c r="BX35" s="2688"/>
      <c r="BY35" s="2688"/>
      <c r="BZ35" s="2688"/>
      <c r="CA35" s="2688"/>
      <c r="CB35" s="2688"/>
      <c r="CC35" s="2688"/>
      <c r="CD35" s="2688"/>
      <c r="CE35" s="2688"/>
      <c r="CF35" s="2688"/>
      <c r="CG35" s="2688"/>
      <c r="CH35" s="2688"/>
      <c r="CI35" s="2688"/>
      <c r="CJ35" s="2688"/>
      <c r="CK35" s="2688"/>
      <c r="CL35" s="2688"/>
      <c r="CM35" s="2688"/>
      <c r="CN35" s="2688"/>
      <c r="CO35" s="2688"/>
      <c r="CP35" s="2688"/>
      <c r="CQ35" s="2688"/>
      <c r="CR35" s="2688"/>
      <c r="CS35" s="2688"/>
      <c r="CT35" s="2688"/>
      <c r="CU35" s="2688"/>
      <c r="CV35" s="2688"/>
      <c r="CW35" s="2688"/>
      <c r="CX35" s="2688"/>
      <c r="CY35" s="2688"/>
      <c r="CZ35" s="2688"/>
      <c r="DA35" s="2688"/>
      <c r="DB35" s="2688"/>
      <c r="DC35" s="2688"/>
      <c r="DD35" s="2688"/>
      <c r="DE35" s="2688"/>
      <c r="DF35" s="2688"/>
      <c r="DG35" s="2688"/>
      <c r="DH35" s="2688"/>
      <c r="DI35" s="2688"/>
      <c r="DJ35" s="2688"/>
      <c r="DK35" s="2688"/>
      <c r="DL35" s="2688"/>
      <c r="DM35" s="2688"/>
      <c r="DN35" s="2688"/>
      <c r="DO35" s="2688"/>
      <c r="DP35" s="2688"/>
      <c r="DQ35" s="2688"/>
      <c r="DR35" s="2688"/>
      <c r="DS35" s="2688"/>
      <c r="DT35" s="3360">
        <f>IF(DT34="Y",DT31,MAX(0,DT31-DT32))</f>
        <v>659</v>
      </c>
      <c r="DU35" s="2688"/>
      <c r="DV35" s="2688"/>
      <c r="DW35" s="2688"/>
      <c r="DX35" s="2688"/>
      <c r="DY35" s="2688"/>
      <c r="DZ35" s="2688"/>
      <c r="EA35" s="2688"/>
      <c r="EB35" s="2688"/>
      <c r="EC35" s="2688"/>
      <c r="ED35" s="2688"/>
      <c r="EE35" s="2688"/>
      <c r="EF35" s="2688"/>
      <c r="EG35" s="2688"/>
      <c r="EH35" s="2688"/>
      <c r="EI35" s="2688"/>
      <c r="EJ35" s="2688"/>
      <c r="EK35" s="2688"/>
      <c r="EL35" s="2688"/>
      <c r="EM35" s="2688"/>
      <c r="EN35" s="2688"/>
      <c r="EO35" s="2688"/>
      <c r="EP35" s="2688"/>
      <c r="EQ35" s="2688"/>
      <c r="ER35" s="2688"/>
      <c r="ES35" s="2688"/>
      <c r="ET35" s="2688"/>
      <c r="EU35" s="2688"/>
      <c r="EV35" s="2688"/>
      <c r="EW35" s="2688"/>
      <c r="EX35" s="2688"/>
      <c r="EY35" s="2688"/>
      <c r="EZ35" s="2688"/>
      <c r="FA35" s="2688"/>
      <c r="FB35" s="2688"/>
      <c r="FC35" s="2688"/>
      <c r="FD35" s="2688"/>
      <c r="FE35" s="2688"/>
      <c r="FF35" s="2688"/>
      <c r="FG35" s="2688"/>
      <c r="FH35" s="2688"/>
      <c r="FI35" s="2688"/>
      <c r="FJ35" s="2688"/>
      <c r="FK35" s="2688"/>
      <c r="FL35" s="2688"/>
      <c r="FM35" s="2688"/>
      <c r="FN35" s="2688"/>
      <c r="FO35" s="2688"/>
      <c r="FP35" s="2688"/>
      <c r="FQ35" s="2688"/>
      <c r="FR35" s="2688"/>
      <c r="FS35" s="2688"/>
      <c r="FT35" s="2688"/>
      <c r="FU35" s="2688"/>
      <c r="FV35" s="2688"/>
      <c r="FW35" s="2688"/>
      <c r="FX35" s="2688"/>
      <c r="FY35" s="2688"/>
      <c r="FZ35" s="2688"/>
      <c r="GA35" s="2688"/>
      <c r="GB35" s="2688"/>
      <c r="GC35" s="2688"/>
      <c r="GD35" s="2688"/>
      <c r="GE35" s="2688"/>
      <c r="GF35" s="2688"/>
      <c r="GG35" s="2688"/>
      <c r="GH35" s="2688"/>
      <c r="GI35" s="2688"/>
      <c r="GJ35" s="2688"/>
      <c r="GK35" s="2688"/>
      <c r="GL35" s="2688"/>
      <c r="GM35" s="2688"/>
      <c r="GN35" s="2688"/>
      <c r="GO35" s="2688"/>
      <c r="GP35" s="2688"/>
      <c r="GQ35" s="2688"/>
      <c r="GR35" s="2688"/>
      <c r="GS35" s="2688"/>
      <c r="GT35" s="2688"/>
      <c r="GU35" s="2688"/>
      <c r="GV35" s="2688"/>
      <c r="GW35" s="2688"/>
      <c r="GX35" s="2688"/>
      <c r="GY35" s="2688"/>
      <c r="GZ35" s="2688"/>
      <c r="HA35" s="2688"/>
      <c r="HB35" s="2688"/>
      <c r="HC35" s="2688"/>
      <c r="HD35" s="2688"/>
      <c r="HE35" s="2688"/>
      <c r="HF35" s="2688"/>
      <c r="HG35" s="2688"/>
      <c r="HH35" s="3360">
        <f>IF(HH34="Y",HH31,MAX(0,HH31-HH32))</f>
        <v>500</v>
      </c>
      <c r="HI35" s="2688"/>
      <c r="HJ35" s="2688"/>
      <c r="HK35" s="2688"/>
      <c r="HL35" s="2688"/>
      <c r="HM35" s="2688"/>
      <c r="HN35" s="2688"/>
      <c r="HO35" s="2688"/>
      <c r="HP35" s="2688"/>
      <c r="HQ35" s="2688"/>
      <c r="HR35" s="2688"/>
      <c r="HS35" s="2688"/>
      <c r="HT35" s="2688"/>
      <c r="HU35" s="2688"/>
      <c r="HV35" s="2688"/>
      <c r="HW35" s="2688"/>
      <c r="HX35" s="2688"/>
      <c r="HY35" s="2688"/>
      <c r="HZ35" s="2688"/>
      <c r="IA35" s="2688"/>
      <c r="IB35" s="2688"/>
      <c r="IC35" s="2688"/>
      <c r="ID35" s="2688"/>
      <c r="IE35" s="2688"/>
      <c r="IF35" s="2688"/>
      <c r="IG35" s="2688"/>
      <c r="IH35" s="2688"/>
      <c r="II35" s="2688"/>
      <c r="IJ35" s="2688"/>
      <c r="IK35" s="2688"/>
      <c r="IL35" s="2688"/>
      <c r="IM35" s="2688"/>
      <c r="IN35" s="2688"/>
      <c r="IO35" s="2688"/>
      <c r="IP35" s="3559"/>
      <c r="IQ35" s="3559"/>
      <c r="IR35" s="3559"/>
      <c r="IS35" s="3559"/>
      <c r="IT35" s="3559"/>
      <c r="IU35" s="3559"/>
      <c r="IV35" s="3559"/>
      <c r="IW35" s="3559"/>
      <c r="IX35" s="4032">
        <v>468</v>
      </c>
      <c r="IY35" s="3559"/>
      <c r="IZ35" s="3559"/>
      <c r="JA35" s="3559"/>
      <c r="JB35" s="3559"/>
      <c r="JC35" s="3559"/>
      <c r="JD35" s="3559"/>
      <c r="JE35" s="3559"/>
      <c r="JF35" s="3559"/>
      <c r="JG35" s="4087"/>
      <c r="JH35" s="1233"/>
    </row>
    <row r="36" spans="1:268" x14ac:dyDescent="0.2">
      <c r="A36" s="1128">
        <v>36</v>
      </c>
      <c r="B36" s="1534" t="str">
        <f si="0" t="shared"/>
        <v/>
      </c>
      <c r="C36" s="1544" t="s">
        <v>4048</v>
      </c>
      <c r="D36" s="1386" t="s">
        <v>5321</v>
      </c>
      <c r="E36" s="3359"/>
      <c r="F36" s="3359"/>
      <c r="G36" s="3359"/>
      <c r="H36" s="3359"/>
      <c r="I36" s="3359"/>
      <c r="J36" s="3359"/>
      <c r="K36" s="3359"/>
      <c r="L36" s="3359"/>
      <c r="M36" s="3359"/>
      <c r="N36" s="3359"/>
      <c r="O36" s="3359"/>
      <c r="P36" s="3359"/>
      <c r="Q36" s="3359"/>
      <c r="R36" s="3359"/>
      <c r="S36" s="3359"/>
      <c r="T36" s="3359"/>
      <c r="U36" s="3359"/>
      <c r="V36" s="3359"/>
      <c r="W36" s="3359"/>
      <c r="X36" s="3359"/>
      <c r="Y36" s="3359"/>
      <c r="Z36" s="3359"/>
      <c r="AA36" s="3359"/>
      <c r="AB36" s="3359"/>
      <c r="AC36" s="3359"/>
      <c r="AD36" s="3359"/>
      <c r="AE36" s="3359"/>
      <c r="AF36" s="3359"/>
      <c r="AG36" s="3359"/>
      <c r="AH36" s="3359"/>
      <c r="AI36" s="3359"/>
      <c r="AJ36" s="3359"/>
      <c r="AK36" s="3359"/>
      <c r="AL36" s="3359"/>
      <c r="AM36" s="3359"/>
      <c r="AN36" s="3359"/>
      <c r="AO36" s="3359"/>
      <c r="AP36" s="3359"/>
      <c r="AQ36" s="3359"/>
      <c r="AR36" s="3359"/>
      <c r="AS36" s="3359"/>
      <c r="AT36" s="3359"/>
      <c r="AU36" s="3359"/>
      <c r="AV36" s="3359"/>
      <c r="AW36" s="3359"/>
      <c r="AX36" s="3359"/>
      <c r="AY36" s="3359"/>
      <c r="AZ36" s="3359"/>
      <c r="BA36" s="3359"/>
      <c r="BB36" s="3359"/>
      <c r="BC36" s="3359"/>
      <c r="BD36" s="3359"/>
      <c r="BE36" s="3359"/>
      <c r="BF36" s="3359"/>
      <c r="BG36" s="3359"/>
      <c r="BH36" s="3359"/>
      <c r="BI36" s="3359"/>
      <c r="BJ36" s="3359"/>
      <c r="BK36" s="3359"/>
      <c r="BL36" s="3359"/>
      <c r="BM36" s="3359"/>
      <c r="BN36" s="3359"/>
      <c r="BO36" s="3359"/>
      <c r="BP36" s="3359"/>
      <c r="BQ36" s="3359"/>
      <c r="BR36" s="3359"/>
      <c r="BS36" s="3359"/>
      <c r="BT36" s="3359"/>
      <c r="BU36" s="3359"/>
      <c r="BV36" s="3359"/>
      <c r="BW36" s="3359"/>
      <c r="BX36" s="3359"/>
      <c r="BY36" s="3359"/>
      <c r="BZ36" s="3359"/>
      <c r="CA36" s="3359"/>
      <c r="CB36" s="3359"/>
      <c r="CC36" s="3359"/>
      <c r="CD36" s="3359"/>
      <c r="CE36" s="3359"/>
      <c r="CF36" s="3359"/>
      <c r="CG36" s="3359"/>
      <c r="CH36" s="3359"/>
      <c r="CI36" s="3359"/>
      <c r="CJ36" s="3359"/>
      <c r="CK36" s="3359"/>
      <c r="CL36" s="3359"/>
      <c r="CM36" s="3359"/>
      <c r="CN36" s="3359"/>
      <c r="CO36" s="3359"/>
      <c r="CP36" s="3359"/>
      <c r="CQ36" s="3359"/>
      <c r="CR36" s="3359"/>
      <c r="CS36" s="3359"/>
      <c r="CT36" s="3359"/>
      <c r="CU36" s="3359"/>
      <c r="CV36" s="3359"/>
      <c r="CW36" s="3359"/>
      <c r="CX36" s="3359"/>
      <c r="CY36" s="3359"/>
      <c r="CZ36" s="3359"/>
      <c r="DA36" s="3359"/>
      <c r="DB36" s="3359"/>
      <c r="DC36" s="3359"/>
      <c r="DD36" s="3359"/>
      <c r="DE36" s="3359"/>
      <c r="DF36" s="3359"/>
      <c r="DG36" s="3359"/>
      <c r="DH36" s="3359"/>
      <c r="DI36" s="3359"/>
      <c r="DJ36" s="3359"/>
      <c r="DK36" s="3359"/>
      <c r="DL36" s="3359"/>
      <c r="DM36" s="3359"/>
      <c r="DN36" s="3359"/>
      <c r="DO36" s="3359"/>
      <c r="DP36" s="3359"/>
      <c r="DQ36" s="3359"/>
      <c r="DR36" s="3359"/>
      <c r="DS36" s="3359"/>
      <c r="DT36" s="3359" t="s">
        <v>1937</v>
      </c>
      <c r="DU36" s="3359"/>
      <c r="DV36" s="3359"/>
      <c r="DW36" s="3359"/>
      <c r="DX36" s="3359"/>
      <c r="DY36" s="3359"/>
      <c r="DZ36" s="3359"/>
      <c r="EA36" s="3359"/>
      <c r="EB36" s="3359"/>
      <c r="EC36" s="3359"/>
      <c r="ED36" s="3359"/>
      <c r="EE36" s="3359"/>
      <c r="EF36" s="3359"/>
      <c r="EG36" s="3359"/>
      <c r="EH36" s="3359"/>
      <c r="EI36" s="3359"/>
      <c r="EJ36" s="3359"/>
      <c r="EK36" s="3359"/>
      <c r="EL36" s="3359"/>
      <c r="EM36" s="3359"/>
      <c r="EN36" s="3359"/>
      <c r="EO36" s="3359"/>
      <c r="EP36" s="3359"/>
      <c r="EQ36" s="3359"/>
      <c r="ER36" s="3359"/>
      <c r="ES36" s="3359"/>
      <c r="ET36" s="3359"/>
      <c r="EU36" s="3359"/>
      <c r="EV36" s="3359"/>
      <c r="EW36" s="3359"/>
      <c r="EX36" s="3359"/>
      <c r="EY36" s="3359"/>
      <c r="EZ36" s="3359"/>
      <c r="FA36" s="3359"/>
      <c r="FB36" s="3359"/>
      <c r="FC36" s="3359"/>
      <c r="FD36" s="3359"/>
      <c r="FE36" s="3359"/>
      <c r="FF36" s="3359"/>
      <c r="FG36" s="3359"/>
      <c r="FH36" s="3359"/>
      <c r="FI36" s="3359"/>
      <c r="FJ36" s="3359"/>
      <c r="FK36" s="3359"/>
      <c r="FL36" s="3359"/>
      <c r="FM36" s="3359"/>
      <c r="FN36" s="3359"/>
      <c r="FO36" s="3359"/>
      <c r="FP36" s="3359"/>
      <c r="FQ36" s="3359"/>
      <c r="FR36" s="3359"/>
      <c r="FS36" s="3359"/>
      <c r="FT36" s="3359"/>
      <c r="FU36" s="3359"/>
      <c r="FV36" s="3359"/>
      <c r="FW36" s="3359"/>
      <c r="FX36" s="3359"/>
      <c r="FY36" s="3359"/>
      <c r="FZ36" s="3359"/>
      <c r="GA36" s="3359"/>
      <c r="GB36" s="3359"/>
      <c r="GC36" s="3359"/>
      <c r="GD36" s="3359"/>
      <c r="GE36" s="3359"/>
      <c r="GF36" s="3359"/>
      <c r="GG36" s="3359"/>
      <c r="GH36" s="3359"/>
      <c r="GI36" s="3359"/>
      <c r="GJ36" s="3359"/>
      <c r="GK36" s="3359"/>
      <c r="GL36" s="3359"/>
      <c r="GM36" s="3359"/>
      <c r="GN36" s="3359"/>
      <c r="GO36" s="3359"/>
      <c r="GP36" s="3359"/>
      <c r="GQ36" s="3359"/>
      <c r="GR36" s="3359"/>
      <c r="GS36" s="3359"/>
      <c r="GT36" s="3359"/>
      <c r="GU36" s="3359"/>
      <c r="GV36" s="3359"/>
      <c r="GW36" s="3359"/>
      <c r="GX36" s="3359"/>
      <c r="GY36" s="3359"/>
      <c r="GZ36" s="3359"/>
      <c r="HA36" s="3359"/>
      <c r="HB36" s="3359"/>
      <c r="HC36" s="3359"/>
      <c r="HD36" s="3359"/>
      <c r="HE36" s="3359"/>
      <c r="HF36" s="3359"/>
      <c r="HG36" s="3359"/>
      <c r="HH36" s="3359"/>
      <c r="HI36" s="3359"/>
      <c r="HJ36" s="3359"/>
      <c r="HK36" s="3359"/>
      <c r="HL36" s="3359"/>
      <c r="HM36" s="3359"/>
      <c r="HN36" s="3359"/>
      <c r="HO36" s="3359"/>
      <c r="HP36" s="3359"/>
      <c r="HQ36" s="3359"/>
      <c r="HR36" s="3359"/>
      <c r="HS36" s="3359"/>
      <c r="HT36" s="3359"/>
      <c r="HU36" s="3359"/>
      <c r="HV36" s="3359"/>
      <c r="HW36" s="3359"/>
      <c r="HX36" s="3359"/>
      <c r="HY36" s="3359"/>
      <c r="HZ36" s="3359"/>
      <c r="IA36" s="3359"/>
      <c r="IB36" s="3359"/>
      <c r="IC36" s="3359" t="s">
        <v>2755</v>
      </c>
      <c r="ID36" s="3359"/>
      <c r="IE36" s="3359"/>
      <c r="IF36" s="3359"/>
      <c r="IG36" s="3359"/>
      <c r="IH36" s="3359"/>
      <c r="II36" s="3359"/>
      <c r="IJ36" s="3359"/>
      <c r="IK36" s="3359"/>
      <c r="IL36" s="3359"/>
      <c r="IM36" s="3359"/>
      <c r="IN36" s="3359"/>
      <c r="IO36" s="3359"/>
      <c r="IP36" s="3562"/>
      <c r="IQ36" s="3562"/>
      <c r="IR36" s="3562"/>
      <c r="IS36" s="3562"/>
      <c r="IT36" s="3562"/>
      <c r="IU36" s="3562"/>
      <c r="IV36" s="3562"/>
      <c r="IW36" s="3562"/>
      <c r="IX36" s="3979" t="s">
        <v>1930</v>
      </c>
      <c r="IY36" s="3562"/>
      <c r="IZ36" s="3562"/>
      <c r="JA36" s="3562"/>
      <c r="JB36" s="3562"/>
      <c r="JC36" s="3562"/>
      <c r="JD36" s="3562"/>
      <c r="JE36" s="3562"/>
      <c r="JF36" s="3562"/>
      <c r="JG36" s="3777"/>
      <c r="JH36" s="1233"/>
    </row>
    <row r="37" spans="1:268" x14ac:dyDescent="0.2">
      <c r="A37" s="1128">
        <v>37</v>
      </c>
      <c r="B37" s="1534" t="str">
        <f si="0" t="shared"/>
        <v/>
      </c>
      <c r="C37" s="1544" t="s">
        <v>4049</v>
      </c>
      <c r="D37" s="1386" t="s">
        <v>5322</v>
      </c>
      <c r="E37" s="2688"/>
      <c r="F37" s="2688"/>
      <c r="G37" s="2688"/>
      <c r="H37" s="2688"/>
      <c r="I37" s="2688"/>
      <c r="J37" s="2688"/>
      <c r="K37" s="2688"/>
      <c r="L37" s="2688"/>
      <c r="M37" s="2688"/>
      <c r="N37" s="2688"/>
      <c r="O37" s="2688"/>
      <c r="P37" s="2688"/>
      <c r="Q37" s="2688"/>
      <c r="R37" s="2688"/>
      <c r="S37" s="2688"/>
      <c r="T37" s="2688"/>
      <c r="U37" s="2688"/>
      <c r="V37" s="2688"/>
      <c r="W37" s="2688"/>
      <c r="X37" s="2688"/>
      <c r="Y37" s="2688"/>
      <c r="Z37" s="2688"/>
      <c r="AA37" s="2688"/>
      <c r="AB37" s="2688"/>
      <c r="AC37" s="2688"/>
      <c r="AD37" s="2688"/>
      <c r="AE37" s="2688"/>
      <c r="AF37" s="2688"/>
      <c r="AG37" s="2688"/>
      <c r="AH37" s="2688"/>
      <c r="AI37" s="2688"/>
      <c r="AJ37" s="2688"/>
      <c r="AK37" s="2688"/>
      <c r="AL37" s="2688"/>
      <c r="AM37" s="2688"/>
      <c r="AN37" s="2688"/>
      <c r="AO37" s="2688"/>
      <c r="AP37" s="2688"/>
      <c r="AQ37" s="2688"/>
      <c r="AR37" s="2688"/>
      <c r="AS37" s="2688"/>
      <c r="AT37" s="2688"/>
      <c r="AU37" s="2688"/>
      <c r="AV37" s="2688"/>
      <c r="AW37" s="2688"/>
      <c r="AX37" s="2688"/>
      <c r="AY37" s="2688"/>
      <c r="AZ37" s="2688"/>
      <c r="BA37" s="2688"/>
      <c r="BB37" s="2688"/>
      <c r="BC37" s="2688"/>
      <c r="BD37" s="2688"/>
      <c r="BE37" s="2688"/>
      <c r="BF37" s="2688"/>
      <c r="BG37" s="2688"/>
      <c r="BH37" s="2688"/>
      <c r="BI37" s="2688"/>
      <c r="BJ37" s="2688"/>
      <c r="BK37" s="2688"/>
      <c r="BL37" s="2688"/>
      <c r="BM37" s="2688"/>
      <c r="BN37" s="2688"/>
      <c r="BO37" s="2688"/>
      <c r="BP37" s="2688"/>
      <c r="BQ37" s="2688"/>
      <c r="BR37" s="2688"/>
      <c r="BS37" s="2688"/>
      <c r="BT37" s="2688"/>
      <c r="BU37" s="2688"/>
      <c r="BV37" s="2688"/>
      <c r="BW37" s="2688"/>
      <c r="BX37" s="2688"/>
      <c r="BY37" s="2688"/>
      <c r="BZ37" s="2688"/>
      <c r="CA37" s="2688"/>
      <c r="CB37" s="2688"/>
      <c r="CC37" s="2688"/>
      <c r="CD37" s="2688"/>
      <c r="CE37" s="2688"/>
      <c r="CF37" s="2688"/>
      <c r="CG37" s="2688"/>
      <c r="CH37" s="2688"/>
      <c r="CI37" s="2688"/>
      <c r="CJ37" s="2688"/>
      <c r="CK37" s="2688"/>
      <c r="CL37" s="2688"/>
      <c r="CM37" s="2688"/>
      <c r="CN37" s="2688"/>
      <c r="CO37" s="2688"/>
      <c r="CP37" s="2688"/>
      <c r="CQ37" s="2688"/>
      <c r="CR37" s="2688"/>
      <c r="CS37" s="2688"/>
      <c r="CT37" s="2688"/>
      <c r="CU37" s="2688"/>
      <c r="CV37" s="2688"/>
      <c r="CW37" s="2688"/>
      <c r="CX37" s="2688"/>
      <c r="CY37" s="2688"/>
      <c r="CZ37" s="2688"/>
      <c r="DA37" s="2688"/>
      <c r="DB37" s="2688"/>
      <c r="DC37" s="2688"/>
      <c r="DD37" s="2688"/>
      <c r="DE37" s="2688"/>
      <c r="DF37" s="2688"/>
      <c r="DG37" s="2688"/>
      <c r="DH37" s="2688"/>
      <c r="DI37" s="2688"/>
      <c r="DJ37" s="2688"/>
      <c r="DK37" s="2688"/>
      <c r="DL37" s="2688"/>
      <c r="DM37" s="2688"/>
      <c r="DN37" s="2688"/>
      <c r="DO37" s="2688"/>
      <c r="DP37" s="2688"/>
      <c r="DQ37" s="2688"/>
      <c r="DR37" s="2688"/>
      <c r="DS37" s="2688"/>
      <c r="DT37" s="2688">
        <v>500</v>
      </c>
      <c r="DU37" s="2688"/>
      <c r="DV37" s="2688"/>
      <c r="DW37" s="2688"/>
      <c r="DX37" s="2688"/>
      <c r="DY37" s="2688"/>
      <c r="DZ37" s="2688"/>
      <c r="EA37" s="2688"/>
      <c r="EB37" s="2688"/>
      <c r="EC37" s="2688"/>
      <c r="ED37" s="2688"/>
      <c r="EE37" s="2688"/>
      <c r="EF37" s="2688"/>
      <c r="EG37" s="2688"/>
      <c r="EH37" s="2688"/>
      <c r="EI37" s="2688"/>
      <c r="EJ37" s="2688"/>
      <c r="EK37" s="2688"/>
      <c r="EL37" s="2688"/>
      <c r="EM37" s="2688"/>
      <c r="EN37" s="2688"/>
      <c r="EO37" s="2688"/>
      <c r="EP37" s="2688"/>
      <c r="EQ37" s="2688"/>
      <c r="ER37" s="2688"/>
      <c r="ES37" s="2688"/>
      <c r="ET37" s="2688"/>
      <c r="EU37" s="2688"/>
      <c r="EV37" s="2688"/>
      <c r="EW37" s="2688"/>
      <c r="EX37" s="2688"/>
      <c r="EY37" s="2688"/>
      <c r="EZ37" s="2688"/>
      <c r="FA37" s="2688"/>
      <c r="FB37" s="2688"/>
      <c r="FC37" s="2688"/>
      <c r="FD37" s="2688"/>
      <c r="FE37" s="2688"/>
      <c r="FF37" s="2688"/>
      <c r="FG37" s="2688"/>
      <c r="FH37" s="2688"/>
      <c r="FI37" s="2688"/>
      <c r="FJ37" s="2688"/>
      <c r="FK37" s="2688"/>
      <c r="FL37" s="2688"/>
      <c r="FM37" s="2688"/>
      <c r="FN37" s="2688"/>
      <c r="FO37" s="2688"/>
      <c r="FP37" s="2688"/>
      <c r="FQ37" s="2688"/>
      <c r="FR37" s="2688"/>
      <c r="FS37" s="2688"/>
      <c r="FT37" s="2688"/>
      <c r="FU37" s="2688"/>
      <c r="FV37" s="2688"/>
      <c r="FW37" s="2688"/>
      <c r="FX37" s="2688"/>
      <c r="FY37" s="2688"/>
      <c r="FZ37" s="2688"/>
      <c r="GA37" s="2688"/>
      <c r="GB37" s="2688"/>
      <c r="GC37" s="2688"/>
      <c r="GD37" s="2688"/>
      <c r="GE37" s="2688"/>
      <c r="GF37" s="2688"/>
      <c r="GG37" s="2688"/>
      <c r="GH37" s="2688"/>
      <c r="GI37" s="2688"/>
      <c r="GJ37" s="2688"/>
      <c r="GK37" s="2688"/>
      <c r="GL37" s="2688"/>
      <c r="GM37" s="2688"/>
      <c r="GN37" s="2688"/>
      <c r="GO37" s="2688"/>
      <c r="GP37" s="2688"/>
      <c r="GQ37" s="2688"/>
      <c r="GR37" s="2688"/>
      <c r="GS37" s="2688"/>
      <c r="GT37" s="2688"/>
      <c r="GU37" s="2688"/>
      <c r="GV37" s="2688"/>
      <c r="GW37" s="2688"/>
      <c r="GX37" s="2688"/>
      <c r="GY37" s="2688"/>
      <c r="GZ37" s="2688"/>
      <c r="HA37" s="2688"/>
      <c r="HB37" s="2688"/>
      <c r="HC37" s="2688"/>
      <c r="HD37" s="2688"/>
      <c r="HE37" s="2688"/>
      <c r="HF37" s="2688"/>
      <c r="HG37" s="2688"/>
      <c r="HH37" s="2688"/>
      <c r="HI37" s="2688"/>
      <c r="HJ37" s="2688"/>
      <c r="HK37" s="2688"/>
      <c r="HL37" s="2688"/>
      <c r="HM37" s="2688"/>
      <c r="HN37" s="2688"/>
      <c r="HO37" s="2688"/>
      <c r="HP37" s="2688"/>
      <c r="HQ37" s="2688"/>
      <c r="HR37" s="2688"/>
      <c r="HS37" s="2688"/>
      <c r="HT37" s="2688"/>
      <c r="HU37" s="2688"/>
      <c r="HV37" s="2688"/>
      <c r="HW37" s="2688"/>
      <c r="HX37" s="2688"/>
      <c r="HY37" s="2688"/>
      <c r="HZ37" s="2688"/>
      <c r="IA37" s="2688"/>
      <c r="IB37" s="2688"/>
      <c r="IC37" s="2688">
        <v>14669</v>
      </c>
      <c r="ID37" s="2688"/>
      <c r="IE37" s="2688"/>
      <c r="IF37" s="2688"/>
      <c r="IG37" s="2688"/>
      <c r="IH37" s="2688"/>
      <c r="II37" s="2688"/>
      <c r="IJ37" s="2688"/>
      <c r="IK37" s="2688"/>
      <c r="IL37" s="2688"/>
      <c r="IM37" s="2688"/>
      <c r="IN37" s="2688"/>
      <c r="IO37" s="2688"/>
      <c r="IP37" s="3563"/>
      <c r="IQ37" s="3563"/>
      <c r="IR37" s="3563"/>
      <c r="IS37" s="3563"/>
      <c r="IT37" s="3563"/>
      <c r="IU37" s="3563"/>
      <c r="IV37" s="3563"/>
      <c r="IW37" s="3563"/>
      <c r="IX37" s="4031">
        <v>1</v>
      </c>
      <c r="IY37" s="3563"/>
      <c r="IZ37" s="3563"/>
      <c r="JA37" s="3563"/>
      <c r="JB37" s="3563"/>
      <c r="JC37" s="3563"/>
      <c r="JD37" s="3563"/>
      <c r="JE37" s="3563"/>
      <c r="JF37" s="3563"/>
      <c r="JG37" s="4090"/>
      <c r="JH37" s="1233"/>
    </row>
    <row r="38" spans="1:268" x14ac:dyDescent="0.2">
      <c r="A38" s="1128">
        <v>38</v>
      </c>
      <c r="B38" s="1534" t="str">
        <f si="0" t="shared"/>
        <v/>
      </c>
      <c r="C38" s="1544" t="s">
        <v>4050</v>
      </c>
      <c r="D38" s="1386" t="s">
        <v>5323</v>
      </c>
      <c r="E38" s="2688"/>
      <c r="F38" s="2688"/>
      <c r="G38" s="2688"/>
      <c r="H38" s="2688"/>
      <c r="I38" s="2688"/>
      <c r="J38" s="2688"/>
      <c r="K38" s="2688"/>
      <c r="L38" s="2688"/>
      <c r="M38" s="2688"/>
      <c r="N38" s="2688"/>
      <c r="O38" s="2688"/>
      <c r="P38" s="2688"/>
      <c r="Q38" s="2688"/>
      <c r="R38" s="2688"/>
      <c r="S38" s="2688"/>
      <c r="T38" s="2688"/>
      <c r="U38" s="2688"/>
      <c r="V38" s="2688"/>
      <c r="W38" s="2688"/>
      <c r="X38" s="2688"/>
      <c r="Y38" s="2688"/>
      <c r="Z38" s="2688"/>
      <c r="AA38" s="2688"/>
      <c r="AB38" s="2688"/>
      <c r="AC38" s="2688"/>
      <c r="AD38" s="2688"/>
      <c r="AE38" s="2688"/>
      <c r="AF38" s="2688"/>
      <c r="AG38" s="2688"/>
      <c r="AH38" s="2688"/>
      <c r="AI38" s="2688"/>
      <c r="AJ38" s="2688"/>
      <c r="AK38" s="2688"/>
      <c r="AL38" s="2688"/>
      <c r="AM38" s="2688"/>
      <c r="AN38" s="2688"/>
      <c r="AO38" s="2688"/>
      <c r="AP38" s="2688"/>
      <c r="AQ38" s="2688"/>
      <c r="AR38" s="2688"/>
      <c r="AS38" s="2688"/>
      <c r="AT38" s="2688"/>
      <c r="AU38" s="2688"/>
      <c r="AV38" s="2688"/>
      <c r="AW38" s="2688"/>
      <c r="AX38" s="2688"/>
      <c r="AY38" s="2688"/>
      <c r="AZ38" s="2688"/>
      <c r="BA38" s="2688"/>
      <c r="BB38" s="2688"/>
      <c r="BC38" s="2688"/>
      <c r="BD38" s="2688"/>
      <c r="BE38" s="2688"/>
      <c r="BF38" s="2688"/>
      <c r="BG38" s="2688"/>
      <c r="BH38" s="2688"/>
      <c r="BI38" s="2688"/>
      <c r="BJ38" s="2688"/>
      <c r="BK38" s="2688"/>
      <c r="BL38" s="2688"/>
      <c r="BM38" s="2688"/>
      <c r="BN38" s="2688"/>
      <c r="BO38" s="2688"/>
      <c r="BP38" s="2688"/>
      <c r="BQ38" s="2688"/>
      <c r="BR38" s="2688"/>
      <c r="BS38" s="2688"/>
      <c r="BT38" s="2688"/>
      <c r="BU38" s="2688"/>
      <c r="BV38" s="2688"/>
      <c r="BW38" s="2688"/>
      <c r="BX38" s="2688"/>
      <c r="BY38" s="2688"/>
      <c r="BZ38" s="2688"/>
      <c r="CA38" s="2688"/>
      <c r="CB38" s="2688"/>
      <c r="CC38" s="2688"/>
      <c r="CD38" s="2688"/>
      <c r="CE38" s="2688"/>
      <c r="CF38" s="2688"/>
      <c r="CG38" s="2688"/>
      <c r="CH38" s="2688"/>
      <c r="CI38" s="2688"/>
      <c r="CJ38" s="2688"/>
      <c r="CK38" s="2688"/>
      <c r="CL38" s="2688"/>
      <c r="CM38" s="2688"/>
      <c r="CN38" s="2688"/>
      <c r="CO38" s="2688"/>
      <c r="CP38" s="2688"/>
      <c r="CQ38" s="2688"/>
      <c r="CR38" s="2688"/>
      <c r="CS38" s="2688"/>
      <c r="CT38" s="2688"/>
      <c r="CU38" s="2688"/>
      <c r="CV38" s="2688"/>
      <c r="CW38" s="2688"/>
      <c r="CX38" s="2688"/>
      <c r="CY38" s="2688"/>
      <c r="CZ38" s="2688"/>
      <c r="DA38" s="2688"/>
      <c r="DB38" s="2688"/>
      <c r="DC38" s="2688"/>
      <c r="DD38" s="2688"/>
      <c r="DE38" s="2688"/>
      <c r="DF38" s="2688"/>
      <c r="DG38" s="2688"/>
      <c r="DH38" s="2688"/>
      <c r="DI38" s="2688"/>
      <c r="DJ38" s="2688"/>
      <c r="DK38" s="2688"/>
      <c r="DL38" s="2688"/>
      <c r="DM38" s="2688"/>
      <c r="DN38" s="2688"/>
      <c r="DO38" s="2688"/>
      <c r="DP38" s="2688"/>
      <c r="DQ38" s="2688"/>
      <c r="DR38" s="2688"/>
      <c r="DS38" s="2688"/>
      <c r="DT38" s="2688">
        <v>50</v>
      </c>
      <c r="DU38" s="2688"/>
      <c r="DV38" s="2688"/>
      <c r="DW38" s="2688"/>
      <c r="DX38" s="2688"/>
      <c r="DY38" s="2688"/>
      <c r="DZ38" s="2688"/>
      <c r="EA38" s="2688"/>
      <c r="EB38" s="2688"/>
      <c r="EC38" s="2688"/>
      <c r="ED38" s="2688"/>
      <c r="EE38" s="2688"/>
      <c r="EF38" s="2688"/>
      <c r="EG38" s="2688"/>
      <c r="EH38" s="2688"/>
      <c r="EI38" s="2688"/>
      <c r="EJ38" s="2688"/>
      <c r="EK38" s="2688"/>
      <c r="EL38" s="2688"/>
      <c r="EM38" s="2688"/>
      <c r="EN38" s="2688"/>
      <c r="EO38" s="2688"/>
      <c r="EP38" s="2688"/>
      <c r="EQ38" s="2688"/>
      <c r="ER38" s="2688"/>
      <c r="ES38" s="2688"/>
      <c r="ET38" s="2688"/>
      <c r="EU38" s="2688"/>
      <c r="EV38" s="2688"/>
      <c r="EW38" s="2688"/>
      <c r="EX38" s="2688"/>
      <c r="EY38" s="2688"/>
      <c r="EZ38" s="2688"/>
      <c r="FA38" s="2688"/>
      <c r="FB38" s="2688"/>
      <c r="FC38" s="2688"/>
      <c r="FD38" s="2688"/>
      <c r="FE38" s="2688"/>
      <c r="FF38" s="2688"/>
      <c r="FG38" s="2688"/>
      <c r="FH38" s="2688"/>
      <c r="FI38" s="2688"/>
      <c r="FJ38" s="2688"/>
      <c r="FK38" s="2688"/>
      <c r="FL38" s="2688"/>
      <c r="FM38" s="2688"/>
      <c r="FN38" s="2688"/>
      <c r="FO38" s="2688"/>
      <c r="FP38" s="2688"/>
      <c r="FQ38" s="2688"/>
      <c r="FR38" s="2688"/>
      <c r="FS38" s="2688"/>
      <c r="FT38" s="2688"/>
      <c r="FU38" s="2688"/>
      <c r="FV38" s="2688"/>
      <c r="FW38" s="2688"/>
      <c r="FX38" s="2688"/>
      <c r="FY38" s="2688"/>
      <c r="FZ38" s="2688"/>
      <c r="GA38" s="2688"/>
      <c r="GB38" s="2688"/>
      <c r="GC38" s="2688"/>
      <c r="GD38" s="2688"/>
      <c r="GE38" s="2688"/>
      <c r="GF38" s="2688"/>
      <c r="GG38" s="2688"/>
      <c r="GH38" s="2688"/>
      <c r="GI38" s="2688"/>
      <c r="GJ38" s="2688"/>
      <c r="GK38" s="2688"/>
      <c r="GL38" s="2688"/>
      <c r="GM38" s="2688"/>
      <c r="GN38" s="2688"/>
      <c r="GO38" s="2688"/>
      <c r="GP38" s="2688"/>
      <c r="GQ38" s="2688"/>
      <c r="GR38" s="2688"/>
      <c r="GS38" s="2688"/>
      <c r="GT38" s="2688"/>
      <c r="GU38" s="2688"/>
      <c r="GV38" s="2688"/>
      <c r="GW38" s="2688"/>
      <c r="GX38" s="2688"/>
      <c r="GY38" s="2688"/>
      <c r="GZ38" s="2688"/>
      <c r="HA38" s="2688"/>
      <c r="HB38" s="2688"/>
      <c r="HC38" s="2688"/>
      <c r="HD38" s="2688"/>
      <c r="HE38" s="2688"/>
      <c r="HF38" s="2688"/>
      <c r="HG38" s="2688"/>
      <c r="HH38" s="2688"/>
      <c r="HI38" s="2688"/>
      <c r="HJ38" s="2688"/>
      <c r="HK38" s="2688"/>
      <c r="HL38" s="2688"/>
      <c r="HM38" s="2688"/>
      <c r="HN38" s="2688"/>
      <c r="HO38" s="2688"/>
      <c r="HP38" s="2688"/>
      <c r="HQ38" s="2688"/>
      <c r="HR38" s="2688"/>
      <c r="HS38" s="2688"/>
      <c r="HT38" s="2688"/>
      <c r="HU38" s="2688"/>
      <c r="HV38" s="2688"/>
      <c r="HW38" s="2688"/>
      <c r="HX38" s="2688"/>
      <c r="HY38" s="2688"/>
      <c r="HZ38" s="2688"/>
      <c r="IA38" s="2688"/>
      <c r="IB38" s="2688"/>
      <c r="IC38" s="2688"/>
      <c r="ID38" s="2688"/>
      <c r="IE38" s="2688"/>
      <c r="IF38" s="2688"/>
      <c r="IG38" s="2688"/>
      <c r="IH38" s="2688"/>
      <c r="II38" s="2688"/>
      <c r="IJ38" s="2688"/>
      <c r="IK38" s="2688"/>
      <c r="IL38" s="2688"/>
      <c r="IM38" s="2688"/>
      <c r="IN38" s="2688"/>
      <c r="IO38" s="2688"/>
      <c r="IP38" s="3563"/>
      <c r="IQ38" s="3563"/>
      <c r="IR38" s="3563"/>
      <c r="IS38" s="3563"/>
      <c r="IT38" s="3563"/>
      <c r="IU38" s="3563"/>
      <c r="IV38" s="3563"/>
      <c r="IW38" s="3563"/>
      <c r="IX38" s="4031"/>
      <c r="IY38" s="3563"/>
      <c r="IZ38" s="3563"/>
      <c r="JA38" s="3563"/>
      <c r="JB38" s="3563"/>
      <c r="JC38" s="3563"/>
      <c r="JD38" s="3563"/>
      <c r="JE38" s="3563"/>
      <c r="JF38" s="3563"/>
      <c r="JG38" s="4090"/>
      <c r="JH38" s="1233"/>
    </row>
    <row r="39" spans="1:268" x14ac:dyDescent="0.2">
      <c r="A39" s="1128">
        <v>39</v>
      </c>
      <c r="B39" s="1534" t="str">
        <f si="0" t="shared"/>
        <v/>
      </c>
      <c r="C39" s="1544" t="s">
        <v>4051</v>
      </c>
      <c r="D39" s="1386" t="s">
        <v>5324</v>
      </c>
      <c r="E39" s="2688"/>
      <c r="F39" s="2688"/>
      <c r="G39" s="2688"/>
      <c r="H39" s="2688"/>
      <c r="I39" s="2688"/>
      <c r="J39" s="2688"/>
      <c r="K39" s="2688"/>
      <c r="L39" s="2688"/>
      <c r="M39" s="2688"/>
      <c r="N39" s="2688"/>
      <c r="O39" s="2688"/>
      <c r="P39" s="2688"/>
      <c r="Q39" s="2688"/>
      <c r="R39" s="2688"/>
      <c r="S39" s="2688"/>
      <c r="T39" s="2688"/>
      <c r="U39" s="2688"/>
      <c r="V39" s="2688"/>
      <c r="W39" s="2688"/>
      <c r="X39" s="2688"/>
      <c r="Y39" s="2688"/>
      <c r="Z39" s="2688"/>
      <c r="AA39" s="2688"/>
      <c r="AB39" s="2688"/>
      <c r="AC39" s="2688"/>
      <c r="AD39" s="2688"/>
      <c r="AE39" s="2688"/>
      <c r="AF39" s="2688"/>
      <c r="AG39" s="2688"/>
      <c r="AH39" s="2688"/>
      <c r="AI39" s="2688"/>
      <c r="AJ39" s="2688"/>
      <c r="AK39" s="2688"/>
      <c r="AL39" s="2688"/>
      <c r="AM39" s="2688"/>
      <c r="AN39" s="2688"/>
      <c r="AO39" s="2688"/>
      <c r="AP39" s="2688"/>
      <c r="AQ39" s="2688"/>
      <c r="AR39" s="2688"/>
      <c r="AS39" s="2688"/>
      <c r="AT39" s="2688"/>
      <c r="AU39" s="2688"/>
      <c r="AV39" s="2688"/>
      <c r="AW39" s="2688"/>
      <c r="AX39" s="2688"/>
      <c r="AY39" s="2688"/>
      <c r="AZ39" s="2688"/>
      <c r="BA39" s="2688"/>
      <c r="BB39" s="2688"/>
      <c r="BC39" s="2688"/>
      <c r="BD39" s="2688"/>
      <c r="BE39" s="2688"/>
      <c r="BF39" s="2688"/>
      <c r="BG39" s="2688"/>
      <c r="BH39" s="2688"/>
      <c r="BI39" s="2688"/>
      <c r="BJ39" s="2688"/>
      <c r="BK39" s="2688"/>
      <c r="BL39" s="2688"/>
      <c r="BM39" s="2688"/>
      <c r="BN39" s="2688"/>
      <c r="BO39" s="2688"/>
      <c r="BP39" s="2688"/>
      <c r="BQ39" s="2688"/>
      <c r="BR39" s="2688"/>
      <c r="BS39" s="2688"/>
      <c r="BT39" s="2688"/>
      <c r="BU39" s="2688"/>
      <c r="BV39" s="2688"/>
      <c r="BW39" s="2688"/>
      <c r="BX39" s="2688"/>
      <c r="BY39" s="2688"/>
      <c r="BZ39" s="2688"/>
      <c r="CA39" s="2688"/>
      <c r="CB39" s="2688"/>
      <c r="CC39" s="2688"/>
      <c r="CD39" s="2688"/>
      <c r="CE39" s="2688"/>
      <c r="CF39" s="2688"/>
      <c r="CG39" s="2688"/>
      <c r="CH39" s="2688"/>
      <c r="CI39" s="2688"/>
      <c r="CJ39" s="2688"/>
      <c r="CK39" s="2688"/>
      <c r="CL39" s="2688"/>
      <c r="CM39" s="2688"/>
      <c r="CN39" s="2688"/>
      <c r="CO39" s="2688"/>
      <c r="CP39" s="2688"/>
      <c r="CQ39" s="2688"/>
      <c r="CR39" s="2688"/>
      <c r="CS39" s="2688"/>
      <c r="CT39" s="2688"/>
      <c r="CU39" s="2688"/>
      <c r="CV39" s="2688"/>
      <c r="CW39" s="2688"/>
      <c r="CX39" s="2688"/>
      <c r="CY39" s="2688"/>
      <c r="CZ39" s="2688"/>
      <c r="DA39" s="2688"/>
      <c r="DB39" s="2688"/>
      <c r="DC39" s="2688"/>
      <c r="DD39" s="2688"/>
      <c r="DE39" s="2688"/>
      <c r="DF39" s="2688"/>
      <c r="DG39" s="2688"/>
      <c r="DH39" s="2688"/>
      <c r="DI39" s="2688"/>
      <c r="DJ39" s="2688"/>
      <c r="DK39" s="2688"/>
      <c r="DL39" s="2688"/>
      <c r="DM39" s="2688"/>
      <c r="DN39" s="2688"/>
      <c r="DO39" s="2688"/>
      <c r="DP39" s="2688"/>
      <c r="DQ39" s="2688"/>
      <c r="DR39" s="2688"/>
      <c r="DS39" s="2688"/>
      <c r="DT39" s="2688"/>
      <c r="DU39" s="2688"/>
      <c r="DV39" s="2688"/>
      <c r="DW39" s="2688"/>
      <c r="DX39" s="2688"/>
      <c r="DY39" s="2688"/>
      <c r="DZ39" s="2688"/>
      <c r="EA39" s="2688"/>
      <c r="EB39" s="2688"/>
      <c r="EC39" s="2688"/>
      <c r="ED39" s="2688"/>
      <c r="EE39" s="2688"/>
      <c r="EF39" s="2688"/>
      <c r="EG39" s="2688"/>
      <c r="EH39" s="2688"/>
      <c r="EI39" s="2688"/>
      <c r="EJ39" s="2688"/>
      <c r="EK39" s="2688"/>
      <c r="EL39" s="2688"/>
      <c r="EM39" s="2688"/>
      <c r="EN39" s="2688"/>
      <c r="EO39" s="2688"/>
      <c r="EP39" s="2688"/>
      <c r="EQ39" s="2688"/>
      <c r="ER39" s="2688"/>
      <c r="ES39" s="2688"/>
      <c r="ET39" s="2688"/>
      <c r="EU39" s="2688"/>
      <c r="EV39" s="2688"/>
      <c r="EW39" s="2688"/>
      <c r="EX39" s="2688"/>
      <c r="EY39" s="2688"/>
      <c r="EZ39" s="2688"/>
      <c r="FA39" s="2688"/>
      <c r="FB39" s="2688"/>
      <c r="FC39" s="2688"/>
      <c r="FD39" s="2688"/>
      <c r="FE39" s="2688"/>
      <c r="FF39" s="2688"/>
      <c r="FG39" s="2688"/>
      <c r="FH39" s="2688"/>
      <c r="FI39" s="2688"/>
      <c r="FJ39" s="2688"/>
      <c r="FK39" s="2688"/>
      <c r="FL39" s="2688"/>
      <c r="FM39" s="2688"/>
      <c r="FN39" s="2688"/>
      <c r="FO39" s="2688"/>
      <c r="FP39" s="2688"/>
      <c r="FQ39" s="2688"/>
      <c r="FR39" s="2688"/>
      <c r="FS39" s="2688"/>
      <c r="FT39" s="2688"/>
      <c r="FU39" s="2688"/>
      <c r="FV39" s="2688"/>
      <c r="FW39" s="2688"/>
      <c r="FX39" s="2688"/>
      <c r="FY39" s="2688"/>
      <c r="FZ39" s="2688"/>
      <c r="GA39" s="2688"/>
      <c r="GB39" s="2688"/>
      <c r="GC39" s="2688"/>
      <c r="GD39" s="2688"/>
      <c r="GE39" s="2688"/>
      <c r="GF39" s="2688"/>
      <c r="GG39" s="2688"/>
      <c r="GH39" s="2688"/>
      <c r="GI39" s="2688"/>
      <c r="GJ39" s="2688"/>
      <c r="GK39" s="2688"/>
      <c r="GL39" s="2688"/>
      <c r="GM39" s="2688"/>
      <c r="GN39" s="2688"/>
      <c r="GO39" s="2688"/>
      <c r="GP39" s="2688"/>
      <c r="GQ39" s="2688"/>
      <c r="GR39" s="2688"/>
      <c r="GS39" s="2688"/>
      <c r="GT39" s="2688"/>
      <c r="GU39" s="2688"/>
      <c r="GV39" s="2688"/>
      <c r="GW39" s="2688"/>
      <c r="GX39" s="2688"/>
      <c r="GY39" s="2688"/>
      <c r="GZ39" s="2688"/>
      <c r="HA39" s="2688"/>
      <c r="HB39" s="2688"/>
      <c r="HC39" s="2688"/>
      <c r="HD39" s="2688"/>
      <c r="HE39" s="2688"/>
      <c r="HF39" s="2688"/>
      <c r="HG39" s="2688"/>
      <c r="HH39" s="2688"/>
      <c r="HI39" s="2688"/>
      <c r="HJ39" s="2688"/>
      <c r="HK39" s="2688"/>
      <c r="HL39" s="2688"/>
      <c r="HM39" s="2688"/>
      <c r="HN39" s="2688"/>
      <c r="HO39" s="2688"/>
      <c r="HP39" s="2688"/>
      <c r="HQ39" s="2688"/>
      <c r="HR39" s="2688"/>
      <c r="HS39" s="2688"/>
      <c r="HT39" s="2688"/>
      <c r="HU39" s="2688"/>
      <c r="HV39" s="2688"/>
      <c r="HW39" s="2688"/>
      <c r="HX39" s="2688"/>
      <c r="HY39" s="2688"/>
      <c r="HZ39" s="2688"/>
      <c r="IA39" s="2688"/>
      <c r="IB39" s="2688"/>
      <c r="IC39" s="2688"/>
      <c r="ID39" s="2688"/>
      <c r="IE39" s="2688"/>
      <c r="IF39" s="2688"/>
      <c r="IG39" s="2688"/>
      <c r="IH39" s="2688"/>
      <c r="II39" s="2688"/>
      <c r="IJ39" s="2688"/>
      <c r="IK39" s="2688"/>
      <c r="IL39" s="2688"/>
      <c r="IM39" s="2688"/>
      <c r="IN39" s="2688"/>
      <c r="IO39" s="2688"/>
      <c r="IP39" s="3563"/>
      <c r="IQ39" s="3563"/>
      <c r="IR39" s="3563"/>
      <c r="IS39" s="3563"/>
      <c r="IT39" s="3563"/>
      <c r="IU39" s="3563"/>
      <c r="IV39" s="3563"/>
      <c r="IW39" s="3563"/>
      <c r="IX39" s="4031"/>
      <c r="IY39" s="3563"/>
      <c r="IZ39" s="3563"/>
      <c r="JA39" s="3563"/>
      <c r="JB39" s="3563"/>
      <c r="JC39" s="3563"/>
      <c r="JD39" s="3563"/>
      <c r="JE39" s="3563"/>
      <c r="JF39" s="3563"/>
      <c r="JG39" s="4090"/>
      <c r="JH39" s="1233"/>
    </row>
    <row r="40" spans="1:268" x14ac:dyDescent="0.2">
      <c r="A40" s="1128">
        <v>40</v>
      </c>
      <c r="B40" s="1534" t="str">
        <f si="0" t="shared"/>
        <v/>
      </c>
      <c r="C40" s="1544" t="s">
        <v>4052</v>
      </c>
      <c r="D40" s="1386" t="s">
        <v>5325</v>
      </c>
      <c r="E40" s="3359"/>
      <c r="F40" s="3359"/>
      <c r="G40" s="3359"/>
      <c r="H40" s="3359"/>
      <c r="I40" s="3359"/>
      <c r="J40" s="3359"/>
      <c r="K40" s="3359"/>
      <c r="L40" s="3359"/>
      <c r="M40" s="3359"/>
      <c r="N40" s="3359"/>
      <c r="O40" s="3359"/>
      <c r="P40" s="3359"/>
      <c r="Q40" s="3359"/>
      <c r="R40" s="3359"/>
      <c r="S40" s="3359"/>
      <c r="T40" s="3359"/>
      <c r="U40" s="3359"/>
      <c r="V40" s="3359"/>
      <c r="W40" s="3359"/>
      <c r="X40" s="3359"/>
      <c r="Y40" s="3359"/>
      <c r="Z40" s="3359"/>
      <c r="AA40" s="3359"/>
      <c r="AB40" s="3359"/>
      <c r="AC40" s="3359"/>
      <c r="AD40" s="3359"/>
      <c r="AE40" s="3359"/>
      <c r="AF40" s="3359"/>
      <c r="AG40" s="3359"/>
      <c r="AH40" s="3359"/>
      <c r="AI40" s="3359"/>
      <c r="AJ40" s="3359"/>
      <c r="AK40" s="3359"/>
      <c r="AL40" s="3359"/>
      <c r="AM40" s="3359"/>
      <c r="AN40" s="3359"/>
      <c r="AO40" s="3359"/>
      <c r="AP40" s="3359"/>
      <c r="AQ40" s="3359"/>
      <c r="AR40" s="3359"/>
      <c r="AS40" s="3359"/>
      <c r="AT40" s="3359"/>
      <c r="AU40" s="3359"/>
      <c r="AV40" s="3359"/>
      <c r="AW40" s="3359"/>
      <c r="AX40" s="3359"/>
      <c r="AY40" s="3359"/>
      <c r="AZ40" s="3359"/>
      <c r="BA40" s="3359"/>
      <c r="BB40" s="3359"/>
      <c r="BC40" s="3359"/>
      <c r="BD40" s="3359"/>
      <c r="BE40" s="3359"/>
      <c r="BF40" s="3359"/>
      <c r="BG40" s="3359"/>
      <c r="BH40" s="3359"/>
      <c r="BI40" s="3359"/>
      <c r="BJ40" s="3359"/>
      <c r="BK40" s="3359"/>
      <c r="BL40" s="3359"/>
      <c r="BM40" s="3359"/>
      <c r="BN40" s="3359"/>
      <c r="BO40" s="3359"/>
      <c r="BP40" s="3359"/>
      <c r="BQ40" s="3359"/>
      <c r="BR40" s="3359"/>
      <c r="BS40" s="3359"/>
      <c r="BT40" s="3359"/>
      <c r="BU40" s="3359"/>
      <c r="BV40" s="3359"/>
      <c r="BW40" s="3359"/>
      <c r="BX40" s="3359"/>
      <c r="BY40" s="3359"/>
      <c r="BZ40" s="3359"/>
      <c r="CA40" s="3359"/>
      <c r="CB40" s="3359"/>
      <c r="CC40" s="3359"/>
      <c r="CD40" s="3359"/>
      <c r="CE40" s="3359"/>
      <c r="CF40" s="3359"/>
      <c r="CG40" s="3359"/>
      <c r="CH40" s="3359"/>
      <c r="CI40" s="3359"/>
      <c r="CJ40" s="3359"/>
      <c r="CK40" s="3359"/>
      <c r="CL40" s="3359"/>
      <c r="CM40" s="3359"/>
      <c r="CN40" s="3359"/>
      <c r="CO40" s="3359"/>
      <c r="CP40" s="3359"/>
      <c r="CQ40" s="3359"/>
      <c r="CR40" s="3359"/>
      <c r="CS40" s="3359"/>
      <c r="CT40" s="3359"/>
      <c r="CU40" s="3359"/>
      <c r="CV40" s="3359"/>
      <c r="CW40" s="3359"/>
      <c r="CX40" s="3359"/>
      <c r="CY40" s="3359"/>
      <c r="CZ40" s="3359"/>
      <c r="DA40" s="3359"/>
      <c r="DB40" s="3359"/>
      <c r="DC40" s="3359"/>
      <c r="DD40" s="3359"/>
      <c r="DE40" s="3359"/>
      <c r="DF40" s="3359"/>
      <c r="DG40" s="3359"/>
      <c r="DH40" s="3359"/>
      <c r="DI40" s="3359"/>
      <c r="DJ40" s="3359"/>
      <c r="DK40" s="3359"/>
      <c r="DL40" s="3359"/>
      <c r="DM40" s="3359"/>
      <c r="DN40" s="3359"/>
      <c r="DO40" s="3359"/>
      <c r="DP40" s="3359"/>
      <c r="DQ40" s="3359"/>
      <c r="DR40" s="3359"/>
      <c r="DS40" s="3359"/>
      <c r="DT40" s="3359" t="s">
        <v>572</v>
      </c>
      <c r="DU40" s="3359"/>
      <c r="DV40" s="3359"/>
      <c r="DW40" s="3359"/>
      <c r="DX40" s="3359"/>
      <c r="DY40" s="3359"/>
      <c r="DZ40" s="3359"/>
      <c r="EA40" s="3359"/>
      <c r="EB40" s="3359"/>
      <c r="EC40" s="3359"/>
      <c r="ED40" s="3359"/>
      <c r="EE40" s="3359"/>
      <c r="EF40" s="3359"/>
      <c r="EG40" s="3359"/>
      <c r="EH40" s="3359"/>
      <c r="EI40" s="3359"/>
      <c r="EJ40" s="3359"/>
      <c r="EK40" s="3359"/>
      <c r="EL40" s="3359"/>
      <c r="EM40" s="3359"/>
      <c r="EN40" s="3359"/>
      <c r="EO40" s="3359"/>
      <c r="EP40" s="3359"/>
      <c r="EQ40" s="3359"/>
      <c r="ER40" s="3359"/>
      <c r="ES40" s="3359"/>
      <c r="ET40" s="3359"/>
      <c r="EU40" s="3359"/>
      <c r="EV40" s="3359"/>
      <c r="EW40" s="3359"/>
      <c r="EX40" s="3359"/>
      <c r="EY40" s="3359"/>
      <c r="EZ40" s="3359"/>
      <c r="FA40" s="3359"/>
      <c r="FB40" s="3359"/>
      <c r="FC40" s="3359"/>
      <c r="FD40" s="3359"/>
      <c r="FE40" s="3359"/>
      <c r="FF40" s="3359"/>
      <c r="FG40" s="3359"/>
      <c r="FH40" s="3359"/>
      <c r="FI40" s="3359"/>
      <c r="FJ40" s="3359"/>
      <c r="FK40" s="3359"/>
      <c r="FL40" s="3359"/>
      <c r="FM40" s="3359"/>
      <c r="FN40" s="3359"/>
      <c r="FO40" s="3359"/>
      <c r="FP40" s="3359"/>
      <c r="FQ40" s="3359"/>
      <c r="FR40" s="3359"/>
      <c r="FS40" s="3359"/>
      <c r="FT40" s="3359"/>
      <c r="FU40" s="3359"/>
      <c r="FV40" s="3359"/>
      <c r="FW40" s="3359"/>
      <c r="FX40" s="3359"/>
      <c r="FY40" s="3359"/>
      <c r="FZ40" s="3359"/>
      <c r="GA40" s="3359"/>
      <c r="GB40" s="3359"/>
      <c r="GC40" s="3359"/>
      <c r="GD40" s="3359"/>
      <c r="GE40" s="3359"/>
      <c r="GF40" s="3359"/>
      <c r="GG40" s="3359"/>
      <c r="GH40" s="3359"/>
      <c r="GI40" s="3359"/>
      <c r="GJ40" s="3359"/>
      <c r="GK40" s="3359"/>
      <c r="GL40" s="3359"/>
      <c r="GM40" s="3359"/>
      <c r="GN40" s="3359"/>
      <c r="GO40" s="3359"/>
      <c r="GP40" s="3359"/>
      <c r="GQ40" s="3359"/>
      <c r="GR40" s="3359"/>
      <c r="GS40" s="3359"/>
      <c r="GT40" s="3359"/>
      <c r="GU40" s="3359"/>
      <c r="GV40" s="3359"/>
      <c r="GW40" s="3359"/>
      <c r="GX40" s="3359"/>
      <c r="GY40" s="3359"/>
      <c r="GZ40" s="3359"/>
      <c r="HA40" s="3359"/>
      <c r="HB40" s="3359"/>
      <c r="HC40" s="3359"/>
      <c r="HD40" s="3359"/>
      <c r="HE40" s="3359"/>
      <c r="HF40" s="3359"/>
      <c r="HG40" s="3359"/>
      <c r="HH40" s="3359"/>
      <c r="HI40" s="3359"/>
      <c r="HJ40" s="3359"/>
      <c r="HK40" s="3359"/>
      <c r="HL40" s="3359"/>
      <c r="HM40" s="3359"/>
      <c r="HN40" s="3359"/>
      <c r="HO40" s="3359"/>
      <c r="HP40" s="3359"/>
      <c r="HQ40" s="3359"/>
      <c r="HR40" s="3359"/>
      <c r="HS40" s="3359"/>
      <c r="HT40" s="3359"/>
      <c r="HU40" s="3359"/>
      <c r="HV40" s="3359"/>
      <c r="HW40" s="3359"/>
      <c r="HX40" s="3359"/>
      <c r="HY40" s="3359"/>
      <c r="HZ40" s="3359"/>
      <c r="IA40" s="3359"/>
      <c r="IB40" s="3359"/>
      <c r="IC40" s="3359"/>
      <c r="ID40" s="3359"/>
      <c r="IE40" s="3359"/>
      <c r="IF40" s="3359"/>
      <c r="IG40" s="3359"/>
      <c r="IH40" s="3359"/>
      <c r="II40" s="3359"/>
      <c r="IJ40" s="3359"/>
      <c r="IK40" s="3359"/>
      <c r="IL40" s="3359"/>
      <c r="IM40" s="3359"/>
      <c r="IN40" s="3359"/>
      <c r="IO40" s="3359"/>
      <c r="IP40" s="3562"/>
      <c r="IQ40" s="3562"/>
      <c r="IR40" s="3562"/>
      <c r="IS40" s="3562"/>
      <c r="IT40" s="3562"/>
      <c r="IU40" s="3562"/>
      <c r="IV40" s="3562"/>
      <c r="IW40" s="3562"/>
      <c r="IX40" s="3979"/>
      <c r="IY40" s="3562"/>
      <c r="IZ40" s="3562"/>
      <c r="JA40" s="3562"/>
      <c r="JB40" s="3562"/>
      <c r="JC40" s="3562"/>
      <c r="JD40" s="3562"/>
      <c r="JE40" s="3562"/>
      <c r="JF40" s="3562"/>
      <c r="JG40" s="3777"/>
      <c r="JH40" s="1233"/>
    </row>
    <row r="41" spans="1:268" x14ac:dyDescent="0.2">
      <c r="A41" s="1128">
        <v>41</v>
      </c>
      <c r="B41" s="1534" t="str">
        <f si="0" t="shared"/>
        <v/>
      </c>
      <c r="C41" s="1544" t="s">
        <v>4053</v>
      </c>
      <c r="D41" s="1386" t="s">
        <v>5326</v>
      </c>
      <c r="E41" s="2688"/>
      <c r="F41" s="2688"/>
      <c r="G41" s="2688"/>
      <c r="H41" s="2688"/>
      <c r="I41" s="2688"/>
      <c r="J41" s="2688"/>
      <c r="K41" s="2688"/>
      <c r="L41" s="2688"/>
      <c r="M41" s="2688"/>
      <c r="N41" s="2688"/>
      <c r="O41" s="2688"/>
      <c r="P41" s="2688"/>
      <c r="Q41" s="2688"/>
      <c r="R41" s="2688"/>
      <c r="S41" s="2688"/>
      <c r="T41" s="2688"/>
      <c r="U41" s="2688"/>
      <c r="V41" s="2688"/>
      <c r="W41" s="2688"/>
      <c r="X41" s="2688"/>
      <c r="Y41" s="2688"/>
      <c r="Z41" s="2688"/>
      <c r="AA41" s="2688"/>
      <c r="AB41" s="2688"/>
      <c r="AC41" s="2688"/>
      <c r="AD41" s="2688"/>
      <c r="AE41" s="2688"/>
      <c r="AF41" s="2688"/>
      <c r="AG41" s="2688"/>
      <c r="AH41" s="2688"/>
      <c r="AI41" s="2688"/>
      <c r="AJ41" s="2688"/>
      <c r="AK41" s="2688"/>
      <c r="AL41" s="2688"/>
      <c r="AM41" s="2688"/>
      <c r="AN41" s="2688"/>
      <c r="AO41" s="2688"/>
      <c r="AP41" s="2688"/>
      <c r="AQ41" s="2688"/>
      <c r="AR41" s="2688"/>
      <c r="AS41" s="2688"/>
      <c r="AT41" s="2688"/>
      <c r="AU41" s="2688"/>
      <c r="AV41" s="2688"/>
      <c r="AW41" s="2688"/>
      <c r="AX41" s="2688"/>
      <c r="AY41" s="2688"/>
      <c r="AZ41" s="2688"/>
      <c r="BA41" s="2688"/>
      <c r="BB41" s="2688"/>
      <c r="BC41" s="2688"/>
      <c r="BD41" s="2688"/>
      <c r="BE41" s="2688"/>
      <c r="BF41" s="2688"/>
      <c r="BG41" s="2688"/>
      <c r="BH41" s="2688"/>
      <c r="BI41" s="2688"/>
      <c r="BJ41" s="2688"/>
      <c r="BK41" s="2688"/>
      <c r="BL41" s="2688"/>
      <c r="BM41" s="2688"/>
      <c r="BN41" s="2688"/>
      <c r="BO41" s="2688"/>
      <c r="BP41" s="2688"/>
      <c r="BQ41" s="2688"/>
      <c r="BR41" s="2688"/>
      <c r="BS41" s="2688"/>
      <c r="BT41" s="2688"/>
      <c r="BU41" s="2688"/>
      <c r="BV41" s="2688"/>
      <c r="BW41" s="2688"/>
      <c r="BX41" s="2688"/>
      <c r="BY41" s="2688"/>
      <c r="BZ41" s="2688"/>
      <c r="CA41" s="2688"/>
      <c r="CB41" s="2688"/>
      <c r="CC41" s="2688"/>
      <c r="CD41" s="2688"/>
      <c r="CE41" s="2688"/>
      <c r="CF41" s="2688"/>
      <c r="CG41" s="2688"/>
      <c r="CH41" s="2688"/>
      <c r="CI41" s="2688"/>
      <c r="CJ41" s="2688"/>
      <c r="CK41" s="2688"/>
      <c r="CL41" s="2688"/>
      <c r="CM41" s="2688"/>
      <c r="CN41" s="2688"/>
      <c r="CO41" s="2688"/>
      <c r="CP41" s="2688"/>
      <c r="CQ41" s="2688"/>
      <c r="CR41" s="2688"/>
      <c r="CS41" s="2688"/>
      <c r="CT41" s="2688"/>
      <c r="CU41" s="2688"/>
      <c r="CV41" s="2688"/>
      <c r="CW41" s="2688"/>
      <c r="CX41" s="2688"/>
      <c r="CY41" s="2688"/>
      <c r="CZ41" s="2688"/>
      <c r="DA41" s="2688"/>
      <c r="DB41" s="2688"/>
      <c r="DC41" s="2688"/>
      <c r="DD41" s="2688"/>
      <c r="DE41" s="2688"/>
      <c r="DF41" s="2688"/>
      <c r="DG41" s="2688"/>
      <c r="DH41" s="2688"/>
      <c r="DI41" s="2688"/>
      <c r="DJ41" s="2688"/>
      <c r="DK41" s="2688"/>
      <c r="DL41" s="2688"/>
      <c r="DM41" s="2688"/>
      <c r="DN41" s="2688"/>
      <c r="DO41" s="2688"/>
      <c r="DP41" s="2688"/>
      <c r="DQ41" s="2688"/>
      <c r="DR41" s="2688"/>
      <c r="DS41" s="2688"/>
      <c r="DT41" s="3360">
        <f>IF(DT40="Y",DT37,MAX(0,DT37-DT38))</f>
        <v>500</v>
      </c>
      <c r="DU41" s="2688"/>
      <c r="DV41" s="2688"/>
      <c r="DW41" s="2688"/>
      <c r="DX41" s="2688"/>
      <c r="DY41" s="2688"/>
      <c r="DZ41" s="2688"/>
      <c r="EA41" s="2688"/>
      <c r="EB41" s="2688"/>
      <c r="EC41" s="2688"/>
      <c r="ED41" s="2688"/>
      <c r="EE41" s="2688"/>
      <c r="EF41" s="2688"/>
      <c r="EG41" s="2688"/>
      <c r="EH41" s="2688"/>
      <c r="EI41" s="2688"/>
      <c r="EJ41" s="2688"/>
      <c r="EK41" s="2688"/>
      <c r="EL41" s="2688"/>
      <c r="EM41" s="2688"/>
      <c r="EN41" s="2688"/>
      <c r="EO41" s="2688"/>
      <c r="EP41" s="2688"/>
      <c r="EQ41" s="2688"/>
      <c r="ER41" s="2688"/>
      <c r="ES41" s="2688"/>
      <c r="ET41" s="2688"/>
      <c r="EU41" s="2688"/>
      <c r="EV41" s="2688"/>
      <c r="EW41" s="2688"/>
      <c r="EX41" s="2688"/>
      <c r="EY41" s="2688"/>
      <c r="EZ41" s="2688"/>
      <c r="FA41" s="2688"/>
      <c r="FB41" s="2688"/>
      <c r="FC41" s="2688"/>
      <c r="FD41" s="2688"/>
      <c r="FE41" s="2688"/>
      <c r="FF41" s="2688"/>
      <c r="FG41" s="2688"/>
      <c r="FH41" s="2688"/>
      <c r="FI41" s="2688"/>
      <c r="FJ41" s="2688"/>
      <c r="FK41" s="2688"/>
      <c r="FL41" s="2688"/>
      <c r="FM41" s="2688"/>
      <c r="FN41" s="2688"/>
      <c r="FO41" s="2688"/>
      <c r="FP41" s="2688"/>
      <c r="FQ41" s="2688"/>
      <c r="FR41" s="2688"/>
      <c r="FS41" s="2688"/>
      <c r="FT41" s="2688"/>
      <c r="FU41" s="2688"/>
      <c r="FV41" s="2688"/>
      <c r="FW41" s="2688"/>
      <c r="FX41" s="2688"/>
      <c r="FY41" s="2688"/>
      <c r="FZ41" s="2688"/>
      <c r="GA41" s="2688"/>
      <c r="GB41" s="2688"/>
      <c r="GC41" s="2688"/>
      <c r="GD41" s="2688"/>
      <c r="GE41" s="2688"/>
      <c r="GF41" s="2688"/>
      <c r="GG41" s="2688"/>
      <c r="GH41" s="2688"/>
      <c r="GI41" s="2688"/>
      <c r="GJ41" s="2688"/>
      <c r="GK41" s="2688"/>
      <c r="GL41" s="2688"/>
      <c r="GM41" s="2688"/>
      <c r="GN41" s="2688"/>
      <c r="GO41" s="2688"/>
      <c r="GP41" s="2688"/>
      <c r="GQ41" s="2688"/>
      <c r="GR41" s="2688"/>
      <c r="GS41" s="2688"/>
      <c r="GT41" s="2688"/>
      <c r="GU41" s="2688"/>
      <c r="GV41" s="2688"/>
      <c r="GW41" s="2688"/>
      <c r="GX41" s="2688"/>
      <c r="GY41" s="2688"/>
      <c r="GZ41" s="2688"/>
      <c r="HA41" s="2688"/>
      <c r="HB41" s="2688"/>
      <c r="HC41" s="2688"/>
      <c r="HD41" s="2688"/>
      <c r="HE41" s="2688"/>
      <c r="HF41" s="2688"/>
      <c r="HG41" s="2688"/>
      <c r="HH41" s="2688"/>
      <c r="HI41" s="2688"/>
      <c r="HJ41" s="2688"/>
      <c r="HK41" s="2688"/>
      <c r="HL41" s="2688"/>
      <c r="HM41" s="2688"/>
      <c r="HN41" s="2688"/>
      <c r="HO41" s="2688"/>
      <c r="HP41" s="2688"/>
      <c r="HQ41" s="2688"/>
      <c r="HR41" s="2688"/>
      <c r="HS41" s="2688"/>
      <c r="HT41" s="2688"/>
      <c r="HU41" s="2688"/>
      <c r="HV41" s="2688"/>
      <c r="HW41" s="2688"/>
      <c r="HX41" s="2688"/>
      <c r="HY41" s="2688"/>
      <c r="HZ41" s="2688"/>
      <c r="IA41" s="2688"/>
      <c r="IB41" s="2688"/>
      <c r="IC41" s="3360">
        <f>IF(IC40="Y",IC37,MAX(0,IC37-IC38))</f>
        <v>14669</v>
      </c>
      <c r="ID41" s="2688"/>
      <c r="IE41" s="2688"/>
      <c r="IF41" s="2688"/>
      <c r="IG41" s="2688"/>
      <c r="IH41" s="2688"/>
      <c r="II41" s="2688"/>
      <c r="IJ41" s="2688"/>
      <c r="IK41" s="2688"/>
      <c r="IL41" s="2688"/>
      <c r="IM41" s="2688"/>
      <c r="IN41" s="2688"/>
      <c r="IO41" s="2688"/>
      <c r="IP41" s="3559"/>
      <c r="IQ41" s="3559"/>
      <c r="IR41" s="3559"/>
      <c r="IS41" s="3559"/>
      <c r="IT41" s="3559"/>
      <c r="IU41" s="3559"/>
      <c r="IV41" s="3559"/>
      <c r="IW41" s="3559"/>
      <c r="IX41" s="4032">
        <v>1</v>
      </c>
      <c r="IY41" s="3559"/>
      <c r="IZ41" s="3559"/>
      <c r="JA41" s="3559"/>
      <c r="JB41" s="3559"/>
      <c r="JC41" s="3559"/>
      <c r="JD41" s="3559"/>
      <c r="JE41" s="3559"/>
      <c r="JF41" s="3559"/>
      <c r="JG41" s="4087"/>
      <c r="JH41" s="1233"/>
    </row>
    <row r="42" spans="1:268" x14ac:dyDescent="0.2">
      <c r="A42" s="1128">
        <v>42</v>
      </c>
      <c r="B42" s="1534" t="str">
        <f si="0" t="shared"/>
        <v/>
      </c>
      <c r="C42" s="1544" t="s">
        <v>4054</v>
      </c>
      <c r="D42" s="1386" t="s">
        <v>5321</v>
      </c>
      <c r="E42" s="2688"/>
      <c r="F42" s="2688"/>
      <c r="G42" s="2688"/>
      <c r="H42" s="2688"/>
      <c r="I42" s="2688"/>
      <c r="J42" s="2688"/>
      <c r="K42" s="2688"/>
      <c r="L42" s="2688"/>
      <c r="M42" s="2688"/>
      <c r="N42" s="2688"/>
      <c r="O42" s="2688"/>
      <c r="P42" s="2688"/>
      <c r="Q42" s="2688"/>
      <c r="R42" s="2688"/>
      <c r="S42" s="2688"/>
      <c r="T42" s="2688"/>
      <c r="U42" s="2688"/>
      <c r="V42" s="2688"/>
      <c r="W42" s="2688"/>
      <c r="X42" s="2688"/>
      <c r="Y42" s="2688"/>
      <c r="Z42" s="2688"/>
      <c r="AA42" s="2688"/>
      <c r="AB42" s="2688"/>
      <c r="AC42" s="2688"/>
      <c r="AD42" s="2688"/>
      <c r="AE42" s="2688"/>
      <c r="AF42" s="2688"/>
      <c r="AG42" s="2688"/>
      <c r="AH42" s="2688"/>
      <c r="AI42" s="2688"/>
      <c r="AJ42" s="2688"/>
      <c r="AK42" s="2688"/>
      <c r="AL42" s="2688"/>
      <c r="AM42" s="2688"/>
      <c r="AN42" s="2688"/>
      <c r="AO42" s="2688"/>
      <c r="AP42" s="2688"/>
      <c r="AQ42" s="2688"/>
      <c r="AR42" s="2688"/>
      <c r="AS42" s="2688"/>
      <c r="AT42" s="2688"/>
      <c r="AU42" s="2688"/>
      <c r="AV42" s="2688"/>
      <c r="AW42" s="2688"/>
      <c r="AX42" s="2688"/>
      <c r="AY42" s="2688"/>
      <c r="AZ42" s="2688"/>
      <c r="BA42" s="2688"/>
      <c r="BB42" s="2688"/>
      <c r="BC42" s="2688"/>
      <c r="BD42" s="2688"/>
      <c r="BE42" s="2688"/>
      <c r="BF42" s="2688"/>
      <c r="BG42" s="2688"/>
      <c r="BH42" s="2688"/>
      <c r="BI42" s="2688"/>
      <c r="BJ42" s="2688"/>
      <c r="BK42" s="2688"/>
      <c r="BL42" s="2688"/>
      <c r="BM42" s="2688"/>
      <c r="BN42" s="2688"/>
      <c r="BO42" s="2688"/>
      <c r="BP42" s="2688"/>
      <c r="BQ42" s="2688"/>
      <c r="BR42" s="2688"/>
      <c r="BS42" s="2688"/>
      <c r="BT42" s="2688"/>
      <c r="BU42" s="2688"/>
      <c r="BV42" s="2688"/>
      <c r="BW42" s="2688"/>
      <c r="BX42" s="2688"/>
      <c r="BY42" s="2688"/>
      <c r="BZ42" s="2688"/>
      <c r="CA42" s="2688"/>
      <c r="CB42" s="2688"/>
      <c r="CC42" s="2688"/>
      <c r="CD42" s="2688"/>
      <c r="CE42" s="2688"/>
      <c r="CF42" s="2688"/>
      <c r="CG42" s="2688"/>
      <c r="CH42" s="2688"/>
      <c r="CI42" s="2688"/>
      <c r="CJ42" s="2688"/>
      <c r="CK42" s="2688"/>
      <c r="CL42" s="2688"/>
      <c r="CM42" s="2688"/>
      <c r="CN42" s="2688"/>
      <c r="CO42" s="2688"/>
      <c r="CP42" s="2688"/>
      <c r="CQ42" s="2688"/>
      <c r="CR42" s="2688"/>
      <c r="CS42" s="2688"/>
      <c r="CT42" s="2688"/>
      <c r="CU42" s="2688"/>
      <c r="CV42" s="2688"/>
      <c r="CW42" s="2688"/>
      <c r="CX42" s="2688"/>
      <c r="CY42" s="2688"/>
      <c r="CZ42" s="2688"/>
      <c r="DA42" s="2688"/>
      <c r="DB42" s="2688"/>
      <c r="DC42" s="2688"/>
      <c r="DD42" s="2688"/>
      <c r="DE42" s="2688"/>
      <c r="DF42" s="2688"/>
      <c r="DG42" s="2688"/>
      <c r="DH42" s="2688"/>
      <c r="DI42" s="2688"/>
      <c r="DJ42" s="2688"/>
      <c r="DK42" s="2688"/>
      <c r="DL42" s="2688"/>
      <c r="DM42" s="2688"/>
      <c r="DN42" s="2688"/>
      <c r="DO42" s="2688"/>
      <c r="DP42" s="2688"/>
      <c r="DQ42" s="2688"/>
      <c r="DR42" s="2688"/>
      <c r="DS42" s="2688"/>
      <c r="DT42" s="2688"/>
      <c r="DU42" s="2688"/>
      <c r="DV42" s="2688"/>
      <c r="DW42" s="2688"/>
      <c r="DX42" s="2688"/>
      <c r="DY42" s="2688"/>
      <c r="DZ42" s="2688"/>
      <c r="EA42" s="2688"/>
      <c r="EB42" s="2688"/>
      <c r="EC42" s="2688"/>
      <c r="ED42" s="2688"/>
      <c r="EE42" s="2688"/>
      <c r="EF42" s="2688"/>
      <c r="EG42" s="2688"/>
      <c r="EH42" s="2688"/>
      <c r="EI42" s="2688"/>
      <c r="EJ42" s="2688"/>
      <c r="EK42" s="2688"/>
      <c r="EL42" s="2688"/>
      <c r="EM42" s="2688"/>
      <c r="EN42" s="2688"/>
      <c r="EO42" s="2688"/>
      <c r="EP42" s="2688"/>
      <c r="EQ42" s="2688"/>
      <c r="ER42" s="2688"/>
      <c r="ES42" s="2688"/>
      <c r="ET42" s="2688"/>
      <c r="EU42" s="2688"/>
      <c r="EV42" s="2688"/>
      <c r="EW42" s="2688"/>
      <c r="EX42" s="2688"/>
      <c r="EY42" s="2688"/>
      <c r="EZ42" s="2688"/>
      <c r="FA42" s="2688"/>
      <c r="FB42" s="2688"/>
      <c r="FC42" s="2688"/>
      <c r="FD42" s="2688"/>
      <c r="FE42" s="2688"/>
      <c r="FF42" s="2688"/>
      <c r="FG42" s="2688"/>
      <c r="FH42" s="2688"/>
      <c r="FI42" s="2688"/>
      <c r="FJ42" s="2688"/>
      <c r="FK42" s="2688"/>
      <c r="FL42" s="2688"/>
      <c r="FM42" s="2688"/>
      <c r="FN42" s="2688"/>
      <c r="FO42" s="2688"/>
      <c r="FP42" s="2688"/>
      <c r="FQ42" s="2688"/>
      <c r="FR42" s="2688"/>
      <c r="FS42" s="2688"/>
      <c r="FT42" s="2688"/>
      <c r="FU42" s="2688"/>
      <c r="FV42" s="2688"/>
      <c r="FW42" s="2688"/>
      <c r="FX42" s="2688"/>
      <c r="FY42" s="2688"/>
      <c r="FZ42" s="2688"/>
      <c r="GA42" s="2688"/>
      <c r="GB42" s="2688"/>
      <c r="GC42" s="2688"/>
      <c r="GD42" s="2688"/>
      <c r="GE42" s="2688"/>
      <c r="GF42" s="2688"/>
      <c r="GG42" s="2688"/>
      <c r="GH42" s="2688"/>
      <c r="GI42" s="2688"/>
      <c r="GJ42" s="2688"/>
      <c r="GK42" s="2688"/>
      <c r="GL42" s="2688"/>
      <c r="GM42" s="2688"/>
      <c r="GN42" s="2688"/>
      <c r="GO42" s="2688"/>
      <c r="GP42" s="2688"/>
      <c r="GQ42" s="2688"/>
      <c r="GR42" s="2688"/>
      <c r="GS42" s="2688"/>
      <c r="GT42" s="2688"/>
      <c r="GU42" s="2688"/>
      <c r="GV42" s="2688"/>
      <c r="GW42" s="2688"/>
      <c r="GX42" s="2688"/>
      <c r="GY42" s="2688"/>
      <c r="GZ42" s="2688"/>
      <c r="HA42" s="2688"/>
      <c r="HB42" s="2688"/>
      <c r="HC42" s="2688"/>
      <c r="HD42" s="2688"/>
      <c r="HE42" s="2688"/>
      <c r="HF42" s="2688"/>
      <c r="HG42" s="2688"/>
      <c r="HH42" s="2688"/>
      <c r="HI42" s="2688"/>
      <c r="HJ42" s="2688"/>
      <c r="HK42" s="2688"/>
      <c r="HL42" s="2688"/>
      <c r="HM42" s="2688"/>
      <c r="HN42" s="2688"/>
      <c r="HO42" s="2688"/>
      <c r="HP42" s="2688"/>
      <c r="HQ42" s="2688"/>
      <c r="HR42" s="2688"/>
      <c r="HS42" s="2688"/>
      <c r="HT42" s="2688"/>
      <c r="HU42" s="2688"/>
      <c r="HV42" s="2688"/>
      <c r="HW42" s="2688"/>
      <c r="HX42" s="2688"/>
      <c r="HY42" s="2688"/>
      <c r="HZ42" s="2688"/>
      <c r="IA42" s="2688"/>
      <c r="IB42" s="2688"/>
      <c r="IC42" s="2688"/>
      <c r="ID42" s="2688"/>
      <c r="IE42" s="2688"/>
      <c r="IF42" s="2688"/>
      <c r="IG42" s="2688"/>
      <c r="IH42" s="2688"/>
      <c r="II42" s="2688"/>
      <c r="IJ42" s="2688"/>
      <c r="IK42" s="2688"/>
      <c r="IL42" s="2688"/>
      <c r="IM42" s="2688"/>
      <c r="IN42" s="2688"/>
      <c r="IO42" s="2688"/>
      <c r="IP42" s="2815"/>
      <c r="IQ42" s="2815"/>
      <c r="IR42" s="2815"/>
      <c r="IS42" s="2815"/>
      <c r="IT42" s="2815"/>
      <c r="IU42" s="2815"/>
      <c r="IV42" s="2815"/>
      <c r="IW42" s="2815"/>
      <c r="IX42" s="3979"/>
      <c r="IY42" s="2815"/>
      <c r="IZ42" s="2815"/>
      <c r="JA42" s="2815"/>
      <c r="JB42" s="2815"/>
      <c r="JC42" s="2815"/>
      <c r="JD42" s="2815"/>
      <c r="JE42" s="2815"/>
      <c r="JF42" s="2815"/>
      <c r="JG42" s="3348"/>
      <c r="JH42" s="1233"/>
    </row>
    <row r="43" spans="1:268" x14ac:dyDescent="0.2">
      <c r="A43" s="1128">
        <v>43</v>
      </c>
      <c r="B43" s="1534" t="str">
        <f si="0" t="shared"/>
        <v/>
      </c>
      <c r="C43" s="1544" t="s">
        <v>4055</v>
      </c>
      <c r="D43" s="1386" t="s">
        <v>5322</v>
      </c>
      <c r="E43" s="2688"/>
      <c r="F43" s="2688"/>
      <c r="G43" s="2688"/>
      <c r="H43" s="2688"/>
      <c r="I43" s="2688"/>
      <c r="J43" s="2688"/>
      <c r="K43" s="2688"/>
      <c r="L43" s="2688"/>
      <c r="M43" s="2688"/>
      <c r="N43" s="2688"/>
      <c r="O43" s="2688"/>
      <c r="P43" s="2688"/>
      <c r="Q43" s="2688"/>
      <c r="R43" s="2688"/>
      <c r="S43" s="2688"/>
      <c r="T43" s="2688"/>
      <c r="U43" s="2688"/>
      <c r="V43" s="2688"/>
      <c r="W43" s="2688"/>
      <c r="X43" s="2688"/>
      <c r="Y43" s="2688"/>
      <c r="Z43" s="2688"/>
      <c r="AA43" s="2688"/>
      <c r="AB43" s="2688"/>
      <c r="AC43" s="2688"/>
      <c r="AD43" s="2688"/>
      <c r="AE43" s="2688"/>
      <c r="AF43" s="2688"/>
      <c r="AG43" s="2688"/>
      <c r="AH43" s="2688"/>
      <c r="AI43" s="2688"/>
      <c r="AJ43" s="2688"/>
      <c r="AK43" s="2688"/>
      <c r="AL43" s="2688"/>
      <c r="AM43" s="2688"/>
      <c r="AN43" s="2688"/>
      <c r="AO43" s="2688"/>
      <c r="AP43" s="2688"/>
      <c r="AQ43" s="2688"/>
      <c r="AR43" s="2688"/>
      <c r="AS43" s="2688"/>
      <c r="AT43" s="2688"/>
      <c r="AU43" s="2688"/>
      <c r="AV43" s="2688"/>
      <c r="AW43" s="2688"/>
      <c r="AX43" s="2688"/>
      <c r="AY43" s="2688"/>
      <c r="AZ43" s="2688"/>
      <c r="BA43" s="2688"/>
      <c r="BB43" s="2688"/>
      <c r="BC43" s="2688"/>
      <c r="BD43" s="2688"/>
      <c r="BE43" s="2688"/>
      <c r="BF43" s="2688"/>
      <c r="BG43" s="2688"/>
      <c r="BH43" s="2688"/>
      <c r="BI43" s="2688"/>
      <c r="BJ43" s="2688"/>
      <c r="BK43" s="2688"/>
      <c r="BL43" s="2688"/>
      <c r="BM43" s="2688"/>
      <c r="BN43" s="2688"/>
      <c r="BO43" s="2688"/>
      <c r="BP43" s="2688"/>
      <c r="BQ43" s="2688"/>
      <c r="BR43" s="2688"/>
      <c r="BS43" s="2688"/>
      <c r="BT43" s="2688"/>
      <c r="BU43" s="2688"/>
      <c r="BV43" s="2688"/>
      <c r="BW43" s="2688"/>
      <c r="BX43" s="2688"/>
      <c r="BY43" s="2688"/>
      <c r="BZ43" s="2688"/>
      <c r="CA43" s="2688"/>
      <c r="CB43" s="2688"/>
      <c r="CC43" s="2688"/>
      <c r="CD43" s="2688"/>
      <c r="CE43" s="2688"/>
      <c r="CF43" s="2688"/>
      <c r="CG43" s="2688"/>
      <c r="CH43" s="2688"/>
      <c r="CI43" s="2688"/>
      <c r="CJ43" s="2688"/>
      <c r="CK43" s="2688"/>
      <c r="CL43" s="2688"/>
      <c r="CM43" s="2688"/>
      <c r="CN43" s="2688"/>
      <c r="CO43" s="2688"/>
      <c r="CP43" s="2688"/>
      <c r="CQ43" s="2688"/>
      <c r="CR43" s="2688"/>
      <c r="CS43" s="2688"/>
      <c r="CT43" s="2688"/>
      <c r="CU43" s="2688"/>
      <c r="CV43" s="2688"/>
      <c r="CW43" s="2688"/>
      <c r="CX43" s="2688"/>
      <c r="CY43" s="2688"/>
      <c r="CZ43" s="2688"/>
      <c r="DA43" s="2688"/>
      <c r="DB43" s="2688"/>
      <c r="DC43" s="2688"/>
      <c r="DD43" s="2688"/>
      <c r="DE43" s="2688"/>
      <c r="DF43" s="2688"/>
      <c r="DG43" s="2688"/>
      <c r="DH43" s="2688"/>
      <c r="DI43" s="2688"/>
      <c r="DJ43" s="2688"/>
      <c r="DK43" s="2688"/>
      <c r="DL43" s="2688"/>
      <c r="DM43" s="2688"/>
      <c r="DN43" s="2688"/>
      <c r="DO43" s="2688"/>
      <c r="DP43" s="2688"/>
      <c r="DQ43" s="2688"/>
      <c r="DR43" s="2688"/>
      <c r="DS43" s="2688"/>
      <c r="DT43" s="2688"/>
      <c r="DU43" s="2688"/>
      <c r="DV43" s="2688"/>
      <c r="DW43" s="2688"/>
      <c r="DX43" s="2688"/>
      <c r="DY43" s="2688"/>
      <c r="DZ43" s="2688"/>
      <c r="EA43" s="2688"/>
      <c r="EB43" s="2688"/>
      <c r="EC43" s="2688"/>
      <c r="ED43" s="2688"/>
      <c r="EE43" s="2688"/>
      <c r="EF43" s="2688"/>
      <c r="EG43" s="2688"/>
      <c r="EH43" s="2688"/>
      <c r="EI43" s="2688"/>
      <c r="EJ43" s="2688"/>
      <c r="EK43" s="2688"/>
      <c r="EL43" s="2688"/>
      <c r="EM43" s="2688"/>
      <c r="EN43" s="2688"/>
      <c r="EO43" s="2688"/>
      <c r="EP43" s="2688"/>
      <c r="EQ43" s="2688"/>
      <c r="ER43" s="2688"/>
      <c r="ES43" s="2688"/>
      <c r="ET43" s="2688"/>
      <c r="EU43" s="2688"/>
      <c r="EV43" s="2688"/>
      <c r="EW43" s="2688"/>
      <c r="EX43" s="2688"/>
      <c r="EY43" s="2688"/>
      <c r="EZ43" s="2688"/>
      <c r="FA43" s="2688"/>
      <c r="FB43" s="2688"/>
      <c r="FC43" s="2688"/>
      <c r="FD43" s="2688"/>
      <c r="FE43" s="2688"/>
      <c r="FF43" s="2688"/>
      <c r="FG43" s="2688"/>
      <c r="FH43" s="2688"/>
      <c r="FI43" s="2688"/>
      <c r="FJ43" s="2688"/>
      <c r="FK43" s="2688"/>
      <c r="FL43" s="2688"/>
      <c r="FM43" s="2688"/>
      <c r="FN43" s="2688"/>
      <c r="FO43" s="2688"/>
      <c r="FP43" s="2688"/>
      <c r="FQ43" s="2688"/>
      <c r="FR43" s="2688"/>
      <c r="FS43" s="2688"/>
      <c r="FT43" s="2688"/>
      <c r="FU43" s="2688"/>
      <c r="FV43" s="2688"/>
      <c r="FW43" s="2688"/>
      <c r="FX43" s="2688"/>
      <c r="FY43" s="2688"/>
      <c r="FZ43" s="2688"/>
      <c r="GA43" s="2688"/>
      <c r="GB43" s="2688"/>
      <c r="GC43" s="2688"/>
      <c r="GD43" s="2688"/>
      <c r="GE43" s="2688"/>
      <c r="GF43" s="2688"/>
      <c r="GG43" s="2688"/>
      <c r="GH43" s="2688"/>
      <c r="GI43" s="2688"/>
      <c r="GJ43" s="2688"/>
      <c r="GK43" s="2688"/>
      <c r="GL43" s="2688"/>
      <c r="GM43" s="2688"/>
      <c r="GN43" s="2688"/>
      <c r="GO43" s="2688"/>
      <c r="GP43" s="2688"/>
      <c r="GQ43" s="2688"/>
      <c r="GR43" s="2688"/>
      <c r="GS43" s="2688"/>
      <c r="GT43" s="2688"/>
      <c r="GU43" s="2688"/>
      <c r="GV43" s="2688"/>
      <c r="GW43" s="2688"/>
      <c r="GX43" s="2688"/>
      <c r="GY43" s="2688"/>
      <c r="GZ43" s="2688"/>
      <c r="HA43" s="2688"/>
      <c r="HB43" s="2688"/>
      <c r="HC43" s="2688"/>
      <c r="HD43" s="2688"/>
      <c r="HE43" s="2688"/>
      <c r="HF43" s="2688"/>
      <c r="HG43" s="2688"/>
      <c r="HH43" s="2688"/>
      <c r="HI43" s="2688"/>
      <c r="HJ43" s="2688"/>
      <c r="HK43" s="2688"/>
      <c r="HL43" s="2688"/>
      <c r="HM43" s="2688"/>
      <c r="HN43" s="2688"/>
      <c r="HO43" s="2688"/>
      <c r="HP43" s="2688"/>
      <c r="HQ43" s="2688"/>
      <c r="HR43" s="2688"/>
      <c r="HS43" s="2688"/>
      <c r="HT43" s="2688"/>
      <c r="HU43" s="2688"/>
      <c r="HV43" s="2688"/>
      <c r="HW43" s="2688"/>
      <c r="HX43" s="2688"/>
      <c r="HY43" s="2688"/>
      <c r="HZ43" s="2688"/>
      <c r="IA43" s="2688"/>
      <c r="IB43" s="2688"/>
      <c r="IC43" s="2688"/>
      <c r="ID43" s="2688"/>
      <c r="IE43" s="2688"/>
      <c r="IF43" s="2688"/>
      <c r="IG43" s="2688"/>
      <c r="IH43" s="2688"/>
      <c r="II43" s="2688"/>
      <c r="IJ43" s="2688"/>
      <c r="IK43" s="2688"/>
      <c r="IL43" s="2688"/>
      <c r="IM43" s="2688"/>
      <c r="IN43" s="2688"/>
      <c r="IO43" s="2688"/>
      <c r="IP43" s="3557"/>
      <c r="IQ43" s="3557"/>
      <c r="IR43" s="3557"/>
      <c r="IS43" s="3557"/>
      <c r="IT43" s="3557"/>
      <c r="IU43" s="3557"/>
      <c r="IV43" s="3557"/>
      <c r="IW43" s="3557"/>
      <c r="IX43" s="4031"/>
      <c r="IY43" s="3557"/>
      <c r="IZ43" s="3557"/>
      <c r="JA43" s="3557"/>
      <c r="JB43" s="3557"/>
      <c r="JC43" s="3557"/>
      <c r="JD43" s="3557"/>
      <c r="JE43" s="3557"/>
      <c r="JF43" s="3557"/>
      <c r="JG43" s="4085"/>
      <c r="JH43" s="1233"/>
    </row>
    <row r="44" spans="1:268" x14ac:dyDescent="0.2">
      <c r="A44" s="1128">
        <v>44</v>
      </c>
      <c r="B44" s="1534" t="str">
        <f si="0" t="shared"/>
        <v/>
      </c>
      <c r="C44" s="1544" t="s">
        <v>4056</v>
      </c>
      <c r="D44" s="1386" t="s">
        <v>5323</v>
      </c>
      <c r="E44" s="2688"/>
      <c r="F44" s="2688"/>
      <c r="G44" s="2688"/>
      <c r="H44" s="2688"/>
      <c r="I44" s="2688"/>
      <c r="J44" s="2688"/>
      <c r="K44" s="2688"/>
      <c r="L44" s="2688"/>
      <c r="M44" s="2688"/>
      <c r="N44" s="2688"/>
      <c r="O44" s="2688"/>
      <c r="P44" s="2688"/>
      <c r="Q44" s="2688"/>
      <c r="R44" s="2688"/>
      <c r="S44" s="2688"/>
      <c r="T44" s="2688"/>
      <c r="U44" s="2688"/>
      <c r="V44" s="2688"/>
      <c r="W44" s="2688"/>
      <c r="X44" s="2688"/>
      <c r="Y44" s="2688"/>
      <c r="Z44" s="2688"/>
      <c r="AA44" s="2688"/>
      <c r="AB44" s="2688"/>
      <c r="AC44" s="2688"/>
      <c r="AD44" s="2688"/>
      <c r="AE44" s="2688"/>
      <c r="AF44" s="2688"/>
      <c r="AG44" s="2688"/>
      <c r="AH44" s="2688"/>
      <c r="AI44" s="2688"/>
      <c r="AJ44" s="2688"/>
      <c r="AK44" s="2688"/>
      <c r="AL44" s="2688"/>
      <c r="AM44" s="2688"/>
      <c r="AN44" s="2688"/>
      <c r="AO44" s="2688"/>
      <c r="AP44" s="2688"/>
      <c r="AQ44" s="2688"/>
      <c r="AR44" s="2688"/>
      <c r="AS44" s="2688"/>
      <c r="AT44" s="2688"/>
      <c r="AU44" s="2688"/>
      <c r="AV44" s="2688"/>
      <c r="AW44" s="2688"/>
      <c r="AX44" s="2688"/>
      <c r="AY44" s="2688"/>
      <c r="AZ44" s="2688"/>
      <c r="BA44" s="2688"/>
      <c r="BB44" s="2688"/>
      <c r="BC44" s="2688"/>
      <c r="BD44" s="2688"/>
      <c r="BE44" s="2688"/>
      <c r="BF44" s="2688"/>
      <c r="BG44" s="2688"/>
      <c r="BH44" s="2688"/>
      <c r="BI44" s="2688"/>
      <c r="BJ44" s="2688"/>
      <c r="BK44" s="2688"/>
      <c r="BL44" s="2688"/>
      <c r="BM44" s="2688"/>
      <c r="BN44" s="2688"/>
      <c r="BO44" s="2688"/>
      <c r="BP44" s="2688"/>
      <c r="BQ44" s="2688"/>
      <c r="BR44" s="2688"/>
      <c r="BS44" s="2688"/>
      <c r="BT44" s="2688"/>
      <c r="BU44" s="2688"/>
      <c r="BV44" s="2688"/>
      <c r="BW44" s="2688"/>
      <c r="BX44" s="2688"/>
      <c r="BY44" s="2688"/>
      <c r="BZ44" s="2688"/>
      <c r="CA44" s="2688"/>
      <c r="CB44" s="2688"/>
      <c r="CC44" s="2688"/>
      <c r="CD44" s="2688"/>
      <c r="CE44" s="2688"/>
      <c r="CF44" s="2688"/>
      <c r="CG44" s="2688"/>
      <c r="CH44" s="2688"/>
      <c r="CI44" s="2688"/>
      <c r="CJ44" s="2688"/>
      <c r="CK44" s="2688"/>
      <c r="CL44" s="2688"/>
      <c r="CM44" s="2688"/>
      <c r="CN44" s="2688"/>
      <c r="CO44" s="2688"/>
      <c r="CP44" s="2688"/>
      <c r="CQ44" s="2688"/>
      <c r="CR44" s="2688"/>
      <c r="CS44" s="2688"/>
      <c r="CT44" s="2688"/>
      <c r="CU44" s="2688"/>
      <c r="CV44" s="2688"/>
      <c r="CW44" s="2688"/>
      <c r="CX44" s="2688"/>
      <c r="CY44" s="2688"/>
      <c r="CZ44" s="2688"/>
      <c r="DA44" s="2688"/>
      <c r="DB44" s="2688"/>
      <c r="DC44" s="2688"/>
      <c r="DD44" s="2688"/>
      <c r="DE44" s="2688"/>
      <c r="DF44" s="2688"/>
      <c r="DG44" s="2688"/>
      <c r="DH44" s="2688"/>
      <c r="DI44" s="2688"/>
      <c r="DJ44" s="2688"/>
      <c r="DK44" s="2688"/>
      <c r="DL44" s="2688"/>
      <c r="DM44" s="2688"/>
      <c r="DN44" s="2688"/>
      <c r="DO44" s="2688"/>
      <c r="DP44" s="2688"/>
      <c r="DQ44" s="2688"/>
      <c r="DR44" s="2688"/>
      <c r="DS44" s="2688"/>
      <c r="DT44" s="2688"/>
      <c r="DU44" s="2688"/>
      <c r="DV44" s="2688"/>
      <c r="DW44" s="2688"/>
      <c r="DX44" s="2688"/>
      <c r="DY44" s="2688"/>
      <c r="DZ44" s="2688"/>
      <c r="EA44" s="2688"/>
      <c r="EB44" s="2688"/>
      <c r="EC44" s="2688"/>
      <c r="ED44" s="2688"/>
      <c r="EE44" s="2688"/>
      <c r="EF44" s="2688"/>
      <c r="EG44" s="2688"/>
      <c r="EH44" s="2688"/>
      <c r="EI44" s="2688"/>
      <c r="EJ44" s="2688"/>
      <c r="EK44" s="2688"/>
      <c r="EL44" s="2688"/>
      <c r="EM44" s="2688"/>
      <c r="EN44" s="2688"/>
      <c r="EO44" s="2688"/>
      <c r="EP44" s="2688"/>
      <c r="EQ44" s="2688"/>
      <c r="ER44" s="2688"/>
      <c r="ES44" s="2688"/>
      <c r="ET44" s="2688"/>
      <c r="EU44" s="2688"/>
      <c r="EV44" s="2688"/>
      <c r="EW44" s="2688"/>
      <c r="EX44" s="2688"/>
      <c r="EY44" s="2688"/>
      <c r="EZ44" s="2688"/>
      <c r="FA44" s="2688"/>
      <c r="FB44" s="2688"/>
      <c r="FC44" s="2688"/>
      <c r="FD44" s="2688"/>
      <c r="FE44" s="2688"/>
      <c r="FF44" s="2688"/>
      <c r="FG44" s="2688"/>
      <c r="FH44" s="2688"/>
      <c r="FI44" s="2688"/>
      <c r="FJ44" s="2688"/>
      <c r="FK44" s="2688"/>
      <c r="FL44" s="2688"/>
      <c r="FM44" s="2688"/>
      <c r="FN44" s="2688"/>
      <c r="FO44" s="2688"/>
      <c r="FP44" s="2688"/>
      <c r="FQ44" s="2688"/>
      <c r="FR44" s="2688"/>
      <c r="FS44" s="2688"/>
      <c r="FT44" s="2688"/>
      <c r="FU44" s="2688"/>
      <c r="FV44" s="2688"/>
      <c r="FW44" s="2688"/>
      <c r="FX44" s="2688"/>
      <c r="FY44" s="2688"/>
      <c r="FZ44" s="2688"/>
      <c r="GA44" s="2688"/>
      <c r="GB44" s="2688"/>
      <c r="GC44" s="2688"/>
      <c r="GD44" s="2688"/>
      <c r="GE44" s="2688"/>
      <c r="GF44" s="2688"/>
      <c r="GG44" s="2688"/>
      <c r="GH44" s="2688"/>
      <c r="GI44" s="2688"/>
      <c r="GJ44" s="2688"/>
      <c r="GK44" s="2688"/>
      <c r="GL44" s="2688"/>
      <c r="GM44" s="2688"/>
      <c r="GN44" s="2688"/>
      <c r="GO44" s="2688"/>
      <c r="GP44" s="2688"/>
      <c r="GQ44" s="2688"/>
      <c r="GR44" s="2688"/>
      <c r="GS44" s="2688"/>
      <c r="GT44" s="2688"/>
      <c r="GU44" s="2688"/>
      <c r="GV44" s="2688"/>
      <c r="GW44" s="2688"/>
      <c r="GX44" s="2688"/>
      <c r="GY44" s="2688"/>
      <c r="GZ44" s="2688"/>
      <c r="HA44" s="2688"/>
      <c r="HB44" s="2688"/>
      <c r="HC44" s="2688"/>
      <c r="HD44" s="2688"/>
      <c r="HE44" s="2688"/>
      <c r="HF44" s="2688"/>
      <c r="HG44" s="2688"/>
      <c r="HH44" s="2688"/>
      <c r="HI44" s="2688"/>
      <c r="HJ44" s="2688"/>
      <c r="HK44" s="2688"/>
      <c r="HL44" s="2688"/>
      <c r="HM44" s="2688"/>
      <c r="HN44" s="2688"/>
      <c r="HO44" s="2688"/>
      <c r="HP44" s="2688"/>
      <c r="HQ44" s="2688"/>
      <c r="HR44" s="2688"/>
      <c r="HS44" s="2688"/>
      <c r="HT44" s="2688"/>
      <c r="HU44" s="2688"/>
      <c r="HV44" s="2688"/>
      <c r="HW44" s="2688"/>
      <c r="HX44" s="2688"/>
      <c r="HY44" s="2688"/>
      <c r="HZ44" s="2688"/>
      <c r="IA44" s="2688"/>
      <c r="IB44" s="2688"/>
      <c r="IC44" s="2688"/>
      <c r="ID44" s="2688"/>
      <c r="IE44" s="2688"/>
      <c r="IF44" s="2688"/>
      <c r="IG44" s="2688"/>
      <c r="IH44" s="2688"/>
      <c r="II44" s="2688"/>
      <c r="IJ44" s="2688"/>
      <c r="IK44" s="2688"/>
      <c r="IL44" s="2688"/>
      <c r="IM44" s="2688"/>
      <c r="IN44" s="2688"/>
      <c r="IO44" s="2688"/>
      <c r="IP44" s="3557"/>
      <c r="IQ44" s="3557"/>
      <c r="IR44" s="3557"/>
      <c r="IS44" s="3557"/>
      <c r="IT44" s="3557"/>
      <c r="IU44" s="3557"/>
      <c r="IV44" s="3557"/>
      <c r="IW44" s="3557"/>
      <c r="IX44" s="4031"/>
      <c r="IY44" s="3557"/>
      <c r="IZ44" s="3557"/>
      <c r="JA44" s="3557"/>
      <c r="JB44" s="3557"/>
      <c r="JC44" s="3557"/>
      <c r="JD44" s="3557"/>
      <c r="JE44" s="3557"/>
      <c r="JF44" s="3557"/>
      <c r="JG44" s="4085"/>
      <c r="JH44" s="1233"/>
    </row>
    <row r="45" spans="1:268" x14ac:dyDescent="0.2">
      <c r="A45" s="1128">
        <v>45</v>
      </c>
      <c r="B45" s="1534" t="str">
        <f si="0" t="shared"/>
        <v/>
      </c>
      <c r="C45" s="1544" t="s">
        <v>4057</v>
      </c>
      <c r="D45" s="1386" t="s">
        <v>5324</v>
      </c>
      <c r="E45" s="2688"/>
      <c r="F45" s="2688"/>
      <c r="G45" s="2688"/>
      <c r="H45" s="2688"/>
      <c r="I45" s="2688"/>
      <c r="J45" s="2688"/>
      <c r="K45" s="2688"/>
      <c r="L45" s="2688"/>
      <c r="M45" s="2688"/>
      <c r="N45" s="2688"/>
      <c r="O45" s="2688"/>
      <c r="P45" s="2688"/>
      <c r="Q45" s="2688"/>
      <c r="R45" s="2688"/>
      <c r="S45" s="2688"/>
      <c r="T45" s="2688"/>
      <c r="U45" s="2688"/>
      <c r="V45" s="2688"/>
      <c r="W45" s="2688"/>
      <c r="X45" s="2688"/>
      <c r="Y45" s="2688"/>
      <c r="Z45" s="2688"/>
      <c r="AA45" s="2688"/>
      <c r="AB45" s="2688"/>
      <c r="AC45" s="2688"/>
      <c r="AD45" s="2688"/>
      <c r="AE45" s="2688"/>
      <c r="AF45" s="2688"/>
      <c r="AG45" s="2688"/>
      <c r="AH45" s="2688"/>
      <c r="AI45" s="2688"/>
      <c r="AJ45" s="2688"/>
      <c r="AK45" s="2688"/>
      <c r="AL45" s="2688"/>
      <c r="AM45" s="2688"/>
      <c r="AN45" s="2688"/>
      <c r="AO45" s="2688"/>
      <c r="AP45" s="2688"/>
      <c r="AQ45" s="2688"/>
      <c r="AR45" s="2688"/>
      <c r="AS45" s="2688"/>
      <c r="AT45" s="2688"/>
      <c r="AU45" s="2688"/>
      <c r="AV45" s="2688"/>
      <c r="AW45" s="2688"/>
      <c r="AX45" s="2688"/>
      <c r="AY45" s="2688"/>
      <c r="AZ45" s="2688"/>
      <c r="BA45" s="2688"/>
      <c r="BB45" s="2688"/>
      <c r="BC45" s="2688"/>
      <c r="BD45" s="2688"/>
      <c r="BE45" s="2688"/>
      <c r="BF45" s="2688"/>
      <c r="BG45" s="2688"/>
      <c r="BH45" s="2688"/>
      <c r="BI45" s="2688"/>
      <c r="BJ45" s="2688"/>
      <c r="BK45" s="2688"/>
      <c r="BL45" s="2688"/>
      <c r="BM45" s="2688"/>
      <c r="BN45" s="2688"/>
      <c r="BO45" s="2688"/>
      <c r="BP45" s="2688"/>
      <c r="BQ45" s="2688"/>
      <c r="BR45" s="2688"/>
      <c r="BS45" s="2688"/>
      <c r="BT45" s="2688"/>
      <c r="BU45" s="2688"/>
      <c r="BV45" s="2688"/>
      <c r="BW45" s="2688"/>
      <c r="BX45" s="2688"/>
      <c r="BY45" s="2688"/>
      <c r="BZ45" s="2688"/>
      <c r="CA45" s="2688"/>
      <c r="CB45" s="2688"/>
      <c r="CC45" s="2688"/>
      <c r="CD45" s="2688"/>
      <c r="CE45" s="2688"/>
      <c r="CF45" s="2688"/>
      <c r="CG45" s="2688"/>
      <c r="CH45" s="2688"/>
      <c r="CI45" s="2688"/>
      <c r="CJ45" s="2688"/>
      <c r="CK45" s="2688"/>
      <c r="CL45" s="2688"/>
      <c r="CM45" s="2688"/>
      <c r="CN45" s="2688"/>
      <c r="CO45" s="2688"/>
      <c r="CP45" s="2688"/>
      <c r="CQ45" s="2688"/>
      <c r="CR45" s="2688"/>
      <c r="CS45" s="2688"/>
      <c r="CT45" s="2688"/>
      <c r="CU45" s="2688"/>
      <c r="CV45" s="2688"/>
      <c r="CW45" s="2688"/>
      <c r="CX45" s="2688"/>
      <c r="CY45" s="2688"/>
      <c r="CZ45" s="2688"/>
      <c r="DA45" s="2688"/>
      <c r="DB45" s="2688"/>
      <c r="DC45" s="2688"/>
      <c r="DD45" s="2688"/>
      <c r="DE45" s="2688"/>
      <c r="DF45" s="2688"/>
      <c r="DG45" s="2688"/>
      <c r="DH45" s="2688"/>
      <c r="DI45" s="2688"/>
      <c r="DJ45" s="2688"/>
      <c r="DK45" s="2688"/>
      <c r="DL45" s="2688"/>
      <c r="DM45" s="2688"/>
      <c r="DN45" s="2688"/>
      <c r="DO45" s="2688"/>
      <c r="DP45" s="2688"/>
      <c r="DQ45" s="2688"/>
      <c r="DR45" s="2688"/>
      <c r="DS45" s="2688"/>
      <c r="DT45" s="2688"/>
      <c r="DU45" s="2688"/>
      <c r="DV45" s="2688"/>
      <c r="DW45" s="2688"/>
      <c r="DX45" s="2688"/>
      <c r="DY45" s="2688"/>
      <c r="DZ45" s="2688"/>
      <c r="EA45" s="2688"/>
      <c r="EB45" s="2688"/>
      <c r="EC45" s="2688"/>
      <c r="ED45" s="2688"/>
      <c r="EE45" s="2688"/>
      <c r="EF45" s="2688"/>
      <c r="EG45" s="2688"/>
      <c r="EH45" s="2688"/>
      <c r="EI45" s="2688"/>
      <c r="EJ45" s="2688"/>
      <c r="EK45" s="2688"/>
      <c r="EL45" s="2688"/>
      <c r="EM45" s="2688"/>
      <c r="EN45" s="2688"/>
      <c r="EO45" s="2688"/>
      <c r="EP45" s="2688"/>
      <c r="EQ45" s="2688"/>
      <c r="ER45" s="2688"/>
      <c r="ES45" s="2688"/>
      <c r="ET45" s="2688"/>
      <c r="EU45" s="2688"/>
      <c r="EV45" s="2688"/>
      <c r="EW45" s="2688"/>
      <c r="EX45" s="2688"/>
      <c r="EY45" s="2688"/>
      <c r="EZ45" s="2688"/>
      <c r="FA45" s="2688"/>
      <c r="FB45" s="2688"/>
      <c r="FC45" s="2688"/>
      <c r="FD45" s="2688"/>
      <c r="FE45" s="2688"/>
      <c r="FF45" s="2688"/>
      <c r="FG45" s="2688"/>
      <c r="FH45" s="2688"/>
      <c r="FI45" s="2688"/>
      <c r="FJ45" s="2688"/>
      <c r="FK45" s="2688"/>
      <c r="FL45" s="2688"/>
      <c r="FM45" s="2688"/>
      <c r="FN45" s="2688"/>
      <c r="FO45" s="2688"/>
      <c r="FP45" s="2688"/>
      <c r="FQ45" s="2688"/>
      <c r="FR45" s="2688"/>
      <c r="FS45" s="2688"/>
      <c r="FT45" s="2688"/>
      <c r="FU45" s="2688"/>
      <c r="FV45" s="2688"/>
      <c r="FW45" s="2688"/>
      <c r="FX45" s="2688"/>
      <c r="FY45" s="2688"/>
      <c r="FZ45" s="2688"/>
      <c r="GA45" s="2688"/>
      <c r="GB45" s="2688"/>
      <c r="GC45" s="2688"/>
      <c r="GD45" s="2688"/>
      <c r="GE45" s="2688"/>
      <c r="GF45" s="2688"/>
      <c r="GG45" s="2688"/>
      <c r="GH45" s="2688"/>
      <c r="GI45" s="2688"/>
      <c r="GJ45" s="2688"/>
      <c r="GK45" s="2688"/>
      <c r="GL45" s="2688"/>
      <c r="GM45" s="2688"/>
      <c r="GN45" s="2688"/>
      <c r="GO45" s="2688"/>
      <c r="GP45" s="2688"/>
      <c r="GQ45" s="2688"/>
      <c r="GR45" s="2688"/>
      <c r="GS45" s="2688"/>
      <c r="GT45" s="2688"/>
      <c r="GU45" s="2688"/>
      <c r="GV45" s="2688"/>
      <c r="GW45" s="2688"/>
      <c r="GX45" s="2688"/>
      <c r="GY45" s="2688"/>
      <c r="GZ45" s="2688"/>
      <c r="HA45" s="2688"/>
      <c r="HB45" s="2688"/>
      <c r="HC45" s="2688"/>
      <c r="HD45" s="2688"/>
      <c r="HE45" s="2688"/>
      <c r="HF45" s="2688"/>
      <c r="HG45" s="2688"/>
      <c r="HH45" s="2688"/>
      <c r="HI45" s="2688"/>
      <c r="HJ45" s="2688"/>
      <c r="HK45" s="2688"/>
      <c r="HL45" s="2688"/>
      <c r="HM45" s="2688"/>
      <c r="HN45" s="2688"/>
      <c r="HO45" s="2688"/>
      <c r="HP45" s="2688"/>
      <c r="HQ45" s="2688"/>
      <c r="HR45" s="2688"/>
      <c r="HS45" s="2688"/>
      <c r="HT45" s="2688"/>
      <c r="HU45" s="2688"/>
      <c r="HV45" s="2688"/>
      <c r="HW45" s="2688"/>
      <c r="HX45" s="2688"/>
      <c r="HY45" s="2688"/>
      <c r="HZ45" s="2688"/>
      <c r="IA45" s="2688"/>
      <c r="IB45" s="2688"/>
      <c r="IC45" s="2688"/>
      <c r="ID45" s="2688"/>
      <c r="IE45" s="2688"/>
      <c r="IF45" s="2688"/>
      <c r="IG45" s="2688"/>
      <c r="IH45" s="2688"/>
      <c r="II45" s="2688"/>
      <c r="IJ45" s="2688"/>
      <c r="IK45" s="2688"/>
      <c r="IL45" s="2688"/>
      <c r="IM45" s="2688"/>
      <c r="IN45" s="2688"/>
      <c r="IO45" s="2688"/>
      <c r="IP45" s="3557"/>
      <c r="IQ45" s="3557"/>
      <c r="IR45" s="3557"/>
      <c r="IS45" s="3557"/>
      <c r="IT45" s="3557"/>
      <c r="IU45" s="3557"/>
      <c r="IV45" s="3557"/>
      <c r="IW45" s="3557"/>
      <c r="IX45" s="4031"/>
      <c r="IY45" s="3557"/>
      <c r="IZ45" s="3557"/>
      <c r="JA45" s="3557"/>
      <c r="JB45" s="3557"/>
      <c r="JC45" s="3557"/>
      <c r="JD45" s="3557"/>
      <c r="JE45" s="3557"/>
      <c r="JF45" s="3557"/>
      <c r="JG45" s="4085"/>
      <c r="JH45" s="1233"/>
    </row>
    <row r="46" spans="1:268" x14ac:dyDescent="0.2">
      <c r="A46" s="1128">
        <v>46</v>
      </c>
      <c r="B46" s="1534" t="str">
        <f si="0" t="shared"/>
        <v/>
      </c>
      <c r="C46" s="1544" t="s">
        <v>4058</v>
      </c>
      <c r="D46" s="1386" t="s">
        <v>5325</v>
      </c>
      <c r="E46" s="2688"/>
      <c r="F46" s="2688"/>
      <c r="G46" s="2688"/>
      <c r="H46" s="2688"/>
      <c r="I46" s="2688"/>
      <c r="J46" s="2688"/>
      <c r="K46" s="2688"/>
      <c r="L46" s="2688"/>
      <c r="M46" s="2688"/>
      <c r="N46" s="2688"/>
      <c r="O46" s="2688"/>
      <c r="P46" s="2688"/>
      <c r="Q46" s="2688"/>
      <c r="R46" s="2688"/>
      <c r="S46" s="2688"/>
      <c r="T46" s="2688"/>
      <c r="U46" s="2688"/>
      <c r="V46" s="2688"/>
      <c r="W46" s="2688"/>
      <c r="X46" s="2688"/>
      <c r="Y46" s="2688"/>
      <c r="Z46" s="2688"/>
      <c r="AA46" s="2688"/>
      <c r="AB46" s="2688"/>
      <c r="AC46" s="2688"/>
      <c r="AD46" s="2688"/>
      <c r="AE46" s="2688"/>
      <c r="AF46" s="2688"/>
      <c r="AG46" s="2688"/>
      <c r="AH46" s="2688"/>
      <c r="AI46" s="2688"/>
      <c r="AJ46" s="2688"/>
      <c r="AK46" s="2688"/>
      <c r="AL46" s="2688"/>
      <c r="AM46" s="2688"/>
      <c r="AN46" s="2688"/>
      <c r="AO46" s="2688"/>
      <c r="AP46" s="2688"/>
      <c r="AQ46" s="2688"/>
      <c r="AR46" s="2688"/>
      <c r="AS46" s="2688"/>
      <c r="AT46" s="2688"/>
      <c r="AU46" s="2688"/>
      <c r="AV46" s="2688"/>
      <c r="AW46" s="2688"/>
      <c r="AX46" s="2688"/>
      <c r="AY46" s="2688"/>
      <c r="AZ46" s="2688"/>
      <c r="BA46" s="2688"/>
      <c r="BB46" s="2688"/>
      <c r="BC46" s="2688"/>
      <c r="BD46" s="2688"/>
      <c r="BE46" s="2688"/>
      <c r="BF46" s="2688"/>
      <c r="BG46" s="2688"/>
      <c r="BH46" s="2688"/>
      <c r="BI46" s="2688"/>
      <c r="BJ46" s="2688"/>
      <c r="BK46" s="2688"/>
      <c r="BL46" s="2688"/>
      <c r="BM46" s="2688"/>
      <c r="BN46" s="2688"/>
      <c r="BO46" s="2688"/>
      <c r="BP46" s="2688"/>
      <c r="BQ46" s="2688"/>
      <c r="BR46" s="2688"/>
      <c r="BS46" s="2688"/>
      <c r="BT46" s="2688"/>
      <c r="BU46" s="2688"/>
      <c r="BV46" s="2688"/>
      <c r="BW46" s="2688"/>
      <c r="BX46" s="2688"/>
      <c r="BY46" s="2688"/>
      <c r="BZ46" s="2688"/>
      <c r="CA46" s="2688"/>
      <c r="CB46" s="2688"/>
      <c r="CC46" s="2688"/>
      <c r="CD46" s="2688"/>
      <c r="CE46" s="2688"/>
      <c r="CF46" s="2688"/>
      <c r="CG46" s="2688"/>
      <c r="CH46" s="2688"/>
      <c r="CI46" s="2688"/>
      <c r="CJ46" s="2688"/>
      <c r="CK46" s="2688"/>
      <c r="CL46" s="2688"/>
      <c r="CM46" s="2688"/>
      <c r="CN46" s="2688"/>
      <c r="CO46" s="2688"/>
      <c r="CP46" s="2688"/>
      <c r="CQ46" s="2688"/>
      <c r="CR46" s="2688"/>
      <c r="CS46" s="2688"/>
      <c r="CT46" s="2688"/>
      <c r="CU46" s="2688"/>
      <c r="CV46" s="2688"/>
      <c r="CW46" s="2688"/>
      <c r="CX46" s="2688"/>
      <c r="CY46" s="2688"/>
      <c r="CZ46" s="2688"/>
      <c r="DA46" s="2688"/>
      <c r="DB46" s="2688"/>
      <c r="DC46" s="2688"/>
      <c r="DD46" s="2688"/>
      <c r="DE46" s="2688"/>
      <c r="DF46" s="2688"/>
      <c r="DG46" s="2688"/>
      <c r="DH46" s="2688"/>
      <c r="DI46" s="2688"/>
      <c r="DJ46" s="2688"/>
      <c r="DK46" s="2688"/>
      <c r="DL46" s="2688"/>
      <c r="DM46" s="2688"/>
      <c r="DN46" s="2688"/>
      <c r="DO46" s="2688"/>
      <c r="DP46" s="2688"/>
      <c r="DQ46" s="2688"/>
      <c r="DR46" s="2688"/>
      <c r="DS46" s="2688"/>
      <c r="DT46" s="2688"/>
      <c r="DU46" s="2688"/>
      <c r="DV46" s="2688"/>
      <c r="DW46" s="2688"/>
      <c r="DX46" s="2688"/>
      <c r="DY46" s="2688"/>
      <c r="DZ46" s="2688"/>
      <c r="EA46" s="2688"/>
      <c r="EB46" s="2688"/>
      <c r="EC46" s="2688"/>
      <c r="ED46" s="2688"/>
      <c r="EE46" s="2688"/>
      <c r="EF46" s="2688"/>
      <c r="EG46" s="2688"/>
      <c r="EH46" s="2688"/>
      <c r="EI46" s="2688"/>
      <c r="EJ46" s="2688"/>
      <c r="EK46" s="2688"/>
      <c r="EL46" s="2688"/>
      <c r="EM46" s="2688"/>
      <c r="EN46" s="2688"/>
      <c r="EO46" s="2688"/>
      <c r="EP46" s="2688"/>
      <c r="EQ46" s="2688"/>
      <c r="ER46" s="2688"/>
      <c r="ES46" s="2688"/>
      <c r="ET46" s="2688"/>
      <c r="EU46" s="2688"/>
      <c r="EV46" s="2688"/>
      <c r="EW46" s="2688"/>
      <c r="EX46" s="2688"/>
      <c r="EY46" s="2688"/>
      <c r="EZ46" s="2688"/>
      <c r="FA46" s="2688"/>
      <c r="FB46" s="2688"/>
      <c r="FC46" s="2688"/>
      <c r="FD46" s="2688"/>
      <c r="FE46" s="2688"/>
      <c r="FF46" s="2688"/>
      <c r="FG46" s="2688"/>
      <c r="FH46" s="2688"/>
      <c r="FI46" s="2688"/>
      <c r="FJ46" s="2688"/>
      <c r="FK46" s="2688"/>
      <c r="FL46" s="2688"/>
      <c r="FM46" s="2688"/>
      <c r="FN46" s="2688"/>
      <c r="FO46" s="2688"/>
      <c r="FP46" s="2688"/>
      <c r="FQ46" s="2688"/>
      <c r="FR46" s="2688"/>
      <c r="FS46" s="2688"/>
      <c r="FT46" s="2688"/>
      <c r="FU46" s="2688"/>
      <c r="FV46" s="2688"/>
      <c r="FW46" s="2688"/>
      <c r="FX46" s="2688"/>
      <c r="FY46" s="2688"/>
      <c r="FZ46" s="2688"/>
      <c r="GA46" s="2688"/>
      <c r="GB46" s="2688"/>
      <c r="GC46" s="2688"/>
      <c r="GD46" s="2688"/>
      <c r="GE46" s="2688"/>
      <c r="GF46" s="2688"/>
      <c r="GG46" s="2688"/>
      <c r="GH46" s="2688"/>
      <c r="GI46" s="2688"/>
      <c r="GJ46" s="2688"/>
      <c r="GK46" s="2688"/>
      <c r="GL46" s="2688"/>
      <c r="GM46" s="2688"/>
      <c r="GN46" s="2688"/>
      <c r="GO46" s="2688"/>
      <c r="GP46" s="2688"/>
      <c r="GQ46" s="2688"/>
      <c r="GR46" s="2688"/>
      <c r="GS46" s="2688"/>
      <c r="GT46" s="2688"/>
      <c r="GU46" s="2688"/>
      <c r="GV46" s="2688"/>
      <c r="GW46" s="2688"/>
      <c r="GX46" s="2688"/>
      <c r="GY46" s="2688"/>
      <c r="GZ46" s="2688"/>
      <c r="HA46" s="2688"/>
      <c r="HB46" s="2688"/>
      <c r="HC46" s="2688"/>
      <c r="HD46" s="2688"/>
      <c r="HE46" s="2688"/>
      <c r="HF46" s="2688"/>
      <c r="HG46" s="2688"/>
      <c r="HH46" s="2688"/>
      <c r="HI46" s="2688"/>
      <c r="HJ46" s="2688"/>
      <c r="HK46" s="2688"/>
      <c r="HL46" s="2688"/>
      <c r="HM46" s="2688"/>
      <c r="HN46" s="2688"/>
      <c r="HO46" s="2688"/>
      <c r="HP46" s="2688"/>
      <c r="HQ46" s="2688"/>
      <c r="HR46" s="2688"/>
      <c r="HS46" s="2688"/>
      <c r="HT46" s="2688"/>
      <c r="HU46" s="2688"/>
      <c r="HV46" s="2688"/>
      <c r="HW46" s="2688"/>
      <c r="HX46" s="2688"/>
      <c r="HY46" s="2688"/>
      <c r="HZ46" s="2688"/>
      <c r="IA46" s="2688"/>
      <c r="IB46" s="2688"/>
      <c r="IC46" s="2688"/>
      <c r="ID46" s="2688"/>
      <c r="IE46" s="2688"/>
      <c r="IF46" s="2688"/>
      <c r="IG46" s="2688"/>
      <c r="IH46" s="2688"/>
      <c r="II46" s="2688"/>
      <c r="IJ46" s="2688"/>
      <c r="IK46" s="2688"/>
      <c r="IL46" s="2688"/>
      <c r="IM46" s="2688"/>
      <c r="IN46" s="2688"/>
      <c r="IO46" s="2688"/>
      <c r="IP46" s="2815"/>
      <c r="IQ46" s="2815"/>
      <c r="IR46" s="2815"/>
      <c r="IS46" s="2815"/>
      <c r="IT46" s="2815"/>
      <c r="IU46" s="2815"/>
      <c r="IV46" s="2815"/>
      <c r="IW46" s="2815"/>
      <c r="IX46" s="3979"/>
      <c r="IY46" s="2815"/>
      <c r="IZ46" s="2815"/>
      <c r="JA46" s="2815"/>
      <c r="JB46" s="2815"/>
      <c r="JC46" s="2815"/>
      <c r="JD46" s="2815"/>
      <c r="JE46" s="2815"/>
      <c r="JF46" s="2815"/>
      <c r="JG46" s="3348"/>
      <c r="JH46" s="1233"/>
    </row>
    <row r="47" spans="1:268" x14ac:dyDescent="0.2">
      <c r="A47" s="1128">
        <v>47</v>
      </c>
      <c r="B47" s="1534" t="str">
        <f si="0" t="shared"/>
        <v/>
      </c>
      <c r="C47" s="1544" t="s">
        <v>4059</v>
      </c>
      <c r="D47" s="1386" t="s">
        <v>5326</v>
      </c>
      <c r="E47" s="2688"/>
      <c r="F47" s="2688"/>
      <c r="G47" s="2688"/>
      <c r="H47" s="2688"/>
      <c r="I47" s="2688"/>
      <c r="J47" s="2688"/>
      <c r="K47" s="2688"/>
      <c r="L47" s="2688"/>
      <c r="M47" s="2688"/>
      <c r="N47" s="2688"/>
      <c r="O47" s="2688"/>
      <c r="P47" s="2688"/>
      <c r="Q47" s="2688"/>
      <c r="R47" s="2688"/>
      <c r="S47" s="2688"/>
      <c r="T47" s="2688"/>
      <c r="U47" s="2688"/>
      <c r="V47" s="2688"/>
      <c r="W47" s="2688"/>
      <c r="X47" s="2688"/>
      <c r="Y47" s="2688"/>
      <c r="Z47" s="2688"/>
      <c r="AA47" s="2688"/>
      <c r="AB47" s="2688"/>
      <c r="AC47" s="2688"/>
      <c r="AD47" s="2688"/>
      <c r="AE47" s="2688"/>
      <c r="AF47" s="2688"/>
      <c r="AG47" s="2688"/>
      <c r="AH47" s="2688"/>
      <c r="AI47" s="2688"/>
      <c r="AJ47" s="2688"/>
      <c r="AK47" s="2688"/>
      <c r="AL47" s="2688"/>
      <c r="AM47" s="2688"/>
      <c r="AN47" s="2688"/>
      <c r="AO47" s="2688"/>
      <c r="AP47" s="2688"/>
      <c r="AQ47" s="2688"/>
      <c r="AR47" s="2688"/>
      <c r="AS47" s="2688"/>
      <c r="AT47" s="2688"/>
      <c r="AU47" s="2688"/>
      <c r="AV47" s="2688"/>
      <c r="AW47" s="2688"/>
      <c r="AX47" s="2688"/>
      <c r="AY47" s="2688"/>
      <c r="AZ47" s="2688"/>
      <c r="BA47" s="2688"/>
      <c r="BB47" s="2688"/>
      <c r="BC47" s="2688"/>
      <c r="BD47" s="2688"/>
      <c r="BE47" s="2688"/>
      <c r="BF47" s="2688"/>
      <c r="BG47" s="2688"/>
      <c r="BH47" s="2688"/>
      <c r="BI47" s="2688"/>
      <c r="BJ47" s="2688"/>
      <c r="BK47" s="2688"/>
      <c r="BL47" s="2688"/>
      <c r="BM47" s="2688"/>
      <c r="BN47" s="2688"/>
      <c r="BO47" s="2688"/>
      <c r="BP47" s="2688"/>
      <c r="BQ47" s="2688"/>
      <c r="BR47" s="2688"/>
      <c r="BS47" s="2688"/>
      <c r="BT47" s="2688"/>
      <c r="BU47" s="2688"/>
      <c r="BV47" s="2688"/>
      <c r="BW47" s="2688"/>
      <c r="BX47" s="2688"/>
      <c r="BY47" s="2688"/>
      <c r="BZ47" s="2688"/>
      <c r="CA47" s="2688"/>
      <c r="CB47" s="2688"/>
      <c r="CC47" s="2688"/>
      <c r="CD47" s="2688"/>
      <c r="CE47" s="2688"/>
      <c r="CF47" s="2688"/>
      <c r="CG47" s="2688"/>
      <c r="CH47" s="2688"/>
      <c r="CI47" s="2688"/>
      <c r="CJ47" s="2688"/>
      <c r="CK47" s="2688"/>
      <c r="CL47" s="2688"/>
      <c r="CM47" s="2688"/>
      <c r="CN47" s="2688"/>
      <c r="CO47" s="2688"/>
      <c r="CP47" s="2688"/>
      <c r="CQ47" s="2688"/>
      <c r="CR47" s="2688"/>
      <c r="CS47" s="2688"/>
      <c r="CT47" s="2688"/>
      <c r="CU47" s="2688"/>
      <c r="CV47" s="2688"/>
      <c r="CW47" s="2688"/>
      <c r="CX47" s="2688"/>
      <c r="CY47" s="2688"/>
      <c r="CZ47" s="2688"/>
      <c r="DA47" s="2688"/>
      <c r="DB47" s="2688"/>
      <c r="DC47" s="2688"/>
      <c r="DD47" s="2688"/>
      <c r="DE47" s="2688"/>
      <c r="DF47" s="2688"/>
      <c r="DG47" s="2688"/>
      <c r="DH47" s="2688"/>
      <c r="DI47" s="2688"/>
      <c r="DJ47" s="2688"/>
      <c r="DK47" s="2688"/>
      <c r="DL47" s="2688"/>
      <c r="DM47" s="2688"/>
      <c r="DN47" s="2688"/>
      <c r="DO47" s="2688"/>
      <c r="DP47" s="2688"/>
      <c r="DQ47" s="2688"/>
      <c r="DR47" s="2688"/>
      <c r="DS47" s="2688"/>
      <c r="DT47" s="2688"/>
      <c r="DU47" s="2688"/>
      <c r="DV47" s="2688"/>
      <c r="DW47" s="2688"/>
      <c r="DX47" s="2688"/>
      <c r="DY47" s="2688"/>
      <c r="DZ47" s="2688"/>
      <c r="EA47" s="2688"/>
      <c r="EB47" s="2688"/>
      <c r="EC47" s="2688"/>
      <c r="ED47" s="2688"/>
      <c r="EE47" s="2688"/>
      <c r="EF47" s="2688"/>
      <c r="EG47" s="2688"/>
      <c r="EH47" s="2688"/>
      <c r="EI47" s="2688"/>
      <c r="EJ47" s="2688"/>
      <c r="EK47" s="2688"/>
      <c r="EL47" s="2688"/>
      <c r="EM47" s="2688"/>
      <c r="EN47" s="2688"/>
      <c r="EO47" s="2688"/>
      <c r="EP47" s="2688"/>
      <c r="EQ47" s="2688"/>
      <c r="ER47" s="2688"/>
      <c r="ES47" s="2688"/>
      <c r="ET47" s="2688"/>
      <c r="EU47" s="2688"/>
      <c r="EV47" s="2688"/>
      <c r="EW47" s="2688"/>
      <c r="EX47" s="2688"/>
      <c r="EY47" s="2688"/>
      <c r="EZ47" s="2688"/>
      <c r="FA47" s="2688"/>
      <c r="FB47" s="2688"/>
      <c r="FC47" s="2688"/>
      <c r="FD47" s="2688"/>
      <c r="FE47" s="2688"/>
      <c r="FF47" s="2688"/>
      <c r="FG47" s="2688"/>
      <c r="FH47" s="2688"/>
      <c r="FI47" s="2688"/>
      <c r="FJ47" s="2688"/>
      <c r="FK47" s="2688"/>
      <c r="FL47" s="2688"/>
      <c r="FM47" s="2688"/>
      <c r="FN47" s="2688"/>
      <c r="FO47" s="2688"/>
      <c r="FP47" s="2688"/>
      <c r="FQ47" s="2688"/>
      <c r="FR47" s="2688"/>
      <c r="FS47" s="2688"/>
      <c r="FT47" s="2688"/>
      <c r="FU47" s="2688"/>
      <c r="FV47" s="2688"/>
      <c r="FW47" s="2688"/>
      <c r="FX47" s="2688"/>
      <c r="FY47" s="2688"/>
      <c r="FZ47" s="2688"/>
      <c r="GA47" s="2688"/>
      <c r="GB47" s="2688"/>
      <c r="GC47" s="2688"/>
      <c r="GD47" s="2688"/>
      <c r="GE47" s="2688"/>
      <c r="GF47" s="2688"/>
      <c r="GG47" s="2688"/>
      <c r="GH47" s="2688"/>
      <c r="GI47" s="2688"/>
      <c r="GJ47" s="2688"/>
      <c r="GK47" s="2688"/>
      <c r="GL47" s="2688"/>
      <c r="GM47" s="2688"/>
      <c r="GN47" s="2688"/>
      <c r="GO47" s="2688"/>
      <c r="GP47" s="2688"/>
      <c r="GQ47" s="2688"/>
      <c r="GR47" s="2688"/>
      <c r="GS47" s="2688"/>
      <c r="GT47" s="2688"/>
      <c r="GU47" s="2688"/>
      <c r="GV47" s="2688"/>
      <c r="GW47" s="2688"/>
      <c r="GX47" s="2688"/>
      <c r="GY47" s="2688"/>
      <c r="GZ47" s="2688"/>
      <c r="HA47" s="2688"/>
      <c r="HB47" s="2688"/>
      <c r="HC47" s="2688"/>
      <c r="HD47" s="2688"/>
      <c r="HE47" s="2688"/>
      <c r="HF47" s="2688"/>
      <c r="HG47" s="2688"/>
      <c r="HH47" s="2688"/>
      <c r="HI47" s="2688"/>
      <c r="HJ47" s="2688"/>
      <c r="HK47" s="2688"/>
      <c r="HL47" s="2688"/>
      <c r="HM47" s="2688"/>
      <c r="HN47" s="2688"/>
      <c r="HO47" s="2688"/>
      <c r="HP47" s="2688"/>
      <c r="HQ47" s="2688"/>
      <c r="HR47" s="2688"/>
      <c r="HS47" s="2688"/>
      <c r="HT47" s="2688"/>
      <c r="HU47" s="2688"/>
      <c r="HV47" s="2688"/>
      <c r="HW47" s="2688"/>
      <c r="HX47" s="2688"/>
      <c r="HY47" s="2688"/>
      <c r="HZ47" s="2688"/>
      <c r="IA47" s="2688"/>
      <c r="IB47" s="2688"/>
      <c r="IC47" s="2688"/>
      <c r="ID47" s="2688"/>
      <c r="IE47" s="2688"/>
      <c r="IF47" s="2688"/>
      <c r="IG47" s="2688"/>
      <c r="IH47" s="2688"/>
      <c r="II47" s="2688"/>
      <c r="IJ47" s="2688"/>
      <c r="IK47" s="2688"/>
      <c r="IL47" s="2688"/>
      <c r="IM47" s="2688"/>
      <c r="IN47" s="2688"/>
      <c r="IO47" s="2688"/>
      <c r="IP47" s="3559"/>
      <c r="IQ47" s="3559"/>
      <c r="IR47" s="3559"/>
      <c r="IS47" s="3559"/>
      <c r="IT47" s="3559"/>
      <c r="IU47" s="3559"/>
      <c r="IV47" s="3559"/>
      <c r="IW47" s="3559"/>
      <c r="IX47" s="4032"/>
      <c r="IY47" s="3559"/>
      <c r="IZ47" s="3559"/>
      <c r="JA47" s="3559"/>
      <c r="JB47" s="3559"/>
      <c r="JC47" s="3559"/>
      <c r="JD47" s="3559"/>
      <c r="JE47" s="3559"/>
      <c r="JF47" s="3559"/>
      <c r="JG47" s="4087"/>
      <c r="JH47" s="1233"/>
    </row>
    <row r="48" spans="1:268" x14ac:dyDescent="0.2">
      <c r="A48" s="1128">
        <v>48</v>
      </c>
      <c r="B48" s="1534" t="str">
        <f si="0" t="shared"/>
        <v/>
      </c>
      <c r="C48" s="1524" t="s">
        <v>139</v>
      </c>
      <c r="D48" s="1386" t="s">
        <v>2562</v>
      </c>
      <c r="E48" s="2688"/>
      <c r="F48" s="2688"/>
      <c r="G48" s="2688"/>
      <c r="H48" s="2688"/>
      <c r="I48" s="2688"/>
      <c r="J48" s="2688"/>
      <c r="K48" s="2688"/>
      <c r="L48" s="2688"/>
      <c r="M48" s="2688"/>
      <c r="N48" s="2688"/>
      <c r="O48" s="2688"/>
      <c r="P48" s="2688"/>
      <c r="Q48" s="2688"/>
      <c r="R48" s="2688"/>
      <c r="S48" s="2688"/>
      <c r="T48" s="2688"/>
      <c r="U48" s="2688"/>
      <c r="V48" s="2688"/>
      <c r="W48" s="2688"/>
      <c r="X48" s="2688"/>
      <c r="Y48" s="2688"/>
      <c r="Z48" s="2688"/>
      <c r="AA48" s="2688"/>
      <c r="AB48" s="2688"/>
      <c r="AC48" s="2688"/>
      <c r="AD48" s="2688"/>
      <c r="AE48" s="2688"/>
      <c r="AF48" s="2688"/>
      <c r="AG48" s="2688"/>
      <c r="AH48" s="2688"/>
      <c r="AI48" s="2688"/>
      <c r="AJ48" s="2688"/>
      <c r="AK48" s="2688"/>
      <c r="AL48" s="2688"/>
      <c r="AM48" s="2688"/>
      <c r="AN48" s="2688"/>
      <c r="AO48" s="2688"/>
      <c r="AP48" s="2688"/>
      <c r="AQ48" s="2688"/>
      <c r="AR48" s="2688"/>
      <c r="AS48" s="2688"/>
      <c r="AT48" s="2688"/>
      <c r="AU48" s="2688"/>
      <c r="AV48" s="2688"/>
      <c r="AW48" s="2688"/>
      <c r="AX48" s="2688"/>
      <c r="AY48" s="2688"/>
      <c r="AZ48" s="2688"/>
      <c r="BA48" s="2688"/>
      <c r="BB48" s="2688"/>
      <c r="BC48" s="2688"/>
      <c r="BD48" s="2688"/>
      <c r="BE48" s="2688"/>
      <c r="BF48" s="2688"/>
      <c r="BG48" s="2688"/>
      <c r="BH48" s="2688"/>
      <c r="BI48" s="2688"/>
      <c r="BJ48" s="2688"/>
      <c r="BK48" s="2688"/>
      <c r="BL48" s="2688"/>
      <c r="BM48" s="2688"/>
      <c r="BN48" s="2688"/>
      <c r="BO48" s="2688"/>
      <c r="BP48" s="2688"/>
      <c r="BQ48" s="2688"/>
      <c r="BR48" s="2688"/>
      <c r="BS48" s="2688"/>
      <c r="BT48" s="2688"/>
      <c r="BU48" s="2688"/>
      <c r="BV48" s="2688"/>
      <c r="BW48" s="2688"/>
      <c r="BX48" s="2688"/>
      <c r="BY48" s="2688"/>
      <c r="BZ48" s="2688"/>
      <c r="CA48" s="2688"/>
      <c r="CB48" s="2688"/>
      <c r="CC48" s="2688"/>
      <c r="CD48" s="2688"/>
      <c r="CE48" s="2688"/>
      <c r="CF48" s="2688"/>
      <c r="CG48" s="2688"/>
      <c r="CH48" s="2688"/>
      <c r="CI48" s="2688"/>
      <c r="CJ48" s="2688"/>
      <c r="CK48" s="2688"/>
      <c r="CL48" s="2688"/>
      <c r="CM48" s="2688"/>
      <c r="CN48" s="2688"/>
      <c r="CO48" s="2688"/>
      <c r="CP48" s="2688"/>
      <c r="CQ48" s="2688"/>
      <c r="CR48" s="2688"/>
      <c r="CS48" s="2688"/>
      <c r="CT48" s="2688"/>
      <c r="CU48" s="2688"/>
      <c r="CV48" s="2688"/>
      <c r="CW48" s="2688"/>
      <c r="CX48" s="2688"/>
      <c r="CY48" s="2688"/>
      <c r="CZ48" s="2688"/>
      <c r="DA48" s="2688"/>
      <c r="DB48" s="2688"/>
      <c r="DC48" s="2688"/>
      <c r="DD48" s="2688"/>
      <c r="DE48" s="2688"/>
      <c r="DF48" s="2688"/>
      <c r="DG48" s="2688"/>
      <c r="DH48" s="2688"/>
      <c r="DI48" s="2688"/>
      <c r="DJ48" s="2688"/>
      <c r="DK48" s="2688"/>
      <c r="DL48" s="2688"/>
      <c r="DM48" s="2688"/>
      <c r="DN48" s="2688"/>
      <c r="DO48" s="2688"/>
      <c r="DP48" s="2688"/>
      <c r="DQ48" s="2688"/>
      <c r="DR48" s="2688"/>
      <c r="DS48" s="2688"/>
      <c r="DT48" s="2688"/>
      <c r="DU48" s="2688"/>
      <c r="DV48" s="2688"/>
      <c r="DW48" s="2688"/>
      <c r="DX48" s="2688"/>
      <c r="DY48" s="2688"/>
      <c r="DZ48" s="2688"/>
      <c r="EA48" s="2688"/>
      <c r="EB48" s="2688"/>
      <c r="EC48" s="2688"/>
      <c r="ED48" s="2688"/>
      <c r="EE48" s="2688"/>
      <c r="EF48" s="2688"/>
      <c r="EG48" s="2688"/>
      <c r="EH48" s="2688"/>
      <c r="EI48" s="2688"/>
      <c r="EJ48" s="2688"/>
      <c r="EK48" s="2688"/>
      <c r="EL48" s="2688"/>
      <c r="EM48" s="2688"/>
      <c r="EN48" s="2688"/>
      <c r="EO48" s="2688"/>
      <c r="EP48" s="2688"/>
      <c r="EQ48" s="2688"/>
      <c r="ER48" s="2688"/>
      <c r="ES48" s="2688"/>
      <c r="ET48" s="2688"/>
      <c r="EU48" s="2688"/>
      <c r="EV48" s="2688"/>
      <c r="EW48" s="2688"/>
      <c r="EX48" s="2688"/>
      <c r="EY48" s="2688"/>
      <c r="EZ48" s="2688"/>
      <c r="FA48" s="2688"/>
      <c r="FB48" s="2688"/>
      <c r="FC48" s="2688"/>
      <c r="FD48" s="2688"/>
      <c r="FE48" s="2688"/>
      <c r="FF48" s="2688"/>
      <c r="FG48" s="2688"/>
      <c r="FH48" s="2688"/>
      <c r="FI48" s="2688"/>
      <c r="FJ48" s="2688"/>
      <c r="FK48" s="2688"/>
      <c r="FL48" s="2688"/>
      <c r="FM48" s="2688"/>
      <c r="FN48" s="2688"/>
      <c r="FO48" s="2688"/>
      <c r="FP48" s="2688"/>
      <c r="FQ48" s="2688"/>
      <c r="FR48" s="2688"/>
      <c r="FS48" s="2688"/>
      <c r="FT48" s="2688"/>
      <c r="FU48" s="2688"/>
      <c r="FV48" s="2688"/>
      <c r="FW48" s="2688"/>
      <c r="FX48" s="2688"/>
      <c r="FY48" s="2688"/>
      <c r="FZ48" s="2688"/>
      <c r="GA48" s="2688"/>
      <c r="GB48" s="2688"/>
      <c r="GC48" s="2688"/>
      <c r="GD48" s="2688"/>
      <c r="GE48" s="2688"/>
      <c r="GF48" s="2688"/>
      <c r="GG48" s="2688"/>
      <c r="GH48" s="2688"/>
      <c r="GI48" s="2688"/>
      <c r="GJ48" s="2688"/>
      <c r="GK48" s="2688"/>
      <c r="GL48" s="2688"/>
      <c r="GM48" s="2688"/>
      <c r="GN48" s="2688"/>
      <c r="GO48" s="2688"/>
      <c r="GP48" s="2688"/>
      <c r="GQ48" s="2688"/>
      <c r="GR48" s="2688"/>
      <c r="GS48" s="2688"/>
      <c r="GT48" s="2688"/>
      <c r="GU48" s="2688"/>
      <c r="GV48" s="2688"/>
      <c r="GW48" s="2688"/>
      <c r="GX48" s="2688"/>
      <c r="GY48" s="2688"/>
      <c r="GZ48" s="2688"/>
      <c r="HA48" s="2688"/>
      <c r="HB48" s="2688"/>
      <c r="HC48" s="2688"/>
      <c r="HD48" s="2688"/>
      <c r="HE48" s="2688"/>
      <c r="HF48" s="2688"/>
      <c r="HG48" s="2688"/>
      <c r="HH48" s="2688"/>
      <c r="HI48" s="2688"/>
      <c r="HJ48" s="2688"/>
      <c r="HK48" s="2688"/>
      <c r="HL48" s="2688"/>
      <c r="HM48" s="2688"/>
      <c r="HN48" s="2688"/>
      <c r="HO48" s="2688"/>
      <c r="HP48" s="2688"/>
      <c r="HQ48" s="2688"/>
      <c r="HR48" s="2688"/>
      <c r="HS48" s="2688"/>
      <c r="HT48" s="2688"/>
      <c r="HU48" s="2688"/>
      <c r="HV48" s="2688"/>
      <c r="HW48" s="2688"/>
      <c r="HX48" s="2688"/>
      <c r="HY48" s="2688"/>
      <c r="HZ48" s="2688"/>
      <c r="IA48" s="2688"/>
      <c r="IB48" s="2688"/>
      <c r="IC48" s="2688"/>
      <c r="ID48" s="2688"/>
      <c r="IE48" s="2688"/>
      <c r="IF48" s="2688"/>
      <c r="IG48" s="2688"/>
      <c r="IH48" s="2688"/>
      <c r="II48" s="2688"/>
      <c r="IJ48" s="2688"/>
      <c r="IK48" s="2688"/>
      <c r="IL48" s="2688"/>
      <c r="IM48" s="2688"/>
      <c r="IN48" s="2688"/>
      <c r="IO48" s="2688"/>
      <c r="IP48" s="3560"/>
      <c r="IQ48" s="3560"/>
      <c r="IR48" s="3560"/>
      <c r="IS48" s="3560"/>
      <c r="IT48" s="3560"/>
      <c r="IU48" s="3560"/>
      <c r="IV48" s="3560"/>
      <c r="IW48" s="3560"/>
      <c r="IX48" s="4033"/>
      <c r="IY48" s="3560"/>
      <c r="IZ48" s="3560"/>
      <c r="JA48" s="3560"/>
      <c r="JB48" s="3560"/>
      <c r="JC48" s="3560"/>
      <c r="JD48" s="3560"/>
      <c r="JE48" s="3560"/>
      <c r="JF48" s="3560"/>
      <c r="JG48" s="4088"/>
      <c r="JH48" s="1233"/>
    </row>
    <row r="49" spans="1:268" x14ac:dyDescent="0.2">
      <c r="A49" s="1128">
        <v>49</v>
      </c>
      <c r="B49" s="1534" t="str">
        <f si="0" t="shared"/>
        <v/>
      </c>
      <c r="C49" s="1524" t="s">
        <v>140</v>
      </c>
      <c r="D49" s="1386" t="s">
        <v>2562</v>
      </c>
      <c r="E49" s="2688"/>
      <c r="F49" s="2688"/>
      <c r="G49" s="2688"/>
      <c r="H49" s="2688"/>
      <c r="I49" s="2688"/>
      <c r="J49" s="2688"/>
      <c r="K49" s="2688"/>
      <c r="L49" s="2688"/>
      <c r="M49" s="2688"/>
      <c r="N49" s="2688"/>
      <c r="O49" s="2688"/>
      <c r="P49" s="2688"/>
      <c r="Q49" s="2688"/>
      <c r="R49" s="2688"/>
      <c r="S49" s="2688"/>
      <c r="T49" s="2688"/>
      <c r="U49" s="2688"/>
      <c r="V49" s="2688"/>
      <c r="W49" s="2688"/>
      <c r="X49" s="2688"/>
      <c r="Y49" s="2688"/>
      <c r="Z49" s="2688"/>
      <c r="AA49" s="2688"/>
      <c r="AB49" s="2688"/>
      <c r="AC49" s="2688"/>
      <c r="AD49" s="2688"/>
      <c r="AE49" s="2688"/>
      <c r="AF49" s="2688"/>
      <c r="AG49" s="2688"/>
      <c r="AH49" s="2688"/>
      <c r="AI49" s="2688"/>
      <c r="AJ49" s="2688"/>
      <c r="AK49" s="2688"/>
      <c r="AL49" s="2688"/>
      <c r="AM49" s="2688"/>
      <c r="AN49" s="2688"/>
      <c r="AO49" s="2688"/>
      <c r="AP49" s="3360">
        <f>AP23+AP29+AP35+AP41+AP47</f>
        <v>2679</v>
      </c>
      <c r="AQ49" s="3360">
        <f>AQ23+AQ29+AQ35+AQ41+AQ47</f>
        <v>422</v>
      </c>
      <c r="AR49" s="2688"/>
      <c r="AS49" s="2688"/>
      <c r="AT49" s="2688"/>
      <c r="AU49" s="2688"/>
      <c r="AV49" s="2688"/>
      <c r="AW49" s="3360">
        <f>AW23+AW29+AW35+AW41+AW47</f>
        <v>1275</v>
      </c>
      <c r="AX49" s="2688"/>
      <c r="AY49" s="2688"/>
      <c r="AZ49" s="2688"/>
      <c r="BA49" s="2688"/>
      <c r="BB49" s="3360">
        <f>BB23+BB29+BB35+BB41+BB47</f>
        <v>422</v>
      </c>
      <c r="BC49" s="3360">
        <f>BC23+BC29+BC35+BC41+BC47</f>
        <v>2679</v>
      </c>
      <c r="BD49" s="3360">
        <f>BD23+BD29+BD35+BD41+BD47</f>
        <v>2679</v>
      </c>
      <c r="BE49" s="2688"/>
      <c r="BF49" s="2688"/>
      <c r="BG49" s="2688"/>
      <c r="BH49" s="2688"/>
      <c r="BI49" s="2688"/>
      <c r="BJ49" s="3360">
        <f>BJ23+BJ29+BJ35+BJ41+BJ47</f>
        <v>2679</v>
      </c>
      <c r="BK49" s="2688"/>
      <c r="BL49" s="2688"/>
      <c r="BM49" s="2688"/>
      <c r="BN49" s="2688"/>
      <c r="BO49" s="2688"/>
      <c r="BP49" s="2688"/>
      <c r="BQ49" s="2688"/>
      <c r="BR49" s="2688"/>
      <c r="BS49" s="2688"/>
      <c r="BT49" s="2688"/>
      <c r="BU49" s="2688"/>
      <c r="BV49" s="2688"/>
      <c r="BW49" s="2688"/>
      <c r="BX49" s="2688"/>
      <c r="BY49" s="2688"/>
      <c r="BZ49" s="2688"/>
      <c r="CA49" s="2688"/>
      <c r="CB49" s="2688"/>
      <c r="CC49" s="2688"/>
      <c r="CD49" s="2688"/>
      <c r="CE49" s="2688"/>
      <c r="CF49" s="2688"/>
      <c r="CG49" s="2688"/>
      <c r="CH49" s="2688"/>
      <c r="CI49" s="2688"/>
      <c r="CJ49" s="3360">
        <f>CJ23+CJ29+CJ35+CJ41+CJ47</f>
        <v>13770</v>
      </c>
      <c r="CK49" s="2688"/>
      <c r="CL49" s="2688"/>
      <c r="CM49" s="2688"/>
      <c r="CN49" s="2688"/>
      <c r="CO49" s="2688"/>
      <c r="CP49" s="2688"/>
      <c r="CQ49" s="2688"/>
      <c r="CR49" s="2688"/>
      <c r="CS49" s="2688"/>
      <c r="CT49" s="3360">
        <f>CT23+CT29+CT35+CT41+CT47</f>
        <v>422</v>
      </c>
      <c r="CU49" s="2688"/>
      <c r="CV49" s="2688"/>
      <c r="CW49" s="2688"/>
      <c r="CX49" s="2688"/>
      <c r="CY49" s="2688"/>
      <c r="CZ49" s="2688"/>
      <c r="DA49" s="2688"/>
      <c r="DB49" s="2688"/>
      <c r="DC49" s="2688"/>
      <c r="DD49" s="2688"/>
      <c r="DE49" s="2688"/>
      <c r="DF49" s="2688"/>
      <c r="DG49" s="2688"/>
      <c r="DH49" s="2688"/>
      <c r="DI49" s="3360">
        <f>DI23+DI29+DI35+DI41+DI47</f>
        <v>422</v>
      </c>
      <c r="DJ49" s="2688"/>
      <c r="DK49" s="2688"/>
      <c r="DL49" s="2688"/>
      <c r="DM49" s="3360">
        <f>DM23+DM29+DM35+DM41+DM47</f>
        <v>13770</v>
      </c>
      <c r="DN49" s="2688"/>
      <c r="DO49" s="2688"/>
      <c r="DP49" s="2688"/>
      <c r="DQ49" s="2688"/>
      <c r="DR49" s="2688"/>
      <c r="DS49" s="2688"/>
      <c r="DT49" s="3360">
        <f>DT23+DT29+DT35+DT41+DT47</f>
        <v>2159</v>
      </c>
      <c r="DU49" s="2688"/>
      <c r="DV49" s="2688"/>
      <c r="DW49" s="2688"/>
      <c r="DX49" s="2688"/>
      <c r="DY49" s="2688"/>
      <c r="DZ49" s="2688"/>
      <c r="EA49" s="2688"/>
      <c r="EB49" s="2688"/>
      <c r="EC49" s="2688"/>
      <c r="ED49" s="2688"/>
      <c r="EE49" s="2688"/>
      <c r="EF49" s="2688"/>
      <c r="EG49" s="2688"/>
      <c r="EH49" s="2688"/>
      <c r="EI49" s="2688"/>
      <c r="EJ49" s="2688"/>
      <c r="EK49" s="2688"/>
      <c r="EL49" s="2688"/>
      <c r="EM49" s="2688"/>
      <c r="EN49" s="2688"/>
      <c r="EO49" s="3360">
        <f>EO23+EO29+EO35+EO41+EO47</f>
        <v>13770</v>
      </c>
      <c r="EP49" s="2688"/>
      <c r="EQ49" s="2688"/>
      <c r="ER49" s="2688"/>
      <c r="ES49" s="2688"/>
      <c r="ET49" s="2688"/>
      <c r="EU49" s="2688"/>
      <c r="EV49" s="2688"/>
      <c r="EW49" s="2688"/>
      <c r="EX49" s="3360">
        <f>EX23+EX29+EX35+EX41+EX47</f>
        <v>659</v>
      </c>
      <c r="EY49" s="2688"/>
      <c r="EZ49" s="2688"/>
      <c r="FA49" s="2688"/>
      <c r="FB49" s="2688"/>
      <c r="FC49" s="2688"/>
      <c r="FD49" s="2688"/>
      <c r="FE49" s="2688"/>
      <c r="FF49" s="2688"/>
      <c r="FG49" s="2688"/>
      <c r="FH49" s="2688"/>
      <c r="FI49" s="2688"/>
      <c r="FJ49" s="2688"/>
      <c r="FK49" s="2688"/>
      <c r="FL49" s="2688"/>
      <c r="FM49" s="2688"/>
      <c r="FN49" s="2688"/>
      <c r="FO49" s="2688"/>
      <c r="FP49" s="2688"/>
      <c r="FQ49" s="2688"/>
      <c r="FR49" s="2688"/>
      <c r="FS49" s="2688"/>
      <c r="FT49" s="2688"/>
      <c r="FU49" s="2688"/>
      <c r="FV49" s="2688"/>
      <c r="FW49" s="2688"/>
      <c r="FX49" s="2688"/>
      <c r="FY49" s="2688"/>
      <c r="FZ49" s="2688"/>
      <c r="GA49" s="2688"/>
      <c r="GB49" s="2688"/>
      <c r="GC49" s="2688"/>
      <c r="GD49" s="2688"/>
      <c r="GE49" s="2688"/>
      <c r="GF49" s="3360">
        <f>GF23+GF29+GF35+GF41+GF47</f>
        <v>2679</v>
      </c>
      <c r="GG49" s="2688"/>
      <c r="GH49" s="2688"/>
      <c r="GI49" s="2688"/>
      <c r="GJ49" s="2688"/>
      <c r="GK49" s="2688"/>
      <c r="GL49" s="2688"/>
      <c r="GM49" s="2688"/>
      <c r="GN49" s="2688"/>
      <c r="GO49" s="2688"/>
      <c r="GP49" s="2688"/>
      <c r="GQ49" s="2688"/>
      <c r="GR49" s="2688"/>
      <c r="GS49" s="2688"/>
      <c r="GT49" s="2688"/>
      <c r="GU49" s="2688"/>
      <c r="GV49" s="2688"/>
      <c r="GW49" s="2688"/>
      <c r="GX49" s="2688"/>
      <c r="GY49" s="2688"/>
      <c r="GZ49" s="2688"/>
      <c r="HA49" s="2688"/>
      <c r="HB49" s="2688"/>
      <c r="HC49" s="2688"/>
      <c r="HD49" s="2688"/>
      <c r="HE49" s="2688"/>
      <c r="HF49" s="2688"/>
      <c r="HG49" s="2688"/>
      <c r="HH49" s="3360">
        <f>HH23+HH29+HH35+HH41+HH47</f>
        <v>2000</v>
      </c>
      <c r="HI49" s="2688"/>
      <c r="HJ49" s="2688"/>
      <c r="HK49" s="2688"/>
      <c r="HL49" s="2688"/>
      <c r="HM49" s="2688"/>
      <c r="HN49" s="2688"/>
      <c r="HO49" s="2688"/>
      <c r="HP49" s="3360">
        <f>HP23+HP29+HP35+HP41+HP47</f>
        <v>659</v>
      </c>
      <c r="HQ49" s="2688"/>
      <c r="HR49" s="3360">
        <f>HR23+HR29+HR35+HR41+HR47</f>
        <v>659</v>
      </c>
      <c r="HS49" s="2688"/>
      <c r="HT49" s="2688"/>
      <c r="HU49" s="2688"/>
      <c r="HV49" s="2688"/>
      <c r="HW49" s="2688"/>
      <c r="HX49" s="2688"/>
      <c r="HY49" s="2688"/>
      <c r="HZ49" s="2688"/>
      <c r="IA49" s="2688"/>
      <c r="IB49" s="2688"/>
      <c r="IC49" s="3360">
        <f>IC23+IC29+IC35+IC41+IC47</f>
        <v>14669</v>
      </c>
      <c r="ID49" s="2688"/>
      <c r="IE49" s="2688"/>
      <c r="IF49" s="3360">
        <f>IF23+IF29+IF35+IF41+IF47</f>
        <v>84227</v>
      </c>
      <c r="IG49" s="2688"/>
      <c r="IH49" s="3360">
        <f>IH23+IH29+IH35+IH41+IH47</f>
        <v>6332</v>
      </c>
      <c r="II49" s="2688"/>
      <c r="IJ49" s="2688"/>
      <c r="IK49" s="2688"/>
      <c r="IL49" s="2688"/>
      <c r="IM49" s="2688"/>
      <c r="IN49" s="2688"/>
      <c r="IO49" s="2688"/>
      <c r="IP49" s="3561"/>
      <c r="IQ49" s="3561"/>
      <c r="IR49" s="3561"/>
      <c r="IS49" s="3561"/>
      <c r="IT49" s="3561"/>
      <c r="IU49" s="3561"/>
      <c r="IV49" s="3561"/>
      <c r="IW49" s="3561"/>
      <c r="IX49" s="4033">
        <v>2413</v>
      </c>
      <c r="IY49" s="3561"/>
      <c r="IZ49" s="3561"/>
      <c r="JA49" s="3561"/>
      <c r="JB49" s="3561"/>
      <c r="JC49" s="3561"/>
      <c r="JD49" s="3561"/>
      <c r="JE49" s="3561"/>
      <c r="JF49" s="4262">
        <v>17997</v>
      </c>
      <c r="JG49" s="4089"/>
      <c r="JH49" s="1233"/>
    </row>
    <row r="50" spans="1:268" x14ac:dyDescent="0.2">
      <c r="A50" s="1128">
        <v>50</v>
      </c>
      <c r="B50" s="1534" t="str">
        <f si="0" t="shared"/>
        <v/>
      </c>
      <c r="C50" s="1278" t="s">
        <v>2652</v>
      </c>
      <c r="D50" s="1386" t="s">
        <v>5321</v>
      </c>
      <c r="E50" s="3359"/>
      <c r="F50" s="3359"/>
      <c r="G50" s="3359"/>
      <c r="H50" s="3359"/>
      <c r="I50" s="3359"/>
      <c r="J50" s="3359"/>
      <c r="K50" s="3359"/>
      <c r="L50" s="3359"/>
      <c r="M50" s="3359"/>
      <c r="N50" s="3359"/>
      <c r="O50" s="3359"/>
      <c r="P50" s="3359"/>
      <c r="Q50" s="3359"/>
      <c r="R50" s="3359"/>
      <c r="S50" s="3359"/>
      <c r="T50" s="3359"/>
      <c r="U50" s="3359"/>
      <c r="V50" s="3359"/>
      <c r="W50" s="3359"/>
      <c r="X50" s="3359"/>
      <c r="Y50" s="3359"/>
      <c r="Z50" s="3359"/>
      <c r="AA50" s="3359"/>
      <c r="AB50" s="3359"/>
      <c r="AC50" s="3359"/>
      <c r="AD50" s="3359"/>
      <c r="AE50" s="3359"/>
      <c r="AF50" s="3359"/>
      <c r="AG50" s="3359"/>
      <c r="AH50" s="3359"/>
      <c r="AI50" s="3359"/>
      <c r="AJ50" s="3359"/>
      <c r="AK50" s="3359"/>
      <c r="AL50" s="3359"/>
      <c r="AM50" s="3359"/>
      <c r="AN50" s="3359"/>
      <c r="AO50" s="3359"/>
      <c r="AP50" s="3359" t="s">
        <v>3031</v>
      </c>
      <c r="AQ50" s="3359"/>
      <c r="AR50" s="3359"/>
      <c r="AS50" s="3359"/>
      <c r="AT50" s="3359"/>
      <c r="AU50" s="3359"/>
      <c r="AV50" s="3359"/>
      <c r="AW50" s="3359"/>
      <c r="AX50" s="3359"/>
      <c r="AY50" s="3359"/>
      <c r="AZ50" s="3359"/>
      <c r="BA50" s="3359"/>
      <c r="BB50" s="3359"/>
      <c r="BC50" s="3359" t="s">
        <v>3031</v>
      </c>
      <c r="BD50" s="3359" t="s">
        <v>3031</v>
      </c>
      <c r="BE50" s="3359"/>
      <c r="BF50" s="3359"/>
      <c r="BG50" s="3359"/>
      <c r="BH50" s="3359"/>
      <c r="BI50" s="3359"/>
      <c r="BJ50" s="3359" t="s">
        <v>3031</v>
      </c>
      <c r="BK50" s="3359"/>
      <c r="BL50" s="3359"/>
      <c r="BM50" s="3359"/>
      <c r="BN50" s="3359"/>
      <c r="BO50" s="3359"/>
      <c r="BP50" s="3359"/>
      <c r="BQ50" s="3359"/>
      <c r="BR50" s="3359"/>
      <c r="BS50" s="3359"/>
      <c r="BT50" s="3359"/>
      <c r="BU50" s="3359"/>
      <c r="BV50" s="3359"/>
      <c r="BW50" s="3359"/>
      <c r="BX50" s="3359"/>
      <c r="BY50" s="3359"/>
      <c r="BZ50" s="3359"/>
      <c r="CA50" s="3359"/>
      <c r="CB50" s="3359"/>
      <c r="CC50" s="3359"/>
      <c r="CD50" s="3359"/>
      <c r="CE50" s="3359"/>
      <c r="CF50" s="3359"/>
      <c r="CG50" s="3359"/>
      <c r="CH50" s="3359"/>
      <c r="CI50" s="3359"/>
      <c r="CJ50" s="3359" t="s">
        <v>2789</v>
      </c>
      <c r="CK50" s="3359"/>
      <c r="CL50" s="3359"/>
      <c r="CM50" s="3359"/>
      <c r="CN50" s="3359"/>
      <c r="CO50" s="3359"/>
      <c r="CP50" s="3359"/>
      <c r="CQ50" s="3359"/>
      <c r="CR50" s="3359"/>
      <c r="CS50" s="3359"/>
      <c r="CT50" s="3359"/>
      <c r="CU50" s="3359"/>
      <c r="CV50" s="3359"/>
      <c r="CW50" s="3359"/>
      <c r="CX50" s="3359"/>
      <c r="CY50" s="3359"/>
      <c r="CZ50" s="3359"/>
      <c r="DA50" s="3359"/>
      <c r="DB50" s="3359"/>
      <c r="DC50" s="3359"/>
      <c r="DD50" s="3359"/>
      <c r="DE50" s="3359"/>
      <c r="DF50" s="3359"/>
      <c r="DG50" s="3359"/>
      <c r="DH50" s="3359"/>
      <c r="DI50" s="3359"/>
      <c r="DJ50" s="3359"/>
      <c r="DK50" s="3359"/>
      <c r="DL50" s="3359"/>
      <c r="DM50" s="3359" t="s">
        <v>2789</v>
      </c>
      <c r="DN50" s="3359"/>
      <c r="DO50" s="3359"/>
      <c r="DP50" s="3359"/>
      <c r="DQ50" s="3359"/>
      <c r="DR50" s="3359"/>
      <c r="DS50" s="3359"/>
      <c r="DT50" s="3359"/>
      <c r="DU50" s="3359"/>
      <c r="DV50" s="3359"/>
      <c r="DW50" s="3359"/>
      <c r="DX50" s="3359"/>
      <c r="DY50" s="3359"/>
      <c r="DZ50" s="3359"/>
      <c r="EA50" s="3359"/>
      <c r="EB50" s="3359"/>
      <c r="EC50" s="3359"/>
      <c r="ED50" s="3359"/>
      <c r="EE50" s="3359"/>
      <c r="EF50" s="3359"/>
      <c r="EG50" s="3359"/>
      <c r="EH50" s="3359"/>
      <c r="EI50" s="3359"/>
      <c r="EJ50" s="3359"/>
      <c r="EK50" s="3359"/>
      <c r="EL50" s="3359"/>
      <c r="EM50" s="3359"/>
      <c r="EN50" s="3359"/>
      <c r="EO50" s="3359" t="s">
        <v>2789</v>
      </c>
      <c r="EP50" s="3359"/>
      <c r="EQ50" s="3359"/>
      <c r="ER50" s="3359"/>
      <c r="ES50" s="3359"/>
      <c r="ET50" s="3359"/>
      <c r="EU50" s="3359"/>
      <c r="EV50" s="3359"/>
      <c r="EW50" s="3359"/>
      <c r="EX50" s="3359" t="s">
        <v>1149</v>
      </c>
      <c r="EY50" s="3359"/>
      <c r="EZ50" s="3359"/>
      <c r="FA50" s="3359"/>
      <c r="FB50" s="3359"/>
      <c r="FC50" s="3359"/>
      <c r="FD50" s="3359"/>
      <c r="FE50" s="3359"/>
      <c r="FF50" s="3359"/>
      <c r="FG50" s="3359"/>
      <c r="FH50" s="3359"/>
      <c r="FI50" s="3359"/>
      <c r="FJ50" s="3359"/>
      <c r="FK50" s="3359"/>
      <c r="FL50" s="3359"/>
      <c r="FM50" s="3359"/>
      <c r="FN50" s="3359"/>
      <c r="FO50" s="3359"/>
      <c r="FP50" s="3359"/>
      <c r="FQ50" s="3359"/>
      <c r="FR50" s="3359"/>
      <c r="FS50" s="3359"/>
      <c r="FT50" s="3359"/>
      <c r="FU50" s="3359"/>
      <c r="FV50" s="3359"/>
      <c r="FW50" s="3359"/>
      <c r="FX50" s="3359"/>
      <c r="FY50" s="3359"/>
      <c r="FZ50" s="3359"/>
      <c r="GA50" s="3359"/>
      <c r="GB50" s="3359"/>
      <c r="GC50" s="3359"/>
      <c r="GD50" s="3359"/>
      <c r="GE50" s="3359"/>
      <c r="GF50" s="3359" t="s">
        <v>3031</v>
      </c>
      <c r="GG50" s="3359"/>
      <c r="GH50" s="3359"/>
      <c r="GI50" s="3359"/>
      <c r="GJ50" s="3359"/>
      <c r="GK50" s="3359"/>
      <c r="GL50" s="3359"/>
      <c r="GM50" s="3359"/>
      <c r="GN50" s="3359"/>
      <c r="GO50" s="3359"/>
      <c r="GP50" s="3359"/>
      <c r="GQ50" s="3359"/>
      <c r="GR50" s="3359"/>
      <c r="GS50" s="3359"/>
      <c r="GT50" s="3359"/>
      <c r="GU50" s="3359"/>
      <c r="GV50" s="3359"/>
      <c r="GW50" s="3359"/>
      <c r="GX50" s="3359"/>
      <c r="GY50" s="3359"/>
      <c r="GZ50" s="3359"/>
      <c r="HA50" s="3359"/>
      <c r="HB50" s="3359"/>
      <c r="HC50" s="3359"/>
      <c r="HD50" s="3359"/>
      <c r="HE50" s="3359"/>
      <c r="HF50" s="3359"/>
      <c r="HG50" s="3359"/>
      <c r="HH50" s="3359"/>
      <c r="HI50" s="3359"/>
      <c r="HJ50" s="3359" t="s">
        <v>1563</v>
      </c>
      <c r="HK50" s="3359" t="s">
        <v>1563</v>
      </c>
      <c r="HL50" s="3359" t="s">
        <v>1563</v>
      </c>
      <c r="HM50" s="3359" t="s">
        <v>1563</v>
      </c>
      <c r="HN50" s="3359"/>
      <c r="HO50" s="3359"/>
      <c r="HP50" s="3359" t="s">
        <v>1149</v>
      </c>
      <c r="HQ50" s="3359"/>
      <c r="HR50" s="3359" t="s">
        <v>1149</v>
      </c>
      <c r="HS50" s="3359"/>
      <c r="HT50" s="3359"/>
      <c r="HU50" s="3359"/>
      <c r="HV50" s="3359"/>
      <c r="HW50" s="3359"/>
      <c r="HX50" s="3359"/>
      <c r="HY50" s="3359"/>
      <c r="HZ50" s="3359"/>
      <c r="IA50" s="3359"/>
      <c r="IB50" s="3359"/>
      <c r="IC50" s="3359"/>
      <c r="ID50" s="3359"/>
      <c r="IE50" s="3359"/>
      <c r="IF50" s="3359"/>
      <c r="IG50" s="3359"/>
      <c r="IH50" s="3359"/>
      <c r="II50" s="3359"/>
      <c r="IJ50" s="3359"/>
      <c r="IK50" s="3359"/>
      <c r="IL50" s="3359"/>
      <c r="IM50" s="3359"/>
      <c r="IN50" s="3359"/>
      <c r="IO50" s="3359"/>
      <c r="IP50" s="3522"/>
      <c r="IQ50" s="3522"/>
      <c r="IR50" s="3522"/>
      <c r="IS50" s="3522"/>
      <c r="IT50" s="3522"/>
      <c r="IU50" s="3522"/>
      <c r="IV50" s="3522"/>
      <c r="IW50" s="3522"/>
      <c r="IX50" s="3522"/>
      <c r="IY50" s="3522"/>
      <c r="IZ50" s="3522"/>
      <c r="JA50" s="3522"/>
      <c r="JB50" s="3522"/>
      <c r="JC50" s="3522"/>
      <c r="JD50" s="3522"/>
      <c r="JE50" s="3522"/>
      <c r="JF50" s="3522"/>
      <c r="JG50" s="4091"/>
      <c r="JH50" s="1233"/>
    </row>
    <row r="51" spans="1:268" x14ac:dyDescent="0.2">
      <c r="A51" s="1128">
        <v>51</v>
      </c>
      <c r="B51" s="1534" t="str">
        <f si="0" t="shared"/>
        <v/>
      </c>
      <c r="C51" s="1278" t="s">
        <v>2653</v>
      </c>
      <c r="D51" s="1386" t="s">
        <v>5322</v>
      </c>
      <c r="E51" s="2688"/>
      <c r="F51" s="2688"/>
      <c r="G51" s="2688"/>
      <c r="H51" s="2688"/>
      <c r="I51" s="2688"/>
      <c r="J51" s="2688"/>
      <c r="K51" s="2688"/>
      <c r="L51" s="2688"/>
      <c r="M51" s="2688"/>
      <c r="N51" s="2688"/>
      <c r="O51" s="2688"/>
      <c r="P51" s="2688"/>
      <c r="Q51" s="2688"/>
      <c r="R51" s="2688"/>
      <c r="S51" s="2688"/>
      <c r="T51" s="2688"/>
      <c r="U51" s="2688"/>
      <c r="V51" s="2688"/>
      <c r="W51" s="2688"/>
      <c r="X51" s="2688"/>
      <c r="Y51" s="2688"/>
      <c r="Z51" s="2688"/>
      <c r="AA51" s="2688"/>
      <c r="AB51" s="2688"/>
      <c r="AC51" s="2688"/>
      <c r="AD51" s="2688"/>
      <c r="AE51" s="2688"/>
      <c r="AF51" s="2688"/>
      <c r="AG51" s="2688"/>
      <c r="AH51" s="2688"/>
      <c r="AI51" s="2688"/>
      <c r="AJ51" s="2688"/>
      <c r="AK51" s="2688"/>
      <c r="AL51" s="2688"/>
      <c r="AM51" s="2688"/>
      <c r="AN51" s="2688"/>
      <c r="AO51" s="2688"/>
      <c r="AP51" s="2688">
        <v>6741</v>
      </c>
      <c r="AQ51" s="2688"/>
      <c r="AR51" s="2688"/>
      <c r="AS51" s="2688"/>
      <c r="AT51" s="2688"/>
      <c r="AU51" s="2688"/>
      <c r="AV51" s="2688"/>
      <c r="AW51" s="2688"/>
      <c r="AX51" s="2688"/>
      <c r="AY51" s="2688"/>
      <c r="AZ51" s="2688"/>
      <c r="BA51" s="2688"/>
      <c r="BB51" s="2688"/>
      <c r="BC51" s="2688">
        <v>6741</v>
      </c>
      <c r="BD51" s="2688">
        <v>6741</v>
      </c>
      <c r="BE51" s="2688"/>
      <c r="BF51" s="2688"/>
      <c r="BG51" s="2688"/>
      <c r="BH51" s="2688"/>
      <c r="BI51" s="2688"/>
      <c r="BJ51" s="2688">
        <v>6741</v>
      </c>
      <c r="BK51" s="2688"/>
      <c r="BL51" s="2688"/>
      <c r="BM51" s="2688"/>
      <c r="BN51" s="2688"/>
      <c r="BO51" s="2688"/>
      <c r="BP51" s="2688"/>
      <c r="BQ51" s="2688"/>
      <c r="BR51" s="2688"/>
      <c r="BS51" s="2688"/>
      <c r="BT51" s="2688"/>
      <c r="BU51" s="2688"/>
      <c r="BV51" s="2688"/>
      <c r="BW51" s="2688"/>
      <c r="BX51" s="2688"/>
      <c r="BY51" s="2688"/>
      <c r="BZ51" s="2688"/>
      <c r="CA51" s="2688"/>
      <c r="CB51" s="2688"/>
      <c r="CC51" s="2688"/>
      <c r="CD51" s="2688"/>
      <c r="CE51" s="2688"/>
      <c r="CF51" s="2688"/>
      <c r="CG51" s="2688"/>
      <c r="CH51" s="2688"/>
      <c r="CI51" s="2688"/>
      <c r="CJ51" s="2688">
        <v>4620</v>
      </c>
      <c r="CK51" s="2688"/>
      <c r="CL51" s="2688"/>
      <c r="CM51" s="2688"/>
      <c r="CN51" s="2688"/>
      <c r="CO51" s="2688"/>
      <c r="CP51" s="2688"/>
      <c r="CQ51" s="2688"/>
      <c r="CR51" s="2688"/>
      <c r="CS51" s="2688"/>
      <c r="CT51" s="2688"/>
      <c r="CU51" s="2688"/>
      <c r="CV51" s="2688"/>
      <c r="CW51" s="2688"/>
      <c r="CX51" s="2688"/>
      <c r="CY51" s="2688"/>
      <c r="CZ51" s="2688"/>
      <c r="DA51" s="2688"/>
      <c r="DB51" s="2688"/>
      <c r="DC51" s="2688"/>
      <c r="DD51" s="2688"/>
      <c r="DE51" s="2688"/>
      <c r="DF51" s="2688"/>
      <c r="DG51" s="2688"/>
      <c r="DH51" s="2688"/>
      <c r="DI51" s="2688"/>
      <c r="DJ51" s="2688"/>
      <c r="DK51" s="2688"/>
      <c r="DL51" s="2688"/>
      <c r="DM51" s="2688">
        <v>4620</v>
      </c>
      <c r="DN51" s="2688"/>
      <c r="DO51" s="2688"/>
      <c r="DP51" s="2688"/>
      <c r="DQ51" s="2688"/>
      <c r="DR51" s="2688"/>
      <c r="DS51" s="2688"/>
      <c r="DT51" s="2688"/>
      <c r="DU51" s="2688"/>
      <c r="DV51" s="2688"/>
      <c r="DW51" s="2688"/>
      <c r="DX51" s="2688"/>
      <c r="DY51" s="2688"/>
      <c r="DZ51" s="2688"/>
      <c r="EA51" s="2688"/>
      <c r="EB51" s="2688"/>
      <c r="EC51" s="2688"/>
      <c r="ED51" s="2688"/>
      <c r="EE51" s="2688"/>
      <c r="EF51" s="2688"/>
      <c r="EG51" s="2688"/>
      <c r="EH51" s="2688"/>
      <c r="EI51" s="2688"/>
      <c r="EJ51" s="2688"/>
      <c r="EK51" s="2688"/>
      <c r="EL51" s="2688"/>
      <c r="EM51" s="2688"/>
      <c r="EN51" s="2688"/>
      <c r="EO51" s="2688">
        <v>4620</v>
      </c>
      <c r="EP51" s="2688"/>
      <c r="EQ51" s="2688"/>
      <c r="ER51" s="2688"/>
      <c r="ES51" s="2688"/>
      <c r="ET51" s="2688"/>
      <c r="EU51" s="2688"/>
      <c r="EV51" s="2688"/>
      <c r="EW51" s="2688"/>
      <c r="EX51" s="2688">
        <v>1360</v>
      </c>
      <c r="EY51" s="2688"/>
      <c r="EZ51" s="2688"/>
      <c r="FA51" s="2688"/>
      <c r="FB51" s="2688"/>
      <c r="FC51" s="2688"/>
      <c r="FD51" s="2688"/>
      <c r="FE51" s="2688"/>
      <c r="FF51" s="2688"/>
      <c r="FG51" s="2688"/>
      <c r="FH51" s="2688"/>
      <c r="FI51" s="2688"/>
      <c r="FJ51" s="2688"/>
      <c r="FK51" s="2688"/>
      <c r="FL51" s="2688"/>
      <c r="FM51" s="2688"/>
      <c r="FN51" s="2688"/>
      <c r="FO51" s="2688"/>
      <c r="FP51" s="2688"/>
      <c r="FQ51" s="2688"/>
      <c r="FR51" s="2688"/>
      <c r="FS51" s="2688"/>
      <c r="FT51" s="2688"/>
      <c r="FU51" s="2688"/>
      <c r="FV51" s="2688"/>
      <c r="FW51" s="2688"/>
      <c r="FX51" s="2688"/>
      <c r="FY51" s="2688"/>
      <c r="FZ51" s="2688"/>
      <c r="GA51" s="2688"/>
      <c r="GB51" s="2688"/>
      <c r="GC51" s="2688"/>
      <c r="GD51" s="2688"/>
      <c r="GE51" s="2688"/>
      <c r="GF51" s="2688">
        <v>6741</v>
      </c>
      <c r="GG51" s="2688"/>
      <c r="GH51" s="2688"/>
      <c r="GI51" s="2688"/>
      <c r="GJ51" s="2688"/>
      <c r="GK51" s="2688"/>
      <c r="GL51" s="2688"/>
      <c r="GM51" s="2688"/>
      <c r="GN51" s="2688"/>
      <c r="GO51" s="2688"/>
      <c r="GP51" s="2688"/>
      <c r="GQ51" s="2688"/>
      <c r="GR51" s="2688"/>
      <c r="GS51" s="2688"/>
      <c r="GT51" s="2688"/>
      <c r="GU51" s="2688"/>
      <c r="GV51" s="2688"/>
      <c r="GW51" s="2688"/>
      <c r="GX51" s="2688"/>
      <c r="GY51" s="2688"/>
      <c r="GZ51" s="2688"/>
      <c r="HA51" s="2688"/>
      <c r="HB51" s="2688"/>
      <c r="HC51" s="2688"/>
      <c r="HD51" s="2688"/>
      <c r="HE51" s="2688"/>
      <c r="HF51" s="2688"/>
      <c r="HG51" s="2688"/>
      <c r="HH51" s="2688"/>
      <c r="HI51" s="2688"/>
      <c r="HJ51" s="2688">
        <v>131762</v>
      </c>
      <c r="HK51" s="2688">
        <v>131762</v>
      </c>
      <c r="HL51" s="2688">
        <v>131762</v>
      </c>
      <c r="HM51" s="2688">
        <v>131762</v>
      </c>
      <c r="HN51" s="2688"/>
      <c r="HO51" s="2688"/>
      <c r="HP51" s="2688">
        <v>1360</v>
      </c>
      <c r="HQ51" s="2688"/>
      <c r="HR51" s="2688">
        <v>1360</v>
      </c>
      <c r="HS51" s="2688"/>
      <c r="HT51" s="2688"/>
      <c r="HU51" s="2688"/>
      <c r="HV51" s="2688"/>
      <c r="HW51" s="2688"/>
      <c r="HX51" s="2688"/>
      <c r="HY51" s="2688"/>
      <c r="HZ51" s="2688"/>
      <c r="IA51" s="2688"/>
      <c r="IB51" s="2688"/>
      <c r="IC51" s="2688"/>
      <c r="ID51" s="2688"/>
      <c r="IE51" s="2688"/>
      <c r="IF51" s="2688"/>
      <c r="IG51" s="2688"/>
      <c r="IH51" s="2688"/>
      <c r="II51" s="2688"/>
      <c r="IJ51" s="2688"/>
      <c r="IK51" s="2688"/>
      <c r="IL51" s="2688"/>
      <c r="IM51" s="2688"/>
      <c r="IN51" s="2688"/>
      <c r="IO51" s="2688"/>
      <c r="IP51" s="3564"/>
      <c r="IQ51" s="3564"/>
      <c r="IR51" s="3564"/>
      <c r="IS51" s="3564"/>
      <c r="IT51" s="3564"/>
      <c r="IU51" s="3564"/>
      <c r="IV51" s="3564"/>
      <c r="IW51" s="3564"/>
      <c r="IX51" s="3564"/>
      <c r="IY51" s="3564"/>
      <c r="IZ51" s="3564"/>
      <c r="JA51" s="3564"/>
      <c r="JB51" s="3564"/>
      <c r="JC51" s="3564"/>
      <c r="JD51" s="3564"/>
      <c r="JE51" s="3564"/>
      <c r="JF51" s="3564"/>
      <c r="JG51" s="4092"/>
      <c r="JH51" s="1233"/>
    </row>
    <row r="52" spans="1:268" x14ac:dyDescent="0.2">
      <c r="A52" s="1128">
        <v>52</v>
      </c>
      <c r="B52" s="1534" t="str">
        <f si="0" t="shared"/>
        <v/>
      </c>
      <c r="C52" s="1278" t="s">
        <v>2654</v>
      </c>
      <c r="D52" s="1386" t="s">
        <v>5323</v>
      </c>
      <c r="E52" s="2688"/>
      <c r="F52" s="2688"/>
      <c r="G52" s="2688"/>
      <c r="H52" s="2688"/>
      <c r="I52" s="2688"/>
      <c r="J52" s="2688"/>
      <c r="K52" s="2688"/>
      <c r="L52" s="2688"/>
      <c r="M52" s="2688"/>
      <c r="N52" s="2688"/>
      <c r="O52" s="2688"/>
      <c r="P52" s="2688"/>
      <c r="Q52" s="2688"/>
      <c r="R52" s="2688"/>
      <c r="S52" s="2688"/>
      <c r="T52" s="2688"/>
      <c r="U52" s="2688"/>
      <c r="V52" s="2688"/>
      <c r="W52" s="2688"/>
      <c r="X52" s="2688"/>
      <c r="Y52" s="2688"/>
      <c r="Z52" s="2688"/>
      <c r="AA52" s="2688"/>
      <c r="AB52" s="2688"/>
      <c r="AC52" s="2688"/>
      <c r="AD52" s="2688"/>
      <c r="AE52" s="2688"/>
      <c r="AF52" s="2688"/>
      <c r="AG52" s="2688"/>
      <c r="AH52" s="2688"/>
      <c r="AI52" s="2688"/>
      <c r="AJ52" s="2688"/>
      <c r="AK52" s="2688"/>
      <c r="AL52" s="2688"/>
      <c r="AM52" s="2688"/>
      <c r="AN52" s="2688"/>
      <c r="AO52" s="2688"/>
      <c r="AP52" s="2688">
        <v>1685</v>
      </c>
      <c r="AQ52" s="2688"/>
      <c r="AR52" s="2688"/>
      <c r="AS52" s="2688"/>
      <c r="AT52" s="2688"/>
      <c r="AU52" s="2688"/>
      <c r="AV52" s="2688"/>
      <c r="AW52" s="2688"/>
      <c r="AX52" s="2688"/>
      <c r="AY52" s="2688"/>
      <c r="AZ52" s="2688"/>
      <c r="BA52" s="2688"/>
      <c r="BB52" s="2688"/>
      <c r="BC52" s="2688">
        <v>1685</v>
      </c>
      <c r="BD52" s="2688">
        <v>1685</v>
      </c>
      <c r="BE52" s="2688"/>
      <c r="BF52" s="2688"/>
      <c r="BG52" s="2688"/>
      <c r="BH52" s="2688"/>
      <c r="BI52" s="2688"/>
      <c r="BJ52" s="2688">
        <v>1685</v>
      </c>
      <c r="BK52" s="2688"/>
      <c r="BL52" s="2688"/>
      <c r="BM52" s="2688"/>
      <c r="BN52" s="2688"/>
      <c r="BO52" s="2688"/>
      <c r="BP52" s="2688"/>
      <c r="BQ52" s="2688"/>
      <c r="BR52" s="2688"/>
      <c r="BS52" s="2688"/>
      <c r="BT52" s="2688"/>
      <c r="BU52" s="2688"/>
      <c r="BV52" s="2688"/>
      <c r="BW52" s="2688"/>
      <c r="BX52" s="2688"/>
      <c r="BY52" s="2688"/>
      <c r="BZ52" s="2688"/>
      <c r="CA52" s="2688"/>
      <c r="CB52" s="2688"/>
      <c r="CC52" s="2688"/>
      <c r="CD52" s="2688"/>
      <c r="CE52" s="2688"/>
      <c r="CF52" s="2688"/>
      <c r="CG52" s="2688"/>
      <c r="CH52" s="2688"/>
      <c r="CI52" s="2688"/>
      <c r="CJ52" s="2688"/>
      <c r="CK52" s="2688"/>
      <c r="CL52" s="2688"/>
      <c r="CM52" s="2688"/>
      <c r="CN52" s="2688"/>
      <c r="CO52" s="2688"/>
      <c r="CP52" s="2688"/>
      <c r="CQ52" s="2688"/>
      <c r="CR52" s="2688"/>
      <c r="CS52" s="2688"/>
      <c r="CT52" s="2688"/>
      <c r="CU52" s="2688"/>
      <c r="CV52" s="2688"/>
      <c r="CW52" s="2688"/>
      <c r="CX52" s="2688"/>
      <c r="CY52" s="2688"/>
      <c r="CZ52" s="2688"/>
      <c r="DA52" s="2688"/>
      <c r="DB52" s="2688"/>
      <c r="DC52" s="2688"/>
      <c r="DD52" s="2688"/>
      <c r="DE52" s="2688"/>
      <c r="DF52" s="2688"/>
      <c r="DG52" s="2688"/>
      <c r="DH52" s="2688"/>
      <c r="DI52" s="2688"/>
      <c r="DJ52" s="2688"/>
      <c r="DK52" s="2688"/>
      <c r="DL52" s="2688"/>
      <c r="DM52" s="2688"/>
      <c r="DN52" s="2688"/>
      <c r="DO52" s="2688"/>
      <c r="DP52" s="2688"/>
      <c r="DQ52" s="2688"/>
      <c r="DR52" s="2688"/>
      <c r="DS52" s="2688"/>
      <c r="DT52" s="2688"/>
      <c r="DU52" s="2688"/>
      <c r="DV52" s="2688"/>
      <c r="DW52" s="2688"/>
      <c r="DX52" s="2688"/>
      <c r="DY52" s="2688"/>
      <c r="DZ52" s="2688"/>
      <c r="EA52" s="2688"/>
      <c r="EB52" s="2688"/>
      <c r="EC52" s="2688"/>
      <c r="ED52" s="2688"/>
      <c r="EE52" s="2688"/>
      <c r="EF52" s="2688"/>
      <c r="EG52" s="2688"/>
      <c r="EH52" s="2688"/>
      <c r="EI52" s="2688"/>
      <c r="EJ52" s="2688"/>
      <c r="EK52" s="2688"/>
      <c r="EL52" s="2688"/>
      <c r="EM52" s="2688"/>
      <c r="EN52" s="2688"/>
      <c r="EO52" s="2688"/>
      <c r="EP52" s="2688"/>
      <c r="EQ52" s="2688"/>
      <c r="ER52" s="2688"/>
      <c r="ES52" s="2688"/>
      <c r="ET52" s="2688"/>
      <c r="EU52" s="2688"/>
      <c r="EV52" s="2688"/>
      <c r="EW52" s="2688"/>
      <c r="EX52" s="2688">
        <v>340</v>
      </c>
      <c r="EY52" s="2688"/>
      <c r="EZ52" s="2688"/>
      <c r="FA52" s="2688"/>
      <c r="FB52" s="2688"/>
      <c r="FC52" s="2688"/>
      <c r="FD52" s="2688"/>
      <c r="FE52" s="2688"/>
      <c r="FF52" s="2688"/>
      <c r="FG52" s="2688"/>
      <c r="FH52" s="2688"/>
      <c r="FI52" s="2688"/>
      <c r="FJ52" s="2688"/>
      <c r="FK52" s="2688"/>
      <c r="FL52" s="2688"/>
      <c r="FM52" s="2688"/>
      <c r="FN52" s="2688"/>
      <c r="FO52" s="2688"/>
      <c r="FP52" s="2688"/>
      <c r="FQ52" s="2688"/>
      <c r="FR52" s="2688"/>
      <c r="FS52" s="2688"/>
      <c r="FT52" s="2688"/>
      <c r="FU52" s="2688"/>
      <c r="FV52" s="2688"/>
      <c r="FW52" s="2688"/>
      <c r="FX52" s="2688"/>
      <c r="FY52" s="2688"/>
      <c r="FZ52" s="2688"/>
      <c r="GA52" s="2688"/>
      <c r="GB52" s="2688"/>
      <c r="GC52" s="2688"/>
      <c r="GD52" s="2688"/>
      <c r="GE52" s="2688"/>
      <c r="GF52" s="2688">
        <v>1685</v>
      </c>
      <c r="GG52" s="2688"/>
      <c r="GH52" s="2688"/>
      <c r="GI52" s="2688"/>
      <c r="GJ52" s="2688"/>
      <c r="GK52" s="2688"/>
      <c r="GL52" s="2688"/>
      <c r="GM52" s="2688"/>
      <c r="GN52" s="2688"/>
      <c r="GO52" s="2688"/>
      <c r="GP52" s="2688"/>
      <c r="GQ52" s="2688"/>
      <c r="GR52" s="2688"/>
      <c r="GS52" s="2688"/>
      <c r="GT52" s="2688"/>
      <c r="GU52" s="2688"/>
      <c r="GV52" s="2688"/>
      <c r="GW52" s="2688"/>
      <c r="GX52" s="2688"/>
      <c r="GY52" s="2688"/>
      <c r="GZ52" s="2688"/>
      <c r="HA52" s="2688"/>
      <c r="HB52" s="2688"/>
      <c r="HC52" s="2688"/>
      <c r="HD52" s="2688"/>
      <c r="HE52" s="2688"/>
      <c r="HF52" s="2688"/>
      <c r="HG52" s="2688"/>
      <c r="HH52" s="2688"/>
      <c r="HI52" s="2688"/>
      <c r="HJ52" s="2688">
        <v>35299</v>
      </c>
      <c r="HK52" s="2688">
        <v>35299</v>
      </c>
      <c r="HL52" s="2688">
        <v>35299</v>
      </c>
      <c r="HM52" s="2688">
        <v>35299</v>
      </c>
      <c r="HN52" s="2688"/>
      <c r="HO52" s="2688"/>
      <c r="HP52" s="2688">
        <v>340</v>
      </c>
      <c r="HQ52" s="2688"/>
      <c r="HR52" s="2688">
        <v>340</v>
      </c>
      <c r="HS52" s="2688"/>
      <c r="HT52" s="2688"/>
      <c r="HU52" s="2688"/>
      <c r="HV52" s="2688"/>
      <c r="HW52" s="2688"/>
      <c r="HX52" s="2688"/>
      <c r="HY52" s="2688"/>
      <c r="HZ52" s="2688"/>
      <c r="IA52" s="2688"/>
      <c r="IB52" s="2688"/>
      <c r="IC52" s="2688"/>
      <c r="ID52" s="2688"/>
      <c r="IE52" s="2688"/>
      <c r="IF52" s="2688"/>
      <c r="IG52" s="2688"/>
      <c r="IH52" s="2688"/>
      <c r="II52" s="2688"/>
      <c r="IJ52" s="2688"/>
      <c r="IK52" s="2688"/>
      <c r="IL52" s="2688"/>
      <c r="IM52" s="2688"/>
      <c r="IN52" s="2688"/>
      <c r="IO52" s="2688"/>
      <c r="IP52" s="3564"/>
      <c r="IQ52" s="3564"/>
      <c r="IR52" s="3564"/>
      <c r="IS52" s="3564"/>
      <c r="IT52" s="3564"/>
      <c r="IU52" s="3564"/>
      <c r="IV52" s="3564"/>
      <c r="IW52" s="3564"/>
      <c r="IX52" s="3564"/>
      <c r="IY52" s="3564"/>
      <c r="IZ52" s="3564"/>
      <c r="JA52" s="3564"/>
      <c r="JB52" s="3564"/>
      <c r="JC52" s="3564"/>
      <c r="JD52" s="3564"/>
      <c r="JE52" s="3564"/>
      <c r="JF52" s="3564"/>
      <c r="JG52" s="4092"/>
      <c r="JH52" s="1233"/>
    </row>
    <row r="53" spans="1:268" x14ac:dyDescent="0.2">
      <c r="A53" s="1128">
        <v>53</v>
      </c>
      <c r="B53" s="1534" t="str">
        <f si="0" t="shared"/>
        <v/>
      </c>
      <c r="C53" s="1278" t="s">
        <v>2655</v>
      </c>
      <c r="D53" s="1386" t="s">
        <v>5324</v>
      </c>
      <c r="E53" s="2688"/>
      <c r="F53" s="2688"/>
      <c r="G53" s="2688"/>
      <c r="H53" s="2688"/>
      <c r="I53" s="2688"/>
      <c r="J53" s="2688"/>
      <c r="K53" s="2688"/>
      <c r="L53" s="2688"/>
      <c r="M53" s="2688"/>
      <c r="N53" s="2688"/>
      <c r="O53" s="2688"/>
      <c r="P53" s="2688"/>
      <c r="Q53" s="2688"/>
      <c r="R53" s="2688"/>
      <c r="S53" s="2688"/>
      <c r="T53" s="2688"/>
      <c r="U53" s="2688"/>
      <c r="V53" s="2688"/>
      <c r="W53" s="2688"/>
      <c r="X53" s="2688"/>
      <c r="Y53" s="2688"/>
      <c r="Z53" s="2688"/>
      <c r="AA53" s="2688"/>
      <c r="AB53" s="2688"/>
      <c r="AC53" s="2688"/>
      <c r="AD53" s="2688"/>
      <c r="AE53" s="2688"/>
      <c r="AF53" s="2688"/>
      <c r="AG53" s="2688"/>
      <c r="AH53" s="2688"/>
      <c r="AI53" s="2688"/>
      <c r="AJ53" s="2688"/>
      <c r="AK53" s="2688"/>
      <c r="AL53" s="2688"/>
      <c r="AM53" s="2688"/>
      <c r="AN53" s="2688"/>
      <c r="AO53" s="2688"/>
      <c r="AP53" s="2688"/>
      <c r="AQ53" s="2688"/>
      <c r="AR53" s="2688"/>
      <c r="AS53" s="2688"/>
      <c r="AT53" s="2688"/>
      <c r="AU53" s="2688"/>
      <c r="AV53" s="2688"/>
      <c r="AW53" s="2688"/>
      <c r="AX53" s="2688"/>
      <c r="AY53" s="2688"/>
      <c r="AZ53" s="2688"/>
      <c r="BA53" s="2688"/>
      <c r="BB53" s="2688"/>
      <c r="BC53" s="2688"/>
      <c r="BD53" s="2688"/>
      <c r="BE53" s="2688"/>
      <c r="BF53" s="2688"/>
      <c r="BG53" s="2688"/>
      <c r="BH53" s="2688"/>
      <c r="BI53" s="2688"/>
      <c r="BJ53" s="2688"/>
      <c r="BK53" s="2688"/>
      <c r="BL53" s="2688"/>
      <c r="BM53" s="2688"/>
      <c r="BN53" s="2688"/>
      <c r="BO53" s="2688"/>
      <c r="BP53" s="2688"/>
      <c r="BQ53" s="2688"/>
      <c r="BR53" s="2688"/>
      <c r="BS53" s="2688"/>
      <c r="BT53" s="2688"/>
      <c r="BU53" s="2688"/>
      <c r="BV53" s="2688"/>
      <c r="BW53" s="2688"/>
      <c r="BX53" s="2688"/>
      <c r="BY53" s="2688"/>
      <c r="BZ53" s="2688"/>
      <c r="CA53" s="2688"/>
      <c r="CB53" s="2688"/>
      <c r="CC53" s="2688"/>
      <c r="CD53" s="2688"/>
      <c r="CE53" s="2688"/>
      <c r="CF53" s="2688"/>
      <c r="CG53" s="2688"/>
      <c r="CH53" s="2688"/>
      <c r="CI53" s="2688"/>
      <c r="CJ53" s="2688"/>
      <c r="CK53" s="2688"/>
      <c r="CL53" s="2688"/>
      <c r="CM53" s="2688"/>
      <c r="CN53" s="2688"/>
      <c r="CO53" s="2688"/>
      <c r="CP53" s="2688"/>
      <c r="CQ53" s="2688"/>
      <c r="CR53" s="2688"/>
      <c r="CS53" s="2688"/>
      <c r="CT53" s="2688"/>
      <c r="CU53" s="2688"/>
      <c r="CV53" s="2688"/>
      <c r="CW53" s="2688"/>
      <c r="CX53" s="2688"/>
      <c r="CY53" s="2688"/>
      <c r="CZ53" s="2688"/>
      <c r="DA53" s="2688"/>
      <c r="DB53" s="2688"/>
      <c r="DC53" s="2688"/>
      <c r="DD53" s="2688"/>
      <c r="DE53" s="2688"/>
      <c r="DF53" s="2688"/>
      <c r="DG53" s="2688"/>
      <c r="DH53" s="2688"/>
      <c r="DI53" s="2688"/>
      <c r="DJ53" s="2688"/>
      <c r="DK53" s="2688"/>
      <c r="DL53" s="2688"/>
      <c r="DM53" s="2688"/>
      <c r="DN53" s="2688"/>
      <c r="DO53" s="2688"/>
      <c r="DP53" s="2688"/>
      <c r="DQ53" s="2688"/>
      <c r="DR53" s="2688"/>
      <c r="DS53" s="2688"/>
      <c r="DT53" s="2688"/>
      <c r="DU53" s="2688"/>
      <c r="DV53" s="2688"/>
      <c r="DW53" s="2688"/>
      <c r="DX53" s="2688"/>
      <c r="DY53" s="2688"/>
      <c r="DZ53" s="2688"/>
      <c r="EA53" s="2688"/>
      <c r="EB53" s="2688"/>
      <c r="EC53" s="2688"/>
      <c r="ED53" s="2688"/>
      <c r="EE53" s="2688"/>
      <c r="EF53" s="2688"/>
      <c r="EG53" s="2688"/>
      <c r="EH53" s="2688"/>
      <c r="EI53" s="2688"/>
      <c r="EJ53" s="2688"/>
      <c r="EK53" s="2688"/>
      <c r="EL53" s="2688"/>
      <c r="EM53" s="2688"/>
      <c r="EN53" s="2688"/>
      <c r="EO53" s="2688"/>
      <c r="EP53" s="2688"/>
      <c r="EQ53" s="2688"/>
      <c r="ER53" s="2688"/>
      <c r="ES53" s="2688"/>
      <c r="ET53" s="2688"/>
      <c r="EU53" s="2688"/>
      <c r="EV53" s="2688"/>
      <c r="EW53" s="2688"/>
      <c r="EX53" s="2688"/>
      <c r="EY53" s="2688"/>
      <c r="EZ53" s="2688"/>
      <c r="FA53" s="2688"/>
      <c r="FB53" s="2688"/>
      <c r="FC53" s="2688"/>
      <c r="FD53" s="2688"/>
      <c r="FE53" s="2688"/>
      <c r="FF53" s="2688"/>
      <c r="FG53" s="2688"/>
      <c r="FH53" s="2688"/>
      <c r="FI53" s="2688"/>
      <c r="FJ53" s="2688"/>
      <c r="FK53" s="2688"/>
      <c r="FL53" s="2688"/>
      <c r="FM53" s="2688"/>
      <c r="FN53" s="2688"/>
      <c r="FO53" s="2688"/>
      <c r="FP53" s="2688"/>
      <c r="FQ53" s="2688"/>
      <c r="FR53" s="2688"/>
      <c r="FS53" s="2688"/>
      <c r="FT53" s="2688"/>
      <c r="FU53" s="2688"/>
      <c r="FV53" s="2688"/>
      <c r="FW53" s="2688"/>
      <c r="FX53" s="2688"/>
      <c r="FY53" s="2688"/>
      <c r="FZ53" s="2688"/>
      <c r="GA53" s="2688"/>
      <c r="GB53" s="2688"/>
      <c r="GC53" s="2688"/>
      <c r="GD53" s="2688"/>
      <c r="GE53" s="2688"/>
      <c r="GF53" s="2688"/>
      <c r="GG53" s="2688"/>
      <c r="GH53" s="2688"/>
      <c r="GI53" s="2688"/>
      <c r="GJ53" s="2688"/>
      <c r="GK53" s="2688"/>
      <c r="GL53" s="2688"/>
      <c r="GM53" s="2688"/>
      <c r="GN53" s="2688"/>
      <c r="GO53" s="2688"/>
      <c r="GP53" s="2688"/>
      <c r="GQ53" s="2688"/>
      <c r="GR53" s="2688"/>
      <c r="GS53" s="2688"/>
      <c r="GT53" s="2688"/>
      <c r="GU53" s="2688"/>
      <c r="GV53" s="2688"/>
      <c r="GW53" s="2688"/>
      <c r="GX53" s="2688"/>
      <c r="GY53" s="2688"/>
      <c r="GZ53" s="2688"/>
      <c r="HA53" s="2688"/>
      <c r="HB53" s="2688"/>
      <c r="HC53" s="2688"/>
      <c r="HD53" s="2688"/>
      <c r="HE53" s="2688"/>
      <c r="HF53" s="2688"/>
      <c r="HG53" s="2688"/>
      <c r="HH53" s="2688"/>
      <c r="HI53" s="2688"/>
      <c r="HJ53" s="2688"/>
      <c r="HK53" s="2688"/>
      <c r="HL53" s="2688"/>
      <c r="HM53" s="2688"/>
      <c r="HN53" s="2688"/>
      <c r="HO53" s="2688"/>
      <c r="HP53" s="2688"/>
      <c r="HQ53" s="2688"/>
      <c r="HR53" s="2688"/>
      <c r="HS53" s="2688"/>
      <c r="HT53" s="2688"/>
      <c r="HU53" s="2688"/>
      <c r="HV53" s="2688"/>
      <c r="HW53" s="2688"/>
      <c r="HX53" s="2688"/>
      <c r="HY53" s="2688"/>
      <c r="HZ53" s="2688"/>
      <c r="IA53" s="2688"/>
      <c r="IB53" s="2688"/>
      <c r="IC53" s="2688"/>
      <c r="ID53" s="2688"/>
      <c r="IE53" s="2688"/>
      <c r="IF53" s="2688"/>
      <c r="IG53" s="2688"/>
      <c r="IH53" s="2688"/>
      <c r="II53" s="2688"/>
      <c r="IJ53" s="2688"/>
      <c r="IK53" s="2688"/>
      <c r="IL53" s="2688"/>
      <c r="IM53" s="2688"/>
      <c r="IN53" s="2688"/>
      <c r="IO53" s="2688"/>
      <c r="IP53" s="3564"/>
      <c r="IQ53" s="3564"/>
      <c r="IR53" s="3564"/>
      <c r="IS53" s="3564"/>
      <c r="IT53" s="3564"/>
      <c r="IU53" s="3564"/>
      <c r="IV53" s="3564"/>
      <c r="IW53" s="3564"/>
      <c r="IX53" s="3564"/>
      <c r="IY53" s="3564"/>
      <c r="IZ53" s="3564"/>
      <c r="JA53" s="3564"/>
      <c r="JB53" s="3564"/>
      <c r="JC53" s="3564"/>
      <c r="JD53" s="3564"/>
      <c r="JE53" s="3564"/>
      <c r="JF53" s="3564"/>
      <c r="JG53" s="4092"/>
      <c r="JH53" s="1233"/>
    </row>
    <row r="54" spans="1:268" x14ac:dyDescent="0.2">
      <c r="A54" s="1128">
        <v>54</v>
      </c>
      <c r="B54" s="1534" t="str">
        <f si="0" t="shared"/>
        <v/>
      </c>
      <c r="C54" s="1278" t="s">
        <v>2656</v>
      </c>
      <c r="D54" s="1386" t="s">
        <v>5325</v>
      </c>
      <c r="E54" s="3359"/>
      <c r="F54" s="3359"/>
      <c r="G54" s="3359"/>
      <c r="H54" s="3359"/>
      <c r="I54" s="3359"/>
      <c r="J54" s="3359"/>
      <c r="K54" s="3359"/>
      <c r="L54" s="3359"/>
      <c r="M54" s="3359"/>
      <c r="N54" s="3359"/>
      <c r="O54" s="3359"/>
      <c r="P54" s="3359"/>
      <c r="Q54" s="3359"/>
      <c r="R54" s="3359"/>
      <c r="S54" s="3359"/>
      <c r="T54" s="3359"/>
      <c r="U54" s="3359"/>
      <c r="V54" s="3359"/>
      <c r="W54" s="3359"/>
      <c r="X54" s="3359"/>
      <c r="Y54" s="3359"/>
      <c r="Z54" s="3359"/>
      <c r="AA54" s="3359"/>
      <c r="AB54" s="3359"/>
      <c r="AC54" s="3359"/>
      <c r="AD54" s="3359"/>
      <c r="AE54" s="3359"/>
      <c r="AF54" s="3359"/>
      <c r="AG54" s="3359"/>
      <c r="AH54" s="3359"/>
      <c r="AI54" s="3359"/>
      <c r="AJ54" s="3359"/>
      <c r="AK54" s="3359"/>
      <c r="AL54" s="3359"/>
      <c r="AM54" s="3359"/>
      <c r="AN54" s="3359"/>
      <c r="AO54" s="3359"/>
      <c r="AP54" s="3359" t="s">
        <v>572</v>
      </c>
      <c r="AQ54" s="3359"/>
      <c r="AR54" s="3359"/>
      <c r="AS54" s="3359"/>
      <c r="AT54" s="3359"/>
      <c r="AU54" s="3359"/>
      <c r="AV54" s="3359"/>
      <c r="AW54" s="3359"/>
      <c r="AX54" s="3359"/>
      <c r="AY54" s="3359"/>
      <c r="AZ54" s="3359"/>
      <c r="BA54" s="3359"/>
      <c r="BB54" s="3359"/>
      <c r="BC54" s="3359" t="s">
        <v>572</v>
      </c>
      <c r="BD54" s="3359" t="s">
        <v>572</v>
      </c>
      <c r="BE54" s="3359"/>
      <c r="BF54" s="3359"/>
      <c r="BG54" s="3359"/>
      <c r="BH54" s="3359"/>
      <c r="BI54" s="3359"/>
      <c r="BJ54" s="3359" t="s">
        <v>572</v>
      </c>
      <c r="BK54" s="3359"/>
      <c r="BL54" s="3359"/>
      <c r="BM54" s="3359"/>
      <c r="BN54" s="3359"/>
      <c r="BO54" s="3359"/>
      <c r="BP54" s="3359"/>
      <c r="BQ54" s="3359"/>
      <c r="BR54" s="3359"/>
      <c r="BS54" s="3359"/>
      <c r="BT54" s="3359"/>
      <c r="BU54" s="3359"/>
      <c r="BV54" s="3359"/>
      <c r="BW54" s="3359"/>
      <c r="BX54" s="3359"/>
      <c r="BY54" s="3359"/>
      <c r="BZ54" s="3359"/>
      <c r="CA54" s="3359"/>
      <c r="CB54" s="3359"/>
      <c r="CC54" s="3359"/>
      <c r="CD54" s="3359"/>
      <c r="CE54" s="3359"/>
      <c r="CF54" s="3359"/>
      <c r="CG54" s="3359"/>
      <c r="CH54" s="3359"/>
      <c r="CI54" s="3359"/>
      <c r="CJ54" s="3359"/>
      <c r="CK54" s="3359"/>
      <c r="CL54" s="3359"/>
      <c r="CM54" s="3359"/>
      <c r="CN54" s="3359"/>
      <c r="CO54" s="3359"/>
      <c r="CP54" s="3359"/>
      <c r="CQ54" s="3359"/>
      <c r="CR54" s="3359"/>
      <c r="CS54" s="3359"/>
      <c r="CT54" s="3359"/>
      <c r="CU54" s="3359"/>
      <c r="CV54" s="3359"/>
      <c r="CW54" s="3359"/>
      <c r="CX54" s="3359"/>
      <c r="CY54" s="3359"/>
      <c r="CZ54" s="3359"/>
      <c r="DA54" s="3359"/>
      <c r="DB54" s="3359"/>
      <c r="DC54" s="3359"/>
      <c r="DD54" s="3359"/>
      <c r="DE54" s="3359"/>
      <c r="DF54" s="3359"/>
      <c r="DG54" s="3359"/>
      <c r="DH54" s="3359"/>
      <c r="DI54" s="3359"/>
      <c r="DJ54" s="3359"/>
      <c r="DK54" s="3359"/>
      <c r="DL54" s="3359"/>
      <c r="DM54" s="3359"/>
      <c r="DN54" s="3359"/>
      <c r="DO54" s="3359"/>
      <c r="DP54" s="3359"/>
      <c r="DQ54" s="3359"/>
      <c r="DR54" s="3359"/>
      <c r="DS54" s="3359"/>
      <c r="DT54" s="3359"/>
      <c r="DU54" s="3359"/>
      <c r="DV54" s="3359"/>
      <c r="DW54" s="3359"/>
      <c r="DX54" s="3359"/>
      <c r="DY54" s="3359"/>
      <c r="DZ54" s="3359"/>
      <c r="EA54" s="3359"/>
      <c r="EB54" s="3359"/>
      <c r="EC54" s="3359"/>
      <c r="ED54" s="3359"/>
      <c r="EE54" s="3359"/>
      <c r="EF54" s="3359"/>
      <c r="EG54" s="3359"/>
      <c r="EH54" s="3359"/>
      <c r="EI54" s="3359"/>
      <c r="EJ54" s="3359"/>
      <c r="EK54" s="3359"/>
      <c r="EL54" s="3359"/>
      <c r="EM54" s="3359"/>
      <c r="EN54" s="3359"/>
      <c r="EO54" s="3359"/>
      <c r="EP54" s="3359"/>
      <c r="EQ54" s="3359"/>
      <c r="ER54" s="3359"/>
      <c r="ES54" s="3359"/>
      <c r="ET54" s="3359"/>
      <c r="EU54" s="3359"/>
      <c r="EV54" s="3359"/>
      <c r="EW54" s="3359"/>
      <c r="EX54" s="3359" t="s">
        <v>572</v>
      </c>
      <c r="EY54" s="3359"/>
      <c r="EZ54" s="3359"/>
      <c r="FA54" s="3359"/>
      <c r="FB54" s="3359"/>
      <c r="FC54" s="3359"/>
      <c r="FD54" s="3359"/>
      <c r="FE54" s="3359"/>
      <c r="FF54" s="3359"/>
      <c r="FG54" s="3359"/>
      <c r="FH54" s="3359"/>
      <c r="FI54" s="3359"/>
      <c r="FJ54" s="3359"/>
      <c r="FK54" s="3359"/>
      <c r="FL54" s="3359"/>
      <c r="FM54" s="3359"/>
      <c r="FN54" s="3359"/>
      <c r="FO54" s="3359"/>
      <c r="FP54" s="3359"/>
      <c r="FQ54" s="3359"/>
      <c r="FR54" s="3359"/>
      <c r="FS54" s="3359"/>
      <c r="FT54" s="3359"/>
      <c r="FU54" s="3359"/>
      <c r="FV54" s="3359"/>
      <c r="FW54" s="3359"/>
      <c r="FX54" s="3359"/>
      <c r="FY54" s="3359"/>
      <c r="FZ54" s="3359"/>
      <c r="GA54" s="3359"/>
      <c r="GB54" s="3359"/>
      <c r="GC54" s="3359"/>
      <c r="GD54" s="3359"/>
      <c r="GE54" s="3359"/>
      <c r="GF54" s="3359" t="s">
        <v>572</v>
      </c>
      <c r="GG54" s="3359"/>
      <c r="GH54" s="3359"/>
      <c r="GI54" s="3359"/>
      <c r="GJ54" s="3359"/>
      <c r="GK54" s="3359"/>
      <c r="GL54" s="3359"/>
      <c r="GM54" s="3359"/>
      <c r="GN54" s="3359"/>
      <c r="GO54" s="3359"/>
      <c r="GP54" s="3359"/>
      <c r="GQ54" s="3359"/>
      <c r="GR54" s="3359"/>
      <c r="GS54" s="3359"/>
      <c r="GT54" s="3359"/>
      <c r="GU54" s="3359"/>
      <c r="GV54" s="3359"/>
      <c r="GW54" s="3359"/>
      <c r="GX54" s="3359"/>
      <c r="GY54" s="3359"/>
      <c r="GZ54" s="3359"/>
      <c r="HA54" s="3359"/>
      <c r="HB54" s="3359"/>
      <c r="HC54" s="3359"/>
      <c r="HD54" s="3359"/>
      <c r="HE54" s="3359"/>
      <c r="HF54" s="3359"/>
      <c r="HG54" s="3359"/>
      <c r="HH54" s="3359"/>
      <c r="HI54" s="3359"/>
      <c r="HJ54" s="3359" t="s">
        <v>572</v>
      </c>
      <c r="HK54" s="3359" t="s">
        <v>572</v>
      </c>
      <c r="HL54" s="3359" t="s">
        <v>572</v>
      </c>
      <c r="HM54" s="3359" t="s">
        <v>572</v>
      </c>
      <c r="HN54" s="3359"/>
      <c r="HO54" s="3359"/>
      <c r="HP54" s="3359" t="s">
        <v>572</v>
      </c>
      <c r="HQ54" s="3359"/>
      <c r="HR54" s="3359" t="s">
        <v>572</v>
      </c>
      <c r="HS54" s="3359"/>
      <c r="HT54" s="3359"/>
      <c r="HU54" s="3359"/>
      <c r="HV54" s="3359"/>
      <c r="HW54" s="3359"/>
      <c r="HX54" s="3359"/>
      <c r="HY54" s="3359"/>
      <c r="HZ54" s="3359"/>
      <c r="IA54" s="3359"/>
      <c r="IB54" s="3359"/>
      <c r="IC54" s="3359"/>
      <c r="ID54" s="3359"/>
      <c r="IE54" s="3359"/>
      <c r="IF54" s="3359"/>
      <c r="IG54" s="3359"/>
      <c r="IH54" s="3359"/>
      <c r="II54" s="3359"/>
      <c r="IJ54" s="3359"/>
      <c r="IK54" s="3359"/>
      <c r="IL54" s="3359"/>
      <c r="IM54" s="3359"/>
      <c r="IN54" s="3359"/>
      <c r="IO54" s="3359"/>
      <c r="IP54" s="3522"/>
      <c r="IQ54" s="3522"/>
      <c r="IR54" s="3522"/>
      <c r="IS54" s="3522"/>
      <c r="IT54" s="3522"/>
      <c r="IU54" s="3522"/>
      <c r="IV54" s="3522"/>
      <c r="IW54" s="3522"/>
      <c r="IX54" s="3522"/>
      <c r="IY54" s="3522"/>
      <c r="IZ54" s="3522"/>
      <c r="JA54" s="3522"/>
      <c r="JB54" s="3522"/>
      <c r="JC54" s="3522"/>
      <c r="JD54" s="3522"/>
      <c r="JE54" s="3522"/>
      <c r="JF54" s="3522"/>
      <c r="JG54" s="4091"/>
      <c r="JH54" s="1233"/>
    </row>
    <row r="55" spans="1:268" x14ac:dyDescent="0.2">
      <c r="A55" s="1128">
        <v>55</v>
      </c>
      <c r="B55" s="1534" t="str">
        <f si="0" t="shared"/>
        <v/>
      </c>
      <c r="C55" s="1278" t="s">
        <v>2657</v>
      </c>
      <c r="D55" s="1386" t="s">
        <v>5326</v>
      </c>
      <c r="E55" s="2688"/>
      <c r="F55" s="2688"/>
      <c r="G55" s="2688"/>
      <c r="H55" s="2688"/>
      <c r="I55" s="2688"/>
      <c r="J55" s="2688"/>
      <c r="K55" s="2688"/>
      <c r="L55" s="2688"/>
      <c r="M55" s="2688"/>
      <c r="N55" s="2688"/>
      <c r="O55" s="2688"/>
      <c r="P55" s="2688"/>
      <c r="Q55" s="2688"/>
      <c r="R55" s="2688"/>
      <c r="S55" s="2688"/>
      <c r="T55" s="2688"/>
      <c r="U55" s="2688"/>
      <c r="V55" s="2688"/>
      <c r="W55" s="2688"/>
      <c r="X55" s="2688"/>
      <c r="Y55" s="2688"/>
      <c r="Z55" s="2688"/>
      <c r="AA55" s="2688"/>
      <c r="AB55" s="2688"/>
      <c r="AC55" s="2688"/>
      <c r="AD55" s="2688"/>
      <c r="AE55" s="2688"/>
      <c r="AF55" s="2688"/>
      <c r="AG55" s="2688"/>
      <c r="AH55" s="2688"/>
      <c r="AI55" s="2688"/>
      <c r="AJ55" s="2688"/>
      <c r="AK55" s="2688"/>
      <c r="AL55" s="2688"/>
      <c r="AM55" s="2688"/>
      <c r="AN55" s="2688"/>
      <c r="AO55" s="2688"/>
      <c r="AP55" s="3360">
        <f>IF(AP54="Y",AP51,MAX(0,AP51-AP52))</f>
        <v>6741</v>
      </c>
      <c r="AQ55" s="2688"/>
      <c r="AR55" s="2688"/>
      <c r="AS55" s="2688"/>
      <c r="AT55" s="2688"/>
      <c r="AU55" s="2688"/>
      <c r="AV55" s="2688"/>
      <c r="AW55" s="2688"/>
      <c r="AX55" s="2688"/>
      <c r="AY55" s="2688"/>
      <c r="AZ55" s="2688"/>
      <c r="BA55" s="2688"/>
      <c r="BB55" s="2688"/>
      <c r="BC55" s="3360">
        <f>IF(BC54="Y",BC51,MAX(0,BC51-BC52))</f>
        <v>6741</v>
      </c>
      <c r="BD55" s="3360">
        <f>IF(BD54="Y",BD51,MAX(0,BD51-BD52))</f>
        <v>6741</v>
      </c>
      <c r="BE55" s="2688"/>
      <c r="BF55" s="2688"/>
      <c r="BG55" s="2688"/>
      <c r="BH55" s="2688"/>
      <c r="BI55" s="2688"/>
      <c r="BJ55" s="3360">
        <f>IF(BJ54="Y",BJ51,MAX(0,BJ51-BJ52))</f>
        <v>6741</v>
      </c>
      <c r="BK55" s="2688"/>
      <c r="BL55" s="2688"/>
      <c r="BM55" s="2688"/>
      <c r="BN55" s="2688"/>
      <c r="BO55" s="2688"/>
      <c r="BP55" s="2688"/>
      <c r="BQ55" s="2688"/>
      <c r="BR55" s="2688"/>
      <c r="BS55" s="2688"/>
      <c r="BT55" s="2688"/>
      <c r="BU55" s="2688"/>
      <c r="BV55" s="2688"/>
      <c r="BW55" s="2688"/>
      <c r="BX55" s="2688"/>
      <c r="BY55" s="2688"/>
      <c r="BZ55" s="2688"/>
      <c r="CA55" s="2688"/>
      <c r="CB55" s="2688"/>
      <c r="CC55" s="2688"/>
      <c r="CD55" s="2688"/>
      <c r="CE55" s="2688"/>
      <c r="CF55" s="2688"/>
      <c r="CG55" s="2688"/>
      <c r="CH55" s="2688"/>
      <c r="CI55" s="2688"/>
      <c r="CJ55" s="3360">
        <f>IF(CJ54="Y",CJ51,MAX(0,CJ51-CJ52))</f>
        <v>4620</v>
      </c>
      <c r="CK55" s="2688"/>
      <c r="CL55" s="2688"/>
      <c r="CM55" s="2688"/>
      <c r="CN55" s="2688"/>
      <c r="CO55" s="2688"/>
      <c r="CP55" s="2688"/>
      <c r="CQ55" s="2688"/>
      <c r="CR55" s="2688"/>
      <c r="CS55" s="2688"/>
      <c r="CT55" s="2688"/>
      <c r="CU55" s="2688"/>
      <c r="CV55" s="2688"/>
      <c r="CW55" s="2688"/>
      <c r="CX55" s="2688"/>
      <c r="CY55" s="2688"/>
      <c r="CZ55" s="2688"/>
      <c r="DA55" s="2688"/>
      <c r="DB55" s="2688"/>
      <c r="DC55" s="2688"/>
      <c r="DD55" s="2688"/>
      <c r="DE55" s="2688"/>
      <c r="DF55" s="2688"/>
      <c r="DG55" s="2688"/>
      <c r="DH55" s="2688"/>
      <c r="DI55" s="2688"/>
      <c r="DJ55" s="2688"/>
      <c r="DK55" s="2688"/>
      <c r="DL55" s="2688"/>
      <c r="DM55" s="3360">
        <f>IF(DM54="Y",DM51,MAX(0,DM51-DM52))</f>
        <v>4620</v>
      </c>
      <c r="DN55" s="2688"/>
      <c r="DO55" s="2688"/>
      <c r="DP55" s="2688"/>
      <c r="DQ55" s="2688"/>
      <c r="DR55" s="2688"/>
      <c r="DS55" s="2688"/>
      <c r="DT55" s="2688"/>
      <c r="DU55" s="2688"/>
      <c r="DV55" s="2688"/>
      <c r="DW55" s="2688"/>
      <c r="DX55" s="2688"/>
      <c r="DY55" s="2688"/>
      <c r="DZ55" s="2688"/>
      <c r="EA55" s="2688"/>
      <c r="EB55" s="2688"/>
      <c r="EC55" s="2688"/>
      <c r="ED55" s="2688"/>
      <c r="EE55" s="2688"/>
      <c r="EF55" s="2688"/>
      <c r="EG55" s="2688"/>
      <c r="EH55" s="2688"/>
      <c r="EI55" s="2688"/>
      <c r="EJ55" s="2688"/>
      <c r="EK55" s="2688"/>
      <c r="EL55" s="2688"/>
      <c r="EM55" s="2688"/>
      <c r="EN55" s="2688"/>
      <c r="EO55" s="3360">
        <f>IF(EO54="Y",EO51,MAX(0,EO51-EO52))</f>
        <v>4620</v>
      </c>
      <c r="EP55" s="2688"/>
      <c r="EQ55" s="2688"/>
      <c r="ER55" s="2688"/>
      <c r="ES55" s="2688"/>
      <c r="ET55" s="2688"/>
      <c r="EU55" s="2688"/>
      <c r="EV55" s="2688"/>
      <c r="EW55" s="2688"/>
      <c r="EX55" s="3360">
        <f>IF(EX54="Y",EX51,MAX(0,EX51-EX52))</f>
        <v>1360</v>
      </c>
      <c r="EY55" s="2688"/>
      <c r="EZ55" s="2688"/>
      <c r="FA55" s="2688"/>
      <c r="FB55" s="2688"/>
      <c r="FC55" s="2688"/>
      <c r="FD55" s="2688"/>
      <c r="FE55" s="2688"/>
      <c r="FF55" s="2688"/>
      <c r="FG55" s="2688"/>
      <c r="FH55" s="2688"/>
      <c r="FI55" s="2688"/>
      <c r="FJ55" s="2688"/>
      <c r="FK55" s="2688"/>
      <c r="FL55" s="2688"/>
      <c r="FM55" s="2688"/>
      <c r="FN55" s="2688"/>
      <c r="FO55" s="2688"/>
      <c r="FP55" s="2688"/>
      <c r="FQ55" s="2688"/>
      <c r="FR55" s="2688"/>
      <c r="FS55" s="2688"/>
      <c r="FT55" s="2688"/>
      <c r="FU55" s="2688"/>
      <c r="FV55" s="2688"/>
      <c r="FW55" s="2688"/>
      <c r="FX55" s="2688"/>
      <c r="FY55" s="2688"/>
      <c r="FZ55" s="2688"/>
      <c r="GA55" s="2688"/>
      <c r="GB55" s="2688"/>
      <c r="GC55" s="2688"/>
      <c r="GD55" s="2688"/>
      <c r="GE55" s="2688"/>
      <c r="GF55" s="3360">
        <f>IF(GF54="Y",GF51,MAX(0,GF51-GF52))</f>
        <v>6741</v>
      </c>
      <c r="GG55" s="2688"/>
      <c r="GH55" s="2688"/>
      <c r="GI55" s="2688"/>
      <c r="GJ55" s="2688"/>
      <c r="GK55" s="2688"/>
      <c r="GL55" s="2688"/>
      <c r="GM55" s="2688"/>
      <c r="GN55" s="2688"/>
      <c r="GO55" s="2688"/>
      <c r="GP55" s="2688"/>
      <c r="GQ55" s="2688"/>
      <c r="GR55" s="2688"/>
      <c r="GS55" s="2688"/>
      <c r="GT55" s="2688"/>
      <c r="GU55" s="2688"/>
      <c r="GV55" s="2688"/>
      <c r="GW55" s="2688"/>
      <c r="GX55" s="2688"/>
      <c r="GY55" s="2688"/>
      <c r="GZ55" s="2688"/>
      <c r="HA55" s="2688"/>
      <c r="HB55" s="2688"/>
      <c r="HC55" s="2688"/>
      <c r="HD55" s="2688"/>
      <c r="HE55" s="2688"/>
      <c r="HF55" s="2688"/>
      <c r="HG55" s="2688"/>
      <c r="HH55" s="2688"/>
      <c r="HI55" s="2688"/>
      <c r="HJ55" s="3360">
        <f>IF(HJ54="Y",HJ51,MAX(0,HJ51-HJ52))</f>
        <v>131762</v>
      </c>
      <c r="HK55" s="3360">
        <f>IF(HK54="Y",HK51,MAX(0,HK51-HK52))</f>
        <v>131762</v>
      </c>
      <c r="HL55" s="3360">
        <f>IF(HL54="Y",HL51,MAX(0,HL51-HL52))</f>
        <v>131762</v>
      </c>
      <c r="HM55" s="3360">
        <f>IF(HM54="Y",HM51,MAX(0,HM51-HM52))</f>
        <v>131762</v>
      </c>
      <c r="HN55" s="2688"/>
      <c r="HO55" s="2688"/>
      <c r="HP55" s="3360">
        <f>IF(HP54="Y",HP51,MAX(0,HP51-HP52))</f>
        <v>1360</v>
      </c>
      <c r="HQ55" s="2688"/>
      <c r="HR55" s="3360">
        <f>IF(HR54="Y",HR51,MAX(0,HR51-HR52))</f>
        <v>1360</v>
      </c>
      <c r="HS55" s="2688"/>
      <c r="HT55" s="2688"/>
      <c r="HU55" s="2688"/>
      <c r="HV55" s="2688"/>
      <c r="HW55" s="2688"/>
      <c r="HX55" s="2688"/>
      <c r="HY55" s="2688"/>
      <c r="HZ55" s="2688"/>
      <c r="IA55" s="2688"/>
      <c r="IB55" s="2688"/>
      <c r="IC55" s="2688"/>
      <c r="ID55" s="2688"/>
      <c r="IE55" s="2688"/>
      <c r="IF55" s="2688"/>
      <c r="IG55" s="2688"/>
      <c r="IH55" s="2688"/>
      <c r="II55" s="2688"/>
      <c r="IJ55" s="2688"/>
      <c r="IK55" s="2688"/>
      <c r="IL55" s="2688"/>
      <c r="IM55" s="2688"/>
      <c r="IN55" s="2688"/>
      <c r="IO55" s="2688"/>
      <c r="IP55" s="3558"/>
      <c r="IQ55" s="3558"/>
      <c r="IR55" s="3558"/>
      <c r="IS55" s="3558"/>
      <c r="IT55" s="3558"/>
      <c r="IU55" s="3558"/>
      <c r="IV55" s="3558"/>
      <c r="IW55" s="3558"/>
      <c r="IX55" s="3558"/>
      <c r="IY55" s="3558"/>
      <c r="IZ55" s="3558"/>
      <c r="JA55" s="3558"/>
      <c r="JB55" s="3558"/>
      <c r="JC55" s="3558"/>
      <c r="JD55" s="3558"/>
      <c r="JE55" s="3558"/>
      <c r="JF55" s="3558"/>
      <c r="JG55" s="4086"/>
      <c r="JH55" s="1233"/>
    </row>
    <row r="56" spans="1:268" x14ac:dyDescent="0.2">
      <c r="A56" s="1128">
        <v>56</v>
      </c>
      <c r="B56" s="1534" t="str">
        <f si="0" t="shared"/>
        <v/>
      </c>
      <c r="C56" s="1524" t="s">
        <v>141</v>
      </c>
      <c r="D56" s="1386" t="s">
        <v>2562</v>
      </c>
      <c r="E56" s="2688"/>
      <c r="F56" s="2688"/>
      <c r="G56" s="2688"/>
      <c r="H56" s="2688"/>
      <c r="I56" s="2688"/>
      <c r="J56" s="2688"/>
      <c r="K56" s="2688"/>
      <c r="L56" s="2688"/>
      <c r="M56" s="2688"/>
      <c r="N56" s="2688"/>
      <c r="O56" s="2688"/>
      <c r="P56" s="2688"/>
      <c r="Q56" s="2688"/>
      <c r="R56" s="2688"/>
      <c r="S56" s="2688"/>
      <c r="T56" s="2688"/>
      <c r="U56" s="2688"/>
      <c r="V56" s="2688"/>
      <c r="W56" s="2688"/>
      <c r="X56" s="2688"/>
      <c r="Y56" s="2688"/>
      <c r="Z56" s="2688"/>
      <c r="AA56" s="2688"/>
      <c r="AB56" s="2688"/>
      <c r="AC56" s="2688"/>
      <c r="AD56" s="2688"/>
      <c r="AE56" s="2688"/>
      <c r="AF56" s="2688"/>
      <c r="AG56" s="2688"/>
      <c r="AH56" s="2688"/>
      <c r="AI56" s="2688"/>
      <c r="AJ56" s="2688"/>
      <c r="AK56" s="2688"/>
      <c r="AL56" s="2688"/>
      <c r="AM56" s="2688"/>
      <c r="AN56" s="2688"/>
      <c r="AO56" s="2688"/>
      <c r="AP56" s="2688"/>
      <c r="AQ56" s="2688"/>
      <c r="AR56" s="2688"/>
      <c r="AS56" s="2688"/>
      <c r="AT56" s="2688"/>
      <c r="AU56" s="2688"/>
      <c r="AV56" s="2688"/>
      <c r="AW56" s="2688"/>
      <c r="AX56" s="2688"/>
      <c r="AY56" s="2688"/>
      <c r="AZ56" s="2688"/>
      <c r="BA56" s="2688"/>
      <c r="BB56" s="2688"/>
      <c r="BC56" s="2688"/>
      <c r="BD56" s="2688"/>
      <c r="BE56" s="2688"/>
      <c r="BF56" s="2688"/>
      <c r="BG56" s="2688"/>
      <c r="BH56" s="2688"/>
      <c r="BI56" s="2688"/>
      <c r="BJ56" s="2688"/>
      <c r="BK56" s="2688"/>
      <c r="BL56" s="2688"/>
      <c r="BM56" s="2688"/>
      <c r="BN56" s="2688"/>
      <c r="BO56" s="2688"/>
      <c r="BP56" s="2688"/>
      <c r="BQ56" s="2688"/>
      <c r="BR56" s="2688"/>
      <c r="BS56" s="2688"/>
      <c r="BT56" s="2688"/>
      <c r="BU56" s="2688"/>
      <c r="BV56" s="2688"/>
      <c r="BW56" s="2688"/>
      <c r="BX56" s="2688"/>
      <c r="BY56" s="2688"/>
      <c r="BZ56" s="2688"/>
      <c r="CA56" s="2688"/>
      <c r="CB56" s="2688"/>
      <c r="CC56" s="2688"/>
      <c r="CD56" s="2688"/>
      <c r="CE56" s="2688"/>
      <c r="CF56" s="2688"/>
      <c r="CG56" s="2688"/>
      <c r="CH56" s="2688"/>
      <c r="CI56" s="2688"/>
      <c r="CJ56" s="2688"/>
      <c r="CK56" s="2688"/>
      <c r="CL56" s="2688"/>
      <c r="CM56" s="2688"/>
      <c r="CN56" s="2688"/>
      <c r="CO56" s="2688"/>
      <c r="CP56" s="2688"/>
      <c r="CQ56" s="2688"/>
      <c r="CR56" s="2688"/>
      <c r="CS56" s="2688"/>
      <c r="CT56" s="2688"/>
      <c r="CU56" s="2688"/>
      <c r="CV56" s="2688"/>
      <c r="CW56" s="2688"/>
      <c r="CX56" s="2688"/>
      <c r="CY56" s="2688"/>
      <c r="CZ56" s="2688"/>
      <c r="DA56" s="2688"/>
      <c r="DB56" s="2688"/>
      <c r="DC56" s="2688"/>
      <c r="DD56" s="2688"/>
      <c r="DE56" s="2688"/>
      <c r="DF56" s="2688"/>
      <c r="DG56" s="2688"/>
      <c r="DH56" s="2688"/>
      <c r="DI56" s="2688"/>
      <c r="DJ56" s="2688"/>
      <c r="DK56" s="2688"/>
      <c r="DL56" s="2688"/>
      <c r="DM56" s="2688"/>
      <c r="DN56" s="2688"/>
      <c r="DO56" s="2688"/>
      <c r="DP56" s="2688"/>
      <c r="DQ56" s="2688"/>
      <c r="DR56" s="2688"/>
      <c r="DS56" s="2688"/>
      <c r="DT56" s="2688"/>
      <c r="DU56" s="2688"/>
      <c r="DV56" s="2688"/>
      <c r="DW56" s="2688"/>
      <c r="DX56" s="2688"/>
      <c r="DY56" s="2688"/>
      <c r="DZ56" s="2688"/>
      <c r="EA56" s="2688"/>
      <c r="EB56" s="2688"/>
      <c r="EC56" s="2688"/>
      <c r="ED56" s="2688"/>
      <c r="EE56" s="2688"/>
      <c r="EF56" s="2688"/>
      <c r="EG56" s="2688"/>
      <c r="EH56" s="2688"/>
      <c r="EI56" s="2688"/>
      <c r="EJ56" s="2688"/>
      <c r="EK56" s="2688"/>
      <c r="EL56" s="2688"/>
      <c r="EM56" s="2688"/>
      <c r="EN56" s="2688"/>
      <c r="EO56" s="2688"/>
      <c r="EP56" s="2688"/>
      <c r="EQ56" s="2688"/>
      <c r="ER56" s="2688"/>
      <c r="ES56" s="2688"/>
      <c r="ET56" s="2688"/>
      <c r="EU56" s="2688"/>
      <c r="EV56" s="2688"/>
      <c r="EW56" s="2688"/>
      <c r="EX56" s="2688"/>
      <c r="EY56" s="2688"/>
      <c r="EZ56" s="2688"/>
      <c r="FA56" s="2688"/>
      <c r="FB56" s="2688"/>
      <c r="FC56" s="2688"/>
      <c r="FD56" s="2688"/>
      <c r="FE56" s="2688"/>
      <c r="FF56" s="2688"/>
      <c r="FG56" s="2688"/>
      <c r="FH56" s="2688"/>
      <c r="FI56" s="2688"/>
      <c r="FJ56" s="2688"/>
      <c r="FK56" s="2688"/>
      <c r="FL56" s="2688"/>
      <c r="FM56" s="2688"/>
      <c r="FN56" s="2688"/>
      <c r="FO56" s="2688"/>
      <c r="FP56" s="2688"/>
      <c r="FQ56" s="2688"/>
      <c r="FR56" s="2688"/>
      <c r="FS56" s="2688"/>
      <c r="FT56" s="2688"/>
      <c r="FU56" s="2688"/>
      <c r="FV56" s="2688"/>
      <c r="FW56" s="2688"/>
      <c r="FX56" s="2688"/>
      <c r="FY56" s="2688"/>
      <c r="FZ56" s="2688"/>
      <c r="GA56" s="2688"/>
      <c r="GB56" s="2688"/>
      <c r="GC56" s="2688"/>
      <c r="GD56" s="2688"/>
      <c r="GE56" s="2688"/>
      <c r="GF56" s="2688"/>
      <c r="GG56" s="2688"/>
      <c r="GH56" s="2688"/>
      <c r="GI56" s="2688"/>
      <c r="GJ56" s="2688"/>
      <c r="GK56" s="2688"/>
      <c r="GL56" s="2688"/>
      <c r="GM56" s="2688"/>
      <c r="GN56" s="2688"/>
      <c r="GO56" s="2688"/>
      <c r="GP56" s="2688"/>
      <c r="GQ56" s="2688"/>
      <c r="GR56" s="2688"/>
      <c r="GS56" s="2688"/>
      <c r="GT56" s="2688"/>
      <c r="GU56" s="2688"/>
      <c r="GV56" s="2688"/>
      <c r="GW56" s="2688"/>
      <c r="GX56" s="2688"/>
      <c r="GY56" s="2688"/>
      <c r="GZ56" s="2688"/>
      <c r="HA56" s="2688"/>
      <c r="HB56" s="2688"/>
      <c r="HC56" s="2688"/>
      <c r="HD56" s="2688"/>
      <c r="HE56" s="2688"/>
      <c r="HF56" s="2688"/>
      <c r="HG56" s="2688"/>
      <c r="HH56" s="2688"/>
      <c r="HI56" s="2688"/>
      <c r="HJ56" s="2688"/>
      <c r="HK56" s="2688"/>
      <c r="HL56" s="2688"/>
      <c r="HM56" s="2688"/>
      <c r="HN56" s="2688"/>
      <c r="HO56" s="2688"/>
      <c r="HP56" s="2688"/>
      <c r="HQ56" s="2688"/>
      <c r="HR56" s="2688"/>
      <c r="HS56" s="2688"/>
      <c r="HT56" s="2688"/>
      <c r="HU56" s="2688"/>
      <c r="HV56" s="2688"/>
      <c r="HW56" s="2688"/>
      <c r="HX56" s="2688"/>
      <c r="HY56" s="2688"/>
      <c r="HZ56" s="2688"/>
      <c r="IA56" s="2688"/>
      <c r="IB56" s="2688"/>
      <c r="IC56" s="2688"/>
      <c r="ID56" s="2688"/>
      <c r="IE56" s="2688"/>
      <c r="IF56" s="2688"/>
      <c r="IG56" s="2688"/>
      <c r="IH56" s="2688"/>
      <c r="II56" s="2688"/>
      <c r="IJ56" s="2688"/>
      <c r="IK56" s="2688"/>
      <c r="IL56" s="2688"/>
      <c r="IM56" s="2688"/>
      <c r="IN56" s="2688"/>
      <c r="IO56" s="2688"/>
      <c r="IP56" s="3560"/>
      <c r="IQ56" s="3560"/>
      <c r="IR56" s="3560"/>
      <c r="IS56" s="3560"/>
      <c r="IT56" s="3560"/>
      <c r="IU56" s="3560"/>
      <c r="IV56" s="3560"/>
      <c r="IW56" s="3560"/>
      <c r="IX56" s="3560"/>
      <c r="IY56" s="3560"/>
      <c r="IZ56" s="3560"/>
      <c r="JA56" s="3560"/>
      <c r="JB56" s="3560"/>
      <c r="JC56" s="3560"/>
      <c r="JD56" s="3560"/>
      <c r="JE56" s="3560"/>
      <c r="JF56" s="3560"/>
      <c r="JG56" s="4088"/>
      <c r="JH56" s="1233"/>
    </row>
    <row r="57" spans="1:268" x14ac:dyDescent="0.2">
      <c r="A57" s="1128">
        <v>57</v>
      </c>
      <c r="B57" s="1534" t="str">
        <f si="0" t="shared"/>
        <v/>
      </c>
      <c r="C57" s="1524" t="s">
        <v>142</v>
      </c>
      <c r="D57" s="1386" t="s">
        <v>2562</v>
      </c>
      <c r="E57" s="2688"/>
      <c r="F57" s="2688"/>
      <c r="G57" s="2688"/>
      <c r="H57" s="2688"/>
      <c r="I57" s="2688"/>
      <c r="J57" s="2688"/>
      <c r="K57" s="2688"/>
      <c r="L57" s="2688"/>
      <c r="M57" s="2688"/>
      <c r="N57" s="2688"/>
      <c r="O57" s="2688"/>
      <c r="P57" s="2688"/>
      <c r="Q57" s="2688"/>
      <c r="R57" s="2688"/>
      <c r="S57" s="2688"/>
      <c r="T57" s="2688"/>
      <c r="U57" s="2688"/>
      <c r="V57" s="2688"/>
      <c r="W57" s="2688"/>
      <c r="X57" s="2688"/>
      <c r="Y57" s="2688"/>
      <c r="Z57" s="2688"/>
      <c r="AA57" s="2688"/>
      <c r="AB57" s="2688"/>
      <c r="AC57" s="2688"/>
      <c r="AD57" s="2688"/>
      <c r="AE57" s="2688"/>
      <c r="AF57" s="2688"/>
      <c r="AG57" s="2688"/>
      <c r="AH57" s="2688"/>
      <c r="AI57" s="2688"/>
      <c r="AJ57" s="2688"/>
      <c r="AK57" s="2688"/>
      <c r="AL57" s="2688"/>
      <c r="AM57" s="2688"/>
      <c r="AN57" s="2688"/>
      <c r="AO57" s="2688"/>
      <c r="AP57" s="3360">
        <f>AP55</f>
        <v>6741</v>
      </c>
      <c r="AQ57" s="2688"/>
      <c r="AR57" s="2688"/>
      <c r="AS57" s="2688"/>
      <c r="AT57" s="2688"/>
      <c r="AU57" s="2688"/>
      <c r="AV57" s="2688"/>
      <c r="AW57" s="2688"/>
      <c r="AX57" s="2688"/>
      <c r="AY57" s="2688"/>
      <c r="AZ57" s="2688"/>
      <c r="BA57" s="2688"/>
      <c r="BB57" s="2688"/>
      <c r="BC57" s="3360">
        <f>BC55</f>
        <v>6741</v>
      </c>
      <c r="BD57" s="3360">
        <f>BD55</f>
        <v>6741</v>
      </c>
      <c r="BE57" s="2688"/>
      <c r="BF57" s="2688"/>
      <c r="BG57" s="2688"/>
      <c r="BH57" s="2688"/>
      <c r="BI57" s="2688"/>
      <c r="BJ57" s="3360">
        <f>BJ55</f>
        <v>6741</v>
      </c>
      <c r="BK57" s="2688"/>
      <c r="BL57" s="2688"/>
      <c r="BM57" s="2688"/>
      <c r="BN57" s="2688"/>
      <c r="BO57" s="2688"/>
      <c r="BP57" s="2688"/>
      <c r="BQ57" s="2688"/>
      <c r="BR57" s="2688"/>
      <c r="BS57" s="2688"/>
      <c r="BT57" s="2688"/>
      <c r="BU57" s="2688"/>
      <c r="BV57" s="2688"/>
      <c r="BW57" s="2688"/>
      <c r="BX57" s="2688"/>
      <c r="BY57" s="2688"/>
      <c r="BZ57" s="2688"/>
      <c r="CA57" s="2688"/>
      <c r="CB57" s="2688"/>
      <c r="CC57" s="2688"/>
      <c r="CD57" s="2688"/>
      <c r="CE57" s="2688"/>
      <c r="CF57" s="2688"/>
      <c r="CG57" s="2688"/>
      <c r="CH57" s="2688"/>
      <c r="CI57" s="2688"/>
      <c r="CJ57" s="3360">
        <f>CJ55</f>
        <v>4620</v>
      </c>
      <c r="CK57" s="2688"/>
      <c r="CL57" s="2688"/>
      <c r="CM57" s="2688"/>
      <c r="CN57" s="2688"/>
      <c r="CO57" s="2688"/>
      <c r="CP57" s="2688"/>
      <c r="CQ57" s="2688"/>
      <c r="CR57" s="2688"/>
      <c r="CS57" s="2688"/>
      <c r="CT57" s="2688"/>
      <c r="CU57" s="2688"/>
      <c r="CV57" s="2688"/>
      <c r="CW57" s="2688"/>
      <c r="CX57" s="2688"/>
      <c r="CY57" s="2688"/>
      <c r="CZ57" s="2688"/>
      <c r="DA57" s="2688"/>
      <c r="DB57" s="2688"/>
      <c r="DC57" s="2688"/>
      <c r="DD57" s="2688"/>
      <c r="DE57" s="2688"/>
      <c r="DF57" s="2688"/>
      <c r="DG57" s="2688"/>
      <c r="DH57" s="2688"/>
      <c r="DI57" s="2688"/>
      <c r="DJ57" s="2688"/>
      <c r="DK57" s="2688"/>
      <c r="DL57" s="2688"/>
      <c r="DM57" s="3360">
        <f>DM55</f>
        <v>4620</v>
      </c>
      <c r="DN57" s="2688"/>
      <c r="DO57" s="2688"/>
      <c r="DP57" s="2688"/>
      <c r="DQ57" s="2688"/>
      <c r="DR57" s="2688"/>
      <c r="DS57" s="2688"/>
      <c r="DT57" s="2688"/>
      <c r="DU57" s="2688"/>
      <c r="DV57" s="2688"/>
      <c r="DW57" s="2688"/>
      <c r="DX57" s="2688"/>
      <c r="DY57" s="2688"/>
      <c r="DZ57" s="2688"/>
      <c r="EA57" s="2688"/>
      <c r="EB57" s="2688"/>
      <c r="EC57" s="2688"/>
      <c r="ED57" s="2688"/>
      <c r="EE57" s="2688"/>
      <c r="EF57" s="2688"/>
      <c r="EG57" s="2688"/>
      <c r="EH57" s="2688"/>
      <c r="EI57" s="2688"/>
      <c r="EJ57" s="2688"/>
      <c r="EK57" s="2688"/>
      <c r="EL57" s="2688"/>
      <c r="EM57" s="2688"/>
      <c r="EN57" s="2688"/>
      <c r="EO57" s="3360">
        <f>EO55</f>
        <v>4620</v>
      </c>
      <c r="EP57" s="2688"/>
      <c r="EQ57" s="2688"/>
      <c r="ER57" s="2688"/>
      <c r="ES57" s="2688"/>
      <c r="ET57" s="2688"/>
      <c r="EU57" s="2688"/>
      <c r="EV57" s="2688"/>
      <c r="EW57" s="2688"/>
      <c r="EX57" s="3360">
        <f>EX55</f>
        <v>1360</v>
      </c>
      <c r="EY57" s="2688"/>
      <c r="EZ57" s="2688"/>
      <c r="FA57" s="2688"/>
      <c r="FB57" s="2688"/>
      <c r="FC57" s="2688"/>
      <c r="FD57" s="2688"/>
      <c r="FE57" s="2688"/>
      <c r="FF57" s="2688"/>
      <c r="FG57" s="2688"/>
      <c r="FH57" s="2688"/>
      <c r="FI57" s="2688"/>
      <c r="FJ57" s="2688"/>
      <c r="FK57" s="2688"/>
      <c r="FL57" s="2688"/>
      <c r="FM57" s="2688"/>
      <c r="FN57" s="2688"/>
      <c r="FO57" s="2688"/>
      <c r="FP57" s="2688"/>
      <c r="FQ57" s="2688"/>
      <c r="FR57" s="2688"/>
      <c r="FS57" s="2688"/>
      <c r="FT57" s="2688"/>
      <c r="FU57" s="2688"/>
      <c r="FV57" s="2688"/>
      <c r="FW57" s="2688"/>
      <c r="FX57" s="2688"/>
      <c r="FY57" s="2688"/>
      <c r="FZ57" s="2688"/>
      <c r="GA57" s="2688"/>
      <c r="GB57" s="2688"/>
      <c r="GC57" s="2688"/>
      <c r="GD57" s="2688"/>
      <c r="GE57" s="2688"/>
      <c r="GF57" s="3360">
        <f>GF55</f>
        <v>6741</v>
      </c>
      <c r="GG57" s="2688"/>
      <c r="GH57" s="2688"/>
      <c r="GI57" s="2688"/>
      <c r="GJ57" s="2688"/>
      <c r="GK57" s="2688"/>
      <c r="GL57" s="2688"/>
      <c r="GM57" s="2688"/>
      <c r="GN57" s="2688"/>
      <c r="GO57" s="2688"/>
      <c r="GP57" s="2688"/>
      <c r="GQ57" s="2688"/>
      <c r="GR57" s="2688"/>
      <c r="GS57" s="2688"/>
      <c r="GT57" s="2688"/>
      <c r="GU57" s="2688"/>
      <c r="GV57" s="2688"/>
      <c r="GW57" s="2688"/>
      <c r="GX57" s="2688"/>
      <c r="GY57" s="2688"/>
      <c r="GZ57" s="2688"/>
      <c r="HA57" s="2688"/>
      <c r="HB57" s="2688"/>
      <c r="HC57" s="2688"/>
      <c r="HD57" s="2688"/>
      <c r="HE57" s="2688"/>
      <c r="HF57" s="2688"/>
      <c r="HG57" s="2688"/>
      <c r="HH57" s="2688"/>
      <c r="HI57" s="2688"/>
      <c r="HJ57" s="3360">
        <f>HJ55</f>
        <v>131762</v>
      </c>
      <c r="HK57" s="3360">
        <f>HK55</f>
        <v>131762</v>
      </c>
      <c r="HL57" s="3360">
        <f>HL55</f>
        <v>131762</v>
      </c>
      <c r="HM57" s="3360">
        <f>HM55</f>
        <v>131762</v>
      </c>
      <c r="HN57" s="2688"/>
      <c r="HO57" s="2688"/>
      <c r="HP57" s="3360">
        <f>HP55</f>
        <v>1360</v>
      </c>
      <c r="HQ57" s="2688"/>
      <c r="HR57" s="3360">
        <f>HR55</f>
        <v>1360</v>
      </c>
      <c r="HS57" s="2688"/>
      <c r="HT57" s="2688"/>
      <c r="HU57" s="2688"/>
      <c r="HV57" s="2688"/>
      <c r="HW57" s="2688"/>
      <c r="HX57" s="2688"/>
      <c r="HY57" s="2688"/>
      <c r="HZ57" s="2688"/>
      <c r="IA57" s="2688"/>
      <c r="IB57" s="2688"/>
      <c r="IC57" s="2688"/>
      <c r="ID57" s="2688"/>
      <c r="IE57" s="2688"/>
      <c r="IF57" s="2688"/>
      <c r="IG57" s="2688"/>
      <c r="IH57" s="2688"/>
      <c r="II57" s="2688"/>
      <c r="IJ57" s="2688"/>
      <c r="IK57" s="2688"/>
      <c r="IL57" s="2688"/>
      <c r="IM57" s="2688"/>
      <c r="IN57" s="2688"/>
      <c r="IO57" s="2688"/>
      <c r="IP57" s="3561"/>
      <c r="IQ57" s="3561"/>
      <c r="IR57" s="3561"/>
      <c r="IS57" s="3561"/>
      <c r="IT57" s="3561"/>
      <c r="IU57" s="3561"/>
      <c r="IV57" s="3561"/>
      <c r="IW57" s="3561"/>
      <c r="IX57" s="3561"/>
      <c r="IY57" s="3561"/>
      <c r="IZ57" s="3561"/>
      <c r="JA57" s="3561"/>
      <c r="JB57" s="3561"/>
      <c r="JC57" s="3561"/>
      <c r="JD57" s="3561"/>
      <c r="JE57" s="3561"/>
      <c r="JF57" s="3561"/>
      <c r="JG57" s="4089"/>
      <c r="JH57" s="1233"/>
    </row>
    <row r="58" spans="1:268" x14ac:dyDescent="0.2">
      <c r="A58" s="1128">
        <v>58</v>
      </c>
      <c r="B58" s="1534" t="str">
        <f si="0" t="shared"/>
        <v/>
      </c>
      <c r="C58" s="1278" t="s">
        <v>143</v>
      </c>
      <c r="D58" s="1386" t="s">
        <v>5321</v>
      </c>
      <c r="E58" s="2688"/>
      <c r="F58" s="2688"/>
      <c r="G58" s="2688"/>
      <c r="H58" s="2688"/>
      <c r="I58" s="2688"/>
      <c r="J58" s="2688"/>
      <c r="K58" s="2688"/>
      <c r="L58" s="2688"/>
      <c r="M58" s="2688"/>
      <c r="N58" s="2688"/>
      <c r="O58" s="2688"/>
      <c r="P58" s="2688"/>
      <c r="Q58" s="2688"/>
      <c r="R58" s="2688"/>
      <c r="S58" s="2688"/>
      <c r="T58" s="2688"/>
      <c r="U58" s="2688"/>
      <c r="V58" s="2688"/>
      <c r="W58" s="2688"/>
      <c r="X58" s="2688"/>
      <c r="Y58" s="2688"/>
      <c r="Z58" s="2688"/>
      <c r="AA58" s="2688"/>
      <c r="AB58" s="2688"/>
      <c r="AC58" s="2688"/>
      <c r="AD58" s="2688"/>
      <c r="AE58" s="2688"/>
      <c r="AF58" s="2688"/>
      <c r="AG58" s="2688"/>
      <c r="AH58" s="2688"/>
      <c r="AI58" s="2688"/>
      <c r="AJ58" s="2688"/>
      <c r="AK58" s="2688"/>
      <c r="AL58" s="2688"/>
      <c r="AM58" s="2688"/>
      <c r="AN58" s="2688"/>
      <c r="AO58" s="2688"/>
      <c r="AP58" s="2688"/>
      <c r="AQ58" s="2688"/>
      <c r="AR58" s="2688"/>
      <c r="AS58" s="2688"/>
      <c r="AT58" s="2688"/>
      <c r="AU58" s="2688"/>
      <c r="AV58" s="2688"/>
      <c r="AW58" s="2688"/>
      <c r="AX58" s="2688"/>
      <c r="AY58" s="2688"/>
      <c r="AZ58" s="2688"/>
      <c r="BA58" s="2688"/>
      <c r="BB58" s="2688"/>
      <c r="BC58" s="2688"/>
      <c r="BD58" s="2688"/>
      <c r="BE58" s="2688"/>
      <c r="BF58" s="2688"/>
      <c r="BG58" s="2688"/>
      <c r="BH58" s="2688"/>
      <c r="BI58" s="2688"/>
      <c r="BJ58" s="2688"/>
      <c r="BK58" s="2688"/>
      <c r="BL58" s="2688"/>
      <c r="BM58" s="2688"/>
      <c r="BN58" s="2688"/>
      <c r="BO58" s="2688"/>
      <c r="BP58" s="2688"/>
      <c r="BQ58" s="2688"/>
      <c r="BR58" s="2688"/>
      <c r="BS58" s="2688"/>
      <c r="BT58" s="2688"/>
      <c r="BU58" s="2688"/>
      <c r="BV58" s="2688"/>
      <c r="BW58" s="2688"/>
      <c r="BX58" s="2688"/>
      <c r="BY58" s="2688"/>
      <c r="BZ58" s="2688"/>
      <c r="CA58" s="2688"/>
      <c r="CB58" s="2688"/>
      <c r="CC58" s="2688"/>
      <c r="CD58" s="2688"/>
      <c r="CE58" s="2688"/>
      <c r="CF58" s="2688"/>
      <c r="CG58" s="2688"/>
      <c r="CH58" s="2688"/>
      <c r="CI58" s="2688"/>
      <c r="CJ58" s="2688" t="s">
        <v>2789</v>
      </c>
      <c r="CK58" s="2688"/>
      <c r="CL58" s="2688"/>
      <c r="CM58" s="2688"/>
      <c r="CN58" s="2688"/>
      <c r="CO58" s="2688"/>
      <c r="CP58" s="2688"/>
      <c r="CQ58" s="2688"/>
      <c r="CR58" s="2688"/>
      <c r="CS58" s="2688"/>
      <c r="CT58" s="2688"/>
      <c r="CU58" s="2688"/>
      <c r="CV58" s="2688"/>
      <c r="CW58" s="2688"/>
      <c r="CX58" s="2688"/>
      <c r="CY58" s="2688"/>
      <c r="CZ58" s="2688"/>
      <c r="DA58" s="2688"/>
      <c r="DB58" s="2688"/>
      <c r="DC58" s="2688"/>
      <c r="DD58" s="2688"/>
      <c r="DE58" s="2688"/>
      <c r="DF58" s="2688"/>
      <c r="DG58" s="2688"/>
      <c r="DH58" s="2688"/>
      <c r="DI58" s="2688"/>
      <c r="DJ58" s="2688"/>
      <c r="DK58" s="2688"/>
      <c r="DL58" s="2688"/>
      <c r="DM58" s="2688" t="s">
        <v>2789</v>
      </c>
      <c r="DN58" s="2688"/>
      <c r="DO58" s="2688"/>
      <c r="DP58" s="2688"/>
      <c r="DQ58" s="2688"/>
      <c r="DR58" s="2688"/>
      <c r="DS58" s="2688"/>
      <c r="DT58" s="2688"/>
      <c r="DU58" s="2688"/>
      <c r="DV58" s="2688"/>
      <c r="DW58" s="2688"/>
      <c r="DX58" s="2688"/>
      <c r="DY58" s="2688"/>
      <c r="DZ58" s="2688"/>
      <c r="EA58" s="2688"/>
      <c r="EB58" s="2688"/>
      <c r="EC58" s="2688"/>
      <c r="ED58" s="2688"/>
      <c r="EE58" s="2688"/>
      <c r="EF58" s="2688"/>
      <c r="EG58" s="2688"/>
      <c r="EH58" s="2688"/>
      <c r="EI58" s="2688"/>
      <c r="EJ58" s="2688"/>
      <c r="EK58" s="2688"/>
      <c r="EL58" s="2688"/>
      <c r="EM58" s="2688"/>
      <c r="EN58" s="2688"/>
      <c r="EO58" s="2688" t="s">
        <v>2789</v>
      </c>
      <c r="EP58" s="2688"/>
      <c r="EQ58" s="2688"/>
      <c r="ER58" s="2688"/>
      <c r="ES58" s="2688"/>
      <c r="ET58" s="2688"/>
      <c r="EU58" s="2688"/>
      <c r="EV58" s="2688"/>
      <c r="EW58" s="2688"/>
      <c r="EX58" s="2688" t="s">
        <v>3647</v>
      </c>
      <c r="EY58" s="2688"/>
      <c r="EZ58" s="2688"/>
      <c r="FA58" s="2688"/>
      <c r="FB58" s="2688"/>
      <c r="FC58" s="2688"/>
      <c r="FD58" s="2688"/>
      <c r="FE58" s="2688"/>
      <c r="FF58" s="2688"/>
      <c r="FG58" s="2688"/>
      <c r="FH58" s="2688"/>
      <c r="FI58" s="2688"/>
      <c r="FJ58" s="2688"/>
      <c r="FK58" s="2688"/>
      <c r="FL58" s="2688"/>
      <c r="FM58" s="2688"/>
      <c r="FN58" s="2688"/>
      <c r="FO58" s="2688"/>
      <c r="FP58" s="2688"/>
      <c r="FQ58" s="2688"/>
      <c r="FR58" s="2688"/>
      <c r="FS58" s="2688"/>
      <c r="FT58" s="2688"/>
      <c r="FU58" s="2688"/>
      <c r="FV58" s="2688"/>
      <c r="FW58" s="2688"/>
      <c r="FX58" s="2688"/>
      <c r="FY58" s="2688"/>
      <c r="FZ58" s="2688"/>
      <c r="GA58" s="2688"/>
      <c r="GB58" s="2688"/>
      <c r="GC58" s="2688"/>
      <c r="GD58" s="2688"/>
      <c r="GE58" s="2688"/>
      <c r="GF58" s="2688"/>
      <c r="GG58" s="2688"/>
      <c r="GH58" s="2688"/>
      <c r="GI58" s="2688"/>
      <c r="GJ58" s="2688"/>
      <c r="GK58" s="2688"/>
      <c r="GL58" s="2688"/>
      <c r="GM58" s="2688"/>
      <c r="GN58" s="2688"/>
      <c r="GO58" s="2688"/>
      <c r="GP58" s="2688"/>
      <c r="GQ58" s="2688"/>
      <c r="GR58" s="2688"/>
      <c r="GS58" s="2688"/>
      <c r="GT58" s="2688"/>
      <c r="GU58" s="2688"/>
      <c r="GV58" s="2688"/>
      <c r="GW58" s="2688"/>
      <c r="GX58" s="2688"/>
      <c r="GY58" s="2688"/>
      <c r="GZ58" s="2688"/>
      <c r="HA58" s="2688"/>
      <c r="HB58" s="2688"/>
      <c r="HC58" s="2688"/>
      <c r="HD58" s="2688"/>
      <c r="HE58" s="2688"/>
      <c r="HF58" s="2688"/>
      <c r="HG58" s="2688"/>
      <c r="HH58" s="2688"/>
      <c r="HI58" s="2688"/>
      <c r="HJ58" s="2688"/>
      <c r="HK58" s="2688"/>
      <c r="HL58" s="2688"/>
      <c r="HM58" s="2688"/>
      <c r="HN58" s="2688"/>
      <c r="HO58" s="2688"/>
      <c r="HP58" s="2688" t="s">
        <v>3647</v>
      </c>
      <c r="HQ58" s="2688"/>
      <c r="HR58" s="2688" t="s">
        <v>3647</v>
      </c>
      <c r="HS58" s="2688"/>
      <c r="HT58" s="2688"/>
      <c r="HU58" s="2688"/>
      <c r="HV58" s="2688"/>
      <c r="HW58" s="2688"/>
      <c r="HX58" s="2688"/>
      <c r="HY58" s="2688"/>
      <c r="HZ58" s="2688"/>
      <c r="IA58" s="2688"/>
      <c r="IB58" s="2688"/>
      <c r="IC58" s="2688"/>
      <c r="ID58" s="2688"/>
      <c r="IE58" s="2688"/>
      <c r="IF58" s="2688"/>
      <c r="IG58" s="2688"/>
      <c r="IH58" s="2688"/>
      <c r="II58" s="2688"/>
      <c r="IJ58" s="2688"/>
      <c r="IK58" s="2688"/>
      <c r="IL58" s="2688"/>
      <c r="IM58" s="2688"/>
      <c r="IN58" s="2688"/>
      <c r="IO58" s="2688"/>
      <c r="IP58" s="2815"/>
      <c r="IQ58" s="2815"/>
      <c r="IR58" s="2815"/>
      <c r="IS58" s="2815"/>
      <c r="IT58" s="2815"/>
      <c r="IU58" s="2815"/>
      <c r="IV58" s="2815"/>
      <c r="IW58" s="2815"/>
      <c r="IX58" s="2815"/>
      <c r="IY58" s="2815"/>
      <c r="IZ58" s="2815"/>
      <c r="JA58" s="2815"/>
      <c r="JB58" s="2815"/>
      <c r="JC58" s="2815"/>
      <c r="JD58" s="2815"/>
      <c r="JE58" s="2815"/>
      <c r="JF58" s="2815"/>
      <c r="JG58" s="3348"/>
      <c r="JH58" s="1233"/>
    </row>
    <row r="59" spans="1:268" x14ac:dyDescent="0.2">
      <c r="A59" s="1128">
        <v>59</v>
      </c>
      <c r="B59" s="1534" t="str">
        <f si="0" t="shared"/>
        <v/>
      </c>
      <c r="C59" s="1278" t="s">
        <v>144</v>
      </c>
      <c r="D59" s="1386" t="s">
        <v>5322</v>
      </c>
      <c r="E59" s="2688"/>
      <c r="F59" s="2688"/>
      <c r="G59" s="2688"/>
      <c r="H59" s="2688"/>
      <c r="I59" s="2688"/>
      <c r="J59" s="2688"/>
      <c r="K59" s="2688"/>
      <c r="L59" s="2688"/>
      <c r="M59" s="2688"/>
      <c r="N59" s="2688"/>
      <c r="O59" s="2688"/>
      <c r="P59" s="2688"/>
      <c r="Q59" s="2688"/>
      <c r="R59" s="2688"/>
      <c r="S59" s="2688"/>
      <c r="T59" s="2688"/>
      <c r="U59" s="2688"/>
      <c r="V59" s="2688"/>
      <c r="W59" s="2688"/>
      <c r="X59" s="2688"/>
      <c r="Y59" s="2688"/>
      <c r="Z59" s="2688"/>
      <c r="AA59" s="2688"/>
      <c r="AB59" s="2688"/>
      <c r="AC59" s="2688"/>
      <c r="AD59" s="2688"/>
      <c r="AE59" s="2688"/>
      <c r="AF59" s="2688"/>
      <c r="AG59" s="2688"/>
      <c r="AH59" s="2688"/>
      <c r="AI59" s="2688"/>
      <c r="AJ59" s="2688"/>
      <c r="AK59" s="2688"/>
      <c r="AL59" s="2688"/>
      <c r="AM59" s="2688"/>
      <c r="AN59" s="2688"/>
      <c r="AO59" s="2688"/>
      <c r="AP59" s="2688"/>
      <c r="AQ59" s="2688"/>
      <c r="AR59" s="2688"/>
      <c r="AS59" s="2688"/>
      <c r="AT59" s="2688"/>
      <c r="AU59" s="2688"/>
      <c r="AV59" s="2688"/>
      <c r="AW59" s="2688"/>
      <c r="AX59" s="2688"/>
      <c r="AY59" s="2688"/>
      <c r="AZ59" s="2688"/>
      <c r="BA59" s="2688"/>
      <c r="BB59" s="2688"/>
      <c r="BC59" s="2688"/>
      <c r="BD59" s="2688"/>
      <c r="BE59" s="2688"/>
      <c r="BF59" s="2688"/>
      <c r="BG59" s="2688"/>
      <c r="BH59" s="2688"/>
      <c r="BI59" s="2688"/>
      <c r="BJ59" s="2688"/>
      <c r="BK59" s="2688"/>
      <c r="BL59" s="2688"/>
      <c r="BM59" s="2688"/>
      <c r="BN59" s="2688"/>
      <c r="BO59" s="2688"/>
      <c r="BP59" s="2688"/>
      <c r="BQ59" s="2688"/>
      <c r="BR59" s="2688"/>
      <c r="BS59" s="2688"/>
      <c r="BT59" s="2688"/>
      <c r="BU59" s="2688"/>
      <c r="BV59" s="2688"/>
      <c r="BW59" s="2688"/>
      <c r="BX59" s="2688"/>
      <c r="BY59" s="2688"/>
      <c r="BZ59" s="2688"/>
      <c r="CA59" s="2688"/>
      <c r="CB59" s="2688"/>
      <c r="CC59" s="2688"/>
      <c r="CD59" s="2688"/>
      <c r="CE59" s="2688"/>
      <c r="CF59" s="2688"/>
      <c r="CG59" s="2688"/>
      <c r="CH59" s="2688"/>
      <c r="CI59" s="2688"/>
      <c r="CJ59" s="2688">
        <v>1263</v>
      </c>
      <c r="CK59" s="2688"/>
      <c r="CL59" s="2688"/>
      <c r="CM59" s="2688"/>
      <c r="CN59" s="2688"/>
      <c r="CO59" s="2688"/>
      <c r="CP59" s="2688"/>
      <c r="CQ59" s="2688"/>
      <c r="CR59" s="2688"/>
      <c r="CS59" s="2688"/>
      <c r="CT59" s="2688"/>
      <c r="CU59" s="2688"/>
      <c r="CV59" s="2688"/>
      <c r="CW59" s="2688"/>
      <c r="CX59" s="2688"/>
      <c r="CY59" s="2688"/>
      <c r="CZ59" s="2688"/>
      <c r="DA59" s="2688"/>
      <c r="DB59" s="2688"/>
      <c r="DC59" s="2688"/>
      <c r="DD59" s="2688"/>
      <c r="DE59" s="2688"/>
      <c r="DF59" s="2688"/>
      <c r="DG59" s="2688"/>
      <c r="DH59" s="2688"/>
      <c r="DI59" s="2688"/>
      <c r="DJ59" s="2688"/>
      <c r="DK59" s="2688"/>
      <c r="DL59" s="2688"/>
      <c r="DM59" s="2688">
        <v>1263</v>
      </c>
      <c r="DN59" s="2688"/>
      <c r="DO59" s="2688"/>
      <c r="DP59" s="2688"/>
      <c r="DQ59" s="2688"/>
      <c r="DR59" s="2688"/>
      <c r="DS59" s="2688"/>
      <c r="DT59" s="2688"/>
      <c r="DU59" s="2688"/>
      <c r="DV59" s="2688"/>
      <c r="DW59" s="2688"/>
      <c r="DX59" s="2688"/>
      <c r="DY59" s="2688"/>
      <c r="DZ59" s="2688"/>
      <c r="EA59" s="2688"/>
      <c r="EB59" s="2688"/>
      <c r="EC59" s="2688"/>
      <c r="ED59" s="2688"/>
      <c r="EE59" s="2688"/>
      <c r="EF59" s="2688"/>
      <c r="EG59" s="2688"/>
      <c r="EH59" s="2688"/>
      <c r="EI59" s="2688"/>
      <c r="EJ59" s="2688"/>
      <c r="EK59" s="2688"/>
      <c r="EL59" s="2688"/>
      <c r="EM59" s="2688"/>
      <c r="EN59" s="2688"/>
      <c r="EO59" s="2688">
        <v>1263</v>
      </c>
      <c r="EP59" s="2688"/>
      <c r="EQ59" s="2688"/>
      <c r="ER59" s="2688"/>
      <c r="ES59" s="2688"/>
      <c r="ET59" s="2688"/>
      <c r="EU59" s="2688"/>
      <c r="EV59" s="2688"/>
      <c r="EW59" s="2688"/>
      <c r="EX59" s="2688">
        <v>3620</v>
      </c>
      <c r="EY59" s="2688"/>
      <c r="EZ59" s="2688"/>
      <c r="FA59" s="2688"/>
      <c r="FB59" s="2688"/>
      <c r="FC59" s="2688"/>
      <c r="FD59" s="2688"/>
      <c r="FE59" s="2688"/>
      <c r="FF59" s="2688"/>
      <c r="FG59" s="2688"/>
      <c r="FH59" s="2688"/>
      <c r="FI59" s="2688"/>
      <c r="FJ59" s="2688"/>
      <c r="FK59" s="2688"/>
      <c r="FL59" s="2688"/>
      <c r="FM59" s="2688"/>
      <c r="FN59" s="2688"/>
      <c r="FO59" s="2688"/>
      <c r="FP59" s="2688"/>
      <c r="FQ59" s="2688"/>
      <c r="FR59" s="2688"/>
      <c r="FS59" s="2688"/>
      <c r="FT59" s="2688"/>
      <c r="FU59" s="2688"/>
      <c r="FV59" s="2688"/>
      <c r="FW59" s="2688"/>
      <c r="FX59" s="2688"/>
      <c r="FY59" s="2688"/>
      <c r="FZ59" s="2688"/>
      <c r="GA59" s="2688"/>
      <c r="GB59" s="2688"/>
      <c r="GC59" s="2688"/>
      <c r="GD59" s="2688"/>
      <c r="GE59" s="2688"/>
      <c r="GF59" s="2688"/>
      <c r="GG59" s="2688"/>
      <c r="GH59" s="2688"/>
      <c r="GI59" s="2688"/>
      <c r="GJ59" s="2688"/>
      <c r="GK59" s="2688"/>
      <c r="GL59" s="2688"/>
      <c r="GM59" s="2688"/>
      <c r="GN59" s="2688"/>
      <c r="GO59" s="2688"/>
      <c r="GP59" s="2688"/>
      <c r="GQ59" s="2688"/>
      <c r="GR59" s="2688"/>
      <c r="GS59" s="2688"/>
      <c r="GT59" s="2688"/>
      <c r="GU59" s="2688"/>
      <c r="GV59" s="2688"/>
      <c r="GW59" s="2688"/>
      <c r="GX59" s="2688"/>
      <c r="GY59" s="2688"/>
      <c r="GZ59" s="2688"/>
      <c r="HA59" s="2688"/>
      <c r="HB59" s="2688"/>
      <c r="HC59" s="2688"/>
      <c r="HD59" s="2688"/>
      <c r="HE59" s="2688"/>
      <c r="HF59" s="2688"/>
      <c r="HG59" s="2688"/>
      <c r="HH59" s="2688"/>
      <c r="HI59" s="2688"/>
      <c r="HJ59" s="2688"/>
      <c r="HK59" s="2688"/>
      <c r="HL59" s="2688"/>
      <c r="HM59" s="2688"/>
      <c r="HN59" s="2688"/>
      <c r="HO59" s="2688"/>
      <c r="HP59" s="2688">
        <v>3620</v>
      </c>
      <c r="HQ59" s="2688"/>
      <c r="HR59" s="2688">
        <v>3620</v>
      </c>
      <c r="HS59" s="2688"/>
      <c r="HT59" s="2688"/>
      <c r="HU59" s="2688"/>
      <c r="HV59" s="2688"/>
      <c r="HW59" s="2688"/>
      <c r="HX59" s="2688"/>
      <c r="HY59" s="2688"/>
      <c r="HZ59" s="2688"/>
      <c r="IA59" s="2688"/>
      <c r="IB59" s="2688"/>
      <c r="IC59" s="2688"/>
      <c r="ID59" s="2688"/>
      <c r="IE59" s="2688"/>
      <c r="IF59" s="2688"/>
      <c r="IG59" s="2688"/>
      <c r="IH59" s="2688"/>
      <c r="II59" s="2688"/>
      <c r="IJ59" s="2688"/>
      <c r="IK59" s="2688"/>
      <c r="IL59" s="2688"/>
      <c r="IM59" s="2688"/>
      <c r="IN59" s="2688"/>
      <c r="IO59" s="2688"/>
      <c r="IP59" s="2815"/>
      <c r="IQ59" s="2815"/>
      <c r="IR59" s="2815"/>
      <c r="IS59" s="2815"/>
      <c r="IT59" s="2815"/>
      <c r="IU59" s="2815"/>
      <c r="IV59" s="2815"/>
      <c r="IW59" s="2815"/>
      <c r="IX59" s="2815"/>
      <c r="IY59" s="2815"/>
      <c r="IZ59" s="2815"/>
      <c r="JA59" s="2815"/>
      <c r="JB59" s="2815"/>
      <c r="JC59" s="2815"/>
      <c r="JD59" s="2815"/>
      <c r="JE59" s="2815"/>
      <c r="JF59" s="2815"/>
      <c r="JG59" s="3348"/>
      <c r="JH59" s="1233"/>
    </row>
    <row r="60" spans="1:268" x14ac:dyDescent="0.2">
      <c r="A60" s="1128">
        <v>60</v>
      </c>
      <c r="B60" s="1534" t="str">
        <f si="0" t="shared"/>
        <v/>
      </c>
      <c r="C60" s="1278" t="s">
        <v>145</v>
      </c>
      <c r="D60" s="1386" t="s">
        <v>5323</v>
      </c>
      <c r="E60" s="2688"/>
      <c r="F60" s="2688"/>
      <c r="G60" s="2688"/>
      <c r="H60" s="2688"/>
      <c r="I60" s="2688"/>
      <c r="J60" s="2688"/>
      <c r="K60" s="2688"/>
      <c r="L60" s="2688"/>
      <c r="M60" s="2688"/>
      <c r="N60" s="2688"/>
      <c r="O60" s="2688"/>
      <c r="P60" s="2688"/>
      <c r="Q60" s="2688"/>
      <c r="R60" s="2688"/>
      <c r="S60" s="2688"/>
      <c r="T60" s="2688"/>
      <c r="U60" s="2688"/>
      <c r="V60" s="2688"/>
      <c r="W60" s="2688"/>
      <c r="X60" s="2688"/>
      <c r="Y60" s="2688"/>
      <c r="Z60" s="2688"/>
      <c r="AA60" s="2688"/>
      <c r="AB60" s="2688"/>
      <c r="AC60" s="2688"/>
      <c r="AD60" s="2688"/>
      <c r="AE60" s="2688"/>
      <c r="AF60" s="2688"/>
      <c r="AG60" s="2688"/>
      <c r="AH60" s="2688"/>
      <c r="AI60" s="2688"/>
      <c r="AJ60" s="2688"/>
      <c r="AK60" s="2688"/>
      <c r="AL60" s="2688"/>
      <c r="AM60" s="2688"/>
      <c r="AN60" s="2688"/>
      <c r="AO60" s="2688"/>
      <c r="AP60" s="2688"/>
      <c r="AQ60" s="2688"/>
      <c r="AR60" s="2688"/>
      <c r="AS60" s="2688"/>
      <c r="AT60" s="2688"/>
      <c r="AU60" s="2688"/>
      <c r="AV60" s="2688"/>
      <c r="AW60" s="2688"/>
      <c r="AX60" s="2688"/>
      <c r="AY60" s="2688"/>
      <c r="AZ60" s="2688"/>
      <c r="BA60" s="2688"/>
      <c r="BB60" s="2688"/>
      <c r="BC60" s="2688"/>
      <c r="BD60" s="2688"/>
      <c r="BE60" s="2688"/>
      <c r="BF60" s="2688"/>
      <c r="BG60" s="2688"/>
      <c r="BH60" s="2688"/>
      <c r="BI60" s="2688"/>
      <c r="BJ60" s="2688"/>
      <c r="BK60" s="2688"/>
      <c r="BL60" s="2688"/>
      <c r="BM60" s="2688"/>
      <c r="BN60" s="2688"/>
      <c r="BO60" s="2688"/>
      <c r="BP60" s="2688"/>
      <c r="BQ60" s="2688"/>
      <c r="BR60" s="2688"/>
      <c r="BS60" s="2688"/>
      <c r="BT60" s="2688"/>
      <c r="BU60" s="2688"/>
      <c r="BV60" s="2688"/>
      <c r="BW60" s="2688"/>
      <c r="BX60" s="2688"/>
      <c r="BY60" s="2688"/>
      <c r="BZ60" s="2688"/>
      <c r="CA60" s="2688"/>
      <c r="CB60" s="2688"/>
      <c r="CC60" s="2688"/>
      <c r="CD60" s="2688"/>
      <c r="CE60" s="2688"/>
      <c r="CF60" s="2688"/>
      <c r="CG60" s="2688"/>
      <c r="CH60" s="2688"/>
      <c r="CI60" s="2688"/>
      <c r="CJ60" s="2688">
        <v>189</v>
      </c>
      <c r="CK60" s="2688"/>
      <c r="CL60" s="2688"/>
      <c r="CM60" s="2688"/>
      <c r="CN60" s="2688"/>
      <c r="CO60" s="2688"/>
      <c r="CP60" s="2688"/>
      <c r="CQ60" s="2688"/>
      <c r="CR60" s="2688"/>
      <c r="CS60" s="2688"/>
      <c r="CT60" s="2688"/>
      <c r="CU60" s="2688"/>
      <c r="CV60" s="2688"/>
      <c r="CW60" s="2688"/>
      <c r="CX60" s="2688"/>
      <c r="CY60" s="2688"/>
      <c r="CZ60" s="2688"/>
      <c r="DA60" s="2688"/>
      <c r="DB60" s="2688"/>
      <c r="DC60" s="2688"/>
      <c r="DD60" s="2688"/>
      <c r="DE60" s="2688"/>
      <c r="DF60" s="2688"/>
      <c r="DG60" s="2688"/>
      <c r="DH60" s="2688"/>
      <c r="DI60" s="2688"/>
      <c r="DJ60" s="2688"/>
      <c r="DK60" s="2688"/>
      <c r="DL60" s="2688"/>
      <c r="DM60" s="2688">
        <v>189</v>
      </c>
      <c r="DN60" s="2688"/>
      <c r="DO60" s="2688"/>
      <c r="DP60" s="2688"/>
      <c r="DQ60" s="2688"/>
      <c r="DR60" s="2688"/>
      <c r="DS60" s="2688"/>
      <c r="DT60" s="2688"/>
      <c r="DU60" s="2688"/>
      <c r="DV60" s="2688"/>
      <c r="DW60" s="2688"/>
      <c r="DX60" s="2688"/>
      <c r="DY60" s="2688"/>
      <c r="DZ60" s="2688"/>
      <c r="EA60" s="2688"/>
      <c r="EB60" s="2688"/>
      <c r="EC60" s="2688"/>
      <c r="ED60" s="2688"/>
      <c r="EE60" s="2688"/>
      <c r="EF60" s="2688"/>
      <c r="EG60" s="2688"/>
      <c r="EH60" s="2688"/>
      <c r="EI60" s="2688"/>
      <c r="EJ60" s="2688"/>
      <c r="EK60" s="2688"/>
      <c r="EL60" s="2688"/>
      <c r="EM60" s="2688"/>
      <c r="EN60" s="2688"/>
      <c r="EO60" s="2688">
        <v>189</v>
      </c>
      <c r="EP60" s="2688"/>
      <c r="EQ60" s="2688"/>
      <c r="ER60" s="2688"/>
      <c r="ES60" s="2688"/>
      <c r="ET60" s="2688"/>
      <c r="EU60" s="2688"/>
      <c r="EV60" s="2688"/>
      <c r="EW60" s="2688"/>
      <c r="EX60" s="2688">
        <v>724</v>
      </c>
      <c r="EY60" s="2688"/>
      <c r="EZ60" s="2688"/>
      <c r="FA60" s="2688"/>
      <c r="FB60" s="2688"/>
      <c r="FC60" s="2688"/>
      <c r="FD60" s="2688"/>
      <c r="FE60" s="2688"/>
      <c r="FF60" s="2688"/>
      <c r="FG60" s="2688"/>
      <c r="FH60" s="2688"/>
      <c r="FI60" s="2688"/>
      <c r="FJ60" s="2688"/>
      <c r="FK60" s="2688"/>
      <c r="FL60" s="2688"/>
      <c r="FM60" s="2688"/>
      <c r="FN60" s="2688"/>
      <c r="FO60" s="2688"/>
      <c r="FP60" s="2688"/>
      <c r="FQ60" s="2688"/>
      <c r="FR60" s="2688"/>
      <c r="FS60" s="2688"/>
      <c r="FT60" s="2688"/>
      <c r="FU60" s="2688"/>
      <c r="FV60" s="2688"/>
      <c r="FW60" s="2688"/>
      <c r="FX60" s="2688"/>
      <c r="FY60" s="2688"/>
      <c r="FZ60" s="2688"/>
      <c r="GA60" s="2688"/>
      <c r="GB60" s="2688"/>
      <c r="GC60" s="2688"/>
      <c r="GD60" s="2688"/>
      <c r="GE60" s="2688"/>
      <c r="GF60" s="2688"/>
      <c r="GG60" s="2688"/>
      <c r="GH60" s="2688"/>
      <c r="GI60" s="2688"/>
      <c r="GJ60" s="2688"/>
      <c r="GK60" s="2688"/>
      <c r="GL60" s="2688"/>
      <c r="GM60" s="2688"/>
      <c r="GN60" s="2688"/>
      <c r="GO60" s="2688"/>
      <c r="GP60" s="2688"/>
      <c r="GQ60" s="2688"/>
      <c r="GR60" s="2688"/>
      <c r="GS60" s="2688"/>
      <c r="GT60" s="2688"/>
      <c r="GU60" s="2688"/>
      <c r="GV60" s="2688"/>
      <c r="GW60" s="2688"/>
      <c r="GX60" s="2688"/>
      <c r="GY60" s="2688"/>
      <c r="GZ60" s="2688"/>
      <c r="HA60" s="2688"/>
      <c r="HB60" s="2688"/>
      <c r="HC60" s="2688"/>
      <c r="HD60" s="2688"/>
      <c r="HE60" s="2688"/>
      <c r="HF60" s="2688"/>
      <c r="HG60" s="2688"/>
      <c r="HH60" s="2688"/>
      <c r="HI60" s="2688"/>
      <c r="HJ60" s="2688"/>
      <c r="HK60" s="2688"/>
      <c r="HL60" s="2688"/>
      <c r="HM60" s="2688"/>
      <c r="HN60" s="2688"/>
      <c r="HO60" s="2688"/>
      <c r="HP60" s="2688">
        <v>724</v>
      </c>
      <c r="HQ60" s="2688"/>
      <c r="HR60" s="2688">
        <v>724</v>
      </c>
      <c r="HS60" s="2688"/>
      <c r="HT60" s="2688"/>
      <c r="HU60" s="2688"/>
      <c r="HV60" s="2688"/>
      <c r="HW60" s="2688"/>
      <c r="HX60" s="2688"/>
      <c r="HY60" s="2688"/>
      <c r="HZ60" s="2688"/>
      <c r="IA60" s="2688"/>
      <c r="IB60" s="2688"/>
      <c r="IC60" s="2688"/>
      <c r="ID60" s="2688"/>
      <c r="IE60" s="2688"/>
      <c r="IF60" s="2688"/>
      <c r="IG60" s="2688"/>
      <c r="IH60" s="2688"/>
      <c r="II60" s="2688"/>
      <c r="IJ60" s="2688"/>
      <c r="IK60" s="2688"/>
      <c r="IL60" s="2688"/>
      <c r="IM60" s="2688"/>
      <c r="IN60" s="2688"/>
      <c r="IO60" s="2688"/>
      <c r="IP60" s="2815"/>
      <c r="IQ60" s="2815"/>
      <c r="IR60" s="2815"/>
      <c r="IS60" s="2815"/>
      <c r="IT60" s="2815"/>
      <c r="IU60" s="2815"/>
      <c r="IV60" s="2815"/>
      <c r="IW60" s="2815"/>
      <c r="IX60" s="2815"/>
      <c r="IY60" s="2815"/>
      <c r="IZ60" s="2815"/>
      <c r="JA60" s="2815"/>
      <c r="JB60" s="2815"/>
      <c r="JC60" s="2815"/>
      <c r="JD60" s="2815"/>
      <c r="JE60" s="2815"/>
      <c r="JF60" s="2815"/>
      <c r="JG60" s="3348"/>
      <c r="JH60" s="1233"/>
    </row>
    <row r="61" spans="1:268" x14ac:dyDescent="0.2">
      <c r="A61" s="1128">
        <v>61</v>
      </c>
      <c r="B61" s="1534" t="str">
        <f si="0" t="shared"/>
        <v/>
      </c>
      <c r="C61" s="1278" t="s">
        <v>147</v>
      </c>
      <c r="D61" s="1386" t="s">
        <v>5324</v>
      </c>
      <c r="E61" s="2688"/>
      <c r="F61" s="2688"/>
      <c r="G61" s="2688"/>
      <c r="H61" s="2688"/>
      <c r="I61" s="2688"/>
      <c r="J61" s="2688"/>
      <c r="K61" s="2688"/>
      <c r="L61" s="2688"/>
      <c r="M61" s="2688"/>
      <c r="N61" s="2688"/>
      <c r="O61" s="2688"/>
      <c r="P61" s="2688"/>
      <c r="Q61" s="2688"/>
      <c r="R61" s="2688"/>
      <c r="S61" s="2688"/>
      <c r="T61" s="2688"/>
      <c r="U61" s="2688"/>
      <c r="V61" s="2688"/>
      <c r="W61" s="2688"/>
      <c r="X61" s="2688"/>
      <c r="Y61" s="2688"/>
      <c r="Z61" s="2688"/>
      <c r="AA61" s="2688"/>
      <c r="AB61" s="2688"/>
      <c r="AC61" s="2688"/>
      <c r="AD61" s="2688"/>
      <c r="AE61" s="2688"/>
      <c r="AF61" s="2688"/>
      <c r="AG61" s="2688"/>
      <c r="AH61" s="2688"/>
      <c r="AI61" s="2688"/>
      <c r="AJ61" s="2688"/>
      <c r="AK61" s="2688"/>
      <c r="AL61" s="2688"/>
      <c r="AM61" s="2688"/>
      <c r="AN61" s="2688"/>
      <c r="AO61" s="2688"/>
      <c r="AP61" s="2688"/>
      <c r="AQ61" s="2688"/>
      <c r="AR61" s="2688"/>
      <c r="AS61" s="2688"/>
      <c r="AT61" s="2688"/>
      <c r="AU61" s="2688"/>
      <c r="AV61" s="2688"/>
      <c r="AW61" s="2688"/>
      <c r="AX61" s="2688"/>
      <c r="AY61" s="2688"/>
      <c r="AZ61" s="2688"/>
      <c r="BA61" s="2688"/>
      <c r="BB61" s="2688"/>
      <c r="BC61" s="2688"/>
      <c r="BD61" s="2688"/>
      <c r="BE61" s="2688"/>
      <c r="BF61" s="2688"/>
      <c r="BG61" s="2688"/>
      <c r="BH61" s="2688"/>
      <c r="BI61" s="2688"/>
      <c r="BJ61" s="2688"/>
      <c r="BK61" s="2688"/>
      <c r="BL61" s="2688"/>
      <c r="BM61" s="2688"/>
      <c r="BN61" s="2688"/>
      <c r="BO61" s="2688"/>
      <c r="BP61" s="2688"/>
      <c r="BQ61" s="2688"/>
      <c r="BR61" s="2688"/>
      <c r="BS61" s="2688"/>
      <c r="BT61" s="2688"/>
      <c r="BU61" s="2688"/>
      <c r="BV61" s="2688"/>
      <c r="BW61" s="2688"/>
      <c r="BX61" s="2688"/>
      <c r="BY61" s="2688"/>
      <c r="BZ61" s="2688"/>
      <c r="CA61" s="2688"/>
      <c r="CB61" s="2688"/>
      <c r="CC61" s="2688"/>
      <c r="CD61" s="2688"/>
      <c r="CE61" s="2688"/>
      <c r="CF61" s="2688"/>
      <c r="CG61" s="2688"/>
      <c r="CH61" s="2688"/>
      <c r="CI61" s="2688"/>
      <c r="CJ61" s="2688"/>
      <c r="CK61" s="2688"/>
      <c r="CL61" s="2688"/>
      <c r="CM61" s="2688"/>
      <c r="CN61" s="2688"/>
      <c r="CO61" s="2688"/>
      <c r="CP61" s="2688"/>
      <c r="CQ61" s="2688"/>
      <c r="CR61" s="2688"/>
      <c r="CS61" s="2688"/>
      <c r="CT61" s="2688"/>
      <c r="CU61" s="2688"/>
      <c r="CV61" s="2688"/>
      <c r="CW61" s="2688"/>
      <c r="CX61" s="2688"/>
      <c r="CY61" s="2688"/>
      <c r="CZ61" s="2688"/>
      <c r="DA61" s="2688"/>
      <c r="DB61" s="2688"/>
      <c r="DC61" s="2688"/>
      <c r="DD61" s="2688"/>
      <c r="DE61" s="2688"/>
      <c r="DF61" s="2688"/>
      <c r="DG61" s="2688"/>
      <c r="DH61" s="2688"/>
      <c r="DI61" s="2688"/>
      <c r="DJ61" s="2688"/>
      <c r="DK61" s="2688"/>
      <c r="DL61" s="2688"/>
      <c r="DM61" s="2688"/>
      <c r="DN61" s="2688"/>
      <c r="DO61" s="2688"/>
      <c r="DP61" s="2688"/>
      <c r="DQ61" s="2688"/>
      <c r="DR61" s="2688"/>
      <c r="DS61" s="2688"/>
      <c r="DT61" s="2688"/>
      <c r="DU61" s="2688"/>
      <c r="DV61" s="2688"/>
      <c r="DW61" s="2688"/>
      <c r="DX61" s="2688"/>
      <c r="DY61" s="2688"/>
      <c r="DZ61" s="2688"/>
      <c r="EA61" s="2688"/>
      <c r="EB61" s="2688"/>
      <c r="EC61" s="2688"/>
      <c r="ED61" s="2688"/>
      <c r="EE61" s="2688"/>
      <c r="EF61" s="2688"/>
      <c r="EG61" s="2688"/>
      <c r="EH61" s="2688"/>
      <c r="EI61" s="2688"/>
      <c r="EJ61" s="2688"/>
      <c r="EK61" s="2688"/>
      <c r="EL61" s="2688"/>
      <c r="EM61" s="2688"/>
      <c r="EN61" s="2688"/>
      <c r="EO61" s="2688"/>
      <c r="EP61" s="2688"/>
      <c r="EQ61" s="2688"/>
      <c r="ER61" s="2688"/>
      <c r="ES61" s="2688"/>
      <c r="ET61" s="2688"/>
      <c r="EU61" s="2688"/>
      <c r="EV61" s="2688"/>
      <c r="EW61" s="2688"/>
      <c r="EX61" s="2688"/>
      <c r="EY61" s="2688"/>
      <c r="EZ61" s="2688"/>
      <c r="FA61" s="2688"/>
      <c r="FB61" s="2688"/>
      <c r="FC61" s="2688"/>
      <c r="FD61" s="2688"/>
      <c r="FE61" s="2688"/>
      <c r="FF61" s="2688"/>
      <c r="FG61" s="2688"/>
      <c r="FH61" s="2688"/>
      <c r="FI61" s="2688"/>
      <c r="FJ61" s="2688"/>
      <c r="FK61" s="2688"/>
      <c r="FL61" s="2688"/>
      <c r="FM61" s="2688"/>
      <c r="FN61" s="2688"/>
      <c r="FO61" s="2688"/>
      <c r="FP61" s="2688"/>
      <c r="FQ61" s="2688"/>
      <c r="FR61" s="2688"/>
      <c r="FS61" s="2688"/>
      <c r="FT61" s="2688"/>
      <c r="FU61" s="2688"/>
      <c r="FV61" s="2688"/>
      <c r="FW61" s="2688"/>
      <c r="FX61" s="2688"/>
      <c r="FY61" s="2688"/>
      <c r="FZ61" s="2688"/>
      <c r="GA61" s="2688"/>
      <c r="GB61" s="2688"/>
      <c r="GC61" s="2688"/>
      <c r="GD61" s="2688"/>
      <c r="GE61" s="2688"/>
      <c r="GF61" s="2688"/>
      <c r="GG61" s="2688"/>
      <c r="GH61" s="2688"/>
      <c r="GI61" s="2688"/>
      <c r="GJ61" s="2688"/>
      <c r="GK61" s="2688"/>
      <c r="GL61" s="2688"/>
      <c r="GM61" s="2688"/>
      <c r="GN61" s="2688"/>
      <c r="GO61" s="2688"/>
      <c r="GP61" s="2688"/>
      <c r="GQ61" s="2688"/>
      <c r="GR61" s="2688"/>
      <c r="GS61" s="2688"/>
      <c r="GT61" s="2688"/>
      <c r="GU61" s="2688"/>
      <c r="GV61" s="2688"/>
      <c r="GW61" s="2688"/>
      <c r="GX61" s="2688"/>
      <c r="GY61" s="2688"/>
      <c r="GZ61" s="2688"/>
      <c r="HA61" s="2688"/>
      <c r="HB61" s="2688"/>
      <c r="HC61" s="2688"/>
      <c r="HD61" s="2688"/>
      <c r="HE61" s="2688"/>
      <c r="HF61" s="2688"/>
      <c r="HG61" s="2688"/>
      <c r="HH61" s="2688"/>
      <c r="HI61" s="2688"/>
      <c r="HJ61" s="2688"/>
      <c r="HK61" s="2688"/>
      <c r="HL61" s="2688"/>
      <c r="HM61" s="2688"/>
      <c r="HN61" s="2688"/>
      <c r="HO61" s="2688"/>
      <c r="HP61" s="2688"/>
      <c r="HQ61" s="2688"/>
      <c r="HR61" s="2688"/>
      <c r="HS61" s="2688"/>
      <c r="HT61" s="2688"/>
      <c r="HU61" s="2688"/>
      <c r="HV61" s="2688"/>
      <c r="HW61" s="2688"/>
      <c r="HX61" s="2688"/>
      <c r="HY61" s="2688"/>
      <c r="HZ61" s="2688"/>
      <c r="IA61" s="2688"/>
      <c r="IB61" s="2688"/>
      <c r="IC61" s="2688"/>
      <c r="ID61" s="2688"/>
      <c r="IE61" s="2688"/>
      <c r="IF61" s="2688"/>
      <c r="IG61" s="2688"/>
      <c r="IH61" s="2688"/>
      <c r="II61" s="2688"/>
      <c r="IJ61" s="2688"/>
      <c r="IK61" s="2688"/>
      <c r="IL61" s="2688"/>
      <c r="IM61" s="2688"/>
      <c r="IN61" s="2688"/>
      <c r="IO61" s="2688"/>
      <c r="IP61" s="2815"/>
      <c r="IQ61" s="2815"/>
      <c r="IR61" s="2815"/>
      <c r="IS61" s="2815"/>
      <c r="IT61" s="2815"/>
      <c r="IU61" s="2815"/>
      <c r="IV61" s="2815"/>
      <c r="IW61" s="2815"/>
      <c r="IX61" s="2815"/>
      <c r="IY61" s="2815"/>
      <c r="IZ61" s="2815"/>
      <c r="JA61" s="2815"/>
      <c r="JB61" s="2815"/>
      <c r="JC61" s="2815"/>
      <c r="JD61" s="2815"/>
      <c r="JE61" s="2815"/>
      <c r="JF61" s="2815"/>
      <c r="JG61" s="3348"/>
      <c r="JH61" s="1233"/>
    </row>
    <row r="62" spans="1:268" x14ac:dyDescent="0.2">
      <c r="A62" s="1128">
        <v>62</v>
      </c>
      <c r="B62" s="1534" t="str">
        <f si="0" t="shared"/>
        <v/>
      </c>
      <c r="C62" s="1278" t="s">
        <v>146</v>
      </c>
      <c r="D62" s="1386" t="s">
        <v>5325</v>
      </c>
      <c r="E62" s="3359"/>
      <c r="F62" s="3359"/>
      <c r="G62" s="3359"/>
      <c r="H62" s="3359"/>
      <c r="I62" s="3359"/>
      <c r="J62" s="3359"/>
      <c r="K62" s="3359"/>
      <c r="L62" s="3359"/>
      <c r="M62" s="3359"/>
      <c r="N62" s="3359"/>
      <c r="O62" s="3359"/>
      <c r="P62" s="3359"/>
      <c r="Q62" s="3359"/>
      <c r="R62" s="3359"/>
      <c r="S62" s="3359"/>
      <c r="T62" s="3359"/>
      <c r="U62" s="3359"/>
      <c r="V62" s="3359"/>
      <c r="W62" s="3359"/>
      <c r="X62" s="3359"/>
      <c r="Y62" s="3359"/>
      <c r="Z62" s="3359"/>
      <c r="AA62" s="3359"/>
      <c r="AB62" s="3359"/>
      <c r="AC62" s="3359"/>
      <c r="AD62" s="3359"/>
      <c r="AE62" s="3359"/>
      <c r="AF62" s="3359"/>
      <c r="AG62" s="3359"/>
      <c r="AH62" s="3359"/>
      <c r="AI62" s="3359"/>
      <c r="AJ62" s="3359"/>
      <c r="AK62" s="3359"/>
      <c r="AL62" s="3359"/>
      <c r="AM62" s="3359"/>
      <c r="AN62" s="3359"/>
      <c r="AO62" s="3359"/>
      <c r="AP62" s="3359"/>
      <c r="AQ62" s="3359"/>
      <c r="AR62" s="3359"/>
      <c r="AS62" s="3359"/>
      <c r="AT62" s="3359"/>
      <c r="AU62" s="3359"/>
      <c r="AV62" s="3359"/>
      <c r="AW62" s="3359"/>
      <c r="AX62" s="3359"/>
      <c r="AY62" s="3359"/>
      <c r="AZ62" s="3359"/>
      <c r="BA62" s="3359"/>
      <c r="BB62" s="3359"/>
      <c r="BC62" s="3359"/>
      <c r="BD62" s="3359"/>
      <c r="BE62" s="3359"/>
      <c r="BF62" s="3359"/>
      <c r="BG62" s="3359"/>
      <c r="BH62" s="3359"/>
      <c r="BI62" s="3359"/>
      <c r="BJ62" s="3359"/>
      <c r="BK62" s="3359"/>
      <c r="BL62" s="3359"/>
      <c r="BM62" s="3359"/>
      <c r="BN62" s="3359"/>
      <c r="BO62" s="3359"/>
      <c r="BP62" s="3359"/>
      <c r="BQ62" s="3359"/>
      <c r="BR62" s="3359"/>
      <c r="BS62" s="3359"/>
      <c r="BT62" s="3359"/>
      <c r="BU62" s="3359"/>
      <c r="BV62" s="3359"/>
      <c r="BW62" s="3359"/>
      <c r="BX62" s="3359"/>
      <c r="BY62" s="3359"/>
      <c r="BZ62" s="3359"/>
      <c r="CA62" s="3359"/>
      <c r="CB62" s="3359"/>
      <c r="CC62" s="3359"/>
      <c r="CD62" s="3359"/>
      <c r="CE62" s="3359"/>
      <c r="CF62" s="3359"/>
      <c r="CG62" s="3359"/>
      <c r="CH62" s="3359"/>
      <c r="CI62" s="3359"/>
      <c r="CJ62" s="3359"/>
      <c r="CK62" s="3359"/>
      <c r="CL62" s="3359"/>
      <c r="CM62" s="3359"/>
      <c r="CN62" s="3359"/>
      <c r="CO62" s="3359"/>
      <c r="CP62" s="3359"/>
      <c r="CQ62" s="3359"/>
      <c r="CR62" s="3359"/>
      <c r="CS62" s="3359"/>
      <c r="CT62" s="3359"/>
      <c r="CU62" s="3359"/>
      <c r="CV62" s="3359"/>
      <c r="CW62" s="3359"/>
      <c r="CX62" s="3359"/>
      <c r="CY62" s="3359"/>
      <c r="CZ62" s="3359"/>
      <c r="DA62" s="3359"/>
      <c r="DB62" s="3359"/>
      <c r="DC62" s="3359"/>
      <c r="DD62" s="3359"/>
      <c r="DE62" s="3359"/>
      <c r="DF62" s="3359"/>
      <c r="DG62" s="3359"/>
      <c r="DH62" s="3359"/>
      <c r="DI62" s="3359"/>
      <c r="DJ62" s="3359"/>
      <c r="DK62" s="3359"/>
      <c r="DL62" s="3359"/>
      <c r="DM62" s="3359"/>
      <c r="DN62" s="3359"/>
      <c r="DO62" s="3359"/>
      <c r="DP62" s="3359"/>
      <c r="DQ62" s="3359"/>
      <c r="DR62" s="3359"/>
      <c r="DS62" s="3359"/>
      <c r="DT62" s="3359"/>
      <c r="DU62" s="3359"/>
      <c r="DV62" s="3359"/>
      <c r="DW62" s="3359"/>
      <c r="DX62" s="3359"/>
      <c r="DY62" s="3359"/>
      <c r="DZ62" s="3359"/>
      <c r="EA62" s="3359"/>
      <c r="EB62" s="3359"/>
      <c r="EC62" s="3359"/>
      <c r="ED62" s="3359"/>
      <c r="EE62" s="3359"/>
      <c r="EF62" s="3359"/>
      <c r="EG62" s="3359"/>
      <c r="EH62" s="3359"/>
      <c r="EI62" s="3359"/>
      <c r="EJ62" s="3359"/>
      <c r="EK62" s="3359"/>
      <c r="EL62" s="3359"/>
      <c r="EM62" s="3359"/>
      <c r="EN62" s="3359"/>
      <c r="EO62" s="3359"/>
      <c r="EP62" s="3359"/>
      <c r="EQ62" s="3359"/>
      <c r="ER62" s="3359"/>
      <c r="ES62" s="3359"/>
      <c r="ET62" s="3359"/>
      <c r="EU62" s="3359"/>
      <c r="EV62" s="3359"/>
      <c r="EW62" s="3359"/>
      <c r="EX62" s="3359" t="s">
        <v>572</v>
      </c>
      <c r="EY62" s="3359"/>
      <c r="EZ62" s="3359"/>
      <c r="FA62" s="3359"/>
      <c r="FB62" s="3359"/>
      <c r="FC62" s="3359"/>
      <c r="FD62" s="3359"/>
      <c r="FE62" s="3359"/>
      <c r="FF62" s="3359"/>
      <c r="FG62" s="3359"/>
      <c r="FH62" s="3359"/>
      <c r="FI62" s="3359"/>
      <c r="FJ62" s="3359"/>
      <c r="FK62" s="3359"/>
      <c r="FL62" s="3359"/>
      <c r="FM62" s="3359"/>
      <c r="FN62" s="3359"/>
      <c r="FO62" s="3359"/>
      <c r="FP62" s="3359"/>
      <c r="FQ62" s="3359"/>
      <c r="FR62" s="3359"/>
      <c r="FS62" s="3359"/>
      <c r="FT62" s="3359"/>
      <c r="FU62" s="3359"/>
      <c r="FV62" s="3359"/>
      <c r="FW62" s="3359"/>
      <c r="FX62" s="3359"/>
      <c r="FY62" s="3359"/>
      <c r="FZ62" s="3359"/>
      <c r="GA62" s="3359"/>
      <c r="GB62" s="3359"/>
      <c r="GC62" s="3359"/>
      <c r="GD62" s="3359"/>
      <c r="GE62" s="3359"/>
      <c r="GF62" s="3359"/>
      <c r="GG62" s="3359"/>
      <c r="GH62" s="3359"/>
      <c r="GI62" s="3359"/>
      <c r="GJ62" s="3359"/>
      <c r="GK62" s="3359"/>
      <c r="GL62" s="3359"/>
      <c r="GM62" s="3359"/>
      <c r="GN62" s="3359"/>
      <c r="GO62" s="3359"/>
      <c r="GP62" s="3359"/>
      <c r="GQ62" s="3359"/>
      <c r="GR62" s="3359"/>
      <c r="GS62" s="3359"/>
      <c r="GT62" s="3359"/>
      <c r="GU62" s="3359"/>
      <c r="GV62" s="3359"/>
      <c r="GW62" s="3359"/>
      <c r="GX62" s="3359"/>
      <c r="GY62" s="3359"/>
      <c r="GZ62" s="3359"/>
      <c r="HA62" s="3359"/>
      <c r="HB62" s="3359"/>
      <c r="HC62" s="3359"/>
      <c r="HD62" s="3359"/>
      <c r="HE62" s="3359"/>
      <c r="HF62" s="3359"/>
      <c r="HG62" s="3359"/>
      <c r="HH62" s="3359"/>
      <c r="HI62" s="3359"/>
      <c r="HJ62" s="3359"/>
      <c r="HK62" s="3359"/>
      <c r="HL62" s="3359"/>
      <c r="HM62" s="3359"/>
      <c r="HN62" s="3359"/>
      <c r="HO62" s="3359"/>
      <c r="HP62" s="3359" t="s">
        <v>572</v>
      </c>
      <c r="HQ62" s="3359"/>
      <c r="HR62" s="3359" t="s">
        <v>572</v>
      </c>
      <c r="HS62" s="3359"/>
      <c r="HT62" s="3359"/>
      <c r="HU62" s="3359"/>
      <c r="HV62" s="3359"/>
      <c r="HW62" s="3359"/>
      <c r="HX62" s="3359"/>
      <c r="HY62" s="3359"/>
      <c r="HZ62" s="3359"/>
      <c r="IA62" s="3359"/>
      <c r="IB62" s="3359"/>
      <c r="IC62" s="3359"/>
      <c r="ID62" s="3359"/>
      <c r="IE62" s="3359"/>
      <c r="IF62" s="3359"/>
      <c r="IG62" s="3359"/>
      <c r="IH62" s="3359"/>
      <c r="II62" s="3359"/>
      <c r="IJ62" s="3359"/>
      <c r="IK62" s="3359"/>
      <c r="IL62" s="3359"/>
      <c r="IM62" s="3359"/>
      <c r="IN62" s="3359"/>
      <c r="IO62" s="3359"/>
      <c r="IP62" s="2815"/>
      <c r="IQ62" s="2815"/>
      <c r="IR62" s="2815"/>
      <c r="IS62" s="2815"/>
      <c r="IT62" s="2815"/>
      <c r="IU62" s="2815"/>
      <c r="IV62" s="2815"/>
      <c r="IW62" s="2815"/>
      <c r="IX62" s="2815"/>
      <c r="IY62" s="2815"/>
      <c r="IZ62" s="2815"/>
      <c r="JA62" s="2815"/>
      <c r="JB62" s="2815"/>
      <c r="JC62" s="2815"/>
      <c r="JD62" s="2815"/>
      <c r="JE62" s="2815"/>
      <c r="JF62" s="2815"/>
      <c r="JG62" s="3348"/>
      <c r="JH62" s="1233"/>
    </row>
    <row r="63" spans="1:268" x14ac:dyDescent="0.2">
      <c r="A63" s="1128">
        <v>63</v>
      </c>
      <c r="B63" s="1534" t="str">
        <f si="0" t="shared"/>
        <v/>
      </c>
      <c r="C63" s="1278" t="s">
        <v>148</v>
      </c>
      <c r="D63" s="1386" t="s">
        <v>5326</v>
      </c>
      <c r="E63" s="2688"/>
      <c r="F63" s="2688"/>
      <c r="G63" s="2688"/>
      <c r="H63" s="2688"/>
      <c r="I63" s="2688"/>
      <c r="J63" s="2688"/>
      <c r="K63" s="2688"/>
      <c r="L63" s="2688"/>
      <c r="M63" s="2688"/>
      <c r="N63" s="2688"/>
      <c r="O63" s="2688"/>
      <c r="P63" s="2688"/>
      <c r="Q63" s="2688"/>
      <c r="R63" s="2688"/>
      <c r="S63" s="2688"/>
      <c r="T63" s="2688"/>
      <c r="U63" s="2688"/>
      <c r="V63" s="2688"/>
      <c r="W63" s="2688"/>
      <c r="X63" s="2688"/>
      <c r="Y63" s="2688"/>
      <c r="Z63" s="2688"/>
      <c r="AA63" s="2688"/>
      <c r="AB63" s="2688"/>
      <c r="AC63" s="2688"/>
      <c r="AD63" s="2688"/>
      <c r="AE63" s="2688"/>
      <c r="AF63" s="2688"/>
      <c r="AG63" s="2688"/>
      <c r="AH63" s="2688"/>
      <c r="AI63" s="2688"/>
      <c r="AJ63" s="2688"/>
      <c r="AK63" s="2688"/>
      <c r="AL63" s="2688"/>
      <c r="AM63" s="2688"/>
      <c r="AN63" s="2688"/>
      <c r="AO63" s="2688"/>
      <c r="AP63" s="2688"/>
      <c r="AQ63" s="2688"/>
      <c r="AR63" s="2688"/>
      <c r="AS63" s="2688"/>
      <c r="AT63" s="2688"/>
      <c r="AU63" s="2688"/>
      <c r="AV63" s="2688"/>
      <c r="AW63" s="2688"/>
      <c r="AX63" s="2688"/>
      <c r="AY63" s="2688"/>
      <c r="AZ63" s="2688"/>
      <c r="BA63" s="2688"/>
      <c r="BB63" s="2688"/>
      <c r="BC63" s="2688"/>
      <c r="BD63" s="2688"/>
      <c r="BE63" s="2688"/>
      <c r="BF63" s="2688"/>
      <c r="BG63" s="2688"/>
      <c r="BH63" s="2688"/>
      <c r="BI63" s="2688"/>
      <c r="BJ63" s="2688"/>
      <c r="BK63" s="2688"/>
      <c r="BL63" s="2688"/>
      <c r="BM63" s="2688"/>
      <c r="BN63" s="2688"/>
      <c r="BO63" s="2688"/>
      <c r="BP63" s="2688"/>
      <c r="BQ63" s="2688"/>
      <c r="BR63" s="2688"/>
      <c r="BS63" s="2688"/>
      <c r="BT63" s="2688"/>
      <c r="BU63" s="2688"/>
      <c r="BV63" s="2688"/>
      <c r="BW63" s="2688"/>
      <c r="BX63" s="2688"/>
      <c r="BY63" s="2688"/>
      <c r="BZ63" s="2688"/>
      <c r="CA63" s="2688"/>
      <c r="CB63" s="2688"/>
      <c r="CC63" s="2688"/>
      <c r="CD63" s="2688"/>
      <c r="CE63" s="2688"/>
      <c r="CF63" s="2688"/>
      <c r="CG63" s="2688"/>
      <c r="CH63" s="2688"/>
      <c r="CI63" s="2688"/>
      <c r="CJ63" s="3360">
        <f>IF(CJ62="Y",CJ59,MAX(0,CJ59-CJ60))</f>
        <v>1074</v>
      </c>
      <c r="CK63" s="2688"/>
      <c r="CL63" s="2688"/>
      <c r="CM63" s="2688"/>
      <c r="CN63" s="2688"/>
      <c r="CO63" s="2688"/>
      <c r="CP63" s="2688"/>
      <c r="CQ63" s="2688"/>
      <c r="CR63" s="2688"/>
      <c r="CS63" s="2688"/>
      <c r="CT63" s="2688"/>
      <c r="CU63" s="2688"/>
      <c r="CV63" s="2688"/>
      <c r="CW63" s="2688"/>
      <c r="CX63" s="2688"/>
      <c r="CY63" s="2688"/>
      <c r="CZ63" s="2688"/>
      <c r="DA63" s="2688"/>
      <c r="DB63" s="2688"/>
      <c r="DC63" s="2688"/>
      <c r="DD63" s="2688"/>
      <c r="DE63" s="2688"/>
      <c r="DF63" s="2688"/>
      <c r="DG63" s="2688"/>
      <c r="DH63" s="2688"/>
      <c r="DI63" s="2688"/>
      <c r="DJ63" s="2688"/>
      <c r="DK63" s="2688"/>
      <c r="DL63" s="2688"/>
      <c r="DM63" s="3360">
        <f>IF(DM62="Y",DM59,MAX(0,DM59-DM60))</f>
        <v>1074</v>
      </c>
      <c r="DN63" s="2688"/>
      <c r="DO63" s="2688"/>
      <c r="DP63" s="2688"/>
      <c r="DQ63" s="2688"/>
      <c r="DR63" s="2688"/>
      <c r="DS63" s="2688"/>
      <c r="DT63" s="2688"/>
      <c r="DU63" s="2688"/>
      <c r="DV63" s="2688"/>
      <c r="DW63" s="2688"/>
      <c r="DX63" s="2688"/>
      <c r="DY63" s="2688"/>
      <c r="DZ63" s="2688"/>
      <c r="EA63" s="2688"/>
      <c r="EB63" s="2688"/>
      <c r="EC63" s="2688"/>
      <c r="ED63" s="2688"/>
      <c r="EE63" s="2688"/>
      <c r="EF63" s="2688"/>
      <c r="EG63" s="2688"/>
      <c r="EH63" s="2688"/>
      <c r="EI63" s="2688"/>
      <c r="EJ63" s="2688"/>
      <c r="EK63" s="2688"/>
      <c r="EL63" s="2688"/>
      <c r="EM63" s="2688"/>
      <c r="EN63" s="2688"/>
      <c r="EO63" s="3360">
        <f>IF(EO62="Y",EO59,MAX(0,EO59-EO60))</f>
        <v>1074</v>
      </c>
      <c r="EP63" s="2688"/>
      <c r="EQ63" s="2688"/>
      <c r="ER63" s="2688"/>
      <c r="ES63" s="2688"/>
      <c r="ET63" s="2688"/>
      <c r="EU63" s="2688"/>
      <c r="EV63" s="2688"/>
      <c r="EW63" s="2688"/>
      <c r="EX63" s="3360">
        <f>IF(EX62="Y",EX59,MAX(0,EX59-EX60))</f>
        <v>3620</v>
      </c>
      <c r="EY63" s="2688"/>
      <c r="EZ63" s="2688"/>
      <c r="FA63" s="2688"/>
      <c r="FB63" s="2688"/>
      <c r="FC63" s="2688"/>
      <c r="FD63" s="2688"/>
      <c r="FE63" s="2688"/>
      <c r="FF63" s="2688"/>
      <c r="FG63" s="2688"/>
      <c r="FH63" s="2688"/>
      <c r="FI63" s="2688"/>
      <c r="FJ63" s="2688"/>
      <c r="FK63" s="2688"/>
      <c r="FL63" s="2688"/>
      <c r="FM63" s="2688"/>
      <c r="FN63" s="2688"/>
      <c r="FO63" s="2688"/>
      <c r="FP63" s="2688"/>
      <c r="FQ63" s="2688"/>
      <c r="FR63" s="2688"/>
      <c r="FS63" s="2688"/>
      <c r="FT63" s="2688"/>
      <c r="FU63" s="2688"/>
      <c r="FV63" s="2688"/>
      <c r="FW63" s="2688"/>
      <c r="FX63" s="2688"/>
      <c r="FY63" s="2688"/>
      <c r="FZ63" s="2688"/>
      <c r="GA63" s="2688"/>
      <c r="GB63" s="2688"/>
      <c r="GC63" s="2688"/>
      <c r="GD63" s="2688"/>
      <c r="GE63" s="2688"/>
      <c r="GF63" s="2688"/>
      <c r="GG63" s="2688"/>
      <c r="GH63" s="2688"/>
      <c r="GI63" s="2688"/>
      <c r="GJ63" s="2688"/>
      <c r="GK63" s="2688"/>
      <c r="GL63" s="2688"/>
      <c r="GM63" s="2688"/>
      <c r="GN63" s="2688"/>
      <c r="GO63" s="2688"/>
      <c r="GP63" s="2688"/>
      <c r="GQ63" s="2688"/>
      <c r="GR63" s="2688"/>
      <c r="GS63" s="2688"/>
      <c r="GT63" s="2688"/>
      <c r="GU63" s="2688"/>
      <c r="GV63" s="2688"/>
      <c r="GW63" s="2688"/>
      <c r="GX63" s="2688"/>
      <c r="GY63" s="2688"/>
      <c r="GZ63" s="2688"/>
      <c r="HA63" s="2688"/>
      <c r="HB63" s="2688"/>
      <c r="HC63" s="2688"/>
      <c r="HD63" s="2688"/>
      <c r="HE63" s="2688"/>
      <c r="HF63" s="2688"/>
      <c r="HG63" s="2688"/>
      <c r="HH63" s="2688"/>
      <c r="HI63" s="2688"/>
      <c r="HJ63" s="2688"/>
      <c r="HK63" s="2688"/>
      <c r="HL63" s="2688"/>
      <c r="HM63" s="2688"/>
      <c r="HN63" s="2688"/>
      <c r="HO63" s="2688"/>
      <c r="HP63" s="3360">
        <f>IF(HP62="Y",HP59,MAX(0,HP59-HP60))</f>
        <v>3620</v>
      </c>
      <c r="HQ63" s="2688"/>
      <c r="HR63" s="3360">
        <f>IF(HR62="Y",HR59,MAX(0,HR59-HR60))</f>
        <v>3620</v>
      </c>
      <c r="HS63" s="2688"/>
      <c r="HT63" s="2688"/>
      <c r="HU63" s="2688"/>
      <c r="HV63" s="2688"/>
      <c r="HW63" s="2688"/>
      <c r="HX63" s="2688"/>
      <c r="HY63" s="2688"/>
      <c r="HZ63" s="2688"/>
      <c r="IA63" s="2688"/>
      <c r="IB63" s="2688"/>
      <c r="IC63" s="2688"/>
      <c r="ID63" s="2688"/>
      <c r="IE63" s="2688"/>
      <c r="IF63" s="2688"/>
      <c r="IG63" s="2688"/>
      <c r="IH63" s="2688"/>
      <c r="II63" s="2688"/>
      <c r="IJ63" s="2688"/>
      <c r="IK63" s="2688"/>
      <c r="IL63" s="2688"/>
      <c r="IM63" s="2688"/>
      <c r="IN63" s="2688"/>
      <c r="IO63" s="2688"/>
      <c r="IP63" s="3559"/>
      <c r="IQ63" s="3559"/>
      <c r="IR63" s="3559"/>
      <c r="IS63" s="3559"/>
      <c r="IT63" s="3559"/>
      <c r="IU63" s="3559"/>
      <c r="IV63" s="3559"/>
      <c r="IW63" s="3559"/>
      <c r="IX63" s="3559"/>
      <c r="IY63" s="3559"/>
      <c r="IZ63" s="3559"/>
      <c r="JA63" s="3559"/>
      <c r="JB63" s="3559"/>
      <c r="JC63" s="3559"/>
      <c r="JD63" s="3559"/>
      <c r="JE63" s="3559"/>
      <c r="JF63" s="3559"/>
      <c r="JG63" s="4087"/>
      <c r="JH63" s="1233"/>
    </row>
    <row r="64" spans="1:268" x14ac:dyDescent="0.2">
      <c r="A64" s="1128">
        <v>64</v>
      </c>
      <c r="B64" s="1534" t="str">
        <f si="0" t="shared"/>
        <v/>
      </c>
      <c r="C64" s="1524" t="s">
        <v>149</v>
      </c>
      <c r="D64" s="1386" t="s">
        <v>2197</v>
      </c>
      <c r="E64" s="2688"/>
      <c r="F64" s="2688"/>
      <c r="G64" s="2688"/>
      <c r="H64" s="2688"/>
      <c r="I64" s="2688"/>
      <c r="J64" s="2688"/>
      <c r="K64" s="2688"/>
      <c r="L64" s="2688"/>
      <c r="M64" s="2688"/>
      <c r="N64" s="2688"/>
      <c r="O64" s="2688"/>
      <c r="P64" s="2688"/>
      <c r="Q64" s="2688"/>
      <c r="R64" s="2688"/>
      <c r="S64" s="2688"/>
      <c r="T64" s="2688"/>
      <c r="U64" s="2688"/>
      <c r="V64" s="2688"/>
      <c r="W64" s="2688"/>
      <c r="X64" s="2688"/>
      <c r="Y64" s="2688"/>
      <c r="Z64" s="2688"/>
      <c r="AA64" s="2688"/>
      <c r="AB64" s="2688"/>
      <c r="AC64" s="2688"/>
      <c r="AD64" s="2688"/>
      <c r="AE64" s="2688"/>
      <c r="AF64" s="2688"/>
      <c r="AG64" s="2688"/>
      <c r="AH64" s="2688"/>
      <c r="AI64" s="2688"/>
      <c r="AJ64" s="2688"/>
      <c r="AK64" s="2688"/>
      <c r="AL64" s="2688"/>
      <c r="AM64" s="2688"/>
      <c r="AN64" s="2688"/>
      <c r="AO64" s="2688"/>
      <c r="AP64" s="2688"/>
      <c r="AQ64" s="2688"/>
      <c r="AR64" s="2688"/>
      <c r="AS64" s="2688"/>
      <c r="AT64" s="2688"/>
      <c r="AU64" s="2688"/>
      <c r="AV64" s="2688"/>
      <c r="AW64" s="2688"/>
      <c r="AX64" s="2688"/>
      <c r="AY64" s="2688"/>
      <c r="AZ64" s="2688"/>
      <c r="BA64" s="2688"/>
      <c r="BB64" s="2688"/>
      <c r="BC64" s="2688"/>
      <c r="BD64" s="2688"/>
      <c r="BE64" s="2688"/>
      <c r="BF64" s="2688"/>
      <c r="BG64" s="2688"/>
      <c r="BH64" s="2688"/>
      <c r="BI64" s="2688"/>
      <c r="BJ64" s="2688"/>
      <c r="BK64" s="2688"/>
      <c r="BL64" s="2688"/>
      <c r="BM64" s="2688"/>
      <c r="BN64" s="2688"/>
      <c r="BO64" s="2688"/>
      <c r="BP64" s="2688"/>
      <c r="BQ64" s="2688"/>
      <c r="BR64" s="2688"/>
      <c r="BS64" s="2688"/>
      <c r="BT64" s="2688"/>
      <c r="BU64" s="2688"/>
      <c r="BV64" s="2688"/>
      <c r="BW64" s="2688"/>
      <c r="BX64" s="2688"/>
      <c r="BY64" s="2688"/>
      <c r="BZ64" s="2688"/>
      <c r="CA64" s="2688"/>
      <c r="CB64" s="2688"/>
      <c r="CC64" s="2688"/>
      <c r="CD64" s="2688"/>
      <c r="CE64" s="2688"/>
      <c r="CF64" s="2688"/>
      <c r="CG64" s="2688"/>
      <c r="CH64" s="2688"/>
      <c r="CI64" s="2688"/>
      <c r="CJ64" s="2688"/>
      <c r="CK64" s="2688"/>
      <c r="CL64" s="2688"/>
      <c r="CM64" s="2688"/>
      <c r="CN64" s="2688"/>
      <c r="CO64" s="2688"/>
      <c r="CP64" s="2688"/>
      <c r="CQ64" s="2688"/>
      <c r="CR64" s="2688"/>
      <c r="CS64" s="2688"/>
      <c r="CT64" s="2688"/>
      <c r="CU64" s="2688"/>
      <c r="CV64" s="2688"/>
      <c r="CW64" s="2688"/>
      <c r="CX64" s="2688"/>
      <c r="CY64" s="2688"/>
      <c r="CZ64" s="2688"/>
      <c r="DA64" s="2688"/>
      <c r="DB64" s="2688"/>
      <c r="DC64" s="2688"/>
      <c r="DD64" s="2688"/>
      <c r="DE64" s="2688"/>
      <c r="DF64" s="2688"/>
      <c r="DG64" s="2688"/>
      <c r="DH64" s="2688"/>
      <c r="DI64" s="2688"/>
      <c r="DJ64" s="2688"/>
      <c r="DK64" s="2688"/>
      <c r="DL64" s="2688"/>
      <c r="DM64" s="2688"/>
      <c r="DN64" s="2688"/>
      <c r="DO64" s="2688"/>
      <c r="DP64" s="2688"/>
      <c r="DQ64" s="2688"/>
      <c r="DR64" s="2688"/>
      <c r="DS64" s="2688"/>
      <c r="DT64" s="2688"/>
      <c r="DU64" s="2688"/>
      <c r="DV64" s="2688"/>
      <c r="DW64" s="2688"/>
      <c r="DX64" s="2688"/>
      <c r="DY64" s="2688"/>
      <c r="DZ64" s="2688"/>
      <c r="EA64" s="2688"/>
      <c r="EB64" s="2688"/>
      <c r="EC64" s="2688"/>
      <c r="ED64" s="2688"/>
      <c r="EE64" s="2688"/>
      <c r="EF64" s="2688"/>
      <c r="EG64" s="2688"/>
      <c r="EH64" s="2688"/>
      <c r="EI64" s="2688"/>
      <c r="EJ64" s="2688"/>
      <c r="EK64" s="2688"/>
      <c r="EL64" s="2688"/>
      <c r="EM64" s="2688"/>
      <c r="EN64" s="2688"/>
      <c r="EO64" s="2688"/>
      <c r="EP64" s="2688"/>
      <c r="EQ64" s="2688"/>
      <c r="ER64" s="2688"/>
      <c r="ES64" s="2688"/>
      <c r="ET64" s="2688"/>
      <c r="EU64" s="2688"/>
      <c r="EV64" s="2688"/>
      <c r="EW64" s="2688"/>
      <c r="EX64" s="2688"/>
      <c r="EY64" s="2688"/>
      <c r="EZ64" s="2688"/>
      <c r="FA64" s="2688"/>
      <c r="FB64" s="2688"/>
      <c r="FC64" s="2688"/>
      <c r="FD64" s="2688"/>
      <c r="FE64" s="2688"/>
      <c r="FF64" s="2688"/>
      <c r="FG64" s="2688"/>
      <c r="FH64" s="2688"/>
      <c r="FI64" s="2688"/>
      <c r="FJ64" s="2688"/>
      <c r="FK64" s="2688"/>
      <c r="FL64" s="2688"/>
      <c r="FM64" s="2688"/>
      <c r="FN64" s="2688"/>
      <c r="FO64" s="2688"/>
      <c r="FP64" s="2688"/>
      <c r="FQ64" s="2688"/>
      <c r="FR64" s="2688"/>
      <c r="FS64" s="2688"/>
      <c r="FT64" s="2688"/>
      <c r="FU64" s="2688"/>
      <c r="FV64" s="2688"/>
      <c r="FW64" s="2688"/>
      <c r="FX64" s="2688"/>
      <c r="FY64" s="2688"/>
      <c r="FZ64" s="2688"/>
      <c r="GA64" s="2688"/>
      <c r="GB64" s="2688"/>
      <c r="GC64" s="2688"/>
      <c r="GD64" s="2688"/>
      <c r="GE64" s="2688"/>
      <c r="GF64" s="2688"/>
      <c r="GG64" s="2688"/>
      <c r="GH64" s="2688"/>
      <c r="GI64" s="2688"/>
      <c r="GJ64" s="2688"/>
      <c r="GK64" s="2688"/>
      <c r="GL64" s="2688"/>
      <c r="GM64" s="2688"/>
      <c r="GN64" s="2688"/>
      <c r="GO64" s="2688"/>
      <c r="GP64" s="2688"/>
      <c r="GQ64" s="2688"/>
      <c r="GR64" s="2688"/>
      <c r="GS64" s="2688"/>
      <c r="GT64" s="2688"/>
      <c r="GU64" s="2688"/>
      <c r="GV64" s="2688"/>
      <c r="GW64" s="2688"/>
      <c r="GX64" s="2688"/>
      <c r="GY64" s="2688"/>
      <c r="GZ64" s="2688"/>
      <c r="HA64" s="2688"/>
      <c r="HB64" s="2688"/>
      <c r="HC64" s="2688"/>
      <c r="HD64" s="2688"/>
      <c r="HE64" s="2688"/>
      <c r="HF64" s="2688"/>
      <c r="HG64" s="2688"/>
      <c r="HH64" s="2688"/>
      <c r="HI64" s="2688"/>
      <c r="HJ64" s="2688"/>
      <c r="HK64" s="2688"/>
      <c r="HL64" s="2688"/>
      <c r="HM64" s="2688"/>
      <c r="HN64" s="2688"/>
      <c r="HO64" s="2688"/>
      <c r="HP64" s="2688"/>
      <c r="HQ64" s="2688"/>
      <c r="HR64" s="2688"/>
      <c r="HS64" s="2688"/>
      <c r="HT64" s="2688"/>
      <c r="HU64" s="2688"/>
      <c r="HV64" s="2688"/>
      <c r="HW64" s="2688"/>
      <c r="HX64" s="2688"/>
      <c r="HY64" s="2688"/>
      <c r="HZ64" s="2688"/>
      <c r="IA64" s="2688"/>
      <c r="IB64" s="2688"/>
      <c r="IC64" s="2688"/>
      <c r="ID64" s="2688"/>
      <c r="IE64" s="2688"/>
      <c r="IF64" s="2688"/>
      <c r="IG64" s="2688"/>
      <c r="IH64" s="2688"/>
      <c r="II64" s="2688"/>
      <c r="IJ64" s="2688"/>
      <c r="IK64" s="2688"/>
      <c r="IL64" s="2688"/>
      <c r="IM64" s="2688"/>
      <c r="IN64" s="2688"/>
      <c r="IO64" s="2688"/>
      <c r="IP64" s="3560"/>
      <c r="IQ64" s="3560"/>
      <c r="IR64" s="3560"/>
      <c r="IS64" s="3560"/>
      <c r="IT64" s="3560"/>
      <c r="IU64" s="3560"/>
      <c r="IV64" s="3560"/>
      <c r="IW64" s="3560"/>
      <c r="IX64" s="3560"/>
      <c r="IY64" s="3560"/>
      <c r="IZ64" s="3560"/>
      <c r="JA64" s="3560"/>
      <c r="JB64" s="3560"/>
      <c r="JC64" s="3560"/>
      <c r="JD64" s="3560"/>
      <c r="JE64" s="3560"/>
      <c r="JF64" s="3560"/>
      <c r="JG64" s="4088"/>
      <c r="JH64" s="1233"/>
    </row>
    <row r="65" spans="1:268" x14ac:dyDescent="0.2">
      <c r="A65" s="1128">
        <v>65</v>
      </c>
      <c r="B65" s="1534" t="str">
        <f si="0" t="shared"/>
        <v/>
      </c>
      <c r="C65" s="1524" t="s">
        <v>150</v>
      </c>
      <c r="D65" s="1386" t="s">
        <v>2197</v>
      </c>
      <c r="E65" s="2688"/>
      <c r="F65" s="2688"/>
      <c r="G65" s="2688"/>
      <c r="H65" s="2688"/>
      <c r="I65" s="2688"/>
      <c r="J65" s="2688"/>
      <c r="K65" s="2688"/>
      <c r="L65" s="2688"/>
      <c r="M65" s="2688"/>
      <c r="N65" s="2688"/>
      <c r="O65" s="2688"/>
      <c r="P65" s="2688"/>
      <c r="Q65" s="2688"/>
      <c r="R65" s="2688"/>
      <c r="S65" s="2688"/>
      <c r="T65" s="2688"/>
      <c r="U65" s="2688"/>
      <c r="V65" s="2688"/>
      <c r="W65" s="2688"/>
      <c r="X65" s="2688"/>
      <c r="Y65" s="2688"/>
      <c r="Z65" s="2688"/>
      <c r="AA65" s="2688"/>
      <c r="AB65" s="2688"/>
      <c r="AC65" s="2688"/>
      <c r="AD65" s="2688"/>
      <c r="AE65" s="2688"/>
      <c r="AF65" s="2688"/>
      <c r="AG65" s="2688"/>
      <c r="AH65" s="2688"/>
      <c r="AI65" s="2688"/>
      <c r="AJ65" s="2688"/>
      <c r="AK65" s="2688"/>
      <c r="AL65" s="2688"/>
      <c r="AM65" s="2688"/>
      <c r="AN65" s="2688"/>
      <c r="AO65" s="2688"/>
      <c r="AP65" s="2688"/>
      <c r="AQ65" s="2688"/>
      <c r="AR65" s="2688"/>
      <c r="AS65" s="2688"/>
      <c r="AT65" s="2688"/>
      <c r="AU65" s="2688"/>
      <c r="AV65" s="2688"/>
      <c r="AW65" s="2688"/>
      <c r="AX65" s="2688"/>
      <c r="AY65" s="2688"/>
      <c r="AZ65" s="2688"/>
      <c r="BA65" s="2688"/>
      <c r="BB65" s="2688"/>
      <c r="BC65" s="2688"/>
      <c r="BD65" s="2688"/>
      <c r="BE65" s="2688"/>
      <c r="BF65" s="2688"/>
      <c r="BG65" s="2688"/>
      <c r="BH65" s="2688"/>
      <c r="BI65" s="2688"/>
      <c r="BJ65" s="2688"/>
      <c r="BK65" s="2688"/>
      <c r="BL65" s="2688"/>
      <c r="BM65" s="2688"/>
      <c r="BN65" s="2688"/>
      <c r="BO65" s="2688"/>
      <c r="BP65" s="2688"/>
      <c r="BQ65" s="2688"/>
      <c r="BR65" s="2688"/>
      <c r="BS65" s="2688"/>
      <c r="BT65" s="2688"/>
      <c r="BU65" s="2688"/>
      <c r="BV65" s="2688"/>
      <c r="BW65" s="2688"/>
      <c r="BX65" s="2688"/>
      <c r="BY65" s="2688"/>
      <c r="BZ65" s="2688"/>
      <c r="CA65" s="2688"/>
      <c r="CB65" s="2688"/>
      <c r="CC65" s="2688"/>
      <c r="CD65" s="2688"/>
      <c r="CE65" s="2688"/>
      <c r="CF65" s="2688"/>
      <c r="CG65" s="2688"/>
      <c r="CH65" s="2688"/>
      <c r="CI65" s="2688"/>
      <c r="CJ65" s="3360">
        <f>CJ63</f>
        <v>1074</v>
      </c>
      <c r="CK65" s="2688"/>
      <c r="CL65" s="2688"/>
      <c r="CM65" s="2688"/>
      <c r="CN65" s="2688"/>
      <c r="CO65" s="2688"/>
      <c r="CP65" s="2688"/>
      <c r="CQ65" s="2688"/>
      <c r="CR65" s="2688"/>
      <c r="CS65" s="2688"/>
      <c r="CT65" s="2688"/>
      <c r="CU65" s="2688"/>
      <c r="CV65" s="2688"/>
      <c r="CW65" s="2688"/>
      <c r="CX65" s="2688"/>
      <c r="CY65" s="2688"/>
      <c r="CZ65" s="2688"/>
      <c r="DA65" s="2688"/>
      <c r="DB65" s="2688"/>
      <c r="DC65" s="2688"/>
      <c r="DD65" s="2688"/>
      <c r="DE65" s="2688"/>
      <c r="DF65" s="2688"/>
      <c r="DG65" s="2688"/>
      <c r="DH65" s="2688"/>
      <c r="DI65" s="2688"/>
      <c r="DJ65" s="2688"/>
      <c r="DK65" s="2688"/>
      <c r="DL65" s="2688"/>
      <c r="DM65" s="3360">
        <f>DM63</f>
        <v>1074</v>
      </c>
      <c r="DN65" s="2688"/>
      <c r="DO65" s="2688"/>
      <c r="DP65" s="2688"/>
      <c r="DQ65" s="2688"/>
      <c r="DR65" s="2688"/>
      <c r="DS65" s="2688"/>
      <c r="DT65" s="2688"/>
      <c r="DU65" s="2688"/>
      <c r="DV65" s="2688"/>
      <c r="DW65" s="2688"/>
      <c r="DX65" s="2688"/>
      <c r="DY65" s="2688"/>
      <c r="DZ65" s="2688"/>
      <c r="EA65" s="2688"/>
      <c r="EB65" s="2688"/>
      <c r="EC65" s="2688"/>
      <c r="ED65" s="2688"/>
      <c r="EE65" s="2688"/>
      <c r="EF65" s="2688"/>
      <c r="EG65" s="2688"/>
      <c r="EH65" s="2688"/>
      <c r="EI65" s="2688"/>
      <c r="EJ65" s="2688"/>
      <c r="EK65" s="2688"/>
      <c r="EL65" s="2688"/>
      <c r="EM65" s="2688"/>
      <c r="EN65" s="2688"/>
      <c r="EO65" s="3360">
        <f>EO63</f>
        <v>1074</v>
      </c>
      <c r="EP65" s="2688"/>
      <c r="EQ65" s="2688"/>
      <c r="ER65" s="2688"/>
      <c r="ES65" s="2688"/>
      <c r="ET65" s="2688"/>
      <c r="EU65" s="2688"/>
      <c r="EV65" s="2688"/>
      <c r="EW65" s="2688"/>
      <c r="EX65" s="3360">
        <f>EX63</f>
        <v>3620</v>
      </c>
      <c r="EY65" s="2688"/>
      <c r="EZ65" s="2688"/>
      <c r="FA65" s="2688"/>
      <c r="FB65" s="2688"/>
      <c r="FC65" s="2688"/>
      <c r="FD65" s="2688"/>
      <c r="FE65" s="2688"/>
      <c r="FF65" s="2688"/>
      <c r="FG65" s="2688"/>
      <c r="FH65" s="2688"/>
      <c r="FI65" s="2688"/>
      <c r="FJ65" s="2688"/>
      <c r="FK65" s="2688"/>
      <c r="FL65" s="2688"/>
      <c r="FM65" s="2688"/>
      <c r="FN65" s="2688"/>
      <c r="FO65" s="2688"/>
      <c r="FP65" s="2688"/>
      <c r="FQ65" s="2688"/>
      <c r="FR65" s="2688"/>
      <c r="FS65" s="2688"/>
      <c r="FT65" s="2688"/>
      <c r="FU65" s="2688"/>
      <c r="FV65" s="2688"/>
      <c r="FW65" s="2688"/>
      <c r="FX65" s="2688"/>
      <c r="FY65" s="2688"/>
      <c r="FZ65" s="2688"/>
      <c r="GA65" s="2688"/>
      <c r="GB65" s="2688"/>
      <c r="GC65" s="2688"/>
      <c r="GD65" s="2688"/>
      <c r="GE65" s="2688"/>
      <c r="GF65" s="2688"/>
      <c r="GG65" s="2688"/>
      <c r="GH65" s="2688"/>
      <c r="GI65" s="2688"/>
      <c r="GJ65" s="2688"/>
      <c r="GK65" s="2688"/>
      <c r="GL65" s="2688"/>
      <c r="GM65" s="2688"/>
      <c r="GN65" s="2688"/>
      <c r="GO65" s="2688"/>
      <c r="GP65" s="2688"/>
      <c r="GQ65" s="2688"/>
      <c r="GR65" s="2688"/>
      <c r="GS65" s="2688"/>
      <c r="GT65" s="2688"/>
      <c r="GU65" s="2688"/>
      <c r="GV65" s="2688"/>
      <c r="GW65" s="2688"/>
      <c r="GX65" s="2688"/>
      <c r="GY65" s="2688"/>
      <c r="GZ65" s="2688"/>
      <c r="HA65" s="2688"/>
      <c r="HB65" s="2688"/>
      <c r="HC65" s="2688"/>
      <c r="HD65" s="2688"/>
      <c r="HE65" s="2688"/>
      <c r="HF65" s="2688"/>
      <c r="HG65" s="2688"/>
      <c r="HH65" s="2688"/>
      <c r="HI65" s="2688"/>
      <c r="HJ65" s="2688"/>
      <c r="HK65" s="2688"/>
      <c r="HL65" s="2688"/>
      <c r="HM65" s="2688"/>
      <c r="HN65" s="2688"/>
      <c r="HO65" s="2688"/>
      <c r="HP65" s="3360">
        <f>HP63</f>
        <v>3620</v>
      </c>
      <c r="HQ65" s="2688"/>
      <c r="HR65" s="3360">
        <f>HR63</f>
        <v>3620</v>
      </c>
      <c r="HS65" s="2688"/>
      <c r="HT65" s="2688"/>
      <c r="HU65" s="2688"/>
      <c r="HV65" s="2688"/>
      <c r="HW65" s="2688"/>
      <c r="HX65" s="2688"/>
      <c r="HY65" s="2688"/>
      <c r="HZ65" s="2688"/>
      <c r="IA65" s="2688"/>
      <c r="IB65" s="2688"/>
      <c r="IC65" s="2688"/>
      <c r="ID65" s="2688"/>
      <c r="IE65" s="2688"/>
      <c r="IF65" s="2688"/>
      <c r="IG65" s="2688"/>
      <c r="IH65" s="2688"/>
      <c r="II65" s="2688"/>
      <c r="IJ65" s="2688"/>
      <c r="IK65" s="2688"/>
      <c r="IL65" s="2688"/>
      <c r="IM65" s="2688"/>
      <c r="IN65" s="2688"/>
      <c r="IO65" s="2688"/>
      <c r="IP65" s="3560"/>
      <c r="IQ65" s="3560"/>
      <c r="IR65" s="3560"/>
      <c r="IS65" s="3560"/>
      <c r="IT65" s="3560"/>
      <c r="IU65" s="3560"/>
      <c r="IV65" s="3560"/>
      <c r="IW65" s="3560"/>
      <c r="IX65" s="3560"/>
      <c r="IY65" s="3560"/>
      <c r="IZ65" s="3560"/>
      <c r="JA65" s="3560"/>
      <c r="JB65" s="3560"/>
      <c r="JC65" s="3560"/>
      <c r="JD65" s="3560"/>
      <c r="JE65" s="3560"/>
      <c r="JF65" s="3560"/>
      <c r="JG65" s="4088"/>
      <c r="JH65" s="1233"/>
    </row>
    <row r="66" spans="1:268" x14ac:dyDescent="0.2">
      <c r="A66" s="1128">
        <v>66</v>
      </c>
      <c r="B66" s="1534" t="str">
        <f ref="B66:B76" si="1" t="shared">IF(FOR_IND&gt;1,IF(HLOOKUP(FOR_IND-1,FOR_RANGE,A66)="","",HLOOKUP(FOR_IND-1,FOR_RANGE,A66)),"")</f>
        <v/>
      </c>
      <c r="C66" s="1278" t="s">
        <v>153</v>
      </c>
      <c r="D66" s="1386" t="s">
        <v>5321</v>
      </c>
      <c r="E66" s="3359"/>
      <c r="F66" s="3359"/>
      <c r="G66" s="3359"/>
      <c r="H66" s="3359"/>
      <c r="I66" s="3359"/>
      <c r="J66" s="3359"/>
      <c r="K66" s="3359"/>
      <c r="L66" s="3359"/>
      <c r="M66" s="3359"/>
      <c r="N66" s="3359"/>
      <c r="O66" s="3359"/>
      <c r="P66" s="3359"/>
      <c r="Q66" s="3359"/>
      <c r="R66" s="3359"/>
      <c r="S66" s="3359"/>
      <c r="T66" s="3359"/>
      <c r="U66" s="3359"/>
      <c r="V66" s="3359"/>
      <c r="W66" s="3359"/>
      <c r="X66" s="3359"/>
      <c r="Y66" s="3359"/>
      <c r="Z66" s="3359"/>
      <c r="AA66" s="3359"/>
      <c r="AB66" s="3359"/>
      <c r="AC66" s="3359"/>
      <c r="AD66" s="3359"/>
      <c r="AE66" s="3359"/>
      <c r="AF66" s="3359"/>
      <c r="AG66" s="3359"/>
      <c r="AH66" s="3359"/>
      <c r="AI66" s="3359"/>
      <c r="AJ66" s="3359"/>
      <c r="AK66" s="3359"/>
      <c r="AL66" s="3359"/>
      <c r="AM66" s="3359"/>
      <c r="AN66" s="3359"/>
      <c r="AO66" s="3359"/>
      <c r="AP66" s="3359"/>
      <c r="AQ66" s="3359"/>
      <c r="AR66" s="3359"/>
      <c r="AS66" s="3359"/>
      <c r="AT66" s="3359"/>
      <c r="AU66" s="3359"/>
      <c r="AV66" s="3359"/>
      <c r="AW66" s="3359"/>
      <c r="AX66" s="3359"/>
      <c r="AY66" s="3359"/>
      <c r="AZ66" s="3359"/>
      <c r="BA66" s="3359"/>
      <c r="BB66" s="3359"/>
      <c r="BC66" s="3359"/>
      <c r="BD66" s="3359"/>
      <c r="BE66" s="3359"/>
      <c r="BF66" s="3359"/>
      <c r="BG66" s="3359"/>
      <c r="BH66" s="3359"/>
      <c r="BI66" s="3359"/>
      <c r="BJ66" s="3359"/>
      <c r="BK66" s="3359"/>
      <c r="BL66" s="3359"/>
      <c r="BM66" s="3359"/>
      <c r="BN66" s="3359"/>
      <c r="BO66" s="3359"/>
      <c r="BP66" s="3359"/>
      <c r="BQ66" s="3359"/>
      <c r="BR66" s="3359"/>
      <c r="BS66" s="3359"/>
      <c r="BT66" s="3359"/>
      <c r="BU66" s="3359"/>
      <c r="BV66" s="3359"/>
      <c r="BW66" s="3359"/>
      <c r="BX66" s="3359"/>
      <c r="BY66" s="3359"/>
      <c r="BZ66" s="3359"/>
      <c r="CA66" s="3359"/>
      <c r="CB66" s="3359"/>
      <c r="CC66" s="3359"/>
      <c r="CD66" s="3359"/>
      <c r="CE66" s="3359"/>
      <c r="CF66" s="3359"/>
      <c r="CG66" s="3359"/>
      <c r="CH66" s="3359"/>
      <c r="CI66" s="3359"/>
      <c r="CJ66" s="3359" t="s">
        <v>2789</v>
      </c>
      <c r="CK66" s="3359"/>
      <c r="CL66" s="3359"/>
      <c r="CM66" s="3359"/>
      <c r="CN66" s="3359"/>
      <c r="CO66" s="3359"/>
      <c r="CP66" s="3359"/>
      <c r="CQ66" s="3359"/>
      <c r="CR66" s="3359"/>
      <c r="CS66" s="3359"/>
      <c r="CT66" s="3359"/>
      <c r="CU66" s="3359"/>
      <c r="CV66" s="3359"/>
      <c r="CW66" s="3359"/>
      <c r="CX66" s="3359"/>
      <c r="CY66" s="3359"/>
      <c r="CZ66" s="3359"/>
      <c r="DA66" s="3359"/>
      <c r="DB66" s="3359"/>
      <c r="DC66" s="3359"/>
      <c r="DD66" s="3359"/>
      <c r="DE66" s="3359"/>
      <c r="DF66" s="3359"/>
      <c r="DG66" s="3359"/>
      <c r="DH66" s="3359"/>
      <c r="DI66" s="3359"/>
      <c r="DJ66" s="3359"/>
      <c r="DK66" s="3359"/>
      <c r="DL66" s="3359"/>
      <c r="DM66" s="3359" t="s">
        <v>2789</v>
      </c>
      <c r="DN66" s="3359"/>
      <c r="DO66" s="3359"/>
      <c r="DP66" s="3359"/>
      <c r="DQ66" s="3359"/>
      <c r="DR66" s="3359"/>
      <c r="DS66" s="3359"/>
      <c r="DT66" s="3359"/>
      <c r="DU66" s="3359"/>
      <c r="DV66" s="3359"/>
      <c r="DW66" s="3359"/>
      <c r="DX66" s="3359"/>
      <c r="DY66" s="3359"/>
      <c r="DZ66" s="3359"/>
      <c r="EA66" s="3359"/>
      <c r="EB66" s="3359"/>
      <c r="EC66" s="3359"/>
      <c r="ED66" s="3359"/>
      <c r="EE66" s="3359"/>
      <c r="EF66" s="3359"/>
      <c r="EG66" s="3359"/>
      <c r="EH66" s="3359"/>
      <c r="EI66" s="3359"/>
      <c r="EJ66" s="3359"/>
      <c r="EK66" s="3359"/>
      <c r="EL66" s="3359"/>
      <c r="EM66" s="3359"/>
      <c r="EN66" s="3359"/>
      <c r="EO66" s="3359" t="s">
        <v>2789</v>
      </c>
      <c r="EP66" s="3359"/>
      <c r="EQ66" s="3359"/>
      <c r="ER66" s="3359"/>
      <c r="ES66" s="3359"/>
      <c r="ET66" s="3359"/>
      <c r="EU66" s="3359"/>
      <c r="EV66" s="3359"/>
      <c r="EW66" s="3359"/>
      <c r="EX66" s="3359"/>
      <c r="EY66" s="3359"/>
      <c r="EZ66" s="3359"/>
      <c r="FA66" s="3359"/>
      <c r="FB66" s="3359"/>
      <c r="FC66" s="3359"/>
      <c r="FD66" s="3359"/>
      <c r="FE66" s="3359"/>
      <c r="FF66" s="3359"/>
      <c r="FG66" s="3359"/>
      <c r="FH66" s="3359"/>
      <c r="FI66" s="3359"/>
      <c r="FJ66" s="3359"/>
      <c r="FK66" s="3359"/>
      <c r="FL66" s="3359"/>
      <c r="FM66" s="3359"/>
      <c r="FN66" s="3359"/>
      <c r="FO66" s="3359"/>
      <c r="FP66" s="3359"/>
      <c r="FQ66" s="3359"/>
      <c r="FR66" s="3359"/>
      <c r="FS66" s="3359"/>
      <c r="FT66" s="3359"/>
      <c r="FU66" s="3359"/>
      <c r="FV66" s="3359"/>
      <c r="FW66" s="3359"/>
      <c r="FX66" s="3359"/>
      <c r="FY66" s="3359"/>
      <c r="FZ66" s="3359"/>
      <c r="GA66" s="3359"/>
      <c r="GB66" s="3359"/>
      <c r="GC66" s="3359"/>
      <c r="GD66" s="3359"/>
      <c r="GE66" s="3359"/>
      <c r="GF66" s="3359"/>
      <c r="GG66" s="3359"/>
      <c r="GH66" s="3359"/>
      <c r="GI66" s="3359"/>
      <c r="GJ66" s="3359"/>
      <c r="GK66" s="3359"/>
      <c r="GL66" s="3359"/>
      <c r="GM66" s="3359"/>
      <c r="GN66" s="3359"/>
      <c r="GO66" s="3359"/>
      <c r="GP66" s="3359"/>
      <c r="GQ66" s="3359"/>
      <c r="GR66" s="3359"/>
      <c r="GS66" s="3359"/>
      <c r="GT66" s="3359"/>
      <c r="GU66" s="3359"/>
      <c r="GV66" s="3359"/>
      <c r="GW66" s="3359"/>
      <c r="GX66" s="3359"/>
      <c r="GY66" s="3359"/>
      <c r="GZ66" s="3359"/>
      <c r="HA66" s="3359"/>
      <c r="HB66" s="3359"/>
      <c r="HC66" s="3359"/>
      <c r="HD66" s="3359"/>
      <c r="HE66" s="3359"/>
      <c r="HF66" s="3359"/>
      <c r="HG66" s="3359"/>
      <c r="HH66" s="3359"/>
      <c r="HI66" s="3359"/>
      <c r="HJ66" s="3359"/>
      <c r="HK66" s="3359"/>
      <c r="HL66" s="3359"/>
      <c r="HM66" s="3359"/>
      <c r="HN66" s="3359"/>
      <c r="HO66" s="3359"/>
      <c r="HP66" s="3359"/>
      <c r="HQ66" s="3359"/>
      <c r="HR66" s="3359"/>
      <c r="HS66" s="3359"/>
      <c r="HT66" s="3359"/>
      <c r="HU66" s="3359"/>
      <c r="HV66" s="3359"/>
      <c r="HW66" s="3359"/>
      <c r="HX66" s="3359"/>
      <c r="HY66" s="3359"/>
      <c r="HZ66" s="3359"/>
      <c r="IA66" s="3359"/>
      <c r="IB66" s="3359"/>
      <c r="IC66" s="3359"/>
      <c r="ID66" s="3359"/>
      <c r="IE66" s="3359"/>
      <c r="IF66" s="3359"/>
      <c r="IG66" s="3359"/>
      <c r="IH66" s="3359"/>
      <c r="II66" s="3359"/>
      <c r="IJ66" s="3359"/>
      <c r="IK66" s="3359"/>
      <c r="IL66" s="3359"/>
      <c r="IM66" s="3359"/>
      <c r="IN66" s="3359"/>
      <c r="IO66" s="3359"/>
      <c r="IP66" s="3562"/>
      <c r="IQ66" s="3562"/>
      <c r="IR66" s="3562"/>
      <c r="IS66" s="3562"/>
      <c r="IT66" s="3562"/>
      <c r="IU66" s="3562"/>
      <c r="IV66" s="3562"/>
      <c r="IW66" s="3562"/>
      <c r="IX66" s="3562"/>
      <c r="IY66" s="3562"/>
      <c r="IZ66" s="3562"/>
      <c r="JA66" s="3562"/>
      <c r="JB66" s="3562"/>
      <c r="JC66" s="3562"/>
      <c r="JD66" s="3562"/>
      <c r="JE66" s="3562"/>
      <c r="JF66" s="3562"/>
      <c r="JG66" s="3777"/>
      <c r="JH66" s="1233"/>
    </row>
    <row r="67" spans="1:268" x14ac:dyDescent="0.2">
      <c r="A67" s="1128">
        <v>67</v>
      </c>
      <c r="B67" s="1534" t="str">
        <f si="1" t="shared"/>
        <v/>
      </c>
      <c r="C67" s="1278" t="s">
        <v>154</v>
      </c>
      <c r="D67" s="1386" t="s">
        <v>5322</v>
      </c>
      <c r="E67" s="2688"/>
      <c r="F67" s="2688"/>
      <c r="G67" s="2688"/>
      <c r="H67" s="2688"/>
      <c r="I67" s="2688"/>
      <c r="J67" s="2688"/>
      <c r="K67" s="2688"/>
      <c r="L67" s="2688"/>
      <c r="M67" s="2688"/>
      <c r="N67" s="2688"/>
      <c r="O67" s="2688"/>
      <c r="P67" s="2688"/>
      <c r="Q67" s="2688"/>
      <c r="R67" s="2688"/>
      <c r="S67" s="2688"/>
      <c r="T67" s="2688"/>
      <c r="U67" s="2688"/>
      <c r="V67" s="2688"/>
      <c r="W67" s="2688"/>
      <c r="X67" s="2688"/>
      <c r="Y67" s="2688"/>
      <c r="Z67" s="2688"/>
      <c r="AA67" s="2688"/>
      <c r="AB67" s="2688"/>
      <c r="AC67" s="2688"/>
      <c r="AD67" s="2688"/>
      <c r="AE67" s="2688"/>
      <c r="AF67" s="2688"/>
      <c r="AG67" s="2688"/>
      <c r="AH67" s="2688"/>
      <c r="AI67" s="2688"/>
      <c r="AJ67" s="2688"/>
      <c r="AK67" s="2688"/>
      <c r="AL67" s="2688"/>
      <c r="AM67" s="2688"/>
      <c r="AN67" s="2688"/>
      <c r="AO67" s="2688"/>
      <c r="AP67" s="2688"/>
      <c r="AQ67" s="2688"/>
      <c r="AR67" s="2688"/>
      <c r="AS67" s="2688"/>
      <c r="AT67" s="2688"/>
      <c r="AU67" s="2688"/>
      <c r="AV67" s="2688"/>
      <c r="AW67" s="2688"/>
      <c r="AX67" s="2688"/>
      <c r="AY67" s="2688"/>
      <c r="AZ67" s="2688"/>
      <c r="BA67" s="2688"/>
      <c r="BB67" s="2688"/>
      <c r="BC67" s="2688"/>
      <c r="BD67" s="2688"/>
      <c r="BE67" s="2688"/>
      <c r="BF67" s="2688"/>
      <c r="BG67" s="2688"/>
      <c r="BH67" s="2688"/>
      <c r="BI67" s="2688"/>
      <c r="BJ67" s="2688"/>
      <c r="BK67" s="2688"/>
      <c r="BL67" s="2688"/>
      <c r="BM67" s="2688"/>
      <c r="BN67" s="2688"/>
      <c r="BO67" s="2688"/>
      <c r="BP67" s="2688"/>
      <c r="BQ67" s="2688"/>
      <c r="BR67" s="2688"/>
      <c r="BS67" s="2688"/>
      <c r="BT67" s="2688"/>
      <c r="BU67" s="2688"/>
      <c r="BV67" s="2688"/>
      <c r="BW67" s="2688"/>
      <c r="BX67" s="2688"/>
      <c r="BY67" s="2688"/>
      <c r="BZ67" s="2688"/>
      <c r="CA67" s="2688"/>
      <c r="CB67" s="2688"/>
      <c r="CC67" s="2688"/>
      <c r="CD67" s="2688"/>
      <c r="CE67" s="2688"/>
      <c r="CF67" s="2688"/>
      <c r="CG67" s="2688"/>
      <c r="CH67" s="2688"/>
      <c r="CI67" s="2688"/>
      <c r="CJ67" s="2688">
        <v>6921</v>
      </c>
      <c r="CK67" s="2688"/>
      <c r="CL67" s="2688"/>
      <c r="CM67" s="2688"/>
      <c r="CN67" s="2688"/>
      <c r="CO67" s="2688"/>
      <c r="CP67" s="2688"/>
      <c r="CQ67" s="2688"/>
      <c r="CR67" s="2688"/>
      <c r="CS67" s="2688"/>
      <c r="CT67" s="2688"/>
      <c r="CU67" s="2688"/>
      <c r="CV67" s="2688"/>
      <c r="CW67" s="2688"/>
      <c r="CX67" s="2688"/>
      <c r="CY67" s="2688"/>
      <c r="CZ67" s="2688"/>
      <c r="DA67" s="2688"/>
      <c r="DB67" s="2688"/>
      <c r="DC67" s="2688"/>
      <c r="DD67" s="2688"/>
      <c r="DE67" s="2688"/>
      <c r="DF67" s="2688"/>
      <c r="DG67" s="2688"/>
      <c r="DH67" s="2688"/>
      <c r="DI67" s="2688"/>
      <c r="DJ67" s="2688"/>
      <c r="DK67" s="2688"/>
      <c r="DL67" s="2688"/>
      <c r="DM67" s="2688">
        <v>6921</v>
      </c>
      <c r="DN67" s="2688"/>
      <c r="DO67" s="2688"/>
      <c r="DP67" s="2688"/>
      <c r="DQ67" s="2688"/>
      <c r="DR67" s="2688"/>
      <c r="DS67" s="2688"/>
      <c r="DT67" s="2688"/>
      <c r="DU67" s="2688"/>
      <c r="DV67" s="2688"/>
      <c r="DW67" s="2688"/>
      <c r="DX67" s="2688"/>
      <c r="DY67" s="2688"/>
      <c r="DZ67" s="2688"/>
      <c r="EA67" s="2688"/>
      <c r="EB67" s="2688"/>
      <c r="EC67" s="2688"/>
      <c r="ED67" s="2688"/>
      <c r="EE67" s="2688"/>
      <c r="EF67" s="2688"/>
      <c r="EG67" s="2688"/>
      <c r="EH67" s="2688"/>
      <c r="EI67" s="2688"/>
      <c r="EJ67" s="2688"/>
      <c r="EK67" s="2688"/>
      <c r="EL67" s="2688"/>
      <c r="EM67" s="2688"/>
      <c r="EN67" s="2688"/>
      <c r="EO67" s="2688">
        <v>6921</v>
      </c>
      <c r="EP67" s="2688"/>
      <c r="EQ67" s="2688"/>
      <c r="ER67" s="2688"/>
      <c r="ES67" s="2688"/>
      <c r="ET67" s="2688"/>
      <c r="EU67" s="2688"/>
      <c r="EV67" s="2688"/>
      <c r="EW67" s="2688"/>
      <c r="EX67" s="2688"/>
      <c r="EY67" s="2688"/>
      <c r="EZ67" s="2688"/>
      <c r="FA67" s="2688"/>
      <c r="FB67" s="2688"/>
      <c r="FC67" s="2688"/>
      <c r="FD67" s="2688"/>
      <c r="FE67" s="2688"/>
      <c r="FF67" s="2688"/>
      <c r="FG67" s="2688"/>
      <c r="FH67" s="2688"/>
      <c r="FI67" s="2688"/>
      <c r="FJ67" s="2688"/>
      <c r="FK67" s="2688"/>
      <c r="FL67" s="2688"/>
      <c r="FM67" s="2688"/>
      <c r="FN67" s="2688"/>
      <c r="FO67" s="2688"/>
      <c r="FP67" s="2688"/>
      <c r="FQ67" s="2688"/>
      <c r="FR67" s="2688"/>
      <c r="FS67" s="2688"/>
      <c r="FT67" s="2688"/>
      <c r="FU67" s="2688"/>
      <c r="FV67" s="2688"/>
      <c r="FW67" s="2688"/>
      <c r="FX67" s="2688"/>
      <c r="FY67" s="2688"/>
      <c r="FZ67" s="2688"/>
      <c r="GA67" s="2688"/>
      <c r="GB67" s="2688"/>
      <c r="GC67" s="2688"/>
      <c r="GD67" s="2688"/>
      <c r="GE67" s="2688"/>
      <c r="GF67" s="2688"/>
      <c r="GG67" s="2688"/>
      <c r="GH67" s="2688"/>
      <c r="GI67" s="2688"/>
      <c r="GJ67" s="2688"/>
      <c r="GK67" s="2688"/>
      <c r="GL67" s="2688"/>
      <c r="GM67" s="2688"/>
      <c r="GN67" s="2688"/>
      <c r="GO67" s="2688"/>
      <c r="GP67" s="2688"/>
      <c r="GQ67" s="2688"/>
      <c r="GR67" s="2688"/>
      <c r="GS67" s="2688"/>
      <c r="GT67" s="2688"/>
      <c r="GU67" s="2688"/>
      <c r="GV67" s="2688"/>
      <c r="GW67" s="2688"/>
      <c r="GX67" s="2688"/>
      <c r="GY67" s="2688"/>
      <c r="GZ67" s="2688"/>
      <c r="HA67" s="2688"/>
      <c r="HB67" s="2688"/>
      <c r="HC67" s="2688"/>
      <c r="HD67" s="2688"/>
      <c r="HE67" s="2688"/>
      <c r="HF67" s="2688"/>
      <c r="HG67" s="2688"/>
      <c r="HH67" s="2688"/>
      <c r="HI67" s="2688"/>
      <c r="HJ67" s="2688"/>
      <c r="HK67" s="2688"/>
      <c r="HL67" s="2688"/>
      <c r="HM67" s="2688"/>
      <c r="HN67" s="2688"/>
      <c r="HO67" s="2688"/>
      <c r="HP67" s="2688"/>
      <c r="HQ67" s="2688"/>
      <c r="HR67" s="2688"/>
      <c r="HS67" s="2688"/>
      <c r="HT67" s="2688"/>
      <c r="HU67" s="2688"/>
      <c r="HV67" s="2688"/>
      <c r="HW67" s="2688"/>
      <c r="HX67" s="2688"/>
      <c r="HY67" s="2688"/>
      <c r="HZ67" s="2688"/>
      <c r="IA67" s="2688"/>
      <c r="IB67" s="2688"/>
      <c r="IC67" s="2688"/>
      <c r="ID67" s="2688"/>
      <c r="IE67" s="2688"/>
      <c r="IF67" s="2688"/>
      <c r="IG67" s="2688"/>
      <c r="IH67" s="2688"/>
      <c r="II67" s="2688"/>
      <c r="IJ67" s="2688"/>
      <c r="IK67" s="2688"/>
      <c r="IL67" s="2688"/>
      <c r="IM67" s="2688"/>
      <c r="IN67" s="2688"/>
      <c r="IO67" s="2688"/>
      <c r="IP67" s="3562"/>
      <c r="IQ67" s="3562"/>
      <c r="IR67" s="3562"/>
      <c r="IS67" s="3562"/>
      <c r="IT67" s="3562"/>
      <c r="IU67" s="3562"/>
      <c r="IV67" s="3562"/>
      <c r="IW67" s="3562"/>
      <c r="IX67" s="3562"/>
      <c r="IY67" s="3562"/>
      <c r="IZ67" s="3562"/>
      <c r="JA67" s="3562"/>
      <c r="JB67" s="3562"/>
      <c r="JC67" s="3562"/>
      <c r="JD67" s="3562"/>
      <c r="JE67" s="3562"/>
      <c r="JF67" s="3562"/>
      <c r="JG67" s="3777"/>
      <c r="JH67" s="1233"/>
    </row>
    <row r="68" spans="1:268" x14ac:dyDescent="0.2">
      <c r="A68" s="1128">
        <v>68</v>
      </c>
      <c r="B68" s="1534" t="str">
        <f si="1" t="shared"/>
        <v/>
      </c>
      <c r="C68" s="1278" t="s">
        <v>155</v>
      </c>
      <c r="D68" s="1386" t="s">
        <v>5323</v>
      </c>
      <c r="E68" s="2688"/>
      <c r="F68" s="2688"/>
      <c r="G68" s="2688"/>
      <c r="H68" s="2688"/>
      <c r="I68" s="2688"/>
      <c r="J68" s="2688"/>
      <c r="K68" s="2688"/>
      <c r="L68" s="2688"/>
      <c r="M68" s="2688"/>
      <c r="N68" s="2688"/>
      <c r="O68" s="2688"/>
      <c r="P68" s="2688"/>
      <c r="Q68" s="2688"/>
      <c r="R68" s="2688"/>
      <c r="S68" s="2688"/>
      <c r="T68" s="2688"/>
      <c r="U68" s="2688"/>
      <c r="V68" s="2688"/>
      <c r="W68" s="2688"/>
      <c r="X68" s="2688"/>
      <c r="Y68" s="2688"/>
      <c r="Z68" s="2688"/>
      <c r="AA68" s="2688"/>
      <c r="AB68" s="2688"/>
      <c r="AC68" s="2688"/>
      <c r="AD68" s="2688"/>
      <c r="AE68" s="2688"/>
      <c r="AF68" s="2688"/>
      <c r="AG68" s="2688"/>
      <c r="AH68" s="2688"/>
      <c r="AI68" s="2688"/>
      <c r="AJ68" s="2688"/>
      <c r="AK68" s="2688"/>
      <c r="AL68" s="2688"/>
      <c r="AM68" s="2688"/>
      <c r="AN68" s="2688"/>
      <c r="AO68" s="2688"/>
      <c r="AP68" s="2688"/>
      <c r="AQ68" s="2688"/>
      <c r="AR68" s="2688"/>
      <c r="AS68" s="2688"/>
      <c r="AT68" s="2688"/>
      <c r="AU68" s="2688"/>
      <c r="AV68" s="2688"/>
      <c r="AW68" s="2688"/>
      <c r="AX68" s="2688"/>
      <c r="AY68" s="2688"/>
      <c r="AZ68" s="2688"/>
      <c r="BA68" s="2688"/>
      <c r="BB68" s="2688"/>
      <c r="BC68" s="2688"/>
      <c r="BD68" s="2688"/>
      <c r="BE68" s="2688"/>
      <c r="BF68" s="2688"/>
      <c r="BG68" s="2688"/>
      <c r="BH68" s="2688"/>
      <c r="BI68" s="2688"/>
      <c r="BJ68" s="2688"/>
      <c r="BK68" s="2688"/>
      <c r="BL68" s="2688"/>
      <c r="BM68" s="2688"/>
      <c r="BN68" s="2688"/>
      <c r="BO68" s="2688"/>
      <c r="BP68" s="2688"/>
      <c r="BQ68" s="2688"/>
      <c r="BR68" s="2688"/>
      <c r="BS68" s="2688"/>
      <c r="BT68" s="2688"/>
      <c r="BU68" s="2688"/>
      <c r="BV68" s="2688"/>
      <c r="BW68" s="2688"/>
      <c r="BX68" s="2688"/>
      <c r="BY68" s="2688"/>
      <c r="BZ68" s="2688"/>
      <c r="CA68" s="2688"/>
      <c r="CB68" s="2688"/>
      <c r="CC68" s="2688"/>
      <c r="CD68" s="2688"/>
      <c r="CE68" s="2688"/>
      <c r="CF68" s="2688"/>
      <c r="CG68" s="2688"/>
      <c r="CH68" s="2688"/>
      <c r="CI68" s="2688"/>
      <c r="CJ68" s="2688">
        <v>2076</v>
      </c>
      <c r="CK68" s="2688"/>
      <c r="CL68" s="2688"/>
      <c r="CM68" s="2688"/>
      <c r="CN68" s="2688"/>
      <c r="CO68" s="2688"/>
      <c r="CP68" s="2688"/>
      <c r="CQ68" s="2688"/>
      <c r="CR68" s="2688"/>
      <c r="CS68" s="2688"/>
      <c r="CT68" s="2688"/>
      <c r="CU68" s="2688"/>
      <c r="CV68" s="2688"/>
      <c r="CW68" s="2688"/>
      <c r="CX68" s="2688"/>
      <c r="CY68" s="2688"/>
      <c r="CZ68" s="2688"/>
      <c r="DA68" s="2688"/>
      <c r="DB68" s="2688"/>
      <c r="DC68" s="2688"/>
      <c r="DD68" s="2688"/>
      <c r="DE68" s="2688"/>
      <c r="DF68" s="2688"/>
      <c r="DG68" s="2688"/>
      <c r="DH68" s="2688"/>
      <c r="DI68" s="2688"/>
      <c r="DJ68" s="2688"/>
      <c r="DK68" s="2688"/>
      <c r="DL68" s="2688"/>
      <c r="DM68" s="2688">
        <v>2076</v>
      </c>
      <c r="DN68" s="2688"/>
      <c r="DO68" s="2688"/>
      <c r="DP68" s="2688"/>
      <c r="DQ68" s="2688"/>
      <c r="DR68" s="2688"/>
      <c r="DS68" s="2688"/>
      <c r="DT68" s="2688"/>
      <c r="DU68" s="2688"/>
      <c r="DV68" s="2688"/>
      <c r="DW68" s="2688"/>
      <c r="DX68" s="2688"/>
      <c r="DY68" s="2688"/>
      <c r="DZ68" s="2688"/>
      <c r="EA68" s="2688"/>
      <c r="EB68" s="2688"/>
      <c r="EC68" s="2688"/>
      <c r="ED68" s="2688"/>
      <c r="EE68" s="2688"/>
      <c r="EF68" s="2688"/>
      <c r="EG68" s="2688"/>
      <c r="EH68" s="2688"/>
      <c r="EI68" s="2688"/>
      <c r="EJ68" s="2688"/>
      <c r="EK68" s="2688"/>
      <c r="EL68" s="2688"/>
      <c r="EM68" s="2688"/>
      <c r="EN68" s="2688"/>
      <c r="EO68" s="2688">
        <v>2076</v>
      </c>
      <c r="EP68" s="2688"/>
      <c r="EQ68" s="2688"/>
      <c r="ER68" s="2688"/>
      <c r="ES68" s="2688"/>
      <c r="ET68" s="2688"/>
      <c r="EU68" s="2688"/>
      <c r="EV68" s="2688"/>
      <c r="EW68" s="2688"/>
      <c r="EX68" s="2688"/>
      <c r="EY68" s="2688"/>
      <c r="EZ68" s="2688"/>
      <c r="FA68" s="2688"/>
      <c r="FB68" s="2688"/>
      <c r="FC68" s="2688"/>
      <c r="FD68" s="2688"/>
      <c r="FE68" s="2688"/>
      <c r="FF68" s="2688"/>
      <c r="FG68" s="2688"/>
      <c r="FH68" s="2688"/>
      <c r="FI68" s="2688"/>
      <c r="FJ68" s="2688"/>
      <c r="FK68" s="2688"/>
      <c r="FL68" s="2688"/>
      <c r="FM68" s="2688"/>
      <c r="FN68" s="2688"/>
      <c r="FO68" s="2688"/>
      <c r="FP68" s="2688"/>
      <c r="FQ68" s="2688"/>
      <c r="FR68" s="2688"/>
      <c r="FS68" s="2688"/>
      <c r="FT68" s="2688"/>
      <c r="FU68" s="2688"/>
      <c r="FV68" s="2688"/>
      <c r="FW68" s="2688"/>
      <c r="FX68" s="2688"/>
      <c r="FY68" s="2688"/>
      <c r="FZ68" s="2688"/>
      <c r="GA68" s="2688"/>
      <c r="GB68" s="2688"/>
      <c r="GC68" s="2688"/>
      <c r="GD68" s="2688"/>
      <c r="GE68" s="2688"/>
      <c r="GF68" s="2688"/>
      <c r="GG68" s="2688"/>
      <c r="GH68" s="2688"/>
      <c r="GI68" s="2688"/>
      <c r="GJ68" s="2688"/>
      <c r="GK68" s="2688"/>
      <c r="GL68" s="2688"/>
      <c r="GM68" s="2688"/>
      <c r="GN68" s="2688"/>
      <c r="GO68" s="2688"/>
      <c r="GP68" s="2688"/>
      <c r="GQ68" s="2688"/>
      <c r="GR68" s="2688"/>
      <c r="GS68" s="2688"/>
      <c r="GT68" s="2688"/>
      <c r="GU68" s="2688"/>
      <c r="GV68" s="2688"/>
      <c r="GW68" s="2688"/>
      <c r="GX68" s="2688"/>
      <c r="GY68" s="2688"/>
      <c r="GZ68" s="2688"/>
      <c r="HA68" s="2688"/>
      <c r="HB68" s="2688"/>
      <c r="HC68" s="2688"/>
      <c r="HD68" s="2688"/>
      <c r="HE68" s="2688"/>
      <c r="HF68" s="2688"/>
      <c r="HG68" s="2688"/>
      <c r="HH68" s="2688"/>
      <c r="HI68" s="2688"/>
      <c r="HJ68" s="2688"/>
      <c r="HK68" s="2688"/>
      <c r="HL68" s="2688"/>
      <c r="HM68" s="2688"/>
      <c r="HN68" s="2688"/>
      <c r="HO68" s="2688"/>
      <c r="HP68" s="2688"/>
      <c r="HQ68" s="2688"/>
      <c r="HR68" s="2688"/>
      <c r="HS68" s="2688"/>
      <c r="HT68" s="2688"/>
      <c r="HU68" s="2688"/>
      <c r="HV68" s="2688"/>
      <c r="HW68" s="2688"/>
      <c r="HX68" s="2688"/>
      <c r="HY68" s="2688"/>
      <c r="HZ68" s="2688"/>
      <c r="IA68" s="2688"/>
      <c r="IB68" s="2688"/>
      <c r="IC68" s="2688"/>
      <c r="ID68" s="2688"/>
      <c r="IE68" s="2688"/>
      <c r="IF68" s="2688"/>
      <c r="IG68" s="2688"/>
      <c r="IH68" s="2688"/>
      <c r="II68" s="2688"/>
      <c r="IJ68" s="2688"/>
      <c r="IK68" s="2688"/>
      <c r="IL68" s="2688"/>
      <c r="IM68" s="2688"/>
      <c r="IN68" s="2688"/>
      <c r="IO68" s="2688"/>
      <c r="IP68" s="3562"/>
      <c r="IQ68" s="3562"/>
      <c r="IR68" s="3562"/>
      <c r="IS68" s="3562"/>
      <c r="IT68" s="3562"/>
      <c r="IU68" s="3562"/>
      <c r="IV68" s="3562"/>
      <c r="IW68" s="3562"/>
      <c r="IX68" s="3562"/>
      <c r="IY68" s="3562"/>
      <c r="IZ68" s="3562"/>
      <c r="JA68" s="3562"/>
      <c r="JB68" s="3562"/>
      <c r="JC68" s="3562"/>
      <c r="JD68" s="3562"/>
      <c r="JE68" s="3562"/>
      <c r="JF68" s="3562"/>
      <c r="JG68" s="3777"/>
      <c r="JH68" s="1233"/>
    </row>
    <row r="69" spans="1:268" x14ac:dyDescent="0.2">
      <c r="A69" s="1128">
        <v>69</v>
      </c>
      <c r="B69" s="1534" t="str">
        <f si="1" t="shared"/>
        <v/>
      </c>
      <c r="C69" s="1278" t="s">
        <v>156</v>
      </c>
      <c r="D69" s="1386" t="s">
        <v>5324</v>
      </c>
      <c r="E69" s="2688"/>
      <c r="F69" s="2688"/>
      <c r="G69" s="2688"/>
      <c r="H69" s="2688"/>
      <c r="I69" s="2688"/>
      <c r="J69" s="2688"/>
      <c r="K69" s="2688"/>
      <c r="L69" s="2688"/>
      <c r="M69" s="2688"/>
      <c r="N69" s="2688"/>
      <c r="O69" s="2688"/>
      <c r="P69" s="2688"/>
      <c r="Q69" s="2688"/>
      <c r="R69" s="2688"/>
      <c r="S69" s="2688"/>
      <c r="T69" s="2688"/>
      <c r="U69" s="2688"/>
      <c r="V69" s="2688"/>
      <c r="W69" s="2688"/>
      <c r="X69" s="2688"/>
      <c r="Y69" s="2688"/>
      <c r="Z69" s="2688"/>
      <c r="AA69" s="2688"/>
      <c r="AB69" s="2688"/>
      <c r="AC69" s="2688"/>
      <c r="AD69" s="2688"/>
      <c r="AE69" s="2688"/>
      <c r="AF69" s="2688"/>
      <c r="AG69" s="2688"/>
      <c r="AH69" s="2688"/>
      <c r="AI69" s="2688"/>
      <c r="AJ69" s="2688"/>
      <c r="AK69" s="2688"/>
      <c r="AL69" s="2688"/>
      <c r="AM69" s="2688"/>
      <c r="AN69" s="2688"/>
      <c r="AO69" s="2688"/>
      <c r="AP69" s="2688"/>
      <c r="AQ69" s="2688"/>
      <c r="AR69" s="2688"/>
      <c r="AS69" s="2688"/>
      <c r="AT69" s="2688"/>
      <c r="AU69" s="2688"/>
      <c r="AV69" s="2688"/>
      <c r="AW69" s="2688"/>
      <c r="AX69" s="2688"/>
      <c r="AY69" s="2688"/>
      <c r="AZ69" s="2688"/>
      <c r="BA69" s="2688"/>
      <c r="BB69" s="2688"/>
      <c r="BC69" s="2688"/>
      <c r="BD69" s="2688"/>
      <c r="BE69" s="2688"/>
      <c r="BF69" s="2688"/>
      <c r="BG69" s="2688"/>
      <c r="BH69" s="2688"/>
      <c r="BI69" s="2688"/>
      <c r="BJ69" s="2688"/>
      <c r="BK69" s="2688"/>
      <c r="BL69" s="2688"/>
      <c r="BM69" s="2688"/>
      <c r="BN69" s="2688"/>
      <c r="BO69" s="2688"/>
      <c r="BP69" s="2688"/>
      <c r="BQ69" s="2688"/>
      <c r="BR69" s="2688"/>
      <c r="BS69" s="2688"/>
      <c r="BT69" s="2688"/>
      <c r="BU69" s="2688"/>
      <c r="BV69" s="2688"/>
      <c r="BW69" s="2688"/>
      <c r="BX69" s="2688"/>
      <c r="BY69" s="2688"/>
      <c r="BZ69" s="2688"/>
      <c r="CA69" s="2688"/>
      <c r="CB69" s="2688"/>
      <c r="CC69" s="2688"/>
      <c r="CD69" s="2688"/>
      <c r="CE69" s="2688"/>
      <c r="CF69" s="2688"/>
      <c r="CG69" s="2688"/>
      <c r="CH69" s="2688"/>
      <c r="CI69" s="2688"/>
      <c r="CJ69" s="2688"/>
      <c r="CK69" s="2688"/>
      <c r="CL69" s="2688"/>
      <c r="CM69" s="2688"/>
      <c r="CN69" s="2688"/>
      <c r="CO69" s="2688"/>
      <c r="CP69" s="2688"/>
      <c r="CQ69" s="2688"/>
      <c r="CR69" s="2688"/>
      <c r="CS69" s="2688"/>
      <c r="CT69" s="2688"/>
      <c r="CU69" s="2688"/>
      <c r="CV69" s="2688"/>
      <c r="CW69" s="2688"/>
      <c r="CX69" s="2688"/>
      <c r="CY69" s="2688"/>
      <c r="CZ69" s="2688"/>
      <c r="DA69" s="2688"/>
      <c r="DB69" s="2688"/>
      <c r="DC69" s="2688"/>
      <c r="DD69" s="2688"/>
      <c r="DE69" s="2688"/>
      <c r="DF69" s="2688"/>
      <c r="DG69" s="2688"/>
      <c r="DH69" s="2688"/>
      <c r="DI69" s="2688"/>
      <c r="DJ69" s="2688"/>
      <c r="DK69" s="2688"/>
      <c r="DL69" s="2688"/>
      <c r="DM69" s="2688"/>
      <c r="DN69" s="2688"/>
      <c r="DO69" s="2688"/>
      <c r="DP69" s="2688"/>
      <c r="DQ69" s="2688"/>
      <c r="DR69" s="2688"/>
      <c r="DS69" s="2688"/>
      <c r="DT69" s="2688"/>
      <c r="DU69" s="2688"/>
      <c r="DV69" s="2688"/>
      <c r="DW69" s="2688"/>
      <c r="DX69" s="2688"/>
      <c r="DY69" s="2688"/>
      <c r="DZ69" s="2688"/>
      <c r="EA69" s="2688"/>
      <c r="EB69" s="2688"/>
      <c r="EC69" s="2688"/>
      <c r="ED69" s="2688"/>
      <c r="EE69" s="2688"/>
      <c r="EF69" s="2688"/>
      <c r="EG69" s="2688"/>
      <c r="EH69" s="2688"/>
      <c r="EI69" s="2688"/>
      <c r="EJ69" s="2688"/>
      <c r="EK69" s="2688"/>
      <c r="EL69" s="2688"/>
      <c r="EM69" s="2688"/>
      <c r="EN69" s="2688"/>
      <c r="EO69" s="2688"/>
      <c r="EP69" s="2688"/>
      <c r="EQ69" s="2688"/>
      <c r="ER69" s="2688"/>
      <c r="ES69" s="2688"/>
      <c r="ET69" s="2688"/>
      <c r="EU69" s="2688"/>
      <c r="EV69" s="2688"/>
      <c r="EW69" s="2688"/>
      <c r="EX69" s="2688"/>
      <c r="EY69" s="2688"/>
      <c r="EZ69" s="2688"/>
      <c r="FA69" s="2688"/>
      <c r="FB69" s="2688"/>
      <c r="FC69" s="2688"/>
      <c r="FD69" s="2688"/>
      <c r="FE69" s="2688"/>
      <c r="FF69" s="2688"/>
      <c r="FG69" s="2688"/>
      <c r="FH69" s="2688"/>
      <c r="FI69" s="2688"/>
      <c r="FJ69" s="2688"/>
      <c r="FK69" s="2688"/>
      <c r="FL69" s="2688"/>
      <c r="FM69" s="2688"/>
      <c r="FN69" s="2688"/>
      <c r="FO69" s="2688"/>
      <c r="FP69" s="2688"/>
      <c r="FQ69" s="2688"/>
      <c r="FR69" s="2688"/>
      <c r="FS69" s="2688"/>
      <c r="FT69" s="2688"/>
      <c r="FU69" s="2688"/>
      <c r="FV69" s="2688"/>
      <c r="FW69" s="2688"/>
      <c r="FX69" s="2688"/>
      <c r="FY69" s="2688"/>
      <c r="FZ69" s="2688"/>
      <c r="GA69" s="2688"/>
      <c r="GB69" s="2688"/>
      <c r="GC69" s="2688"/>
      <c r="GD69" s="2688"/>
      <c r="GE69" s="2688"/>
      <c r="GF69" s="2688"/>
      <c r="GG69" s="2688"/>
      <c r="GH69" s="2688"/>
      <c r="GI69" s="2688"/>
      <c r="GJ69" s="2688"/>
      <c r="GK69" s="2688"/>
      <c r="GL69" s="2688"/>
      <c r="GM69" s="2688"/>
      <c r="GN69" s="2688"/>
      <c r="GO69" s="2688"/>
      <c r="GP69" s="2688"/>
      <c r="GQ69" s="2688"/>
      <c r="GR69" s="2688"/>
      <c r="GS69" s="2688"/>
      <c r="GT69" s="2688"/>
      <c r="GU69" s="2688"/>
      <c r="GV69" s="2688"/>
      <c r="GW69" s="2688"/>
      <c r="GX69" s="2688"/>
      <c r="GY69" s="2688"/>
      <c r="GZ69" s="2688"/>
      <c r="HA69" s="2688"/>
      <c r="HB69" s="2688"/>
      <c r="HC69" s="2688"/>
      <c r="HD69" s="2688"/>
      <c r="HE69" s="2688"/>
      <c r="HF69" s="2688"/>
      <c r="HG69" s="2688"/>
      <c r="HH69" s="2688"/>
      <c r="HI69" s="2688"/>
      <c r="HJ69" s="2688"/>
      <c r="HK69" s="2688"/>
      <c r="HL69" s="2688"/>
      <c r="HM69" s="2688"/>
      <c r="HN69" s="2688"/>
      <c r="HO69" s="2688"/>
      <c r="HP69" s="2688"/>
      <c r="HQ69" s="2688"/>
      <c r="HR69" s="2688"/>
      <c r="HS69" s="2688"/>
      <c r="HT69" s="2688"/>
      <c r="HU69" s="2688"/>
      <c r="HV69" s="2688"/>
      <c r="HW69" s="2688"/>
      <c r="HX69" s="2688"/>
      <c r="HY69" s="2688"/>
      <c r="HZ69" s="2688"/>
      <c r="IA69" s="2688"/>
      <c r="IB69" s="2688"/>
      <c r="IC69" s="2688"/>
      <c r="ID69" s="2688"/>
      <c r="IE69" s="2688"/>
      <c r="IF69" s="2688"/>
      <c r="IG69" s="2688"/>
      <c r="IH69" s="2688"/>
      <c r="II69" s="2688"/>
      <c r="IJ69" s="2688"/>
      <c r="IK69" s="2688"/>
      <c r="IL69" s="2688"/>
      <c r="IM69" s="2688"/>
      <c r="IN69" s="2688"/>
      <c r="IO69" s="2688"/>
      <c r="IP69" s="3562"/>
      <c r="IQ69" s="3562"/>
      <c r="IR69" s="3562"/>
      <c r="IS69" s="3562"/>
      <c r="IT69" s="3562"/>
      <c r="IU69" s="3562"/>
      <c r="IV69" s="3562"/>
      <c r="IW69" s="3562"/>
      <c r="IX69" s="3562"/>
      <c r="IY69" s="3562"/>
      <c r="IZ69" s="3562"/>
      <c r="JA69" s="3562"/>
      <c r="JB69" s="3562"/>
      <c r="JC69" s="3562"/>
      <c r="JD69" s="3562"/>
      <c r="JE69" s="3562"/>
      <c r="JF69" s="3562"/>
      <c r="JG69" s="3777"/>
      <c r="JH69" s="1233"/>
    </row>
    <row r="70" spans="1:268" x14ac:dyDescent="0.2">
      <c r="A70" s="1128">
        <v>70</v>
      </c>
      <c r="B70" s="1534" t="str">
        <f si="1" t="shared"/>
        <v/>
      </c>
      <c r="C70" s="1278" t="s">
        <v>157</v>
      </c>
      <c r="D70" s="1386" t="s">
        <v>5325</v>
      </c>
      <c r="E70" s="2688"/>
      <c r="F70" s="2688"/>
      <c r="G70" s="2688"/>
      <c r="H70" s="2688"/>
      <c r="I70" s="2688"/>
      <c r="J70" s="2688"/>
      <c r="K70" s="2688"/>
      <c r="L70" s="2688"/>
      <c r="M70" s="2688"/>
      <c r="N70" s="2688"/>
      <c r="O70" s="2688"/>
      <c r="P70" s="2688"/>
      <c r="Q70" s="2688"/>
      <c r="R70" s="2688"/>
      <c r="S70" s="2688"/>
      <c r="T70" s="2688"/>
      <c r="U70" s="2688"/>
      <c r="V70" s="2688"/>
      <c r="W70" s="2688"/>
      <c r="X70" s="2688"/>
      <c r="Y70" s="2688"/>
      <c r="Z70" s="2688"/>
      <c r="AA70" s="2688"/>
      <c r="AB70" s="2688"/>
      <c r="AC70" s="2688"/>
      <c r="AD70" s="2688"/>
      <c r="AE70" s="2688"/>
      <c r="AF70" s="2688"/>
      <c r="AG70" s="2688"/>
      <c r="AH70" s="2688"/>
      <c r="AI70" s="2688"/>
      <c r="AJ70" s="2688"/>
      <c r="AK70" s="2688"/>
      <c r="AL70" s="2688"/>
      <c r="AM70" s="2688"/>
      <c r="AN70" s="2688"/>
      <c r="AO70" s="2688"/>
      <c r="AP70" s="2688"/>
      <c r="AQ70" s="2688"/>
      <c r="AR70" s="2688"/>
      <c r="AS70" s="2688"/>
      <c r="AT70" s="2688"/>
      <c r="AU70" s="2688"/>
      <c r="AV70" s="2688"/>
      <c r="AW70" s="2688"/>
      <c r="AX70" s="2688"/>
      <c r="AY70" s="2688"/>
      <c r="AZ70" s="2688"/>
      <c r="BA70" s="2688"/>
      <c r="BB70" s="2688"/>
      <c r="BC70" s="2688"/>
      <c r="BD70" s="2688"/>
      <c r="BE70" s="2688"/>
      <c r="BF70" s="2688"/>
      <c r="BG70" s="2688"/>
      <c r="BH70" s="2688"/>
      <c r="BI70" s="2688"/>
      <c r="BJ70" s="2688"/>
      <c r="BK70" s="2688"/>
      <c r="BL70" s="2688"/>
      <c r="BM70" s="2688"/>
      <c r="BN70" s="2688"/>
      <c r="BO70" s="2688"/>
      <c r="BP70" s="2688"/>
      <c r="BQ70" s="2688"/>
      <c r="BR70" s="2688"/>
      <c r="BS70" s="2688"/>
      <c r="BT70" s="2688"/>
      <c r="BU70" s="2688"/>
      <c r="BV70" s="2688"/>
      <c r="BW70" s="2688"/>
      <c r="BX70" s="2688"/>
      <c r="BY70" s="2688"/>
      <c r="BZ70" s="2688"/>
      <c r="CA70" s="2688"/>
      <c r="CB70" s="2688"/>
      <c r="CC70" s="2688"/>
      <c r="CD70" s="2688"/>
      <c r="CE70" s="2688"/>
      <c r="CF70" s="2688"/>
      <c r="CG70" s="2688"/>
      <c r="CH70" s="2688"/>
      <c r="CI70" s="2688"/>
      <c r="CJ70" s="2688"/>
      <c r="CK70" s="2688"/>
      <c r="CL70" s="2688"/>
      <c r="CM70" s="2688"/>
      <c r="CN70" s="2688"/>
      <c r="CO70" s="2688"/>
      <c r="CP70" s="2688"/>
      <c r="CQ70" s="2688"/>
      <c r="CR70" s="2688"/>
      <c r="CS70" s="2688"/>
      <c r="CT70" s="2688"/>
      <c r="CU70" s="2688"/>
      <c r="CV70" s="2688"/>
      <c r="CW70" s="2688"/>
      <c r="CX70" s="2688"/>
      <c r="CY70" s="2688"/>
      <c r="CZ70" s="2688"/>
      <c r="DA70" s="2688"/>
      <c r="DB70" s="2688"/>
      <c r="DC70" s="2688"/>
      <c r="DD70" s="2688"/>
      <c r="DE70" s="2688"/>
      <c r="DF70" s="2688"/>
      <c r="DG70" s="2688"/>
      <c r="DH70" s="2688"/>
      <c r="DI70" s="2688"/>
      <c r="DJ70" s="2688"/>
      <c r="DK70" s="2688"/>
      <c r="DL70" s="2688"/>
      <c r="DM70" s="2688"/>
      <c r="DN70" s="2688"/>
      <c r="DO70" s="2688"/>
      <c r="DP70" s="2688"/>
      <c r="DQ70" s="2688"/>
      <c r="DR70" s="2688"/>
      <c r="DS70" s="2688"/>
      <c r="DT70" s="2688"/>
      <c r="DU70" s="2688"/>
      <c r="DV70" s="2688"/>
      <c r="DW70" s="2688"/>
      <c r="DX70" s="2688"/>
      <c r="DY70" s="2688"/>
      <c r="DZ70" s="2688"/>
      <c r="EA70" s="2688"/>
      <c r="EB70" s="2688"/>
      <c r="EC70" s="2688"/>
      <c r="ED70" s="2688"/>
      <c r="EE70" s="2688"/>
      <c r="EF70" s="2688"/>
      <c r="EG70" s="2688"/>
      <c r="EH70" s="2688"/>
      <c r="EI70" s="2688"/>
      <c r="EJ70" s="2688"/>
      <c r="EK70" s="2688"/>
      <c r="EL70" s="2688"/>
      <c r="EM70" s="2688"/>
      <c r="EN70" s="2688"/>
      <c r="EO70" s="2688"/>
      <c r="EP70" s="2688"/>
      <c r="EQ70" s="2688"/>
      <c r="ER70" s="2688"/>
      <c r="ES70" s="2688"/>
      <c r="ET70" s="2688"/>
      <c r="EU70" s="2688"/>
      <c r="EV70" s="2688"/>
      <c r="EW70" s="2688"/>
      <c r="EX70" s="2688"/>
      <c r="EY70" s="2688"/>
      <c r="EZ70" s="2688"/>
      <c r="FA70" s="2688"/>
      <c r="FB70" s="2688"/>
      <c r="FC70" s="2688"/>
      <c r="FD70" s="2688"/>
      <c r="FE70" s="2688"/>
      <c r="FF70" s="2688"/>
      <c r="FG70" s="2688"/>
      <c r="FH70" s="2688"/>
      <c r="FI70" s="2688"/>
      <c r="FJ70" s="2688"/>
      <c r="FK70" s="2688"/>
      <c r="FL70" s="2688"/>
      <c r="FM70" s="2688"/>
      <c r="FN70" s="2688"/>
      <c r="FO70" s="2688"/>
      <c r="FP70" s="2688"/>
      <c r="FQ70" s="2688"/>
      <c r="FR70" s="2688"/>
      <c r="FS70" s="2688"/>
      <c r="FT70" s="2688"/>
      <c r="FU70" s="2688"/>
      <c r="FV70" s="2688"/>
      <c r="FW70" s="2688"/>
      <c r="FX70" s="2688"/>
      <c r="FY70" s="2688"/>
      <c r="FZ70" s="2688"/>
      <c r="GA70" s="2688"/>
      <c r="GB70" s="2688"/>
      <c r="GC70" s="2688"/>
      <c r="GD70" s="2688"/>
      <c r="GE70" s="2688"/>
      <c r="GF70" s="2688"/>
      <c r="GG70" s="2688"/>
      <c r="GH70" s="2688"/>
      <c r="GI70" s="2688"/>
      <c r="GJ70" s="2688"/>
      <c r="GK70" s="2688"/>
      <c r="GL70" s="2688"/>
      <c r="GM70" s="2688"/>
      <c r="GN70" s="2688"/>
      <c r="GO70" s="2688"/>
      <c r="GP70" s="2688"/>
      <c r="GQ70" s="2688"/>
      <c r="GR70" s="2688"/>
      <c r="GS70" s="2688"/>
      <c r="GT70" s="2688"/>
      <c r="GU70" s="2688"/>
      <c r="GV70" s="2688"/>
      <c r="GW70" s="2688"/>
      <c r="GX70" s="2688"/>
      <c r="GY70" s="2688"/>
      <c r="GZ70" s="2688"/>
      <c r="HA70" s="2688"/>
      <c r="HB70" s="2688"/>
      <c r="HC70" s="2688"/>
      <c r="HD70" s="2688"/>
      <c r="HE70" s="2688"/>
      <c r="HF70" s="2688"/>
      <c r="HG70" s="2688"/>
      <c r="HH70" s="2688"/>
      <c r="HI70" s="2688"/>
      <c r="HJ70" s="2688"/>
      <c r="HK70" s="2688"/>
      <c r="HL70" s="2688"/>
      <c r="HM70" s="2688"/>
      <c r="HN70" s="2688"/>
      <c r="HO70" s="2688"/>
      <c r="HP70" s="2688"/>
      <c r="HQ70" s="2688"/>
      <c r="HR70" s="2688"/>
      <c r="HS70" s="2688"/>
      <c r="HT70" s="2688"/>
      <c r="HU70" s="2688"/>
      <c r="HV70" s="2688"/>
      <c r="HW70" s="2688"/>
      <c r="HX70" s="2688"/>
      <c r="HY70" s="2688"/>
      <c r="HZ70" s="2688"/>
      <c r="IA70" s="2688"/>
      <c r="IB70" s="2688"/>
      <c r="IC70" s="2688"/>
      <c r="ID70" s="2688"/>
      <c r="IE70" s="2688"/>
      <c r="IF70" s="2688"/>
      <c r="IG70" s="2688"/>
      <c r="IH70" s="2688"/>
      <c r="II70" s="2688"/>
      <c r="IJ70" s="2688"/>
      <c r="IK70" s="2688"/>
      <c r="IL70" s="2688"/>
      <c r="IM70" s="2688"/>
      <c r="IN70" s="2688"/>
      <c r="IO70" s="2688"/>
      <c r="IP70" s="3562"/>
      <c r="IQ70" s="3562"/>
      <c r="IR70" s="3562"/>
      <c r="IS70" s="3562"/>
      <c r="IT70" s="3562"/>
      <c r="IU70" s="3562"/>
      <c r="IV70" s="3562"/>
      <c r="IW70" s="3562"/>
      <c r="IX70" s="3562"/>
      <c r="IY70" s="3562"/>
      <c r="IZ70" s="3562"/>
      <c r="JA70" s="3562"/>
      <c r="JB70" s="3562"/>
      <c r="JC70" s="3562"/>
      <c r="JD70" s="3562"/>
      <c r="JE70" s="3562"/>
      <c r="JF70" s="3562"/>
      <c r="JG70" s="3777"/>
      <c r="JH70" s="1233"/>
    </row>
    <row r="71" spans="1:268" x14ac:dyDescent="0.2">
      <c r="A71" s="1128">
        <v>71</v>
      </c>
      <c r="B71" s="1534" t="str">
        <f si="1" t="shared"/>
        <v/>
      </c>
      <c r="C71" s="1278" t="s">
        <v>158</v>
      </c>
      <c r="D71" s="1386" t="s">
        <v>5326</v>
      </c>
      <c r="E71" s="2688"/>
      <c r="F71" s="2688"/>
      <c r="G71" s="2688"/>
      <c r="H71" s="2688"/>
      <c r="I71" s="2688"/>
      <c r="J71" s="2688"/>
      <c r="K71" s="2688"/>
      <c r="L71" s="2688"/>
      <c r="M71" s="2688"/>
      <c r="N71" s="2688"/>
      <c r="O71" s="2688"/>
      <c r="P71" s="2688"/>
      <c r="Q71" s="2688"/>
      <c r="R71" s="2688"/>
      <c r="S71" s="2688"/>
      <c r="T71" s="2688"/>
      <c r="U71" s="2688"/>
      <c r="V71" s="2688"/>
      <c r="W71" s="2688"/>
      <c r="X71" s="2688"/>
      <c r="Y71" s="2688"/>
      <c r="Z71" s="2688"/>
      <c r="AA71" s="2688"/>
      <c r="AB71" s="2688"/>
      <c r="AC71" s="2688"/>
      <c r="AD71" s="2688"/>
      <c r="AE71" s="2688"/>
      <c r="AF71" s="2688"/>
      <c r="AG71" s="2688"/>
      <c r="AH71" s="2688"/>
      <c r="AI71" s="2688"/>
      <c r="AJ71" s="2688"/>
      <c r="AK71" s="2688"/>
      <c r="AL71" s="2688"/>
      <c r="AM71" s="2688"/>
      <c r="AN71" s="2688"/>
      <c r="AO71" s="2688"/>
      <c r="AP71" s="2688"/>
      <c r="AQ71" s="2688"/>
      <c r="AR71" s="2688"/>
      <c r="AS71" s="2688"/>
      <c r="AT71" s="2688"/>
      <c r="AU71" s="2688"/>
      <c r="AV71" s="2688"/>
      <c r="AW71" s="2688"/>
      <c r="AX71" s="2688"/>
      <c r="AY71" s="2688"/>
      <c r="AZ71" s="2688"/>
      <c r="BA71" s="2688"/>
      <c r="BB71" s="2688"/>
      <c r="BC71" s="2688"/>
      <c r="BD71" s="2688"/>
      <c r="BE71" s="2688"/>
      <c r="BF71" s="2688"/>
      <c r="BG71" s="2688"/>
      <c r="BH71" s="2688"/>
      <c r="BI71" s="2688"/>
      <c r="BJ71" s="2688"/>
      <c r="BK71" s="2688"/>
      <c r="BL71" s="2688"/>
      <c r="BM71" s="2688"/>
      <c r="BN71" s="2688"/>
      <c r="BO71" s="2688"/>
      <c r="BP71" s="2688"/>
      <c r="BQ71" s="2688"/>
      <c r="BR71" s="2688"/>
      <c r="BS71" s="2688"/>
      <c r="BT71" s="2688"/>
      <c r="BU71" s="2688"/>
      <c r="BV71" s="2688"/>
      <c r="BW71" s="2688"/>
      <c r="BX71" s="2688"/>
      <c r="BY71" s="2688"/>
      <c r="BZ71" s="2688"/>
      <c r="CA71" s="2688"/>
      <c r="CB71" s="2688"/>
      <c r="CC71" s="2688"/>
      <c r="CD71" s="2688"/>
      <c r="CE71" s="2688"/>
      <c r="CF71" s="2688"/>
      <c r="CG71" s="2688"/>
      <c r="CH71" s="2688"/>
      <c r="CI71" s="2688"/>
      <c r="CJ71" s="3360">
        <f>IF(CJ70="Y",CJ67,MAX(0,CJ67-CJ68))</f>
        <v>4845</v>
      </c>
      <c r="CK71" s="2688"/>
      <c r="CL71" s="2688"/>
      <c r="CM71" s="2688"/>
      <c r="CN71" s="2688"/>
      <c r="CO71" s="2688"/>
      <c r="CP71" s="2688"/>
      <c r="CQ71" s="2688"/>
      <c r="CR71" s="2688"/>
      <c r="CS71" s="2688"/>
      <c r="CT71" s="2688"/>
      <c r="CU71" s="2688"/>
      <c r="CV71" s="2688"/>
      <c r="CW71" s="2688"/>
      <c r="CX71" s="2688"/>
      <c r="CY71" s="2688"/>
      <c r="CZ71" s="2688"/>
      <c r="DA71" s="2688"/>
      <c r="DB71" s="2688"/>
      <c r="DC71" s="2688"/>
      <c r="DD71" s="2688"/>
      <c r="DE71" s="2688"/>
      <c r="DF71" s="2688"/>
      <c r="DG71" s="2688"/>
      <c r="DH71" s="2688"/>
      <c r="DI71" s="2688"/>
      <c r="DJ71" s="2688"/>
      <c r="DK71" s="2688"/>
      <c r="DL71" s="2688"/>
      <c r="DM71" s="3360">
        <f>IF(DM70="Y",DM67,MAX(0,DM67-DM68))</f>
        <v>4845</v>
      </c>
      <c r="DN71" s="2688"/>
      <c r="DO71" s="2688"/>
      <c r="DP71" s="2688"/>
      <c r="DQ71" s="2688"/>
      <c r="DR71" s="2688"/>
      <c r="DS71" s="2688"/>
      <c r="DT71" s="2688"/>
      <c r="DU71" s="2688"/>
      <c r="DV71" s="2688"/>
      <c r="DW71" s="2688"/>
      <c r="DX71" s="2688"/>
      <c r="DY71" s="2688"/>
      <c r="DZ71" s="2688"/>
      <c r="EA71" s="2688"/>
      <c r="EB71" s="2688"/>
      <c r="EC71" s="2688"/>
      <c r="ED71" s="2688"/>
      <c r="EE71" s="2688"/>
      <c r="EF71" s="2688"/>
      <c r="EG71" s="2688"/>
      <c r="EH71" s="2688"/>
      <c r="EI71" s="2688"/>
      <c r="EJ71" s="2688"/>
      <c r="EK71" s="2688"/>
      <c r="EL71" s="2688"/>
      <c r="EM71" s="2688"/>
      <c r="EN71" s="2688"/>
      <c r="EO71" s="3360">
        <f>IF(EO70="Y",EO67,MAX(0,EO67-EO68))</f>
        <v>4845</v>
      </c>
      <c r="EP71" s="2688"/>
      <c r="EQ71" s="2688"/>
      <c r="ER71" s="2688"/>
      <c r="ES71" s="2688"/>
      <c r="ET71" s="2688"/>
      <c r="EU71" s="2688"/>
      <c r="EV71" s="2688"/>
      <c r="EW71" s="2688"/>
      <c r="EX71" s="2688"/>
      <c r="EY71" s="2688"/>
      <c r="EZ71" s="2688"/>
      <c r="FA71" s="2688"/>
      <c r="FB71" s="2688"/>
      <c r="FC71" s="2688"/>
      <c r="FD71" s="2688"/>
      <c r="FE71" s="2688"/>
      <c r="FF71" s="2688"/>
      <c r="FG71" s="2688"/>
      <c r="FH71" s="2688"/>
      <c r="FI71" s="2688"/>
      <c r="FJ71" s="2688"/>
      <c r="FK71" s="2688"/>
      <c r="FL71" s="2688"/>
      <c r="FM71" s="2688"/>
      <c r="FN71" s="2688"/>
      <c r="FO71" s="2688"/>
      <c r="FP71" s="2688"/>
      <c r="FQ71" s="2688"/>
      <c r="FR71" s="2688"/>
      <c r="FS71" s="2688"/>
      <c r="FT71" s="2688"/>
      <c r="FU71" s="2688"/>
      <c r="FV71" s="2688"/>
      <c r="FW71" s="2688"/>
      <c r="FX71" s="2688"/>
      <c r="FY71" s="2688"/>
      <c r="FZ71" s="2688"/>
      <c r="GA71" s="2688"/>
      <c r="GB71" s="2688"/>
      <c r="GC71" s="2688"/>
      <c r="GD71" s="2688"/>
      <c r="GE71" s="2688"/>
      <c r="GF71" s="2688"/>
      <c r="GG71" s="2688"/>
      <c r="GH71" s="2688"/>
      <c r="GI71" s="2688"/>
      <c r="GJ71" s="2688"/>
      <c r="GK71" s="2688"/>
      <c r="GL71" s="2688"/>
      <c r="GM71" s="2688"/>
      <c r="GN71" s="2688"/>
      <c r="GO71" s="2688"/>
      <c r="GP71" s="2688"/>
      <c r="GQ71" s="2688"/>
      <c r="GR71" s="2688"/>
      <c r="GS71" s="2688"/>
      <c r="GT71" s="2688"/>
      <c r="GU71" s="2688"/>
      <c r="GV71" s="2688"/>
      <c r="GW71" s="2688"/>
      <c r="GX71" s="2688"/>
      <c r="GY71" s="2688"/>
      <c r="GZ71" s="2688"/>
      <c r="HA71" s="2688"/>
      <c r="HB71" s="2688"/>
      <c r="HC71" s="2688"/>
      <c r="HD71" s="2688"/>
      <c r="HE71" s="2688"/>
      <c r="HF71" s="2688"/>
      <c r="HG71" s="2688"/>
      <c r="HH71" s="2688"/>
      <c r="HI71" s="2688"/>
      <c r="HJ71" s="2688"/>
      <c r="HK71" s="2688"/>
      <c r="HL71" s="2688"/>
      <c r="HM71" s="2688"/>
      <c r="HN71" s="2688"/>
      <c r="HO71" s="2688"/>
      <c r="HP71" s="2688"/>
      <c r="HQ71" s="2688"/>
      <c r="HR71" s="2688"/>
      <c r="HS71" s="2688"/>
      <c r="HT71" s="2688"/>
      <c r="HU71" s="2688"/>
      <c r="HV71" s="2688"/>
      <c r="HW71" s="2688"/>
      <c r="HX71" s="2688"/>
      <c r="HY71" s="2688"/>
      <c r="HZ71" s="2688"/>
      <c r="IA71" s="2688"/>
      <c r="IB71" s="2688"/>
      <c r="IC71" s="2688"/>
      <c r="ID71" s="2688"/>
      <c r="IE71" s="2688"/>
      <c r="IF71" s="2688"/>
      <c r="IG71" s="2688"/>
      <c r="IH71" s="2688"/>
      <c r="II71" s="2688"/>
      <c r="IJ71" s="2688"/>
      <c r="IK71" s="2688"/>
      <c r="IL71" s="2688"/>
      <c r="IM71" s="2688"/>
      <c r="IN71" s="2688"/>
      <c r="IO71" s="2688"/>
      <c r="IP71" s="3559"/>
      <c r="IQ71" s="3559"/>
      <c r="IR71" s="3559"/>
      <c r="IS71" s="3559"/>
      <c r="IT71" s="3559"/>
      <c r="IU71" s="3559"/>
      <c r="IV71" s="3559"/>
      <c r="IW71" s="3559"/>
      <c r="IX71" s="3559"/>
      <c r="IY71" s="3559"/>
      <c r="IZ71" s="3559"/>
      <c r="JA71" s="3559"/>
      <c r="JB71" s="3559"/>
      <c r="JC71" s="3559"/>
      <c r="JD71" s="3559"/>
      <c r="JE71" s="3559"/>
      <c r="JF71" s="3559"/>
      <c r="JG71" s="4087"/>
      <c r="JH71" s="1233"/>
    </row>
    <row r="72" spans="1:268" x14ac:dyDescent="0.2">
      <c r="A72" s="1128">
        <v>72</v>
      </c>
      <c r="B72" s="1534" t="str">
        <f si="1" t="shared"/>
        <v/>
      </c>
      <c r="C72" s="1524" t="s">
        <v>151</v>
      </c>
      <c r="D72" s="1386" t="s">
        <v>2197</v>
      </c>
      <c r="E72" s="2688"/>
      <c r="F72" s="2688"/>
      <c r="G72" s="2688"/>
      <c r="H72" s="2688"/>
      <c r="I72" s="2688"/>
      <c r="J72" s="2688"/>
      <c r="K72" s="2688"/>
      <c r="L72" s="2688"/>
      <c r="M72" s="2688"/>
      <c r="N72" s="2688"/>
      <c r="O72" s="2688"/>
      <c r="P72" s="2688"/>
      <c r="Q72" s="2688"/>
      <c r="R72" s="2688"/>
      <c r="S72" s="2688"/>
      <c r="T72" s="2688"/>
      <c r="U72" s="2688"/>
      <c r="V72" s="2688"/>
      <c r="W72" s="2688"/>
      <c r="X72" s="2688"/>
      <c r="Y72" s="2688"/>
      <c r="Z72" s="2688"/>
      <c r="AA72" s="2688"/>
      <c r="AB72" s="2688"/>
      <c r="AC72" s="2688"/>
      <c r="AD72" s="2688"/>
      <c r="AE72" s="2688"/>
      <c r="AF72" s="2688"/>
      <c r="AG72" s="2688"/>
      <c r="AH72" s="2688"/>
      <c r="AI72" s="2688"/>
      <c r="AJ72" s="2688"/>
      <c r="AK72" s="2688"/>
      <c r="AL72" s="2688"/>
      <c r="AM72" s="2688"/>
      <c r="AN72" s="2688"/>
      <c r="AO72" s="2688"/>
      <c r="AP72" s="2688"/>
      <c r="AQ72" s="2688"/>
      <c r="AR72" s="2688"/>
      <c r="AS72" s="2688"/>
      <c r="AT72" s="2688"/>
      <c r="AU72" s="2688"/>
      <c r="AV72" s="2688"/>
      <c r="AW72" s="2688"/>
      <c r="AX72" s="2688"/>
      <c r="AY72" s="2688"/>
      <c r="AZ72" s="2688"/>
      <c r="BA72" s="2688"/>
      <c r="BB72" s="2688"/>
      <c r="BC72" s="2688"/>
      <c r="BD72" s="2688"/>
      <c r="BE72" s="2688"/>
      <c r="BF72" s="2688"/>
      <c r="BG72" s="2688"/>
      <c r="BH72" s="2688"/>
      <c r="BI72" s="2688"/>
      <c r="BJ72" s="2688"/>
      <c r="BK72" s="2688"/>
      <c r="BL72" s="2688"/>
      <c r="BM72" s="2688"/>
      <c r="BN72" s="2688"/>
      <c r="BO72" s="2688"/>
      <c r="BP72" s="2688"/>
      <c r="BQ72" s="2688"/>
      <c r="BR72" s="2688"/>
      <c r="BS72" s="2688"/>
      <c r="BT72" s="2688"/>
      <c r="BU72" s="2688"/>
      <c r="BV72" s="2688"/>
      <c r="BW72" s="2688"/>
      <c r="BX72" s="2688"/>
      <c r="BY72" s="2688"/>
      <c r="BZ72" s="2688"/>
      <c r="CA72" s="2688"/>
      <c r="CB72" s="2688"/>
      <c r="CC72" s="2688"/>
      <c r="CD72" s="2688"/>
      <c r="CE72" s="2688"/>
      <c r="CF72" s="2688"/>
      <c r="CG72" s="2688"/>
      <c r="CH72" s="2688"/>
      <c r="CI72" s="2688"/>
      <c r="CJ72" s="2688"/>
      <c r="CK72" s="2688"/>
      <c r="CL72" s="2688"/>
      <c r="CM72" s="2688"/>
      <c r="CN72" s="2688"/>
      <c r="CO72" s="2688"/>
      <c r="CP72" s="2688"/>
      <c r="CQ72" s="2688"/>
      <c r="CR72" s="2688"/>
      <c r="CS72" s="2688"/>
      <c r="CT72" s="2688"/>
      <c r="CU72" s="2688"/>
      <c r="CV72" s="2688"/>
      <c r="CW72" s="2688"/>
      <c r="CX72" s="2688"/>
      <c r="CY72" s="2688"/>
      <c r="CZ72" s="2688"/>
      <c r="DA72" s="2688"/>
      <c r="DB72" s="2688"/>
      <c r="DC72" s="2688"/>
      <c r="DD72" s="2688"/>
      <c r="DE72" s="2688"/>
      <c r="DF72" s="2688"/>
      <c r="DG72" s="2688"/>
      <c r="DH72" s="2688"/>
      <c r="DI72" s="2688"/>
      <c r="DJ72" s="2688"/>
      <c r="DK72" s="2688"/>
      <c r="DL72" s="2688"/>
      <c r="DM72" s="2688"/>
      <c r="DN72" s="2688"/>
      <c r="DO72" s="2688"/>
      <c r="DP72" s="2688"/>
      <c r="DQ72" s="2688"/>
      <c r="DR72" s="2688"/>
      <c r="DS72" s="2688"/>
      <c r="DT72" s="2688"/>
      <c r="DU72" s="2688"/>
      <c r="DV72" s="2688"/>
      <c r="DW72" s="2688"/>
      <c r="DX72" s="2688"/>
      <c r="DY72" s="2688"/>
      <c r="DZ72" s="2688"/>
      <c r="EA72" s="2688"/>
      <c r="EB72" s="2688"/>
      <c r="EC72" s="2688"/>
      <c r="ED72" s="2688"/>
      <c r="EE72" s="2688"/>
      <c r="EF72" s="2688"/>
      <c r="EG72" s="2688"/>
      <c r="EH72" s="2688"/>
      <c r="EI72" s="2688"/>
      <c r="EJ72" s="2688"/>
      <c r="EK72" s="2688"/>
      <c r="EL72" s="2688"/>
      <c r="EM72" s="2688"/>
      <c r="EN72" s="2688"/>
      <c r="EO72" s="2688"/>
      <c r="EP72" s="2688"/>
      <c r="EQ72" s="2688"/>
      <c r="ER72" s="2688"/>
      <c r="ES72" s="2688"/>
      <c r="ET72" s="2688"/>
      <c r="EU72" s="2688"/>
      <c r="EV72" s="2688"/>
      <c r="EW72" s="2688"/>
      <c r="EX72" s="2688"/>
      <c r="EY72" s="2688"/>
      <c r="EZ72" s="2688"/>
      <c r="FA72" s="2688"/>
      <c r="FB72" s="2688"/>
      <c r="FC72" s="2688"/>
      <c r="FD72" s="2688"/>
      <c r="FE72" s="2688"/>
      <c r="FF72" s="2688"/>
      <c r="FG72" s="2688"/>
      <c r="FH72" s="2688"/>
      <c r="FI72" s="2688"/>
      <c r="FJ72" s="2688"/>
      <c r="FK72" s="2688"/>
      <c r="FL72" s="2688"/>
      <c r="FM72" s="2688"/>
      <c r="FN72" s="2688"/>
      <c r="FO72" s="2688"/>
      <c r="FP72" s="2688"/>
      <c r="FQ72" s="2688"/>
      <c r="FR72" s="2688"/>
      <c r="FS72" s="2688"/>
      <c r="FT72" s="2688"/>
      <c r="FU72" s="2688"/>
      <c r="FV72" s="2688"/>
      <c r="FW72" s="2688"/>
      <c r="FX72" s="2688"/>
      <c r="FY72" s="2688"/>
      <c r="FZ72" s="2688"/>
      <c r="GA72" s="2688"/>
      <c r="GB72" s="2688"/>
      <c r="GC72" s="2688"/>
      <c r="GD72" s="2688"/>
      <c r="GE72" s="2688"/>
      <c r="GF72" s="2688"/>
      <c r="GG72" s="2688"/>
      <c r="GH72" s="2688"/>
      <c r="GI72" s="2688"/>
      <c r="GJ72" s="2688"/>
      <c r="GK72" s="2688"/>
      <c r="GL72" s="2688"/>
      <c r="GM72" s="2688"/>
      <c r="GN72" s="2688"/>
      <c r="GO72" s="2688"/>
      <c r="GP72" s="2688"/>
      <c r="GQ72" s="2688"/>
      <c r="GR72" s="2688"/>
      <c r="GS72" s="2688"/>
      <c r="GT72" s="2688"/>
      <c r="GU72" s="2688"/>
      <c r="GV72" s="2688"/>
      <c r="GW72" s="2688"/>
      <c r="GX72" s="2688"/>
      <c r="GY72" s="2688"/>
      <c r="GZ72" s="2688"/>
      <c r="HA72" s="2688"/>
      <c r="HB72" s="2688"/>
      <c r="HC72" s="2688"/>
      <c r="HD72" s="2688"/>
      <c r="HE72" s="2688"/>
      <c r="HF72" s="2688"/>
      <c r="HG72" s="2688"/>
      <c r="HH72" s="2688"/>
      <c r="HI72" s="2688"/>
      <c r="HJ72" s="2688"/>
      <c r="HK72" s="2688"/>
      <c r="HL72" s="2688"/>
      <c r="HM72" s="2688"/>
      <c r="HN72" s="2688"/>
      <c r="HO72" s="2688"/>
      <c r="HP72" s="2688"/>
      <c r="HQ72" s="2688"/>
      <c r="HR72" s="2688"/>
      <c r="HS72" s="2688"/>
      <c r="HT72" s="2688"/>
      <c r="HU72" s="2688"/>
      <c r="HV72" s="2688"/>
      <c r="HW72" s="2688"/>
      <c r="HX72" s="2688"/>
      <c r="HY72" s="2688"/>
      <c r="HZ72" s="2688"/>
      <c r="IA72" s="2688"/>
      <c r="IB72" s="2688"/>
      <c r="IC72" s="2688"/>
      <c r="ID72" s="2688"/>
      <c r="IE72" s="2688"/>
      <c r="IF72" s="2688"/>
      <c r="IG72" s="2688"/>
      <c r="IH72" s="2688"/>
      <c r="II72" s="2688"/>
      <c r="IJ72" s="2688"/>
      <c r="IK72" s="2688"/>
      <c r="IL72" s="2688"/>
      <c r="IM72" s="2688"/>
      <c r="IN72" s="2688"/>
      <c r="IO72" s="2688"/>
      <c r="IP72" s="3560"/>
      <c r="IQ72" s="3560"/>
      <c r="IR72" s="3560"/>
      <c r="IS72" s="3560"/>
      <c r="IT72" s="3560"/>
      <c r="IU72" s="3560"/>
      <c r="IV72" s="3560"/>
      <c r="IW72" s="3560"/>
      <c r="IX72" s="3560"/>
      <c r="IY72" s="3560"/>
      <c r="IZ72" s="3560"/>
      <c r="JA72" s="3560"/>
      <c r="JB72" s="3560"/>
      <c r="JC72" s="3560"/>
      <c r="JD72" s="3560"/>
      <c r="JE72" s="3560"/>
      <c r="JF72" s="3560"/>
      <c r="JG72" s="4088"/>
      <c r="JH72" s="1233"/>
    </row>
    <row r="73" spans="1:268" x14ac:dyDescent="0.2">
      <c r="A73" s="1128">
        <v>73</v>
      </c>
      <c r="B73" s="1534" t="str">
        <f si="1" t="shared"/>
        <v/>
      </c>
      <c r="C73" s="1524" t="s">
        <v>152</v>
      </c>
      <c r="D73" s="1386" t="s">
        <v>2197</v>
      </c>
      <c r="E73" s="2688"/>
      <c r="F73" s="2688"/>
      <c r="G73" s="2688"/>
      <c r="H73" s="2688"/>
      <c r="I73" s="2688"/>
      <c r="J73" s="2688"/>
      <c r="K73" s="2688"/>
      <c r="L73" s="2688"/>
      <c r="M73" s="2688"/>
      <c r="N73" s="2688"/>
      <c r="O73" s="2688"/>
      <c r="P73" s="2688"/>
      <c r="Q73" s="2688"/>
      <c r="R73" s="2688"/>
      <c r="S73" s="2688"/>
      <c r="T73" s="2688"/>
      <c r="U73" s="2688"/>
      <c r="V73" s="2688"/>
      <c r="W73" s="2688"/>
      <c r="X73" s="2688"/>
      <c r="Y73" s="2688"/>
      <c r="Z73" s="2688"/>
      <c r="AA73" s="2688"/>
      <c r="AB73" s="2688"/>
      <c r="AC73" s="2688"/>
      <c r="AD73" s="2688"/>
      <c r="AE73" s="2688"/>
      <c r="AF73" s="2688"/>
      <c r="AG73" s="2688"/>
      <c r="AH73" s="2688"/>
      <c r="AI73" s="2688"/>
      <c r="AJ73" s="2688"/>
      <c r="AK73" s="2688"/>
      <c r="AL73" s="2688"/>
      <c r="AM73" s="2688"/>
      <c r="AN73" s="2688"/>
      <c r="AO73" s="2688"/>
      <c r="AP73" s="2688"/>
      <c r="AQ73" s="2688"/>
      <c r="AR73" s="2688"/>
      <c r="AS73" s="2688"/>
      <c r="AT73" s="2688"/>
      <c r="AU73" s="2688"/>
      <c r="AV73" s="2688"/>
      <c r="AW73" s="2688"/>
      <c r="AX73" s="2688"/>
      <c r="AY73" s="2688"/>
      <c r="AZ73" s="2688"/>
      <c r="BA73" s="2688"/>
      <c r="BB73" s="2688"/>
      <c r="BC73" s="2688"/>
      <c r="BD73" s="2688"/>
      <c r="BE73" s="2688"/>
      <c r="BF73" s="2688"/>
      <c r="BG73" s="2688"/>
      <c r="BH73" s="2688"/>
      <c r="BI73" s="2688"/>
      <c r="BJ73" s="2688"/>
      <c r="BK73" s="2688"/>
      <c r="BL73" s="2688"/>
      <c r="BM73" s="2688"/>
      <c r="BN73" s="2688"/>
      <c r="BO73" s="2688"/>
      <c r="BP73" s="2688"/>
      <c r="BQ73" s="2688"/>
      <c r="BR73" s="2688"/>
      <c r="BS73" s="2688"/>
      <c r="BT73" s="2688"/>
      <c r="BU73" s="2688"/>
      <c r="BV73" s="2688"/>
      <c r="BW73" s="2688"/>
      <c r="BX73" s="2688"/>
      <c r="BY73" s="2688"/>
      <c r="BZ73" s="2688"/>
      <c r="CA73" s="2688"/>
      <c r="CB73" s="2688"/>
      <c r="CC73" s="2688"/>
      <c r="CD73" s="2688"/>
      <c r="CE73" s="2688"/>
      <c r="CF73" s="2688"/>
      <c r="CG73" s="2688"/>
      <c r="CH73" s="2688"/>
      <c r="CI73" s="2688"/>
      <c r="CJ73" s="3360">
        <f>CJ71</f>
        <v>4845</v>
      </c>
      <c r="CK73" s="2688"/>
      <c r="CL73" s="2688"/>
      <c r="CM73" s="2688"/>
      <c r="CN73" s="2688"/>
      <c r="CO73" s="2688"/>
      <c r="CP73" s="2688"/>
      <c r="CQ73" s="2688"/>
      <c r="CR73" s="2688"/>
      <c r="CS73" s="2688"/>
      <c r="CT73" s="2688"/>
      <c r="CU73" s="2688"/>
      <c r="CV73" s="2688"/>
      <c r="CW73" s="2688"/>
      <c r="CX73" s="2688"/>
      <c r="CY73" s="2688"/>
      <c r="CZ73" s="2688"/>
      <c r="DA73" s="2688"/>
      <c r="DB73" s="2688"/>
      <c r="DC73" s="2688"/>
      <c r="DD73" s="2688"/>
      <c r="DE73" s="2688"/>
      <c r="DF73" s="2688"/>
      <c r="DG73" s="2688"/>
      <c r="DH73" s="2688"/>
      <c r="DI73" s="2688"/>
      <c r="DJ73" s="2688"/>
      <c r="DK73" s="2688"/>
      <c r="DL73" s="2688"/>
      <c r="DM73" s="3360">
        <f>DM71</f>
        <v>4845</v>
      </c>
      <c r="DN73" s="2688"/>
      <c r="DO73" s="2688"/>
      <c r="DP73" s="2688"/>
      <c r="DQ73" s="2688"/>
      <c r="DR73" s="2688"/>
      <c r="DS73" s="2688"/>
      <c r="DT73" s="2688"/>
      <c r="DU73" s="2688"/>
      <c r="DV73" s="2688"/>
      <c r="DW73" s="2688"/>
      <c r="DX73" s="2688"/>
      <c r="DY73" s="2688"/>
      <c r="DZ73" s="2688"/>
      <c r="EA73" s="2688"/>
      <c r="EB73" s="2688"/>
      <c r="EC73" s="2688"/>
      <c r="ED73" s="2688"/>
      <c r="EE73" s="2688"/>
      <c r="EF73" s="2688"/>
      <c r="EG73" s="2688"/>
      <c r="EH73" s="2688"/>
      <c r="EI73" s="2688"/>
      <c r="EJ73" s="2688"/>
      <c r="EK73" s="2688"/>
      <c r="EL73" s="2688"/>
      <c r="EM73" s="2688"/>
      <c r="EN73" s="2688"/>
      <c r="EO73" s="3360">
        <f>EO71</f>
        <v>4845</v>
      </c>
      <c r="EP73" s="2688"/>
      <c r="EQ73" s="2688"/>
      <c r="ER73" s="2688"/>
      <c r="ES73" s="2688"/>
      <c r="ET73" s="2688"/>
      <c r="EU73" s="2688"/>
      <c r="EV73" s="2688"/>
      <c r="EW73" s="2688"/>
      <c r="EX73" s="2688"/>
      <c r="EY73" s="2688"/>
      <c r="EZ73" s="2688"/>
      <c r="FA73" s="2688"/>
      <c r="FB73" s="2688"/>
      <c r="FC73" s="2688"/>
      <c r="FD73" s="2688"/>
      <c r="FE73" s="2688"/>
      <c r="FF73" s="2688"/>
      <c r="FG73" s="2688"/>
      <c r="FH73" s="2688"/>
      <c r="FI73" s="2688"/>
      <c r="FJ73" s="2688"/>
      <c r="FK73" s="2688"/>
      <c r="FL73" s="2688"/>
      <c r="FM73" s="2688"/>
      <c r="FN73" s="2688"/>
      <c r="FO73" s="2688"/>
      <c r="FP73" s="2688"/>
      <c r="FQ73" s="2688"/>
      <c r="FR73" s="2688"/>
      <c r="FS73" s="2688"/>
      <c r="FT73" s="2688"/>
      <c r="FU73" s="2688"/>
      <c r="FV73" s="2688"/>
      <c r="FW73" s="2688"/>
      <c r="FX73" s="2688"/>
      <c r="FY73" s="2688"/>
      <c r="FZ73" s="2688"/>
      <c r="GA73" s="2688"/>
      <c r="GB73" s="2688"/>
      <c r="GC73" s="2688"/>
      <c r="GD73" s="2688"/>
      <c r="GE73" s="2688"/>
      <c r="GF73" s="2688"/>
      <c r="GG73" s="2688"/>
      <c r="GH73" s="2688"/>
      <c r="GI73" s="2688"/>
      <c r="GJ73" s="2688"/>
      <c r="GK73" s="2688"/>
      <c r="GL73" s="2688"/>
      <c r="GM73" s="2688"/>
      <c r="GN73" s="2688"/>
      <c r="GO73" s="2688"/>
      <c r="GP73" s="2688"/>
      <c r="GQ73" s="2688"/>
      <c r="GR73" s="2688"/>
      <c r="GS73" s="2688"/>
      <c r="GT73" s="2688"/>
      <c r="GU73" s="2688"/>
      <c r="GV73" s="2688"/>
      <c r="GW73" s="2688"/>
      <c r="GX73" s="2688"/>
      <c r="GY73" s="2688"/>
      <c r="GZ73" s="2688"/>
      <c r="HA73" s="2688"/>
      <c r="HB73" s="2688"/>
      <c r="HC73" s="2688"/>
      <c r="HD73" s="2688"/>
      <c r="HE73" s="2688"/>
      <c r="HF73" s="2688"/>
      <c r="HG73" s="2688"/>
      <c r="HH73" s="2688"/>
      <c r="HI73" s="2688"/>
      <c r="HJ73" s="2688"/>
      <c r="HK73" s="2688"/>
      <c r="HL73" s="2688"/>
      <c r="HM73" s="2688"/>
      <c r="HN73" s="2688"/>
      <c r="HO73" s="2688"/>
      <c r="HP73" s="2688"/>
      <c r="HQ73" s="2688"/>
      <c r="HR73" s="2688"/>
      <c r="HS73" s="2688"/>
      <c r="HT73" s="2688"/>
      <c r="HU73" s="2688"/>
      <c r="HV73" s="2688"/>
      <c r="HW73" s="2688"/>
      <c r="HX73" s="2688"/>
      <c r="HY73" s="2688"/>
      <c r="HZ73" s="2688"/>
      <c r="IA73" s="2688"/>
      <c r="IB73" s="2688"/>
      <c r="IC73" s="2688"/>
      <c r="ID73" s="2688"/>
      <c r="IE73" s="2688"/>
      <c r="IF73" s="2688"/>
      <c r="IG73" s="2688"/>
      <c r="IH73" s="2688"/>
      <c r="II73" s="2688"/>
      <c r="IJ73" s="2688"/>
      <c r="IK73" s="2688"/>
      <c r="IL73" s="2688"/>
      <c r="IM73" s="2688"/>
      <c r="IN73" s="2688"/>
      <c r="IO73" s="2688"/>
      <c r="IP73" s="3560"/>
      <c r="IQ73" s="3560"/>
      <c r="IR73" s="3560"/>
      <c r="IS73" s="3560"/>
      <c r="IT73" s="3560"/>
      <c r="IU73" s="3560"/>
      <c r="IV73" s="3560"/>
      <c r="IW73" s="3560"/>
      <c r="IX73" s="3560"/>
      <c r="IY73" s="3560"/>
      <c r="IZ73" s="3560"/>
      <c r="JA73" s="3560"/>
      <c r="JB73" s="3560"/>
      <c r="JC73" s="3560"/>
      <c r="JD73" s="3560"/>
      <c r="JE73" s="3560"/>
      <c r="JF73" s="3560"/>
      <c r="JG73" s="4088"/>
      <c r="JH73" s="1233"/>
    </row>
    <row r="74" spans="1:268" x14ac:dyDescent="0.2">
      <c r="A74" s="1128">
        <v>74</v>
      </c>
      <c r="B74" s="1534" t="str">
        <f si="1" t="shared"/>
        <v/>
      </c>
      <c r="C74" s="1682" t="s">
        <v>6448</v>
      </c>
      <c r="D74" s="2252" t="s">
        <v>6449</v>
      </c>
      <c r="E74" s="2688"/>
      <c r="F74" s="2688"/>
      <c r="G74" s="2688"/>
      <c r="H74" s="2688"/>
      <c r="I74" s="2688"/>
      <c r="J74" s="2688"/>
      <c r="K74" s="2688"/>
      <c r="L74" s="2688"/>
      <c r="M74" s="2688"/>
      <c r="N74" s="2688"/>
      <c r="O74" s="2688"/>
      <c r="P74" s="2688"/>
      <c r="Q74" s="2688"/>
      <c r="R74" s="2688"/>
      <c r="S74" s="2688"/>
      <c r="T74" s="2688"/>
      <c r="U74" s="2688"/>
      <c r="V74" s="2688"/>
      <c r="W74" s="2688"/>
      <c r="X74" s="2688"/>
      <c r="Y74" s="2688"/>
      <c r="Z74" s="2688"/>
      <c r="AA74" s="2688"/>
      <c r="AB74" s="2688"/>
      <c r="AC74" s="2688"/>
      <c r="AD74" s="2688"/>
      <c r="AE74" s="2688"/>
      <c r="AF74" s="2688"/>
      <c r="AG74" s="2688"/>
      <c r="AH74" s="2688"/>
      <c r="AI74" s="2688"/>
      <c r="AJ74" s="2688"/>
      <c r="AK74" s="2688"/>
      <c r="AL74" s="2688"/>
      <c r="AM74" s="2688"/>
      <c r="AN74" s="2688"/>
      <c r="AO74" s="2688"/>
      <c r="AP74" s="2688"/>
      <c r="AQ74" s="2688"/>
      <c r="AR74" s="2688"/>
      <c r="AS74" s="2688"/>
      <c r="AT74" s="2688"/>
      <c r="AU74" s="2688"/>
      <c r="AV74" s="2688"/>
      <c r="AW74" s="2688"/>
      <c r="AX74" s="2688"/>
      <c r="AY74" s="2688"/>
      <c r="AZ74" s="2688"/>
      <c r="BA74" s="2688"/>
      <c r="BB74" s="2688"/>
      <c r="BC74" s="2688"/>
      <c r="BD74" s="2688"/>
      <c r="BE74" s="2688"/>
      <c r="BF74" s="2688"/>
      <c r="BG74" s="2688"/>
      <c r="BH74" s="2688"/>
      <c r="BI74" s="2688"/>
      <c r="BJ74" s="2688"/>
      <c r="BK74" s="2688"/>
      <c r="BL74" s="2688"/>
      <c r="BM74" s="2688"/>
      <c r="BN74" s="2688"/>
      <c r="BO74" s="2688"/>
      <c r="BP74" s="2688"/>
      <c r="BQ74" s="2688"/>
      <c r="BR74" s="2688"/>
      <c r="BS74" s="2688"/>
      <c r="BT74" s="2688"/>
      <c r="BU74" s="2688"/>
      <c r="BV74" s="2688"/>
      <c r="BW74" s="2688"/>
      <c r="BX74" s="2688"/>
      <c r="BY74" s="2688"/>
      <c r="BZ74" s="2688"/>
      <c r="CA74" s="2688"/>
      <c r="CB74" s="2688"/>
      <c r="CC74" s="2688"/>
      <c r="CD74" s="2688"/>
      <c r="CE74" s="2688"/>
      <c r="CF74" s="2688"/>
      <c r="CG74" s="2688"/>
      <c r="CH74" s="2688"/>
      <c r="CI74" s="2688"/>
      <c r="CJ74" s="2688">
        <v>800</v>
      </c>
      <c r="CK74" s="2688"/>
      <c r="CL74" s="2688"/>
      <c r="CM74" s="2688"/>
      <c r="CN74" s="2688"/>
      <c r="CO74" s="2688"/>
      <c r="CP74" s="2688"/>
      <c r="CQ74" s="2688"/>
      <c r="CR74" s="2688"/>
      <c r="CS74" s="2688"/>
      <c r="CT74" s="2688"/>
      <c r="CU74" s="2688"/>
      <c r="CV74" s="2688"/>
      <c r="CW74" s="2688"/>
      <c r="CX74" s="2688"/>
      <c r="CY74" s="2688"/>
      <c r="CZ74" s="2688"/>
      <c r="DA74" s="2688"/>
      <c r="DB74" s="2688"/>
      <c r="DC74" s="2688"/>
      <c r="DD74" s="2688"/>
      <c r="DE74" s="2688"/>
      <c r="DF74" s="2688"/>
      <c r="DG74" s="2688"/>
      <c r="DH74" s="2688"/>
      <c r="DI74" s="2688"/>
      <c r="DJ74" s="2688"/>
      <c r="DK74" s="2688"/>
      <c r="DL74" s="2688"/>
      <c r="DM74" s="2688">
        <v>800</v>
      </c>
      <c r="DN74" s="2688"/>
      <c r="DO74" s="2688"/>
      <c r="DP74" s="2688"/>
      <c r="DQ74" s="2688"/>
      <c r="DR74" s="2688"/>
      <c r="DS74" s="2688"/>
      <c r="DT74" s="2688"/>
      <c r="DU74" s="2688"/>
      <c r="DV74" s="2688"/>
      <c r="DW74" s="2688"/>
      <c r="DX74" s="2688"/>
      <c r="DY74" s="2688"/>
      <c r="DZ74" s="2688"/>
      <c r="EA74" s="2688"/>
      <c r="EB74" s="2688"/>
      <c r="EC74" s="2688"/>
      <c r="ED74" s="2688"/>
      <c r="EE74" s="2688"/>
      <c r="EF74" s="2688"/>
      <c r="EG74" s="2688"/>
      <c r="EH74" s="2688"/>
      <c r="EI74" s="2688"/>
      <c r="EJ74" s="2688"/>
      <c r="EK74" s="2688"/>
      <c r="EL74" s="2688"/>
      <c r="EM74" s="2688"/>
      <c r="EN74" s="2688"/>
      <c r="EO74" s="2688">
        <v>800</v>
      </c>
      <c r="EP74" s="2688"/>
      <c r="EQ74" s="2688"/>
      <c r="ER74" s="2688"/>
      <c r="ES74" s="2688"/>
      <c r="ET74" s="2688"/>
      <c r="EU74" s="2688"/>
      <c r="EV74" s="2688"/>
      <c r="EW74" s="2688"/>
      <c r="EX74" s="2688"/>
      <c r="EY74" s="2688"/>
      <c r="EZ74" s="2688"/>
      <c r="FA74" s="2688"/>
      <c r="FB74" s="2688"/>
      <c r="FC74" s="2688"/>
      <c r="FD74" s="2688"/>
      <c r="FE74" s="2688"/>
      <c r="FF74" s="2688"/>
      <c r="FG74" s="2688"/>
      <c r="FH74" s="2688"/>
      <c r="FI74" s="2688"/>
      <c r="FJ74" s="2688"/>
      <c r="FK74" s="2688"/>
      <c r="FL74" s="2688"/>
      <c r="FM74" s="2688"/>
      <c r="FN74" s="2688"/>
      <c r="FO74" s="2688"/>
      <c r="FP74" s="2688"/>
      <c r="FQ74" s="2688"/>
      <c r="FR74" s="2688"/>
      <c r="FS74" s="2688"/>
      <c r="FT74" s="2688"/>
      <c r="FU74" s="2688"/>
      <c r="FV74" s="2688"/>
      <c r="FW74" s="2688"/>
      <c r="FX74" s="2688"/>
      <c r="FY74" s="2688"/>
      <c r="FZ74" s="2688"/>
      <c r="GA74" s="2688"/>
      <c r="GB74" s="2688"/>
      <c r="GC74" s="2688"/>
      <c r="GD74" s="2688"/>
      <c r="GE74" s="2688"/>
      <c r="GF74" s="2688"/>
      <c r="GG74" s="2688"/>
      <c r="GH74" s="2688"/>
      <c r="GI74" s="2688"/>
      <c r="GJ74" s="2688"/>
      <c r="GK74" s="2688"/>
      <c r="GL74" s="2688"/>
      <c r="GM74" s="2688"/>
      <c r="GN74" s="2688"/>
      <c r="GO74" s="2688"/>
      <c r="GP74" s="2688"/>
      <c r="GQ74" s="2688"/>
      <c r="GR74" s="2688"/>
      <c r="GS74" s="2688"/>
      <c r="GT74" s="2688"/>
      <c r="GU74" s="2688"/>
      <c r="GV74" s="2688"/>
      <c r="GW74" s="2688"/>
      <c r="GX74" s="2688"/>
      <c r="GY74" s="2688"/>
      <c r="GZ74" s="2688"/>
      <c r="HA74" s="2688"/>
      <c r="HB74" s="2688"/>
      <c r="HC74" s="2688"/>
      <c r="HD74" s="2688"/>
      <c r="HE74" s="2688"/>
      <c r="HF74" s="2688"/>
      <c r="HG74" s="2688"/>
      <c r="HH74" s="2688"/>
      <c r="HI74" s="2688"/>
      <c r="HJ74" s="2688"/>
      <c r="HK74" s="2688"/>
      <c r="HL74" s="2688"/>
      <c r="HM74" s="2688"/>
      <c r="HN74" s="2688"/>
      <c r="HO74" s="2688"/>
      <c r="HP74" s="2688"/>
      <c r="HQ74" s="2688"/>
      <c r="HR74" s="2688"/>
      <c r="HS74" s="2688"/>
      <c r="HT74" s="2688"/>
      <c r="HU74" s="2688"/>
      <c r="HV74" s="2688"/>
      <c r="HW74" s="2688"/>
      <c r="HX74" s="2688"/>
      <c r="HY74" s="2688"/>
      <c r="HZ74" s="2688"/>
      <c r="IA74" s="2688"/>
      <c r="IB74" s="2688"/>
      <c r="IC74" s="2688"/>
      <c r="ID74" s="2688"/>
      <c r="IE74" s="2688"/>
      <c r="IF74" s="2688"/>
      <c r="IG74" s="2688"/>
      <c r="IH74" s="2688"/>
      <c r="II74" s="2688"/>
      <c r="IJ74" s="2688"/>
      <c r="IK74" s="2688"/>
      <c r="IL74" s="2688"/>
      <c r="IM74" s="2688"/>
      <c r="IN74" s="2688"/>
      <c r="IO74" s="2688"/>
      <c r="IP74" s="3560"/>
      <c r="IQ74" s="3560"/>
      <c r="IR74" s="3560"/>
      <c r="IS74" s="3560"/>
      <c r="IT74" s="3560"/>
      <c r="IU74" s="3560"/>
      <c r="IV74" s="3560"/>
      <c r="IW74" s="3560"/>
      <c r="IX74" s="3560"/>
      <c r="IY74" s="3560"/>
      <c r="IZ74" s="3560"/>
      <c r="JA74" s="3560"/>
      <c r="JB74" s="3560"/>
      <c r="JC74" s="3560"/>
      <c r="JD74" s="3560"/>
      <c r="JE74" s="3560"/>
      <c r="JF74" s="3560"/>
      <c r="JG74" s="4088"/>
      <c r="JH74" s="1233"/>
    </row>
    <row r="75" spans="1:268" x14ac:dyDescent="0.2">
      <c r="A75" s="1128">
        <v>75</v>
      </c>
      <c r="B75" s="1534" t="str">
        <f si="1" t="shared"/>
        <v/>
      </c>
      <c r="C75" s="1682" t="s">
        <v>7283</v>
      </c>
      <c r="D75" s="2252" t="s">
        <v>7284</v>
      </c>
      <c r="E75" s="2688"/>
      <c r="F75" s="2688"/>
      <c r="G75" s="2688"/>
      <c r="H75" s="2688"/>
      <c r="I75" s="2688"/>
      <c r="J75" s="2688"/>
      <c r="K75" s="2688"/>
      <c r="L75" s="2688"/>
      <c r="M75" s="2688"/>
      <c r="N75" s="2688"/>
      <c r="O75" s="2688"/>
      <c r="P75" s="2688"/>
      <c r="Q75" s="2688"/>
      <c r="R75" s="2688"/>
      <c r="S75" s="2688"/>
      <c r="T75" s="2688"/>
      <c r="U75" s="2688"/>
      <c r="V75" s="2688"/>
      <c r="W75" s="2688"/>
      <c r="X75" s="2688"/>
      <c r="Y75" s="2688"/>
      <c r="Z75" s="2688"/>
      <c r="AA75" s="2688"/>
      <c r="AB75" s="2688"/>
      <c r="AC75" s="2688"/>
      <c r="AD75" s="2688"/>
      <c r="AE75" s="2688"/>
      <c r="AF75" s="2688"/>
      <c r="AG75" s="2688"/>
      <c r="AH75" s="2688"/>
      <c r="AI75" s="2688"/>
      <c r="AJ75" s="2688"/>
      <c r="AK75" s="2688"/>
      <c r="AL75" s="2688"/>
      <c r="AM75" s="2688"/>
      <c r="AN75" s="2688"/>
      <c r="AO75" s="2688"/>
      <c r="AP75" s="2688"/>
      <c r="AQ75" s="2688"/>
      <c r="AR75" s="2688"/>
      <c r="AS75" s="2688"/>
      <c r="AT75" s="2688"/>
      <c r="AU75" s="2688"/>
      <c r="AV75" s="2688"/>
      <c r="AW75" s="2688"/>
      <c r="AX75" s="2688"/>
      <c r="AY75" s="2688"/>
      <c r="AZ75" s="2688"/>
      <c r="BA75" s="2688"/>
      <c r="BB75" s="2688"/>
      <c r="BC75" s="2688"/>
      <c r="BD75" s="2688"/>
      <c r="BE75" s="2688"/>
      <c r="BF75" s="2688"/>
      <c r="BG75" s="2688"/>
      <c r="BH75" s="2688"/>
      <c r="BI75" s="2688"/>
      <c r="BJ75" s="2688"/>
      <c r="BK75" s="2688"/>
      <c r="BL75" s="2688"/>
      <c r="BM75" s="2688"/>
      <c r="BN75" s="2688"/>
      <c r="BO75" s="2688"/>
      <c r="BP75" s="2688"/>
      <c r="BQ75" s="2688"/>
      <c r="BR75" s="2688"/>
      <c r="BS75" s="2688"/>
      <c r="BT75" s="2688"/>
      <c r="BU75" s="2688"/>
      <c r="BV75" s="2688"/>
      <c r="BW75" s="2688"/>
      <c r="BX75" s="2688"/>
      <c r="BY75" s="2688"/>
      <c r="BZ75" s="2688"/>
      <c r="CA75" s="2688"/>
      <c r="CB75" s="2688"/>
      <c r="CC75" s="2688"/>
      <c r="CD75" s="2688"/>
      <c r="CE75" s="2688"/>
      <c r="CF75" s="2688"/>
      <c r="CG75" s="2688"/>
      <c r="CH75" s="2688"/>
      <c r="CI75" s="2688"/>
      <c r="CJ75" s="2688">
        <v>100</v>
      </c>
      <c r="CK75" s="2688"/>
      <c r="CL75" s="2688"/>
      <c r="CM75" s="2688"/>
      <c r="CN75" s="2688"/>
      <c r="CO75" s="2688"/>
      <c r="CP75" s="2688"/>
      <c r="CQ75" s="2688"/>
      <c r="CR75" s="2688"/>
      <c r="CS75" s="2688"/>
      <c r="CT75" s="2688"/>
      <c r="CU75" s="2688"/>
      <c r="CV75" s="2688"/>
      <c r="CW75" s="2688"/>
      <c r="CX75" s="2688"/>
      <c r="CY75" s="2688"/>
      <c r="CZ75" s="2688"/>
      <c r="DA75" s="2688"/>
      <c r="DB75" s="2688"/>
      <c r="DC75" s="2688"/>
      <c r="DD75" s="2688"/>
      <c r="DE75" s="2688"/>
      <c r="DF75" s="2688"/>
      <c r="DG75" s="2688"/>
      <c r="DH75" s="2688"/>
      <c r="DI75" s="2688"/>
      <c r="DJ75" s="2688"/>
      <c r="DK75" s="2688"/>
      <c r="DL75" s="2688"/>
      <c r="DM75" s="2688">
        <v>100</v>
      </c>
      <c r="DN75" s="2688"/>
      <c r="DO75" s="2688"/>
      <c r="DP75" s="2688"/>
      <c r="DQ75" s="2688"/>
      <c r="DR75" s="2688"/>
      <c r="DS75" s="2688"/>
      <c r="DT75" s="2688"/>
      <c r="DU75" s="2688"/>
      <c r="DV75" s="2688"/>
      <c r="DW75" s="2688"/>
      <c r="DX75" s="2688"/>
      <c r="DY75" s="2688"/>
      <c r="DZ75" s="2688"/>
      <c r="EA75" s="2688"/>
      <c r="EB75" s="2688"/>
      <c r="EC75" s="2688"/>
      <c r="ED75" s="2688"/>
      <c r="EE75" s="2688"/>
      <c r="EF75" s="2688"/>
      <c r="EG75" s="2688"/>
      <c r="EH75" s="2688"/>
      <c r="EI75" s="2688"/>
      <c r="EJ75" s="2688"/>
      <c r="EK75" s="2688"/>
      <c r="EL75" s="2688"/>
      <c r="EM75" s="2688"/>
      <c r="EN75" s="2688"/>
      <c r="EO75" s="2688">
        <v>100</v>
      </c>
      <c r="EP75" s="2688"/>
      <c r="EQ75" s="2688"/>
      <c r="ER75" s="2688"/>
      <c r="ES75" s="2688"/>
      <c r="ET75" s="2688"/>
      <c r="EU75" s="2688"/>
      <c r="EV75" s="2688"/>
      <c r="EW75" s="2688"/>
      <c r="EX75" s="2688"/>
      <c r="EY75" s="2688"/>
      <c r="EZ75" s="2688"/>
      <c r="FA75" s="2688"/>
      <c r="FB75" s="2688"/>
      <c r="FC75" s="2688"/>
      <c r="FD75" s="2688"/>
      <c r="FE75" s="2688"/>
      <c r="FF75" s="2688"/>
      <c r="FG75" s="2688"/>
      <c r="FH75" s="2688"/>
      <c r="FI75" s="2688"/>
      <c r="FJ75" s="2688"/>
      <c r="FK75" s="2688"/>
      <c r="FL75" s="2688"/>
      <c r="FM75" s="2688"/>
      <c r="FN75" s="2688"/>
      <c r="FO75" s="2688"/>
      <c r="FP75" s="2688"/>
      <c r="FQ75" s="2688"/>
      <c r="FR75" s="2688"/>
      <c r="FS75" s="2688"/>
      <c r="FT75" s="2688"/>
      <c r="FU75" s="2688"/>
      <c r="FV75" s="2688"/>
      <c r="FW75" s="2688"/>
      <c r="FX75" s="2688"/>
      <c r="FY75" s="2688"/>
      <c r="FZ75" s="2688"/>
      <c r="GA75" s="2688"/>
      <c r="GB75" s="2688"/>
      <c r="GC75" s="2688"/>
      <c r="GD75" s="2688"/>
      <c r="GE75" s="2688"/>
      <c r="GF75" s="2688"/>
      <c r="GG75" s="2688"/>
      <c r="GH75" s="2688"/>
      <c r="GI75" s="2688"/>
      <c r="GJ75" s="2688"/>
      <c r="GK75" s="2688"/>
      <c r="GL75" s="2688"/>
      <c r="GM75" s="2688"/>
      <c r="GN75" s="2688"/>
      <c r="GO75" s="2688"/>
      <c r="GP75" s="2688"/>
      <c r="GQ75" s="2688"/>
      <c r="GR75" s="2688"/>
      <c r="GS75" s="2688"/>
      <c r="GT75" s="2688"/>
      <c r="GU75" s="2688"/>
      <c r="GV75" s="2688"/>
      <c r="GW75" s="2688"/>
      <c r="GX75" s="2688"/>
      <c r="GY75" s="2688"/>
      <c r="GZ75" s="2688"/>
      <c r="HA75" s="2688"/>
      <c r="HB75" s="2688"/>
      <c r="HC75" s="2688"/>
      <c r="HD75" s="2688"/>
      <c r="HE75" s="2688"/>
      <c r="HF75" s="2688"/>
      <c r="HG75" s="2688"/>
      <c r="HH75" s="2688"/>
      <c r="HI75" s="2688"/>
      <c r="HJ75" s="2688"/>
      <c r="HK75" s="2688"/>
      <c r="HL75" s="2688"/>
      <c r="HM75" s="2688"/>
      <c r="HN75" s="2688"/>
      <c r="HO75" s="2688"/>
      <c r="HP75" s="2688"/>
      <c r="HQ75" s="2688"/>
      <c r="HR75" s="2688"/>
      <c r="HS75" s="2688"/>
      <c r="HT75" s="2688"/>
      <c r="HU75" s="2688"/>
      <c r="HV75" s="2688"/>
      <c r="HW75" s="2688"/>
      <c r="HX75" s="2688"/>
      <c r="HY75" s="2688"/>
      <c r="HZ75" s="2688"/>
      <c r="IA75" s="2688"/>
      <c r="IB75" s="2688"/>
      <c r="IC75" s="2688"/>
      <c r="ID75" s="2688"/>
      <c r="IE75" s="2688"/>
      <c r="IF75" s="2688"/>
      <c r="IG75" s="2688"/>
      <c r="IH75" s="2688"/>
      <c r="II75" s="2688"/>
      <c r="IJ75" s="2688"/>
      <c r="IK75" s="2688"/>
      <c r="IL75" s="2688"/>
      <c r="IM75" s="2688"/>
      <c r="IN75" s="2688"/>
      <c r="IO75" s="2688"/>
      <c r="IP75" s="3565"/>
      <c r="IQ75" s="3565"/>
      <c r="IR75" s="3565"/>
      <c r="IS75" s="3565"/>
      <c r="IT75" s="3565"/>
      <c r="IU75" s="3565"/>
      <c r="IV75" s="3565"/>
      <c r="IW75" s="3565"/>
      <c r="IX75" s="3565"/>
      <c r="IY75" s="3565"/>
      <c r="IZ75" s="3565"/>
      <c r="JA75" s="3565"/>
      <c r="JB75" s="3565"/>
      <c r="JC75" s="3565"/>
      <c r="JD75" s="3565"/>
      <c r="JE75" s="3565"/>
      <c r="JF75" s="3565"/>
      <c r="JG75" s="4093"/>
      <c r="JH75" s="1233"/>
    </row>
    <row r="76" spans="1:268" x14ac:dyDescent="0.2">
      <c r="A76" s="1128">
        <v>76</v>
      </c>
      <c r="B76" s="1534" t="str">
        <f si="1" t="shared"/>
        <v/>
      </c>
      <c r="C76" s="1278" t="s">
        <v>3602</v>
      </c>
      <c r="D76" s="1082" t="s">
        <v>5327</v>
      </c>
      <c r="E76" s="2688"/>
      <c r="F76" s="2688"/>
      <c r="G76" s="2688"/>
      <c r="H76" s="2688"/>
      <c r="I76" s="2688"/>
      <c r="J76" s="2688"/>
      <c r="K76" s="2688"/>
      <c r="L76" s="2688"/>
      <c r="M76" s="2688"/>
      <c r="N76" s="2688"/>
      <c r="O76" s="2688"/>
      <c r="P76" s="2688"/>
      <c r="Q76" s="2688"/>
      <c r="R76" s="2688"/>
      <c r="S76" s="2688"/>
      <c r="T76" s="2688"/>
      <c r="U76" s="2688"/>
      <c r="V76" s="2688"/>
      <c r="W76" s="2688"/>
      <c r="X76" s="2688"/>
      <c r="Y76" s="2688"/>
      <c r="Z76" s="2688"/>
      <c r="AA76" s="2688"/>
      <c r="AB76" s="2688"/>
      <c r="AC76" s="2688"/>
      <c r="AD76" s="2688"/>
      <c r="AE76" s="2688"/>
      <c r="AF76" s="2688"/>
      <c r="AG76" s="2688"/>
      <c r="AH76" s="2688"/>
      <c r="AI76" s="2688"/>
      <c r="AJ76" s="2688"/>
      <c r="AK76" s="2688"/>
      <c r="AL76" s="2688"/>
      <c r="AM76" s="2688"/>
      <c r="AN76" s="2688"/>
      <c r="AO76" s="2688"/>
      <c r="AP76" s="3977">
        <v>3602</v>
      </c>
      <c r="AQ76" s="2688"/>
      <c r="AR76" s="2688"/>
      <c r="AS76" s="2688"/>
      <c r="AT76" s="2688"/>
      <c r="AU76" s="2688"/>
      <c r="AV76" s="2688"/>
      <c r="AW76" s="2688"/>
      <c r="AX76" s="2688"/>
      <c r="AY76" s="2688"/>
      <c r="AZ76" s="2688"/>
      <c r="BA76" s="2688"/>
      <c r="BB76" s="2688"/>
      <c r="BC76" s="3977">
        <v>3602</v>
      </c>
      <c r="BD76" s="3977">
        <v>3602</v>
      </c>
      <c r="BE76" s="2688"/>
      <c r="BF76" s="2688"/>
      <c r="BG76" s="2688"/>
      <c r="BH76" s="2688"/>
      <c r="BI76" s="2688"/>
      <c r="BJ76" s="3977">
        <v>3602</v>
      </c>
      <c r="BK76" s="2688"/>
      <c r="BL76" s="2688"/>
      <c r="BM76" s="2688"/>
      <c r="BN76" s="2688"/>
      <c r="BO76" s="2688"/>
      <c r="BP76" s="2688"/>
      <c r="BQ76" s="2688"/>
      <c r="BR76" s="2688"/>
      <c r="BS76" s="2688"/>
      <c r="BT76" s="2688"/>
      <c r="BU76" s="2688"/>
      <c r="BV76" s="2688"/>
      <c r="BW76" s="2688"/>
      <c r="BX76" s="2688"/>
      <c r="BY76" s="2688"/>
      <c r="BZ76" s="2688"/>
      <c r="CA76" s="2688"/>
      <c r="CB76" s="3977">
        <v>3602</v>
      </c>
      <c r="CC76" s="2688"/>
      <c r="CD76" s="2688"/>
      <c r="CE76" s="2688"/>
      <c r="CF76" s="2688"/>
      <c r="CG76" s="2688"/>
      <c r="CH76" s="2688"/>
      <c r="CI76" s="2688"/>
      <c r="CJ76" s="2688"/>
      <c r="CK76" s="2688"/>
      <c r="CL76" s="2688"/>
      <c r="CM76" s="2688"/>
      <c r="CN76" s="2688"/>
      <c r="CO76" s="2688"/>
      <c r="CP76" s="2688"/>
      <c r="CQ76" s="2688"/>
      <c r="CR76" s="2688"/>
      <c r="CS76" s="2688"/>
      <c r="CT76" s="2688"/>
      <c r="CU76" s="2688"/>
      <c r="CV76" s="2688"/>
      <c r="CW76" s="2688"/>
      <c r="CX76" s="2688"/>
      <c r="CY76" s="2688"/>
      <c r="CZ76" s="2688"/>
      <c r="DA76" s="2688"/>
      <c r="DB76" s="2688"/>
      <c r="DC76" s="2688"/>
      <c r="DD76" s="2688"/>
      <c r="DE76" s="2688"/>
      <c r="DF76" s="2688"/>
      <c r="DG76" s="2688"/>
      <c r="DH76" s="2688"/>
      <c r="DI76" s="2688"/>
      <c r="DJ76" s="2688"/>
      <c r="DK76" s="2688"/>
      <c r="DL76" s="2688"/>
      <c r="DM76" s="2688"/>
      <c r="DN76" s="2688"/>
      <c r="DO76" s="2688"/>
      <c r="DP76" s="2688"/>
      <c r="DQ76" s="2688"/>
      <c r="DR76" s="2688"/>
      <c r="DS76" s="2688"/>
      <c r="DT76" s="2688"/>
      <c r="DU76" s="2688"/>
      <c r="DV76" s="2688"/>
      <c r="DW76" s="2688"/>
      <c r="DX76" s="2688"/>
      <c r="DY76" s="2688"/>
      <c r="DZ76" s="2688"/>
      <c r="EA76" s="2688"/>
      <c r="EB76" s="2688"/>
      <c r="EC76" s="2688"/>
      <c r="ED76" s="2688"/>
      <c r="EE76" s="2688"/>
      <c r="EF76" s="2688"/>
      <c r="EG76" s="2688"/>
      <c r="EH76" s="2688"/>
      <c r="EI76" s="2688"/>
      <c r="EJ76" s="2688"/>
      <c r="EK76" s="2688"/>
      <c r="EL76" s="2688"/>
      <c r="EM76" s="2688"/>
      <c r="EN76" s="2688"/>
      <c r="EO76" s="2688"/>
      <c r="EP76" s="2688"/>
      <c r="EQ76" s="2688"/>
      <c r="ER76" s="2688"/>
      <c r="ES76" s="2688"/>
      <c r="ET76" s="2688"/>
      <c r="EU76" s="2688"/>
      <c r="EV76" s="2688"/>
      <c r="EW76" s="2688"/>
      <c r="EX76" s="2688"/>
      <c r="EY76" s="2688"/>
      <c r="EZ76" s="2688"/>
      <c r="FA76" s="2688"/>
      <c r="FB76" s="2688"/>
      <c r="FC76" s="2688"/>
      <c r="FD76" s="2688"/>
      <c r="FE76" s="2688"/>
      <c r="FF76" s="2688"/>
      <c r="FG76" s="2688"/>
      <c r="FH76" s="2688"/>
      <c r="FI76" s="2688"/>
      <c r="FJ76" s="2688"/>
      <c r="FK76" s="2688"/>
      <c r="FL76" s="2688"/>
      <c r="FM76" s="2688"/>
      <c r="FN76" s="2688"/>
      <c r="FO76" s="2688"/>
      <c r="FP76" s="2688"/>
      <c r="FQ76" s="2688"/>
      <c r="FR76" s="2688"/>
      <c r="FS76" s="2688"/>
      <c r="FT76" s="2688"/>
      <c r="FU76" s="2688"/>
      <c r="FV76" s="2688"/>
      <c r="FW76" s="2688"/>
      <c r="FX76" s="2688"/>
      <c r="FY76" s="2688"/>
      <c r="FZ76" s="2688"/>
      <c r="GA76" s="2688"/>
      <c r="GB76" s="2688"/>
      <c r="GC76" s="2688"/>
      <c r="GD76" s="2688"/>
      <c r="GE76" s="2688"/>
      <c r="GF76" s="3977">
        <v>3602</v>
      </c>
      <c r="GG76" s="2688"/>
      <c r="GH76" s="2688"/>
      <c r="GI76" s="2688"/>
      <c r="GJ76" s="2688"/>
      <c r="GK76" s="2688"/>
      <c r="GL76" s="2688"/>
      <c r="GM76" s="2688"/>
      <c r="GN76" s="2688"/>
      <c r="GO76" s="2688"/>
      <c r="GP76" s="2688"/>
      <c r="GQ76" s="2688"/>
      <c r="GR76" s="2688"/>
      <c r="GS76" s="2688"/>
      <c r="GT76" s="2688"/>
      <c r="GU76" s="2688"/>
      <c r="GV76" s="2688"/>
      <c r="GW76" s="2688"/>
      <c r="GX76" s="2688"/>
      <c r="GY76" s="2688"/>
      <c r="GZ76" s="2688"/>
      <c r="HA76" s="2688"/>
      <c r="HB76" s="2688"/>
      <c r="HC76" s="2688"/>
      <c r="HD76" s="2688"/>
      <c r="HE76" s="2688"/>
      <c r="HF76" s="2688"/>
      <c r="HG76" s="2688"/>
      <c r="HH76" s="2688"/>
      <c r="HI76" s="2688"/>
      <c r="HJ76" s="2688"/>
      <c r="HK76" s="2688"/>
      <c r="HL76" s="2688"/>
      <c r="HM76" s="2688"/>
      <c r="HN76" s="2688"/>
      <c r="HO76" s="2688"/>
      <c r="HP76" s="2688"/>
      <c r="HQ76" s="2688"/>
      <c r="HR76" s="2688"/>
      <c r="HS76" s="2688"/>
      <c r="HT76" s="2688"/>
      <c r="HU76" s="2688"/>
      <c r="HV76" s="2688"/>
      <c r="HW76" s="2688"/>
      <c r="HX76" s="2688"/>
      <c r="HY76" s="2688"/>
      <c r="HZ76" s="2688"/>
      <c r="IA76" s="2688"/>
      <c r="IB76" s="2688"/>
      <c r="IC76" s="2688"/>
      <c r="ID76" s="2688"/>
      <c r="IE76" s="2688"/>
      <c r="IF76" s="2688"/>
      <c r="IG76" s="2688"/>
      <c r="IH76" s="2688"/>
      <c r="II76" s="2688"/>
      <c r="IJ76" s="2688"/>
      <c r="IK76" s="2688"/>
      <c r="IL76" s="2688"/>
      <c r="IM76" s="2688"/>
      <c r="IN76" s="2688"/>
      <c r="IO76" s="2688"/>
      <c r="IP76" s="3563"/>
      <c r="IQ76" s="3563"/>
      <c r="IR76" s="3563"/>
      <c r="IS76" s="3563"/>
      <c r="IT76" s="3563"/>
      <c r="IU76" s="3563"/>
      <c r="IV76" s="3563"/>
      <c r="IW76" s="3563"/>
      <c r="IX76" s="3563"/>
      <c r="IY76" s="3563"/>
      <c r="IZ76" s="3563"/>
      <c r="JA76" s="3563"/>
      <c r="JB76" s="3563"/>
      <c r="JC76" s="3563"/>
      <c r="JD76" s="3563"/>
      <c r="JE76" s="3563"/>
      <c r="JF76" s="3563"/>
      <c r="JG76" s="4090"/>
      <c r="JH76" s="1233"/>
    </row>
    <row r="77" spans="1:268" x14ac:dyDescent="0.2">
      <c r="A77" s="1128">
        <v>77</v>
      </c>
      <c r="B77" s="1534" t="str">
        <f ref="B77:B86" si="2" t="shared">IF(FOR_IND&gt;1,IF(HLOOKUP(FOR_IND-1,FOR_RANGE,A77)="","",HLOOKUP(FOR_IND-1,FOR_RANGE,A77)),"")</f>
        <v/>
      </c>
      <c r="C77" s="1681" t="s">
        <v>6577</v>
      </c>
      <c r="D77" s="2253" t="s">
        <v>6579</v>
      </c>
      <c r="E77" s="2688"/>
      <c r="F77" s="2688"/>
      <c r="G77" s="2688"/>
      <c r="H77" s="2688"/>
      <c r="I77" s="2688"/>
      <c r="J77" s="2688"/>
      <c r="K77" s="2688"/>
      <c r="L77" s="2688"/>
      <c r="M77" s="2688"/>
      <c r="N77" s="2688"/>
      <c r="O77" s="2688"/>
      <c r="P77" s="2688"/>
      <c r="Q77" s="2688"/>
      <c r="R77" s="2688"/>
      <c r="S77" s="2688"/>
      <c r="T77" s="2688"/>
      <c r="U77" s="2688"/>
      <c r="V77" s="2688"/>
      <c r="W77" s="2688"/>
      <c r="X77" s="2688"/>
      <c r="Y77" s="2688"/>
      <c r="Z77" s="2688"/>
      <c r="AA77" s="2688"/>
      <c r="AB77" s="2688"/>
      <c r="AC77" s="2688"/>
      <c r="AD77" s="2688"/>
      <c r="AE77" s="2688"/>
      <c r="AF77" s="2688"/>
      <c r="AG77" s="2688"/>
      <c r="AH77" s="2688"/>
      <c r="AI77" s="2688"/>
      <c r="AJ77" s="2688"/>
      <c r="AK77" s="2688"/>
      <c r="AL77" s="2688"/>
      <c r="AM77" s="2688"/>
      <c r="AN77" s="2688"/>
      <c r="AO77" s="2688"/>
      <c r="AP77" s="2688"/>
      <c r="AQ77" s="2688"/>
      <c r="AR77" s="2688"/>
      <c r="AS77" s="2688"/>
      <c r="AT77" s="2688"/>
      <c r="AU77" s="2688"/>
      <c r="AV77" s="2688"/>
      <c r="AW77" s="2688"/>
      <c r="AX77" s="2688"/>
      <c r="AY77" s="2688"/>
      <c r="AZ77" s="2688"/>
      <c r="BA77" s="2688"/>
      <c r="BB77" s="2688"/>
      <c r="BC77" s="2688"/>
      <c r="BD77" s="2688"/>
      <c r="BE77" s="2688"/>
      <c r="BF77" s="2688"/>
      <c r="BG77" s="2688"/>
      <c r="BH77" s="2688"/>
      <c r="BI77" s="2688"/>
      <c r="BJ77" s="2688"/>
      <c r="BK77" s="2688"/>
      <c r="BL77" s="2688"/>
      <c r="BM77" s="2688"/>
      <c r="BN77" s="2688"/>
      <c r="BO77" s="2688"/>
      <c r="BP77" s="2688"/>
      <c r="BQ77" s="2688"/>
      <c r="BR77" s="2688"/>
      <c r="BS77" s="2688"/>
      <c r="BT77" s="2688"/>
      <c r="BU77" s="2688"/>
      <c r="BV77" s="2688"/>
      <c r="BW77" s="2688"/>
      <c r="BX77" s="2688"/>
      <c r="BY77" s="2688"/>
      <c r="BZ77" s="2688"/>
      <c r="CA77" s="2688"/>
      <c r="CB77" s="2688"/>
      <c r="CC77" s="2688"/>
      <c r="CD77" s="2688"/>
      <c r="CE77" s="2688"/>
      <c r="CF77" s="2688"/>
      <c r="CG77" s="2688"/>
      <c r="CH77" s="2688"/>
      <c r="CI77" s="2688"/>
      <c r="CJ77" s="2688"/>
      <c r="CK77" s="2688"/>
      <c r="CL77" s="2688"/>
      <c r="CM77" s="2688"/>
      <c r="CN77" s="2688"/>
      <c r="CO77" s="2688"/>
      <c r="CP77" s="2688"/>
      <c r="CQ77" s="2688"/>
      <c r="CR77" s="2688"/>
      <c r="CS77" s="2688"/>
      <c r="CT77" s="2688"/>
      <c r="CU77" s="2688"/>
      <c r="CV77" s="2688"/>
      <c r="CW77" s="2688"/>
      <c r="CX77" s="2688"/>
      <c r="CY77" s="2688"/>
      <c r="CZ77" s="2688"/>
      <c r="DA77" s="2688"/>
      <c r="DB77" s="2688"/>
      <c r="DC77" s="2688"/>
      <c r="DD77" s="2688"/>
      <c r="DE77" s="2688"/>
      <c r="DF77" s="2688"/>
      <c r="DG77" s="2688"/>
      <c r="DH77" s="2688"/>
      <c r="DI77" s="2688"/>
      <c r="DJ77" s="2688"/>
      <c r="DK77" s="2688"/>
      <c r="DL77" s="2688"/>
      <c r="DM77" s="2688"/>
      <c r="DN77" s="2688"/>
      <c r="DO77" s="2688"/>
      <c r="DP77" s="2688"/>
      <c r="DQ77" s="2688"/>
      <c r="DR77" s="2688"/>
      <c r="DS77" s="2688"/>
      <c r="DT77" s="2688"/>
      <c r="DU77" s="2688"/>
      <c r="DV77" s="2688"/>
      <c r="DW77" s="2688"/>
      <c r="DX77" s="2688"/>
      <c r="DY77" s="2688"/>
      <c r="DZ77" s="2688"/>
      <c r="EA77" s="2688"/>
      <c r="EB77" s="2688"/>
      <c r="EC77" s="2688"/>
      <c r="ED77" s="2688"/>
      <c r="EE77" s="2688"/>
      <c r="EF77" s="2688"/>
      <c r="EG77" s="2688"/>
      <c r="EH77" s="2688"/>
      <c r="EI77" s="2688"/>
      <c r="EJ77" s="2688"/>
      <c r="EK77" s="2688"/>
      <c r="EL77" s="2688"/>
      <c r="EM77" s="2688"/>
      <c r="EN77" s="2688"/>
      <c r="EO77" s="2688"/>
      <c r="EP77" s="2688"/>
      <c r="EQ77" s="2688"/>
      <c r="ER77" s="2688"/>
      <c r="ES77" s="2688"/>
      <c r="ET77" s="2688"/>
      <c r="EU77" s="2688"/>
      <c r="EV77" s="2688"/>
      <c r="EW77" s="2688"/>
      <c r="EX77" s="2688"/>
      <c r="EY77" s="2688"/>
      <c r="EZ77" s="2688"/>
      <c r="FA77" s="2688"/>
      <c r="FB77" s="2688"/>
      <c r="FC77" s="2688"/>
      <c r="FD77" s="2688"/>
      <c r="FE77" s="2688"/>
      <c r="FF77" s="2688"/>
      <c r="FG77" s="2688"/>
      <c r="FH77" s="2688"/>
      <c r="FI77" s="2688"/>
      <c r="FJ77" s="2688"/>
      <c r="FK77" s="2688"/>
      <c r="FL77" s="2688"/>
      <c r="FM77" s="2688"/>
      <c r="FN77" s="2688"/>
      <c r="FO77" s="2688"/>
      <c r="FP77" s="2688"/>
      <c r="FQ77" s="2688"/>
      <c r="FR77" s="2688"/>
      <c r="FS77" s="2688"/>
      <c r="FT77" s="2688"/>
      <c r="FU77" s="2688"/>
      <c r="FV77" s="2688"/>
      <c r="FW77" s="2688"/>
      <c r="FX77" s="2688"/>
      <c r="FY77" s="2688"/>
      <c r="FZ77" s="2688"/>
      <c r="GA77" s="2688"/>
      <c r="GB77" s="2688"/>
      <c r="GC77" s="2688"/>
      <c r="GD77" s="2688"/>
      <c r="GE77" s="2688"/>
      <c r="GF77" s="2688"/>
      <c r="GG77" s="2688"/>
      <c r="GH77" s="2688"/>
      <c r="GI77" s="2688"/>
      <c r="GJ77" s="2688"/>
      <c r="GK77" s="2688"/>
      <c r="GL77" s="2688"/>
      <c r="GM77" s="2688"/>
      <c r="GN77" s="2688"/>
      <c r="GO77" s="2688"/>
      <c r="GP77" s="2688"/>
      <c r="GQ77" s="2688"/>
      <c r="GR77" s="2688"/>
      <c r="GS77" s="2688"/>
      <c r="GT77" s="2688"/>
      <c r="GU77" s="2688"/>
      <c r="GV77" s="2688"/>
      <c r="GW77" s="2688"/>
      <c r="GX77" s="2688"/>
      <c r="GY77" s="2688"/>
      <c r="GZ77" s="2688"/>
      <c r="HA77" s="2688"/>
      <c r="HB77" s="2688"/>
      <c r="HC77" s="2688"/>
      <c r="HD77" s="2688"/>
      <c r="HE77" s="2688"/>
      <c r="HF77" s="2688"/>
      <c r="HG77" s="2688"/>
      <c r="HH77" s="2688"/>
      <c r="HI77" s="2688"/>
      <c r="HJ77" s="2688"/>
      <c r="HK77" s="2688"/>
      <c r="HL77" s="2688"/>
      <c r="HM77" s="2688"/>
      <c r="HN77" s="2688"/>
      <c r="HO77" s="2688"/>
      <c r="HP77" s="2688"/>
      <c r="HQ77" s="2688"/>
      <c r="HR77" s="2688"/>
      <c r="HS77" s="2688"/>
      <c r="HT77" s="2688"/>
      <c r="HU77" s="2688"/>
      <c r="HV77" s="2688"/>
      <c r="HW77" s="2688"/>
      <c r="HX77" s="2688"/>
      <c r="HY77" s="2688"/>
      <c r="HZ77" s="2688"/>
      <c r="IA77" s="2688"/>
      <c r="IB77" s="2688"/>
      <c r="IC77" s="2688"/>
      <c r="ID77" s="2688"/>
      <c r="IE77" s="2688"/>
      <c r="IF77" s="2688"/>
      <c r="IG77" s="2688"/>
      <c r="IH77" s="2688"/>
      <c r="II77" s="2688"/>
      <c r="IJ77" s="2688"/>
      <c r="IK77" s="2688"/>
      <c r="IL77" s="2688"/>
      <c r="IM77" s="2688"/>
      <c r="IN77" s="2688"/>
      <c r="IO77" s="2688"/>
      <c r="IP77" s="3559"/>
      <c r="IQ77" s="3559"/>
      <c r="IR77" s="3559"/>
      <c r="IS77" s="3559"/>
      <c r="IT77" s="3559"/>
      <c r="IU77" s="3559"/>
      <c r="IV77" s="3559"/>
      <c r="IW77" s="3559"/>
      <c r="IX77" s="3559"/>
      <c r="IY77" s="3559"/>
      <c r="IZ77" s="3559"/>
      <c r="JA77" s="3559"/>
      <c r="JB77" s="3559"/>
      <c r="JC77" s="3559"/>
      <c r="JD77" s="3559"/>
      <c r="JE77" s="3559"/>
      <c r="JF77" s="3559"/>
      <c r="JG77" s="4087"/>
      <c r="JH77" s="1233"/>
    </row>
    <row r="78" spans="1:268" x14ac:dyDescent="0.2">
      <c r="A78" s="1128">
        <v>78</v>
      </c>
      <c r="B78" s="1534" t="str">
        <f si="2" t="shared"/>
        <v/>
      </c>
      <c r="C78" s="1681" t="s">
        <v>6578</v>
      </c>
      <c r="D78" s="2253" t="s">
        <v>6566</v>
      </c>
      <c r="E78" s="3359"/>
      <c r="F78" s="3359"/>
      <c r="G78" s="3359"/>
      <c r="H78" s="3359"/>
      <c r="I78" s="3359"/>
      <c r="J78" s="3359"/>
      <c r="K78" s="3359"/>
      <c r="L78" s="3359"/>
      <c r="M78" s="3359"/>
      <c r="N78" s="3359"/>
      <c r="O78" s="3359"/>
      <c r="P78" s="3359"/>
      <c r="Q78" s="3359"/>
      <c r="R78" s="3359"/>
      <c r="S78" s="3359"/>
      <c r="T78" s="3359"/>
      <c r="U78" s="3359"/>
      <c r="V78" s="3359"/>
      <c r="W78" s="3359"/>
      <c r="X78" s="3359"/>
      <c r="Y78" s="3359"/>
      <c r="Z78" s="3359"/>
      <c r="AA78" s="3359"/>
      <c r="AB78" s="3359"/>
      <c r="AC78" s="3359"/>
      <c r="AD78" s="3359"/>
      <c r="AE78" s="3359"/>
      <c r="AF78" s="3359"/>
      <c r="AG78" s="3359"/>
      <c r="AH78" s="3359"/>
      <c r="AI78" s="3359"/>
      <c r="AJ78" s="3359"/>
      <c r="AK78" s="3359"/>
      <c r="AL78" s="3359"/>
      <c r="AM78" s="3359"/>
      <c r="AN78" s="3359"/>
      <c r="AO78" s="3359"/>
      <c r="AP78" s="3359"/>
      <c r="AQ78" s="3359"/>
      <c r="AR78" s="3359"/>
      <c r="AS78" s="3359"/>
      <c r="AT78" s="3359"/>
      <c r="AU78" s="3359"/>
      <c r="AV78" s="3359"/>
      <c r="AW78" s="3359"/>
      <c r="AX78" s="3359"/>
      <c r="AY78" s="3359"/>
      <c r="AZ78" s="3359"/>
      <c r="BA78" s="3359"/>
      <c r="BB78" s="3359"/>
      <c r="BC78" s="3359"/>
      <c r="BD78" s="3359"/>
      <c r="BE78" s="3359"/>
      <c r="BF78" s="3359"/>
      <c r="BG78" s="3359"/>
      <c r="BH78" s="3359"/>
      <c r="BI78" s="3359"/>
      <c r="BJ78" s="3359"/>
      <c r="BK78" s="3359"/>
      <c r="BL78" s="3359"/>
      <c r="BM78" s="3359"/>
      <c r="BN78" s="3359"/>
      <c r="BO78" s="3359"/>
      <c r="BP78" s="3359"/>
      <c r="BQ78" s="3359"/>
      <c r="BR78" s="3359"/>
      <c r="BS78" s="3359"/>
      <c r="BT78" s="3359"/>
      <c r="BU78" s="3359"/>
      <c r="BV78" s="3359"/>
      <c r="BW78" s="3359"/>
      <c r="BX78" s="3359"/>
      <c r="BY78" s="3359"/>
      <c r="BZ78" s="3359"/>
      <c r="CA78" s="3359"/>
      <c r="CB78" s="3359"/>
      <c r="CC78" s="3359"/>
      <c r="CD78" s="3359"/>
      <c r="CE78" s="3359"/>
      <c r="CF78" s="3359"/>
      <c r="CG78" s="3359"/>
      <c r="CH78" s="3359"/>
      <c r="CI78" s="3359"/>
      <c r="CJ78" s="3359"/>
      <c r="CK78" s="3359"/>
      <c r="CL78" s="3359"/>
      <c r="CM78" s="3359"/>
      <c r="CN78" s="3359"/>
      <c r="CO78" s="3359"/>
      <c r="CP78" s="3359"/>
      <c r="CQ78" s="3359"/>
      <c r="CR78" s="3359"/>
      <c r="CS78" s="3359"/>
      <c r="CT78" s="3359"/>
      <c r="CU78" s="3359"/>
      <c r="CV78" s="3359"/>
      <c r="CW78" s="3359"/>
      <c r="CX78" s="3359"/>
      <c r="CY78" s="3359"/>
      <c r="CZ78" s="3359"/>
      <c r="DA78" s="3359"/>
      <c r="DB78" s="3359"/>
      <c r="DC78" s="3359"/>
      <c r="DD78" s="3359"/>
      <c r="DE78" s="3359"/>
      <c r="DF78" s="3359"/>
      <c r="DG78" s="3359"/>
      <c r="DH78" s="3359"/>
      <c r="DI78" s="3359"/>
      <c r="DJ78" s="3359"/>
      <c r="DK78" s="3359"/>
      <c r="DL78" s="3359"/>
      <c r="DM78" s="3359"/>
      <c r="DN78" s="3359"/>
      <c r="DO78" s="3359"/>
      <c r="DP78" s="3359"/>
      <c r="DQ78" s="3359"/>
      <c r="DR78" s="3359"/>
      <c r="DS78" s="3359"/>
      <c r="DT78" s="3359"/>
      <c r="DU78" s="3359"/>
      <c r="DV78" s="3359"/>
      <c r="DW78" s="3359"/>
      <c r="DX78" s="3359"/>
      <c r="DY78" s="3359"/>
      <c r="DZ78" s="3359"/>
      <c r="EA78" s="3359"/>
      <c r="EB78" s="3359"/>
      <c r="EC78" s="3359"/>
      <c r="ED78" s="3359"/>
      <c r="EE78" s="3359"/>
      <c r="EF78" s="3359"/>
      <c r="EG78" s="3359"/>
      <c r="EH78" s="3359"/>
      <c r="EI78" s="3359"/>
      <c r="EJ78" s="3359"/>
      <c r="EK78" s="3359"/>
      <c r="EL78" s="3359"/>
      <c r="EM78" s="3359"/>
      <c r="EN78" s="3359"/>
      <c r="EO78" s="3359"/>
      <c r="EP78" s="3359"/>
      <c r="EQ78" s="3359"/>
      <c r="ER78" s="3359"/>
      <c r="ES78" s="3359"/>
      <c r="ET78" s="3359"/>
      <c r="EU78" s="3359"/>
      <c r="EV78" s="3359"/>
      <c r="EW78" s="3359"/>
      <c r="EX78" s="3359"/>
      <c r="EY78" s="3359"/>
      <c r="EZ78" s="3359"/>
      <c r="FA78" s="3359"/>
      <c r="FB78" s="3359"/>
      <c r="FC78" s="3359"/>
      <c r="FD78" s="3359"/>
      <c r="FE78" s="3359"/>
      <c r="FF78" s="3359"/>
      <c r="FG78" s="3359"/>
      <c r="FH78" s="3359"/>
      <c r="FI78" s="3359"/>
      <c r="FJ78" s="3359"/>
      <c r="FK78" s="3359"/>
      <c r="FL78" s="3359"/>
      <c r="FM78" s="3359"/>
      <c r="FN78" s="3359"/>
      <c r="FO78" s="3359"/>
      <c r="FP78" s="3359"/>
      <c r="FQ78" s="3359"/>
      <c r="FR78" s="3359"/>
      <c r="FS78" s="3359"/>
      <c r="FT78" s="3359"/>
      <c r="FU78" s="3359"/>
      <c r="FV78" s="3359"/>
      <c r="FW78" s="3359"/>
      <c r="FX78" s="3359"/>
      <c r="FY78" s="3359"/>
      <c r="FZ78" s="3359"/>
      <c r="GA78" s="3359"/>
      <c r="GB78" s="3359"/>
      <c r="GC78" s="3359"/>
      <c r="GD78" s="3359"/>
      <c r="GE78" s="3359"/>
      <c r="GF78" s="3359"/>
      <c r="GG78" s="3359"/>
      <c r="GH78" s="3359"/>
      <c r="GI78" s="3359"/>
      <c r="GJ78" s="3359"/>
      <c r="GK78" s="3359"/>
      <c r="GL78" s="3359"/>
      <c r="GM78" s="3359"/>
      <c r="GN78" s="3359"/>
      <c r="GO78" s="3359"/>
      <c r="GP78" s="3359"/>
      <c r="GQ78" s="3359"/>
      <c r="GR78" s="3359"/>
      <c r="GS78" s="3359"/>
      <c r="GT78" s="3359"/>
      <c r="GU78" s="3359"/>
      <c r="GV78" s="3359"/>
      <c r="GW78" s="3359"/>
      <c r="GX78" s="3359"/>
      <c r="GY78" s="3359"/>
      <c r="GZ78" s="3359"/>
      <c r="HA78" s="3359"/>
      <c r="HB78" s="3359"/>
      <c r="HC78" s="3359"/>
      <c r="HD78" s="3359"/>
      <c r="HE78" s="3359"/>
      <c r="HF78" s="3359"/>
      <c r="HG78" s="3359"/>
      <c r="HH78" s="3359"/>
      <c r="HI78" s="3359"/>
      <c r="HJ78" s="3359" t="s">
        <v>572</v>
      </c>
      <c r="HK78" s="3359" t="s">
        <v>572</v>
      </c>
      <c r="HL78" s="3359" t="s">
        <v>572</v>
      </c>
      <c r="HM78" s="3359" t="s">
        <v>572</v>
      </c>
      <c r="HN78" s="3359"/>
      <c r="HO78" s="3359"/>
      <c r="HP78" s="3359"/>
      <c r="HQ78" s="3359"/>
      <c r="HR78" s="3359"/>
      <c r="HS78" s="3359"/>
      <c r="HT78" s="3359"/>
      <c r="HU78" s="3359"/>
      <c r="HV78" s="3359"/>
      <c r="HW78" s="3359"/>
      <c r="HX78" s="3359"/>
      <c r="HY78" s="3359"/>
      <c r="HZ78" s="3359"/>
      <c r="IA78" s="3359"/>
      <c r="IB78" s="3359"/>
      <c r="IC78" s="3359"/>
      <c r="ID78" s="3359"/>
      <c r="IE78" s="3359"/>
      <c r="IF78" s="3359"/>
      <c r="IG78" s="3359"/>
      <c r="IH78" s="3359"/>
      <c r="II78" s="3359"/>
      <c r="IJ78" s="3359"/>
      <c r="IK78" s="3359"/>
      <c r="IL78" s="3359"/>
      <c r="IM78" s="3359"/>
      <c r="IN78" s="3359"/>
      <c r="IO78" s="3359"/>
      <c r="IP78" s="3559"/>
      <c r="IQ78" s="3559"/>
      <c r="IR78" s="3559"/>
      <c r="IS78" s="3559"/>
      <c r="IT78" s="3559"/>
      <c r="IU78" s="3559"/>
      <c r="IV78" s="3559"/>
      <c r="IW78" s="3559"/>
      <c r="IX78" s="3559"/>
      <c r="IY78" s="3559"/>
      <c r="IZ78" s="3559"/>
      <c r="JA78" s="3559"/>
      <c r="JB78" s="3559"/>
      <c r="JC78" s="3559"/>
      <c r="JD78" s="3559"/>
      <c r="JE78" s="3559"/>
      <c r="JF78" s="3559"/>
      <c r="JG78" s="4087"/>
      <c r="JH78" s="1233"/>
    </row>
    <row r="79" spans="1:268" x14ac:dyDescent="0.2">
      <c r="A79" s="1128">
        <v>79</v>
      </c>
      <c r="B79" s="1534" t="str">
        <f si="2" t="shared"/>
        <v/>
      </c>
      <c r="C79" s="1278" t="s">
        <v>3603</v>
      </c>
      <c r="D79" s="1386" t="s">
        <v>5328</v>
      </c>
      <c r="E79" s="2688"/>
      <c r="F79" s="2688"/>
      <c r="G79" s="2688"/>
      <c r="H79" s="2688"/>
      <c r="I79" s="2688"/>
      <c r="J79" s="2688"/>
      <c r="K79" s="2688"/>
      <c r="L79" s="2688"/>
      <c r="M79" s="2688"/>
      <c r="N79" s="2688"/>
      <c r="O79" s="2688"/>
      <c r="P79" s="2688"/>
      <c r="Q79" s="2688"/>
      <c r="R79" s="2688"/>
      <c r="S79" s="2688"/>
      <c r="T79" s="2688"/>
      <c r="U79" s="2688"/>
      <c r="V79" s="2688"/>
      <c r="W79" s="2688"/>
      <c r="X79" s="2688"/>
      <c r="Y79" s="2688"/>
      <c r="Z79" s="2688"/>
      <c r="AA79" s="2688"/>
      <c r="AB79" s="2688"/>
      <c r="AC79" s="2688"/>
      <c r="AD79" s="2688"/>
      <c r="AE79" s="2688"/>
      <c r="AF79" s="2688"/>
      <c r="AG79" s="2688"/>
      <c r="AH79" s="2688"/>
      <c r="AI79" s="2688"/>
      <c r="AJ79" s="2688"/>
      <c r="AK79" s="2688"/>
      <c r="AL79" s="2688"/>
      <c r="AM79" s="2688"/>
      <c r="AN79" s="2688"/>
      <c r="AO79" s="2688"/>
      <c r="AP79" s="2688">
        <v>1</v>
      </c>
      <c r="AQ79" s="2688"/>
      <c r="AR79" s="2688"/>
      <c r="AS79" s="2688"/>
      <c r="AT79" s="2688"/>
      <c r="AU79" s="2688"/>
      <c r="AV79" s="2688"/>
      <c r="AW79" s="2688"/>
      <c r="AX79" s="2688"/>
      <c r="AY79" s="2688"/>
      <c r="AZ79" s="2688"/>
      <c r="BA79" s="2688"/>
      <c r="BB79" s="2688"/>
      <c r="BC79" s="2688">
        <v>1</v>
      </c>
      <c r="BD79" s="2688">
        <v>1</v>
      </c>
      <c r="BE79" s="2688"/>
      <c r="BF79" s="2688"/>
      <c r="BG79" s="2688"/>
      <c r="BH79" s="2688"/>
      <c r="BI79" s="2688"/>
      <c r="BJ79" s="2688">
        <v>1</v>
      </c>
      <c r="BK79" s="2688"/>
      <c r="BL79" s="2688"/>
      <c r="BM79" s="2688"/>
      <c r="BN79" s="2688"/>
      <c r="BO79" s="2688"/>
      <c r="BP79" s="2688"/>
      <c r="BQ79" s="2688"/>
      <c r="BR79" s="2688"/>
      <c r="BS79" s="2688"/>
      <c r="BT79" s="2688"/>
      <c r="BU79" s="2688"/>
      <c r="BV79" s="2688"/>
      <c r="BW79" s="2688"/>
      <c r="BX79" s="2688"/>
      <c r="BY79" s="2688"/>
      <c r="BZ79" s="2688"/>
      <c r="CA79" s="2688"/>
      <c r="CB79" s="3977">
        <v>1</v>
      </c>
      <c r="CC79" s="2688"/>
      <c r="CD79" s="2688"/>
      <c r="CE79" s="2688"/>
      <c r="CF79" s="2688"/>
      <c r="CG79" s="2688"/>
      <c r="CH79" s="2688"/>
      <c r="CI79" s="2688"/>
      <c r="CJ79" s="2688"/>
      <c r="CK79" s="2688"/>
      <c r="CL79" s="2688"/>
      <c r="CM79" s="2688"/>
      <c r="CN79" s="2688"/>
      <c r="CO79" s="2688"/>
      <c r="CP79" s="2688"/>
      <c r="CQ79" s="2688"/>
      <c r="CR79" s="2688"/>
      <c r="CS79" s="2688"/>
      <c r="CT79" s="2688"/>
      <c r="CU79" s="2688"/>
      <c r="CV79" s="2688"/>
      <c r="CW79" s="2688"/>
      <c r="CX79" s="2688"/>
      <c r="CY79" s="2688"/>
      <c r="CZ79" s="2688"/>
      <c r="DA79" s="2688"/>
      <c r="DB79" s="2688"/>
      <c r="DC79" s="2688"/>
      <c r="DD79" s="2688"/>
      <c r="DE79" s="2688"/>
      <c r="DF79" s="2688"/>
      <c r="DG79" s="2688"/>
      <c r="DH79" s="2688"/>
      <c r="DI79" s="2688"/>
      <c r="DJ79" s="2688"/>
      <c r="DK79" s="2688"/>
      <c r="DL79" s="2688"/>
      <c r="DM79" s="2688"/>
      <c r="DN79" s="2688"/>
      <c r="DO79" s="2688"/>
      <c r="DP79" s="2688"/>
      <c r="DQ79" s="2688"/>
      <c r="DR79" s="2688"/>
      <c r="DS79" s="2688"/>
      <c r="DT79" s="2688"/>
      <c r="DU79" s="2688"/>
      <c r="DV79" s="2688"/>
      <c r="DW79" s="2688"/>
      <c r="DX79" s="2688"/>
      <c r="DY79" s="2688"/>
      <c r="DZ79" s="2688"/>
      <c r="EA79" s="2688"/>
      <c r="EB79" s="2688"/>
      <c r="EC79" s="2688"/>
      <c r="ED79" s="2688"/>
      <c r="EE79" s="2688"/>
      <c r="EF79" s="2688"/>
      <c r="EG79" s="2688"/>
      <c r="EH79" s="2688"/>
      <c r="EI79" s="2688"/>
      <c r="EJ79" s="2688"/>
      <c r="EK79" s="2688"/>
      <c r="EL79" s="2688"/>
      <c r="EM79" s="2688"/>
      <c r="EN79" s="2688"/>
      <c r="EO79" s="2688"/>
      <c r="EP79" s="2688"/>
      <c r="EQ79" s="2688"/>
      <c r="ER79" s="2688"/>
      <c r="ES79" s="2688"/>
      <c r="ET79" s="2688"/>
      <c r="EU79" s="2688"/>
      <c r="EV79" s="2688"/>
      <c r="EW79" s="2688"/>
      <c r="EX79" s="2688"/>
      <c r="EY79" s="2688"/>
      <c r="EZ79" s="2688"/>
      <c r="FA79" s="2688"/>
      <c r="FB79" s="2688"/>
      <c r="FC79" s="2688"/>
      <c r="FD79" s="2688"/>
      <c r="FE79" s="2688"/>
      <c r="FF79" s="2688"/>
      <c r="FG79" s="2688"/>
      <c r="FH79" s="2688"/>
      <c r="FI79" s="2688"/>
      <c r="FJ79" s="2688"/>
      <c r="FK79" s="2688"/>
      <c r="FL79" s="2688"/>
      <c r="FM79" s="2688"/>
      <c r="FN79" s="2688"/>
      <c r="FO79" s="2688"/>
      <c r="FP79" s="2688"/>
      <c r="FQ79" s="2688"/>
      <c r="FR79" s="2688"/>
      <c r="FS79" s="2688"/>
      <c r="FT79" s="2688"/>
      <c r="FU79" s="2688"/>
      <c r="FV79" s="2688"/>
      <c r="FW79" s="2688"/>
      <c r="FX79" s="2688"/>
      <c r="FY79" s="2688"/>
      <c r="FZ79" s="2688"/>
      <c r="GA79" s="2688"/>
      <c r="GB79" s="2688"/>
      <c r="GC79" s="2688"/>
      <c r="GD79" s="2688"/>
      <c r="GE79" s="2688"/>
      <c r="GF79" s="2688">
        <v>1</v>
      </c>
      <c r="GG79" s="2688"/>
      <c r="GH79" s="2688"/>
      <c r="GI79" s="2688"/>
      <c r="GJ79" s="2688"/>
      <c r="GK79" s="2688"/>
      <c r="GL79" s="2688"/>
      <c r="GM79" s="2688"/>
      <c r="GN79" s="2688"/>
      <c r="GO79" s="2688"/>
      <c r="GP79" s="2688"/>
      <c r="GQ79" s="2688"/>
      <c r="GR79" s="2688"/>
      <c r="GS79" s="2688"/>
      <c r="GT79" s="2688"/>
      <c r="GU79" s="2688"/>
      <c r="GV79" s="2688"/>
      <c r="GW79" s="2688"/>
      <c r="GX79" s="2688"/>
      <c r="GY79" s="2688"/>
      <c r="GZ79" s="2688"/>
      <c r="HA79" s="2688"/>
      <c r="HB79" s="2688"/>
      <c r="HC79" s="2688"/>
      <c r="HD79" s="2688"/>
      <c r="HE79" s="2688"/>
      <c r="HF79" s="2688"/>
      <c r="HG79" s="2688"/>
      <c r="HH79" s="2688"/>
      <c r="HI79" s="2688"/>
      <c r="HJ79" s="2688"/>
      <c r="HK79" s="2688"/>
      <c r="HL79" s="2688"/>
      <c r="HM79" s="2688"/>
      <c r="HN79" s="2688"/>
      <c r="HO79" s="2688"/>
      <c r="HP79" s="2688"/>
      <c r="HQ79" s="2688"/>
      <c r="HR79" s="2688"/>
      <c r="HS79" s="2688"/>
      <c r="HT79" s="2688"/>
      <c r="HU79" s="2688"/>
      <c r="HV79" s="2688"/>
      <c r="HW79" s="2688"/>
      <c r="HX79" s="2688"/>
      <c r="HY79" s="2688"/>
      <c r="HZ79" s="2688"/>
      <c r="IA79" s="2688"/>
      <c r="IB79" s="2688"/>
      <c r="IC79" s="2688"/>
      <c r="ID79" s="2688"/>
      <c r="IE79" s="2688"/>
      <c r="IF79" s="2688"/>
      <c r="IG79" s="2688"/>
      <c r="IH79" s="2688"/>
      <c r="II79" s="2688"/>
      <c r="IJ79" s="2688"/>
      <c r="IK79" s="2688"/>
      <c r="IL79" s="2688"/>
      <c r="IM79" s="2688"/>
      <c r="IN79" s="2688"/>
      <c r="IO79" s="2688"/>
      <c r="IP79" s="2815"/>
      <c r="IQ79" s="2815"/>
      <c r="IR79" s="2815"/>
      <c r="IS79" s="2815"/>
      <c r="IT79" s="2815"/>
      <c r="IU79" s="2815"/>
      <c r="IV79" s="2815"/>
      <c r="IW79" s="2815"/>
      <c r="IX79" s="2815"/>
      <c r="IY79" s="2815"/>
      <c r="IZ79" s="2815"/>
      <c r="JA79" s="2815"/>
      <c r="JB79" s="2815"/>
      <c r="JC79" s="2815"/>
      <c r="JD79" s="2815"/>
      <c r="JE79" s="2815"/>
      <c r="JF79" s="2815"/>
      <c r="JG79" s="3348"/>
      <c r="JH79" s="1233"/>
    </row>
    <row r="80" spans="1:268" x14ac:dyDescent="0.2">
      <c r="A80" s="1128">
        <v>80</v>
      </c>
      <c r="B80" s="1534" t="str">
        <f si="2" t="shared"/>
        <v/>
      </c>
      <c r="C80" s="1278" t="s">
        <v>3604</v>
      </c>
      <c r="D80" s="1386" t="s">
        <v>5329</v>
      </c>
      <c r="E80" s="2688"/>
      <c r="F80" s="2688"/>
      <c r="G80" s="2688"/>
      <c r="H80" s="2688"/>
      <c r="I80" s="2688"/>
      <c r="J80" s="2688"/>
      <c r="K80" s="2688"/>
      <c r="L80" s="2688"/>
      <c r="M80" s="2688"/>
      <c r="N80" s="2688"/>
      <c r="O80" s="2688"/>
      <c r="P80" s="2688"/>
      <c r="Q80" s="2688"/>
      <c r="R80" s="2688"/>
      <c r="S80" s="2688"/>
      <c r="T80" s="2688"/>
      <c r="U80" s="2688"/>
      <c r="V80" s="2688"/>
      <c r="W80" s="2688"/>
      <c r="X80" s="2688"/>
      <c r="Y80" s="2688"/>
      <c r="Z80" s="2688"/>
      <c r="AA80" s="2688"/>
      <c r="AB80" s="2688"/>
      <c r="AC80" s="2688"/>
      <c r="AD80" s="2688"/>
      <c r="AE80" s="2688"/>
      <c r="AF80" s="2688"/>
      <c r="AG80" s="2688"/>
      <c r="AH80" s="2688"/>
      <c r="AI80" s="2688"/>
      <c r="AJ80" s="2688"/>
      <c r="AK80" s="2688"/>
      <c r="AL80" s="2688"/>
      <c r="AM80" s="2688"/>
      <c r="AN80" s="2688"/>
      <c r="AO80" s="2688"/>
      <c r="AP80" s="2688"/>
      <c r="AQ80" s="2688"/>
      <c r="AR80" s="2688"/>
      <c r="AS80" s="2688"/>
      <c r="AT80" s="2688"/>
      <c r="AU80" s="2688"/>
      <c r="AV80" s="2688"/>
      <c r="AW80" s="2688"/>
      <c r="AX80" s="2688"/>
      <c r="AY80" s="2688"/>
      <c r="AZ80" s="2688"/>
      <c r="BA80" s="2688"/>
      <c r="BB80" s="2688"/>
      <c r="BC80" s="2688"/>
      <c r="BD80" s="2688"/>
      <c r="BE80" s="2688"/>
      <c r="BF80" s="2688"/>
      <c r="BG80" s="2688"/>
      <c r="BH80" s="2688"/>
      <c r="BI80" s="2688"/>
      <c r="BJ80" s="2688"/>
      <c r="BK80" s="2688"/>
      <c r="BL80" s="2688"/>
      <c r="BM80" s="2688"/>
      <c r="BN80" s="2688"/>
      <c r="BO80" s="2688"/>
      <c r="BP80" s="2688"/>
      <c r="BQ80" s="2688"/>
      <c r="BR80" s="2688"/>
      <c r="BS80" s="2688"/>
      <c r="BT80" s="2688"/>
      <c r="BU80" s="2688"/>
      <c r="BV80" s="2688"/>
      <c r="BW80" s="2688"/>
      <c r="BX80" s="2688"/>
      <c r="BY80" s="2688"/>
      <c r="BZ80" s="2688"/>
      <c r="CA80" s="2688"/>
      <c r="CB80" s="2688"/>
      <c r="CC80" s="2688"/>
      <c r="CD80" s="2688"/>
      <c r="CE80" s="2688"/>
      <c r="CF80" s="2688"/>
      <c r="CG80" s="2688"/>
      <c r="CH80" s="2688"/>
      <c r="CI80" s="2688"/>
      <c r="CJ80" s="2688"/>
      <c r="CK80" s="2688"/>
      <c r="CL80" s="2688"/>
      <c r="CM80" s="2688"/>
      <c r="CN80" s="2688"/>
      <c r="CO80" s="2688"/>
      <c r="CP80" s="2688"/>
      <c r="CQ80" s="2688"/>
      <c r="CR80" s="2688"/>
      <c r="CS80" s="2688"/>
      <c r="CT80" s="2688"/>
      <c r="CU80" s="2688"/>
      <c r="CV80" s="2688"/>
      <c r="CW80" s="2688"/>
      <c r="CX80" s="2688"/>
      <c r="CY80" s="2688"/>
      <c r="CZ80" s="2688"/>
      <c r="DA80" s="2688"/>
      <c r="DB80" s="2688"/>
      <c r="DC80" s="2688"/>
      <c r="DD80" s="2688"/>
      <c r="DE80" s="2688"/>
      <c r="DF80" s="2688"/>
      <c r="DG80" s="2688"/>
      <c r="DH80" s="2688"/>
      <c r="DI80" s="2688"/>
      <c r="DJ80" s="2688"/>
      <c r="DK80" s="2688"/>
      <c r="DL80" s="2688"/>
      <c r="DM80" s="2688"/>
      <c r="DN80" s="2688"/>
      <c r="DO80" s="2688"/>
      <c r="DP80" s="2688"/>
      <c r="DQ80" s="2688"/>
      <c r="DR80" s="2688"/>
      <c r="DS80" s="2688"/>
      <c r="DT80" s="2688"/>
      <c r="DU80" s="2688"/>
      <c r="DV80" s="2688"/>
      <c r="DW80" s="2688"/>
      <c r="DX80" s="2688"/>
      <c r="DY80" s="2688"/>
      <c r="DZ80" s="2688"/>
      <c r="EA80" s="2688"/>
      <c r="EB80" s="2688"/>
      <c r="EC80" s="2688"/>
      <c r="ED80" s="2688"/>
      <c r="EE80" s="2688"/>
      <c r="EF80" s="2688"/>
      <c r="EG80" s="2688"/>
      <c r="EH80" s="2688"/>
      <c r="EI80" s="2688"/>
      <c r="EJ80" s="2688"/>
      <c r="EK80" s="2688"/>
      <c r="EL80" s="2688"/>
      <c r="EM80" s="2688"/>
      <c r="EN80" s="2688"/>
      <c r="EO80" s="2688"/>
      <c r="EP80" s="2688"/>
      <c r="EQ80" s="2688"/>
      <c r="ER80" s="2688"/>
      <c r="ES80" s="2688"/>
      <c r="ET80" s="2688"/>
      <c r="EU80" s="2688"/>
      <c r="EV80" s="2688"/>
      <c r="EW80" s="2688"/>
      <c r="EX80" s="2688"/>
      <c r="EY80" s="2688"/>
      <c r="EZ80" s="2688"/>
      <c r="FA80" s="2688"/>
      <c r="FB80" s="2688"/>
      <c r="FC80" s="2688"/>
      <c r="FD80" s="2688"/>
      <c r="FE80" s="2688"/>
      <c r="FF80" s="2688"/>
      <c r="FG80" s="2688"/>
      <c r="FH80" s="2688"/>
      <c r="FI80" s="2688"/>
      <c r="FJ80" s="2688"/>
      <c r="FK80" s="2688"/>
      <c r="FL80" s="2688"/>
      <c r="FM80" s="2688"/>
      <c r="FN80" s="2688"/>
      <c r="FO80" s="2688"/>
      <c r="FP80" s="2688"/>
      <c r="FQ80" s="2688"/>
      <c r="FR80" s="2688"/>
      <c r="FS80" s="2688"/>
      <c r="FT80" s="2688"/>
      <c r="FU80" s="2688"/>
      <c r="FV80" s="2688"/>
      <c r="FW80" s="2688"/>
      <c r="FX80" s="2688"/>
      <c r="FY80" s="2688"/>
      <c r="FZ80" s="2688"/>
      <c r="GA80" s="2688"/>
      <c r="GB80" s="2688"/>
      <c r="GC80" s="2688"/>
      <c r="GD80" s="2688"/>
      <c r="GE80" s="2688"/>
      <c r="GF80" s="2688"/>
      <c r="GG80" s="2688"/>
      <c r="GH80" s="2688"/>
      <c r="GI80" s="2688"/>
      <c r="GJ80" s="2688"/>
      <c r="GK80" s="2688"/>
      <c r="GL80" s="2688"/>
      <c r="GM80" s="2688"/>
      <c r="GN80" s="2688"/>
      <c r="GO80" s="2688"/>
      <c r="GP80" s="2688"/>
      <c r="GQ80" s="2688"/>
      <c r="GR80" s="2688"/>
      <c r="GS80" s="2688"/>
      <c r="GT80" s="2688"/>
      <c r="GU80" s="2688"/>
      <c r="GV80" s="2688"/>
      <c r="GW80" s="2688"/>
      <c r="GX80" s="2688"/>
      <c r="GY80" s="2688"/>
      <c r="GZ80" s="2688"/>
      <c r="HA80" s="2688"/>
      <c r="HB80" s="2688"/>
      <c r="HC80" s="2688"/>
      <c r="HD80" s="2688"/>
      <c r="HE80" s="2688"/>
      <c r="HF80" s="2688"/>
      <c r="HG80" s="2688"/>
      <c r="HH80" s="2688"/>
      <c r="HI80" s="2688"/>
      <c r="HJ80" s="2688"/>
      <c r="HK80" s="2688"/>
      <c r="HL80" s="2688"/>
      <c r="HM80" s="2688"/>
      <c r="HN80" s="2688"/>
      <c r="HO80" s="2688"/>
      <c r="HP80" s="2688"/>
      <c r="HQ80" s="2688"/>
      <c r="HR80" s="2688"/>
      <c r="HS80" s="2688"/>
      <c r="HT80" s="2688"/>
      <c r="HU80" s="2688"/>
      <c r="HV80" s="2688"/>
      <c r="HW80" s="2688"/>
      <c r="HX80" s="2688"/>
      <c r="HY80" s="2688"/>
      <c r="HZ80" s="2688"/>
      <c r="IA80" s="2688"/>
      <c r="IB80" s="2688"/>
      <c r="IC80" s="2688"/>
      <c r="ID80" s="2688"/>
      <c r="IE80" s="2688"/>
      <c r="IF80" s="2688"/>
      <c r="IG80" s="2688"/>
      <c r="IH80" s="2688"/>
      <c r="II80" s="2688"/>
      <c r="IJ80" s="2688"/>
      <c r="IK80" s="2688"/>
      <c r="IL80" s="2688"/>
      <c r="IM80" s="2688"/>
      <c r="IN80" s="2688"/>
      <c r="IO80" s="2688"/>
      <c r="IP80" s="2880"/>
      <c r="IQ80" s="2880"/>
      <c r="IR80" s="2880"/>
      <c r="IS80" s="2880"/>
      <c r="IT80" s="2880"/>
      <c r="IU80" s="2880"/>
      <c r="IV80" s="2880"/>
      <c r="IW80" s="2880"/>
      <c r="IX80" s="2880"/>
      <c r="IY80" s="2880"/>
      <c r="IZ80" s="2880"/>
      <c r="JA80" s="2880"/>
      <c r="JB80" s="2880"/>
      <c r="JC80" s="2880"/>
      <c r="JD80" s="2880"/>
      <c r="JE80" s="2880"/>
      <c r="JF80" s="2880"/>
      <c r="JG80" s="4094"/>
      <c r="JH80" s="1233"/>
    </row>
    <row r="81" spans="1:268" x14ac:dyDescent="0.2">
      <c r="A81" s="1128">
        <v>81</v>
      </c>
      <c r="B81" s="1534" t="str">
        <f si="2" t="shared"/>
        <v/>
      </c>
      <c r="C81" s="1278" t="s">
        <v>3605</v>
      </c>
      <c r="D81" s="1386" t="s">
        <v>5330</v>
      </c>
      <c r="E81" s="2688"/>
      <c r="F81" s="2688"/>
      <c r="G81" s="2688"/>
      <c r="H81" s="2688"/>
      <c r="I81" s="2688"/>
      <c r="J81" s="2688"/>
      <c r="K81" s="2688"/>
      <c r="L81" s="2688"/>
      <c r="M81" s="2688"/>
      <c r="N81" s="2688"/>
      <c r="O81" s="2688"/>
      <c r="P81" s="2688"/>
      <c r="Q81" s="2688"/>
      <c r="R81" s="2688"/>
      <c r="S81" s="2688"/>
      <c r="T81" s="2688"/>
      <c r="U81" s="2688"/>
      <c r="V81" s="2688"/>
      <c r="W81" s="2688"/>
      <c r="X81" s="2688"/>
      <c r="Y81" s="2688"/>
      <c r="Z81" s="2688"/>
      <c r="AA81" s="2688"/>
      <c r="AB81" s="2688"/>
      <c r="AC81" s="2688"/>
      <c r="AD81" s="2688"/>
      <c r="AE81" s="2688"/>
      <c r="AF81" s="2688"/>
      <c r="AG81" s="2688"/>
      <c r="AH81" s="2688"/>
      <c r="AI81" s="2688"/>
      <c r="AJ81" s="2688"/>
      <c r="AK81" s="2688"/>
      <c r="AL81" s="2688"/>
      <c r="AM81" s="2688"/>
      <c r="AN81" s="2688"/>
      <c r="AO81" s="2688"/>
      <c r="AP81" s="2688">
        <v>2510</v>
      </c>
      <c r="AQ81" s="2688"/>
      <c r="AR81" s="2688"/>
      <c r="AS81" s="2688"/>
      <c r="AT81" s="2688"/>
      <c r="AU81" s="2688"/>
      <c r="AV81" s="2688"/>
      <c r="AW81" s="2688"/>
      <c r="AX81" s="2688"/>
      <c r="AY81" s="2688"/>
      <c r="AZ81" s="2688"/>
      <c r="BA81" s="2688"/>
      <c r="BB81" s="2688"/>
      <c r="BC81" s="2688">
        <v>2510</v>
      </c>
      <c r="BD81" s="2688">
        <v>2510</v>
      </c>
      <c r="BE81" s="2688"/>
      <c r="BF81" s="2688"/>
      <c r="BG81" s="2688"/>
      <c r="BH81" s="2688"/>
      <c r="BI81" s="2688"/>
      <c r="BJ81" s="2688">
        <v>2510</v>
      </c>
      <c r="BK81" s="2688"/>
      <c r="BL81" s="2688"/>
      <c r="BM81" s="2688"/>
      <c r="BN81" s="2688"/>
      <c r="BO81" s="2688"/>
      <c r="BP81" s="2688"/>
      <c r="BQ81" s="2688"/>
      <c r="BR81" s="2688"/>
      <c r="BS81" s="2688"/>
      <c r="BT81" s="2688"/>
      <c r="BU81" s="2688"/>
      <c r="BV81" s="2688"/>
      <c r="BW81" s="2688"/>
      <c r="BX81" s="2688"/>
      <c r="BY81" s="2688"/>
      <c r="BZ81" s="2688"/>
      <c r="CA81" s="2688"/>
      <c r="CB81" s="3977">
        <v>2510</v>
      </c>
      <c r="CC81" s="2688"/>
      <c r="CD81" s="2688"/>
      <c r="CE81" s="2688"/>
      <c r="CF81" s="2688"/>
      <c r="CG81" s="2688"/>
      <c r="CH81" s="2688"/>
      <c r="CI81" s="2688"/>
      <c r="CJ81" s="2688"/>
      <c r="CK81" s="2688"/>
      <c r="CL81" s="2688"/>
      <c r="CM81" s="2688"/>
      <c r="CN81" s="2688"/>
      <c r="CO81" s="2688"/>
      <c r="CP81" s="2688"/>
      <c r="CQ81" s="2688"/>
      <c r="CR81" s="2688"/>
      <c r="CS81" s="2688"/>
      <c r="CT81" s="2688"/>
      <c r="CU81" s="2688"/>
      <c r="CV81" s="2688"/>
      <c r="CW81" s="2688"/>
      <c r="CX81" s="2688"/>
      <c r="CY81" s="2688"/>
      <c r="CZ81" s="2688"/>
      <c r="DA81" s="2688"/>
      <c r="DB81" s="2688"/>
      <c r="DC81" s="2688"/>
      <c r="DD81" s="2688"/>
      <c r="DE81" s="2688"/>
      <c r="DF81" s="2688"/>
      <c r="DG81" s="2688"/>
      <c r="DH81" s="2688"/>
      <c r="DI81" s="2688"/>
      <c r="DJ81" s="2688"/>
      <c r="DK81" s="2688"/>
      <c r="DL81" s="2688"/>
      <c r="DM81" s="2688"/>
      <c r="DN81" s="2688"/>
      <c r="DO81" s="2688"/>
      <c r="DP81" s="2688"/>
      <c r="DQ81" s="2688"/>
      <c r="DR81" s="2688"/>
      <c r="DS81" s="2688"/>
      <c r="DT81" s="2688"/>
      <c r="DU81" s="2688"/>
      <c r="DV81" s="2688"/>
      <c r="DW81" s="2688"/>
      <c r="DX81" s="2688"/>
      <c r="DY81" s="2688"/>
      <c r="DZ81" s="2688"/>
      <c r="EA81" s="2688"/>
      <c r="EB81" s="2688"/>
      <c r="EC81" s="2688"/>
      <c r="ED81" s="2688"/>
      <c r="EE81" s="2688"/>
      <c r="EF81" s="2688"/>
      <c r="EG81" s="2688"/>
      <c r="EH81" s="2688"/>
      <c r="EI81" s="2688"/>
      <c r="EJ81" s="2688"/>
      <c r="EK81" s="2688"/>
      <c r="EL81" s="2688"/>
      <c r="EM81" s="2688"/>
      <c r="EN81" s="2688"/>
      <c r="EO81" s="2688"/>
      <c r="EP81" s="2688"/>
      <c r="EQ81" s="2688"/>
      <c r="ER81" s="2688"/>
      <c r="ES81" s="2688"/>
      <c r="ET81" s="2688"/>
      <c r="EU81" s="2688"/>
      <c r="EV81" s="2688"/>
      <c r="EW81" s="2688"/>
      <c r="EX81" s="2688"/>
      <c r="EY81" s="2688"/>
      <c r="EZ81" s="2688"/>
      <c r="FA81" s="2688"/>
      <c r="FB81" s="2688"/>
      <c r="FC81" s="2688"/>
      <c r="FD81" s="2688"/>
      <c r="FE81" s="2688"/>
      <c r="FF81" s="2688"/>
      <c r="FG81" s="2688"/>
      <c r="FH81" s="2688"/>
      <c r="FI81" s="2688"/>
      <c r="FJ81" s="2688"/>
      <c r="FK81" s="2688"/>
      <c r="FL81" s="2688"/>
      <c r="FM81" s="2688"/>
      <c r="FN81" s="2688"/>
      <c r="FO81" s="2688"/>
      <c r="FP81" s="2688"/>
      <c r="FQ81" s="2688"/>
      <c r="FR81" s="2688"/>
      <c r="FS81" s="2688"/>
      <c r="FT81" s="2688"/>
      <c r="FU81" s="2688"/>
      <c r="FV81" s="2688"/>
      <c r="FW81" s="2688"/>
      <c r="FX81" s="2688"/>
      <c r="FY81" s="2688"/>
      <c r="FZ81" s="2688"/>
      <c r="GA81" s="2688"/>
      <c r="GB81" s="2688"/>
      <c r="GC81" s="2688"/>
      <c r="GD81" s="2688"/>
      <c r="GE81" s="2688"/>
      <c r="GF81" s="2688">
        <v>2510</v>
      </c>
      <c r="GG81" s="2688"/>
      <c r="GH81" s="2688"/>
      <c r="GI81" s="2688"/>
      <c r="GJ81" s="2688"/>
      <c r="GK81" s="2688"/>
      <c r="GL81" s="2688"/>
      <c r="GM81" s="2688"/>
      <c r="GN81" s="2688"/>
      <c r="GO81" s="2688"/>
      <c r="GP81" s="2688"/>
      <c r="GQ81" s="2688"/>
      <c r="GR81" s="2688"/>
      <c r="GS81" s="2688"/>
      <c r="GT81" s="2688"/>
      <c r="GU81" s="2688"/>
      <c r="GV81" s="2688"/>
      <c r="GW81" s="2688"/>
      <c r="GX81" s="2688"/>
      <c r="GY81" s="2688"/>
      <c r="GZ81" s="2688"/>
      <c r="HA81" s="2688"/>
      <c r="HB81" s="2688"/>
      <c r="HC81" s="2688"/>
      <c r="HD81" s="2688"/>
      <c r="HE81" s="2688"/>
      <c r="HF81" s="2688"/>
      <c r="HG81" s="2688"/>
      <c r="HH81" s="2688"/>
      <c r="HI81" s="2688"/>
      <c r="HJ81" s="2688">
        <v>2278</v>
      </c>
      <c r="HK81" s="2688">
        <v>2278</v>
      </c>
      <c r="HL81" s="2688">
        <v>2278</v>
      </c>
      <c r="HM81" s="2688">
        <v>2278</v>
      </c>
      <c r="HN81" s="2688"/>
      <c r="HO81" s="2688"/>
      <c r="HP81" s="2688"/>
      <c r="HQ81" s="2688"/>
      <c r="HR81" s="2688"/>
      <c r="HS81" s="2688"/>
      <c r="HT81" s="2688"/>
      <c r="HU81" s="2688"/>
      <c r="HV81" s="2688"/>
      <c r="HW81" s="2688"/>
      <c r="HX81" s="2688"/>
      <c r="HY81" s="2688"/>
      <c r="HZ81" s="2688"/>
      <c r="IA81" s="2688"/>
      <c r="IB81" s="2688"/>
      <c r="IC81" s="2688"/>
      <c r="ID81" s="2688"/>
      <c r="IE81" s="2688"/>
      <c r="IF81" s="2688"/>
      <c r="IG81" s="2688"/>
      <c r="IH81" s="2688"/>
      <c r="II81" s="2688"/>
      <c r="IJ81" s="2688"/>
      <c r="IK81" s="2688"/>
      <c r="IL81" s="2688"/>
      <c r="IM81" s="2688"/>
      <c r="IN81" s="2688"/>
      <c r="IO81" s="2688"/>
      <c r="IP81" s="3557"/>
      <c r="IQ81" s="3557"/>
      <c r="IR81" s="3557"/>
      <c r="IS81" s="3557"/>
      <c r="IT81" s="3557"/>
      <c r="IU81" s="3557"/>
      <c r="IV81" s="3557"/>
      <c r="IW81" s="3557"/>
      <c r="IX81" s="3557"/>
      <c r="IY81" s="3557"/>
      <c r="IZ81" s="3557"/>
      <c r="JA81" s="3557"/>
      <c r="JB81" s="3557"/>
      <c r="JC81" s="3557"/>
      <c r="JD81" s="3557"/>
      <c r="JE81" s="3557"/>
      <c r="JF81" s="3557"/>
      <c r="JG81" s="4085"/>
      <c r="JH81" s="1233"/>
    </row>
    <row r="82" spans="1:268" x14ac:dyDescent="0.2">
      <c r="A82" s="1128">
        <v>82</v>
      </c>
      <c r="B82" s="1534" t="str">
        <f si="2" t="shared"/>
        <v/>
      </c>
      <c r="C82" s="1278" t="s">
        <v>3606</v>
      </c>
      <c r="D82" s="1386" t="s">
        <v>5331</v>
      </c>
      <c r="E82" s="2688"/>
      <c r="F82" s="2688"/>
      <c r="G82" s="2688"/>
      <c r="H82" s="2688"/>
      <c r="I82" s="2688"/>
      <c r="J82" s="2688"/>
      <c r="K82" s="2688"/>
      <c r="L82" s="2688"/>
      <c r="M82" s="2688"/>
      <c r="N82" s="2688"/>
      <c r="O82" s="2688"/>
      <c r="P82" s="2688"/>
      <c r="Q82" s="2688"/>
      <c r="R82" s="2688"/>
      <c r="S82" s="2688"/>
      <c r="T82" s="2688"/>
      <c r="U82" s="2688"/>
      <c r="V82" s="2688"/>
      <c r="W82" s="2688"/>
      <c r="X82" s="2688"/>
      <c r="Y82" s="2688"/>
      <c r="Z82" s="2688"/>
      <c r="AA82" s="2688"/>
      <c r="AB82" s="2688"/>
      <c r="AC82" s="2688"/>
      <c r="AD82" s="2688"/>
      <c r="AE82" s="2688"/>
      <c r="AF82" s="2688"/>
      <c r="AG82" s="2688"/>
      <c r="AH82" s="2688"/>
      <c r="AI82" s="2688"/>
      <c r="AJ82" s="2688"/>
      <c r="AK82" s="2688"/>
      <c r="AL82" s="2688"/>
      <c r="AM82" s="2688"/>
      <c r="AN82" s="2688"/>
      <c r="AO82" s="2688"/>
      <c r="AP82" s="3360">
        <f>AP76+AP80-AP81</f>
        <v>1092</v>
      </c>
      <c r="AQ82" s="2688"/>
      <c r="AR82" s="2688"/>
      <c r="AS82" s="2688"/>
      <c r="AT82" s="2688"/>
      <c r="AU82" s="2688"/>
      <c r="AV82" s="2688"/>
      <c r="AW82" s="2688"/>
      <c r="AX82" s="2688"/>
      <c r="AY82" s="2688"/>
      <c r="AZ82" s="2688"/>
      <c r="BA82" s="2688"/>
      <c r="BB82" s="2688"/>
      <c r="BC82" s="3360">
        <f>BC76+BC80-BC81</f>
        <v>1092</v>
      </c>
      <c r="BD82" s="3360">
        <f>BD76+BD80-BD81</f>
        <v>1092</v>
      </c>
      <c r="BE82" s="2688"/>
      <c r="BF82" s="2688"/>
      <c r="BG82" s="2688"/>
      <c r="BH82" s="2688"/>
      <c r="BI82" s="2688"/>
      <c r="BJ82" s="3360">
        <f>BJ76+BJ80-BJ81</f>
        <v>1092</v>
      </c>
      <c r="BK82" s="2688"/>
      <c r="BL82" s="2688"/>
      <c r="BM82" s="2688"/>
      <c r="BN82" s="2688"/>
      <c r="BO82" s="2688"/>
      <c r="BP82" s="2688"/>
      <c r="BQ82" s="2688"/>
      <c r="BR82" s="2688"/>
      <c r="BS82" s="2688"/>
      <c r="BT82" s="2688"/>
      <c r="BU82" s="2688"/>
      <c r="BV82" s="2688"/>
      <c r="BW82" s="2688"/>
      <c r="BX82" s="2688"/>
      <c r="BY82" s="2688"/>
      <c r="BZ82" s="2688"/>
      <c r="CA82" s="2688"/>
      <c r="CB82" s="3977">
        <f>CB76+CB80-CB81</f>
        <v>1092</v>
      </c>
      <c r="CC82" s="2688"/>
      <c r="CD82" s="2688"/>
      <c r="CE82" s="2688"/>
      <c r="CF82" s="2688"/>
      <c r="CG82" s="2688"/>
      <c r="CH82" s="2688"/>
      <c r="CI82" s="2688"/>
      <c r="CJ82" s="2688"/>
      <c r="CK82" s="2688"/>
      <c r="CL82" s="2688"/>
      <c r="CM82" s="2688"/>
      <c r="CN82" s="2688"/>
      <c r="CO82" s="2688"/>
      <c r="CP82" s="2688"/>
      <c r="CQ82" s="2688"/>
      <c r="CR82" s="2688"/>
      <c r="CS82" s="2688"/>
      <c r="CT82" s="2688"/>
      <c r="CU82" s="2688"/>
      <c r="CV82" s="2688"/>
      <c r="CW82" s="2688"/>
      <c r="CX82" s="2688"/>
      <c r="CY82" s="2688"/>
      <c r="CZ82" s="2688"/>
      <c r="DA82" s="2688"/>
      <c r="DB82" s="2688"/>
      <c r="DC82" s="2688"/>
      <c r="DD82" s="2688"/>
      <c r="DE82" s="2688"/>
      <c r="DF82" s="2688"/>
      <c r="DG82" s="2688"/>
      <c r="DH82" s="2688"/>
      <c r="DI82" s="2688"/>
      <c r="DJ82" s="2688"/>
      <c r="DK82" s="2688"/>
      <c r="DL82" s="2688"/>
      <c r="DM82" s="2688"/>
      <c r="DN82" s="2688"/>
      <c r="DO82" s="2688"/>
      <c r="DP82" s="2688"/>
      <c r="DQ82" s="2688"/>
      <c r="DR82" s="2688"/>
      <c r="DS82" s="2688"/>
      <c r="DT82" s="2688"/>
      <c r="DU82" s="2688"/>
      <c r="DV82" s="2688"/>
      <c r="DW82" s="2688"/>
      <c r="DX82" s="2688"/>
      <c r="DY82" s="2688"/>
      <c r="DZ82" s="2688"/>
      <c r="EA82" s="2688"/>
      <c r="EB82" s="2688"/>
      <c r="EC82" s="2688"/>
      <c r="ED82" s="2688"/>
      <c r="EE82" s="2688"/>
      <c r="EF82" s="2688"/>
      <c r="EG82" s="2688"/>
      <c r="EH82" s="2688"/>
      <c r="EI82" s="2688"/>
      <c r="EJ82" s="2688"/>
      <c r="EK82" s="2688"/>
      <c r="EL82" s="2688"/>
      <c r="EM82" s="2688"/>
      <c r="EN82" s="2688"/>
      <c r="EO82" s="2688"/>
      <c r="EP82" s="2688"/>
      <c r="EQ82" s="2688"/>
      <c r="ER82" s="2688"/>
      <c r="ES82" s="2688"/>
      <c r="ET82" s="2688"/>
      <c r="EU82" s="2688"/>
      <c r="EV82" s="2688"/>
      <c r="EW82" s="2688"/>
      <c r="EX82" s="2688"/>
      <c r="EY82" s="2688"/>
      <c r="EZ82" s="2688"/>
      <c r="FA82" s="2688"/>
      <c r="FB82" s="2688"/>
      <c r="FC82" s="2688"/>
      <c r="FD82" s="2688"/>
      <c r="FE82" s="2688"/>
      <c r="FF82" s="2688"/>
      <c r="FG82" s="2688"/>
      <c r="FH82" s="2688"/>
      <c r="FI82" s="2688"/>
      <c r="FJ82" s="2688"/>
      <c r="FK82" s="2688"/>
      <c r="FL82" s="2688"/>
      <c r="FM82" s="2688"/>
      <c r="FN82" s="2688"/>
      <c r="FO82" s="2688"/>
      <c r="FP82" s="2688"/>
      <c r="FQ82" s="2688"/>
      <c r="FR82" s="2688"/>
      <c r="FS82" s="2688"/>
      <c r="FT82" s="2688"/>
      <c r="FU82" s="2688"/>
      <c r="FV82" s="2688"/>
      <c r="FW82" s="2688"/>
      <c r="FX82" s="2688"/>
      <c r="FY82" s="2688"/>
      <c r="FZ82" s="2688"/>
      <c r="GA82" s="2688"/>
      <c r="GB82" s="2688"/>
      <c r="GC82" s="2688"/>
      <c r="GD82" s="2688"/>
      <c r="GE82" s="2688"/>
      <c r="GF82" s="3360">
        <f>GF76+GF80-GF81</f>
        <v>1092</v>
      </c>
      <c r="GG82" s="2688"/>
      <c r="GH82" s="2688"/>
      <c r="GI82" s="2688"/>
      <c r="GJ82" s="2688"/>
      <c r="GK82" s="2688"/>
      <c r="GL82" s="2688"/>
      <c r="GM82" s="2688"/>
      <c r="GN82" s="2688"/>
      <c r="GO82" s="2688"/>
      <c r="GP82" s="2688"/>
      <c r="GQ82" s="2688"/>
      <c r="GR82" s="2688"/>
      <c r="GS82" s="2688"/>
      <c r="GT82" s="2688"/>
      <c r="GU82" s="2688"/>
      <c r="GV82" s="2688"/>
      <c r="GW82" s="2688"/>
      <c r="GX82" s="2688"/>
      <c r="GY82" s="2688"/>
      <c r="GZ82" s="2688"/>
      <c r="HA82" s="2688"/>
      <c r="HB82" s="2688"/>
      <c r="HC82" s="2688"/>
      <c r="HD82" s="2688"/>
      <c r="HE82" s="2688"/>
      <c r="HF82" s="2688"/>
      <c r="HG82" s="2688"/>
      <c r="HH82" s="2688"/>
      <c r="HI82" s="2688"/>
      <c r="HJ82" s="3360">
        <f>HJ76+HJ80-HJ81</f>
        <v>-2278</v>
      </c>
      <c r="HK82" s="3360">
        <f>HK76+HK80-HK81</f>
        <v>-2278</v>
      </c>
      <c r="HL82" s="3360">
        <f>HL76+HL80-HL81</f>
        <v>-2278</v>
      </c>
      <c r="HM82" s="3360">
        <f>HM76+HM80-HM81</f>
        <v>-2278</v>
      </c>
      <c r="HN82" s="2688"/>
      <c r="HO82" s="2688"/>
      <c r="HP82" s="2688"/>
      <c r="HQ82" s="2688"/>
      <c r="HR82" s="2688"/>
      <c r="HS82" s="2688"/>
      <c r="HT82" s="2688"/>
      <c r="HU82" s="2688"/>
      <c r="HV82" s="2688"/>
      <c r="HW82" s="2688"/>
      <c r="HX82" s="2688"/>
      <c r="HY82" s="2688"/>
      <c r="HZ82" s="2688"/>
      <c r="IA82" s="2688"/>
      <c r="IB82" s="2688"/>
      <c r="IC82" s="2688"/>
      <c r="ID82" s="2688"/>
      <c r="IE82" s="2688"/>
      <c r="IF82" s="2688"/>
      <c r="IG82" s="2688"/>
      <c r="IH82" s="2688"/>
      <c r="II82" s="2688"/>
      <c r="IJ82" s="2688"/>
      <c r="IK82" s="2688"/>
      <c r="IL82" s="2688"/>
      <c r="IM82" s="2688"/>
      <c r="IN82" s="2688"/>
      <c r="IO82" s="2688"/>
      <c r="IP82" s="3566"/>
      <c r="IQ82" s="3566"/>
      <c r="IR82" s="3566"/>
      <c r="IS82" s="3566"/>
      <c r="IT82" s="3566"/>
      <c r="IU82" s="3566"/>
      <c r="IV82" s="3566"/>
      <c r="IW82" s="3566"/>
      <c r="IX82" s="3566"/>
      <c r="IY82" s="3566"/>
      <c r="IZ82" s="3566"/>
      <c r="JA82" s="3566"/>
      <c r="JB82" s="3566"/>
      <c r="JC82" s="3566"/>
      <c r="JD82" s="3566"/>
      <c r="JE82" s="3566"/>
      <c r="JF82" s="3566"/>
      <c r="JG82" s="4095"/>
      <c r="JH82" s="1233"/>
    </row>
    <row r="83" spans="1:268" x14ac:dyDescent="0.2">
      <c r="A83" s="1128">
        <v>83</v>
      </c>
      <c r="B83" s="1534" t="str">
        <f si="2" t="shared"/>
        <v/>
      </c>
      <c r="C83" s="1278" t="s">
        <v>3607</v>
      </c>
      <c r="D83" s="1386" t="s">
        <v>5332</v>
      </c>
      <c r="E83" s="2688"/>
      <c r="F83" s="2688"/>
      <c r="G83" s="2688"/>
      <c r="H83" s="2688"/>
      <c r="I83" s="2688"/>
      <c r="J83" s="2688"/>
      <c r="K83" s="2688"/>
      <c r="L83" s="2688"/>
      <c r="M83" s="2688"/>
      <c r="N83" s="2688"/>
      <c r="O83" s="2688"/>
      <c r="P83" s="2688"/>
      <c r="Q83" s="2688"/>
      <c r="R83" s="2688"/>
      <c r="S83" s="2688"/>
      <c r="T83" s="2688"/>
      <c r="U83" s="2688"/>
      <c r="V83" s="2688"/>
      <c r="W83" s="2688"/>
      <c r="X83" s="2688"/>
      <c r="Y83" s="2688"/>
      <c r="Z83" s="2688"/>
      <c r="AA83" s="2688"/>
      <c r="AB83" s="2688"/>
      <c r="AC83" s="2688"/>
      <c r="AD83" s="2688"/>
      <c r="AE83" s="2688"/>
      <c r="AF83" s="2688"/>
      <c r="AG83" s="2688"/>
      <c r="AH83" s="2688"/>
      <c r="AI83" s="2688"/>
      <c r="AJ83" s="2688"/>
      <c r="AK83" s="2688"/>
      <c r="AL83" s="2688"/>
      <c r="AM83" s="2688"/>
      <c r="AN83" s="2688"/>
      <c r="AO83" s="2688"/>
      <c r="AP83" s="2688">
        <v>90</v>
      </c>
      <c r="AQ83" s="2688"/>
      <c r="AR83" s="2688"/>
      <c r="AS83" s="2688"/>
      <c r="AT83" s="2688"/>
      <c r="AU83" s="2688"/>
      <c r="AV83" s="2688"/>
      <c r="AW83" s="2688"/>
      <c r="AX83" s="2688"/>
      <c r="AY83" s="2688"/>
      <c r="AZ83" s="2688"/>
      <c r="BA83" s="2688"/>
      <c r="BB83" s="2688"/>
      <c r="BC83" s="2688">
        <v>90</v>
      </c>
      <c r="BD83" s="2688">
        <v>90</v>
      </c>
      <c r="BE83" s="2688"/>
      <c r="BF83" s="2688"/>
      <c r="BG83" s="2688"/>
      <c r="BH83" s="2688"/>
      <c r="BI83" s="2688"/>
      <c r="BJ83" s="2688">
        <v>90</v>
      </c>
      <c r="BK83" s="2688"/>
      <c r="BL83" s="2688"/>
      <c r="BM83" s="2688"/>
      <c r="BN83" s="2688"/>
      <c r="BO83" s="2688"/>
      <c r="BP83" s="2688"/>
      <c r="BQ83" s="2688"/>
      <c r="BR83" s="2688"/>
      <c r="BS83" s="2688"/>
      <c r="BT83" s="2688"/>
      <c r="BU83" s="2688"/>
      <c r="BV83" s="2688"/>
      <c r="BW83" s="2688"/>
      <c r="BX83" s="2688"/>
      <c r="BY83" s="2688"/>
      <c r="BZ83" s="2688"/>
      <c r="CA83" s="2688"/>
      <c r="CB83" s="3977">
        <v>90</v>
      </c>
      <c r="CC83" s="2688"/>
      <c r="CD83" s="2688"/>
      <c r="CE83" s="2688"/>
      <c r="CF83" s="2688"/>
      <c r="CG83" s="2688"/>
      <c r="CH83" s="2688"/>
      <c r="CI83" s="2688"/>
      <c r="CJ83" s="2688"/>
      <c r="CK83" s="2688"/>
      <c r="CL83" s="2688"/>
      <c r="CM83" s="2688"/>
      <c r="CN83" s="2688"/>
      <c r="CO83" s="2688"/>
      <c r="CP83" s="2688"/>
      <c r="CQ83" s="2688"/>
      <c r="CR83" s="2688"/>
      <c r="CS83" s="2688"/>
      <c r="CT83" s="2688"/>
      <c r="CU83" s="2688"/>
      <c r="CV83" s="2688"/>
      <c r="CW83" s="2688"/>
      <c r="CX83" s="2688"/>
      <c r="CY83" s="2688"/>
      <c r="CZ83" s="2688"/>
      <c r="DA83" s="2688"/>
      <c r="DB83" s="2688"/>
      <c r="DC83" s="2688"/>
      <c r="DD83" s="2688"/>
      <c r="DE83" s="2688"/>
      <c r="DF83" s="2688"/>
      <c r="DG83" s="2688"/>
      <c r="DH83" s="2688"/>
      <c r="DI83" s="2688"/>
      <c r="DJ83" s="2688"/>
      <c r="DK83" s="2688"/>
      <c r="DL83" s="2688"/>
      <c r="DM83" s="2688"/>
      <c r="DN83" s="2688"/>
      <c r="DO83" s="2688"/>
      <c r="DP83" s="2688"/>
      <c r="DQ83" s="2688"/>
      <c r="DR83" s="2688"/>
      <c r="DS83" s="2688"/>
      <c r="DT83" s="2688"/>
      <c r="DU83" s="2688"/>
      <c r="DV83" s="2688"/>
      <c r="DW83" s="2688"/>
      <c r="DX83" s="2688"/>
      <c r="DY83" s="2688"/>
      <c r="DZ83" s="2688"/>
      <c r="EA83" s="2688"/>
      <c r="EB83" s="2688"/>
      <c r="EC83" s="2688"/>
      <c r="ED83" s="2688"/>
      <c r="EE83" s="2688"/>
      <c r="EF83" s="2688"/>
      <c r="EG83" s="2688"/>
      <c r="EH83" s="2688"/>
      <c r="EI83" s="2688"/>
      <c r="EJ83" s="2688"/>
      <c r="EK83" s="2688"/>
      <c r="EL83" s="2688"/>
      <c r="EM83" s="2688"/>
      <c r="EN83" s="2688"/>
      <c r="EO83" s="2688"/>
      <c r="EP83" s="2688"/>
      <c r="EQ83" s="2688"/>
      <c r="ER83" s="2688"/>
      <c r="ES83" s="2688"/>
      <c r="ET83" s="2688"/>
      <c r="EU83" s="2688"/>
      <c r="EV83" s="2688"/>
      <c r="EW83" s="2688"/>
      <c r="EX83" s="2688"/>
      <c r="EY83" s="2688"/>
      <c r="EZ83" s="2688"/>
      <c r="FA83" s="2688"/>
      <c r="FB83" s="2688"/>
      <c r="FC83" s="2688"/>
      <c r="FD83" s="2688"/>
      <c r="FE83" s="2688"/>
      <c r="FF83" s="2688"/>
      <c r="FG83" s="2688"/>
      <c r="FH83" s="2688"/>
      <c r="FI83" s="2688"/>
      <c r="FJ83" s="2688"/>
      <c r="FK83" s="2688"/>
      <c r="FL83" s="2688"/>
      <c r="FM83" s="2688"/>
      <c r="FN83" s="2688"/>
      <c r="FO83" s="2688"/>
      <c r="FP83" s="2688"/>
      <c r="FQ83" s="2688"/>
      <c r="FR83" s="2688"/>
      <c r="FS83" s="2688"/>
      <c r="FT83" s="2688"/>
      <c r="FU83" s="2688"/>
      <c r="FV83" s="2688"/>
      <c r="FW83" s="2688"/>
      <c r="FX83" s="2688"/>
      <c r="FY83" s="2688"/>
      <c r="FZ83" s="2688"/>
      <c r="GA83" s="2688"/>
      <c r="GB83" s="2688"/>
      <c r="GC83" s="2688"/>
      <c r="GD83" s="2688"/>
      <c r="GE83" s="2688"/>
      <c r="GF83" s="2688">
        <v>90</v>
      </c>
      <c r="GG83" s="2688"/>
      <c r="GH83" s="2688"/>
      <c r="GI83" s="2688"/>
      <c r="GJ83" s="2688"/>
      <c r="GK83" s="2688"/>
      <c r="GL83" s="2688"/>
      <c r="GM83" s="2688"/>
      <c r="GN83" s="2688"/>
      <c r="GO83" s="2688"/>
      <c r="GP83" s="2688"/>
      <c r="GQ83" s="2688"/>
      <c r="GR83" s="2688"/>
      <c r="GS83" s="2688"/>
      <c r="GT83" s="2688"/>
      <c r="GU83" s="2688"/>
      <c r="GV83" s="2688"/>
      <c r="GW83" s="2688"/>
      <c r="GX83" s="2688"/>
      <c r="GY83" s="2688"/>
      <c r="GZ83" s="2688"/>
      <c r="HA83" s="2688"/>
      <c r="HB83" s="2688"/>
      <c r="HC83" s="2688"/>
      <c r="HD83" s="2688"/>
      <c r="HE83" s="2688"/>
      <c r="HF83" s="2688"/>
      <c r="HG83" s="2688"/>
      <c r="HH83" s="2688"/>
      <c r="HI83" s="2688"/>
      <c r="HJ83" s="2688"/>
      <c r="HK83" s="2688"/>
      <c r="HL83" s="2688"/>
      <c r="HM83" s="2688"/>
      <c r="HN83" s="2688"/>
      <c r="HO83" s="2688"/>
      <c r="HP83" s="2688"/>
      <c r="HQ83" s="2688"/>
      <c r="HR83" s="2688"/>
      <c r="HS83" s="2688"/>
      <c r="HT83" s="2688"/>
      <c r="HU83" s="2688"/>
      <c r="HV83" s="2688"/>
      <c r="HW83" s="2688"/>
      <c r="HX83" s="2688"/>
      <c r="HY83" s="2688"/>
      <c r="HZ83" s="2688"/>
      <c r="IA83" s="2688"/>
      <c r="IB83" s="2688"/>
      <c r="IC83" s="2688"/>
      <c r="ID83" s="2688"/>
      <c r="IE83" s="2688"/>
      <c r="IF83" s="2688"/>
      <c r="IG83" s="2688"/>
      <c r="IH83" s="2688"/>
      <c r="II83" s="2688"/>
      <c r="IJ83" s="2688"/>
      <c r="IK83" s="2688"/>
      <c r="IL83" s="2688"/>
      <c r="IM83" s="2688"/>
      <c r="IN83" s="2688"/>
      <c r="IO83" s="2688"/>
      <c r="IP83" s="3557"/>
      <c r="IQ83" s="3557"/>
      <c r="IR83" s="3557"/>
      <c r="IS83" s="3557"/>
      <c r="IT83" s="3557"/>
      <c r="IU83" s="3557"/>
      <c r="IV83" s="3557"/>
      <c r="IW83" s="3557"/>
      <c r="IX83" s="3557"/>
      <c r="IY83" s="3557"/>
      <c r="IZ83" s="3557"/>
      <c r="JA83" s="3557"/>
      <c r="JB83" s="3557"/>
      <c r="JC83" s="3557"/>
      <c r="JD83" s="3557"/>
      <c r="JE83" s="3557"/>
      <c r="JF83" s="3557"/>
      <c r="JG83" s="4085"/>
      <c r="JH83" s="1233"/>
    </row>
    <row r="84" spans="1:268" x14ac:dyDescent="0.2">
      <c r="A84" s="1128">
        <v>84</v>
      </c>
      <c r="B84" s="1534" t="str">
        <f si="2" t="shared"/>
        <v/>
      </c>
      <c r="C84" s="1278" t="s">
        <v>3608</v>
      </c>
      <c r="D84" s="1386" t="s">
        <v>5333</v>
      </c>
      <c r="E84" s="2688"/>
      <c r="F84" s="2688"/>
      <c r="G84" s="2688"/>
      <c r="H84" s="2688"/>
      <c r="I84" s="2688"/>
      <c r="J84" s="2688"/>
      <c r="K84" s="2688"/>
      <c r="L84" s="2688"/>
      <c r="M84" s="2688"/>
      <c r="N84" s="2688"/>
      <c r="O84" s="2688"/>
      <c r="P84" s="2688"/>
      <c r="Q84" s="2688"/>
      <c r="R84" s="2688"/>
      <c r="S84" s="2688"/>
      <c r="T84" s="2688"/>
      <c r="U84" s="2688"/>
      <c r="V84" s="2688"/>
      <c r="W84" s="2688"/>
      <c r="X84" s="2688"/>
      <c r="Y84" s="2688"/>
      <c r="Z84" s="2688"/>
      <c r="AA84" s="2688"/>
      <c r="AB84" s="2688"/>
      <c r="AC84" s="2688"/>
      <c r="AD84" s="2688"/>
      <c r="AE84" s="2688"/>
      <c r="AF84" s="2688"/>
      <c r="AG84" s="2688"/>
      <c r="AH84" s="2688"/>
      <c r="AI84" s="2688"/>
      <c r="AJ84" s="2688"/>
      <c r="AK84" s="2688"/>
      <c r="AL84" s="2688"/>
      <c r="AM84" s="2688"/>
      <c r="AN84" s="2688"/>
      <c r="AO84" s="2688"/>
      <c r="AP84" s="2688"/>
      <c r="AQ84" s="2688"/>
      <c r="AR84" s="2688"/>
      <c r="AS84" s="2688"/>
      <c r="AT84" s="2688"/>
      <c r="AU84" s="2688"/>
      <c r="AV84" s="2688"/>
      <c r="AW84" s="2688"/>
      <c r="AX84" s="2688"/>
      <c r="AY84" s="2688"/>
      <c r="AZ84" s="2688"/>
      <c r="BA84" s="2688"/>
      <c r="BB84" s="2688"/>
      <c r="BC84" s="2688"/>
      <c r="BD84" s="2688"/>
      <c r="BE84" s="2688"/>
      <c r="BF84" s="2688"/>
      <c r="BG84" s="2688"/>
      <c r="BH84" s="2688"/>
      <c r="BI84" s="2688"/>
      <c r="BJ84" s="2688"/>
      <c r="BK84" s="2688"/>
      <c r="BL84" s="2688"/>
      <c r="BM84" s="2688"/>
      <c r="BN84" s="2688"/>
      <c r="BO84" s="2688"/>
      <c r="BP84" s="2688"/>
      <c r="BQ84" s="2688"/>
      <c r="BR84" s="2688"/>
      <c r="BS84" s="2688"/>
      <c r="BT84" s="2688"/>
      <c r="BU84" s="2688"/>
      <c r="BV84" s="2688"/>
      <c r="BW84" s="2688"/>
      <c r="BX84" s="2688"/>
      <c r="BY84" s="2688"/>
      <c r="BZ84" s="2688"/>
      <c r="CA84" s="2688"/>
      <c r="CB84" s="2688"/>
      <c r="CC84" s="2688"/>
      <c r="CD84" s="2688"/>
      <c r="CE84" s="2688"/>
      <c r="CF84" s="2688"/>
      <c r="CG84" s="2688"/>
      <c r="CH84" s="2688"/>
      <c r="CI84" s="2688"/>
      <c r="CJ84" s="2688"/>
      <c r="CK84" s="2688"/>
      <c r="CL84" s="2688"/>
      <c r="CM84" s="2688"/>
      <c r="CN84" s="2688"/>
      <c r="CO84" s="2688"/>
      <c r="CP84" s="2688"/>
      <c r="CQ84" s="2688"/>
      <c r="CR84" s="2688"/>
      <c r="CS84" s="2688"/>
      <c r="CT84" s="2688"/>
      <c r="CU84" s="2688"/>
      <c r="CV84" s="2688"/>
      <c r="CW84" s="2688"/>
      <c r="CX84" s="2688"/>
      <c r="CY84" s="2688"/>
      <c r="CZ84" s="2688"/>
      <c r="DA84" s="2688"/>
      <c r="DB84" s="2688"/>
      <c r="DC84" s="2688"/>
      <c r="DD84" s="2688"/>
      <c r="DE84" s="2688"/>
      <c r="DF84" s="2688"/>
      <c r="DG84" s="2688"/>
      <c r="DH84" s="2688"/>
      <c r="DI84" s="2688"/>
      <c r="DJ84" s="2688"/>
      <c r="DK84" s="2688"/>
      <c r="DL84" s="2688"/>
      <c r="DM84" s="2688"/>
      <c r="DN84" s="2688"/>
      <c r="DO84" s="2688"/>
      <c r="DP84" s="2688"/>
      <c r="DQ84" s="2688"/>
      <c r="DR84" s="2688"/>
      <c r="DS84" s="2688"/>
      <c r="DT84" s="2688"/>
      <c r="DU84" s="2688"/>
      <c r="DV84" s="2688"/>
      <c r="DW84" s="2688"/>
      <c r="DX84" s="2688"/>
      <c r="DY84" s="2688"/>
      <c r="DZ84" s="2688"/>
      <c r="EA84" s="2688"/>
      <c r="EB84" s="2688"/>
      <c r="EC84" s="2688"/>
      <c r="ED84" s="2688"/>
      <c r="EE84" s="2688"/>
      <c r="EF84" s="2688"/>
      <c r="EG84" s="2688"/>
      <c r="EH84" s="2688"/>
      <c r="EI84" s="2688"/>
      <c r="EJ84" s="2688"/>
      <c r="EK84" s="2688"/>
      <c r="EL84" s="2688"/>
      <c r="EM84" s="2688"/>
      <c r="EN84" s="2688"/>
      <c r="EO84" s="2688"/>
      <c r="EP84" s="2688"/>
      <c r="EQ84" s="2688"/>
      <c r="ER84" s="2688"/>
      <c r="ES84" s="2688"/>
      <c r="ET84" s="2688"/>
      <c r="EU84" s="2688"/>
      <c r="EV84" s="2688"/>
      <c r="EW84" s="2688"/>
      <c r="EX84" s="2688"/>
      <c r="EY84" s="2688"/>
      <c r="EZ84" s="2688"/>
      <c r="FA84" s="2688"/>
      <c r="FB84" s="2688"/>
      <c r="FC84" s="2688"/>
      <c r="FD84" s="2688"/>
      <c r="FE84" s="2688"/>
      <c r="FF84" s="2688"/>
      <c r="FG84" s="2688"/>
      <c r="FH84" s="2688"/>
      <c r="FI84" s="2688"/>
      <c r="FJ84" s="2688"/>
      <c r="FK84" s="2688"/>
      <c r="FL84" s="2688"/>
      <c r="FM84" s="2688"/>
      <c r="FN84" s="2688"/>
      <c r="FO84" s="2688"/>
      <c r="FP84" s="2688"/>
      <c r="FQ84" s="2688"/>
      <c r="FR84" s="2688"/>
      <c r="FS84" s="2688"/>
      <c r="FT84" s="2688"/>
      <c r="FU84" s="2688"/>
      <c r="FV84" s="2688"/>
      <c r="FW84" s="2688"/>
      <c r="FX84" s="2688"/>
      <c r="FY84" s="2688"/>
      <c r="FZ84" s="2688"/>
      <c r="GA84" s="2688"/>
      <c r="GB84" s="2688"/>
      <c r="GC84" s="2688"/>
      <c r="GD84" s="2688"/>
      <c r="GE84" s="2688"/>
      <c r="GF84" s="2688"/>
      <c r="GG84" s="2688"/>
      <c r="GH84" s="2688"/>
      <c r="GI84" s="2688"/>
      <c r="GJ84" s="2688"/>
      <c r="GK84" s="2688"/>
      <c r="GL84" s="2688"/>
      <c r="GM84" s="2688"/>
      <c r="GN84" s="2688"/>
      <c r="GO84" s="2688"/>
      <c r="GP84" s="2688"/>
      <c r="GQ84" s="2688"/>
      <c r="GR84" s="2688"/>
      <c r="GS84" s="2688"/>
      <c r="GT84" s="2688"/>
      <c r="GU84" s="2688"/>
      <c r="GV84" s="2688"/>
      <c r="GW84" s="2688"/>
      <c r="GX84" s="2688"/>
      <c r="GY84" s="2688"/>
      <c r="GZ84" s="2688"/>
      <c r="HA84" s="2688"/>
      <c r="HB84" s="2688"/>
      <c r="HC84" s="2688"/>
      <c r="HD84" s="2688"/>
      <c r="HE84" s="2688"/>
      <c r="HF84" s="2688"/>
      <c r="HG84" s="2688"/>
      <c r="HH84" s="2688"/>
      <c r="HI84" s="2688"/>
      <c r="HJ84" s="2688"/>
      <c r="HK84" s="2688"/>
      <c r="HL84" s="2688"/>
      <c r="HM84" s="2688"/>
      <c r="HN84" s="2688"/>
      <c r="HO84" s="2688"/>
      <c r="HP84" s="2688"/>
      <c r="HQ84" s="2688"/>
      <c r="HR84" s="2688"/>
      <c r="HS84" s="2688"/>
      <c r="HT84" s="2688"/>
      <c r="HU84" s="2688"/>
      <c r="HV84" s="2688"/>
      <c r="HW84" s="2688"/>
      <c r="HX84" s="2688"/>
      <c r="HY84" s="2688"/>
      <c r="HZ84" s="2688"/>
      <c r="IA84" s="2688"/>
      <c r="IB84" s="2688"/>
      <c r="IC84" s="2688"/>
      <c r="ID84" s="2688"/>
      <c r="IE84" s="2688"/>
      <c r="IF84" s="2688"/>
      <c r="IG84" s="2688"/>
      <c r="IH84" s="2688"/>
      <c r="II84" s="2688"/>
      <c r="IJ84" s="2688"/>
      <c r="IK84" s="2688"/>
      <c r="IL84" s="2688"/>
      <c r="IM84" s="2688"/>
      <c r="IN84" s="2688"/>
      <c r="IO84" s="2688"/>
      <c r="IP84" s="3557"/>
      <c r="IQ84" s="3557"/>
      <c r="IR84" s="3557"/>
      <c r="IS84" s="3557"/>
      <c r="IT84" s="3557"/>
      <c r="IU84" s="3557"/>
      <c r="IV84" s="3557"/>
      <c r="IW84" s="3557"/>
      <c r="IX84" s="3557"/>
      <c r="IY84" s="3557"/>
      <c r="IZ84" s="3557"/>
      <c r="JA84" s="3557"/>
      <c r="JB84" s="3557"/>
      <c r="JC84" s="3557"/>
      <c r="JD84" s="3557"/>
      <c r="JE84" s="3557"/>
      <c r="JF84" s="3557"/>
      <c r="JG84" s="4085"/>
      <c r="JH84" s="1233"/>
    </row>
    <row r="85" spans="1:268" x14ac:dyDescent="0.2">
      <c r="A85" s="1128">
        <v>85</v>
      </c>
      <c r="B85" s="1534" t="str">
        <f si="2" t="shared"/>
        <v/>
      </c>
      <c r="C85" s="1278" t="s">
        <v>3609</v>
      </c>
      <c r="D85" s="1386" t="s">
        <v>5334</v>
      </c>
      <c r="E85" s="2688"/>
      <c r="F85" s="2688"/>
      <c r="G85" s="2688"/>
      <c r="H85" s="2688"/>
      <c r="I85" s="2688"/>
      <c r="J85" s="2688"/>
      <c r="K85" s="2688"/>
      <c r="L85" s="2688"/>
      <c r="M85" s="2688"/>
      <c r="N85" s="2688"/>
      <c r="O85" s="2688"/>
      <c r="P85" s="2688"/>
      <c r="Q85" s="2688"/>
      <c r="R85" s="2688"/>
      <c r="S85" s="2688"/>
      <c r="T85" s="2688"/>
      <c r="U85" s="2688"/>
      <c r="V85" s="2688"/>
      <c r="W85" s="2688"/>
      <c r="X85" s="2688"/>
      <c r="Y85" s="2688"/>
      <c r="Z85" s="2688"/>
      <c r="AA85" s="2688"/>
      <c r="AB85" s="2688"/>
      <c r="AC85" s="2688"/>
      <c r="AD85" s="2688"/>
      <c r="AE85" s="2688"/>
      <c r="AF85" s="2688"/>
      <c r="AG85" s="2688"/>
      <c r="AH85" s="2688"/>
      <c r="AI85" s="2688"/>
      <c r="AJ85" s="2688"/>
      <c r="AK85" s="2688"/>
      <c r="AL85" s="2688"/>
      <c r="AM85" s="2688"/>
      <c r="AN85" s="2688"/>
      <c r="AO85" s="2688"/>
      <c r="AP85" s="2688"/>
      <c r="AQ85" s="2688"/>
      <c r="AR85" s="2688"/>
      <c r="AS85" s="2688"/>
      <c r="AT85" s="2688"/>
      <c r="AU85" s="2688"/>
      <c r="AV85" s="2688"/>
      <c r="AW85" s="2688"/>
      <c r="AX85" s="2688"/>
      <c r="AY85" s="2688"/>
      <c r="AZ85" s="2688"/>
      <c r="BA85" s="2688"/>
      <c r="BB85" s="2688"/>
      <c r="BC85" s="2688"/>
      <c r="BD85" s="2688"/>
      <c r="BE85" s="2688"/>
      <c r="BF85" s="2688"/>
      <c r="BG85" s="2688"/>
      <c r="BH85" s="2688"/>
      <c r="BI85" s="2688"/>
      <c r="BJ85" s="2688"/>
      <c r="BK85" s="2688"/>
      <c r="BL85" s="2688"/>
      <c r="BM85" s="2688"/>
      <c r="BN85" s="2688"/>
      <c r="BO85" s="2688"/>
      <c r="BP85" s="2688"/>
      <c r="BQ85" s="2688"/>
      <c r="BR85" s="2688"/>
      <c r="BS85" s="2688"/>
      <c r="BT85" s="2688"/>
      <c r="BU85" s="2688"/>
      <c r="BV85" s="2688"/>
      <c r="BW85" s="2688"/>
      <c r="BX85" s="2688"/>
      <c r="BY85" s="2688"/>
      <c r="BZ85" s="2688"/>
      <c r="CA85" s="2688"/>
      <c r="CB85" s="2688"/>
      <c r="CC85" s="2688"/>
      <c r="CD85" s="2688"/>
      <c r="CE85" s="2688"/>
      <c r="CF85" s="2688"/>
      <c r="CG85" s="2688"/>
      <c r="CH85" s="2688"/>
      <c r="CI85" s="2688"/>
      <c r="CJ85" s="2688"/>
      <c r="CK85" s="2688"/>
      <c r="CL85" s="2688"/>
      <c r="CM85" s="2688"/>
      <c r="CN85" s="2688"/>
      <c r="CO85" s="2688"/>
      <c r="CP85" s="2688"/>
      <c r="CQ85" s="2688"/>
      <c r="CR85" s="2688"/>
      <c r="CS85" s="2688"/>
      <c r="CT85" s="2688"/>
      <c r="CU85" s="2688"/>
      <c r="CV85" s="2688"/>
      <c r="CW85" s="2688"/>
      <c r="CX85" s="2688"/>
      <c r="CY85" s="2688"/>
      <c r="CZ85" s="2688"/>
      <c r="DA85" s="2688"/>
      <c r="DB85" s="2688"/>
      <c r="DC85" s="2688"/>
      <c r="DD85" s="2688"/>
      <c r="DE85" s="2688"/>
      <c r="DF85" s="2688"/>
      <c r="DG85" s="2688"/>
      <c r="DH85" s="2688"/>
      <c r="DI85" s="2688"/>
      <c r="DJ85" s="2688"/>
      <c r="DK85" s="2688"/>
      <c r="DL85" s="2688"/>
      <c r="DM85" s="2688"/>
      <c r="DN85" s="2688"/>
      <c r="DO85" s="2688"/>
      <c r="DP85" s="2688"/>
      <c r="DQ85" s="2688"/>
      <c r="DR85" s="2688"/>
      <c r="DS85" s="2688"/>
      <c r="DT85" s="2688"/>
      <c r="DU85" s="2688"/>
      <c r="DV85" s="2688"/>
      <c r="DW85" s="2688"/>
      <c r="DX85" s="2688"/>
      <c r="DY85" s="2688"/>
      <c r="DZ85" s="2688"/>
      <c r="EA85" s="2688"/>
      <c r="EB85" s="2688"/>
      <c r="EC85" s="2688"/>
      <c r="ED85" s="2688"/>
      <c r="EE85" s="2688"/>
      <c r="EF85" s="2688"/>
      <c r="EG85" s="2688"/>
      <c r="EH85" s="2688"/>
      <c r="EI85" s="2688"/>
      <c r="EJ85" s="2688"/>
      <c r="EK85" s="2688"/>
      <c r="EL85" s="2688"/>
      <c r="EM85" s="2688"/>
      <c r="EN85" s="2688"/>
      <c r="EO85" s="2688"/>
      <c r="EP85" s="2688"/>
      <c r="EQ85" s="2688"/>
      <c r="ER85" s="2688"/>
      <c r="ES85" s="2688"/>
      <c r="ET85" s="2688"/>
      <c r="EU85" s="2688"/>
      <c r="EV85" s="2688"/>
      <c r="EW85" s="2688"/>
      <c r="EX85" s="2688"/>
      <c r="EY85" s="2688"/>
      <c r="EZ85" s="2688"/>
      <c r="FA85" s="2688"/>
      <c r="FB85" s="2688"/>
      <c r="FC85" s="2688"/>
      <c r="FD85" s="2688"/>
      <c r="FE85" s="2688"/>
      <c r="FF85" s="2688"/>
      <c r="FG85" s="2688"/>
      <c r="FH85" s="2688"/>
      <c r="FI85" s="2688"/>
      <c r="FJ85" s="2688"/>
      <c r="FK85" s="2688"/>
      <c r="FL85" s="2688"/>
      <c r="FM85" s="2688"/>
      <c r="FN85" s="2688"/>
      <c r="FO85" s="2688"/>
      <c r="FP85" s="2688"/>
      <c r="FQ85" s="2688"/>
      <c r="FR85" s="2688"/>
      <c r="FS85" s="2688"/>
      <c r="FT85" s="2688"/>
      <c r="FU85" s="2688"/>
      <c r="FV85" s="2688"/>
      <c r="FW85" s="2688"/>
      <c r="FX85" s="2688"/>
      <c r="FY85" s="2688"/>
      <c r="FZ85" s="2688"/>
      <c r="GA85" s="2688"/>
      <c r="GB85" s="2688"/>
      <c r="GC85" s="2688"/>
      <c r="GD85" s="2688"/>
      <c r="GE85" s="2688"/>
      <c r="GF85" s="2688"/>
      <c r="GG85" s="2688"/>
      <c r="GH85" s="2688"/>
      <c r="GI85" s="2688"/>
      <c r="GJ85" s="2688"/>
      <c r="GK85" s="2688"/>
      <c r="GL85" s="2688"/>
      <c r="GM85" s="2688"/>
      <c r="GN85" s="2688"/>
      <c r="GO85" s="2688"/>
      <c r="GP85" s="2688"/>
      <c r="GQ85" s="2688"/>
      <c r="GR85" s="2688"/>
      <c r="GS85" s="2688"/>
      <c r="GT85" s="2688"/>
      <c r="GU85" s="2688"/>
      <c r="GV85" s="2688"/>
      <c r="GW85" s="2688"/>
      <c r="GX85" s="2688"/>
      <c r="GY85" s="2688"/>
      <c r="GZ85" s="2688"/>
      <c r="HA85" s="2688"/>
      <c r="HB85" s="2688"/>
      <c r="HC85" s="2688"/>
      <c r="HD85" s="2688"/>
      <c r="HE85" s="2688"/>
      <c r="HF85" s="2688"/>
      <c r="HG85" s="2688"/>
      <c r="HH85" s="2688"/>
      <c r="HI85" s="2688"/>
      <c r="HJ85" s="2688"/>
      <c r="HK85" s="2688"/>
      <c r="HL85" s="2688"/>
      <c r="HM85" s="2688"/>
      <c r="HN85" s="2688"/>
      <c r="HO85" s="2688"/>
      <c r="HP85" s="2688"/>
      <c r="HQ85" s="2688"/>
      <c r="HR85" s="2688"/>
      <c r="HS85" s="2688"/>
      <c r="HT85" s="2688"/>
      <c r="HU85" s="2688"/>
      <c r="HV85" s="2688"/>
      <c r="HW85" s="2688"/>
      <c r="HX85" s="2688"/>
      <c r="HY85" s="2688"/>
      <c r="HZ85" s="2688"/>
      <c r="IA85" s="2688"/>
      <c r="IB85" s="2688"/>
      <c r="IC85" s="2688"/>
      <c r="ID85" s="2688"/>
      <c r="IE85" s="2688"/>
      <c r="IF85" s="2688"/>
      <c r="IG85" s="2688"/>
      <c r="IH85" s="2688"/>
      <c r="II85" s="2688"/>
      <c r="IJ85" s="2688"/>
      <c r="IK85" s="2688"/>
      <c r="IL85" s="2688"/>
      <c r="IM85" s="2688"/>
      <c r="IN85" s="2688"/>
      <c r="IO85" s="2688"/>
      <c r="IP85" s="3557"/>
      <c r="IQ85" s="3557"/>
      <c r="IR85" s="3557"/>
      <c r="IS85" s="3557"/>
      <c r="IT85" s="3557"/>
      <c r="IU85" s="3557"/>
      <c r="IV85" s="3557"/>
      <c r="IW85" s="3557"/>
      <c r="IX85" s="3557"/>
      <c r="IY85" s="3557"/>
      <c r="IZ85" s="3557"/>
      <c r="JA85" s="3557"/>
      <c r="JB85" s="3557"/>
      <c r="JC85" s="3557"/>
      <c r="JD85" s="3557"/>
      <c r="JE85" s="3557"/>
      <c r="JF85" s="3557"/>
      <c r="JG85" s="4085"/>
      <c r="JH85" s="1233"/>
    </row>
    <row r="86" spans="1:268" x14ac:dyDescent="0.2">
      <c r="A86" s="1128">
        <v>86</v>
      </c>
      <c r="B86" s="1534" t="str">
        <f si="2" t="shared"/>
        <v/>
      </c>
      <c r="C86" s="1278" t="s">
        <v>3610</v>
      </c>
      <c r="D86" s="1082" t="s">
        <v>5317</v>
      </c>
      <c r="E86" s="2688"/>
      <c r="F86" s="2688"/>
      <c r="G86" s="2688"/>
      <c r="H86" s="2688"/>
      <c r="I86" s="2688"/>
      <c r="J86" s="2688"/>
      <c r="K86" s="2688"/>
      <c r="L86" s="2688"/>
      <c r="M86" s="2688"/>
      <c r="N86" s="2688"/>
      <c r="O86" s="2688"/>
      <c r="P86" s="2688"/>
      <c r="Q86" s="2688"/>
      <c r="R86" s="2688"/>
      <c r="S86" s="2688"/>
      <c r="T86" s="2688"/>
      <c r="U86" s="2688"/>
      <c r="V86" s="2688"/>
      <c r="W86" s="2688"/>
      <c r="X86" s="2688"/>
      <c r="Y86" s="2688"/>
      <c r="Z86" s="2688"/>
      <c r="AA86" s="2688"/>
      <c r="AB86" s="2688"/>
      <c r="AC86" s="2688"/>
      <c r="AD86" s="2688"/>
      <c r="AE86" s="2688"/>
      <c r="AF86" s="2688"/>
      <c r="AG86" s="2688"/>
      <c r="AH86" s="2688"/>
      <c r="AI86" s="2688"/>
      <c r="AJ86" s="2688"/>
      <c r="AK86" s="2688"/>
      <c r="AL86" s="2688"/>
      <c r="AM86" s="2688"/>
      <c r="AN86" s="2688"/>
      <c r="AO86" s="2688"/>
      <c r="AP86" s="2688"/>
      <c r="AQ86" s="2688"/>
      <c r="AR86" s="2688"/>
      <c r="AS86" s="2688"/>
      <c r="AT86" s="2688"/>
      <c r="AU86" s="2688"/>
      <c r="AV86" s="2688"/>
      <c r="AW86" s="2688"/>
      <c r="AX86" s="2688"/>
      <c r="AY86" s="2688"/>
      <c r="AZ86" s="2688"/>
      <c r="BA86" s="2688"/>
      <c r="BB86" s="2688"/>
      <c r="BC86" s="2688"/>
      <c r="BD86" s="2688"/>
      <c r="BE86" s="2688"/>
      <c r="BF86" s="2688"/>
      <c r="BG86" s="2688"/>
      <c r="BH86" s="2688"/>
      <c r="BI86" s="2688"/>
      <c r="BJ86" s="2688"/>
      <c r="BK86" s="2688"/>
      <c r="BL86" s="2688"/>
      <c r="BM86" s="2688"/>
      <c r="BN86" s="2688"/>
      <c r="BO86" s="2688"/>
      <c r="BP86" s="2688"/>
      <c r="BQ86" s="2688"/>
      <c r="BR86" s="2688"/>
      <c r="BS86" s="2688"/>
      <c r="BT86" s="2688"/>
      <c r="BU86" s="2688"/>
      <c r="BV86" s="2688"/>
      <c r="BW86" s="2688"/>
      <c r="BX86" s="2688"/>
      <c r="BY86" s="2688"/>
      <c r="BZ86" s="2688"/>
      <c r="CA86" s="2688"/>
      <c r="CB86" s="2688"/>
      <c r="CC86" s="2688"/>
      <c r="CD86" s="2688"/>
      <c r="CE86" s="2688"/>
      <c r="CF86" s="2688"/>
      <c r="CG86" s="2688"/>
      <c r="CH86" s="2688"/>
      <c r="CI86" s="2688"/>
      <c r="CJ86" s="2688"/>
      <c r="CK86" s="2688"/>
      <c r="CL86" s="2688"/>
      <c r="CM86" s="2688"/>
      <c r="CN86" s="2688"/>
      <c r="CO86" s="2688"/>
      <c r="CP86" s="2688"/>
      <c r="CQ86" s="2688"/>
      <c r="CR86" s="2688"/>
      <c r="CS86" s="2688"/>
      <c r="CT86" s="2688"/>
      <c r="CU86" s="2688"/>
      <c r="CV86" s="2688"/>
      <c r="CW86" s="2688"/>
      <c r="CX86" s="2688"/>
      <c r="CY86" s="2688"/>
      <c r="CZ86" s="2688"/>
      <c r="DA86" s="2688"/>
      <c r="DB86" s="2688"/>
      <c r="DC86" s="2688"/>
      <c r="DD86" s="2688"/>
      <c r="DE86" s="2688"/>
      <c r="DF86" s="2688"/>
      <c r="DG86" s="2688"/>
      <c r="DH86" s="2688"/>
      <c r="DI86" s="2688"/>
      <c r="DJ86" s="2688"/>
      <c r="DK86" s="2688"/>
      <c r="DL86" s="2688"/>
      <c r="DM86" s="2688"/>
      <c r="DN86" s="2688"/>
      <c r="DO86" s="2688"/>
      <c r="DP86" s="2688"/>
      <c r="DQ86" s="2688"/>
      <c r="DR86" s="2688"/>
      <c r="DS86" s="2688"/>
      <c r="DT86" s="2688"/>
      <c r="DU86" s="2688"/>
      <c r="DV86" s="2688"/>
      <c r="DW86" s="2688"/>
      <c r="DX86" s="2688"/>
      <c r="DY86" s="2688"/>
      <c r="DZ86" s="2688"/>
      <c r="EA86" s="2688"/>
      <c r="EB86" s="2688"/>
      <c r="EC86" s="2688"/>
      <c r="ED86" s="2688"/>
      <c r="EE86" s="2688"/>
      <c r="EF86" s="2688"/>
      <c r="EG86" s="2688"/>
      <c r="EH86" s="2688"/>
      <c r="EI86" s="2688"/>
      <c r="EJ86" s="2688"/>
      <c r="EK86" s="2688"/>
      <c r="EL86" s="2688"/>
      <c r="EM86" s="2688"/>
      <c r="EN86" s="2688"/>
      <c r="EO86" s="2688"/>
      <c r="EP86" s="2688"/>
      <c r="EQ86" s="2688"/>
      <c r="ER86" s="2688"/>
      <c r="ES86" s="2688"/>
      <c r="ET86" s="2688"/>
      <c r="EU86" s="2688"/>
      <c r="EV86" s="2688"/>
      <c r="EW86" s="2688"/>
      <c r="EX86" s="2688"/>
      <c r="EY86" s="2688"/>
      <c r="EZ86" s="2688"/>
      <c r="FA86" s="2688"/>
      <c r="FB86" s="2688"/>
      <c r="FC86" s="2688"/>
      <c r="FD86" s="2688"/>
      <c r="FE86" s="2688"/>
      <c r="FF86" s="2688"/>
      <c r="FG86" s="2688"/>
      <c r="FH86" s="2688"/>
      <c r="FI86" s="2688"/>
      <c r="FJ86" s="2688"/>
      <c r="FK86" s="2688"/>
      <c r="FL86" s="2688"/>
      <c r="FM86" s="2688"/>
      <c r="FN86" s="2688"/>
      <c r="FO86" s="2688"/>
      <c r="FP86" s="2688"/>
      <c r="FQ86" s="2688"/>
      <c r="FR86" s="2688"/>
      <c r="FS86" s="2688"/>
      <c r="FT86" s="2688"/>
      <c r="FU86" s="2688"/>
      <c r="FV86" s="2688"/>
      <c r="FW86" s="2688"/>
      <c r="FX86" s="2688"/>
      <c r="FY86" s="2688"/>
      <c r="FZ86" s="2688"/>
      <c r="GA86" s="2688"/>
      <c r="GB86" s="2688"/>
      <c r="GC86" s="2688"/>
      <c r="GD86" s="2688"/>
      <c r="GE86" s="2688"/>
      <c r="GF86" s="2688"/>
      <c r="GG86" s="2688"/>
      <c r="GH86" s="2688"/>
      <c r="GI86" s="2688"/>
      <c r="GJ86" s="2688"/>
      <c r="GK86" s="2688"/>
      <c r="GL86" s="2688"/>
      <c r="GM86" s="2688"/>
      <c r="GN86" s="2688"/>
      <c r="GO86" s="2688"/>
      <c r="GP86" s="2688"/>
      <c r="GQ86" s="2688"/>
      <c r="GR86" s="2688"/>
      <c r="GS86" s="2688"/>
      <c r="GT86" s="2688"/>
      <c r="GU86" s="2688"/>
      <c r="GV86" s="2688"/>
      <c r="GW86" s="2688"/>
      <c r="GX86" s="2688"/>
      <c r="GY86" s="2688"/>
      <c r="GZ86" s="2688"/>
      <c r="HA86" s="2688"/>
      <c r="HB86" s="2688"/>
      <c r="HC86" s="2688"/>
      <c r="HD86" s="2688"/>
      <c r="HE86" s="2688"/>
      <c r="HF86" s="2688"/>
      <c r="HG86" s="2688"/>
      <c r="HH86" s="2688"/>
      <c r="HI86" s="2688"/>
      <c r="HJ86" s="2688"/>
      <c r="HK86" s="2688"/>
      <c r="HL86" s="2688"/>
      <c r="HM86" s="2688"/>
      <c r="HN86" s="2688"/>
      <c r="HO86" s="2688"/>
      <c r="HP86" s="2688"/>
      <c r="HQ86" s="2688"/>
      <c r="HR86" s="2688"/>
      <c r="HS86" s="2688"/>
      <c r="HT86" s="2688"/>
      <c r="HU86" s="2688"/>
      <c r="HV86" s="2688"/>
      <c r="HW86" s="2688"/>
      <c r="HX86" s="2688"/>
      <c r="HY86" s="2688"/>
      <c r="HZ86" s="2688"/>
      <c r="IA86" s="2688"/>
      <c r="IB86" s="2688"/>
      <c r="IC86" s="2688"/>
      <c r="ID86" s="2688"/>
      <c r="IE86" s="2688"/>
      <c r="IF86" s="2688"/>
      <c r="IG86" s="2688"/>
      <c r="IH86" s="2688"/>
      <c r="II86" s="2688"/>
      <c r="IJ86" s="2688"/>
      <c r="IK86" s="2688"/>
      <c r="IL86" s="2688"/>
      <c r="IM86" s="2688"/>
      <c r="IN86" s="2688"/>
      <c r="IO86" s="2688"/>
      <c r="IP86" s="3557"/>
      <c r="IQ86" s="3557"/>
      <c r="IR86" s="3557"/>
      <c r="IS86" s="3557"/>
      <c r="IT86" s="3557"/>
      <c r="IU86" s="3557"/>
      <c r="IV86" s="3557"/>
      <c r="IW86" s="3557"/>
      <c r="IX86" s="3557"/>
      <c r="IY86" s="3557"/>
      <c r="IZ86" s="3557"/>
      <c r="JA86" s="3557"/>
      <c r="JB86" s="3557"/>
      <c r="JC86" s="3557"/>
      <c r="JD86" s="3557"/>
      <c r="JE86" s="3557"/>
      <c r="JF86" s="3557"/>
      <c r="JG86" s="4085"/>
      <c r="JH86" s="1233"/>
    </row>
    <row r="87" spans="1:268" x14ac:dyDescent="0.2">
      <c r="A87" s="1128">
        <v>87</v>
      </c>
      <c r="B87" s="1534" t="str">
        <f ref="B87:B136" si="3" t="shared">IF(FOR_IND&gt;1,IF(HLOOKUP(FOR_IND-1,FOR_RANGE,A87)="","",HLOOKUP(FOR_IND-1,FOR_RANGE,A87)),"")</f>
        <v/>
      </c>
      <c r="C87" s="4080" t="s">
        <v>8501</v>
      </c>
      <c r="D87" s="4059" t="s">
        <v>8495</v>
      </c>
      <c r="E87" s="2688"/>
      <c r="F87" s="2688"/>
      <c r="G87" s="2688"/>
      <c r="H87" s="2688"/>
      <c r="I87" s="2688"/>
      <c r="J87" s="2688"/>
      <c r="K87" s="2688"/>
      <c r="L87" s="2688"/>
      <c r="M87" s="2688"/>
      <c r="N87" s="2688"/>
      <c r="O87" s="2688"/>
      <c r="P87" s="2688"/>
      <c r="Q87" s="2688"/>
      <c r="R87" s="2688"/>
      <c r="S87" s="2688"/>
      <c r="T87" s="2688"/>
      <c r="U87" s="2688"/>
      <c r="V87" s="2688"/>
      <c r="W87" s="2688"/>
      <c r="X87" s="2688"/>
      <c r="Y87" s="2688"/>
      <c r="Z87" s="2688"/>
      <c r="AA87" s="2688"/>
      <c r="AB87" s="2688"/>
      <c r="AC87" s="2688"/>
      <c r="AD87" s="2688"/>
      <c r="AE87" s="2688"/>
      <c r="AF87" s="2688"/>
      <c r="AG87" s="2688"/>
      <c r="AH87" s="2688"/>
      <c r="AI87" s="2688"/>
      <c r="AJ87" s="2688"/>
      <c r="AK87" s="2688"/>
      <c r="AL87" s="2688"/>
      <c r="AM87" s="2688"/>
      <c r="AN87" s="2688"/>
      <c r="AO87" s="2688"/>
      <c r="AP87" s="3977">
        <v>200</v>
      </c>
      <c r="AQ87" s="2688"/>
      <c r="AR87" s="2688"/>
      <c r="AS87" s="2688"/>
      <c r="AT87" s="2688"/>
      <c r="AU87" s="2688"/>
      <c r="AV87" s="2688"/>
      <c r="AW87" s="2688"/>
      <c r="AX87" s="2688"/>
      <c r="AY87" s="2688"/>
      <c r="AZ87" s="2688"/>
      <c r="BA87" s="2688"/>
      <c r="BB87" s="2688"/>
      <c r="BC87" s="3977">
        <v>200</v>
      </c>
      <c r="BD87" s="2688"/>
      <c r="BE87" s="2688"/>
      <c r="BF87" s="2688"/>
      <c r="BG87" s="2688"/>
      <c r="BH87" s="2688"/>
      <c r="BI87" s="2688"/>
      <c r="BJ87" s="3977">
        <v>160</v>
      </c>
      <c r="BK87" s="2688"/>
      <c r="BL87" s="2688"/>
      <c r="BM87" s="2688"/>
      <c r="BN87" s="2688"/>
      <c r="BO87" s="2688"/>
      <c r="BP87" s="2688"/>
      <c r="BQ87" s="2688"/>
      <c r="BR87" s="2688"/>
      <c r="BS87" s="2688"/>
      <c r="BT87" s="2688"/>
      <c r="BU87" s="2688"/>
      <c r="BV87" s="2688"/>
      <c r="BW87" s="2688"/>
      <c r="BX87" s="2688"/>
      <c r="BY87" s="2688"/>
      <c r="BZ87" s="2688"/>
      <c r="CA87" s="2688"/>
      <c r="CB87" s="3977">
        <v>160</v>
      </c>
      <c r="CC87" s="2688"/>
      <c r="CD87" s="2688"/>
      <c r="CE87" s="2688"/>
      <c r="CF87" s="2688"/>
      <c r="CG87" s="2688"/>
      <c r="CH87" s="2688"/>
      <c r="CI87" s="2688"/>
      <c r="CJ87" s="2688"/>
      <c r="CK87" s="2688"/>
      <c r="CL87" s="2688"/>
      <c r="CM87" s="2688"/>
      <c r="CN87" s="2688"/>
      <c r="CO87" s="2688"/>
      <c r="CP87" s="2688"/>
      <c r="CQ87" s="2688"/>
      <c r="CR87" s="2688"/>
      <c r="CS87" s="2688"/>
      <c r="CT87" s="2688"/>
      <c r="CU87" s="2688"/>
      <c r="CV87" s="2688"/>
      <c r="CW87" s="2688"/>
      <c r="CX87" s="2688"/>
      <c r="CY87" s="2688"/>
      <c r="CZ87" s="2688"/>
      <c r="DA87" s="2688"/>
      <c r="DB87" s="2688"/>
      <c r="DC87" s="2688"/>
      <c r="DD87" s="2688"/>
      <c r="DE87" s="2688"/>
      <c r="DF87" s="2688"/>
      <c r="DG87" s="2688"/>
      <c r="DH87" s="2688"/>
      <c r="DI87" s="2688"/>
      <c r="DJ87" s="2688"/>
      <c r="DK87" s="2688"/>
      <c r="DL87" s="2688"/>
      <c r="DM87" s="2688"/>
      <c r="DN87" s="2688"/>
      <c r="DO87" s="2688"/>
      <c r="DP87" s="2688"/>
      <c r="DQ87" s="2688"/>
      <c r="DR87" s="2688"/>
      <c r="DS87" s="2688"/>
      <c r="DT87" s="2688"/>
      <c r="DU87" s="2688"/>
      <c r="DV87" s="2688"/>
      <c r="DW87" s="2688"/>
      <c r="DX87" s="2688"/>
      <c r="DY87" s="2688"/>
      <c r="DZ87" s="2688"/>
      <c r="EA87" s="2688"/>
      <c r="EB87" s="2688"/>
      <c r="EC87" s="2688"/>
      <c r="ED87" s="2688"/>
      <c r="EE87" s="2688"/>
      <c r="EF87" s="2688"/>
      <c r="EG87" s="2688"/>
      <c r="EH87" s="2688"/>
      <c r="EI87" s="2688"/>
      <c r="EJ87" s="2688"/>
      <c r="EK87" s="2688"/>
      <c r="EL87" s="2688"/>
      <c r="EM87" s="2688"/>
      <c r="EN87" s="2688"/>
      <c r="EO87" s="2688"/>
      <c r="EP87" s="2688"/>
      <c r="EQ87" s="2688"/>
      <c r="ER87" s="2688"/>
      <c r="ES87" s="2688"/>
      <c r="ET87" s="2688"/>
      <c r="EU87" s="2688"/>
      <c r="EV87" s="2688"/>
      <c r="EW87" s="2688"/>
      <c r="EX87" s="2688"/>
      <c r="EY87" s="2688"/>
      <c r="EZ87" s="2688"/>
      <c r="FA87" s="2688"/>
      <c r="FB87" s="2688"/>
      <c r="FC87" s="2688"/>
      <c r="FD87" s="2688"/>
      <c r="FE87" s="2688"/>
      <c r="FF87" s="2688"/>
      <c r="FG87" s="2688"/>
      <c r="FH87" s="2688"/>
      <c r="FI87" s="2688"/>
      <c r="FJ87" s="2688"/>
      <c r="FK87" s="2688"/>
      <c r="FL87" s="2688"/>
      <c r="FM87" s="2688"/>
      <c r="FN87" s="2688"/>
      <c r="FO87" s="2688"/>
      <c r="FP87" s="2688"/>
      <c r="FQ87" s="2688"/>
      <c r="FR87" s="2688"/>
      <c r="FS87" s="2688"/>
      <c r="FT87" s="2688"/>
      <c r="FU87" s="2688"/>
      <c r="FV87" s="2688"/>
      <c r="FW87" s="2688"/>
      <c r="FX87" s="2688"/>
      <c r="FY87" s="2688"/>
      <c r="FZ87" s="2688"/>
      <c r="GA87" s="2688"/>
      <c r="GB87" s="2688"/>
      <c r="GC87" s="2688"/>
      <c r="GD87" s="2688"/>
      <c r="GE87" s="2688"/>
      <c r="GF87" s="3977">
        <v>250</v>
      </c>
      <c r="GG87" s="2688"/>
      <c r="GH87" s="2688"/>
      <c r="GI87" s="2688"/>
      <c r="GJ87" s="2688"/>
      <c r="GK87" s="2688"/>
      <c r="GL87" s="2688"/>
      <c r="GM87" s="2688"/>
      <c r="GN87" s="2688"/>
      <c r="GO87" s="2688"/>
      <c r="GP87" s="2688"/>
      <c r="GQ87" s="2688"/>
      <c r="GR87" s="2688"/>
      <c r="GS87" s="2688"/>
      <c r="GT87" s="2688"/>
      <c r="GU87" s="2688"/>
      <c r="GV87" s="2688"/>
      <c r="GW87" s="2688"/>
      <c r="GX87" s="2688"/>
      <c r="GY87" s="2688"/>
      <c r="GZ87" s="2688"/>
      <c r="HA87" s="2688"/>
      <c r="HB87" s="2688"/>
      <c r="HC87" s="2688"/>
      <c r="HD87" s="2688"/>
      <c r="HE87" s="2688"/>
      <c r="HF87" s="2688"/>
      <c r="HG87" s="2688"/>
      <c r="HH87" s="2688"/>
      <c r="HI87" s="2688"/>
      <c r="HJ87" s="2688"/>
      <c r="HK87" s="2688"/>
      <c r="HL87" s="2688"/>
      <c r="HM87" s="2688"/>
      <c r="HN87" s="2688"/>
      <c r="HO87" s="2688"/>
      <c r="HP87" s="2688"/>
      <c r="HQ87" s="2688"/>
      <c r="HR87" s="2688"/>
      <c r="HS87" s="2688"/>
      <c r="HT87" s="2688"/>
      <c r="HU87" s="2688"/>
      <c r="HV87" s="2688"/>
      <c r="HW87" s="2688"/>
      <c r="HX87" s="2688"/>
      <c r="HY87" s="2688"/>
      <c r="HZ87" s="2688"/>
      <c r="IA87" s="2688"/>
      <c r="IB87" s="2688"/>
      <c r="IC87" s="2688"/>
      <c r="ID87" s="2688"/>
      <c r="IE87" s="2688"/>
      <c r="IF87" s="2688"/>
      <c r="IG87" s="2688"/>
      <c r="IH87" s="2688"/>
      <c r="II87" s="2688"/>
      <c r="IJ87" s="2688"/>
      <c r="IK87" s="2688"/>
      <c r="IL87" s="2688"/>
      <c r="IM87" s="2688"/>
      <c r="IN87" s="2688"/>
      <c r="IO87" s="2688"/>
      <c r="IP87" s="3557"/>
      <c r="IQ87" s="3557"/>
      <c r="IR87" s="3557"/>
      <c r="IS87" s="3557"/>
      <c r="IT87" s="3557"/>
      <c r="IU87" s="3557"/>
      <c r="IV87" s="3557"/>
      <c r="IW87" s="3557"/>
      <c r="IX87" s="3557"/>
      <c r="IY87" s="3557"/>
      <c r="IZ87" s="3557"/>
      <c r="JA87" s="3557"/>
      <c r="JB87" s="3557"/>
      <c r="JC87" s="3557"/>
      <c r="JD87" s="3557"/>
      <c r="JE87" s="3557"/>
      <c r="JF87" s="3557"/>
      <c r="JG87" s="4085"/>
      <c r="JH87" s="1233"/>
    </row>
    <row r="88" spans="1:268" x14ac:dyDescent="0.2">
      <c r="A88" s="1128">
        <v>88</v>
      </c>
      <c r="B88" s="1534" t="str">
        <f si="3" t="shared"/>
        <v/>
      </c>
      <c r="C88" s="4081" t="s">
        <v>8502</v>
      </c>
      <c r="D88" s="4058" t="s">
        <v>8499</v>
      </c>
      <c r="E88" s="2688"/>
      <c r="F88" s="2688"/>
      <c r="G88" s="2688"/>
      <c r="H88" s="2688"/>
      <c r="I88" s="2688"/>
      <c r="J88" s="2688"/>
      <c r="K88" s="2688"/>
      <c r="L88" s="2688"/>
      <c r="M88" s="2688"/>
      <c r="N88" s="2688"/>
      <c r="O88" s="2688"/>
      <c r="P88" s="2688"/>
      <c r="Q88" s="2688"/>
      <c r="R88" s="2688"/>
      <c r="S88" s="2688"/>
      <c r="T88" s="2688"/>
      <c r="U88" s="2688"/>
      <c r="V88" s="2688"/>
      <c r="W88" s="2688"/>
      <c r="X88" s="2688"/>
      <c r="Y88" s="2688"/>
      <c r="Z88" s="2688"/>
      <c r="AA88" s="2688"/>
      <c r="AB88" s="2688"/>
      <c r="AC88" s="2688"/>
      <c r="AD88" s="2688"/>
      <c r="AE88" s="2688"/>
      <c r="AF88" s="2688"/>
      <c r="AG88" s="2688"/>
      <c r="AH88" s="2688"/>
      <c r="AI88" s="2688"/>
      <c r="AJ88" s="2688"/>
      <c r="AK88" s="2688"/>
      <c r="AL88" s="2688"/>
      <c r="AM88" s="2688"/>
      <c r="AN88" s="2688"/>
      <c r="AO88" s="2688"/>
      <c r="AP88" s="3977">
        <v>160</v>
      </c>
      <c r="AQ88" s="2688"/>
      <c r="AR88" s="2688"/>
      <c r="AS88" s="2688"/>
      <c r="AT88" s="2688"/>
      <c r="AU88" s="2688"/>
      <c r="AV88" s="2688"/>
      <c r="AW88" s="2688"/>
      <c r="AX88" s="2688"/>
      <c r="AY88" s="2688"/>
      <c r="AZ88" s="2688"/>
      <c r="BA88" s="2688"/>
      <c r="BB88" s="2688"/>
      <c r="BC88" s="3977">
        <v>160</v>
      </c>
      <c r="BD88" s="3977">
        <v>160</v>
      </c>
      <c r="BE88" s="2688"/>
      <c r="BF88" s="2688"/>
      <c r="BG88" s="2688"/>
      <c r="BH88" s="2688"/>
      <c r="BI88" s="2688"/>
      <c r="BJ88" s="2688"/>
      <c r="BK88" s="2688"/>
      <c r="BL88" s="2688"/>
      <c r="BM88" s="2688"/>
      <c r="BN88" s="2688"/>
      <c r="BO88" s="2688"/>
      <c r="BP88" s="2688"/>
      <c r="BQ88" s="2688"/>
      <c r="BR88" s="2688"/>
      <c r="BS88" s="2688"/>
      <c r="BT88" s="2688"/>
      <c r="BU88" s="2688"/>
      <c r="BV88" s="2688"/>
      <c r="BW88" s="2688"/>
      <c r="BX88" s="2688"/>
      <c r="BY88" s="2688"/>
      <c r="BZ88" s="2688"/>
      <c r="CA88" s="2688"/>
      <c r="CB88" s="3977">
        <v>200</v>
      </c>
      <c r="CC88" s="2688"/>
      <c r="CD88" s="2688"/>
      <c r="CE88" s="2688"/>
      <c r="CF88" s="2688"/>
      <c r="CG88" s="2688"/>
      <c r="CH88" s="2688"/>
      <c r="CI88" s="2688"/>
      <c r="CJ88" s="2688"/>
      <c r="CK88" s="2688"/>
      <c r="CL88" s="2688"/>
      <c r="CM88" s="2688"/>
      <c r="CN88" s="2688"/>
      <c r="CO88" s="2688"/>
      <c r="CP88" s="2688"/>
      <c r="CQ88" s="2688"/>
      <c r="CR88" s="2688"/>
      <c r="CS88" s="2688"/>
      <c r="CT88" s="2688"/>
      <c r="CU88" s="2688"/>
      <c r="CV88" s="2688"/>
      <c r="CW88" s="2688"/>
      <c r="CX88" s="2688"/>
      <c r="CY88" s="2688"/>
      <c r="CZ88" s="2688"/>
      <c r="DA88" s="2688"/>
      <c r="DB88" s="2688"/>
      <c r="DC88" s="2688"/>
      <c r="DD88" s="2688"/>
      <c r="DE88" s="2688"/>
      <c r="DF88" s="2688"/>
      <c r="DG88" s="2688"/>
      <c r="DH88" s="2688"/>
      <c r="DI88" s="2688"/>
      <c r="DJ88" s="2688"/>
      <c r="DK88" s="2688"/>
      <c r="DL88" s="2688"/>
      <c r="DM88" s="2688"/>
      <c r="DN88" s="2688"/>
      <c r="DO88" s="2688"/>
      <c r="DP88" s="2688"/>
      <c r="DQ88" s="2688"/>
      <c r="DR88" s="2688"/>
      <c r="DS88" s="2688"/>
      <c r="DT88" s="2688"/>
      <c r="DU88" s="2688"/>
      <c r="DV88" s="2688"/>
      <c r="DW88" s="2688"/>
      <c r="DX88" s="2688"/>
      <c r="DY88" s="2688"/>
      <c r="DZ88" s="2688"/>
      <c r="EA88" s="2688"/>
      <c r="EB88" s="2688"/>
      <c r="EC88" s="2688"/>
      <c r="ED88" s="2688"/>
      <c r="EE88" s="2688"/>
      <c r="EF88" s="2688"/>
      <c r="EG88" s="2688"/>
      <c r="EH88" s="2688"/>
      <c r="EI88" s="2688"/>
      <c r="EJ88" s="2688"/>
      <c r="EK88" s="2688"/>
      <c r="EL88" s="2688"/>
      <c r="EM88" s="2688"/>
      <c r="EN88" s="2688"/>
      <c r="EO88" s="2688"/>
      <c r="EP88" s="2688"/>
      <c r="EQ88" s="2688"/>
      <c r="ER88" s="2688"/>
      <c r="ES88" s="2688"/>
      <c r="ET88" s="2688"/>
      <c r="EU88" s="2688"/>
      <c r="EV88" s="2688"/>
      <c r="EW88" s="2688"/>
      <c r="EX88" s="2688"/>
      <c r="EY88" s="2688"/>
      <c r="EZ88" s="2688"/>
      <c r="FA88" s="2688"/>
      <c r="FB88" s="2688"/>
      <c r="FC88" s="2688"/>
      <c r="FD88" s="2688"/>
      <c r="FE88" s="2688"/>
      <c r="FF88" s="2688"/>
      <c r="FG88" s="2688"/>
      <c r="FH88" s="2688"/>
      <c r="FI88" s="2688"/>
      <c r="FJ88" s="2688"/>
      <c r="FK88" s="2688"/>
      <c r="FL88" s="2688"/>
      <c r="FM88" s="2688"/>
      <c r="FN88" s="2688"/>
      <c r="FO88" s="2688"/>
      <c r="FP88" s="2688"/>
      <c r="FQ88" s="2688"/>
      <c r="FR88" s="2688"/>
      <c r="FS88" s="2688"/>
      <c r="FT88" s="2688"/>
      <c r="FU88" s="2688"/>
      <c r="FV88" s="2688"/>
      <c r="FW88" s="2688"/>
      <c r="FX88" s="2688"/>
      <c r="FY88" s="2688"/>
      <c r="FZ88" s="2688"/>
      <c r="GA88" s="2688"/>
      <c r="GB88" s="2688"/>
      <c r="GC88" s="2688"/>
      <c r="GD88" s="2688"/>
      <c r="GE88" s="2688"/>
      <c r="GF88" s="3977">
        <v>110</v>
      </c>
      <c r="GG88" s="2688"/>
      <c r="GH88" s="2688"/>
      <c r="GI88" s="2688"/>
      <c r="GJ88" s="2688"/>
      <c r="GK88" s="2688"/>
      <c r="GL88" s="2688"/>
      <c r="GM88" s="2688"/>
      <c r="GN88" s="2688"/>
      <c r="GO88" s="2688"/>
      <c r="GP88" s="2688"/>
      <c r="GQ88" s="2688"/>
      <c r="GR88" s="2688"/>
      <c r="GS88" s="2688"/>
      <c r="GT88" s="2688"/>
      <c r="GU88" s="2688"/>
      <c r="GV88" s="2688"/>
      <c r="GW88" s="2688"/>
      <c r="GX88" s="2688"/>
      <c r="GY88" s="2688"/>
      <c r="GZ88" s="2688"/>
      <c r="HA88" s="2688"/>
      <c r="HB88" s="2688"/>
      <c r="HC88" s="2688"/>
      <c r="HD88" s="2688"/>
      <c r="HE88" s="2688"/>
      <c r="HF88" s="2688"/>
      <c r="HG88" s="2688"/>
      <c r="HH88" s="2688"/>
      <c r="HI88" s="2688"/>
      <c r="HJ88" s="2688"/>
      <c r="HK88" s="2688"/>
      <c r="HL88" s="2688"/>
      <c r="HM88" s="2688"/>
      <c r="HN88" s="2688"/>
      <c r="HO88" s="2688"/>
      <c r="HP88" s="2688"/>
      <c r="HQ88" s="2688"/>
      <c r="HR88" s="2688"/>
      <c r="HS88" s="2688"/>
      <c r="HT88" s="2688"/>
      <c r="HU88" s="2688"/>
      <c r="HV88" s="2688"/>
      <c r="HW88" s="2688"/>
      <c r="HX88" s="2688"/>
      <c r="HY88" s="2688"/>
      <c r="HZ88" s="2688"/>
      <c r="IA88" s="2688"/>
      <c r="IB88" s="2688"/>
      <c r="IC88" s="2688"/>
      <c r="ID88" s="2688"/>
      <c r="IE88" s="2688"/>
      <c r="IF88" s="2688"/>
      <c r="IG88" s="2688"/>
      <c r="IH88" s="2688"/>
      <c r="II88" s="2688"/>
      <c r="IJ88" s="2688"/>
      <c r="IK88" s="2688"/>
      <c r="IL88" s="2688"/>
      <c r="IM88" s="2688"/>
      <c r="IN88" s="2688"/>
      <c r="IO88" s="2688"/>
      <c r="IP88" s="3557"/>
      <c r="IQ88" s="3557"/>
      <c r="IR88" s="3557"/>
      <c r="IS88" s="3557"/>
      <c r="IT88" s="3557"/>
      <c r="IU88" s="3557"/>
      <c r="IV88" s="3557"/>
      <c r="IW88" s="3557"/>
      <c r="IX88" s="3557"/>
      <c r="IY88" s="3557"/>
      <c r="IZ88" s="3557"/>
      <c r="JA88" s="3557"/>
      <c r="JB88" s="3557"/>
      <c r="JC88" s="3557"/>
      <c r="JD88" s="3557"/>
      <c r="JE88" s="3557"/>
      <c r="JF88" s="3557"/>
      <c r="JG88" s="4085"/>
      <c r="JH88" s="1233"/>
    </row>
    <row r="89" spans="1:268" x14ac:dyDescent="0.2">
      <c r="A89" s="1128">
        <v>89</v>
      </c>
      <c r="B89" s="1534" t="str">
        <f si="3" t="shared"/>
        <v/>
      </c>
      <c r="C89" s="1278" t="s">
        <v>1531</v>
      </c>
      <c r="D89" s="1082" t="s">
        <v>5318</v>
      </c>
      <c r="E89" s="2688"/>
      <c r="F89" s="2688"/>
      <c r="G89" s="2688"/>
      <c r="H89" s="2688"/>
      <c r="I89" s="2688"/>
      <c r="J89" s="2688"/>
      <c r="K89" s="2688"/>
      <c r="L89" s="2688"/>
      <c r="M89" s="2688"/>
      <c r="N89" s="2688"/>
      <c r="O89" s="2688"/>
      <c r="P89" s="2688"/>
      <c r="Q89" s="2688"/>
      <c r="R89" s="2688"/>
      <c r="S89" s="2688"/>
      <c r="T89" s="2688"/>
      <c r="U89" s="2688"/>
      <c r="V89" s="2688"/>
      <c r="W89" s="2688"/>
      <c r="X89" s="2688"/>
      <c r="Y89" s="2688"/>
      <c r="Z89" s="2688"/>
      <c r="AA89" s="2688"/>
      <c r="AB89" s="2688"/>
      <c r="AC89" s="2688"/>
      <c r="AD89" s="2688"/>
      <c r="AE89" s="2688"/>
      <c r="AF89" s="2688"/>
      <c r="AG89" s="2688"/>
      <c r="AH89" s="2688"/>
      <c r="AI89" s="2688"/>
      <c r="AJ89" s="2688"/>
      <c r="AK89" s="2688"/>
      <c r="AL89" s="2688"/>
      <c r="AM89" s="2688"/>
      <c r="AN89" s="2688"/>
      <c r="AO89" s="2688"/>
      <c r="AP89" s="2688"/>
      <c r="AQ89" s="2688"/>
      <c r="AR89" s="2688"/>
      <c r="AS89" s="2688"/>
      <c r="AT89" s="2688"/>
      <c r="AU89" s="2688"/>
      <c r="AV89" s="2688"/>
      <c r="AW89" s="2688"/>
      <c r="AX89" s="2688"/>
      <c r="AY89" s="2688"/>
      <c r="AZ89" s="2688"/>
      <c r="BA89" s="2688"/>
      <c r="BB89" s="2688"/>
      <c r="BC89" s="2688"/>
      <c r="BD89" s="3977">
        <v>200</v>
      </c>
      <c r="BE89" s="2688"/>
      <c r="BF89" s="2688"/>
      <c r="BG89" s="2688"/>
      <c r="BH89" s="2688"/>
      <c r="BI89" s="2688"/>
      <c r="BJ89" s="2688">
        <v>200</v>
      </c>
      <c r="BK89" s="2688"/>
      <c r="BL89" s="2688"/>
      <c r="BM89" s="2688"/>
      <c r="BN89" s="2688"/>
      <c r="BO89" s="2688"/>
      <c r="BP89" s="2688"/>
      <c r="BQ89" s="2688"/>
      <c r="BR89" s="2688"/>
      <c r="BS89" s="2688"/>
      <c r="BT89" s="2688"/>
      <c r="BU89" s="2688"/>
      <c r="BV89" s="2688"/>
      <c r="BW89" s="2688"/>
      <c r="BX89" s="2688"/>
      <c r="BY89" s="2688"/>
      <c r="BZ89" s="2688"/>
      <c r="CA89" s="2688"/>
      <c r="CB89" s="2688"/>
      <c r="CC89" s="2688"/>
      <c r="CD89" s="2688"/>
      <c r="CE89" s="2688"/>
      <c r="CF89" s="2688"/>
      <c r="CG89" s="2688"/>
      <c r="CH89" s="2688"/>
      <c r="CI89" s="2688"/>
      <c r="CJ89" s="2688"/>
      <c r="CK89" s="2688"/>
      <c r="CL89" s="2688"/>
      <c r="CM89" s="2688"/>
      <c r="CN89" s="2688"/>
      <c r="CO89" s="2688"/>
      <c r="CP89" s="2688"/>
      <c r="CQ89" s="2688"/>
      <c r="CR89" s="2688"/>
      <c r="CS89" s="2688"/>
      <c r="CT89" s="2688"/>
      <c r="CU89" s="2688"/>
      <c r="CV89" s="2688"/>
      <c r="CW89" s="2688"/>
      <c r="CX89" s="2688"/>
      <c r="CY89" s="2688"/>
      <c r="CZ89" s="2688"/>
      <c r="DA89" s="2688"/>
      <c r="DB89" s="2688"/>
      <c r="DC89" s="2688"/>
      <c r="DD89" s="2688"/>
      <c r="DE89" s="2688"/>
      <c r="DF89" s="2688"/>
      <c r="DG89" s="2688"/>
      <c r="DH89" s="2688"/>
      <c r="DI89" s="2688"/>
      <c r="DJ89" s="2688"/>
      <c r="DK89" s="2688"/>
      <c r="DL89" s="2688"/>
      <c r="DM89" s="2688"/>
      <c r="DN89" s="2688"/>
      <c r="DO89" s="2688"/>
      <c r="DP89" s="2688"/>
      <c r="DQ89" s="2688"/>
      <c r="DR89" s="2688"/>
      <c r="DS89" s="2688"/>
      <c r="DT89" s="2688"/>
      <c r="DU89" s="2688"/>
      <c r="DV89" s="2688"/>
      <c r="DW89" s="2688"/>
      <c r="DX89" s="2688"/>
      <c r="DY89" s="2688"/>
      <c r="DZ89" s="2688"/>
      <c r="EA89" s="2688"/>
      <c r="EB89" s="2688"/>
      <c r="EC89" s="2688"/>
      <c r="ED89" s="2688"/>
      <c r="EE89" s="2688"/>
      <c r="EF89" s="2688"/>
      <c r="EG89" s="2688"/>
      <c r="EH89" s="2688"/>
      <c r="EI89" s="2688"/>
      <c r="EJ89" s="2688"/>
      <c r="EK89" s="2688"/>
      <c r="EL89" s="2688"/>
      <c r="EM89" s="2688"/>
      <c r="EN89" s="2688"/>
      <c r="EO89" s="2688"/>
      <c r="EP89" s="2688"/>
      <c r="EQ89" s="2688"/>
      <c r="ER89" s="2688"/>
      <c r="ES89" s="2688"/>
      <c r="ET89" s="2688"/>
      <c r="EU89" s="2688"/>
      <c r="EV89" s="2688"/>
      <c r="EW89" s="2688"/>
      <c r="EX89" s="2688"/>
      <c r="EY89" s="2688"/>
      <c r="EZ89" s="2688"/>
      <c r="FA89" s="2688"/>
      <c r="FB89" s="2688"/>
      <c r="FC89" s="2688"/>
      <c r="FD89" s="2688"/>
      <c r="FE89" s="2688"/>
      <c r="FF89" s="2688"/>
      <c r="FG89" s="2688"/>
      <c r="FH89" s="2688"/>
      <c r="FI89" s="2688"/>
      <c r="FJ89" s="2688"/>
      <c r="FK89" s="2688"/>
      <c r="FL89" s="2688"/>
      <c r="FM89" s="2688"/>
      <c r="FN89" s="2688"/>
      <c r="FO89" s="2688"/>
      <c r="FP89" s="2688"/>
      <c r="FQ89" s="2688"/>
      <c r="FR89" s="2688"/>
      <c r="FS89" s="2688"/>
      <c r="FT89" s="2688"/>
      <c r="FU89" s="2688"/>
      <c r="FV89" s="2688"/>
      <c r="FW89" s="2688"/>
      <c r="FX89" s="2688"/>
      <c r="FY89" s="2688"/>
      <c r="FZ89" s="2688"/>
      <c r="GA89" s="2688"/>
      <c r="GB89" s="2688"/>
      <c r="GC89" s="2688"/>
      <c r="GD89" s="2688"/>
      <c r="GE89" s="2688"/>
      <c r="GF89" s="2688"/>
      <c r="GG89" s="2688"/>
      <c r="GH89" s="2688"/>
      <c r="GI89" s="2688"/>
      <c r="GJ89" s="2688"/>
      <c r="GK89" s="2688"/>
      <c r="GL89" s="2688"/>
      <c r="GM89" s="2688"/>
      <c r="GN89" s="2688"/>
      <c r="GO89" s="2688"/>
      <c r="GP89" s="2688"/>
      <c r="GQ89" s="2688"/>
      <c r="GR89" s="2688"/>
      <c r="GS89" s="2688"/>
      <c r="GT89" s="2688"/>
      <c r="GU89" s="2688"/>
      <c r="GV89" s="2688"/>
      <c r="GW89" s="2688"/>
      <c r="GX89" s="2688"/>
      <c r="GY89" s="2688"/>
      <c r="GZ89" s="2688"/>
      <c r="HA89" s="2688"/>
      <c r="HB89" s="2688"/>
      <c r="HC89" s="2688"/>
      <c r="HD89" s="2688"/>
      <c r="HE89" s="2688"/>
      <c r="HF89" s="2688"/>
      <c r="HG89" s="2688"/>
      <c r="HH89" s="2688"/>
      <c r="HI89" s="2688"/>
      <c r="HJ89" s="2688"/>
      <c r="HK89" s="2688"/>
      <c r="HL89" s="2688"/>
      <c r="HM89" s="2688"/>
      <c r="HN89" s="2688"/>
      <c r="HO89" s="2688"/>
      <c r="HP89" s="2688"/>
      <c r="HQ89" s="2688"/>
      <c r="HR89" s="2688"/>
      <c r="HS89" s="2688"/>
      <c r="HT89" s="2688"/>
      <c r="HU89" s="2688"/>
      <c r="HV89" s="2688"/>
      <c r="HW89" s="2688"/>
      <c r="HX89" s="2688"/>
      <c r="HY89" s="2688"/>
      <c r="HZ89" s="2688"/>
      <c r="IA89" s="2688"/>
      <c r="IB89" s="2688"/>
      <c r="IC89" s="2688"/>
      <c r="ID89" s="2688"/>
      <c r="IE89" s="2688"/>
      <c r="IF89" s="2688"/>
      <c r="IG89" s="2688"/>
      <c r="IH89" s="2688"/>
      <c r="II89" s="2688"/>
      <c r="IJ89" s="2688"/>
      <c r="IK89" s="2688"/>
      <c r="IL89" s="2688"/>
      <c r="IM89" s="2688"/>
      <c r="IN89" s="2688"/>
      <c r="IO89" s="2688"/>
      <c r="IP89" s="3557"/>
      <c r="IQ89" s="3557"/>
      <c r="IR89" s="3557"/>
      <c r="IS89" s="3557"/>
      <c r="IT89" s="3557"/>
      <c r="IU89" s="3557"/>
      <c r="IV89" s="3557"/>
      <c r="IW89" s="3557"/>
      <c r="IX89" s="3557"/>
      <c r="IY89" s="3557"/>
      <c r="IZ89" s="3557"/>
      <c r="JA89" s="3557"/>
      <c r="JB89" s="3557"/>
      <c r="JC89" s="3557"/>
      <c r="JD89" s="3557"/>
      <c r="JE89" s="3557"/>
      <c r="JF89" s="3557"/>
      <c r="JG89" s="4085"/>
      <c r="JH89" s="1233"/>
    </row>
    <row r="90" spans="1:268" x14ac:dyDescent="0.2">
      <c r="A90" s="1128">
        <v>90</v>
      </c>
      <c r="B90" s="1534" t="str">
        <f si="3" t="shared"/>
        <v/>
      </c>
      <c r="C90" s="1278" t="s">
        <v>1532</v>
      </c>
      <c r="D90" s="1386" t="s">
        <v>5335</v>
      </c>
      <c r="E90" s="2688"/>
      <c r="F90" s="2688"/>
      <c r="G90" s="2688"/>
      <c r="H90" s="2688"/>
      <c r="I90" s="2688"/>
      <c r="J90" s="2688"/>
      <c r="K90" s="2688"/>
      <c r="L90" s="2688"/>
      <c r="M90" s="2688"/>
      <c r="N90" s="2688"/>
      <c r="O90" s="2688"/>
      <c r="P90" s="2688"/>
      <c r="Q90" s="2688"/>
      <c r="R90" s="2688"/>
      <c r="S90" s="2688"/>
      <c r="T90" s="2688"/>
      <c r="U90" s="2688"/>
      <c r="V90" s="2688"/>
      <c r="W90" s="2688"/>
      <c r="X90" s="2688"/>
      <c r="Y90" s="2688"/>
      <c r="Z90" s="2688"/>
      <c r="AA90" s="2688"/>
      <c r="AB90" s="2688"/>
      <c r="AC90" s="2688"/>
      <c r="AD90" s="2688"/>
      <c r="AE90" s="2688"/>
      <c r="AF90" s="2688"/>
      <c r="AG90" s="2688"/>
      <c r="AH90" s="2688"/>
      <c r="AI90" s="2688"/>
      <c r="AJ90" s="2688"/>
      <c r="AK90" s="2688"/>
      <c r="AL90" s="2688"/>
      <c r="AM90" s="2688"/>
      <c r="AN90" s="2688"/>
      <c r="AO90" s="2688"/>
      <c r="AP90" s="3567">
        <f>(AP82+AP83+AP84)-(AP85+AP86+AP87+AP88+AP89)</f>
        <v>822</v>
      </c>
      <c r="AQ90" s="2688"/>
      <c r="AR90" s="2688"/>
      <c r="AS90" s="2688"/>
      <c r="AT90" s="2688"/>
      <c r="AU90" s="2688"/>
      <c r="AV90" s="2688"/>
      <c r="AW90" s="2688"/>
      <c r="AX90" s="2688"/>
      <c r="AY90" s="2688"/>
      <c r="AZ90" s="2688"/>
      <c r="BA90" s="2688"/>
      <c r="BB90" s="2688"/>
      <c r="BC90" s="3567">
        <f ref="BC90:BI90" si="4" t="shared">(BC82+BC83+BC84)-(BC85+BC86+BC87+BC88+BC89)</f>
        <v>822</v>
      </c>
      <c r="BD90" s="3567">
        <f si="4" t="shared"/>
        <v>822</v>
      </c>
      <c r="BE90" s="3567">
        <f si="4" t="shared"/>
        <v>0</v>
      </c>
      <c r="BF90" s="3567">
        <f si="4" t="shared"/>
        <v>0</v>
      </c>
      <c r="BG90" s="3567">
        <f si="4" t="shared"/>
        <v>0</v>
      </c>
      <c r="BH90" s="3567">
        <f si="4" t="shared"/>
        <v>0</v>
      </c>
      <c r="BI90" s="3567">
        <f si="4" t="shared"/>
        <v>0</v>
      </c>
      <c r="BJ90" s="3567">
        <f>(BJ82+BJ83+BJ84)-(BJ85+BJ86+BJ87+BJ88+BJ89)</f>
        <v>822</v>
      </c>
      <c r="BK90" s="3567">
        <f ref="BK90:CB90" si="5" t="shared">(BK82+BK83+BK84)-(BK85+BK86+BK87+BK88+BK89)</f>
        <v>0</v>
      </c>
      <c r="BL90" s="3567">
        <f si="5" t="shared"/>
        <v>0</v>
      </c>
      <c r="BM90" s="3567">
        <f si="5" t="shared"/>
        <v>0</v>
      </c>
      <c r="BN90" s="3567">
        <f si="5" t="shared"/>
        <v>0</v>
      </c>
      <c r="BO90" s="3567">
        <f si="5" t="shared"/>
        <v>0</v>
      </c>
      <c r="BP90" s="3567">
        <f si="5" t="shared"/>
        <v>0</v>
      </c>
      <c r="BQ90" s="3567">
        <f si="5" t="shared"/>
        <v>0</v>
      </c>
      <c r="BR90" s="3567">
        <f si="5" t="shared"/>
        <v>0</v>
      </c>
      <c r="BS90" s="3567">
        <f si="5" t="shared"/>
        <v>0</v>
      </c>
      <c r="BT90" s="3567">
        <f si="5" t="shared"/>
        <v>0</v>
      </c>
      <c r="BU90" s="3567">
        <f si="5" t="shared"/>
        <v>0</v>
      </c>
      <c r="BV90" s="3567">
        <f si="5" t="shared"/>
        <v>0</v>
      </c>
      <c r="BW90" s="3567">
        <f si="5" t="shared"/>
        <v>0</v>
      </c>
      <c r="BX90" s="3567">
        <f si="5" t="shared"/>
        <v>0</v>
      </c>
      <c r="BY90" s="3567">
        <f si="5" t="shared"/>
        <v>0</v>
      </c>
      <c r="BZ90" s="3567">
        <f si="5" t="shared"/>
        <v>0</v>
      </c>
      <c r="CA90" s="3567">
        <f si="5" t="shared"/>
        <v>0</v>
      </c>
      <c r="CB90" s="3567">
        <f si="5" t="shared"/>
        <v>822</v>
      </c>
      <c r="CC90" s="2688"/>
      <c r="CD90" s="2688"/>
      <c r="CE90" s="2688"/>
      <c r="CF90" s="2688"/>
      <c r="CG90" s="2688"/>
      <c r="CH90" s="2688"/>
      <c r="CI90" s="2688"/>
      <c r="CJ90" s="2688"/>
      <c r="CK90" s="2688"/>
      <c r="CL90" s="2688"/>
      <c r="CM90" s="2688"/>
      <c r="CN90" s="2688"/>
      <c r="CO90" s="2688"/>
      <c r="CP90" s="2688"/>
      <c r="CQ90" s="2688"/>
      <c r="CR90" s="2688"/>
      <c r="CS90" s="2688"/>
      <c r="CT90" s="2688"/>
      <c r="CU90" s="2688"/>
      <c r="CV90" s="2688"/>
      <c r="CW90" s="2688"/>
      <c r="CX90" s="2688"/>
      <c r="CY90" s="2688"/>
      <c r="CZ90" s="2688"/>
      <c r="DA90" s="2688"/>
      <c r="DB90" s="2688"/>
      <c r="DC90" s="2688"/>
      <c r="DD90" s="2688"/>
      <c r="DE90" s="2688"/>
      <c r="DF90" s="2688"/>
      <c r="DG90" s="2688"/>
      <c r="DH90" s="2688"/>
      <c r="DI90" s="2688"/>
      <c r="DJ90" s="2688"/>
      <c r="DK90" s="2688"/>
      <c r="DL90" s="2688"/>
      <c r="DM90" s="2688"/>
      <c r="DN90" s="2688"/>
      <c r="DO90" s="2688"/>
      <c r="DP90" s="2688"/>
      <c r="DQ90" s="2688"/>
      <c r="DR90" s="2688"/>
      <c r="DS90" s="2688"/>
      <c r="DT90" s="2688"/>
      <c r="DU90" s="2688"/>
      <c r="DV90" s="2688"/>
      <c r="DW90" s="2688"/>
      <c r="DX90" s="2688"/>
      <c r="DY90" s="2688"/>
      <c r="DZ90" s="2688"/>
      <c r="EA90" s="2688"/>
      <c r="EB90" s="2688"/>
      <c r="EC90" s="2688"/>
      <c r="ED90" s="2688"/>
      <c r="EE90" s="2688"/>
      <c r="EF90" s="2688"/>
      <c r="EG90" s="2688"/>
      <c r="EH90" s="2688"/>
      <c r="EI90" s="2688"/>
      <c r="EJ90" s="2688"/>
      <c r="EK90" s="2688"/>
      <c r="EL90" s="2688"/>
      <c r="EM90" s="2688"/>
      <c r="EN90" s="2688"/>
      <c r="EO90" s="2688"/>
      <c r="EP90" s="2688"/>
      <c r="EQ90" s="2688"/>
      <c r="ER90" s="2688"/>
      <c r="ES90" s="2688"/>
      <c r="ET90" s="2688"/>
      <c r="EU90" s="2688"/>
      <c r="EV90" s="2688"/>
      <c r="EW90" s="2688"/>
      <c r="EX90" s="2688"/>
      <c r="EY90" s="2688"/>
      <c r="EZ90" s="2688"/>
      <c r="FA90" s="2688"/>
      <c r="FB90" s="2688"/>
      <c r="FC90" s="2688"/>
      <c r="FD90" s="2688"/>
      <c r="FE90" s="2688"/>
      <c r="FF90" s="2688"/>
      <c r="FG90" s="2688"/>
      <c r="FH90" s="2688"/>
      <c r="FI90" s="2688"/>
      <c r="FJ90" s="2688"/>
      <c r="FK90" s="2688"/>
      <c r="FL90" s="2688"/>
      <c r="FM90" s="2688"/>
      <c r="FN90" s="2688"/>
      <c r="FO90" s="2688"/>
      <c r="FP90" s="2688"/>
      <c r="FQ90" s="2688"/>
      <c r="FR90" s="2688"/>
      <c r="FS90" s="2688"/>
      <c r="FT90" s="2688"/>
      <c r="FU90" s="2688"/>
      <c r="FV90" s="2688"/>
      <c r="FW90" s="2688"/>
      <c r="FX90" s="2688"/>
      <c r="FY90" s="2688"/>
      <c r="FZ90" s="2688"/>
      <c r="GA90" s="2688"/>
      <c r="GB90" s="2688"/>
      <c r="GC90" s="2688"/>
      <c r="GD90" s="2688"/>
      <c r="GE90" s="2688"/>
      <c r="GF90" s="3567">
        <f>(GF82+GF83+GF84)-(GF85+GF86+GF87+GF88+GF89)</f>
        <v>822</v>
      </c>
      <c r="GG90" s="2688"/>
      <c r="GH90" s="2688"/>
      <c r="GI90" s="2688"/>
      <c r="GJ90" s="2688"/>
      <c r="GK90" s="2688"/>
      <c r="GL90" s="2688"/>
      <c r="GM90" s="2688"/>
      <c r="GN90" s="2688"/>
      <c r="GO90" s="2688"/>
      <c r="GP90" s="2688"/>
      <c r="GQ90" s="2688"/>
      <c r="GR90" s="2688"/>
      <c r="GS90" s="2688"/>
      <c r="GT90" s="2688"/>
      <c r="GU90" s="2688"/>
      <c r="GV90" s="2688"/>
      <c r="GW90" s="2688"/>
      <c r="GX90" s="2688"/>
      <c r="GY90" s="2688"/>
      <c r="GZ90" s="2688"/>
      <c r="HA90" s="2688"/>
      <c r="HB90" s="2688"/>
      <c r="HC90" s="2688"/>
      <c r="HD90" s="2688"/>
      <c r="HE90" s="2688"/>
      <c r="HF90" s="2688"/>
      <c r="HG90" s="2688"/>
      <c r="HH90" s="2688"/>
      <c r="HI90" s="2688"/>
      <c r="HJ90" s="3360">
        <f>HJ82+HJ83+HJ84-(HJ85+HJ86+HJ89)</f>
        <v>-2278</v>
      </c>
      <c r="HK90" s="3360">
        <f>HK82+HK83+HK84-(HK85+HK86+HK89)</f>
        <v>-2278</v>
      </c>
      <c r="HL90" s="3360">
        <f>HL82+HL83+HL84-(HL85+HL86+HL89)</f>
        <v>-2278</v>
      </c>
      <c r="HM90" s="3360">
        <f>HM82+HM83+HM84-(HM85+HM86+HM89)</f>
        <v>-2278</v>
      </c>
      <c r="HN90" s="2688"/>
      <c r="HO90" s="2688"/>
      <c r="HP90" s="2688"/>
      <c r="HQ90" s="2688"/>
      <c r="HR90" s="2688"/>
      <c r="HS90" s="2688"/>
      <c r="HT90" s="2688"/>
      <c r="HU90" s="2688"/>
      <c r="HV90" s="2688"/>
      <c r="HW90" s="2688"/>
      <c r="HX90" s="2688"/>
      <c r="HY90" s="2688"/>
      <c r="HZ90" s="2688"/>
      <c r="IA90" s="2688"/>
      <c r="IB90" s="2688"/>
      <c r="IC90" s="2688"/>
      <c r="ID90" s="2688"/>
      <c r="IE90" s="2688"/>
      <c r="IF90" s="2688"/>
      <c r="IG90" s="2688"/>
      <c r="IH90" s="2688"/>
      <c r="II90" s="2688"/>
      <c r="IJ90" s="2688"/>
      <c r="IK90" s="2688"/>
      <c r="IL90" s="2688"/>
      <c r="IM90" s="2688"/>
      <c r="IN90" s="2688"/>
      <c r="IO90" s="2688"/>
      <c r="IP90" s="3566"/>
      <c r="IQ90" s="3566"/>
      <c r="IR90" s="3566"/>
      <c r="IS90" s="3566"/>
      <c r="IT90" s="3566"/>
      <c r="IU90" s="3566"/>
      <c r="IV90" s="3566"/>
      <c r="IW90" s="3566"/>
      <c r="IX90" s="3566"/>
      <c r="IY90" s="3566"/>
      <c r="IZ90" s="3566"/>
      <c r="JA90" s="3566"/>
      <c r="JB90" s="3566"/>
      <c r="JC90" s="3566"/>
      <c r="JD90" s="3566"/>
      <c r="JE90" s="3566"/>
      <c r="JF90" s="3566"/>
      <c r="JG90" s="4095"/>
      <c r="JH90" s="1233"/>
    </row>
    <row customFormat="1" r="91" s="5" spans="1:268" x14ac:dyDescent="0.2">
      <c r="A91" s="1128">
        <v>91</v>
      </c>
      <c r="B91" s="1534" t="str">
        <f si="3" t="shared"/>
        <v/>
      </c>
      <c r="C91" s="1524" t="s">
        <v>6445</v>
      </c>
      <c r="D91" s="2254" t="s">
        <v>6543</v>
      </c>
      <c r="E91" s="2688"/>
      <c r="F91" s="2688"/>
      <c r="G91" s="2688"/>
      <c r="H91" s="2688"/>
      <c r="I91" s="2688"/>
      <c r="J91" s="2688"/>
      <c r="K91" s="2688"/>
      <c r="L91" s="2688"/>
      <c r="M91" s="2688"/>
      <c r="N91" s="2688"/>
      <c r="O91" s="2688"/>
      <c r="P91" s="2688"/>
      <c r="Q91" s="2688"/>
      <c r="R91" s="2688"/>
      <c r="S91" s="2688"/>
      <c r="T91" s="2688"/>
      <c r="U91" s="2688"/>
      <c r="V91" s="2688"/>
      <c r="W91" s="2688"/>
      <c r="X91" s="2688"/>
      <c r="Y91" s="2688"/>
      <c r="Z91" s="2688"/>
      <c r="AA91" s="2688"/>
      <c r="AB91" s="2688"/>
      <c r="AC91" s="2688"/>
      <c r="AD91" s="2688"/>
      <c r="AE91" s="2688"/>
      <c r="AF91" s="2688"/>
      <c r="AG91" s="2688"/>
      <c r="AH91" s="2688"/>
      <c r="AI91" s="2688"/>
      <c r="AJ91" s="2688"/>
      <c r="AK91" s="2688"/>
      <c r="AL91" s="2688"/>
      <c r="AM91" s="2688"/>
      <c r="AN91" s="2688"/>
      <c r="AO91" s="2688"/>
      <c r="AP91" s="2688">
        <v>120</v>
      </c>
      <c r="AQ91" s="2688"/>
      <c r="AR91" s="2688"/>
      <c r="AS91" s="2688"/>
      <c r="AT91" s="2688"/>
      <c r="AU91" s="2688"/>
      <c r="AV91" s="2688"/>
      <c r="AW91" s="2688"/>
      <c r="AX91" s="2688"/>
      <c r="AY91" s="2688"/>
      <c r="AZ91" s="2688"/>
      <c r="BA91" s="2688"/>
      <c r="BB91" s="2688"/>
      <c r="BC91" s="2688">
        <v>120</v>
      </c>
      <c r="BD91" s="2688">
        <v>120</v>
      </c>
      <c r="BE91" s="2688"/>
      <c r="BF91" s="2688"/>
      <c r="BG91" s="2688"/>
      <c r="BH91" s="2688"/>
      <c r="BI91" s="2688"/>
      <c r="BJ91" s="2688">
        <v>120</v>
      </c>
      <c r="BK91" s="2688"/>
      <c r="BL91" s="2688"/>
      <c r="BM91" s="2688"/>
      <c r="BN91" s="2688"/>
      <c r="BO91" s="2688"/>
      <c r="BP91" s="2688"/>
      <c r="BQ91" s="2688"/>
      <c r="BR91" s="2688"/>
      <c r="BS91" s="2688"/>
      <c r="BT91" s="2688"/>
      <c r="BU91" s="2688"/>
      <c r="BV91" s="2688"/>
      <c r="BW91" s="2688"/>
      <c r="BX91" s="2688"/>
      <c r="BY91" s="2688"/>
      <c r="BZ91" s="2688"/>
      <c r="CA91" s="2688"/>
      <c r="CB91" s="3977">
        <v>120</v>
      </c>
      <c r="CC91" s="2688"/>
      <c r="CD91" s="2688"/>
      <c r="CE91" s="2688"/>
      <c r="CF91" s="2688"/>
      <c r="CG91" s="2688"/>
      <c r="CH91" s="2688"/>
      <c r="CI91" s="2688"/>
      <c r="CJ91" s="2688"/>
      <c r="CK91" s="2688"/>
      <c r="CL91" s="2688"/>
      <c r="CM91" s="2688"/>
      <c r="CN91" s="2688"/>
      <c r="CO91" s="2688"/>
      <c r="CP91" s="2688"/>
      <c r="CQ91" s="2688"/>
      <c r="CR91" s="2688"/>
      <c r="CS91" s="2688"/>
      <c r="CT91" s="2688"/>
      <c r="CU91" s="2688"/>
      <c r="CV91" s="2688"/>
      <c r="CW91" s="2688"/>
      <c r="CX91" s="2688"/>
      <c r="CY91" s="2688"/>
      <c r="CZ91" s="2688"/>
      <c r="DA91" s="2688"/>
      <c r="DB91" s="2688"/>
      <c r="DC91" s="2688"/>
      <c r="DD91" s="2688"/>
      <c r="DE91" s="2688"/>
      <c r="DF91" s="2688"/>
      <c r="DG91" s="2688"/>
      <c r="DH91" s="2688"/>
      <c r="DI91" s="2688"/>
      <c r="DJ91" s="2688"/>
      <c r="DK91" s="2688"/>
      <c r="DL91" s="2688"/>
      <c r="DM91" s="2688"/>
      <c r="DN91" s="2688"/>
      <c r="DO91" s="2688"/>
      <c r="DP91" s="2688"/>
      <c r="DQ91" s="2688"/>
      <c r="DR91" s="2688"/>
      <c r="DS91" s="2688"/>
      <c r="DT91" s="2688"/>
      <c r="DU91" s="2688"/>
      <c r="DV91" s="2688"/>
      <c r="DW91" s="2688"/>
      <c r="DX91" s="2688"/>
      <c r="DY91" s="2688"/>
      <c r="DZ91" s="2688"/>
      <c r="EA91" s="2688"/>
      <c r="EB91" s="2688"/>
      <c r="EC91" s="2688"/>
      <c r="ED91" s="2688"/>
      <c r="EE91" s="2688"/>
      <c r="EF91" s="2688"/>
      <c r="EG91" s="2688"/>
      <c r="EH91" s="2688"/>
      <c r="EI91" s="2688"/>
      <c r="EJ91" s="2688"/>
      <c r="EK91" s="2688"/>
      <c r="EL91" s="2688"/>
      <c r="EM91" s="2688"/>
      <c r="EN91" s="2688"/>
      <c r="EO91" s="2688"/>
      <c r="EP91" s="2688"/>
      <c r="EQ91" s="2688"/>
      <c r="ER91" s="2688"/>
      <c r="ES91" s="2688"/>
      <c r="ET91" s="2688"/>
      <c r="EU91" s="2688"/>
      <c r="EV91" s="2688"/>
      <c r="EW91" s="2688"/>
      <c r="EX91" s="2688"/>
      <c r="EY91" s="2688"/>
      <c r="EZ91" s="2688"/>
      <c r="FA91" s="2688"/>
      <c r="FB91" s="2688"/>
      <c r="FC91" s="2688"/>
      <c r="FD91" s="2688"/>
      <c r="FE91" s="2688"/>
      <c r="FF91" s="2688"/>
      <c r="FG91" s="2688"/>
      <c r="FH91" s="2688"/>
      <c r="FI91" s="2688"/>
      <c r="FJ91" s="2688"/>
      <c r="FK91" s="2688"/>
      <c r="FL91" s="2688"/>
      <c r="FM91" s="2688"/>
      <c r="FN91" s="2688"/>
      <c r="FO91" s="2688"/>
      <c r="FP91" s="2688"/>
      <c r="FQ91" s="2688"/>
      <c r="FR91" s="2688"/>
      <c r="FS91" s="2688"/>
      <c r="FT91" s="2688"/>
      <c r="FU91" s="2688"/>
      <c r="FV91" s="2688"/>
      <c r="FW91" s="2688"/>
      <c r="FX91" s="2688"/>
      <c r="FY91" s="2688"/>
      <c r="FZ91" s="2688"/>
      <c r="GA91" s="2688"/>
      <c r="GB91" s="2688"/>
      <c r="GC91" s="2688"/>
      <c r="GD91" s="2688"/>
      <c r="GE91" s="2688"/>
      <c r="GF91" s="2688">
        <v>120</v>
      </c>
      <c r="GG91" s="2688"/>
      <c r="GH91" s="2688"/>
      <c r="GI91" s="2688"/>
      <c r="GJ91" s="2688"/>
      <c r="GK91" s="2688"/>
      <c r="GL91" s="2688"/>
      <c r="GM91" s="2688"/>
      <c r="GN91" s="2688"/>
      <c r="GO91" s="2688"/>
      <c r="GP91" s="2688"/>
      <c r="GQ91" s="2688"/>
      <c r="GR91" s="2688"/>
      <c r="GS91" s="2688"/>
      <c r="GT91" s="2688"/>
      <c r="GU91" s="2688"/>
      <c r="GV91" s="2688"/>
      <c r="GW91" s="2688"/>
      <c r="GX91" s="2688"/>
      <c r="GY91" s="2688"/>
      <c r="GZ91" s="2688"/>
      <c r="HA91" s="2688"/>
      <c r="HB91" s="2688"/>
      <c r="HC91" s="2688"/>
      <c r="HD91" s="2688"/>
      <c r="HE91" s="2688"/>
      <c r="HF91" s="2688"/>
      <c r="HG91" s="2688"/>
      <c r="HH91" s="2688"/>
      <c r="HI91" s="2688"/>
      <c r="HJ91" s="2688"/>
      <c r="HK91" s="2688"/>
      <c r="HL91" s="2688"/>
      <c r="HM91" s="2688"/>
      <c r="HN91" s="2688"/>
      <c r="HO91" s="2688"/>
      <c r="HP91" s="2688"/>
      <c r="HQ91" s="2688"/>
      <c r="HR91" s="2688"/>
      <c r="HS91" s="2688"/>
      <c r="HT91" s="2688"/>
      <c r="HU91" s="2688"/>
      <c r="HV91" s="2688"/>
      <c r="HW91" s="2688"/>
      <c r="HX91" s="2688"/>
      <c r="HY91" s="2688"/>
      <c r="HZ91" s="2688"/>
      <c r="IA91" s="2688"/>
      <c r="IB91" s="2688"/>
      <c r="IC91" s="2688"/>
      <c r="ID91" s="2688"/>
      <c r="IE91" s="2688"/>
      <c r="IF91" s="2688"/>
      <c r="IG91" s="2688"/>
      <c r="IH91" s="2688"/>
      <c r="II91" s="2688"/>
      <c r="IJ91" s="2688"/>
      <c r="IK91" s="2688"/>
      <c r="IL91" s="2688"/>
      <c r="IM91" s="2688"/>
      <c r="IN91" s="2688"/>
      <c r="IO91" s="2688"/>
      <c r="IP91" s="3568"/>
      <c r="IQ91" s="3568"/>
      <c r="IR91" s="3568"/>
      <c r="IS91" s="3568"/>
      <c r="IT91" s="3568"/>
      <c r="IU91" s="3568"/>
      <c r="IV91" s="3568"/>
      <c r="IW91" s="3568"/>
      <c r="IX91" s="3568"/>
      <c r="IY91" s="3568"/>
      <c r="IZ91" s="3568"/>
      <c r="JA91" s="3568"/>
      <c r="JB91" s="3568"/>
      <c r="JC91" s="3568"/>
      <c r="JD91" s="3568"/>
      <c r="JE91" s="3568"/>
      <c r="JF91" s="3568"/>
      <c r="JG91" s="4096"/>
      <c r="JH91" s="1233"/>
    </row>
    <row customFormat="1" r="92" s="5" spans="1:268" x14ac:dyDescent="0.2">
      <c r="A92" s="1128">
        <v>92</v>
      </c>
      <c r="B92" s="1534" t="str">
        <f si="3" t="shared"/>
        <v/>
      </c>
      <c r="C92" s="1524" t="s">
        <v>6871</v>
      </c>
      <c r="D92" s="2254" t="s">
        <v>7284</v>
      </c>
      <c r="E92" s="2688"/>
      <c r="F92" s="2688"/>
      <c r="G92" s="2688"/>
      <c r="H92" s="2688"/>
      <c r="I92" s="2688"/>
      <c r="J92" s="2688"/>
      <c r="K92" s="2688"/>
      <c r="L92" s="2688"/>
      <c r="M92" s="2688"/>
      <c r="N92" s="2688"/>
      <c r="O92" s="2688"/>
      <c r="P92" s="2688"/>
      <c r="Q92" s="2688"/>
      <c r="R92" s="2688"/>
      <c r="S92" s="2688"/>
      <c r="T92" s="2688"/>
      <c r="U92" s="2688"/>
      <c r="V92" s="2688"/>
      <c r="W92" s="2688"/>
      <c r="X92" s="2688"/>
      <c r="Y92" s="2688"/>
      <c r="Z92" s="2688"/>
      <c r="AA92" s="2688"/>
      <c r="AB92" s="2688"/>
      <c r="AC92" s="2688"/>
      <c r="AD92" s="2688"/>
      <c r="AE92" s="2688"/>
      <c r="AF92" s="2688"/>
      <c r="AG92" s="2688"/>
      <c r="AH92" s="2688"/>
      <c r="AI92" s="2688"/>
      <c r="AJ92" s="2688"/>
      <c r="AK92" s="2688"/>
      <c r="AL92" s="2688"/>
      <c r="AM92" s="2688"/>
      <c r="AN92" s="2688"/>
      <c r="AO92" s="2688"/>
      <c r="AP92" s="2688"/>
      <c r="AQ92" s="2688"/>
      <c r="AR92" s="2688"/>
      <c r="AS92" s="2688"/>
      <c r="AT92" s="2688"/>
      <c r="AU92" s="2688"/>
      <c r="AV92" s="2688"/>
      <c r="AW92" s="2688"/>
      <c r="AX92" s="2688"/>
      <c r="AY92" s="2688"/>
      <c r="AZ92" s="2688"/>
      <c r="BA92" s="2688"/>
      <c r="BB92" s="2688"/>
      <c r="BC92" s="2688"/>
      <c r="BD92" s="2688"/>
      <c r="BE92" s="2688"/>
      <c r="BF92" s="2688"/>
      <c r="BG92" s="2688"/>
      <c r="BH92" s="2688"/>
      <c r="BI92" s="2688"/>
      <c r="BJ92" s="2688"/>
      <c r="BK92" s="2688"/>
      <c r="BL92" s="2688"/>
      <c r="BM92" s="2688"/>
      <c r="BN92" s="2688"/>
      <c r="BO92" s="2688"/>
      <c r="BP92" s="2688"/>
      <c r="BQ92" s="2688"/>
      <c r="BR92" s="2688"/>
      <c r="BS92" s="2688"/>
      <c r="BT92" s="2688"/>
      <c r="BU92" s="2688"/>
      <c r="BV92" s="2688"/>
      <c r="BW92" s="2688"/>
      <c r="BX92" s="2688"/>
      <c r="BY92" s="2688"/>
      <c r="BZ92" s="2688"/>
      <c r="CA92" s="2688"/>
      <c r="CB92" s="2688"/>
      <c r="CC92" s="2688"/>
      <c r="CD92" s="2688"/>
      <c r="CE92" s="2688"/>
      <c r="CF92" s="2688"/>
      <c r="CG92" s="2688"/>
      <c r="CH92" s="2688"/>
      <c r="CI92" s="2688"/>
      <c r="CJ92" s="2688"/>
      <c r="CK92" s="2688"/>
      <c r="CL92" s="2688"/>
      <c r="CM92" s="2688"/>
      <c r="CN92" s="2688"/>
      <c r="CO92" s="2688"/>
      <c r="CP92" s="2688"/>
      <c r="CQ92" s="2688"/>
      <c r="CR92" s="2688"/>
      <c r="CS92" s="2688"/>
      <c r="CT92" s="2688"/>
      <c r="CU92" s="2688"/>
      <c r="CV92" s="2688"/>
      <c r="CW92" s="2688"/>
      <c r="CX92" s="2688"/>
      <c r="CY92" s="2688"/>
      <c r="CZ92" s="2688"/>
      <c r="DA92" s="2688"/>
      <c r="DB92" s="2688"/>
      <c r="DC92" s="2688"/>
      <c r="DD92" s="2688"/>
      <c r="DE92" s="2688"/>
      <c r="DF92" s="2688"/>
      <c r="DG92" s="2688"/>
      <c r="DH92" s="2688"/>
      <c r="DI92" s="2688"/>
      <c r="DJ92" s="2688"/>
      <c r="DK92" s="2688"/>
      <c r="DL92" s="2688"/>
      <c r="DM92" s="2688"/>
      <c r="DN92" s="2688"/>
      <c r="DO92" s="2688"/>
      <c r="DP92" s="2688"/>
      <c r="DQ92" s="2688"/>
      <c r="DR92" s="2688"/>
      <c r="DS92" s="2688"/>
      <c r="DT92" s="2688"/>
      <c r="DU92" s="2688"/>
      <c r="DV92" s="2688"/>
      <c r="DW92" s="2688"/>
      <c r="DX92" s="2688"/>
      <c r="DY92" s="2688"/>
      <c r="DZ92" s="2688"/>
      <c r="EA92" s="2688"/>
      <c r="EB92" s="2688"/>
      <c r="EC92" s="2688"/>
      <c r="ED92" s="2688"/>
      <c r="EE92" s="2688"/>
      <c r="EF92" s="2688"/>
      <c r="EG92" s="2688"/>
      <c r="EH92" s="2688"/>
      <c r="EI92" s="2688"/>
      <c r="EJ92" s="2688"/>
      <c r="EK92" s="2688"/>
      <c r="EL92" s="2688"/>
      <c r="EM92" s="2688"/>
      <c r="EN92" s="2688"/>
      <c r="EO92" s="2688"/>
      <c r="EP92" s="2688"/>
      <c r="EQ92" s="2688"/>
      <c r="ER92" s="2688"/>
      <c r="ES92" s="2688"/>
      <c r="ET92" s="2688"/>
      <c r="EU92" s="2688"/>
      <c r="EV92" s="2688"/>
      <c r="EW92" s="2688"/>
      <c r="EX92" s="2688"/>
      <c r="EY92" s="2688"/>
      <c r="EZ92" s="2688"/>
      <c r="FA92" s="2688"/>
      <c r="FB92" s="2688"/>
      <c r="FC92" s="2688"/>
      <c r="FD92" s="2688"/>
      <c r="FE92" s="2688"/>
      <c r="FF92" s="2688"/>
      <c r="FG92" s="2688"/>
      <c r="FH92" s="2688"/>
      <c r="FI92" s="2688"/>
      <c r="FJ92" s="2688"/>
      <c r="FK92" s="2688"/>
      <c r="FL92" s="2688"/>
      <c r="FM92" s="2688"/>
      <c r="FN92" s="2688"/>
      <c r="FO92" s="2688"/>
      <c r="FP92" s="2688"/>
      <c r="FQ92" s="2688"/>
      <c r="FR92" s="2688"/>
      <c r="FS92" s="2688"/>
      <c r="FT92" s="2688"/>
      <c r="FU92" s="2688"/>
      <c r="FV92" s="2688"/>
      <c r="FW92" s="2688"/>
      <c r="FX92" s="2688"/>
      <c r="FY92" s="2688"/>
      <c r="FZ92" s="2688"/>
      <c r="GA92" s="2688"/>
      <c r="GB92" s="2688"/>
      <c r="GC92" s="2688"/>
      <c r="GD92" s="2688"/>
      <c r="GE92" s="2688"/>
      <c r="GF92" s="2688"/>
      <c r="GG92" s="2688"/>
      <c r="GH92" s="2688"/>
      <c r="GI92" s="2688"/>
      <c r="GJ92" s="2688"/>
      <c r="GK92" s="2688"/>
      <c r="GL92" s="2688"/>
      <c r="GM92" s="2688"/>
      <c r="GN92" s="2688"/>
      <c r="GO92" s="2688"/>
      <c r="GP92" s="2688"/>
      <c r="GQ92" s="2688"/>
      <c r="GR92" s="2688"/>
      <c r="GS92" s="2688"/>
      <c r="GT92" s="2688"/>
      <c r="GU92" s="2688"/>
      <c r="GV92" s="2688"/>
      <c r="GW92" s="2688"/>
      <c r="GX92" s="2688"/>
      <c r="GY92" s="2688"/>
      <c r="GZ92" s="2688"/>
      <c r="HA92" s="2688"/>
      <c r="HB92" s="2688"/>
      <c r="HC92" s="2688"/>
      <c r="HD92" s="2688"/>
      <c r="HE92" s="2688"/>
      <c r="HF92" s="2688"/>
      <c r="HG92" s="2688"/>
      <c r="HH92" s="2688"/>
      <c r="HI92" s="2688"/>
      <c r="HJ92" s="2688"/>
      <c r="HK92" s="2688"/>
      <c r="HL92" s="2688"/>
      <c r="HM92" s="2688"/>
      <c r="HN92" s="2688"/>
      <c r="HO92" s="2688"/>
      <c r="HP92" s="2688"/>
      <c r="HQ92" s="2688"/>
      <c r="HR92" s="2688"/>
      <c r="HS92" s="2688"/>
      <c r="HT92" s="2688"/>
      <c r="HU92" s="2688"/>
      <c r="HV92" s="2688"/>
      <c r="HW92" s="2688"/>
      <c r="HX92" s="2688"/>
      <c r="HY92" s="2688"/>
      <c r="HZ92" s="2688"/>
      <c r="IA92" s="2688"/>
      <c r="IB92" s="2688"/>
      <c r="IC92" s="2688"/>
      <c r="ID92" s="2688"/>
      <c r="IE92" s="2688"/>
      <c r="IF92" s="2688"/>
      <c r="IG92" s="2688"/>
      <c r="IH92" s="2688"/>
      <c r="II92" s="2688"/>
      <c r="IJ92" s="2688"/>
      <c r="IK92" s="2688"/>
      <c r="IL92" s="2688"/>
      <c r="IM92" s="2688"/>
      <c r="IN92" s="2688"/>
      <c r="IO92" s="2688"/>
      <c r="IP92" s="3565"/>
      <c r="IQ92" s="3565"/>
      <c r="IR92" s="3565"/>
      <c r="IS92" s="3565"/>
      <c r="IT92" s="3565"/>
      <c r="IU92" s="3565"/>
      <c r="IV92" s="3565"/>
      <c r="IW92" s="3565"/>
      <c r="IX92" s="3565"/>
      <c r="IY92" s="3565"/>
      <c r="IZ92" s="3565"/>
      <c r="JA92" s="3565"/>
      <c r="JB92" s="3565"/>
      <c r="JC92" s="3565"/>
      <c r="JD92" s="3565"/>
      <c r="JE92" s="3565"/>
      <c r="JF92" s="3565"/>
      <c r="JG92" s="4093"/>
      <c r="JH92" s="1233"/>
    </row>
    <row r="93" spans="1:268" x14ac:dyDescent="0.2">
      <c r="A93" s="1128">
        <v>93</v>
      </c>
      <c r="B93" s="1534" t="str">
        <f si="3" t="shared"/>
        <v/>
      </c>
      <c r="C93" s="1278" t="s">
        <v>159</v>
      </c>
      <c r="D93" s="1386" t="s">
        <v>5321</v>
      </c>
      <c r="E93" s="3359"/>
      <c r="F93" s="3359"/>
      <c r="G93" s="3359"/>
      <c r="H93" s="3359"/>
      <c r="I93" s="3359"/>
      <c r="J93" s="3359"/>
      <c r="K93" s="3359"/>
      <c r="L93" s="3359"/>
      <c r="M93" s="3359"/>
      <c r="N93" s="3359"/>
      <c r="O93" s="3359"/>
      <c r="P93" s="3359"/>
      <c r="Q93" s="3359"/>
      <c r="R93" s="3359"/>
      <c r="S93" s="3359"/>
      <c r="T93" s="3359"/>
      <c r="U93" s="3359"/>
      <c r="V93" s="3359"/>
      <c r="W93" s="3359"/>
      <c r="X93" s="3359"/>
      <c r="Y93" s="3359"/>
      <c r="Z93" s="3359"/>
      <c r="AA93" s="3359"/>
      <c r="AB93" s="3359"/>
      <c r="AC93" s="3359"/>
      <c r="AD93" s="3359"/>
      <c r="AE93" s="3359"/>
      <c r="AF93" s="3359"/>
      <c r="AG93" s="3359"/>
      <c r="AH93" s="3359"/>
      <c r="AI93" s="3359"/>
      <c r="AJ93" s="3359"/>
      <c r="AK93" s="3359"/>
      <c r="AL93" s="3359"/>
      <c r="AM93" s="3359"/>
      <c r="AN93" s="3359"/>
      <c r="AO93" s="3359"/>
      <c r="AP93" s="3359" t="s">
        <v>3031</v>
      </c>
      <c r="AQ93" s="3359"/>
      <c r="AR93" s="3359"/>
      <c r="AS93" s="3359"/>
      <c r="AT93" s="3359"/>
      <c r="AU93" s="3359"/>
      <c r="AV93" s="3359"/>
      <c r="AW93" s="3359"/>
      <c r="AX93" s="3359"/>
      <c r="AY93" s="3359"/>
      <c r="AZ93" s="3359"/>
      <c r="BA93" s="3359"/>
      <c r="BB93" s="3359"/>
      <c r="BC93" s="3359" t="s">
        <v>3031</v>
      </c>
      <c r="BD93" s="3359" t="s">
        <v>3031</v>
      </c>
      <c r="BE93" s="3359"/>
      <c r="BF93" s="3359"/>
      <c r="BG93" s="3359"/>
      <c r="BH93" s="3359"/>
      <c r="BI93" s="3359"/>
      <c r="BJ93" s="3359" t="s">
        <v>3031</v>
      </c>
      <c r="BK93" s="3359"/>
      <c r="BL93" s="3359"/>
      <c r="BM93" s="3359"/>
      <c r="BN93" s="3359"/>
      <c r="BO93" s="3359"/>
      <c r="BP93" s="3359"/>
      <c r="BQ93" s="3359"/>
      <c r="BR93" s="3359"/>
      <c r="BS93" s="3359"/>
      <c r="BT93" s="3359"/>
      <c r="BU93" s="3359"/>
      <c r="BV93" s="3359"/>
      <c r="BW93" s="3359"/>
      <c r="BX93" s="3359"/>
      <c r="BY93" s="3359"/>
      <c r="BZ93" s="3359"/>
      <c r="CA93" s="3359"/>
      <c r="CB93" s="4261" t="s">
        <v>3031</v>
      </c>
      <c r="CC93" s="3359"/>
      <c r="CD93" s="3359"/>
      <c r="CE93" s="3359"/>
      <c r="CF93" s="3359"/>
      <c r="CG93" s="3359"/>
      <c r="CH93" s="3359"/>
      <c r="CI93" s="3359"/>
      <c r="CJ93" s="3359"/>
      <c r="CK93" s="3359"/>
      <c r="CL93" s="3359"/>
      <c r="CM93" s="3359"/>
      <c r="CN93" s="3359"/>
      <c r="CO93" s="3359"/>
      <c r="CP93" s="3359"/>
      <c r="CQ93" s="3359"/>
      <c r="CR93" s="3359"/>
      <c r="CS93" s="3359"/>
      <c r="CT93" s="3359"/>
      <c r="CU93" s="3359"/>
      <c r="CV93" s="3359"/>
      <c r="CW93" s="3359"/>
      <c r="CX93" s="3359"/>
      <c r="CY93" s="3359"/>
      <c r="CZ93" s="3359"/>
      <c r="DA93" s="3359"/>
      <c r="DB93" s="3359"/>
      <c r="DC93" s="3359"/>
      <c r="DD93" s="3359"/>
      <c r="DE93" s="3359"/>
      <c r="DF93" s="3359"/>
      <c r="DG93" s="3359"/>
      <c r="DH93" s="3359"/>
      <c r="DI93" s="3359"/>
      <c r="DJ93" s="3359"/>
      <c r="DK93" s="3359"/>
      <c r="DL93" s="3359"/>
      <c r="DM93" s="3359"/>
      <c r="DN93" s="3359"/>
      <c r="DO93" s="3359"/>
      <c r="DP93" s="3359"/>
      <c r="DQ93" s="3359"/>
      <c r="DR93" s="3359"/>
      <c r="DS93" s="3359"/>
      <c r="DT93" s="3359"/>
      <c r="DU93" s="3359"/>
      <c r="DV93" s="3359"/>
      <c r="DW93" s="3359"/>
      <c r="DX93" s="3359"/>
      <c r="DY93" s="3359"/>
      <c r="DZ93" s="3359"/>
      <c r="EA93" s="3359"/>
      <c r="EB93" s="3359"/>
      <c r="EC93" s="3359"/>
      <c r="ED93" s="3359"/>
      <c r="EE93" s="3359"/>
      <c r="EF93" s="3359"/>
      <c r="EG93" s="3359"/>
      <c r="EH93" s="3359"/>
      <c r="EI93" s="3359"/>
      <c r="EJ93" s="3359"/>
      <c r="EK93" s="3359"/>
      <c r="EL93" s="3359"/>
      <c r="EM93" s="3359"/>
      <c r="EN93" s="3359"/>
      <c r="EO93" s="3359"/>
      <c r="EP93" s="3359"/>
      <c r="EQ93" s="3359"/>
      <c r="ER93" s="3359"/>
      <c r="ES93" s="3359"/>
      <c r="ET93" s="3359"/>
      <c r="EU93" s="3359"/>
      <c r="EV93" s="3359"/>
      <c r="EW93" s="3359"/>
      <c r="EX93" s="3359"/>
      <c r="EY93" s="3359"/>
      <c r="EZ93" s="3359"/>
      <c r="FA93" s="3359"/>
      <c r="FB93" s="3359"/>
      <c r="FC93" s="3359"/>
      <c r="FD93" s="3359"/>
      <c r="FE93" s="3359"/>
      <c r="FF93" s="3359"/>
      <c r="FG93" s="3359"/>
      <c r="FH93" s="3359"/>
      <c r="FI93" s="3359"/>
      <c r="FJ93" s="3359"/>
      <c r="FK93" s="3359"/>
      <c r="FL93" s="3359"/>
      <c r="FM93" s="3359"/>
      <c r="FN93" s="3359"/>
      <c r="FO93" s="3359"/>
      <c r="FP93" s="3359"/>
      <c r="FQ93" s="3359"/>
      <c r="FR93" s="3359"/>
      <c r="FS93" s="3359"/>
      <c r="FT93" s="3359"/>
      <c r="FU93" s="3359"/>
      <c r="FV93" s="3359"/>
      <c r="FW93" s="3359"/>
      <c r="FX93" s="3359"/>
      <c r="FY93" s="3359"/>
      <c r="FZ93" s="3359"/>
      <c r="GA93" s="3359"/>
      <c r="GB93" s="3359"/>
      <c r="GC93" s="3359"/>
      <c r="GD93" s="3359"/>
      <c r="GE93" s="3359"/>
      <c r="GF93" s="3359" t="s">
        <v>3031</v>
      </c>
      <c r="GG93" s="3359"/>
      <c r="GH93" s="3359"/>
      <c r="GI93" s="3359"/>
      <c r="GJ93" s="3359"/>
      <c r="GK93" s="3359"/>
      <c r="GL93" s="3359"/>
      <c r="GM93" s="3359"/>
      <c r="GN93" s="3359"/>
      <c r="GO93" s="3359"/>
      <c r="GP93" s="3359"/>
      <c r="GQ93" s="3359"/>
      <c r="GR93" s="3359"/>
      <c r="GS93" s="3359"/>
      <c r="GT93" s="3359"/>
      <c r="GU93" s="3359"/>
      <c r="GV93" s="3359"/>
      <c r="GW93" s="3359"/>
      <c r="GX93" s="3359"/>
      <c r="GY93" s="3359"/>
      <c r="GZ93" s="3359"/>
      <c r="HA93" s="3359"/>
      <c r="HB93" s="3359"/>
      <c r="HC93" s="3359"/>
      <c r="HD93" s="3359"/>
      <c r="HE93" s="3359"/>
      <c r="HF93" s="3359"/>
      <c r="HG93" s="3359"/>
      <c r="HH93" s="3359" t="s">
        <v>1930</v>
      </c>
      <c r="HI93" s="3359"/>
      <c r="HJ93" s="3359" t="s">
        <v>2789</v>
      </c>
      <c r="HK93" s="3359" t="s">
        <v>2789</v>
      </c>
      <c r="HL93" s="3359" t="s">
        <v>2789</v>
      </c>
      <c r="HM93" s="3359" t="s">
        <v>2789</v>
      </c>
      <c r="HN93" s="3359"/>
      <c r="HO93" s="3359"/>
      <c r="HP93" s="3359"/>
      <c r="HQ93" s="3359"/>
      <c r="HR93" s="3359"/>
      <c r="HS93" s="3359"/>
      <c r="HT93" s="3359"/>
      <c r="HU93" s="3359"/>
      <c r="HV93" s="3359"/>
      <c r="HW93" s="3359"/>
      <c r="HX93" s="3359"/>
      <c r="HY93" s="3359"/>
      <c r="HZ93" s="3359"/>
      <c r="IA93" s="3359"/>
      <c r="IB93" s="3359"/>
      <c r="IC93" s="3359"/>
      <c r="ID93" s="3359"/>
      <c r="IE93" s="3359"/>
      <c r="IF93" s="3359"/>
      <c r="IG93" s="3359"/>
      <c r="IH93" s="3359"/>
      <c r="II93" s="3359"/>
      <c r="IJ93" s="3359"/>
      <c r="IK93" s="3359"/>
      <c r="IL93" s="3359"/>
      <c r="IM93" s="3359"/>
      <c r="IN93" s="3359"/>
      <c r="IO93" s="3359"/>
      <c r="IP93" s="2815"/>
      <c r="IQ93" s="2815"/>
      <c r="IR93" s="2815"/>
      <c r="IS93" s="2815"/>
      <c r="IT93" s="2815"/>
      <c r="IU93" s="2815"/>
      <c r="IV93" s="2815"/>
      <c r="IW93" s="2815"/>
      <c r="IX93" s="2815"/>
      <c r="IY93" s="2815"/>
      <c r="IZ93" s="2815"/>
      <c r="JA93" s="2815"/>
      <c r="JB93" s="2815"/>
      <c r="JC93" s="2815"/>
      <c r="JD93" s="2815"/>
      <c r="JE93" s="2815"/>
      <c r="JF93" s="2815"/>
      <c r="JG93" s="3348"/>
      <c r="JH93" s="1233"/>
    </row>
    <row r="94" spans="1:268" x14ac:dyDescent="0.2">
      <c r="A94" s="1128">
        <v>94</v>
      </c>
      <c r="B94" s="1534" t="str">
        <f si="3" t="shared"/>
        <v/>
      </c>
      <c r="C94" s="1278" t="s">
        <v>160</v>
      </c>
      <c r="D94" s="1386" t="s">
        <v>5322</v>
      </c>
      <c r="E94" s="2688"/>
      <c r="F94" s="2688"/>
      <c r="G94" s="2688"/>
      <c r="H94" s="2688"/>
      <c r="I94" s="2688"/>
      <c r="J94" s="2688"/>
      <c r="K94" s="2688"/>
      <c r="L94" s="2688"/>
      <c r="M94" s="2688"/>
      <c r="N94" s="2688"/>
      <c r="O94" s="2688"/>
      <c r="P94" s="2688"/>
      <c r="Q94" s="2688"/>
      <c r="R94" s="2688"/>
      <c r="S94" s="2688"/>
      <c r="T94" s="2688"/>
      <c r="U94" s="2688"/>
      <c r="V94" s="2688"/>
      <c r="W94" s="2688"/>
      <c r="X94" s="2688"/>
      <c r="Y94" s="2688"/>
      <c r="Z94" s="2688"/>
      <c r="AA94" s="2688"/>
      <c r="AB94" s="2688"/>
      <c r="AC94" s="2688"/>
      <c r="AD94" s="2688"/>
      <c r="AE94" s="2688"/>
      <c r="AF94" s="2688"/>
      <c r="AG94" s="2688"/>
      <c r="AH94" s="2688"/>
      <c r="AI94" s="2688"/>
      <c r="AJ94" s="2688"/>
      <c r="AK94" s="2688"/>
      <c r="AL94" s="2688"/>
      <c r="AM94" s="2688"/>
      <c r="AN94" s="2688"/>
      <c r="AO94" s="2688"/>
      <c r="AP94" s="3977">
        <f>AP90</f>
        <v>822</v>
      </c>
      <c r="AQ94" s="2688"/>
      <c r="AR94" s="2688"/>
      <c r="AS94" s="2688"/>
      <c r="AT94" s="2688"/>
      <c r="AU94" s="2688"/>
      <c r="AV94" s="2688"/>
      <c r="AW94" s="2688"/>
      <c r="AX94" s="2688"/>
      <c r="AY94" s="2688"/>
      <c r="AZ94" s="2688"/>
      <c r="BA94" s="2688"/>
      <c r="BB94" s="2688"/>
      <c r="BC94" s="3977">
        <f ref="BC94:BI94" si="6" t="shared">BC90</f>
        <v>822</v>
      </c>
      <c r="BD94" s="3977">
        <f si="6" t="shared"/>
        <v>822</v>
      </c>
      <c r="BE94" s="3977">
        <f si="6" t="shared"/>
        <v>0</v>
      </c>
      <c r="BF94" s="3977">
        <f si="6" t="shared"/>
        <v>0</v>
      </c>
      <c r="BG94" s="3977">
        <f si="6" t="shared"/>
        <v>0</v>
      </c>
      <c r="BH94" s="3977">
        <f si="6" t="shared"/>
        <v>0</v>
      </c>
      <c r="BI94" s="3977">
        <f si="6" t="shared"/>
        <v>0</v>
      </c>
      <c r="BJ94" s="3977">
        <f>BJ90</f>
        <v>822</v>
      </c>
      <c r="BK94" s="3977">
        <f ref="BK94:CB94" si="7" t="shared">BK90</f>
        <v>0</v>
      </c>
      <c r="BL94" s="3977">
        <f si="7" t="shared"/>
        <v>0</v>
      </c>
      <c r="BM94" s="3977">
        <f si="7" t="shared"/>
        <v>0</v>
      </c>
      <c r="BN94" s="3977">
        <f si="7" t="shared"/>
        <v>0</v>
      </c>
      <c r="BO94" s="3977">
        <f si="7" t="shared"/>
        <v>0</v>
      </c>
      <c r="BP94" s="3977">
        <f si="7" t="shared"/>
        <v>0</v>
      </c>
      <c r="BQ94" s="3977">
        <f si="7" t="shared"/>
        <v>0</v>
      </c>
      <c r="BR94" s="3977">
        <f si="7" t="shared"/>
        <v>0</v>
      </c>
      <c r="BS94" s="3977">
        <f si="7" t="shared"/>
        <v>0</v>
      </c>
      <c r="BT94" s="3977">
        <f si="7" t="shared"/>
        <v>0</v>
      </c>
      <c r="BU94" s="3977">
        <f si="7" t="shared"/>
        <v>0</v>
      </c>
      <c r="BV94" s="3977">
        <f si="7" t="shared"/>
        <v>0</v>
      </c>
      <c r="BW94" s="3977">
        <f si="7" t="shared"/>
        <v>0</v>
      </c>
      <c r="BX94" s="3977">
        <f si="7" t="shared"/>
        <v>0</v>
      </c>
      <c r="BY94" s="3977">
        <f si="7" t="shared"/>
        <v>0</v>
      </c>
      <c r="BZ94" s="3977">
        <f si="7" t="shared"/>
        <v>0</v>
      </c>
      <c r="CA94" s="3977">
        <f si="7" t="shared"/>
        <v>0</v>
      </c>
      <c r="CB94" s="3977">
        <f si="7" t="shared"/>
        <v>822</v>
      </c>
      <c r="CC94" s="2688"/>
      <c r="CD94" s="2688"/>
      <c r="CE94" s="2688"/>
      <c r="CF94" s="2688"/>
      <c r="CG94" s="2688"/>
      <c r="CH94" s="2688"/>
      <c r="CI94" s="2688"/>
      <c r="CJ94" s="2688"/>
      <c r="CK94" s="2688"/>
      <c r="CL94" s="2688"/>
      <c r="CM94" s="2688"/>
      <c r="CN94" s="2688"/>
      <c r="CO94" s="2688"/>
      <c r="CP94" s="2688"/>
      <c r="CQ94" s="2688"/>
      <c r="CR94" s="2688"/>
      <c r="CS94" s="2688"/>
      <c r="CT94" s="2688"/>
      <c r="CU94" s="2688"/>
      <c r="CV94" s="2688"/>
      <c r="CW94" s="2688"/>
      <c r="CX94" s="2688"/>
      <c r="CY94" s="2688"/>
      <c r="CZ94" s="2688"/>
      <c r="DA94" s="2688"/>
      <c r="DB94" s="2688"/>
      <c r="DC94" s="2688"/>
      <c r="DD94" s="2688"/>
      <c r="DE94" s="2688"/>
      <c r="DF94" s="2688"/>
      <c r="DG94" s="2688"/>
      <c r="DH94" s="2688"/>
      <c r="DI94" s="2688"/>
      <c r="DJ94" s="2688"/>
      <c r="DK94" s="2688"/>
      <c r="DL94" s="2688"/>
      <c r="DM94" s="2688"/>
      <c r="DN94" s="2688"/>
      <c r="DO94" s="2688"/>
      <c r="DP94" s="2688"/>
      <c r="DQ94" s="2688"/>
      <c r="DR94" s="2688"/>
      <c r="DS94" s="2688"/>
      <c r="DT94" s="2688"/>
      <c r="DU94" s="2688"/>
      <c r="DV94" s="2688"/>
      <c r="DW94" s="2688"/>
      <c r="DX94" s="2688"/>
      <c r="DY94" s="2688"/>
      <c r="DZ94" s="2688"/>
      <c r="EA94" s="2688"/>
      <c r="EB94" s="2688"/>
      <c r="EC94" s="2688"/>
      <c r="ED94" s="2688"/>
      <c r="EE94" s="2688"/>
      <c r="EF94" s="2688"/>
      <c r="EG94" s="2688"/>
      <c r="EH94" s="2688"/>
      <c r="EI94" s="2688"/>
      <c r="EJ94" s="2688"/>
      <c r="EK94" s="2688"/>
      <c r="EL94" s="2688"/>
      <c r="EM94" s="2688"/>
      <c r="EN94" s="2688"/>
      <c r="EO94" s="2688"/>
      <c r="EP94" s="2688"/>
      <c r="EQ94" s="2688"/>
      <c r="ER94" s="2688"/>
      <c r="ES94" s="2688"/>
      <c r="ET94" s="2688"/>
      <c r="EU94" s="2688"/>
      <c r="EV94" s="2688"/>
      <c r="EW94" s="2688"/>
      <c r="EX94" s="2688"/>
      <c r="EY94" s="2688"/>
      <c r="EZ94" s="2688"/>
      <c r="FA94" s="2688"/>
      <c r="FB94" s="2688"/>
      <c r="FC94" s="2688"/>
      <c r="FD94" s="2688"/>
      <c r="FE94" s="2688"/>
      <c r="FF94" s="2688"/>
      <c r="FG94" s="2688"/>
      <c r="FH94" s="2688"/>
      <c r="FI94" s="2688"/>
      <c r="FJ94" s="2688"/>
      <c r="FK94" s="2688"/>
      <c r="FL94" s="2688"/>
      <c r="FM94" s="2688"/>
      <c r="FN94" s="2688"/>
      <c r="FO94" s="2688"/>
      <c r="FP94" s="2688"/>
      <c r="FQ94" s="2688"/>
      <c r="FR94" s="2688"/>
      <c r="FS94" s="2688"/>
      <c r="FT94" s="2688"/>
      <c r="FU94" s="2688"/>
      <c r="FV94" s="2688"/>
      <c r="FW94" s="2688"/>
      <c r="FX94" s="2688"/>
      <c r="FY94" s="2688"/>
      <c r="FZ94" s="2688"/>
      <c r="GA94" s="2688"/>
      <c r="GB94" s="2688"/>
      <c r="GC94" s="2688"/>
      <c r="GD94" s="2688"/>
      <c r="GE94" s="2688"/>
      <c r="GF94" s="3977">
        <f>GF90</f>
        <v>822</v>
      </c>
      <c r="GG94" s="2688"/>
      <c r="GH94" s="2688"/>
      <c r="GI94" s="2688"/>
      <c r="GJ94" s="2688"/>
      <c r="GK94" s="2688"/>
      <c r="GL94" s="2688"/>
      <c r="GM94" s="2688"/>
      <c r="GN94" s="2688"/>
      <c r="GO94" s="2688"/>
      <c r="GP94" s="2688"/>
      <c r="GQ94" s="2688"/>
      <c r="GR94" s="2688"/>
      <c r="GS94" s="2688"/>
      <c r="GT94" s="2688"/>
      <c r="GU94" s="2688"/>
      <c r="GV94" s="2688"/>
      <c r="GW94" s="2688"/>
      <c r="GX94" s="2688"/>
      <c r="GY94" s="2688"/>
      <c r="GZ94" s="2688"/>
      <c r="HA94" s="2688"/>
      <c r="HB94" s="2688"/>
      <c r="HC94" s="2688"/>
      <c r="HD94" s="2688"/>
      <c r="HE94" s="2688"/>
      <c r="HF94" s="2688"/>
      <c r="HG94" s="2688"/>
      <c r="HH94" s="2688">
        <v>2110</v>
      </c>
      <c r="HI94" s="2688"/>
      <c r="HJ94" s="2688">
        <v>-2278</v>
      </c>
      <c r="HK94" s="2688">
        <v>-2278</v>
      </c>
      <c r="HL94" s="2688">
        <v>-2278</v>
      </c>
      <c r="HM94" s="2688">
        <v>-2278</v>
      </c>
      <c r="HN94" s="2688"/>
      <c r="HO94" s="2688"/>
      <c r="HP94" s="2688"/>
      <c r="HQ94" s="2688"/>
      <c r="HR94" s="2688"/>
      <c r="HS94" s="2688"/>
      <c r="HT94" s="2688"/>
      <c r="HU94" s="2688"/>
      <c r="HV94" s="2688"/>
      <c r="HW94" s="2688"/>
      <c r="HX94" s="2688"/>
      <c r="HY94" s="2688"/>
      <c r="HZ94" s="2688"/>
      <c r="IA94" s="2688"/>
      <c r="IB94" s="2688"/>
      <c r="IC94" s="2688"/>
      <c r="ID94" s="2688"/>
      <c r="IE94" s="2688"/>
      <c r="IF94" s="2688"/>
      <c r="IG94" s="2688"/>
      <c r="IH94" s="2688"/>
      <c r="II94" s="2688"/>
      <c r="IJ94" s="2688"/>
      <c r="IK94" s="2688"/>
      <c r="IL94" s="2688"/>
      <c r="IM94" s="2688"/>
      <c r="IN94" s="2688"/>
      <c r="IO94" s="2688"/>
      <c r="IP94" s="3569"/>
      <c r="IQ94" s="3569"/>
      <c r="IR94" s="3569"/>
      <c r="IS94" s="3569"/>
      <c r="IT94" s="3569"/>
      <c r="IU94" s="3569"/>
      <c r="IV94" s="3569"/>
      <c r="IW94" s="3569"/>
      <c r="IX94" s="3569"/>
      <c r="IY94" s="3569"/>
      <c r="IZ94" s="3569"/>
      <c r="JA94" s="3569"/>
      <c r="JB94" s="3569"/>
      <c r="JC94" s="3569"/>
      <c r="JD94" s="3569"/>
      <c r="JE94" s="3569"/>
      <c r="JF94" s="3569"/>
      <c r="JG94" s="4097"/>
      <c r="JH94" s="1233"/>
    </row>
    <row r="95" spans="1:268" x14ac:dyDescent="0.2">
      <c r="A95" s="1128">
        <v>95</v>
      </c>
      <c r="B95" s="1534" t="str">
        <f si="3" t="shared"/>
        <v/>
      </c>
      <c r="C95" s="1278" t="s">
        <v>161</v>
      </c>
      <c r="D95" s="1386" t="s">
        <v>5323</v>
      </c>
      <c r="E95" s="2688"/>
      <c r="F95" s="2688"/>
      <c r="G95" s="2688"/>
      <c r="H95" s="2688"/>
      <c r="I95" s="2688"/>
      <c r="J95" s="2688"/>
      <c r="K95" s="2688"/>
      <c r="L95" s="2688"/>
      <c r="M95" s="2688"/>
      <c r="N95" s="2688"/>
      <c r="O95" s="2688"/>
      <c r="P95" s="2688"/>
      <c r="Q95" s="2688"/>
      <c r="R95" s="2688"/>
      <c r="S95" s="2688"/>
      <c r="T95" s="2688"/>
      <c r="U95" s="2688"/>
      <c r="V95" s="2688"/>
      <c r="W95" s="2688"/>
      <c r="X95" s="2688"/>
      <c r="Y95" s="2688"/>
      <c r="Z95" s="2688"/>
      <c r="AA95" s="2688"/>
      <c r="AB95" s="2688"/>
      <c r="AC95" s="2688"/>
      <c r="AD95" s="2688"/>
      <c r="AE95" s="2688"/>
      <c r="AF95" s="2688"/>
      <c r="AG95" s="2688"/>
      <c r="AH95" s="2688"/>
      <c r="AI95" s="2688"/>
      <c r="AJ95" s="2688"/>
      <c r="AK95" s="2688"/>
      <c r="AL95" s="2688"/>
      <c r="AM95" s="2688"/>
      <c r="AN95" s="2688"/>
      <c r="AO95" s="2688"/>
      <c r="AP95" s="2688"/>
      <c r="AQ95" s="2688"/>
      <c r="AR95" s="2688"/>
      <c r="AS95" s="2688"/>
      <c r="AT95" s="2688"/>
      <c r="AU95" s="2688"/>
      <c r="AV95" s="2688"/>
      <c r="AW95" s="2688"/>
      <c r="AX95" s="2688"/>
      <c r="AY95" s="2688"/>
      <c r="AZ95" s="2688"/>
      <c r="BA95" s="2688"/>
      <c r="BB95" s="2688"/>
      <c r="BC95" s="2688"/>
      <c r="BD95" s="2688"/>
      <c r="BE95" s="2688"/>
      <c r="BF95" s="2688"/>
      <c r="BG95" s="2688"/>
      <c r="BH95" s="2688"/>
      <c r="BI95" s="2688"/>
      <c r="BJ95" s="2688"/>
      <c r="BK95" s="2688"/>
      <c r="BL95" s="2688"/>
      <c r="BM95" s="2688"/>
      <c r="BN95" s="2688"/>
      <c r="BO95" s="2688"/>
      <c r="BP95" s="2688"/>
      <c r="BQ95" s="2688"/>
      <c r="BR95" s="2688"/>
      <c r="BS95" s="2688"/>
      <c r="BT95" s="2688"/>
      <c r="BU95" s="2688"/>
      <c r="BV95" s="2688"/>
      <c r="BW95" s="2688"/>
      <c r="BX95" s="2688"/>
      <c r="BY95" s="2688"/>
      <c r="BZ95" s="2688"/>
      <c r="CA95" s="2688"/>
      <c r="CB95" s="2688"/>
      <c r="CC95" s="2688"/>
      <c r="CD95" s="2688"/>
      <c r="CE95" s="2688"/>
      <c r="CF95" s="2688"/>
      <c r="CG95" s="2688"/>
      <c r="CH95" s="2688"/>
      <c r="CI95" s="2688"/>
      <c r="CJ95" s="2688"/>
      <c r="CK95" s="2688"/>
      <c r="CL95" s="2688"/>
      <c r="CM95" s="2688"/>
      <c r="CN95" s="2688"/>
      <c r="CO95" s="2688"/>
      <c r="CP95" s="2688"/>
      <c r="CQ95" s="2688"/>
      <c r="CR95" s="2688"/>
      <c r="CS95" s="2688"/>
      <c r="CT95" s="2688"/>
      <c r="CU95" s="2688"/>
      <c r="CV95" s="2688"/>
      <c r="CW95" s="2688"/>
      <c r="CX95" s="2688"/>
      <c r="CY95" s="2688"/>
      <c r="CZ95" s="2688"/>
      <c r="DA95" s="2688"/>
      <c r="DB95" s="2688"/>
      <c r="DC95" s="2688"/>
      <c r="DD95" s="2688"/>
      <c r="DE95" s="2688"/>
      <c r="DF95" s="2688"/>
      <c r="DG95" s="2688"/>
      <c r="DH95" s="2688"/>
      <c r="DI95" s="2688"/>
      <c r="DJ95" s="2688"/>
      <c r="DK95" s="2688"/>
      <c r="DL95" s="2688"/>
      <c r="DM95" s="2688"/>
      <c r="DN95" s="2688"/>
      <c r="DO95" s="2688"/>
      <c r="DP95" s="2688"/>
      <c r="DQ95" s="2688"/>
      <c r="DR95" s="2688"/>
      <c r="DS95" s="2688"/>
      <c r="DT95" s="2688"/>
      <c r="DU95" s="2688"/>
      <c r="DV95" s="2688"/>
      <c r="DW95" s="2688"/>
      <c r="DX95" s="2688"/>
      <c r="DY95" s="2688"/>
      <c r="DZ95" s="2688"/>
      <c r="EA95" s="2688"/>
      <c r="EB95" s="2688"/>
      <c r="EC95" s="2688"/>
      <c r="ED95" s="2688"/>
      <c r="EE95" s="2688"/>
      <c r="EF95" s="2688"/>
      <c r="EG95" s="2688"/>
      <c r="EH95" s="2688"/>
      <c r="EI95" s="2688"/>
      <c r="EJ95" s="2688"/>
      <c r="EK95" s="2688"/>
      <c r="EL95" s="2688"/>
      <c r="EM95" s="2688"/>
      <c r="EN95" s="2688"/>
      <c r="EO95" s="2688"/>
      <c r="EP95" s="2688"/>
      <c r="EQ95" s="2688"/>
      <c r="ER95" s="2688"/>
      <c r="ES95" s="2688"/>
      <c r="ET95" s="2688"/>
      <c r="EU95" s="2688"/>
      <c r="EV95" s="2688"/>
      <c r="EW95" s="2688"/>
      <c r="EX95" s="2688"/>
      <c r="EY95" s="2688"/>
      <c r="EZ95" s="2688"/>
      <c r="FA95" s="2688"/>
      <c r="FB95" s="2688"/>
      <c r="FC95" s="2688"/>
      <c r="FD95" s="2688"/>
      <c r="FE95" s="2688"/>
      <c r="FF95" s="2688"/>
      <c r="FG95" s="2688"/>
      <c r="FH95" s="2688"/>
      <c r="FI95" s="2688"/>
      <c r="FJ95" s="2688"/>
      <c r="FK95" s="2688"/>
      <c r="FL95" s="2688"/>
      <c r="FM95" s="2688"/>
      <c r="FN95" s="2688"/>
      <c r="FO95" s="2688"/>
      <c r="FP95" s="2688"/>
      <c r="FQ95" s="2688"/>
      <c r="FR95" s="2688"/>
      <c r="FS95" s="2688"/>
      <c r="FT95" s="2688"/>
      <c r="FU95" s="2688"/>
      <c r="FV95" s="2688"/>
      <c r="FW95" s="2688"/>
      <c r="FX95" s="2688"/>
      <c r="FY95" s="2688"/>
      <c r="FZ95" s="2688"/>
      <c r="GA95" s="2688"/>
      <c r="GB95" s="2688"/>
      <c r="GC95" s="2688"/>
      <c r="GD95" s="2688"/>
      <c r="GE95" s="2688"/>
      <c r="GF95" s="2688"/>
      <c r="GG95" s="2688"/>
      <c r="GH95" s="2688"/>
      <c r="GI95" s="2688"/>
      <c r="GJ95" s="2688"/>
      <c r="GK95" s="2688"/>
      <c r="GL95" s="2688"/>
      <c r="GM95" s="2688"/>
      <c r="GN95" s="2688"/>
      <c r="GO95" s="2688"/>
      <c r="GP95" s="2688"/>
      <c r="GQ95" s="2688"/>
      <c r="GR95" s="2688"/>
      <c r="GS95" s="2688"/>
      <c r="GT95" s="2688"/>
      <c r="GU95" s="2688"/>
      <c r="GV95" s="2688"/>
      <c r="GW95" s="2688"/>
      <c r="GX95" s="2688"/>
      <c r="GY95" s="2688"/>
      <c r="GZ95" s="2688"/>
      <c r="HA95" s="2688"/>
      <c r="HB95" s="2688"/>
      <c r="HC95" s="2688"/>
      <c r="HD95" s="2688"/>
      <c r="HE95" s="2688"/>
      <c r="HF95" s="2688"/>
      <c r="HG95" s="2688"/>
      <c r="HH95" s="2688">
        <v>686</v>
      </c>
      <c r="HI95" s="2688"/>
      <c r="HJ95" s="2688"/>
      <c r="HK95" s="2688"/>
      <c r="HL95" s="2688"/>
      <c r="HM95" s="2688"/>
      <c r="HN95" s="2688"/>
      <c r="HO95" s="2688"/>
      <c r="HP95" s="2688"/>
      <c r="HQ95" s="2688"/>
      <c r="HR95" s="2688"/>
      <c r="HS95" s="2688"/>
      <c r="HT95" s="2688"/>
      <c r="HU95" s="2688"/>
      <c r="HV95" s="2688"/>
      <c r="HW95" s="2688"/>
      <c r="HX95" s="2688"/>
      <c r="HY95" s="2688"/>
      <c r="HZ95" s="2688"/>
      <c r="IA95" s="2688"/>
      <c r="IB95" s="2688"/>
      <c r="IC95" s="2688"/>
      <c r="ID95" s="2688"/>
      <c r="IE95" s="2688"/>
      <c r="IF95" s="2688"/>
      <c r="IG95" s="2688"/>
      <c r="IH95" s="2688"/>
      <c r="II95" s="2688"/>
      <c r="IJ95" s="2688"/>
      <c r="IK95" s="2688"/>
      <c r="IL95" s="2688"/>
      <c r="IM95" s="2688"/>
      <c r="IN95" s="2688"/>
      <c r="IO95" s="2688"/>
      <c r="IP95" s="3570"/>
      <c r="IQ95" s="3570"/>
      <c r="IR95" s="3570"/>
      <c r="IS95" s="3570"/>
      <c r="IT95" s="3570"/>
      <c r="IU95" s="3570"/>
      <c r="IV95" s="3570"/>
      <c r="IW95" s="3570"/>
      <c r="IX95" s="3570"/>
      <c r="IY95" s="3570"/>
      <c r="IZ95" s="3570"/>
      <c r="JA95" s="3570"/>
      <c r="JB95" s="3570"/>
      <c r="JC95" s="3570"/>
      <c r="JD95" s="3570"/>
      <c r="JE95" s="3570"/>
      <c r="JF95" s="3570"/>
      <c r="JG95" s="4098"/>
      <c r="JH95" s="1233"/>
    </row>
    <row r="96" spans="1:268" x14ac:dyDescent="0.2">
      <c r="A96" s="1128">
        <v>96</v>
      </c>
      <c r="B96" s="1534" t="str">
        <f si="3" t="shared"/>
        <v/>
      </c>
      <c r="C96" s="1278" t="s">
        <v>162</v>
      </c>
      <c r="D96" s="1386" t="s">
        <v>5324</v>
      </c>
      <c r="E96" s="2688"/>
      <c r="F96" s="2688"/>
      <c r="G96" s="2688"/>
      <c r="H96" s="2688"/>
      <c r="I96" s="2688"/>
      <c r="J96" s="2688"/>
      <c r="K96" s="2688"/>
      <c r="L96" s="2688"/>
      <c r="M96" s="2688"/>
      <c r="N96" s="2688"/>
      <c r="O96" s="2688"/>
      <c r="P96" s="2688"/>
      <c r="Q96" s="2688"/>
      <c r="R96" s="2688"/>
      <c r="S96" s="2688"/>
      <c r="T96" s="2688"/>
      <c r="U96" s="2688"/>
      <c r="V96" s="2688"/>
      <c r="W96" s="2688"/>
      <c r="X96" s="2688"/>
      <c r="Y96" s="2688"/>
      <c r="Z96" s="2688"/>
      <c r="AA96" s="2688"/>
      <c r="AB96" s="2688"/>
      <c r="AC96" s="2688"/>
      <c r="AD96" s="2688"/>
      <c r="AE96" s="2688"/>
      <c r="AF96" s="2688"/>
      <c r="AG96" s="2688"/>
      <c r="AH96" s="2688"/>
      <c r="AI96" s="2688"/>
      <c r="AJ96" s="2688"/>
      <c r="AK96" s="2688"/>
      <c r="AL96" s="2688"/>
      <c r="AM96" s="2688"/>
      <c r="AN96" s="2688"/>
      <c r="AO96" s="2688"/>
      <c r="AP96" s="2688"/>
      <c r="AQ96" s="2688"/>
      <c r="AR96" s="2688"/>
      <c r="AS96" s="2688"/>
      <c r="AT96" s="2688"/>
      <c r="AU96" s="2688"/>
      <c r="AV96" s="2688"/>
      <c r="AW96" s="2688"/>
      <c r="AX96" s="2688"/>
      <c r="AY96" s="2688"/>
      <c r="AZ96" s="2688"/>
      <c r="BA96" s="2688"/>
      <c r="BB96" s="2688"/>
      <c r="BC96" s="2688"/>
      <c r="BD96" s="2688"/>
      <c r="BE96" s="2688"/>
      <c r="BF96" s="2688"/>
      <c r="BG96" s="2688"/>
      <c r="BH96" s="2688"/>
      <c r="BI96" s="2688"/>
      <c r="BJ96" s="2688"/>
      <c r="BK96" s="2688"/>
      <c r="BL96" s="2688"/>
      <c r="BM96" s="2688"/>
      <c r="BN96" s="2688"/>
      <c r="BO96" s="2688"/>
      <c r="BP96" s="2688"/>
      <c r="BQ96" s="2688"/>
      <c r="BR96" s="2688"/>
      <c r="BS96" s="2688"/>
      <c r="BT96" s="2688"/>
      <c r="BU96" s="2688"/>
      <c r="BV96" s="2688"/>
      <c r="BW96" s="2688"/>
      <c r="BX96" s="2688"/>
      <c r="BY96" s="2688"/>
      <c r="BZ96" s="2688"/>
      <c r="CA96" s="2688"/>
      <c r="CB96" s="2688"/>
      <c r="CC96" s="2688"/>
      <c r="CD96" s="2688"/>
      <c r="CE96" s="2688"/>
      <c r="CF96" s="2688"/>
      <c r="CG96" s="2688"/>
      <c r="CH96" s="2688"/>
      <c r="CI96" s="2688"/>
      <c r="CJ96" s="2688"/>
      <c r="CK96" s="2688"/>
      <c r="CL96" s="2688"/>
      <c r="CM96" s="2688"/>
      <c r="CN96" s="2688"/>
      <c r="CO96" s="2688"/>
      <c r="CP96" s="2688"/>
      <c r="CQ96" s="2688"/>
      <c r="CR96" s="2688"/>
      <c r="CS96" s="2688"/>
      <c r="CT96" s="2688"/>
      <c r="CU96" s="2688"/>
      <c r="CV96" s="2688"/>
      <c r="CW96" s="2688"/>
      <c r="CX96" s="2688"/>
      <c r="CY96" s="2688"/>
      <c r="CZ96" s="2688"/>
      <c r="DA96" s="2688"/>
      <c r="DB96" s="2688"/>
      <c r="DC96" s="2688"/>
      <c r="DD96" s="2688"/>
      <c r="DE96" s="2688"/>
      <c r="DF96" s="2688"/>
      <c r="DG96" s="2688"/>
      <c r="DH96" s="2688"/>
      <c r="DI96" s="2688"/>
      <c r="DJ96" s="2688"/>
      <c r="DK96" s="2688"/>
      <c r="DL96" s="2688"/>
      <c r="DM96" s="2688"/>
      <c r="DN96" s="2688"/>
      <c r="DO96" s="2688"/>
      <c r="DP96" s="2688"/>
      <c r="DQ96" s="2688"/>
      <c r="DR96" s="2688"/>
      <c r="DS96" s="2688"/>
      <c r="DT96" s="2688"/>
      <c r="DU96" s="2688"/>
      <c r="DV96" s="2688"/>
      <c r="DW96" s="2688"/>
      <c r="DX96" s="2688"/>
      <c r="DY96" s="2688"/>
      <c r="DZ96" s="2688"/>
      <c r="EA96" s="2688"/>
      <c r="EB96" s="2688"/>
      <c r="EC96" s="2688"/>
      <c r="ED96" s="2688"/>
      <c r="EE96" s="2688"/>
      <c r="EF96" s="2688"/>
      <c r="EG96" s="2688"/>
      <c r="EH96" s="2688"/>
      <c r="EI96" s="2688"/>
      <c r="EJ96" s="2688"/>
      <c r="EK96" s="2688"/>
      <c r="EL96" s="2688"/>
      <c r="EM96" s="2688"/>
      <c r="EN96" s="2688"/>
      <c r="EO96" s="2688"/>
      <c r="EP96" s="2688"/>
      <c r="EQ96" s="2688"/>
      <c r="ER96" s="2688"/>
      <c r="ES96" s="2688"/>
      <c r="ET96" s="2688"/>
      <c r="EU96" s="2688"/>
      <c r="EV96" s="2688"/>
      <c r="EW96" s="2688"/>
      <c r="EX96" s="2688"/>
      <c r="EY96" s="2688"/>
      <c r="EZ96" s="2688"/>
      <c r="FA96" s="2688"/>
      <c r="FB96" s="2688"/>
      <c r="FC96" s="2688"/>
      <c r="FD96" s="2688"/>
      <c r="FE96" s="2688"/>
      <c r="FF96" s="2688"/>
      <c r="FG96" s="2688"/>
      <c r="FH96" s="2688"/>
      <c r="FI96" s="2688"/>
      <c r="FJ96" s="2688"/>
      <c r="FK96" s="2688"/>
      <c r="FL96" s="2688"/>
      <c r="FM96" s="2688"/>
      <c r="FN96" s="2688"/>
      <c r="FO96" s="2688"/>
      <c r="FP96" s="2688"/>
      <c r="FQ96" s="2688"/>
      <c r="FR96" s="2688"/>
      <c r="FS96" s="2688"/>
      <c r="FT96" s="2688"/>
      <c r="FU96" s="2688"/>
      <c r="FV96" s="2688"/>
      <c r="FW96" s="2688"/>
      <c r="FX96" s="2688"/>
      <c r="FY96" s="2688"/>
      <c r="FZ96" s="2688"/>
      <c r="GA96" s="2688"/>
      <c r="GB96" s="2688"/>
      <c r="GC96" s="2688"/>
      <c r="GD96" s="2688"/>
      <c r="GE96" s="2688"/>
      <c r="GF96" s="2688"/>
      <c r="GG96" s="2688"/>
      <c r="GH96" s="2688"/>
      <c r="GI96" s="2688"/>
      <c r="GJ96" s="2688"/>
      <c r="GK96" s="2688"/>
      <c r="GL96" s="2688"/>
      <c r="GM96" s="2688"/>
      <c r="GN96" s="2688"/>
      <c r="GO96" s="2688"/>
      <c r="GP96" s="2688"/>
      <c r="GQ96" s="2688"/>
      <c r="GR96" s="2688"/>
      <c r="GS96" s="2688"/>
      <c r="GT96" s="2688"/>
      <c r="GU96" s="2688"/>
      <c r="GV96" s="2688"/>
      <c r="GW96" s="2688"/>
      <c r="GX96" s="2688"/>
      <c r="GY96" s="2688"/>
      <c r="GZ96" s="2688"/>
      <c r="HA96" s="2688"/>
      <c r="HB96" s="2688"/>
      <c r="HC96" s="2688"/>
      <c r="HD96" s="2688"/>
      <c r="HE96" s="2688"/>
      <c r="HF96" s="2688"/>
      <c r="HG96" s="2688"/>
      <c r="HH96" s="2688"/>
      <c r="HI96" s="2688"/>
      <c r="HJ96" s="2688"/>
      <c r="HK96" s="2688"/>
      <c r="HL96" s="2688"/>
      <c r="HM96" s="2688"/>
      <c r="HN96" s="2688"/>
      <c r="HO96" s="2688"/>
      <c r="HP96" s="2688"/>
      <c r="HQ96" s="2688"/>
      <c r="HR96" s="2688"/>
      <c r="HS96" s="2688"/>
      <c r="HT96" s="2688"/>
      <c r="HU96" s="2688"/>
      <c r="HV96" s="2688"/>
      <c r="HW96" s="2688"/>
      <c r="HX96" s="2688"/>
      <c r="HY96" s="2688"/>
      <c r="HZ96" s="2688"/>
      <c r="IA96" s="2688"/>
      <c r="IB96" s="2688"/>
      <c r="IC96" s="2688"/>
      <c r="ID96" s="2688"/>
      <c r="IE96" s="2688"/>
      <c r="IF96" s="2688"/>
      <c r="IG96" s="2688"/>
      <c r="IH96" s="2688"/>
      <c r="II96" s="2688"/>
      <c r="IJ96" s="2688"/>
      <c r="IK96" s="2688"/>
      <c r="IL96" s="2688"/>
      <c r="IM96" s="2688"/>
      <c r="IN96" s="2688"/>
      <c r="IO96" s="2688"/>
      <c r="IP96" s="3570"/>
      <c r="IQ96" s="3570"/>
      <c r="IR96" s="3570"/>
      <c r="IS96" s="3570"/>
      <c r="IT96" s="3570"/>
      <c r="IU96" s="3570"/>
      <c r="IV96" s="3570"/>
      <c r="IW96" s="3570"/>
      <c r="IX96" s="3570"/>
      <c r="IY96" s="3570"/>
      <c r="IZ96" s="3570"/>
      <c r="JA96" s="3570"/>
      <c r="JB96" s="3570"/>
      <c r="JC96" s="3570"/>
      <c r="JD96" s="3570"/>
      <c r="JE96" s="3570"/>
      <c r="JF96" s="3570"/>
      <c r="JG96" s="4098"/>
      <c r="JH96" s="1233"/>
    </row>
    <row r="97" spans="1:268" x14ac:dyDescent="0.2">
      <c r="A97" s="1128">
        <v>97</v>
      </c>
      <c r="B97" s="1534" t="str">
        <f si="3" t="shared"/>
        <v/>
      </c>
      <c r="C97" s="1278" t="s">
        <v>163</v>
      </c>
      <c r="D97" s="1386" t="s">
        <v>5325</v>
      </c>
      <c r="E97" s="3359"/>
      <c r="F97" s="3359"/>
      <c r="G97" s="3359"/>
      <c r="H97" s="3359"/>
      <c r="I97" s="3359"/>
      <c r="J97" s="3359"/>
      <c r="K97" s="3359"/>
      <c r="L97" s="3359"/>
      <c r="M97" s="3359"/>
      <c r="N97" s="3359"/>
      <c r="O97" s="3359"/>
      <c r="P97" s="3359"/>
      <c r="Q97" s="3359"/>
      <c r="R97" s="3359"/>
      <c r="S97" s="3359"/>
      <c r="T97" s="3359"/>
      <c r="U97" s="3359"/>
      <c r="V97" s="3359"/>
      <c r="W97" s="3359"/>
      <c r="X97" s="3359"/>
      <c r="Y97" s="3359"/>
      <c r="Z97" s="3359"/>
      <c r="AA97" s="3359"/>
      <c r="AB97" s="3359"/>
      <c r="AC97" s="3359"/>
      <c r="AD97" s="3359"/>
      <c r="AE97" s="3359"/>
      <c r="AF97" s="3359"/>
      <c r="AG97" s="3359"/>
      <c r="AH97" s="3359"/>
      <c r="AI97" s="3359"/>
      <c r="AJ97" s="3359"/>
      <c r="AK97" s="3359"/>
      <c r="AL97" s="3359"/>
      <c r="AM97" s="3359"/>
      <c r="AN97" s="3359"/>
      <c r="AO97" s="3359"/>
      <c r="AP97" s="3359"/>
      <c r="AQ97" s="3359"/>
      <c r="AR97" s="3359"/>
      <c r="AS97" s="3359"/>
      <c r="AT97" s="3359"/>
      <c r="AU97" s="3359"/>
      <c r="AV97" s="3359"/>
      <c r="AW97" s="3359"/>
      <c r="AX97" s="3359"/>
      <c r="AY97" s="3359"/>
      <c r="AZ97" s="3359"/>
      <c r="BA97" s="3359"/>
      <c r="BB97" s="3359"/>
      <c r="BC97" s="3359"/>
      <c r="BD97" s="3359"/>
      <c r="BE97" s="3359"/>
      <c r="BF97" s="3359"/>
      <c r="BG97" s="3359"/>
      <c r="BH97" s="3359"/>
      <c r="BI97" s="3359"/>
      <c r="BJ97" s="3359"/>
      <c r="BK97" s="3359"/>
      <c r="BL97" s="3359"/>
      <c r="BM97" s="3359"/>
      <c r="BN97" s="3359"/>
      <c r="BO97" s="3359"/>
      <c r="BP97" s="3359"/>
      <c r="BQ97" s="3359"/>
      <c r="BR97" s="3359"/>
      <c r="BS97" s="3359"/>
      <c r="BT97" s="3359"/>
      <c r="BU97" s="3359"/>
      <c r="BV97" s="3359"/>
      <c r="BW97" s="3359"/>
      <c r="BX97" s="3359"/>
      <c r="BY97" s="3359"/>
      <c r="BZ97" s="3359"/>
      <c r="CA97" s="3359"/>
      <c r="CB97" s="3359"/>
      <c r="CC97" s="3359"/>
      <c r="CD97" s="3359"/>
      <c r="CE97" s="3359"/>
      <c r="CF97" s="3359"/>
      <c r="CG97" s="3359"/>
      <c r="CH97" s="3359"/>
      <c r="CI97" s="3359"/>
      <c r="CJ97" s="3359"/>
      <c r="CK97" s="3359"/>
      <c r="CL97" s="3359"/>
      <c r="CM97" s="3359"/>
      <c r="CN97" s="3359"/>
      <c r="CO97" s="3359"/>
      <c r="CP97" s="3359"/>
      <c r="CQ97" s="3359"/>
      <c r="CR97" s="3359"/>
      <c r="CS97" s="3359"/>
      <c r="CT97" s="3359"/>
      <c r="CU97" s="3359"/>
      <c r="CV97" s="3359"/>
      <c r="CW97" s="3359"/>
      <c r="CX97" s="3359"/>
      <c r="CY97" s="3359"/>
      <c r="CZ97" s="3359"/>
      <c r="DA97" s="3359"/>
      <c r="DB97" s="3359"/>
      <c r="DC97" s="3359"/>
      <c r="DD97" s="3359"/>
      <c r="DE97" s="3359"/>
      <c r="DF97" s="3359"/>
      <c r="DG97" s="3359"/>
      <c r="DH97" s="3359"/>
      <c r="DI97" s="3359"/>
      <c r="DJ97" s="3359"/>
      <c r="DK97" s="3359"/>
      <c r="DL97" s="3359"/>
      <c r="DM97" s="3359"/>
      <c r="DN97" s="3359"/>
      <c r="DO97" s="3359"/>
      <c r="DP97" s="3359"/>
      <c r="DQ97" s="3359"/>
      <c r="DR97" s="3359"/>
      <c r="DS97" s="3359"/>
      <c r="DT97" s="3359"/>
      <c r="DU97" s="3359"/>
      <c r="DV97" s="3359"/>
      <c r="DW97" s="3359"/>
      <c r="DX97" s="3359"/>
      <c r="DY97" s="3359"/>
      <c r="DZ97" s="3359"/>
      <c r="EA97" s="3359"/>
      <c r="EB97" s="3359"/>
      <c r="EC97" s="3359"/>
      <c r="ED97" s="3359"/>
      <c r="EE97" s="3359"/>
      <c r="EF97" s="3359"/>
      <c r="EG97" s="3359"/>
      <c r="EH97" s="3359"/>
      <c r="EI97" s="3359"/>
      <c r="EJ97" s="3359"/>
      <c r="EK97" s="3359"/>
      <c r="EL97" s="3359"/>
      <c r="EM97" s="3359"/>
      <c r="EN97" s="3359"/>
      <c r="EO97" s="3359"/>
      <c r="EP97" s="3359"/>
      <c r="EQ97" s="3359"/>
      <c r="ER97" s="3359"/>
      <c r="ES97" s="3359"/>
      <c r="ET97" s="3359"/>
      <c r="EU97" s="3359"/>
      <c r="EV97" s="3359"/>
      <c r="EW97" s="3359"/>
      <c r="EX97" s="3359"/>
      <c r="EY97" s="3359"/>
      <c r="EZ97" s="3359"/>
      <c r="FA97" s="3359"/>
      <c r="FB97" s="3359"/>
      <c r="FC97" s="3359"/>
      <c r="FD97" s="3359"/>
      <c r="FE97" s="3359"/>
      <c r="FF97" s="3359"/>
      <c r="FG97" s="3359"/>
      <c r="FH97" s="3359"/>
      <c r="FI97" s="3359"/>
      <c r="FJ97" s="3359"/>
      <c r="FK97" s="3359"/>
      <c r="FL97" s="3359"/>
      <c r="FM97" s="3359"/>
      <c r="FN97" s="3359"/>
      <c r="FO97" s="3359"/>
      <c r="FP97" s="3359"/>
      <c r="FQ97" s="3359"/>
      <c r="FR97" s="3359"/>
      <c r="FS97" s="3359"/>
      <c r="FT97" s="3359"/>
      <c r="FU97" s="3359"/>
      <c r="FV97" s="3359"/>
      <c r="FW97" s="3359"/>
      <c r="FX97" s="3359"/>
      <c r="FY97" s="3359"/>
      <c r="FZ97" s="3359"/>
      <c r="GA97" s="3359"/>
      <c r="GB97" s="3359"/>
      <c r="GC97" s="3359"/>
      <c r="GD97" s="3359"/>
      <c r="GE97" s="3359"/>
      <c r="GF97" s="3359"/>
      <c r="GG97" s="3359"/>
      <c r="GH97" s="3359"/>
      <c r="GI97" s="3359"/>
      <c r="GJ97" s="3359"/>
      <c r="GK97" s="3359"/>
      <c r="GL97" s="3359"/>
      <c r="GM97" s="3359"/>
      <c r="GN97" s="3359"/>
      <c r="GO97" s="3359"/>
      <c r="GP97" s="3359"/>
      <c r="GQ97" s="3359"/>
      <c r="GR97" s="3359"/>
      <c r="GS97" s="3359"/>
      <c r="GT97" s="3359"/>
      <c r="GU97" s="3359"/>
      <c r="GV97" s="3359"/>
      <c r="GW97" s="3359"/>
      <c r="GX97" s="3359"/>
      <c r="GY97" s="3359"/>
      <c r="GZ97" s="3359"/>
      <c r="HA97" s="3359"/>
      <c r="HB97" s="3359"/>
      <c r="HC97" s="3359"/>
      <c r="HD97" s="3359"/>
      <c r="HE97" s="3359"/>
      <c r="HF97" s="3359"/>
      <c r="HG97" s="3359"/>
      <c r="HH97" s="3359" t="s">
        <v>572</v>
      </c>
      <c r="HI97" s="3359"/>
      <c r="HJ97" s="3359"/>
      <c r="HK97" s="3359"/>
      <c r="HL97" s="3359"/>
      <c r="HM97" s="3359"/>
      <c r="HN97" s="3359"/>
      <c r="HO97" s="3359"/>
      <c r="HP97" s="3359"/>
      <c r="HQ97" s="3359"/>
      <c r="HR97" s="3359"/>
      <c r="HS97" s="3359"/>
      <c r="HT97" s="3359"/>
      <c r="HU97" s="3359"/>
      <c r="HV97" s="3359"/>
      <c r="HW97" s="3359"/>
      <c r="HX97" s="3359"/>
      <c r="HY97" s="3359"/>
      <c r="HZ97" s="3359"/>
      <c r="IA97" s="3359"/>
      <c r="IB97" s="3359"/>
      <c r="IC97" s="3359"/>
      <c r="ID97" s="3359"/>
      <c r="IE97" s="3359"/>
      <c r="IF97" s="3359"/>
      <c r="IG97" s="3359"/>
      <c r="IH97" s="3359"/>
      <c r="II97" s="3359"/>
      <c r="IJ97" s="3359"/>
      <c r="IK97" s="3359"/>
      <c r="IL97" s="3359"/>
      <c r="IM97" s="3359"/>
      <c r="IN97" s="3359"/>
      <c r="IO97" s="3359"/>
      <c r="IP97" s="3571"/>
      <c r="IQ97" s="3571"/>
      <c r="IR97" s="3571"/>
      <c r="IS97" s="3571"/>
      <c r="IT97" s="3571"/>
      <c r="IU97" s="3571"/>
      <c r="IV97" s="3571"/>
      <c r="IW97" s="3571"/>
      <c r="IX97" s="3571"/>
      <c r="IY97" s="3571"/>
      <c r="IZ97" s="3571"/>
      <c r="JA97" s="3571"/>
      <c r="JB97" s="3571"/>
      <c r="JC97" s="3571"/>
      <c r="JD97" s="3571"/>
      <c r="JE97" s="3571"/>
      <c r="JF97" s="3571"/>
      <c r="JG97" s="4099"/>
      <c r="JH97" s="1233"/>
    </row>
    <row r="98" spans="1:268" x14ac:dyDescent="0.2">
      <c r="A98" s="1128">
        <v>98</v>
      </c>
      <c r="B98" s="1534" t="str">
        <f si="3" t="shared"/>
        <v/>
      </c>
      <c r="C98" s="1278" t="s">
        <v>164</v>
      </c>
      <c r="D98" s="1386" t="s">
        <v>5326</v>
      </c>
      <c r="E98" s="2688"/>
      <c r="F98" s="2688"/>
      <c r="G98" s="2688"/>
      <c r="H98" s="2688"/>
      <c r="I98" s="2688"/>
      <c r="J98" s="2688"/>
      <c r="K98" s="2688"/>
      <c r="L98" s="2688"/>
      <c r="M98" s="2688"/>
      <c r="N98" s="2688"/>
      <c r="O98" s="2688"/>
      <c r="P98" s="2688"/>
      <c r="Q98" s="2688"/>
      <c r="R98" s="2688"/>
      <c r="S98" s="2688"/>
      <c r="T98" s="2688"/>
      <c r="U98" s="2688"/>
      <c r="V98" s="2688"/>
      <c r="W98" s="2688"/>
      <c r="X98" s="2688"/>
      <c r="Y98" s="2688"/>
      <c r="Z98" s="2688"/>
      <c r="AA98" s="2688"/>
      <c r="AB98" s="2688"/>
      <c r="AC98" s="2688"/>
      <c r="AD98" s="2688"/>
      <c r="AE98" s="2688"/>
      <c r="AF98" s="2688"/>
      <c r="AG98" s="2688"/>
      <c r="AH98" s="2688"/>
      <c r="AI98" s="2688"/>
      <c r="AJ98" s="2688"/>
      <c r="AK98" s="2688"/>
      <c r="AL98" s="2688"/>
      <c r="AM98" s="2688"/>
      <c r="AN98" s="2688"/>
      <c r="AO98" s="2688"/>
      <c r="AP98" s="3567">
        <v>822</v>
      </c>
      <c r="AQ98" s="2688"/>
      <c r="AR98" s="2688"/>
      <c r="AS98" s="2688"/>
      <c r="AT98" s="2688"/>
      <c r="AU98" s="2688"/>
      <c r="AV98" s="2688"/>
      <c r="AW98" s="2688"/>
      <c r="AX98" s="2688"/>
      <c r="AY98" s="2688"/>
      <c r="AZ98" s="2688"/>
      <c r="BA98" s="2688"/>
      <c r="BB98" s="2688"/>
      <c r="BC98" s="3567">
        <v>822</v>
      </c>
      <c r="BD98" s="3567">
        <v>822</v>
      </c>
      <c r="BE98" s="2688"/>
      <c r="BF98" s="2688"/>
      <c r="BG98" s="2688"/>
      <c r="BH98" s="2688"/>
      <c r="BI98" s="2688"/>
      <c r="BJ98" s="3567">
        <v>822</v>
      </c>
      <c r="BK98" s="2688"/>
      <c r="BL98" s="2688"/>
      <c r="BM98" s="2688"/>
      <c r="BN98" s="2688"/>
      <c r="BO98" s="2688"/>
      <c r="BP98" s="2688"/>
      <c r="BQ98" s="2688"/>
      <c r="BR98" s="2688"/>
      <c r="BS98" s="2688"/>
      <c r="BT98" s="2688"/>
      <c r="BU98" s="2688"/>
      <c r="BV98" s="2688"/>
      <c r="BW98" s="2688"/>
      <c r="BX98" s="2688"/>
      <c r="BY98" s="2688"/>
      <c r="BZ98" s="2688"/>
      <c r="CA98" s="2688"/>
      <c r="CB98" s="3977">
        <v>822</v>
      </c>
      <c r="CC98" s="2688"/>
      <c r="CD98" s="2688"/>
      <c r="CE98" s="2688"/>
      <c r="CF98" s="2688"/>
      <c r="CG98" s="2688"/>
      <c r="CH98" s="2688"/>
      <c r="CI98" s="2688"/>
      <c r="CJ98" s="2688"/>
      <c r="CK98" s="2688"/>
      <c r="CL98" s="2688"/>
      <c r="CM98" s="2688"/>
      <c r="CN98" s="2688"/>
      <c r="CO98" s="2688"/>
      <c r="CP98" s="2688"/>
      <c r="CQ98" s="2688"/>
      <c r="CR98" s="2688"/>
      <c r="CS98" s="2688"/>
      <c r="CT98" s="2688"/>
      <c r="CU98" s="2688"/>
      <c r="CV98" s="2688"/>
      <c r="CW98" s="2688"/>
      <c r="CX98" s="2688"/>
      <c r="CY98" s="2688"/>
      <c r="CZ98" s="2688"/>
      <c r="DA98" s="2688"/>
      <c r="DB98" s="2688"/>
      <c r="DC98" s="2688"/>
      <c r="DD98" s="2688"/>
      <c r="DE98" s="2688"/>
      <c r="DF98" s="2688"/>
      <c r="DG98" s="2688"/>
      <c r="DH98" s="2688"/>
      <c r="DI98" s="2688"/>
      <c r="DJ98" s="2688"/>
      <c r="DK98" s="2688"/>
      <c r="DL98" s="2688"/>
      <c r="DM98" s="2688"/>
      <c r="DN98" s="2688"/>
      <c r="DO98" s="2688"/>
      <c r="DP98" s="2688"/>
      <c r="DQ98" s="2688"/>
      <c r="DR98" s="2688"/>
      <c r="DS98" s="2688"/>
      <c r="DT98" s="2688"/>
      <c r="DU98" s="2688"/>
      <c r="DV98" s="2688"/>
      <c r="DW98" s="2688"/>
      <c r="DX98" s="2688"/>
      <c r="DY98" s="2688"/>
      <c r="DZ98" s="2688"/>
      <c r="EA98" s="2688"/>
      <c r="EB98" s="2688"/>
      <c r="EC98" s="2688"/>
      <c r="ED98" s="2688"/>
      <c r="EE98" s="2688"/>
      <c r="EF98" s="2688"/>
      <c r="EG98" s="2688"/>
      <c r="EH98" s="2688"/>
      <c r="EI98" s="2688"/>
      <c r="EJ98" s="2688"/>
      <c r="EK98" s="2688"/>
      <c r="EL98" s="2688"/>
      <c r="EM98" s="2688"/>
      <c r="EN98" s="2688"/>
      <c r="EO98" s="2688"/>
      <c r="EP98" s="2688"/>
      <c r="EQ98" s="2688"/>
      <c r="ER98" s="2688"/>
      <c r="ES98" s="2688"/>
      <c r="ET98" s="2688"/>
      <c r="EU98" s="2688"/>
      <c r="EV98" s="2688"/>
      <c r="EW98" s="2688"/>
      <c r="EX98" s="2688"/>
      <c r="EY98" s="2688"/>
      <c r="EZ98" s="2688"/>
      <c r="FA98" s="2688"/>
      <c r="FB98" s="2688"/>
      <c r="FC98" s="2688"/>
      <c r="FD98" s="2688"/>
      <c r="FE98" s="2688"/>
      <c r="FF98" s="2688"/>
      <c r="FG98" s="2688"/>
      <c r="FH98" s="2688"/>
      <c r="FI98" s="2688"/>
      <c r="FJ98" s="2688"/>
      <c r="FK98" s="2688"/>
      <c r="FL98" s="2688"/>
      <c r="FM98" s="2688"/>
      <c r="FN98" s="2688"/>
      <c r="FO98" s="2688"/>
      <c r="FP98" s="2688"/>
      <c r="FQ98" s="2688"/>
      <c r="FR98" s="2688"/>
      <c r="FS98" s="2688"/>
      <c r="FT98" s="2688"/>
      <c r="FU98" s="2688"/>
      <c r="FV98" s="2688"/>
      <c r="FW98" s="2688"/>
      <c r="FX98" s="2688"/>
      <c r="FY98" s="2688"/>
      <c r="FZ98" s="2688"/>
      <c r="GA98" s="2688"/>
      <c r="GB98" s="2688"/>
      <c r="GC98" s="2688"/>
      <c r="GD98" s="2688"/>
      <c r="GE98" s="2688"/>
      <c r="GF98" s="3567">
        <v>822</v>
      </c>
      <c r="GG98" s="2688"/>
      <c r="GH98" s="2688"/>
      <c r="GI98" s="2688"/>
      <c r="GJ98" s="2688"/>
      <c r="GK98" s="2688"/>
      <c r="GL98" s="2688"/>
      <c r="GM98" s="2688"/>
      <c r="GN98" s="2688"/>
      <c r="GO98" s="2688"/>
      <c r="GP98" s="2688"/>
      <c r="GQ98" s="2688"/>
      <c r="GR98" s="2688"/>
      <c r="GS98" s="2688"/>
      <c r="GT98" s="2688"/>
      <c r="GU98" s="2688"/>
      <c r="GV98" s="2688"/>
      <c r="GW98" s="2688"/>
      <c r="GX98" s="2688"/>
      <c r="GY98" s="2688"/>
      <c r="GZ98" s="2688"/>
      <c r="HA98" s="2688"/>
      <c r="HB98" s="2688"/>
      <c r="HC98" s="2688"/>
      <c r="HD98" s="2688"/>
      <c r="HE98" s="2688"/>
      <c r="HF98" s="2688"/>
      <c r="HG98" s="2688"/>
      <c r="HH98" s="3360">
        <f>IF(HH97="Y",HH94,MAX(0,HH94-HH95))</f>
        <v>2110</v>
      </c>
      <c r="HI98" s="2688"/>
      <c r="HJ98" s="3360">
        <f>IF(HJ97="Y",HJ94,MAX(0,HJ94-HJ95))</f>
        <v>0</v>
      </c>
      <c r="HK98" s="3360">
        <f>IF(HK97="Y",HK94,MAX(0,HK94-HK95))</f>
        <v>0</v>
      </c>
      <c r="HL98" s="3360">
        <f>IF(HL97="Y",HL94,MAX(0,HL94-HL95))</f>
        <v>0</v>
      </c>
      <c r="HM98" s="3360">
        <f>IF(HM97="Y",HM94,MAX(0,HM94-HM95))</f>
        <v>0</v>
      </c>
      <c r="HN98" s="2688"/>
      <c r="HO98" s="2688"/>
      <c r="HP98" s="2688"/>
      <c r="HQ98" s="2688"/>
      <c r="HR98" s="2688"/>
      <c r="HS98" s="2688"/>
      <c r="HT98" s="2688"/>
      <c r="HU98" s="2688"/>
      <c r="HV98" s="2688"/>
      <c r="HW98" s="2688"/>
      <c r="HX98" s="2688"/>
      <c r="HY98" s="2688"/>
      <c r="HZ98" s="2688"/>
      <c r="IA98" s="2688"/>
      <c r="IB98" s="2688"/>
      <c r="IC98" s="2688"/>
      <c r="ID98" s="2688"/>
      <c r="IE98" s="2688"/>
      <c r="IF98" s="2688"/>
      <c r="IG98" s="2688"/>
      <c r="IH98" s="2688"/>
      <c r="II98" s="2688"/>
      <c r="IJ98" s="2688"/>
      <c r="IK98" s="2688"/>
      <c r="IL98" s="2688"/>
      <c r="IM98" s="2688"/>
      <c r="IN98" s="2688"/>
      <c r="IO98" s="2688"/>
      <c r="IP98" s="3572"/>
      <c r="IQ98" s="3572"/>
      <c r="IR98" s="3572"/>
      <c r="IS98" s="3572"/>
      <c r="IT98" s="3572"/>
      <c r="IU98" s="3572"/>
      <c r="IV98" s="3572"/>
      <c r="IW98" s="3572"/>
      <c r="IX98" s="3572"/>
      <c r="IY98" s="3572"/>
      <c r="IZ98" s="3572"/>
      <c r="JA98" s="3572"/>
      <c r="JB98" s="3572"/>
      <c r="JC98" s="3572"/>
      <c r="JD98" s="3572"/>
      <c r="JE98" s="3572"/>
      <c r="JF98" s="3572"/>
      <c r="JG98" s="4100"/>
      <c r="JH98" s="1233"/>
    </row>
    <row r="99" spans="1:268" x14ac:dyDescent="0.2">
      <c r="A99" s="1128">
        <v>99</v>
      </c>
      <c r="B99" s="1534" t="str">
        <f si="3" t="shared"/>
        <v/>
      </c>
      <c r="C99" s="1278" t="s">
        <v>165</v>
      </c>
      <c r="D99" s="1386" t="s">
        <v>2562</v>
      </c>
      <c r="E99" s="2688"/>
      <c r="F99" s="2688"/>
      <c r="G99" s="2688"/>
      <c r="H99" s="2688"/>
      <c r="I99" s="2688"/>
      <c r="J99" s="2688"/>
      <c r="K99" s="2688"/>
      <c r="L99" s="2688"/>
      <c r="M99" s="2688"/>
      <c r="N99" s="2688"/>
      <c r="O99" s="2688"/>
      <c r="P99" s="2688"/>
      <c r="Q99" s="2688"/>
      <c r="R99" s="2688"/>
      <c r="S99" s="2688"/>
      <c r="T99" s="2688"/>
      <c r="U99" s="2688"/>
      <c r="V99" s="2688"/>
      <c r="W99" s="2688"/>
      <c r="X99" s="2688"/>
      <c r="Y99" s="2688"/>
      <c r="Z99" s="2688"/>
      <c r="AA99" s="2688"/>
      <c r="AB99" s="2688"/>
      <c r="AC99" s="2688"/>
      <c r="AD99" s="2688"/>
      <c r="AE99" s="2688"/>
      <c r="AF99" s="2688"/>
      <c r="AG99" s="2688"/>
      <c r="AH99" s="2688"/>
      <c r="AI99" s="2688"/>
      <c r="AJ99" s="2688"/>
      <c r="AK99" s="2688"/>
      <c r="AL99" s="2688"/>
      <c r="AM99" s="2688"/>
      <c r="AN99" s="2688"/>
      <c r="AO99" s="2688"/>
      <c r="AP99" s="3567">
        <v>822</v>
      </c>
      <c r="AQ99" s="2688"/>
      <c r="AR99" s="2688"/>
      <c r="AS99" s="2688"/>
      <c r="AT99" s="2688"/>
      <c r="AU99" s="2688"/>
      <c r="AV99" s="2688"/>
      <c r="AW99" s="2688"/>
      <c r="AX99" s="2688"/>
      <c r="AY99" s="2688"/>
      <c r="AZ99" s="2688"/>
      <c r="BA99" s="2688"/>
      <c r="BB99" s="2688"/>
      <c r="BC99" s="3567">
        <v>822</v>
      </c>
      <c r="BD99" s="3567">
        <v>822</v>
      </c>
      <c r="BE99" s="2688"/>
      <c r="BF99" s="2688"/>
      <c r="BG99" s="2688"/>
      <c r="BH99" s="2688"/>
      <c r="BI99" s="2688"/>
      <c r="BJ99" s="3567">
        <v>822</v>
      </c>
      <c r="BK99" s="2688"/>
      <c r="BL99" s="2688"/>
      <c r="BM99" s="2688"/>
      <c r="BN99" s="2688"/>
      <c r="BO99" s="2688"/>
      <c r="BP99" s="2688"/>
      <c r="BQ99" s="2688"/>
      <c r="BR99" s="2688"/>
      <c r="BS99" s="2688"/>
      <c r="BT99" s="2688"/>
      <c r="BU99" s="2688"/>
      <c r="BV99" s="2688"/>
      <c r="BW99" s="2688"/>
      <c r="BX99" s="2688"/>
      <c r="BY99" s="2688"/>
      <c r="BZ99" s="2688"/>
      <c r="CA99" s="2688"/>
      <c r="CB99" s="3977">
        <v>822</v>
      </c>
      <c r="CC99" s="2688"/>
      <c r="CD99" s="2688"/>
      <c r="CE99" s="2688"/>
      <c r="CF99" s="2688"/>
      <c r="CG99" s="2688"/>
      <c r="CH99" s="2688"/>
      <c r="CI99" s="2688"/>
      <c r="CJ99" s="2688"/>
      <c r="CK99" s="2688"/>
      <c r="CL99" s="2688"/>
      <c r="CM99" s="2688"/>
      <c r="CN99" s="2688"/>
      <c r="CO99" s="2688"/>
      <c r="CP99" s="2688"/>
      <c r="CQ99" s="2688"/>
      <c r="CR99" s="2688"/>
      <c r="CS99" s="2688"/>
      <c r="CT99" s="2688"/>
      <c r="CU99" s="2688"/>
      <c r="CV99" s="2688"/>
      <c r="CW99" s="2688"/>
      <c r="CX99" s="2688"/>
      <c r="CY99" s="2688"/>
      <c r="CZ99" s="2688"/>
      <c r="DA99" s="2688"/>
      <c r="DB99" s="2688"/>
      <c r="DC99" s="2688"/>
      <c r="DD99" s="2688"/>
      <c r="DE99" s="2688"/>
      <c r="DF99" s="2688"/>
      <c r="DG99" s="2688"/>
      <c r="DH99" s="2688"/>
      <c r="DI99" s="2688"/>
      <c r="DJ99" s="2688"/>
      <c r="DK99" s="2688"/>
      <c r="DL99" s="2688"/>
      <c r="DM99" s="2688"/>
      <c r="DN99" s="2688"/>
      <c r="DO99" s="2688"/>
      <c r="DP99" s="2688"/>
      <c r="DQ99" s="2688"/>
      <c r="DR99" s="2688"/>
      <c r="DS99" s="2688"/>
      <c r="DT99" s="2688"/>
      <c r="DU99" s="2688"/>
      <c r="DV99" s="2688"/>
      <c r="DW99" s="2688"/>
      <c r="DX99" s="2688"/>
      <c r="DY99" s="2688"/>
      <c r="DZ99" s="2688"/>
      <c r="EA99" s="2688"/>
      <c r="EB99" s="2688"/>
      <c r="EC99" s="2688"/>
      <c r="ED99" s="2688"/>
      <c r="EE99" s="2688"/>
      <c r="EF99" s="2688"/>
      <c r="EG99" s="2688"/>
      <c r="EH99" s="2688"/>
      <c r="EI99" s="2688"/>
      <c r="EJ99" s="2688"/>
      <c r="EK99" s="2688"/>
      <c r="EL99" s="2688"/>
      <c r="EM99" s="2688"/>
      <c r="EN99" s="2688"/>
      <c r="EO99" s="2688"/>
      <c r="EP99" s="2688"/>
      <c r="EQ99" s="2688"/>
      <c r="ER99" s="2688"/>
      <c r="ES99" s="2688"/>
      <c r="ET99" s="2688"/>
      <c r="EU99" s="2688"/>
      <c r="EV99" s="2688"/>
      <c r="EW99" s="2688"/>
      <c r="EX99" s="2688"/>
      <c r="EY99" s="2688"/>
      <c r="EZ99" s="2688"/>
      <c r="FA99" s="2688"/>
      <c r="FB99" s="2688"/>
      <c r="FC99" s="2688"/>
      <c r="FD99" s="2688"/>
      <c r="FE99" s="2688"/>
      <c r="FF99" s="2688"/>
      <c r="FG99" s="2688"/>
      <c r="FH99" s="2688"/>
      <c r="FI99" s="2688"/>
      <c r="FJ99" s="2688"/>
      <c r="FK99" s="2688"/>
      <c r="FL99" s="2688"/>
      <c r="FM99" s="2688"/>
      <c r="FN99" s="2688"/>
      <c r="FO99" s="2688"/>
      <c r="FP99" s="2688"/>
      <c r="FQ99" s="2688"/>
      <c r="FR99" s="2688"/>
      <c r="FS99" s="2688"/>
      <c r="FT99" s="2688"/>
      <c r="FU99" s="2688"/>
      <c r="FV99" s="2688"/>
      <c r="FW99" s="2688"/>
      <c r="FX99" s="2688"/>
      <c r="FY99" s="2688"/>
      <c r="FZ99" s="2688"/>
      <c r="GA99" s="2688"/>
      <c r="GB99" s="2688"/>
      <c r="GC99" s="2688"/>
      <c r="GD99" s="2688"/>
      <c r="GE99" s="2688"/>
      <c r="GF99" s="3567">
        <v>822</v>
      </c>
      <c r="GG99" s="2688"/>
      <c r="GH99" s="2688"/>
      <c r="GI99" s="2688"/>
      <c r="GJ99" s="2688"/>
      <c r="GK99" s="2688"/>
      <c r="GL99" s="2688"/>
      <c r="GM99" s="2688"/>
      <c r="GN99" s="2688"/>
      <c r="GO99" s="2688"/>
      <c r="GP99" s="2688"/>
      <c r="GQ99" s="2688"/>
      <c r="GR99" s="2688"/>
      <c r="GS99" s="2688"/>
      <c r="GT99" s="2688"/>
      <c r="GU99" s="2688"/>
      <c r="GV99" s="2688"/>
      <c r="GW99" s="2688"/>
      <c r="GX99" s="2688"/>
      <c r="GY99" s="2688"/>
      <c r="GZ99" s="2688"/>
      <c r="HA99" s="2688"/>
      <c r="HB99" s="2688"/>
      <c r="HC99" s="2688"/>
      <c r="HD99" s="2688"/>
      <c r="HE99" s="2688"/>
      <c r="HF99" s="2688"/>
      <c r="HG99" s="2688"/>
      <c r="HH99" s="3360">
        <f>HH94</f>
        <v>2110</v>
      </c>
      <c r="HI99" s="2688"/>
      <c r="HJ99" s="3360">
        <f>HJ94</f>
        <v>-2278</v>
      </c>
      <c r="HK99" s="3360">
        <f>HK94</f>
        <v>-2278</v>
      </c>
      <c r="HL99" s="3360">
        <f>HL94</f>
        <v>-2278</v>
      </c>
      <c r="HM99" s="3360">
        <f>HM94</f>
        <v>-2278</v>
      </c>
      <c r="HN99" s="2688"/>
      <c r="HO99" s="2688"/>
      <c r="HP99" s="2688"/>
      <c r="HQ99" s="2688"/>
      <c r="HR99" s="2688"/>
      <c r="HS99" s="2688"/>
      <c r="HT99" s="2688"/>
      <c r="HU99" s="2688"/>
      <c r="HV99" s="2688"/>
      <c r="HW99" s="2688"/>
      <c r="HX99" s="2688"/>
      <c r="HY99" s="2688"/>
      <c r="HZ99" s="2688"/>
      <c r="IA99" s="2688"/>
      <c r="IB99" s="2688"/>
      <c r="IC99" s="2688"/>
      <c r="ID99" s="2688"/>
      <c r="IE99" s="2688"/>
      <c r="IF99" s="2688"/>
      <c r="IG99" s="2688"/>
      <c r="IH99" s="2688"/>
      <c r="II99" s="2688"/>
      <c r="IJ99" s="2688"/>
      <c r="IK99" s="2688"/>
      <c r="IL99" s="2688"/>
      <c r="IM99" s="2688"/>
      <c r="IN99" s="2688"/>
      <c r="IO99" s="2688"/>
      <c r="IP99" s="3573"/>
      <c r="IQ99" s="3573"/>
      <c r="IR99" s="3573"/>
      <c r="IS99" s="3573"/>
      <c r="IT99" s="3573"/>
      <c r="IU99" s="3573"/>
      <c r="IV99" s="3573"/>
      <c r="IW99" s="3573"/>
      <c r="IX99" s="3573"/>
      <c r="IY99" s="3573"/>
      <c r="IZ99" s="3573"/>
      <c r="JA99" s="3573"/>
      <c r="JB99" s="3573"/>
      <c r="JC99" s="3573"/>
      <c r="JD99" s="3573"/>
      <c r="JE99" s="3573"/>
      <c r="JF99" s="3573"/>
      <c r="JG99" s="4101"/>
      <c r="JH99" s="1233"/>
    </row>
    <row r="100" spans="1:268" x14ac:dyDescent="0.2">
      <c r="A100" s="1128">
        <v>100</v>
      </c>
      <c r="B100" s="1534" t="str">
        <f si="3" t="shared"/>
        <v/>
      </c>
      <c r="C100" s="1524" t="s">
        <v>1457</v>
      </c>
      <c r="D100" s="1386" t="s">
        <v>4170</v>
      </c>
      <c r="E100" s="2688"/>
      <c r="F100" s="2688"/>
      <c r="G100" s="2688"/>
      <c r="H100" s="2688"/>
      <c r="I100" s="2688"/>
      <c r="J100" s="2688"/>
      <c r="K100" s="2688"/>
      <c r="L100" s="2688"/>
      <c r="M100" s="2688"/>
      <c r="N100" s="2688"/>
      <c r="O100" s="2688"/>
      <c r="P100" s="2688"/>
      <c r="Q100" s="2688"/>
      <c r="R100" s="2688"/>
      <c r="S100" s="2688"/>
      <c r="T100" s="2688"/>
      <c r="U100" s="2688"/>
      <c r="V100" s="2688"/>
      <c r="W100" s="2688"/>
      <c r="X100" s="2688"/>
      <c r="Y100" s="2688"/>
      <c r="Z100" s="2688"/>
      <c r="AA100" s="2688"/>
      <c r="AB100" s="2688"/>
      <c r="AC100" s="2688"/>
      <c r="AD100" s="2688"/>
      <c r="AE100" s="2688"/>
      <c r="AF100" s="2688"/>
      <c r="AG100" s="2688"/>
      <c r="AH100" s="2688"/>
      <c r="AI100" s="2688"/>
      <c r="AJ100" s="2688"/>
      <c r="AK100" s="2688"/>
      <c r="AL100" s="2688"/>
      <c r="AM100" s="2688"/>
      <c r="AN100" s="2688"/>
      <c r="AO100" s="2688"/>
      <c r="AP100" s="2688">
        <v>320</v>
      </c>
      <c r="AQ100" s="2688"/>
      <c r="AR100" s="2688"/>
      <c r="AS100" s="2688"/>
      <c r="AT100" s="2688"/>
      <c r="AU100" s="2688"/>
      <c r="AV100" s="2688"/>
      <c r="AW100" s="2688"/>
      <c r="AX100" s="2688"/>
      <c r="AY100" s="2688"/>
      <c r="AZ100" s="2688"/>
      <c r="BA100" s="2688"/>
      <c r="BB100" s="2688"/>
      <c r="BC100" s="2688">
        <v>320</v>
      </c>
      <c r="BD100" s="2688">
        <v>320</v>
      </c>
      <c r="BE100" s="2688"/>
      <c r="BF100" s="2688"/>
      <c r="BG100" s="2688"/>
      <c r="BH100" s="2688"/>
      <c r="BI100" s="2688"/>
      <c r="BJ100" s="2688">
        <v>320</v>
      </c>
      <c r="BK100" s="2688"/>
      <c r="BL100" s="2688"/>
      <c r="BM100" s="2688"/>
      <c r="BN100" s="2688"/>
      <c r="BO100" s="2688"/>
      <c r="BP100" s="2688"/>
      <c r="BQ100" s="2688"/>
      <c r="BR100" s="2688"/>
      <c r="BS100" s="2688"/>
      <c r="BT100" s="2688"/>
      <c r="BU100" s="2688"/>
      <c r="BV100" s="2688"/>
      <c r="BW100" s="2688"/>
      <c r="BX100" s="2688"/>
      <c r="BY100" s="2688"/>
      <c r="BZ100" s="2688"/>
      <c r="CA100" s="2688"/>
      <c r="CB100" s="3977">
        <v>320</v>
      </c>
      <c r="CC100" s="2688"/>
      <c r="CD100" s="2688"/>
      <c r="CE100" s="2688"/>
      <c r="CF100" s="2688"/>
      <c r="CG100" s="2688"/>
      <c r="CH100" s="2688"/>
      <c r="CI100" s="2688"/>
      <c r="CJ100" s="2688"/>
      <c r="CK100" s="2688"/>
      <c r="CL100" s="2688"/>
      <c r="CM100" s="2688"/>
      <c r="CN100" s="2688"/>
      <c r="CO100" s="2688"/>
      <c r="CP100" s="2688"/>
      <c r="CQ100" s="2688"/>
      <c r="CR100" s="2688"/>
      <c r="CS100" s="2688"/>
      <c r="CT100" s="2688"/>
      <c r="CU100" s="2688"/>
      <c r="CV100" s="2688"/>
      <c r="CW100" s="2688"/>
      <c r="CX100" s="2688"/>
      <c r="CY100" s="2688"/>
      <c r="CZ100" s="2688"/>
      <c r="DA100" s="2688"/>
      <c r="DB100" s="2688"/>
      <c r="DC100" s="2688"/>
      <c r="DD100" s="2688"/>
      <c r="DE100" s="2688"/>
      <c r="DF100" s="2688"/>
      <c r="DG100" s="2688"/>
      <c r="DH100" s="2688"/>
      <c r="DI100" s="2688"/>
      <c r="DJ100" s="2688"/>
      <c r="DK100" s="2688"/>
      <c r="DL100" s="2688"/>
      <c r="DM100" s="2688"/>
      <c r="DN100" s="2688"/>
      <c r="DO100" s="2688"/>
      <c r="DP100" s="2688"/>
      <c r="DQ100" s="2688"/>
      <c r="DR100" s="2688"/>
      <c r="DS100" s="2688"/>
      <c r="DT100" s="2688"/>
      <c r="DU100" s="2688"/>
      <c r="DV100" s="2688"/>
      <c r="DW100" s="2688"/>
      <c r="DX100" s="2688"/>
      <c r="DY100" s="2688"/>
      <c r="DZ100" s="2688"/>
      <c r="EA100" s="2688"/>
      <c r="EB100" s="2688"/>
      <c r="EC100" s="2688"/>
      <c r="ED100" s="2688"/>
      <c r="EE100" s="2688"/>
      <c r="EF100" s="2688"/>
      <c r="EG100" s="2688"/>
      <c r="EH100" s="2688"/>
      <c r="EI100" s="2688"/>
      <c r="EJ100" s="2688"/>
      <c r="EK100" s="2688"/>
      <c r="EL100" s="2688"/>
      <c r="EM100" s="2688"/>
      <c r="EN100" s="2688"/>
      <c r="EO100" s="2688"/>
      <c r="EP100" s="2688"/>
      <c r="EQ100" s="2688"/>
      <c r="ER100" s="2688"/>
      <c r="ES100" s="2688"/>
      <c r="ET100" s="2688"/>
      <c r="EU100" s="2688"/>
      <c r="EV100" s="2688"/>
      <c r="EW100" s="2688"/>
      <c r="EX100" s="2688"/>
      <c r="EY100" s="2688"/>
      <c r="EZ100" s="2688"/>
      <c r="FA100" s="2688"/>
      <c r="FB100" s="2688"/>
      <c r="FC100" s="2688"/>
      <c r="FD100" s="2688"/>
      <c r="FE100" s="2688"/>
      <c r="FF100" s="2688"/>
      <c r="FG100" s="2688"/>
      <c r="FH100" s="2688"/>
      <c r="FI100" s="2688"/>
      <c r="FJ100" s="2688"/>
      <c r="FK100" s="2688"/>
      <c r="FL100" s="2688"/>
      <c r="FM100" s="2688"/>
      <c r="FN100" s="2688"/>
      <c r="FO100" s="2688"/>
      <c r="FP100" s="2688"/>
      <c r="FQ100" s="2688"/>
      <c r="FR100" s="2688"/>
      <c r="FS100" s="2688"/>
      <c r="FT100" s="2688"/>
      <c r="FU100" s="2688"/>
      <c r="FV100" s="2688"/>
      <c r="FW100" s="2688"/>
      <c r="FX100" s="2688"/>
      <c r="FY100" s="2688"/>
      <c r="FZ100" s="2688"/>
      <c r="GA100" s="2688"/>
      <c r="GB100" s="2688"/>
      <c r="GC100" s="2688"/>
      <c r="GD100" s="2688"/>
      <c r="GE100" s="2688"/>
      <c r="GF100" s="2688">
        <v>320</v>
      </c>
      <c r="GG100" s="2688"/>
      <c r="GH100" s="2688"/>
      <c r="GI100" s="2688"/>
      <c r="GJ100" s="2688"/>
      <c r="GK100" s="2688"/>
      <c r="GL100" s="2688"/>
      <c r="GM100" s="2688"/>
      <c r="GN100" s="2688"/>
      <c r="GO100" s="2688"/>
      <c r="GP100" s="2688"/>
      <c r="GQ100" s="2688"/>
      <c r="GR100" s="2688"/>
      <c r="GS100" s="2688"/>
      <c r="GT100" s="2688"/>
      <c r="GU100" s="2688"/>
      <c r="GV100" s="2688"/>
      <c r="GW100" s="2688"/>
      <c r="GX100" s="2688"/>
      <c r="GY100" s="2688"/>
      <c r="GZ100" s="2688"/>
      <c r="HA100" s="2688"/>
      <c r="HB100" s="2688"/>
      <c r="HC100" s="2688"/>
      <c r="HD100" s="2688"/>
      <c r="HE100" s="2688"/>
      <c r="HF100" s="2688"/>
      <c r="HG100" s="2688"/>
      <c r="HH100" s="2688"/>
      <c r="HI100" s="2688"/>
      <c r="HJ100" s="2688"/>
      <c r="HK100" s="2688"/>
      <c r="HL100" s="2688"/>
      <c r="HM100" s="2688"/>
      <c r="HN100" s="2688"/>
      <c r="HO100" s="2688"/>
      <c r="HP100" s="2688"/>
      <c r="HQ100" s="2688"/>
      <c r="HR100" s="2688"/>
      <c r="HS100" s="2688"/>
      <c r="HT100" s="2688"/>
      <c r="HU100" s="2688"/>
      <c r="HV100" s="2688"/>
      <c r="HW100" s="2688"/>
      <c r="HX100" s="2688"/>
      <c r="HY100" s="2688"/>
      <c r="HZ100" s="2688"/>
      <c r="IA100" s="2688"/>
      <c r="IB100" s="2688"/>
      <c r="IC100" s="2688"/>
      <c r="ID100" s="2688"/>
      <c r="IE100" s="2688"/>
      <c r="IF100" s="2688"/>
      <c r="IG100" s="2688"/>
      <c r="IH100" s="2688"/>
      <c r="II100" s="2688"/>
      <c r="IJ100" s="2688"/>
      <c r="IK100" s="2688"/>
      <c r="IL100" s="2688"/>
      <c r="IM100" s="2688"/>
      <c r="IN100" s="2688"/>
      <c r="IO100" s="2688"/>
      <c r="IP100" s="2419"/>
      <c r="IQ100" s="2419"/>
      <c r="IR100" s="2419"/>
      <c r="IS100" s="2419"/>
      <c r="IT100" s="2419"/>
      <c r="IU100" s="2419"/>
      <c r="IV100" s="2419"/>
      <c r="IW100" s="2419"/>
      <c r="IX100" s="2419"/>
      <c r="IY100" s="2419"/>
      <c r="IZ100" s="2419"/>
      <c r="JA100" s="2419"/>
      <c r="JB100" s="2419"/>
      <c r="JC100" s="2419"/>
      <c r="JD100" s="2419"/>
      <c r="JE100" s="2419"/>
      <c r="JF100" s="2419"/>
      <c r="JG100" s="3765"/>
      <c r="JH100" s="1233"/>
    </row>
    <row r="101" spans="1:268" x14ac:dyDescent="0.2">
      <c r="A101" s="1128">
        <v>101</v>
      </c>
      <c r="B101" s="1534" t="str">
        <f si="3" t="shared"/>
        <v/>
      </c>
      <c r="C101" s="1278" t="s">
        <v>1458</v>
      </c>
      <c r="D101" s="1386" t="s">
        <v>5336</v>
      </c>
      <c r="E101" s="2688"/>
      <c r="F101" s="2688"/>
      <c r="G101" s="2688"/>
      <c r="H101" s="2688"/>
      <c r="I101" s="2688"/>
      <c r="J101" s="2688"/>
      <c r="K101" s="2688"/>
      <c r="L101" s="2688"/>
      <c r="M101" s="2688"/>
      <c r="N101" s="2688"/>
      <c r="O101" s="2688"/>
      <c r="P101" s="2688"/>
      <c r="Q101" s="2688"/>
      <c r="R101" s="2688"/>
      <c r="S101" s="2688"/>
      <c r="T101" s="2688"/>
      <c r="U101" s="2688"/>
      <c r="V101" s="2688"/>
      <c r="W101" s="2688"/>
      <c r="X101" s="2688"/>
      <c r="Y101" s="2688"/>
      <c r="Z101" s="2688"/>
      <c r="AA101" s="2688"/>
      <c r="AB101" s="2688"/>
      <c r="AC101" s="2688"/>
      <c r="AD101" s="2688"/>
      <c r="AE101" s="2688"/>
      <c r="AF101" s="2688"/>
      <c r="AG101" s="2688"/>
      <c r="AH101" s="2688"/>
      <c r="AI101" s="2688"/>
      <c r="AJ101" s="2688"/>
      <c r="AK101" s="2688"/>
      <c r="AL101" s="2688"/>
      <c r="AM101" s="2688"/>
      <c r="AN101" s="2688"/>
      <c r="AO101" s="2688"/>
      <c r="AP101" s="3360">
        <f>MAX(0,AP99-AP100)</f>
        <v>502</v>
      </c>
      <c r="AQ101" s="2688"/>
      <c r="AR101" s="2688"/>
      <c r="AS101" s="2688"/>
      <c r="AT101" s="2688"/>
      <c r="AU101" s="2688"/>
      <c r="AV101" s="2688"/>
      <c r="AW101" s="2688"/>
      <c r="AX101" s="2688"/>
      <c r="AY101" s="2688"/>
      <c r="AZ101" s="2688"/>
      <c r="BA101" s="2688"/>
      <c r="BB101" s="2688"/>
      <c r="BC101" s="3360">
        <f>MAX(0,BC99-BC100)</f>
        <v>502</v>
      </c>
      <c r="BD101" s="3360">
        <f>MAX(0,BD99-BD100)</f>
        <v>502</v>
      </c>
      <c r="BE101" s="2688"/>
      <c r="BF101" s="2688"/>
      <c r="BG101" s="2688"/>
      <c r="BH101" s="2688"/>
      <c r="BI101" s="2688"/>
      <c r="BJ101" s="3360">
        <f>MAX(0,BJ99-BJ100)</f>
        <v>502</v>
      </c>
      <c r="BK101" s="2688"/>
      <c r="BL101" s="2688"/>
      <c r="BM101" s="2688"/>
      <c r="BN101" s="2688"/>
      <c r="BO101" s="2688"/>
      <c r="BP101" s="2688"/>
      <c r="BQ101" s="2688"/>
      <c r="BR101" s="2688"/>
      <c r="BS101" s="2688"/>
      <c r="BT101" s="2688"/>
      <c r="BU101" s="2688"/>
      <c r="BV101" s="2688"/>
      <c r="BW101" s="2688"/>
      <c r="BX101" s="2688"/>
      <c r="BY101" s="2688"/>
      <c r="BZ101" s="2688"/>
      <c r="CA101" s="2688"/>
      <c r="CB101" s="3977">
        <f>MAX(0,CB99-CB100)</f>
        <v>502</v>
      </c>
      <c r="CC101" s="2688"/>
      <c r="CD101" s="2688"/>
      <c r="CE101" s="2688"/>
      <c r="CF101" s="2688"/>
      <c r="CG101" s="2688"/>
      <c r="CH101" s="2688"/>
      <c r="CI101" s="2688"/>
      <c r="CJ101" s="2688"/>
      <c r="CK101" s="2688"/>
      <c r="CL101" s="2688"/>
      <c r="CM101" s="2688"/>
      <c r="CN101" s="2688"/>
      <c r="CO101" s="2688"/>
      <c r="CP101" s="2688"/>
      <c r="CQ101" s="2688"/>
      <c r="CR101" s="2688"/>
      <c r="CS101" s="2688"/>
      <c r="CT101" s="2688"/>
      <c r="CU101" s="2688"/>
      <c r="CV101" s="2688"/>
      <c r="CW101" s="2688"/>
      <c r="CX101" s="2688"/>
      <c r="CY101" s="2688"/>
      <c r="CZ101" s="2688"/>
      <c r="DA101" s="2688"/>
      <c r="DB101" s="2688"/>
      <c r="DC101" s="2688"/>
      <c r="DD101" s="2688"/>
      <c r="DE101" s="2688"/>
      <c r="DF101" s="2688"/>
      <c r="DG101" s="2688"/>
      <c r="DH101" s="2688"/>
      <c r="DI101" s="2688"/>
      <c r="DJ101" s="2688"/>
      <c r="DK101" s="2688"/>
      <c r="DL101" s="2688"/>
      <c r="DM101" s="2688"/>
      <c r="DN101" s="2688"/>
      <c r="DO101" s="2688"/>
      <c r="DP101" s="2688"/>
      <c r="DQ101" s="2688"/>
      <c r="DR101" s="2688"/>
      <c r="DS101" s="2688"/>
      <c r="DT101" s="2688"/>
      <c r="DU101" s="2688"/>
      <c r="DV101" s="2688"/>
      <c r="DW101" s="2688"/>
      <c r="DX101" s="2688"/>
      <c r="DY101" s="2688"/>
      <c r="DZ101" s="2688"/>
      <c r="EA101" s="2688"/>
      <c r="EB101" s="2688"/>
      <c r="EC101" s="2688"/>
      <c r="ED101" s="2688"/>
      <c r="EE101" s="2688"/>
      <c r="EF101" s="2688"/>
      <c r="EG101" s="2688"/>
      <c r="EH101" s="2688"/>
      <c r="EI101" s="2688"/>
      <c r="EJ101" s="2688"/>
      <c r="EK101" s="2688"/>
      <c r="EL101" s="2688"/>
      <c r="EM101" s="2688"/>
      <c r="EN101" s="2688"/>
      <c r="EO101" s="2688"/>
      <c r="EP101" s="2688"/>
      <c r="EQ101" s="2688"/>
      <c r="ER101" s="2688"/>
      <c r="ES101" s="2688"/>
      <c r="ET101" s="2688"/>
      <c r="EU101" s="2688"/>
      <c r="EV101" s="2688"/>
      <c r="EW101" s="2688"/>
      <c r="EX101" s="2688"/>
      <c r="EY101" s="2688"/>
      <c r="EZ101" s="2688"/>
      <c r="FA101" s="2688"/>
      <c r="FB101" s="2688"/>
      <c r="FC101" s="2688"/>
      <c r="FD101" s="2688"/>
      <c r="FE101" s="2688"/>
      <c r="FF101" s="2688"/>
      <c r="FG101" s="2688"/>
      <c r="FH101" s="2688"/>
      <c r="FI101" s="2688"/>
      <c r="FJ101" s="2688"/>
      <c r="FK101" s="2688"/>
      <c r="FL101" s="2688"/>
      <c r="FM101" s="2688"/>
      <c r="FN101" s="2688"/>
      <c r="FO101" s="2688"/>
      <c r="FP101" s="2688"/>
      <c r="FQ101" s="2688"/>
      <c r="FR101" s="2688"/>
      <c r="FS101" s="2688"/>
      <c r="FT101" s="2688"/>
      <c r="FU101" s="2688"/>
      <c r="FV101" s="2688"/>
      <c r="FW101" s="2688"/>
      <c r="FX101" s="2688"/>
      <c r="FY101" s="2688"/>
      <c r="FZ101" s="2688"/>
      <c r="GA101" s="2688"/>
      <c r="GB101" s="2688"/>
      <c r="GC101" s="2688"/>
      <c r="GD101" s="2688"/>
      <c r="GE101" s="2688"/>
      <c r="GF101" s="3360">
        <f>MAX(0,GF99-GF100)</f>
        <v>502</v>
      </c>
      <c r="GG101" s="2688"/>
      <c r="GH101" s="2688"/>
      <c r="GI101" s="2688"/>
      <c r="GJ101" s="2688"/>
      <c r="GK101" s="2688"/>
      <c r="GL101" s="2688"/>
      <c r="GM101" s="2688"/>
      <c r="GN101" s="2688"/>
      <c r="GO101" s="2688"/>
      <c r="GP101" s="2688"/>
      <c r="GQ101" s="2688"/>
      <c r="GR101" s="2688"/>
      <c r="GS101" s="2688"/>
      <c r="GT101" s="2688"/>
      <c r="GU101" s="2688"/>
      <c r="GV101" s="2688"/>
      <c r="GW101" s="2688"/>
      <c r="GX101" s="2688"/>
      <c r="GY101" s="2688"/>
      <c r="GZ101" s="2688"/>
      <c r="HA101" s="2688"/>
      <c r="HB101" s="2688"/>
      <c r="HC101" s="2688"/>
      <c r="HD101" s="2688"/>
      <c r="HE101" s="2688"/>
      <c r="HF101" s="2688"/>
      <c r="HG101" s="2688"/>
      <c r="HH101" s="3360">
        <f>MAX(0,HH99-HH100)</f>
        <v>2110</v>
      </c>
      <c r="HI101" s="2688"/>
      <c r="HJ101" s="2688"/>
      <c r="HK101" s="2688"/>
      <c r="HL101" s="2688"/>
      <c r="HM101" s="2688"/>
      <c r="HN101" s="2688"/>
      <c r="HO101" s="2688"/>
      <c r="HP101" s="2688"/>
      <c r="HQ101" s="2688"/>
      <c r="HR101" s="2688"/>
      <c r="HS101" s="2688"/>
      <c r="HT101" s="2688"/>
      <c r="HU101" s="2688"/>
      <c r="HV101" s="2688"/>
      <c r="HW101" s="2688"/>
      <c r="HX101" s="2688"/>
      <c r="HY101" s="2688"/>
      <c r="HZ101" s="2688"/>
      <c r="IA101" s="2688"/>
      <c r="IB101" s="2688"/>
      <c r="IC101" s="2688"/>
      <c r="ID101" s="2688"/>
      <c r="IE101" s="2688"/>
      <c r="IF101" s="2688"/>
      <c r="IG101" s="2688"/>
      <c r="IH101" s="2688"/>
      <c r="II101" s="2688"/>
      <c r="IJ101" s="2688"/>
      <c r="IK101" s="2688"/>
      <c r="IL101" s="2688"/>
      <c r="IM101" s="2688"/>
      <c r="IN101" s="2688"/>
      <c r="IO101" s="2688"/>
      <c r="IP101" s="3574"/>
      <c r="IQ101" s="3574"/>
      <c r="IR101" s="3574"/>
      <c r="IS101" s="3574"/>
      <c r="IT101" s="3574"/>
      <c r="IU101" s="3574"/>
      <c r="IV101" s="3574"/>
      <c r="IW101" s="3574"/>
      <c r="IX101" s="3574"/>
      <c r="IY101" s="3574"/>
      <c r="IZ101" s="3574"/>
      <c r="JA101" s="3574"/>
      <c r="JB101" s="3574"/>
      <c r="JC101" s="3574"/>
      <c r="JD101" s="3574"/>
      <c r="JE101" s="3574"/>
      <c r="JF101" s="3574"/>
      <c r="JG101" s="4102"/>
      <c r="JH101" s="1233"/>
    </row>
    <row r="102" spans="1:268" x14ac:dyDescent="0.2">
      <c r="A102" s="1128">
        <v>102</v>
      </c>
      <c r="B102" s="1534" t="str">
        <f si="3" t="shared"/>
        <v/>
      </c>
      <c r="C102" s="1278" t="s">
        <v>2071</v>
      </c>
      <c r="D102" s="1386" t="s">
        <v>5337</v>
      </c>
      <c r="E102" s="2688"/>
      <c r="F102" s="2688"/>
      <c r="G102" s="2688"/>
      <c r="H102" s="2688"/>
      <c r="I102" s="2688"/>
      <c r="J102" s="2688"/>
      <c r="K102" s="2688"/>
      <c r="L102" s="2688"/>
      <c r="M102" s="2688"/>
      <c r="N102" s="2688"/>
      <c r="O102" s="2688"/>
      <c r="P102" s="2688"/>
      <c r="Q102" s="2688"/>
      <c r="R102" s="2688"/>
      <c r="S102" s="2688"/>
      <c r="T102" s="2688"/>
      <c r="U102" s="2688"/>
      <c r="V102" s="2688"/>
      <c r="W102" s="2688"/>
      <c r="X102" s="2688"/>
      <c r="Y102" s="2688"/>
      <c r="Z102" s="2688"/>
      <c r="AA102" s="2688"/>
      <c r="AB102" s="2688"/>
      <c r="AC102" s="2688"/>
      <c r="AD102" s="2688"/>
      <c r="AE102" s="2688"/>
      <c r="AF102" s="2688"/>
      <c r="AG102" s="2688"/>
      <c r="AH102" s="2688"/>
      <c r="AI102" s="2688"/>
      <c r="AJ102" s="2688"/>
      <c r="AK102" s="2688"/>
      <c r="AL102" s="2688"/>
      <c r="AM102" s="2688"/>
      <c r="AN102" s="2688"/>
      <c r="AO102" s="2688"/>
      <c r="AP102" s="2688"/>
      <c r="AQ102" s="2688"/>
      <c r="AR102" s="2688"/>
      <c r="AS102" s="2688"/>
      <c r="AT102" s="2688"/>
      <c r="AU102" s="2688"/>
      <c r="AV102" s="2688"/>
      <c r="AW102" s="2688"/>
      <c r="AX102" s="2688"/>
      <c r="AY102" s="2688"/>
      <c r="AZ102" s="2688"/>
      <c r="BA102" s="2688"/>
      <c r="BB102" s="2688"/>
      <c r="BC102" s="2688"/>
      <c r="BD102" s="2688"/>
      <c r="BE102" s="2688"/>
      <c r="BF102" s="2688"/>
      <c r="BG102" s="2688"/>
      <c r="BH102" s="2688"/>
      <c r="BI102" s="2688"/>
      <c r="BJ102" s="2688"/>
      <c r="BK102" s="2688"/>
      <c r="BL102" s="2688"/>
      <c r="BM102" s="2688"/>
      <c r="BN102" s="2688"/>
      <c r="BO102" s="2688"/>
      <c r="BP102" s="2688"/>
      <c r="BQ102" s="2688"/>
      <c r="BR102" s="2688"/>
      <c r="BS102" s="2688"/>
      <c r="BT102" s="2688"/>
      <c r="BU102" s="2688"/>
      <c r="BV102" s="2688"/>
      <c r="BW102" s="2688"/>
      <c r="BX102" s="2688"/>
      <c r="BY102" s="2688"/>
      <c r="BZ102" s="2688"/>
      <c r="CA102" s="2688"/>
      <c r="CB102" s="2688"/>
      <c r="CC102" s="2688"/>
      <c r="CD102" s="2688"/>
      <c r="CE102" s="2688"/>
      <c r="CF102" s="2688"/>
      <c r="CG102" s="2688"/>
      <c r="CH102" s="2688"/>
      <c r="CI102" s="2688"/>
      <c r="CJ102" s="2688"/>
      <c r="CK102" s="2688"/>
      <c r="CL102" s="2688"/>
      <c r="CM102" s="2688"/>
      <c r="CN102" s="2688"/>
      <c r="CO102" s="2688"/>
      <c r="CP102" s="2688"/>
      <c r="CQ102" s="2688"/>
      <c r="CR102" s="2688"/>
      <c r="CS102" s="2688"/>
      <c r="CT102" s="2688"/>
      <c r="CU102" s="2688"/>
      <c r="CV102" s="2688"/>
      <c r="CW102" s="2688"/>
      <c r="CX102" s="2688"/>
      <c r="CY102" s="2688"/>
      <c r="CZ102" s="2688"/>
      <c r="DA102" s="2688"/>
      <c r="DB102" s="2688"/>
      <c r="DC102" s="2688"/>
      <c r="DD102" s="2688"/>
      <c r="DE102" s="2688"/>
      <c r="DF102" s="2688"/>
      <c r="DG102" s="2688"/>
      <c r="DH102" s="2688"/>
      <c r="DI102" s="2688"/>
      <c r="DJ102" s="2688"/>
      <c r="DK102" s="2688"/>
      <c r="DL102" s="2688"/>
      <c r="DM102" s="2688"/>
      <c r="DN102" s="2688"/>
      <c r="DO102" s="2688"/>
      <c r="DP102" s="2688"/>
      <c r="DQ102" s="2688"/>
      <c r="DR102" s="2688"/>
      <c r="DS102" s="2688"/>
      <c r="DT102" s="2688"/>
      <c r="DU102" s="2688"/>
      <c r="DV102" s="2688"/>
      <c r="DW102" s="2688"/>
      <c r="DX102" s="2688"/>
      <c r="DY102" s="2688"/>
      <c r="DZ102" s="2688"/>
      <c r="EA102" s="2688"/>
      <c r="EB102" s="2688"/>
      <c r="EC102" s="2688"/>
      <c r="ED102" s="2688"/>
      <c r="EE102" s="2688"/>
      <c r="EF102" s="2688"/>
      <c r="EG102" s="2688"/>
      <c r="EH102" s="2688"/>
      <c r="EI102" s="2688"/>
      <c r="EJ102" s="2688"/>
      <c r="EK102" s="2688"/>
      <c r="EL102" s="2688"/>
      <c r="EM102" s="2688"/>
      <c r="EN102" s="2688"/>
      <c r="EO102" s="2688"/>
      <c r="EP102" s="2688"/>
      <c r="EQ102" s="2688"/>
      <c r="ER102" s="2688"/>
      <c r="ES102" s="2688"/>
      <c r="ET102" s="2688"/>
      <c r="EU102" s="2688"/>
      <c r="EV102" s="2688"/>
      <c r="EW102" s="2688"/>
      <c r="EX102" s="2688"/>
      <c r="EY102" s="2688"/>
      <c r="EZ102" s="2688"/>
      <c r="FA102" s="2688"/>
      <c r="FB102" s="2688"/>
      <c r="FC102" s="2688"/>
      <c r="FD102" s="2688"/>
      <c r="FE102" s="2688"/>
      <c r="FF102" s="2688"/>
      <c r="FG102" s="2688"/>
      <c r="FH102" s="2688"/>
      <c r="FI102" s="2688"/>
      <c r="FJ102" s="2688"/>
      <c r="FK102" s="2688"/>
      <c r="FL102" s="2688"/>
      <c r="FM102" s="2688"/>
      <c r="FN102" s="2688"/>
      <c r="FO102" s="2688"/>
      <c r="FP102" s="2688"/>
      <c r="FQ102" s="2688"/>
      <c r="FR102" s="2688"/>
      <c r="FS102" s="2688"/>
      <c r="FT102" s="2688"/>
      <c r="FU102" s="2688"/>
      <c r="FV102" s="2688"/>
      <c r="FW102" s="2688"/>
      <c r="FX102" s="2688"/>
      <c r="FY102" s="2688"/>
      <c r="FZ102" s="2688"/>
      <c r="GA102" s="2688"/>
      <c r="GB102" s="2688"/>
      <c r="GC102" s="2688"/>
      <c r="GD102" s="2688"/>
      <c r="GE102" s="2688"/>
      <c r="GF102" s="2688"/>
      <c r="GG102" s="2688"/>
      <c r="GH102" s="2688"/>
      <c r="GI102" s="2688"/>
      <c r="GJ102" s="2688"/>
      <c r="GK102" s="2688"/>
      <c r="GL102" s="2688"/>
      <c r="GM102" s="2688"/>
      <c r="GN102" s="2688"/>
      <c r="GO102" s="2688"/>
      <c r="GP102" s="2688"/>
      <c r="GQ102" s="2688"/>
      <c r="GR102" s="2688"/>
      <c r="GS102" s="2688"/>
      <c r="GT102" s="2688"/>
      <c r="GU102" s="2688"/>
      <c r="GV102" s="2688"/>
      <c r="GW102" s="2688"/>
      <c r="GX102" s="2688"/>
      <c r="GY102" s="2688"/>
      <c r="GZ102" s="2688"/>
      <c r="HA102" s="2688"/>
      <c r="HB102" s="2688"/>
      <c r="HC102" s="2688"/>
      <c r="HD102" s="2688"/>
      <c r="HE102" s="2688"/>
      <c r="HF102" s="2688"/>
      <c r="HG102" s="2688"/>
      <c r="HH102" s="3360">
        <f>HH95</f>
        <v>686</v>
      </c>
      <c r="HI102" s="2688"/>
      <c r="HJ102" s="2688"/>
      <c r="HK102" s="2688"/>
      <c r="HL102" s="2688"/>
      <c r="HM102" s="2688"/>
      <c r="HN102" s="2688"/>
      <c r="HO102" s="2688"/>
      <c r="HP102" s="2688"/>
      <c r="HQ102" s="2688"/>
      <c r="HR102" s="2688"/>
      <c r="HS102" s="2688"/>
      <c r="HT102" s="2688"/>
      <c r="HU102" s="2688"/>
      <c r="HV102" s="2688"/>
      <c r="HW102" s="2688"/>
      <c r="HX102" s="2688"/>
      <c r="HY102" s="2688"/>
      <c r="HZ102" s="2688"/>
      <c r="IA102" s="2688"/>
      <c r="IB102" s="2688"/>
      <c r="IC102" s="2688"/>
      <c r="ID102" s="2688"/>
      <c r="IE102" s="2688"/>
      <c r="IF102" s="2688"/>
      <c r="IG102" s="2688"/>
      <c r="IH102" s="2688"/>
      <c r="II102" s="2688"/>
      <c r="IJ102" s="2688"/>
      <c r="IK102" s="2688"/>
      <c r="IL102" s="2688"/>
      <c r="IM102" s="2688"/>
      <c r="IN102" s="2688"/>
      <c r="IO102" s="2688"/>
      <c r="IP102" s="3575"/>
      <c r="IQ102" s="3575"/>
      <c r="IR102" s="3575"/>
      <c r="IS102" s="3575"/>
      <c r="IT102" s="3575"/>
      <c r="IU102" s="3575"/>
      <c r="IV102" s="3575"/>
      <c r="IW102" s="3575"/>
      <c r="IX102" s="3575"/>
      <c r="IY102" s="3575"/>
      <c r="IZ102" s="3575"/>
      <c r="JA102" s="3575"/>
      <c r="JB102" s="3575"/>
      <c r="JC102" s="3575"/>
      <c r="JD102" s="3575"/>
      <c r="JE102" s="3575"/>
      <c r="JF102" s="3575"/>
      <c r="JG102" s="4103"/>
      <c r="JH102" s="1233"/>
    </row>
    <row r="103" spans="1:268" x14ac:dyDescent="0.2">
      <c r="A103" s="1128">
        <v>103</v>
      </c>
      <c r="B103" s="1534" t="str">
        <f si="3" t="shared"/>
        <v/>
      </c>
      <c r="C103" s="1524" t="s">
        <v>2072</v>
      </c>
      <c r="D103" s="1386" t="s">
        <v>2562</v>
      </c>
      <c r="E103" s="2688"/>
      <c r="F103" s="2688"/>
      <c r="G103" s="2688"/>
      <c r="H103" s="2688"/>
      <c r="I103" s="2688"/>
      <c r="J103" s="2688"/>
      <c r="K103" s="2688"/>
      <c r="L103" s="2688"/>
      <c r="M103" s="2688"/>
      <c r="N103" s="2688"/>
      <c r="O103" s="2688"/>
      <c r="P103" s="2688"/>
      <c r="Q103" s="2688"/>
      <c r="R103" s="2688"/>
      <c r="S103" s="2688"/>
      <c r="T103" s="2688"/>
      <c r="U103" s="2688"/>
      <c r="V103" s="2688"/>
      <c r="W103" s="2688"/>
      <c r="X103" s="2688"/>
      <c r="Y103" s="2688"/>
      <c r="Z103" s="2688"/>
      <c r="AA103" s="2688"/>
      <c r="AB103" s="2688"/>
      <c r="AC103" s="2688"/>
      <c r="AD103" s="2688"/>
      <c r="AE103" s="2688"/>
      <c r="AF103" s="2688"/>
      <c r="AG103" s="2688"/>
      <c r="AH103" s="2688"/>
      <c r="AI103" s="2688"/>
      <c r="AJ103" s="2688"/>
      <c r="AK103" s="2688"/>
      <c r="AL103" s="2688"/>
      <c r="AM103" s="2688"/>
      <c r="AN103" s="2688"/>
      <c r="AO103" s="2688"/>
      <c r="AP103" s="2688"/>
      <c r="AQ103" s="2688"/>
      <c r="AR103" s="2688"/>
      <c r="AS103" s="2688"/>
      <c r="AT103" s="2688"/>
      <c r="AU103" s="2688"/>
      <c r="AV103" s="2688"/>
      <c r="AW103" s="2688"/>
      <c r="AX103" s="2688"/>
      <c r="AY103" s="2688"/>
      <c r="AZ103" s="2688"/>
      <c r="BA103" s="2688"/>
      <c r="BB103" s="2688"/>
      <c r="BC103" s="2688"/>
      <c r="BD103" s="2688"/>
      <c r="BE103" s="2688"/>
      <c r="BF103" s="2688"/>
      <c r="BG103" s="2688"/>
      <c r="BH103" s="2688"/>
      <c r="BI103" s="2688"/>
      <c r="BJ103" s="2688"/>
      <c r="BK103" s="2688"/>
      <c r="BL103" s="2688"/>
      <c r="BM103" s="2688"/>
      <c r="BN103" s="2688"/>
      <c r="BO103" s="2688"/>
      <c r="BP103" s="2688"/>
      <c r="BQ103" s="2688"/>
      <c r="BR103" s="2688"/>
      <c r="BS103" s="2688"/>
      <c r="BT103" s="2688"/>
      <c r="BU103" s="2688"/>
      <c r="BV103" s="2688"/>
      <c r="BW103" s="2688"/>
      <c r="BX103" s="2688"/>
      <c r="BY103" s="2688"/>
      <c r="BZ103" s="2688"/>
      <c r="CA103" s="2688"/>
      <c r="CB103" s="2688"/>
      <c r="CC103" s="2688"/>
      <c r="CD103" s="2688"/>
      <c r="CE103" s="2688"/>
      <c r="CF103" s="2688"/>
      <c r="CG103" s="2688"/>
      <c r="CH103" s="2688"/>
      <c r="CI103" s="2688"/>
      <c r="CJ103" s="2688"/>
      <c r="CK103" s="2688"/>
      <c r="CL103" s="2688"/>
      <c r="CM103" s="2688"/>
      <c r="CN103" s="2688"/>
      <c r="CO103" s="2688"/>
      <c r="CP103" s="2688"/>
      <c r="CQ103" s="2688"/>
      <c r="CR103" s="2688"/>
      <c r="CS103" s="2688"/>
      <c r="CT103" s="2688"/>
      <c r="CU103" s="2688"/>
      <c r="CV103" s="2688"/>
      <c r="CW103" s="2688"/>
      <c r="CX103" s="2688"/>
      <c r="CY103" s="2688"/>
      <c r="CZ103" s="2688"/>
      <c r="DA103" s="2688"/>
      <c r="DB103" s="2688"/>
      <c r="DC103" s="2688"/>
      <c r="DD103" s="2688"/>
      <c r="DE103" s="2688"/>
      <c r="DF103" s="2688"/>
      <c r="DG103" s="2688"/>
      <c r="DH103" s="2688"/>
      <c r="DI103" s="2688"/>
      <c r="DJ103" s="2688"/>
      <c r="DK103" s="2688"/>
      <c r="DL103" s="2688"/>
      <c r="DM103" s="2688"/>
      <c r="DN103" s="2688"/>
      <c r="DO103" s="2688"/>
      <c r="DP103" s="2688"/>
      <c r="DQ103" s="2688"/>
      <c r="DR103" s="2688"/>
      <c r="DS103" s="2688"/>
      <c r="DT103" s="2688"/>
      <c r="DU103" s="2688"/>
      <c r="DV103" s="2688"/>
      <c r="DW103" s="2688"/>
      <c r="DX103" s="2688"/>
      <c r="DY103" s="2688"/>
      <c r="DZ103" s="2688"/>
      <c r="EA103" s="2688"/>
      <c r="EB103" s="2688"/>
      <c r="EC103" s="2688"/>
      <c r="ED103" s="2688"/>
      <c r="EE103" s="2688"/>
      <c r="EF103" s="2688"/>
      <c r="EG103" s="2688"/>
      <c r="EH103" s="2688"/>
      <c r="EI103" s="2688"/>
      <c r="EJ103" s="2688"/>
      <c r="EK103" s="2688"/>
      <c r="EL103" s="2688"/>
      <c r="EM103" s="2688"/>
      <c r="EN103" s="2688"/>
      <c r="EO103" s="2688"/>
      <c r="EP103" s="2688"/>
      <c r="EQ103" s="2688"/>
      <c r="ER103" s="2688"/>
      <c r="ES103" s="2688"/>
      <c r="ET103" s="2688"/>
      <c r="EU103" s="2688"/>
      <c r="EV103" s="2688"/>
      <c r="EW103" s="2688"/>
      <c r="EX103" s="2688"/>
      <c r="EY103" s="2688"/>
      <c r="EZ103" s="2688"/>
      <c r="FA103" s="2688"/>
      <c r="FB103" s="2688"/>
      <c r="FC103" s="2688"/>
      <c r="FD103" s="2688"/>
      <c r="FE103" s="2688"/>
      <c r="FF103" s="2688"/>
      <c r="FG103" s="2688"/>
      <c r="FH103" s="2688"/>
      <c r="FI103" s="2688"/>
      <c r="FJ103" s="2688"/>
      <c r="FK103" s="2688"/>
      <c r="FL103" s="2688"/>
      <c r="FM103" s="2688"/>
      <c r="FN103" s="2688"/>
      <c r="FO103" s="2688"/>
      <c r="FP103" s="2688"/>
      <c r="FQ103" s="2688"/>
      <c r="FR103" s="2688"/>
      <c r="FS103" s="2688"/>
      <c r="FT103" s="2688"/>
      <c r="FU103" s="2688"/>
      <c r="FV103" s="2688"/>
      <c r="FW103" s="2688"/>
      <c r="FX103" s="2688"/>
      <c r="FY103" s="2688"/>
      <c r="FZ103" s="2688"/>
      <c r="GA103" s="2688"/>
      <c r="GB103" s="2688"/>
      <c r="GC103" s="2688"/>
      <c r="GD103" s="2688"/>
      <c r="GE103" s="2688"/>
      <c r="GF103" s="2688"/>
      <c r="GG103" s="2688"/>
      <c r="GH103" s="2688"/>
      <c r="GI103" s="2688"/>
      <c r="GJ103" s="2688"/>
      <c r="GK103" s="2688"/>
      <c r="GL103" s="2688"/>
      <c r="GM103" s="2688"/>
      <c r="GN103" s="2688"/>
      <c r="GO103" s="2688"/>
      <c r="GP103" s="2688"/>
      <c r="GQ103" s="2688"/>
      <c r="GR103" s="2688"/>
      <c r="GS103" s="2688"/>
      <c r="GT103" s="2688"/>
      <c r="GU103" s="2688"/>
      <c r="GV103" s="2688"/>
      <c r="GW103" s="2688"/>
      <c r="GX103" s="2688"/>
      <c r="GY103" s="2688"/>
      <c r="GZ103" s="2688"/>
      <c r="HA103" s="2688"/>
      <c r="HB103" s="2688"/>
      <c r="HC103" s="2688"/>
      <c r="HD103" s="2688"/>
      <c r="HE103" s="2688"/>
      <c r="HF103" s="2688"/>
      <c r="HG103" s="2688"/>
      <c r="HH103" s="2688"/>
      <c r="HI103" s="2688"/>
      <c r="HJ103" s="2688"/>
      <c r="HK103" s="2688"/>
      <c r="HL103" s="2688"/>
      <c r="HM103" s="2688"/>
      <c r="HN103" s="2688"/>
      <c r="HO103" s="2688"/>
      <c r="HP103" s="2688"/>
      <c r="HQ103" s="2688"/>
      <c r="HR103" s="2688"/>
      <c r="HS103" s="2688"/>
      <c r="HT103" s="2688"/>
      <c r="HU103" s="2688"/>
      <c r="HV103" s="2688"/>
      <c r="HW103" s="2688"/>
      <c r="HX103" s="2688"/>
      <c r="HY103" s="2688"/>
      <c r="HZ103" s="2688"/>
      <c r="IA103" s="2688"/>
      <c r="IB103" s="2688"/>
      <c r="IC103" s="2688"/>
      <c r="ID103" s="2688"/>
      <c r="IE103" s="2688"/>
      <c r="IF103" s="2688"/>
      <c r="IG103" s="2688"/>
      <c r="IH103" s="2688"/>
      <c r="II103" s="2688"/>
      <c r="IJ103" s="2688"/>
      <c r="IK103" s="2688"/>
      <c r="IL103" s="2688"/>
      <c r="IM103" s="2688"/>
      <c r="IN103" s="2688"/>
      <c r="IO103" s="2688"/>
      <c r="IP103" s="3576"/>
      <c r="IQ103" s="3576"/>
      <c r="IR103" s="3576"/>
      <c r="IS103" s="3576"/>
      <c r="IT103" s="3576"/>
      <c r="IU103" s="3576"/>
      <c r="IV103" s="3576"/>
      <c r="IW103" s="3576"/>
      <c r="IX103" s="3576"/>
      <c r="IY103" s="3576"/>
      <c r="IZ103" s="3576"/>
      <c r="JA103" s="3576"/>
      <c r="JB103" s="3576"/>
      <c r="JC103" s="3576"/>
      <c r="JD103" s="3576"/>
      <c r="JE103" s="3576"/>
      <c r="JF103" s="3576"/>
      <c r="JG103" s="4104"/>
      <c r="JH103" s="1233"/>
    </row>
    <row r="104" spans="1:268" x14ac:dyDescent="0.2">
      <c r="A104" s="1128">
        <v>104</v>
      </c>
      <c r="B104" s="1534" t="str">
        <f si="3" t="shared"/>
        <v/>
      </c>
      <c r="C104" s="1524" t="s">
        <v>2073</v>
      </c>
      <c r="D104" s="1386" t="s">
        <v>5338</v>
      </c>
      <c r="E104" s="2688"/>
      <c r="F104" s="2688"/>
      <c r="G104" s="2688"/>
      <c r="H104" s="2688"/>
      <c r="I104" s="2688"/>
      <c r="J104" s="2688"/>
      <c r="K104" s="2688"/>
      <c r="L104" s="2688"/>
      <c r="M104" s="2688"/>
      <c r="N104" s="2688"/>
      <c r="O104" s="2688"/>
      <c r="P104" s="2688"/>
      <c r="Q104" s="2688"/>
      <c r="R104" s="2688"/>
      <c r="S104" s="2688"/>
      <c r="T104" s="2688"/>
      <c r="U104" s="2688"/>
      <c r="V104" s="2688"/>
      <c r="W104" s="2688"/>
      <c r="X104" s="2688"/>
      <c r="Y104" s="2688"/>
      <c r="Z104" s="2688"/>
      <c r="AA104" s="2688"/>
      <c r="AB104" s="2688"/>
      <c r="AC104" s="2688"/>
      <c r="AD104" s="2688"/>
      <c r="AE104" s="2688"/>
      <c r="AF104" s="2688"/>
      <c r="AG104" s="2688"/>
      <c r="AH104" s="2688"/>
      <c r="AI104" s="2688"/>
      <c r="AJ104" s="2688"/>
      <c r="AK104" s="2688"/>
      <c r="AL104" s="2688"/>
      <c r="AM104" s="2688"/>
      <c r="AN104" s="2688"/>
      <c r="AO104" s="2688"/>
      <c r="AP104" s="3567">
        <v>822</v>
      </c>
      <c r="AQ104" s="2688"/>
      <c r="AR104" s="2688"/>
      <c r="AS104" s="2688"/>
      <c r="AT104" s="2688"/>
      <c r="AU104" s="2688"/>
      <c r="AV104" s="2688"/>
      <c r="AW104" s="2688"/>
      <c r="AX104" s="2688"/>
      <c r="AY104" s="2688"/>
      <c r="AZ104" s="2688"/>
      <c r="BA104" s="2688"/>
      <c r="BB104" s="2688"/>
      <c r="BC104" s="3567">
        <v>822</v>
      </c>
      <c r="BD104" s="3567">
        <v>822</v>
      </c>
      <c r="BE104" s="2688"/>
      <c r="BF104" s="2688"/>
      <c r="BG104" s="2688"/>
      <c r="BH104" s="2688"/>
      <c r="BI104" s="2688"/>
      <c r="BJ104" s="3567">
        <v>822</v>
      </c>
      <c r="BK104" s="2688"/>
      <c r="BL104" s="2688"/>
      <c r="BM104" s="2688"/>
      <c r="BN104" s="2688"/>
      <c r="BO104" s="2688"/>
      <c r="BP104" s="2688"/>
      <c r="BQ104" s="2688"/>
      <c r="BR104" s="2688"/>
      <c r="BS104" s="2688"/>
      <c r="BT104" s="2688"/>
      <c r="BU104" s="2688"/>
      <c r="BV104" s="2688"/>
      <c r="BW104" s="2688"/>
      <c r="BX104" s="2688"/>
      <c r="BY104" s="2688"/>
      <c r="BZ104" s="2688"/>
      <c r="CA104" s="2688"/>
      <c r="CB104" s="3977">
        <v>822</v>
      </c>
      <c r="CC104" s="2688"/>
      <c r="CD104" s="2688"/>
      <c r="CE104" s="2688"/>
      <c r="CF104" s="2688"/>
      <c r="CG104" s="2688"/>
      <c r="CH104" s="2688"/>
      <c r="CI104" s="2688"/>
      <c r="CJ104" s="2688"/>
      <c r="CK104" s="2688"/>
      <c r="CL104" s="2688"/>
      <c r="CM104" s="2688"/>
      <c r="CN104" s="2688"/>
      <c r="CO104" s="2688"/>
      <c r="CP104" s="2688"/>
      <c r="CQ104" s="2688"/>
      <c r="CR104" s="2688"/>
      <c r="CS104" s="2688"/>
      <c r="CT104" s="2688"/>
      <c r="CU104" s="2688"/>
      <c r="CV104" s="2688"/>
      <c r="CW104" s="2688"/>
      <c r="CX104" s="2688"/>
      <c r="CY104" s="2688"/>
      <c r="CZ104" s="2688"/>
      <c r="DA104" s="2688"/>
      <c r="DB104" s="2688"/>
      <c r="DC104" s="2688"/>
      <c r="DD104" s="2688"/>
      <c r="DE104" s="2688"/>
      <c r="DF104" s="2688"/>
      <c r="DG104" s="2688"/>
      <c r="DH104" s="2688"/>
      <c r="DI104" s="2688"/>
      <c r="DJ104" s="2688"/>
      <c r="DK104" s="2688"/>
      <c r="DL104" s="2688"/>
      <c r="DM104" s="2688"/>
      <c r="DN104" s="2688"/>
      <c r="DO104" s="2688"/>
      <c r="DP104" s="2688"/>
      <c r="DQ104" s="2688"/>
      <c r="DR104" s="2688"/>
      <c r="DS104" s="2688"/>
      <c r="DT104" s="2688"/>
      <c r="DU104" s="2688"/>
      <c r="DV104" s="2688"/>
      <c r="DW104" s="2688"/>
      <c r="DX104" s="2688"/>
      <c r="DY104" s="2688"/>
      <c r="DZ104" s="2688"/>
      <c r="EA104" s="2688"/>
      <c r="EB104" s="2688"/>
      <c r="EC104" s="2688"/>
      <c r="ED104" s="2688"/>
      <c r="EE104" s="2688"/>
      <c r="EF104" s="2688"/>
      <c r="EG104" s="2688"/>
      <c r="EH104" s="2688"/>
      <c r="EI104" s="2688"/>
      <c r="EJ104" s="2688"/>
      <c r="EK104" s="2688"/>
      <c r="EL104" s="2688"/>
      <c r="EM104" s="2688"/>
      <c r="EN104" s="2688"/>
      <c r="EO104" s="2688"/>
      <c r="EP104" s="2688"/>
      <c r="EQ104" s="2688"/>
      <c r="ER104" s="2688"/>
      <c r="ES104" s="2688"/>
      <c r="ET104" s="2688"/>
      <c r="EU104" s="2688"/>
      <c r="EV104" s="2688"/>
      <c r="EW104" s="2688"/>
      <c r="EX104" s="2688"/>
      <c r="EY104" s="2688"/>
      <c r="EZ104" s="2688"/>
      <c r="FA104" s="2688"/>
      <c r="FB104" s="2688"/>
      <c r="FC104" s="2688"/>
      <c r="FD104" s="2688"/>
      <c r="FE104" s="2688"/>
      <c r="FF104" s="2688"/>
      <c r="FG104" s="2688"/>
      <c r="FH104" s="2688"/>
      <c r="FI104" s="2688"/>
      <c r="FJ104" s="2688"/>
      <c r="FK104" s="2688"/>
      <c r="FL104" s="2688"/>
      <c r="FM104" s="2688"/>
      <c r="FN104" s="2688"/>
      <c r="FO104" s="2688"/>
      <c r="FP104" s="2688"/>
      <c r="FQ104" s="2688"/>
      <c r="FR104" s="2688"/>
      <c r="FS104" s="2688"/>
      <c r="FT104" s="2688"/>
      <c r="FU104" s="2688"/>
      <c r="FV104" s="2688"/>
      <c r="FW104" s="2688"/>
      <c r="FX104" s="2688"/>
      <c r="FY104" s="2688"/>
      <c r="FZ104" s="2688"/>
      <c r="GA104" s="2688"/>
      <c r="GB104" s="2688"/>
      <c r="GC104" s="2688"/>
      <c r="GD104" s="2688"/>
      <c r="GE104" s="2688"/>
      <c r="GF104" s="3567">
        <v>822</v>
      </c>
      <c r="GG104" s="2688"/>
      <c r="GH104" s="2688"/>
      <c r="GI104" s="2688"/>
      <c r="GJ104" s="2688"/>
      <c r="GK104" s="2688"/>
      <c r="GL104" s="2688"/>
      <c r="GM104" s="2688"/>
      <c r="GN104" s="2688"/>
      <c r="GO104" s="2688"/>
      <c r="GP104" s="2688"/>
      <c r="GQ104" s="2688"/>
      <c r="GR104" s="2688"/>
      <c r="GS104" s="2688"/>
      <c r="GT104" s="2688"/>
      <c r="GU104" s="2688"/>
      <c r="GV104" s="2688"/>
      <c r="GW104" s="2688"/>
      <c r="GX104" s="2688"/>
      <c r="GY104" s="2688"/>
      <c r="GZ104" s="2688"/>
      <c r="HA104" s="2688"/>
      <c r="HB104" s="2688"/>
      <c r="HC104" s="2688"/>
      <c r="HD104" s="2688"/>
      <c r="HE104" s="2688"/>
      <c r="HF104" s="2688"/>
      <c r="HG104" s="2688"/>
      <c r="HH104" s="3360">
        <f>HH98</f>
        <v>2110</v>
      </c>
      <c r="HI104" s="2688"/>
      <c r="HJ104" s="2688"/>
      <c r="HK104" s="2688"/>
      <c r="HL104" s="2688"/>
      <c r="HM104" s="2688"/>
      <c r="HN104" s="2688"/>
      <c r="HO104" s="2688"/>
      <c r="HP104" s="2688"/>
      <c r="HQ104" s="2688"/>
      <c r="HR104" s="2688"/>
      <c r="HS104" s="2688"/>
      <c r="HT104" s="2688"/>
      <c r="HU104" s="2688"/>
      <c r="HV104" s="2688"/>
      <c r="HW104" s="2688"/>
      <c r="HX104" s="2688"/>
      <c r="HY104" s="2688"/>
      <c r="HZ104" s="2688"/>
      <c r="IA104" s="2688"/>
      <c r="IB104" s="2688"/>
      <c r="IC104" s="2688"/>
      <c r="ID104" s="2688"/>
      <c r="IE104" s="2688"/>
      <c r="IF104" s="2688"/>
      <c r="IG104" s="2688"/>
      <c r="IH104" s="2688"/>
      <c r="II104" s="2688"/>
      <c r="IJ104" s="2688"/>
      <c r="IK104" s="2688"/>
      <c r="IL104" s="2688"/>
      <c r="IM104" s="2688"/>
      <c r="IN104" s="2688"/>
      <c r="IO104" s="2688"/>
      <c r="IP104" s="2365"/>
      <c r="IQ104" s="2365"/>
      <c r="IR104" s="2365"/>
      <c r="IS104" s="2365"/>
      <c r="IT104" s="2365"/>
      <c r="IU104" s="2365"/>
      <c r="IV104" s="2365"/>
      <c r="IW104" s="2365"/>
      <c r="IX104" s="2365"/>
      <c r="IY104" s="2365"/>
      <c r="IZ104" s="2365"/>
      <c r="JA104" s="2365"/>
      <c r="JB104" s="2365"/>
      <c r="JC104" s="2365"/>
      <c r="JD104" s="2365"/>
      <c r="JE104" s="2365"/>
      <c r="JF104" s="2365"/>
      <c r="JG104" s="3747"/>
      <c r="JH104" s="1233"/>
    </row>
    <row r="105" spans="1:268" x14ac:dyDescent="0.2">
      <c r="A105" s="1128">
        <v>105</v>
      </c>
      <c r="B105" s="1534" t="str">
        <f si="3" t="shared"/>
        <v/>
      </c>
      <c r="C105" s="1524" t="s">
        <v>1459</v>
      </c>
      <c r="D105" s="1386" t="s">
        <v>4132</v>
      </c>
      <c r="E105" s="2688"/>
      <c r="F105" s="2688"/>
      <c r="G105" s="2688"/>
      <c r="H105" s="2688"/>
      <c r="I105" s="2688"/>
      <c r="J105" s="2688"/>
      <c r="K105" s="2688"/>
      <c r="L105" s="2688"/>
      <c r="M105" s="2688"/>
      <c r="N105" s="2688"/>
      <c r="O105" s="2688"/>
      <c r="P105" s="2688"/>
      <c r="Q105" s="2688"/>
      <c r="R105" s="2688"/>
      <c r="S105" s="2688"/>
      <c r="T105" s="2688"/>
      <c r="U105" s="2688"/>
      <c r="V105" s="2688"/>
      <c r="W105" s="2688"/>
      <c r="X105" s="2688"/>
      <c r="Y105" s="2688"/>
      <c r="Z105" s="2688"/>
      <c r="AA105" s="2688"/>
      <c r="AB105" s="2688"/>
      <c r="AC105" s="2688"/>
      <c r="AD105" s="2688"/>
      <c r="AE105" s="2688"/>
      <c r="AF105" s="2688"/>
      <c r="AG105" s="2688"/>
      <c r="AH105" s="2688"/>
      <c r="AI105" s="2688"/>
      <c r="AJ105" s="2688"/>
      <c r="AK105" s="2688"/>
      <c r="AL105" s="2688"/>
      <c r="AM105" s="2688"/>
      <c r="AN105" s="2688"/>
      <c r="AO105" s="2688"/>
      <c r="AP105" s="2688"/>
      <c r="AQ105" s="2688"/>
      <c r="AR105" s="2688"/>
      <c r="AS105" s="2688"/>
      <c r="AT105" s="2688"/>
      <c r="AU105" s="2688"/>
      <c r="AV105" s="2688"/>
      <c r="AW105" s="2688"/>
      <c r="AX105" s="2688"/>
      <c r="AY105" s="2688"/>
      <c r="AZ105" s="2688"/>
      <c r="BA105" s="2688"/>
      <c r="BB105" s="2688"/>
      <c r="BC105" s="2688"/>
      <c r="BD105" s="2688"/>
      <c r="BE105" s="2688"/>
      <c r="BF105" s="2688"/>
      <c r="BG105" s="2688"/>
      <c r="BH105" s="2688"/>
      <c r="BI105" s="2688"/>
      <c r="BJ105" s="2688"/>
      <c r="BK105" s="2688"/>
      <c r="BL105" s="2688"/>
      <c r="BM105" s="2688"/>
      <c r="BN105" s="2688"/>
      <c r="BO105" s="2688"/>
      <c r="BP105" s="2688"/>
      <c r="BQ105" s="2688"/>
      <c r="BR105" s="2688"/>
      <c r="BS105" s="2688"/>
      <c r="BT105" s="2688"/>
      <c r="BU105" s="2688"/>
      <c r="BV105" s="2688"/>
      <c r="BW105" s="2688"/>
      <c r="BX105" s="2688"/>
      <c r="BY105" s="2688"/>
      <c r="BZ105" s="2688"/>
      <c r="CA105" s="2688"/>
      <c r="CB105" s="2688"/>
      <c r="CC105" s="2688"/>
      <c r="CD105" s="2688"/>
      <c r="CE105" s="2688"/>
      <c r="CF105" s="2688"/>
      <c r="CG105" s="2688"/>
      <c r="CH105" s="2688"/>
      <c r="CI105" s="2688"/>
      <c r="CJ105" s="2688"/>
      <c r="CK105" s="2688"/>
      <c r="CL105" s="2688"/>
      <c r="CM105" s="2688"/>
      <c r="CN105" s="2688"/>
      <c r="CO105" s="2688"/>
      <c r="CP105" s="2688"/>
      <c r="CQ105" s="2688"/>
      <c r="CR105" s="2688"/>
      <c r="CS105" s="2688"/>
      <c r="CT105" s="2688"/>
      <c r="CU105" s="2688"/>
      <c r="CV105" s="2688"/>
      <c r="CW105" s="2688"/>
      <c r="CX105" s="2688"/>
      <c r="CY105" s="2688"/>
      <c r="CZ105" s="2688"/>
      <c r="DA105" s="2688"/>
      <c r="DB105" s="2688"/>
      <c r="DC105" s="2688"/>
      <c r="DD105" s="2688"/>
      <c r="DE105" s="2688"/>
      <c r="DF105" s="2688"/>
      <c r="DG105" s="2688"/>
      <c r="DH105" s="2688"/>
      <c r="DI105" s="2688"/>
      <c r="DJ105" s="2688"/>
      <c r="DK105" s="2688"/>
      <c r="DL105" s="2688"/>
      <c r="DM105" s="2688"/>
      <c r="DN105" s="2688"/>
      <c r="DO105" s="2688"/>
      <c r="DP105" s="2688"/>
      <c r="DQ105" s="2688"/>
      <c r="DR105" s="2688"/>
      <c r="DS105" s="2688"/>
      <c r="DT105" s="2688"/>
      <c r="DU105" s="2688"/>
      <c r="DV105" s="2688"/>
      <c r="DW105" s="2688"/>
      <c r="DX105" s="2688"/>
      <c r="DY105" s="2688"/>
      <c r="DZ105" s="2688"/>
      <c r="EA105" s="2688"/>
      <c r="EB105" s="2688"/>
      <c r="EC105" s="2688"/>
      <c r="ED105" s="2688"/>
      <c r="EE105" s="2688"/>
      <c r="EF105" s="2688"/>
      <c r="EG105" s="2688"/>
      <c r="EH105" s="2688"/>
      <c r="EI105" s="2688"/>
      <c r="EJ105" s="2688"/>
      <c r="EK105" s="2688"/>
      <c r="EL105" s="2688"/>
      <c r="EM105" s="2688"/>
      <c r="EN105" s="2688"/>
      <c r="EO105" s="2688"/>
      <c r="EP105" s="2688"/>
      <c r="EQ105" s="2688"/>
      <c r="ER105" s="2688"/>
      <c r="ES105" s="2688"/>
      <c r="ET105" s="2688"/>
      <c r="EU105" s="2688"/>
      <c r="EV105" s="2688"/>
      <c r="EW105" s="2688"/>
      <c r="EX105" s="2688"/>
      <c r="EY105" s="2688"/>
      <c r="EZ105" s="2688"/>
      <c r="FA105" s="2688"/>
      <c r="FB105" s="2688"/>
      <c r="FC105" s="2688"/>
      <c r="FD105" s="2688"/>
      <c r="FE105" s="2688"/>
      <c r="FF105" s="2688"/>
      <c r="FG105" s="2688"/>
      <c r="FH105" s="2688"/>
      <c r="FI105" s="2688"/>
      <c r="FJ105" s="2688"/>
      <c r="FK105" s="2688"/>
      <c r="FL105" s="2688"/>
      <c r="FM105" s="2688"/>
      <c r="FN105" s="2688"/>
      <c r="FO105" s="2688"/>
      <c r="FP105" s="2688"/>
      <c r="FQ105" s="2688"/>
      <c r="FR105" s="2688"/>
      <c r="FS105" s="2688"/>
      <c r="FT105" s="2688"/>
      <c r="FU105" s="2688"/>
      <c r="FV105" s="2688"/>
      <c r="FW105" s="2688"/>
      <c r="FX105" s="2688"/>
      <c r="FY105" s="2688"/>
      <c r="FZ105" s="2688"/>
      <c r="GA105" s="2688"/>
      <c r="GB105" s="2688"/>
      <c r="GC105" s="2688"/>
      <c r="GD105" s="2688"/>
      <c r="GE105" s="2688"/>
      <c r="GF105" s="2688"/>
      <c r="GG105" s="2688"/>
      <c r="GH105" s="2688"/>
      <c r="GI105" s="2688"/>
      <c r="GJ105" s="2688"/>
      <c r="GK105" s="2688"/>
      <c r="GL105" s="2688"/>
      <c r="GM105" s="2688"/>
      <c r="GN105" s="2688"/>
      <c r="GO105" s="2688"/>
      <c r="GP105" s="2688"/>
      <c r="GQ105" s="2688"/>
      <c r="GR105" s="2688"/>
      <c r="GS105" s="2688"/>
      <c r="GT105" s="2688"/>
      <c r="GU105" s="2688"/>
      <c r="GV105" s="2688"/>
      <c r="GW105" s="2688"/>
      <c r="GX105" s="2688"/>
      <c r="GY105" s="2688"/>
      <c r="GZ105" s="2688"/>
      <c r="HA105" s="2688"/>
      <c r="HB105" s="2688"/>
      <c r="HC105" s="2688"/>
      <c r="HD105" s="2688"/>
      <c r="HE105" s="2688"/>
      <c r="HF105" s="2688"/>
      <c r="HG105" s="2688"/>
      <c r="HH105" s="2688"/>
      <c r="HI105" s="2688"/>
      <c r="HJ105" s="2688">
        <v>2278</v>
      </c>
      <c r="HK105" s="2688">
        <v>2278</v>
      </c>
      <c r="HL105" s="2688">
        <v>2278</v>
      </c>
      <c r="HM105" s="2688">
        <v>2278</v>
      </c>
      <c r="HN105" s="2688"/>
      <c r="HO105" s="2688"/>
      <c r="HP105" s="2688"/>
      <c r="HQ105" s="2688"/>
      <c r="HR105" s="2688"/>
      <c r="HS105" s="2688"/>
      <c r="HT105" s="2688"/>
      <c r="HU105" s="2688"/>
      <c r="HV105" s="2688"/>
      <c r="HW105" s="2688"/>
      <c r="HX105" s="2688"/>
      <c r="HY105" s="2688"/>
      <c r="HZ105" s="2688"/>
      <c r="IA105" s="2688"/>
      <c r="IB105" s="2688"/>
      <c r="IC105" s="2688"/>
      <c r="ID105" s="2688"/>
      <c r="IE105" s="2688"/>
      <c r="IF105" s="2688"/>
      <c r="IG105" s="2688"/>
      <c r="IH105" s="2688"/>
      <c r="II105" s="2688"/>
      <c r="IJ105" s="2688"/>
      <c r="IK105" s="2688"/>
      <c r="IL105" s="2688"/>
      <c r="IM105" s="2688"/>
      <c r="IN105" s="2688"/>
      <c r="IO105" s="2688"/>
      <c r="IP105" s="2368"/>
      <c r="IQ105" s="2368"/>
      <c r="IR105" s="2368"/>
      <c r="IS105" s="2368"/>
      <c r="IT105" s="2368"/>
      <c r="IU105" s="2368"/>
      <c r="IV105" s="2368"/>
      <c r="IW105" s="2368"/>
      <c r="IX105" s="2368"/>
      <c r="IY105" s="2368"/>
      <c r="IZ105" s="2368"/>
      <c r="JA105" s="2368"/>
      <c r="JB105" s="2368"/>
      <c r="JC105" s="2368"/>
      <c r="JD105" s="2368"/>
      <c r="JE105" s="2368"/>
      <c r="JF105" s="2368"/>
      <c r="JG105" s="4105"/>
      <c r="JH105" s="1233"/>
    </row>
    <row r="106" spans="1:268" x14ac:dyDescent="0.2">
      <c r="A106" s="1128">
        <v>106</v>
      </c>
      <c r="B106" s="1534" t="str">
        <f si="3" t="shared"/>
        <v/>
      </c>
      <c r="C106" s="1524" t="s">
        <v>1460</v>
      </c>
      <c r="D106" s="1386" t="s">
        <v>4588</v>
      </c>
      <c r="E106" s="2688"/>
      <c r="F106" s="2688"/>
      <c r="G106" s="2688"/>
      <c r="H106" s="2688"/>
      <c r="I106" s="2688"/>
      <c r="J106" s="2688"/>
      <c r="K106" s="2688"/>
      <c r="L106" s="2688"/>
      <c r="M106" s="2688"/>
      <c r="N106" s="2688"/>
      <c r="O106" s="2688"/>
      <c r="P106" s="2688"/>
      <c r="Q106" s="2688"/>
      <c r="R106" s="2688"/>
      <c r="S106" s="2688"/>
      <c r="T106" s="2688"/>
      <c r="U106" s="2688"/>
      <c r="V106" s="2688"/>
      <c r="W106" s="2688"/>
      <c r="X106" s="2688"/>
      <c r="Y106" s="2688"/>
      <c r="Z106" s="2688"/>
      <c r="AA106" s="2688"/>
      <c r="AB106" s="2688"/>
      <c r="AC106" s="2688"/>
      <c r="AD106" s="2688"/>
      <c r="AE106" s="2688"/>
      <c r="AF106" s="2688"/>
      <c r="AG106" s="2688"/>
      <c r="AH106" s="2688"/>
      <c r="AI106" s="2688"/>
      <c r="AJ106" s="2688"/>
      <c r="AK106" s="2688"/>
      <c r="AL106" s="2688"/>
      <c r="AM106" s="2688"/>
      <c r="AN106" s="2688"/>
      <c r="AO106" s="2688"/>
      <c r="AP106" s="2688"/>
      <c r="AQ106" s="2688"/>
      <c r="AR106" s="2688"/>
      <c r="AS106" s="2688"/>
      <c r="AT106" s="2688"/>
      <c r="AU106" s="2688"/>
      <c r="AV106" s="2688"/>
      <c r="AW106" s="2688"/>
      <c r="AX106" s="2688"/>
      <c r="AY106" s="2688"/>
      <c r="AZ106" s="2688"/>
      <c r="BA106" s="2688"/>
      <c r="BB106" s="2688"/>
      <c r="BC106" s="2688"/>
      <c r="BD106" s="2688"/>
      <c r="BE106" s="2688"/>
      <c r="BF106" s="2688"/>
      <c r="BG106" s="2688"/>
      <c r="BH106" s="2688"/>
      <c r="BI106" s="2688"/>
      <c r="BJ106" s="2688"/>
      <c r="BK106" s="2688"/>
      <c r="BL106" s="2688"/>
      <c r="BM106" s="2688"/>
      <c r="BN106" s="2688"/>
      <c r="BO106" s="2688"/>
      <c r="BP106" s="2688"/>
      <c r="BQ106" s="2688"/>
      <c r="BR106" s="2688"/>
      <c r="BS106" s="2688"/>
      <c r="BT106" s="2688"/>
      <c r="BU106" s="2688"/>
      <c r="BV106" s="2688"/>
      <c r="BW106" s="2688"/>
      <c r="BX106" s="2688"/>
      <c r="BY106" s="2688"/>
      <c r="BZ106" s="2688"/>
      <c r="CA106" s="2688"/>
      <c r="CB106" s="2688"/>
      <c r="CC106" s="2688"/>
      <c r="CD106" s="2688"/>
      <c r="CE106" s="2688"/>
      <c r="CF106" s="2688"/>
      <c r="CG106" s="2688"/>
      <c r="CH106" s="2688"/>
      <c r="CI106" s="2688"/>
      <c r="CJ106" s="2688"/>
      <c r="CK106" s="2688"/>
      <c r="CL106" s="2688"/>
      <c r="CM106" s="2688"/>
      <c r="CN106" s="2688"/>
      <c r="CO106" s="2688"/>
      <c r="CP106" s="2688"/>
      <c r="CQ106" s="2688"/>
      <c r="CR106" s="2688"/>
      <c r="CS106" s="2688"/>
      <c r="CT106" s="2688"/>
      <c r="CU106" s="2688"/>
      <c r="CV106" s="2688"/>
      <c r="CW106" s="2688"/>
      <c r="CX106" s="2688"/>
      <c r="CY106" s="2688"/>
      <c r="CZ106" s="2688"/>
      <c r="DA106" s="2688"/>
      <c r="DB106" s="2688"/>
      <c r="DC106" s="2688"/>
      <c r="DD106" s="2688"/>
      <c r="DE106" s="2688"/>
      <c r="DF106" s="2688"/>
      <c r="DG106" s="2688"/>
      <c r="DH106" s="2688"/>
      <c r="DI106" s="2688"/>
      <c r="DJ106" s="2688"/>
      <c r="DK106" s="2688"/>
      <c r="DL106" s="2688"/>
      <c r="DM106" s="2688"/>
      <c r="DN106" s="2688"/>
      <c r="DO106" s="2688"/>
      <c r="DP106" s="2688"/>
      <c r="DQ106" s="2688"/>
      <c r="DR106" s="2688"/>
      <c r="DS106" s="2688"/>
      <c r="DT106" s="2688"/>
      <c r="DU106" s="2688"/>
      <c r="DV106" s="2688"/>
      <c r="DW106" s="2688"/>
      <c r="DX106" s="2688"/>
      <c r="DY106" s="2688"/>
      <c r="DZ106" s="2688"/>
      <c r="EA106" s="2688"/>
      <c r="EB106" s="2688"/>
      <c r="EC106" s="2688"/>
      <c r="ED106" s="2688"/>
      <c r="EE106" s="2688"/>
      <c r="EF106" s="2688"/>
      <c r="EG106" s="2688"/>
      <c r="EH106" s="2688"/>
      <c r="EI106" s="2688"/>
      <c r="EJ106" s="2688"/>
      <c r="EK106" s="2688"/>
      <c r="EL106" s="2688"/>
      <c r="EM106" s="2688"/>
      <c r="EN106" s="2688"/>
      <c r="EO106" s="2688"/>
      <c r="EP106" s="2688"/>
      <c r="EQ106" s="2688"/>
      <c r="ER106" s="2688"/>
      <c r="ES106" s="2688"/>
      <c r="ET106" s="2688"/>
      <c r="EU106" s="2688"/>
      <c r="EV106" s="2688"/>
      <c r="EW106" s="2688"/>
      <c r="EX106" s="2688"/>
      <c r="EY106" s="2688"/>
      <c r="EZ106" s="2688"/>
      <c r="FA106" s="2688"/>
      <c r="FB106" s="2688"/>
      <c r="FC106" s="2688"/>
      <c r="FD106" s="2688"/>
      <c r="FE106" s="2688"/>
      <c r="FF106" s="2688"/>
      <c r="FG106" s="2688"/>
      <c r="FH106" s="2688"/>
      <c r="FI106" s="2688"/>
      <c r="FJ106" s="2688"/>
      <c r="FK106" s="2688"/>
      <c r="FL106" s="2688"/>
      <c r="FM106" s="2688"/>
      <c r="FN106" s="2688"/>
      <c r="FO106" s="2688"/>
      <c r="FP106" s="2688"/>
      <c r="FQ106" s="2688"/>
      <c r="FR106" s="2688"/>
      <c r="FS106" s="2688"/>
      <c r="FT106" s="2688"/>
      <c r="FU106" s="2688"/>
      <c r="FV106" s="2688"/>
      <c r="FW106" s="2688"/>
      <c r="FX106" s="2688"/>
      <c r="FY106" s="2688"/>
      <c r="FZ106" s="2688"/>
      <c r="GA106" s="2688"/>
      <c r="GB106" s="2688"/>
      <c r="GC106" s="2688"/>
      <c r="GD106" s="2688"/>
      <c r="GE106" s="2688"/>
      <c r="GF106" s="2688"/>
      <c r="GG106" s="2688"/>
      <c r="GH106" s="2688"/>
      <c r="GI106" s="2688"/>
      <c r="GJ106" s="2688"/>
      <c r="GK106" s="2688"/>
      <c r="GL106" s="2688"/>
      <c r="GM106" s="2688"/>
      <c r="GN106" s="2688"/>
      <c r="GO106" s="2688"/>
      <c r="GP106" s="2688"/>
      <c r="GQ106" s="2688"/>
      <c r="GR106" s="2688"/>
      <c r="GS106" s="2688"/>
      <c r="GT106" s="2688"/>
      <c r="GU106" s="2688"/>
      <c r="GV106" s="2688"/>
      <c r="GW106" s="2688"/>
      <c r="GX106" s="2688"/>
      <c r="GY106" s="2688"/>
      <c r="GZ106" s="2688"/>
      <c r="HA106" s="2688"/>
      <c r="HB106" s="2688"/>
      <c r="HC106" s="2688"/>
      <c r="HD106" s="2688"/>
      <c r="HE106" s="2688"/>
      <c r="HF106" s="2688"/>
      <c r="HG106" s="2688"/>
      <c r="HH106" s="2688"/>
      <c r="HI106" s="2688"/>
      <c r="HJ106" s="2688"/>
      <c r="HK106" s="2688"/>
      <c r="HL106" s="2688"/>
      <c r="HM106" s="2688"/>
      <c r="HN106" s="2688"/>
      <c r="HO106" s="2688"/>
      <c r="HP106" s="2688"/>
      <c r="HQ106" s="2688"/>
      <c r="HR106" s="2688"/>
      <c r="HS106" s="2688"/>
      <c r="HT106" s="2688"/>
      <c r="HU106" s="2688"/>
      <c r="HV106" s="2688"/>
      <c r="HW106" s="2688"/>
      <c r="HX106" s="2688"/>
      <c r="HY106" s="2688"/>
      <c r="HZ106" s="2688"/>
      <c r="IA106" s="2688"/>
      <c r="IB106" s="2688"/>
      <c r="IC106" s="2688"/>
      <c r="ID106" s="2688"/>
      <c r="IE106" s="2688"/>
      <c r="IF106" s="2688"/>
      <c r="IG106" s="2688"/>
      <c r="IH106" s="2688"/>
      <c r="II106" s="2688"/>
      <c r="IJ106" s="2688"/>
      <c r="IK106" s="2688"/>
      <c r="IL106" s="2688"/>
      <c r="IM106" s="2688"/>
      <c r="IN106" s="2688"/>
      <c r="IO106" s="2688"/>
      <c r="IP106" s="3568"/>
      <c r="IQ106" s="3568"/>
      <c r="IR106" s="3568"/>
      <c r="IS106" s="3568"/>
      <c r="IT106" s="3568"/>
      <c r="IU106" s="3568"/>
      <c r="IV106" s="3568"/>
      <c r="IW106" s="3568"/>
      <c r="IX106" s="3568"/>
      <c r="IY106" s="3568"/>
      <c r="IZ106" s="3568"/>
      <c r="JA106" s="3568"/>
      <c r="JB106" s="3568"/>
      <c r="JC106" s="3568"/>
      <c r="JD106" s="3568"/>
      <c r="JE106" s="3568"/>
      <c r="JF106" s="3568"/>
      <c r="JG106" s="4096"/>
      <c r="JH106" s="1233"/>
    </row>
    <row r="107" spans="1:268" x14ac:dyDescent="0.2">
      <c r="A107" s="1128">
        <v>107</v>
      </c>
      <c r="B107" s="1534" t="str">
        <f si="3" t="shared"/>
        <v/>
      </c>
      <c r="C107" s="1544" t="s">
        <v>4060</v>
      </c>
      <c r="D107" s="1386" t="s">
        <v>5321</v>
      </c>
      <c r="E107" s="3359"/>
      <c r="F107" s="3359"/>
      <c r="G107" s="3359"/>
      <c r="H107" s="3359"/>
      <c r="I107" s="3359"/>
      <c r="J107" s="3359"/>
      <c r="K107" s="3359"/>
      <c r="L107" s="3359"/>
      <c r="M107" s="3359"/>
      <c r="N107" s="3359"/>
      <c r="O107" s="3359"/>
      <c r="P107" s="3359"/>
      <c r="Q107" s="3359"/>
      <c r="R107" s="3359"/>
      <c r="S107" s="3359"/>
      <c r="T107" s="3359"/>
      <c r="U107" s="3359"/>
      <c r="V107" s="3359"/>
      <c r="W107" s="3359"/>
      <c r="X107" s="3359"/>
      <c r="Y107" s="3359"/>
      <c r="Z107" s="3359"/>
      <c r="AA107" s="3359"/>
      <c r="AB107" s="3359"/>
      <c r="AC107" s="3359"/>
      <c r="AD107" s="3359"/>
      <c r="AE107" s="3359"/>
      <c r="AF107" s="3359"/>
      <c r="AG107" s="3359"/>
      <c r="AH107" s="3359"/>
      <c r="AI107" s="3359"/>
      <c r="AJ107" s="3359"/>
      <c r="AK107" s="3359"/>
      <c r="AL107" s="3359"/>
      <c r="AM107" s="3359"/>
      <c r="AN107" s="3359"/>
      <c r="AO107" s="3359"/>
      <c r="AP107" s="3359"/>
      <c r="AQ107" s="3359"/>
      <c r="AR107" s="3359"/>
      <c r="AS107" s="3359"/>
      <c r="AT107" s="3359"/>
      <c r="AU107" s="3359"/>
      <c r="AV107" s="3359"/>
      <c r="AW107" s="3359"/>
      <c r="AX107" s="3359"/>
      <c r="AY107" s="3359"/>
      <c r="AZ107" s="3359"/>
      <c r="BA107" s="3359"/>
      <c r="BB107" s="3359"/>
      <c r="BC107" s="3359"/>
      <c r="BD107" s="3359"/>
      <c r="BE107" s="3359"/>
      <c r="BF107" s="3359"/>
      <c r="BG107" s="3359"/>
      <c r="BH107" s="3359"/>
      <c r="BI107" s="3359"/>
      <c r="BJ107" s="3359"/>
      <c r="BK107" s="3359"/>
      <c r="BL107" s="3359"/>
      <c r="BM107" s="3359"/>
      <c r="BN107" s="3359"/>
      <c r="BO107" s="3359"/>
      <c r="BP107" s="3359"/>
      <c r="BQ107" s="3359"/>
      <c r="BR107" s="3359"/>
      <c r="BS107" s="3359"/>
      <c r="BT107" s="3359"/>
      <c r="BU107" s="3359"/>
      <c r="BV107" s="3359"/>
      <c r="BW107" s="3359"/>
      <c r="BX107" s="3359"/>
      <c r="BY107" s="3359"/>
      <c r="BZ107" s="3359"/>
      <c r="CA107" s="3359"/>
      <c r="CB107" s="3359"/>
      <c r="CC107" s="3359"/>
      <c r="CD107" s="3359"/>
      <c r="CE107" s="3359"/>
      <c r="CF107" s="3359"/>
      <c r="CG107" s="3359"/>
      <c r="CH107" s="3359"/>
      <c r="CI107" s="3359"/>
      <c r="CJ107" s="3359"/>
      <c r="CK107" s="3359"/>
      <c r="CL107" s="3359"/>
      <c r="CM107" s="3359"/>
      <c r="CN107" s="3359"/>
      <c r="CO107" s="3359"/>
      <c r="CP107" s="3359"/>
      <c r="CQ107" s="3359"/>
      <c r="CR107" s="3359"/>
      <c r="CS107" s="3359"/>
      <c r="CT107" s="3359"/>
      <c r="CU107" s="3359"/>
      <c r="CV107" s="3359"/>
      <c r="CW107" s="3359"/>
      <c r="CX107" s="3359"/>
      <c r="CY107" s="3359"/>
      <c r="CZ107" s="3359"/>
      <c r="DA107" s="3359"/>
      <c r="DB107" s="3359"/>
      <c r="DC107" s="3359"/>
      <c r="DD107" s="3359"/>
      <c r="DE107" s="3359"/>
      <c r="DF107" s="3359"/>
      <c r="DG107" s="3359"/>
      <c r="DH107" s="3359"/>
      <c r="DI107" s="3359"/>
      <c r="DJ107" s="3359"/>
      <c r="DK107" s="3359"/>
      <c r="DL107" s="3359"/>
      <c r="DM107" s="3359"/>
      <c r="DN107" s="3359"/>
      <c r="DO107" s="3359"/>
      <c r="DP107" s="3359"/>
      <c r="DQ107" s="3359"/>
      <c r="DR107" s="3359"/>
      <c r="DS107" s="3359"/>
      <c r="DT107" s="3359"/>
      <c r="DU107" s="3359"/>
      <c r="DV107" s="3359"/>
      <c r="DW107" s="3359"/>
      <c r="DX107" s="3359"/>
      <c r="DY107" s="3359"/>
      <c r="DZ107" s="3359"/>
      <c r="EA107" s="3359"/>
      <c r="EB107" s="3359"/>
      <c r="EC107" s="3359"/>
      <c r="ED107" s="3359"/>
      <c r="EE107" s="3359"/>
      <c r="EF107" s="3359"/>
      <c r="EG107" s="3359"/>
      <c r="EH107" s="3359"/>
      <c r="EI107" s="3359"/>
      <c r="EJ107" s="3359"/>
      <c r="EK107" s="3359"/>
      <c r="EL107" s="3359"/>
      <c r="EM107" s="3359"/>
      <c r="EN107" s="3359"/>
      <c r="EO107" s="3359"/>
      <c r="EP107" s="3359"/>
      <c r="EQ107" s="3359"/>
      <c r="ER107" s="3359"/>
      <c r="ES107" s="3359"/>
      <c r="ET107" s="3359"/>
      <c r="EU107" s="3359"/>
      <c r="EV107" s="3359"/>
      <c r="EW107" s="3359"/>
      <c r="EX107" s="3359"/>
      <c r="EY107" s="3359"/>
      <c r="EZ107" s="3359"/>
      <c r="FA107" s="3359"/>
      <c r="FB107" s="3359"/>
      <c r="FC107" s="3359"/>
      <c r="FD107" s="3359"/>
      <c r="FE107" s="3359"/>
      <c r="FF107" s="3359"/>
      <c r="FG107" s="3359"/>
      <c r="FH107" s="3359"/>
      <c r="FI107" s="3359"/>
      <c r="FJ107" s="3359"/>
      <c r="FK107" s="3359"/>
      <c r="FL107" s="3359"/>
      <c r="FM107" s="3359"/>
      <c r="FN107" s="3359"/>
      <c r="FO107" s="3359"/>
      <c r="FP107" s="3359"/>
      <c r="FQ107" s="3359"/>
      <c r="FR107" s="3359"/>
      <c r="FS107" s="3359"/>
      <c r="FT107" s="3359"/>
      <c r="FU107" s="3359"/>
      <c r="FV107" s="3359"/>
      <c r="FW107" s="3359"/>
      <c r="FX107" s="3359"/>
      <c r="FY107" s="3359"/>
      <c r="FZ107" s="3359"/>
      <c r="GA107" s="3359"/>
      <c r="GB107" s="3359"/>
      <c r="GC107" s="3359"/>
      <c r="GD107" s="3359"/>
      <c r="GE107" s="3359"/>
      <c r="GF107" s="3359"/>
      <c r="GG107" s="3359"/>
      <c r="GH107" s="3359"/>
      <c r="GI107" s="3359"/>
      <c r="GJ107" s="3359"/>
      <c r="GK107" s="3359"/>
      <c r="GL107" s="3359"/>
      <c r="GM107" s="3359"/>
      <c r="GN107" s="3359"/>
      <c r="GO107" s="3359"/>
      <c r="GP107" s="3359"/>
      <c r="GQ107" s="3359"/>
      <c r="GR107" s="3359"/>
      <c r="GS107" s="3359"/>
      <c r="GT107" s="3359"/>
      <c r="GU107" s="3359"/>
      <c r="GV107" s="3359"/>
      <c r="GW107" s="3359"/>
      <c r="GX107" s="3359"/>
      <c r="GY107" s="3359"/>
      <c r="GZ107" s="3359"/>
      <c r="HA107" s="3359"/>
      <c r="HB107" s="3359"/>
      <c r="HC107" s="3359"/>
      <c r="HD107" s="3359"/>
      <c r="HE107" s="3359"/>
      <c r="HF107" s="3359"/>
      <c r="HG107" s="3359"/>
      <c r="HH107" s="3359" t="s">
        <v>1930</v>
      </c>
      <c r="HI107" s="3359"/>
      <c r="HJ107" s="3359"/>
      <c r="HK107" s="3359"/>
      <c r="HL107" s="3359"/>
      <c r="HM107" s="3359"/>
      <c r="HN107" s="3359"/>
      <c r="HO107" s="3359"/>
      <c r="HP107" s="3359"/>
      <c r="HQ107" s="3359"/>
      <c r="HR107" s="3359"/>
      <c r="HS107" s="3359"/>
      <c r="HT107" s="3359"/>
      <c r="HU107" s="3359"/>
      <c r="HV107" s="3359"/>
      <c r="HW107" s="3359"/>
      <c r="HX107" s="3359"/>
      <c r="HY107" s="3359"/>
      <c r="HZ107" s="3359"/>
      <c r="IA107" s="3359"/>
      <c r="IB107" s="3359"/>
      <c r="IC107" s="3359"/>
      <c r="ID107" s="3359"/>
      <c r="IE107" s="3359"/>
      <c r="IF107" s="3359"/>
      <c r="IG107" s="3359"/>
      <c r="IH107" s="3359"/>
      <c r="II107" s="3359"/>
      <c r="IJ107" s="3359"/>
      <c r="IK107" s="3359"/>
      <c r="IL107" s="3359"/>
      <c r="IM107" s="3359"/>
      <c r="IN107" s="3359"/>
      <c r="IO107" s="3359"/>
      <c r="IP107" s="2880"/>
      <c r="IQ107" s="2880"/>
      <c r="IR107" s="2880"/>
      <c r="IS107" s="2880"/>
      <c r="IT107" s="2880"/>
      <c r="IU107" s="2880"/>
      <c r="IV107" s="2880"/>
      <c r="IW107" s="2880"/>
      <c r="IX107" s="2880"/>
      <c r="IY107" s="2880"/>
      <c r="IZ107" s="2880"/>
      <c r="JA107" s="2880"/>
      <c r="JB107" s="2880"/>
      <c r="JC107" s="2880"/>
      <c r="JD107" s="2880"/>
      <c r="JE107" s="2880"/>
      <c r="JF107" s="2880"/>
      <c r="JG107" s="4094"/>
      <c r="JH107" s="1233"/>
    </row>
    <row r="108" spans="1:268" x14ac:dyDescent="0.2">
      <c r="A108" s="1128">
        <v>108</v>
      </c>
      <c r="B108" s="1534" t="str">
        <f si="3" t="shared"/>
        <v/>
      </c>
      <c r="C108" s="1544" t="s">
        <v>4061</v>
      </c>
      <c r="D108" s="1386" t="s">
        <v>3006</v>
      </c>
      <c r="E108" s="2688"/>
      <c r="F108" s="2688"/>
      <c r="G108" s="2688"/>
      <c r="H108" s="2688"/>
      <c r="I108" s="2688"/>
      <c r="J108" s="2688"/>
      <c r="K108" s="2688"/>
      <c r="L108" s="2688"/>
      <c r="M108" s="2688"/>
      <c r="N108" s="2688"/>
      <c r="O108" s="2688"/>
      <c r="P108" s="2688"/>
      <c r="Q108" s="2688"/>
      <c r="R108" s="2688"/>
      <c r="S108" s="2688"/>
      <c r="T108" s="2688"/>
      <c r="U108" s="2688"/>
      <c r="V108" s="2688"/>
      <c r="W108" s="2688"/>
      <c r="X108" s="2688"/>
      <c r="Y108" s="2688"/>
      <c r="Z108" s="2688"/>
      <c r="AA108" s="2688"/>
      <c r="AB108" s="2688"/>
      <c r="AC108" s="2688"/>
      <c r="AD108" s="2688"/>
      <c r="AE108" s="2688"/>
      <c r="AF108" s="2688"/>
      <c r="AG108" s="2688"/>
      <c r="AH108" s="2688"/>
      <c r="AI108" s="2688"/>
      <c r="AJ108" s="2688"/>
      <c r="AK108" s="2688"/>
      <c r="AL108" s="2688"/>
      <c r="AM108" s="2688"/>
      <c r="AN108" s="2688"/>
      <c r="AO108" s="2688"/>
      <c r="AP108" s="2688"/>
      <c r="AQ108" s="2688"/>
      <c r="AR108" s="2688"/>
      <c r="AS108" s="2688"/>
      <c r="AT108" s="2688"/>
      <c r="AU108" s="2688"/>
      <c r="AV108" s="2688"/>
      <c r="AW108" s="2688"/>
      <c r="AX108" s="2688"/>
      <c r="AY108" s="2688"/>
      <c r="AZ108" s="2688"/>
      <c r="BA108" s="2688"/>
      <c r="BB108" s="2688"/>
      <c r="BC108" s="2688"/>
      <c r="BD108" s="2688"/>
      <c r="BE108" s="2688"/>
      <c r="BF108" s="2688"/>
      <c r="BG108" s="2688"/>
      <c r="BH108" s="2688"/>
      <c r="BI108" s="2688"/>
      <c r="BJ108" s="2688"/>
      <c r="BK108" s="2688"/>
      <c r="BL108" s="2688"/>
      <c r="BM108" s="2688"/>
      <c r="BN108" s="2688"/>
      <c r="BO108" s="2688"/>
      <c r="BP108" s="2688"/>
      <c r="BQ108" s="2688"/>
      <c r="BR108" s="2688"/>
      <c r="BS108" s="2688"/>
      <c r="BT108" s="2688"/>
      <c r="BU108" s="2688"/>
      <c r="BV108" s="2688"/>
      <c r="BW108" s="2688"/>
      <c r="BX108" s="2688"/>
      <c r="BY108" s="2688"/>
      <c r="BZ108" s="2688"/>
      <c r="CA108" s="2688"/>
      <c r="CB108" s="2688"/>
      <c r="CC108" s="2688"/>
      <c r="CD108" s="2688"/>
      <c r="CE108" s="2688"/>
      <c r="CF108" s="2688"/>
      <c r="CG108" s="2688"/>
      <c r="CH108" s="2688"/>
      <c r="CI108" s="2688"/>
      <c r="CJ108" s="2688"/>
      <c r="CK108" s="2688"/>
      <c r="CL108" s="2688"/>
      <c r="CM108" s="2688"/>
      <c r="CN108" s="2688"/>
      <c r="CO108" s="2688"/>
      <c r="CP108" s="2688"/>
      <c r="CQ108" s="2688"/>
      <c r="CR108" s="2688"/>
      <c r="CS108" s="2688"/>
      <c r="CT108" s="2688"/>
      <c r="CU108" s="2688"/>
      <c r="CV108" s="2688"/>
      <c r="CW108" s="2688"/>
      <c r="CX108" s="2688"/>
      <c r="CY108" s="2688"/>
      <c r="CZ108" s="2688"/>
      <c r="DA108" s="2688"/>
      <c r="DB108" s="2688"/>
      <c r="DC108" s="2688"/>
      <c r="DD108" s="2688"/>
      <c r="DE108" s="2688"/>
      <c r="DF108" s="2688"/>
      <c r="DG108" s="2688"/>
      <c r="DH108" s="2688"/>
      <c r="DI108" s="2688"/>
      <c r="DJ108" s="2688"/>
      <c r="DK108" s="2688"/>
      <c r="DL108" s="2688"/>
      <c r="DM108" s="2688"/>
      <c r="DN108" s="2688"/>
      <c r="DO108" s="2688"/>
      <c r="DP108" s="2688"/>
      <c r="DQ108" s="2688"/>
      <c r="DR108" s="2688"/>
      <c r="DS108" s="2688"/>
      <c r="DT108" s="2688"/>
      <c r="DU108" s="2688"/>
      <c r="DV108" s="2688"/>
      <c r="DW108" s="2688"/>
      <c r="DX108" s="2688"/>
      <c r="DY108" s="2688"/>
      <c r="DZ108" s="2688"/>
      <c r="EA108" s="2688"/>
      <c r="EB108" s="2688"/>
      <c r="EC108" s="2688"/>
      <c r="ED108" s="2688"/>
      <c r="EE108" s="2688"/>
      <c r="EF108" s="2688"/>
      <c r="EG108" s="2688"/>
      <c r="EH108" s="2688"/>
      <c r="EI108" s="2688"/>
      <c r="EJ108" s="2688"/>
      <c r="EK108" s="2688"/>
      <c r="EL108" s="2688"/>
      <c r="EM108" s="2688"/>
      <c r="EN108" s="2688"/>
      <c r="EO108" s="2688"/>
      <c r="EP108" s="2688"/>
      <c r="EQ108" s="2688"/>
      <c r="ER108" s="2688"/>
      <c r="ES108" s="2688"/>
      <c r="ET108" s="2688"/>
      <c r="EU108" s="2688"/>
      <c r="EV108" s="2688"/>
      <c r="EW108" s="2688"/>
      <c r="EX108" s="2688"/>
      <c r="EY108" s="2688"/>
      <c r="EZ108" s="2688"/>
      <c r="FA108" s="2688"/>
      <c r="FB108" s="2688"/>
      <c r="FC108" s="2688"/>
      <c r="FD108" s="2688"/>
      <c r="FE108" s="2688"/>
      <c r="FF108" s="2688"/>
      <c r="FG108" s="2688"/>
      <c r="FH108" s="2688"/>
      <c r="FI108" s="2688"/>
      <c r="FJ108" s="2688"/>
      <c r="FK108" s="2688"/>
      <c r="FL108" s="2688"/>
      <c r="FM108" s="2688"/>
      <c r="FN108" s="2688"/>
      <c r="FO108" s="2688"/>
      <c r="FP108" s="2688"/>
      <c r="FQ108" s="2688"/>
      <c r="FR108" s="2688"/>
      <c r="FS108" s="2688"/>
      <c r="FT108" s="2688"/>
      <c r="FU108" s="2688"/>
      <c r="FV108" s="2688"/>
      <c r="FW108" s="2688"/>
      <c r="FX108" s="2688"/>
      <c r="FY108" s="2688"/>
      <c r="FZ108" s="2688"/>
      <c r="GA108" s="2688"/>
      <c r="GB108" s="2688"/>
      <c r="GC108" s="2688"/>
      <c r="GD108" s="2688"/>
      <c r="GE108" s="2688"/>
      <c r="GF108" s="2688"/>
      <c r="GG108" s="2688"/>
      <c r="GH108" s="2688"/>
      <c r="GI108" s="2688"/>
      <c r="GJ108" s="2688"/>
      <c r="GK108" s="2688"/>
      <c r="GL108" s="2688"/>
      <c r="GM108" s="2688"/>
      <c r="GN108" s="2688"/>
      <c r="GO108" s="2688"/>
      <c r="GP108" s="2688"/>
      <c r="GQ108" s="2688"/>
      <c r="GR108" s="2688"/>
      <c r="GS108" s="2688"/>
      <c r="GT108" s="2688"/>
      <c r="GU108" s="2688"/>
      <c r="GV108" s="2688"/>
      <c r="GW108" s="2688"/>
      <c r="GX108" s="2688"/>
      <c r="GY108" s="2688"/>
      <c r="GZ108" s="2688"/>
      <c r="HA108" s="2688"/>
      <c r="HB108" s="2688"/>
      <c r="HC108" s="2688"/>
      <c r="HD108" s="2688"/>
      <c r="HE108" s="2688"/>
      <c r="HF108" s="2688"/>
      <c r="HG108" s="2688"/>
      <c r="HH108" s="2688">
        <v>8836</v>
      </c>
      <c r="HI108" s="2688"/>
      <c r="HJ108" s="2688"/>
      <c r="HK108" s="2688"/>
      <c r="HL108" s="2688"/>
      <c r="HM108" s="2688"/>
      <c r="HN108" s="2688"/>
      <c r="HO108" s="2688"/>
      <c r="HP108" s="2688"/>
      <c r="HQ108" s="2688"/>
      <c r="HR108" s="2688"/>
      <c r="HS108" s="2688"/>
      <c r="HT108" s="2688"/>
      <c r="HU108" s="2688"/>
      <c r="HV108" s="2688"/>
      <c r="HW108" s="2688"/>
      <c r="HX108" s="2688"/>
      <c r="HY108" s="2688"/>
      <c r="HZ108" s="2688"/>
      <c r="IA108" s="2688"/>
      <c r="IB108" s="2688"/>
      <c r="IC108" s="2688"/>
      <c r="ID108" s="2688"/>
      <c r="IE108" s="2688"/>
      <c r="IF108" s="2688"/>
      <c r="IG108" s="2688"/>
      <c r="IH108" s="2688"/>
      <c r="II108" s="2688"/>
      <c r="IJ108" s="2688"/>
      <c r="IK108" s="2688"/>
      <c r="IL108" s="2688"/>
      <c r="IM108" s="2688"/>
      <c r="IN108" s="2688"/>
      <c r="IO108" s="2688"/>
      <c r="IP108" s="2880"/>
      <c r="IQ108" s="2880"/>
      <c r="IR108" s="2880"/>
      <c r="IS108" s="2880"/>
      <c r="IT108" s="2880"/>
      <c r="IU108" s="2880"/>
      <c r="IV108" s="2880"/>
      <c r="IW108" s="2880"/>
      <c r="IX108" s="2880"/>
      <c r="IY108" s="2880"/>
      <c r="IZ108" s="2880"/>
      <c r="JA108" s="2880"/>
      <c r="JB108" s="2880"/>
      <c r="JC108" s="2880"/>
      <c r="JD108" s="2880"/>
      <c r="JE108" s="2880"/>
      <c r="JF108" s="2880"/>
      <c r="JG108" s="4094"/>
      <c r="JH108" s="1233"/>
    </row>
    <row r="109" spans="1:268" x14ac:dyDescent="0.2">
      <c r="A109" s="1128">
        <v>109</v>
      </c>
      <c r="B109" s="1534" t="str">
        <f si="3" t="shared"/>
        <v/>
      </c>
      <c r="C109" s="1544" t="s">
        <v>4062</v>
      </c>
      <c r="D109" s="1386" t="s">
        <v>5339</v>
      </c>
      <c r="E109" s="3359"/>
      <c r="F109" s="3359"/>
      <c r="G109" s="3359"/>
      <c r="H109" s="3359"/>
      <c r="I109" s="3359"/>
      <c r="J109" s="3359"/>
      <c r="K109" s="3359"/>
      <c r="L109" s="3359"/>
      <c r="M109" s="3359"/>
      <c r="N109" s="3359"/>
      <c r="O109" s="3359"/>
      <c r="P109" s="3359"/>
      <c r="Q109" s="3359"/>
      <c r="R109" s="3359"/>
      <c r="S109" s="3359"/>
      <c r="T109" s="3359"/>
      <c r="U109" s="3359"/>
      <c r="V109" s="3359"/>
      <c r="W109" s="3359"/>
      <c r="X109" s="3359"/>
      <c r="Y109" s="3359"/>
      <c r="Z109" s="3359"/>
      <c r="AA109" s="3359"/>
      <c r="AB109" s="3359"/>
      <c r="AC109" s="3359"/>
      <c r="AD109" s="3359"/>
      <c r="AE109" s="3359"/>
      <c r="AF109" s="3359"/>
      <c r="AG109" s="3359"/>
      <c r="AH109" s="3359"/>
      <c r="AI109" s="3359"/>
      <c r="AJ109" s="3359"/>
      <c r="AK109" s="3359"/>
      <c r="AL109" s="3359"/>
      <c r="AM109" s="3359"/>
      <c r="AN109" s="3359"/>
      <c r="AO109" s="3359"/>
      <c r="AP109" s="3359"/>
      <c r="AQ109" s="3359"/>
      <c r="AR109" s="3359"/>
      <c r="AS109" s="3359"/>
      <c r="AT109" s="3359"/>
      <c r="AU109" s="3359"/>
      <c r="AV109" s="3359"/>
      <c r="AW109" s="3359"/>
      <c r="AX109" s="3359"/>
      <c r="AY109" s="3359"/>
      <c r="AZ109" s="3359"/>
      <c r="BA109" s="3359"/>
      <c r="BB109" s="3359"/>
      <c r="BC109" s="3359"/>
      <c r="BD109" s="3359"/>
      <c r="BE109" s="3359"/>
      <c r="BF109" s="3359"/>
      <c r="BG109" s="3359"/>
      <c r="BH109" s="3359"/>
      <c r="BI109" s="3359"/>
      <c r="BJ109" s="3359"/>
      <c r="BK109" s="3359"/>
      <c r="BL109" s="3359"/>
      <c r="BM109" s="3359"/>
      <c r="BN109" s="3359"/>
      <c r="BO109" s="3359"/>
      <c r="BP109" s="3359"/>
      <c r="BQ109" s="3359"/>
      <c r="BR109" s="3359"/>
      <c r="BS109" s="3359"/>
      <c r="BT109" s="3359"/>
      <c r="BU109" s="3359"/>
      <c r="BV109" s="3359"/>
      <c r="BW109" s="3359"/>
      <c r="BX109" s="3359"/>
      <c r="BY109" s="3359"/>
      <c r="BZ109" s="3359"/>
      <c r="CA109" s="3359"/>
      <c r="CB109" s="3359"/>
      <c r="CC109" s="3359"/>
      <c r="CD109" s="3359"/>
      <c r="CE109" s="3359"/>
      <c r="CF109" s="3359"/>
      <c r="CG109" s="3359"/>
      <c r="CH109" s="3359"/>
      <c r="CI109" s="3359"/>
      <c r="CJ109" s="3359"/>
      <c r="CK109" s="3359"/>
      <c r="CL109" s="3359"/>
      <c r="CM109" s="3359"/>
      <c r="CN109" s="3359"/>
      <c r="CO109" s="3359"/>
      <c r="CP109" s="3359"/>
      <c r="CQ109" s="3359"/>
      <c r="CR109" s="3359"/>
      <c r="CS109" s="3359"/>
      <c r="CT109" s="3359"/>
      <c r="CU109" s="3359"/>
      <c r="CV109" s="3359"/>
      <c r="CW109" s="3359"/>
      <c r="CX109" s="3359"/>
      <c r="CY109" s="3359"/>
      <c r="CZ109" s="3359"/>
      <c r="DA109" s="3359"/>
      <c r="DB109" s="3359"/>
      <c r="DC109" s="3359"/>
      <c r="DD109" s="3359"/>
      <c r="DE109" s="3359"/>
      <c r="DF109" s="3359"/>
      <c r="DG109" s="3359"/>
      <c r="DH109" s="3359"/>
      <c r="DI109" s="3359"/>
      <c r="DJ109" s="3359"/>
      <c r="DK109" s="3359"/>
      <c r="DL109" s="3359"/>
      <c r="DM109" s="3359"/>
      <c r="DN109" s="3359"/>
      <c r="DO109" s="3359"/>
      <c r="DP109" s="3359"/>
      <c r="DQ109" s="3359"/>
      <c r="DR109" s="3359"/>
      <c r="DS109" s="3359"/>
      <c r="DT109" s="3359"/>
      <c r="DU109" s="3359"/>
      <c r="DV109" s="3359"/>
      <c r="DW109" s="3359"/>
      <c r="DX109" s="3359"/>
      <c r="DY109" s="3359"/>
      <c r="DZ109" s="3359"/>
      <c r="EA109" s="3359"/>
      <c r="EB109" s="3359"/>
      <c r="EC109" s="3359"/>
      <c r="ED109" s="3359"/>
      <c r="EE109" s="3359"/>
      <c r="EF109" s="3359"/>
      <c r="EG109" s="3359"/>
      <c r="EH109" s="3359"/>
      <c r="EI109" s="3359"/>
      <c r="EJ109" s="3359"/>
      <c r="EK109" s="3359"/>
      <c r="EL109" s="3359"/>
      <c r="EM109" s="3359"/>
      <c r="EN109" s="3359"/>
      <c r="EO109" s="3359"/>
      <c r="EP109" s="3359"/>
      <c r="EQ109" s="3359"/>
      <c r="ER109" s="3359"/>
      <c r="ES109" s="3359"/>
      <c r="ET109" s="3359"/>
      <c r="EU109" s="3359"/>
      <c r="EV109" s="3359"/>
      <c r="EW109" s="3359"/>
      <c r="EX109" s="3359"/>
      <c r="EY109" s="3359"/>
      <c r="EZ109" s="3359"/>
      <c r="FA109" s="3359"/>
      <c r="FB109" s="3359"/>
      <c r="FC109" s="3359"/>
      <c r="FD109" s="3359"/>
      <c r="FE109" s="3359"/>
      <c r="FF109" s="3359"/>
      <c r="FG109" s="3359"/>
      <c r="FH109" s="3359"/>
      <c r="FI109" s="3359"/>
      <c r="FJ109" s="3359"/>
      <c r="FK109" s="3359"/>
      <c r="FL109" s="3359"/>
      <c r="FM109" s="3359"/>
      <c r="FN109" s="3359"/>
      <c r="FO109" s="3359"/>
      <c r="FP109" s="3359"/>
      <c r="FQ109" s="3359"/>
      <c r="FR109" s="3359"/>
      <c r="FS109" s="3359"/>
      <c r="FT109" s="3359"/>
      <c r="FU109" s="3359"/>
      <c r="FV109" s="3359"/>
      <c r="FW109" s="3359"/>
      <c r="FX109" s="3359"/>
      <c r="FY109" s="3359"/>
      <c r="FZ109" s="3359"/>
      <c r="GA109" s="3359"/>
      <c r="GB109" s="3359"/>
      <c r="GC109" s="3359"/>
      <c r="GD109" s="3359"/>
      <c r="GE109" s="3359"/>
      <c r="GF109" s="3359"/>
      <c r="GG109" s="3359"/>
      <c r="GH109" s="3359"/>
      <c r="GI109" s="3359"/>
      <c r="GJ109" s="3359"/>
      <c r="GK109" s="3359"/>
      <c r="GL109" s="3359"/>
      <c r="GM109" s="3359"/>
      <c r="GN109" s="3359"/>
      <c r="GO109" s="3359"/>
      <c r="GP109" s="3359"/>
      <c r="GQ109" s="3359"/>
      <c r="GR109" s="3359"/>
      <c r="GS109" s="3359"/>
      <c r="GT109" s="3359"/>
      <c r="GU109" s="3359"/>
      <c r="GV109" s="3359"/>
      <c r="GW109" s="3359"/>
      <c r="GX109" s="3359"/>
      <c r="GY109" s="3359"/>
      <c r="GZ109" s="3359"/>
      <c r="HA109" s="3359"/>
      <c r="HB109" s="3359"/>
      <c r="HC109" s="3359"/>
      <c r="HD109" s="3359"/>
      <c r="HE109" s="3359"/>
      <c r="HF109" s="3359"/>
      <c r="HG109" s="3359"/>
      <c r="HH109" s="3359" t="s">
        <v>572</v>
      </c>
      <c r="HI109" s="3359"/>
      <c r="HJ109" s="3359"/>
      <c r="HK109" s="3359"/>
      <c r="HL109" s="3359"/>
      <c r="HM109" s="3359"/>
      <c r="HN109" s="3359"/>
      <c r="HO109" s="3359"/>
      <c r="HP109" s="3359"/>
      <c r="HQ109" s="3359"/>
      <c r="HR109" s="3359"/>
      <c r="HS109" s="3359"/>
      <c r="HT109" s="3359"/>
      <c r="HU109" s="3359"/>
      <c r="HV109" s="3359"/>
      <c r="HW109" s="3359"/>
      <c r="HX109" s="3359"/>
      <c r="HY109" s="3359"/>
      <c r="HZ109" s="3359"/>
      <c r="IA109" s="3359"/>
      <c r="IB109" s="3359"/>
      <c r="IC109" s="3359"/>
      <c r="ID109" s="3359"/>
      <c r="IE109" s="3359"/>
      <c r="IF109" s="3359"/>
      <c r="IG109" s="3359"/>
      <c r="IH109" s="3359"/>
      <c r="II109" s="3359"/>
      <c r="IJ109" s="3359"/>
      <c r="IK109" s="3359"/>
      <c r="IL109" s="3359"/>
      <c r="IM109" s="3359"/>
      <c r="IN109" s="3359"/>
      <c r="IO109" s="3359"/>
      <c r="IP109" s="2880"/>
      <c r="IQ109" s="2880"/>
      <c r="IR109" s="2880"/>
      <c r="IS109" s="2880"/>
      <c r="IT109" s="2880"/>
      <c r="IU109" s="2880"/>
      <c r="IV109" s="2880"/>
      <c r="IW109" s="2880"/>
      <c r="IX109" s="2880"/>
      <c r="IY109" s="2880"/>
      <c r="IZ109" s="2880"/>
      <c r="JA109" s="2880"/>
      <c r="JB109" s="2880"/>
      <c r="JC109" s="2880"/>
      <c r="JD109" s="2880"/>
      <c r="JE109" s="2880"/>
      <c r="JF109" s="2880"/>
      <c r="JG109" s="4094"/>
      <c r="JH109" s="1233"/>
    </row>
    <row r="110" spans="1:268" x14ac:dyDescent="0.2">
      <c r="A110" s="1128">
        <v>110</v>
      </c>
      <c r="B110" s="1534" t="str">
        <f si="3" t="shared"/>
        <v/>
      </c>
      <c r="C110" s="1544" t="s">
        <v>4063</v>
      </c>
      <c r="D110" s="1386" t="s">
        <v>5326</v>
      </c>
      <c r="E110" s="2688"/>
      <c r="F110" s="2688"/>
      <c r="G110" s="2688"/>
      <c r="H110" s="2688"/>
      <c r="I110" s="2688"/>
      <c r="J110" s="2688"/>
      <c r="K110" s="2688"/>
      <c r="L110" s="2688"/>
      <c r="M110" s="2688"/>
      <c r="N110" s="2688"/>
      <c r="O110" s="2688"/>
      <c r="P110" s="2688"/>
      <c r="Q110" s="2688"/>
      <c r="R110" s="2688"/>
      <c r="S110" s="2688"/>
      <c r="T110" s="2688"/>
      <c r="U110" s="2688"/>
      <c r="V110" s="2688"/>
      <c r="W110" s="2688"/>
      <c r="X110" s="2688"/>
      <c r="Y110" s="2688"/>
      <c r="Z110" s="2688"/>
      <c r="AA110" s="2688"/>
      <c r="AB110" s="2688"/>
      <c r="AC110" s="2688"/>
      <c r="AD110" s="2688"/>
      <c r="AE110" s="2688"/>
      <c r="AF110" s="2688"/>
      <c r="AG110" s="2688"/>
      <c r="AH110" s="2688"/>
      <c r="AI110" s="2688"/>
      <c r="AJ110" s="2688"/>
      <c r="AK110" s="2688"/>
      <c r="AL110" s="2688"/>
      <c r="AM110" s="2688"/>
      <c r="AN110" s="2688"/>
      <c r="AO110" s="2688"/>
      <c r="AP110" s="2688"/>
      <c r="AQ110" s="2688"/>
      <c r="AR110" s="2688"/>
      <c r="AS110" s="2688"/>
      <c r="AT110" s="2688"/>
      <c r="AU110" s="2688"/>
      <c r="AV110" s="2688"/>
      <c r="AW110" s="2688"/>
      <c r="AX110" s="2688"/>
      <c r="AY110" s="2688"/>
      <c r="AZ110" s="2688"/>
      <c r="BA110" s="2688"/>
      <c r="BB110" s="2688"/>
      <c r="BC110" s="2688"/>
      <c r="BD110" s="2688"/>
      <c r="BE110" s="2688"/>
      <c r="BF110" s="2688"/>
      <c r="BG110" s="2688"/>
      <c r="BH110" s="2688"/>
      <c r="BI110" s="2688"/>
      <c r="BJ110" s="2688"/>
      <c r="BK110" s="2688"/>
      <c r="BL110" s="2688"/>
      <c r="BM110" s="2688"/>
      <c r="BN110" s="2688"/>
      <c r="BO110" s="2688"/>
      <c r="BP110" s="2688"/>
      <c r="BQ110" s="2688"/>
      <c r="BR110" s="2688"/>
      <c r="BS110" s="2688"/>
      <c r="BT110" s="2688"/>
      <c r="BU110" s="2688"/>
      <c r="BV110" s="2688"/>
      <c r="BW110" s="2688"/>
      <c r="BX110" s="2688"/>
      <c r="BY110" s="2688"/>
      <c r="BZ110" s="2688"/>
      <c r="CA110" s="2688"/>
      <c r="CB110" s="2688"/>
      <c r="CC110" s="2688"/>
      <c r="CD110" s="2688"/>
      <c r="CE110" s="2688"/>
      <c r="CF110" s="2688"/>
      <c r="CG110" s="2688"/>
      <c r="CH110" s="2688"/>
      <c r="CI110" s="2688"/>
      <c r="CJ110" s="2688"/>
      <c r="CK110" s="2688"/>
      <c r="CL110" s="2688"/>
      <c r="CM110" s="2688"/>
      <c r="CN110" s="2688"/>
      <c r="CO110" s="2688"/>
      <c r="CP110" s="2688"/>
      <c r="CQ110" s="2688"/>
      <c r="CR110" s="2688"/>
      <c r="CS110" s="2688"/>
      <c r="CT110" s="2688"/>
      <c r="CU110" s="2688"/>
      <c r="CV110" s="2688"/>
      <c r="CW110" s="2688"/>
      <c r="CX110" s="2688"/>
      <c r="CY110" s="2688"/>
      <c r="CZ110" s="2688"/>
      <c r="DA110" s="2688"/>
      <c r="DB110" s="2688"/>
      <c r="DC110" s="2688"/>
      <c r="DD110" s="2688"/>
      <c r="DE110" s="2688"/>
      <c r="DF110" s="2688"/>
      <c r="DG110" s="2688"/>
      <c r="DH110" s="2688"/>
      <c r="DI110" s="2688"/>
      <c r="DJ110" s="2688"/>
      <c r="DK110" s="2688"/>
      <c r="DL110" s="2688"/>
      <c r="DM110" s="2688"/>
      <c r="DN110" s="2688"/>
      <c r="DO110" s="2688"/>
      <c r="DP110" s="2688"/>
      <c r="DQ110" s="2688"/>
      <c r="DR110" s="2688"/>
      <c r="DS110" s="2688"/>
      <c r="DT110" s="2688"/>
      <c r="DU110" s="2688"/>
      <c r="DV110" s="2688"/>
      <c r="DW110" s="2688"/>
      <c r="DX110" s="2688"/>
      <c r="DY110" s="2688"/>
      <c r="DZ110" s="2688"/>
      <c r="EA110" s="2688"/>
      <c r="EB110" s="2688"/>
      <c r="EC110" s="2688"/>
      <c r="ED110" s="2688"/>
      <c r="EE110" s="2688"/>
      <c r="EF110" s="2688"/>
      <c r="EG110" s="2688"/>
      <c r="EH110" s="2688"/>
      <c r="EI110" s="2688"/>
      <c r="EJ110" s="2688"/>
      <c r="EK110" s="2688"/>
      <c r="EL110" s="2688"/>
      <c r="EM110" s="2688"/>
      <c r="EN110" s="2688"/>
      <c r="EO110" s="2688"/>
      <c r="EP110" s="2688"/>
      <c r="EQ110" s="2688"/>
      <c r="ER110" s="2688"/>
      <c r="ES110" s="2688"/>
      <c r="ET110" s="2688"/>
      <c r="EU110" s="2688"/>
      <c r="EV110" s="2688"/>
      <c r="EW110" s="2688"/>
      <c r="EX110" s="2688"/>
      <c r="EY110" s="2688"/>
      <c r="EZ110" s="2688"/>
      <c r="FA110" s="2688"/>
      <c r="FB110" s="2688"/>
      <c r="FC110" s="2688"/>
      <c r="FD110" s="2688"/>
      <c r="FE110" s="2688"/>
      <c r="FF110" s="2688"/>
      <c r="FG110" s="2688"/>
      <c r="FH110" s="2688"/>
      <c r="FI110" s="2688"/>
      <c r="FJ110" s="2688"/>
      <c r="FK110" s="2688"/>
      <c r="FL110" s="2688"/>
      <c r="FM110" s="2688"/>
      <c r="FN110" s="2688"/>
      <c r="FO110" s="2688"/>
      <c r="FP110" s="2688"/>
      <c r="FQ110" s="2688"/>
      <c r="FR110" s="2688"/>
      <c r="FS110" s="2688"/>
      <c r="FT110" s="2688"/>
      <c r="FU110" s="2688"/>
      <c r="FV110" s="2688"/>
      <c r="FW110" s="2688"/>
      <c r="FX110" s="2688"/>
      <c r="FY110" s="2688"/>
      <c r="FZ110" s="2688"/>
      <c r="GA110" s="2688"/>
      <c r="GB110" s="2688"/>
      <c r="GC110" s="2688"/>
      <c r="GD110" s="2688"/>
      <c r="GE110" s="2688"/>
      <c r="GF110" s="2688"/>
      <c r="GG110" s="2688"/>
      <c r="GH110" s="2688"/>
      <c r="GI110" s="2688"/>
      <c r="GJ110" s="2688"/>
      <c r="GK110" s="2688"/>
      <c r="GL110" s="2688"/>
      <c r="GM110" s="2688"/>
      <c r="GN110" s="2688"/>
      <c r="GO110" s="2688"/>
      <c r="GP110" s="2688"/>
      <c r="GQ110" s="2688"/>
      <c r="GR110" s="2688"/>
      <c r="GS110" s="2688"/>
      <c r="GT110" s="2688"/>
      <c r="GU110" s="2688"/>
      <c r="GV110" s="2688"/>
      <c r="GW110" s="2688"/>
      <c r="GX110" s="2688"/>
      <c r="GY110" s="2688"/>
      <c r="GZ110" s="2688"/>
      <c r="HA110" s="2688"/>
      <c r="HB110" s="2688"/>
      <c r="HC110" s="2688"/>
      <c r="HD110" s="2688"/>
      <c r="HE110" s="2688"/>
      <c r="HF110" s="2688"/>
      <c r="HG110" s="2688"/>
      <c r="HH110" s="2688">
        <v>23904</v>
      </c>
      <c r="HI110" s="2688"/>
      <c r="HJ110" s="2688"/>
      <c r="HK110" s="2688"/>
      <c r="HL110" s="2688"/>
      <c r="HM110" s="2688"/>
      <c r="HN110" s="2688"/>
      <c r="HO110" s="2688"/>
      <c r="HP110" s="2688"/>
      <c r="HQ110" s="2688"/>
      <c r="HR110" s="2688"/>
      <c r="HS110" s="2688"/>
      <c r="HT110" s="2688"/>
      <c r="HU110" s="2688"/>
      <c r="HV110" s="2688"/>
      <c r="HW110" s="2688"/>
      <c r="HX110" s="2688"/>
      <c r="HY110" s="2688"/>
      <c r="HZ110" s="2688"/>
      <c r="IA110" s="2688"/>
      <c r="IB110" s="2688"/>
      <c r="IC110" s="2688"/>
      <c r="ID110" s="2688"/>
      <c r="IE110" s="2688"/>
      <c r="IF110" s="2688"/>
      <c r="IG110" s="2688"/>
      <c r="IH110" s="2688"/>
      <c r="II110" s="2688"/>
      <c r="IJ110" s="2688"/>
      <c r="IK110" s="2688"/>
      <c r="IL110" s="2688"/>
      <c r="IM110" s="2688"/>
      <c r="IN110" s="2688"/>
      <c r="IO110" s="2688"/>
      <c r="IP110" s="2880"/>
      <c r="IQ110" s="2880"/>
      <c r="IR110" s="2880"/>
      <c r="IS110" s="2880"/>
      <c r="IT110" s="2880"/>
      <c r="IU110" s="2880"/>
      <c r="IV110" s="2880"/>
      <c r="IW110" s="2880"/>
      <c r="IX110" s="2880"/>
      <c r="IY110" s="2880"/>
      <c r="IZ110" s="2880"/>
      <c r="JA110" s="2880"/>
      <c r="JB110" s="2880"/>
      <c r="JC110" s="2880"/>
      <c r="JD110" s="2880"/>
      <c r="JE110" s="2880"/>
      <c r="JF110" s="2880"/>
      <c r="JG110" s="4094"/>
      <c r="JH110" s="1233"/>
    </row>
    <row r="111" spans="1:268" x14ac:dyDescent="0.2">
      <c r="A111" s="1128">
        <v>111</v>
      </c>
      <c r="B111" s="1534" t="str">
        <f si="3" t="shared"/>
        <v/>
      </c>
      <c r="C111" s="1544" t="s">
        <v>4064</v>
      </c>
      <c r="D111" s="1386" t="s">
        <v>5321</v>
      </c>
      <c r="E111" s="3359"/>
      <c r="F111" s="3359"/>
      <c r="G111" s="3359"/>
      <c r="H111" s="3359"/>
      <c r="I111" s="3359"/>
      <c r="J111" s="3359"/>
      <c r="K111" s="3359"/>
      <c r="L111" s="3359"/>
      <c r="M111" s="3359"/>
      <c r="N111" s="3359"/>
      <c r="O111" s="3359"/>
      <c r="P111" s="3359"/>
      <c r="Q111" s="3359"/>
      <c r="R111" s="3359"/>
      <c r="S111" s="3359"/>
      <c r="T111" s="3359"/>
      <c r="U111" s="3359"/>
      <c r="V111" s="3359"/>
      <c r="W111" s="3359"/>
      <c r="X111" s="3359"/>
      <c r="Y111" s="3359"/>
      <c r="Z111" s="3359"/>
      <c r="AA111" s="3359"/>
      <c r="AB111" s="3359"/>
      <c r="AC111" s="3359"/>
      <c r="AD111" s="3359"/>
      <c r="AE111" s="3359"/>
      <c r="AF111" s="3359"/>
      <c r="AG111" s="3359"/>
      <c r="AH111" s="3359"/>
      <c r="AI111" s="3359"/>
      <c r="AJ111" s="3359"/>
      <c r="AK111" s="3359"/>
      <c r="AL111" s="3359"/>
      <c r="AM111" s="3359"/>
      <c r="AN111" s="3359"/>
      <c r="AO111" s="3359"/>
      <c r="AP111" s="3359"/>
      <c r="AQ111" s="3359"/>
      <c r="AR111" s="3359"/>
      <c r="AS111" s="3359"/>
      <c r="AT111" s="3359"/>
      <c r="AU111" s="3359"/>
      <c r="AV111" s="3359"/>
      <c r="AW111" s="3359"/>
      <c r="AX111" s="3359"/>
      <c r="AY111" s="3359"/>
      <c r="AZ111" s="3359"/>
      <c r="BA111" s="3359"/>
      <c r="BB111" s="3359"/>
      <c r="BC111" s="3359"/>
      <c r="BD111" s="3359"/>
      <c r="BE111" s="3359"/>
      <c r="BF111" s="3359"/>
      <c r="BG111" s="3359"/>
      <c r="BH111" s="3359"/>
      <c r="BI111" s="3359"/>
      <c r="BJ111" s="3359"/>
      <c r="BK111" s="3359"/>
      <c r="BL111" s="3359"/>
      <c r="BM111" s="3359"/>
      <c r="BN111" s="3359"/>
      <c r="BO111" s="3359"/>
      <c r="BP111" s="3359"/>
      <c r="BQ111" s="3359"/>
      <c r="BR111" s="3359"/>
      <c r="BS111" s="3359"/>
      <c r="BT111" s="3359"/>
      <c r="BU111" s="3359"/>
      <c r="BV111" s="3359"/>
      <c r="BW111" s="3359"/>
      <c r="BX111" s="3359"/>
      <c r="BY111" s="3359"/>
      <c r="BZ111" s="3359"/>
      <c r="CA111" s="3359"/>
      <c r="CB111" s="3359"/>
      <c r="CC111" s="3359"/>
      <c r="CD111" s="3359"/>
      <c r="CE111" s="3359"/>
      <c r="CF111" s="3359"/>
      <c r="CG111" s="3359"/>
      <c r="CH111" s="3359"/>
      <c r="CI111" s="3359"/>
      <c r="CJ111" s="3359"/>
      <c r="CK111" s="3359"/>
      <c r="CL111" s="3359"/>
      <c r="CM111" s="3359"/>
      <c r="CN111" s="3359"/>
      <c r="CO111" s="3359"/>
      <c r="CP111" s="3359"/>
      <c r="CQ111" s="3359"/>
      <c r="CR111" s="3359"/>
      <c r="CS111" s="3359"/>
      <c r="CT111" s="3359"/>
      <c r="CU111" s="3359"/>
      <c r="CV111" s="3359"/>
      <c r="CW111" s="3359"/>
      <c r="CX111" s="3359"/>
      <c r="CY111" s="3359"/>
      <c r="CZ111" s="3359"/>
      <c r="DA111" s="3359"/>
      <c r="DB111" s="3359"/>
      <c r="DC111" s="3359"/>
      <c r="DD111" s="3359"/>
      <c r="DE111" s="3359"/>
      <c r="DF111" s="3359"/>
      <c r="DG111" s="3359"/>
      <c r="DH111" s="3359"/>
      <c r="DI111" s="3359"/>
      <c r="DJ111" s="3359"/>
      <c r="DK111" s="3359"/>
      <c r="DL111" s="3359"/>
      <c r="DM111" s="3359"/>
      <c r="DN111" s="3359"/>
      <c r="DO111" s="3359"/>
      <c r="DP111" s="3359"/>
      <c r="DQ111" s="3359"/>
      <c r="DR111" s="3359"/>
      <c r="DS111" s="3359"/>
      <c r="DT111" s="3359"/>
      <c r="DU111" s="3359"/>
      <c r="DV111" s="3359"/>
      <c r="DW111" s="3359"/>
      <c r="DX111" s="3359"/>
      <c r="DY111" s="3359"/>
      <c r="DZ111" s="3359"/>
      <c r="EA111" s="3359"/>
      <c r="EB111" s="3359"/>
      <c r="EC111" s="3359"/>
      <c r="ED111" s="3359"/>
      <c r="EE111" s="3359"/>
      <c r="EF111" s="3359"/>
      <c r="EG111" s="3359"/>
      <c r="EH111" s="3359"/>
      <c r="EI111" s="3359"/>
      <c r="EJ111" s="3359"/>
      <c r="EK111" s="3359"/>
      <c r="EL111" s="3359"/>
      <c r="EM111" s="3359"/>
      <c r="EN111" s="3359"/>
      <c r="EO111" s="3359"/>
      <c r="EP111" s="3359"/>
      <c r="EQ111" s="3359"/>
      <c r="ER111" s="3359"/>
      <c r="ES111" s="3359"/>
      <c r="ET111" s="3359"/>
      <c r="EU111" s="3359"/>
      <c r="EV111" s="3359"/>
      <c r="EW111" s="3359"/>
      <c r="EX111" s="3359"/>
      <c r="EY111" s="3359"/>
      <c r="EZ111" s="3359"/>
      <c r="FA111" s="3359"/>
      <c r="FB111" s="3359"/>
      <c r="FC111" s="3359"/>
      <c r="FD111" s="3359"/>
      <c r="FE111" s="3359"/>
      <c r="FF111" s="3359"/>
      <c r="FG111" s="3359"/>
      <c r="FH111" s="3359"/>
      <c r="FI111" s="3359"/>
      <c r="FJ111" s="3359"/>
      <c r="FK111" s="3359"/>
      <c r="FL111" s="3359"/>
      <c r="FM111" s="3359"/>
      <c r="FN111" s="3359"/>
      <c r="FO111" s="3359"/>
      <c r="FP111" s="3359"/>
      <c r="FQ111" s="3359"/>
      <c r="FR111" s="3359"/>
      <c r="FS111" s="3359"/>
      <c r="FT111" s="3359"/>
      <c r="FU111" s="3359"/>
      <c r="FV111" s="3359"/>
      <c r="FW111" s="3359"/>
      <c r="FX111" s="3359"/>
      <c r="FY111" s="3359"/>
      <c r="FZ111" s="3359"/>
      <c r="GA111" s="3359"/>
      <c r="GB111" s="3359"/>
      <c r="GC111" s="3359"/>
      <c r="GD111" s="3359"/>
      <c r="GE111" s="3359"/>
      <c r="GF111" s="3359"/>
      <c r="GG111" s="3359"/>
      <c r="GH111" s="3359"/>
      <c r="GI111" s="3359"/>
      <c r="GJ111" s="3359"/>
      <c r="GK111" s="3359"/>
      <c r="GL111" s="3359"/>
      <c r="GM111" s="3359"/>
      <c r="GN111" s="3359"/>
      <c r="GO111" s="3359"/>
      <c r="GP111" s="3359"/>
      <c r="GQ111" s="3359"/>
      <c r="GR111" s="3359"/>
      <c r="GS111" s="3359"/>
      <c r="GT111" s="3359"/>
      <c r="GU111" s="3359"/>
      <c r="GV111" s="3359"/>
      <c r="GW111" s="3359"/>
      <c r="GX111" s="3359"/>
      <c r="GY111" s="3359"/>
      <c r="GZ111" s="3359"/>
      <c r="HA111" s="3359"/>
      <c r="HB111" s="3359"/>
      <c r="HC111" s="3359"/>
      <c r="HD111" s="3359"/>
      <c r="HE111" s="3359"/>
      <c r="HF111" s="3359"/>
      <c r="HG111" s="3359"/>
      <c r="HH111" s="3359" t="s">
        <v>1967</v>
      </c>
      <c r="HI111" s="3359"/>
      <c r="HJ111" s="3359"/>
      <c r="HK111" s="3359"/>
      <c r="HL111" s="3359"/>
      <c r="HM111" s="3359"/>
      <c r="HN111" s="3359"/>
      <c r="HO111" s="3359"/>
      <c r="HP111" s="3359"/>
      <c r="HQ111" s="3359"/>
      <c r="HR111" s="3359"/>
      <c r="HS111" s="3359"/>
      <c r="HT111" s="3359"/>
      <c r="HU111" s="3359"/>
      <c r="HV111" s="3359"/>
      <c r="HW111" s="3359"/>
      <c r="HX111" s="3359"/>
      <c r="HY111" s="3359"/>
      <c r="HZ111" s="3359"/>
      <c r="IA111" s="3359"/>
      <c r="IB111" s="3359"/>
      <c r="IC111" s="3359"/>
      <c r="ID111" s="3359"/>
      <c r="IE111" s="3359"/>
      <c r="IF111" s="3359"/>
      <c r="IG111" s="3359"/>
      <c r="IH111" s="3359"/>
      <c r="II111" s="3359"/>
      <c r="IJ111" s="3359"/>
      <c r="IK111" s="3359"/>
      <c r="IL111" s="3359"/>
      <c r="IM111" s="3359"/>
      <c r="IN111" s="3359"/>
      <c r="IO111" s="3359"/>
      <c r="IP111" s="2880"/>
      <c r="IQ111" s="2880"/>
      <c r="IR111" s="2880"/>
      <c r="IS111" s="2880"/>
      <c r="IT111" s="2880"/>
      <c r="IU111" s="2880"/>
      <c r="IV111" s="2880"/>
      <c r="IW111" s="2880"/>
      <c r="IX111" s="2880"/>
      <c r="IY111" s="2880"/>
      <c r="IZ111" s="2880"/>
      <c r="JA111" s="2880"/>
      <c r="JB111" s="2880"/>
      <c r="JC111" s="2880"/>
      <c r="JD111" s="2880"/>
      <c r="JE111" s="2880"/>
      <c r="JF111" s="2880"/>
      <c r="JG111" s="4094"/>
      <c r="JH111" s="1233"/>
    </row>
    <row r="112" spans="1:268" x14ac:dyDescent="0.2">
      <c r="A112" s="1128">
        <v>112</v>
      </c>
      <c r="B112" s="1534" t="str">
        <f si="3" t="shared"/>
        <v/>
      </c>
      <c r="C112" s="1544" t="s">
        <v>4065</v>
      </c>
      <c r="D112" s="1386" t="s">
        <v>3006</v>
      </c>
      <c r="E112" s="2688"/>
      <c r="F112" s="2688"/>
      <c r="G112" s="2688"/>
      <c r="H112" s="2688"/>
      <c r="I112" s="2688"/>
      <c r="J112" s="2688"/>
      <c r="K112" s="2688"/>
      <c r="L112" s="2688"/>
      <c r="M112" s="2688"/>
      <c r="N112" s="2688"/>
      <c r="O112" s="2688"/>
      <c r="P112" s="2688"/>
      <c r="Q112" s="2688"/>
      <c r="R112" s="2688"/>
      <c r="S112" s="2688"/>
      <c r="T112" s="2688"/>
      <c r="U112" s="2688"/>
      <c r="V112" s="2688"/>
      <c r="W112" s="2688"/>
      <c r="X112" s="2688"/>
      <c r="Y112" s="2688"/>
      <c r="Z112" s="2688"/>
      <c r="AA112" s="2688"/>
      <c r="AB112" s="2688"/>
      <c r="AC112" s="2688"/>
      <c r="AD112" s="2688"/>
      <c r="AE112" s="2688"/>
      <c r="AF112" s="2688"/>
      <c r="AG112" s="2688"/>
      <c r="AH112" s="2688"/>
      <c r="AI112" s="2688"/>
      <c r="AJ112" s="2688"/>
      <c r="AK112" s="2688"/>
      <c r="AL112" s="2688"/>
      <c r="AM112" s="2688"/>
      <c r="AN112" s="2688"/>
      <c r="AO112" s="2688"/>
      <c r="AP112" s="2688"/>
      <c r="AQ112" s="2688"/>
      <c r="AR112" s="2688"/>
      <c r="AS112" s="2688"/>
      <c r="AT112" s="2688"/>
      <c r="AU112" s="2688"/>
      <c r="AV112" s="2688"/>
      <c r="AW112" s="2688"/>
      <c r="AX112" s="2688"/>
      <c r="AY112" s="2688"/>
      <c r="AZ112" s="2688"/>
      <c r="BA112" s="2688"/>
      <c r="BB112" s="2688"/>
      <c r="BC112" s="2688"/>
      <c r="BD112" s="2688"/>
      <c r="BE112" s="2688"/>
      <c r="BF112" s="2688"/>
      <c r="BG112" s="2688"/>
      <c r="BH112" s="2688"/>
      <c r="BI112" s="2688"/>
      <c r="BJ112" s="2688"/>
      <c r="BK112" s="2688"/>
      <c r="BL112" s="2688"/>
      <c r="BM112" s="2688"/>
      <c r="BN112" s="2688"/>
      <c r="BO112" s="2688"/>
      <c r="BP112" s="2688"/>
      <c r="BQ112" s="2688"/>
      <c r="BR112" s="2688"/>
      <c r="BS112" s="2688"/>
      <c r="BT112" s="2688"/>
      <c r="BU112" s="2688"/>
      <c r="BV112" s="2688"/>
      <c r="BW112" s="2688"/>
      <c r="BX112" s="2688"/>
      <c r="BY112" s="2688"/>
      <c r="BZ112" s="2688"/>
      <c r="CA112" s="2688"/>
      <c r="CB112" s="2688"/>
      <c r="CC112" s="2688"/>
      <c r="CD112" s="2688"/>
      <c r="CE112" s="2688"/>
      <c r="CF112" s="2688"/>
      <c r="CG112" s="2688"/>
      <c r="CH112" s="2688"/>
      <c r="CI112" s="2688"/>
      <c r="CJ112" s="2688"/>
      <c r="CK112" s="2688"/>
      <c r="CL112" s="2688"/>
      <c r="CM112" s="2688"/>
      <c r="CN112" s="2688"/>
      <c r="CO112" s="2688"/>
      <c r="CP112" s="2688"/>
      <c r="CQ112" s="2688"/>
      <c r="CR112" s="2688"/>
      <c r="CS112" s="2688"/>
      <c r="CT112" s="2688"/>
      <c r="CU112" s="2688"/>
      <c r="CV112" s="2688"/>
      <c r="CW112" s="2688"/>
      <c r="CX112" s="2688"/>
      <c r="CY112" s="2688"/>
      <c r="CZ112" s="2688"/>
      <c r="DA112" s="2688"/>
      <c r="DB112" s="2688"/>
      <c r="DC112" s="2688"/>
      <c r="DD112" s="2688"/>
      <c r="DE112" s="2688"/>
      <c r="DF112" s="2688"/>
      <c r="DG112" s="2688"/>
      <c r="DH112" s="2688"/>
      <c r="DI112" s="2688"/>
      <c r="DJ112" s="2688"/>
      <c r="DK112" s="2688"/>
      <c r="DL112" s="2688"/>
      <c r="DM112" s="2688"/>
      <c r="DN112" s="2688"/>
      <c r="DO112" s="2688"/>
      <c r="DP112" s="2688"/>
      <c r="DQ112" s="2688"/>
      <c r="DR112" s="2688"/>
      <c r="DS112" s="2688"/>
      <c r="DT112" s="2688"/>
      <c r="DU112" s="2688"/>
      <c r="DV112" s="2688"/>
      <c r="DW112" s="2688"/>
      <c r="DX112" s="2688"/>
      <c r="DY112" s="2688"/>
      <c r="DZ112" s="2688"/>
      <c r="EA112" s="2688"/>
      <c r="EB112" s="2688"/>
      <c r="EC112" s="2688"/>
      <c r="ED112" s="2688"/>
      <c r="EE112" s="2688"/>
      <c r="EF112" s="2688"/>
      <c r="EG112" s="2688"/>
      <c r="EH112" s="2688"/>
      <c r="EI112" s="2688"/>
      <c r="EJ112" s="2688"/>
      <c r="EK112" s="2688"/>
      <c r="EL112" s="2688"/>
      <c r="EM112" s="2688"/>
      <c r="EN112" s="2688"/>
      <c r="EO112" s="2688"/>
      <c r="EP112" s="2688"/>
      <c r="EQ112" s="2688"/>
      <c r="ER112" s="2688"/>
      <c r="ES112" s="2688"/>
      <c r="ET112" s="2688"/>
      <c r="EU112" s="2688"/>
      <c r="EV112" s="2688"/>
      <c r="EW112" s="2688"/>
      <c r="EX112" s="2688"/>
      <c r="EY112" s="2688"/>
      <c r="EZ112" s="2688"/>
      <c r="FA112" s="2688"/>
      <c r="FB112" s="2688"/>
      <c r="FC112" s="2688"/>
      <c r="FD112" s="2688"/>
      <c r="FE112" s="2688"/>
      <c r="FF112" s="2688"/>
      <c r="FG112" s="2688"/>
      <c r="FH112" s="2688"/>
      <c r="FI112" s="2688"/>
      <c r="FJ112" s="2688"/>
      <c r="FK112" s="2688"/>
      <c r="FL112" s="2688"/>
      <c r="FM112" s="2688"/>
      <c r="FN112" s="2688"/>
      <c r="FO112" s="2688"/>
      <c r="FP112" s="2688"/>
      <c r="FQ112" s="2688"/>
      <c r="FR112" s="2688"/>
      <c r="FS112" s="2688"/>
      <c r="FT112" s="2688"/>
      <c r="FU112" s="2688"/>
      <c r="FV112" s="2688"/>
      <c r="FW112" s="2688"/>
      <c r="FX112" s="2688"/>
      <c r="FY112" s="2688"/>
      <c r="FZ112" s="2688"/>
      <c r="GA112" s="2688"/>
      <c r="GB112" s="2688"/>
      <c r="GC112" s="2688"/>
      <c r="GD112" s="2688"/>
      <c r="GE112" s="2688"/>
      <c r="GF112" s="2688"/>
      <c r="GG112" s="2688"/>
      <c r="GH112" s="2688"/>
      <c r="GI112" s="2688"/>
      <c r="GJ112" s="2688"/>
      <c r="GK112" s="2688"/>
      <c r="GL112" s="2688"/>
      <c r="GM112" s="2688"/>
      <c r="GN112" s="2688"/>
      <c r="GO112" s="2688"/>
      <c r="GP112" s="2688"/>
      <c r="GQ112" s="2688"/>
      <c r="GR112" s="2688"/>
      <c r="GS112" s="2688"/>
      <c r="GT112" s="2688"/>
      <c r="GU112" s="2688"/>
      <c r="GV112" s="2688"/>
      <c r="GW112" s="2688"/>
      <c r="GX112" s="2688"/>
      <c r="GY112" s="2688"/>
      <c r="GZ112" s="2688"/>
      <c r="HA112" s="2688"/>
      <c r="HB112" s="2688"/>
      <c r="HC112" s="2688"/>
      <c r="HD112" s="2688"/>
      <c r="HE112" s="2688"/>
      <c r="HF112" s="2688"/>
      <c r="HG112" s="2688"/>
      <c r="HH112" s="2688">
        <v>3394</v>
      </c>
      <c r="HI112" s="2688"/>
      <c r="HJ112" s="2688"/>
      <c r="HK112" s="2688"/>
      <c r="HL112" s="2688"/>
      <c r="HM112" s="2688"/>
      <c r="HN112" s="2688"/>
      <c r="HO112" s="2688"/>
      <c r="HP112" s="2688"/>
      <c r="HQ112" s="2688"/>
      <c r="HR112" s="2688"/>
      <c r="HS112" s="2688"/>
      <c r="HT112" s="2688"/>
      <c r="HU112" s="2688"/>
      <c r="HV112" s="2688"/>
      <c r="HW112" s="2688"/>
      <c r="HX112" s="2688"/>
      <c r="HY112" s="2688"/>
      <c r="HZ112" s="2688"/>
      <c r="IA112" s="2688"/>
      <c r="IB112" s="2688"/>
      <c r="IC112" s="2688"/>
      <c r="ID112" s="2688"/>
      <c r="IE112" s="2688"/>
      <c r="IF112" s="2688"/>
      <c r="IG112" s="2688"/>
      <c r="IH112" s="2688"/>
      <c r="II112" s="2688"/>
      <c r="IJ112" s="2688"/>
      <c r="IK112" s="2688"/>
      <c r="IL112" s="2688"/>
      <c r="IM112" s="2688"/>
      <c r="IN112" s="2688"/>
      <c r="IO112" s="2688"/>
      <c r="IP112" s="2880"/>
      <c r="IQ112" s="2880"/>
      <c r="IR112" s="2880"/>
      <c r="IS112" s="2880"/>
      <c r="IT112" s="2880"/>
      <c r="IU112" s="2880"/>
      <c r="IV112" s="2880"/>
      <c r="IW112" s="2880"/>
      <c r="IX112" s="2880"/>
      <c r="IY112" s="2880"/>
      <c r="IZ112" s="2880"/>
      <c r="JA112" s="2880"/>
      <c r="JB112" s="2880"/>
      <c r="JC112" s="2880"/>
      <c r="JD112" s="2880"/>
      <c r="JE112" s="2880"/>
      <c r="JF112" s="2880"/>
      <c r="JG112" s="4094"/>
      <c r="JH112" s="1233"/>
    </row>
    <row r="113" spans="1:268" x14ac:dyDescent="0.2">
      <c r="A113" s="1128">
        <v>113</v>
      </c>
      <c r="B113" s="1534" t="str">
        <f si="3" t="shared"/>
        <v/>
      </c>
      <c r="C113" s="1544" t="s">
        <v>4066</v>
      </c>
      <c r="D113" s="1386" t="s">
        <v>5339</v>
      </c>
      <c r="E113" s="3359"/>
      <c r="F113" s="3359"/>
      <c r="G113" s="3359"/>
      <c r="H113" s="3359"/>
      <c r="I113" s="3359"/>
      <c r="J113" s="3359"/>
      <c r="K113" s="3359"/>
      <c r="L113" s="3359"/>
      <c r="M113" s="3359"/>
      <c r="N113" s="3359"/>
      <c r="O113" s="3359"/>
      <c r="P113" s="3359"/>
      <c r="Q113" s="3359"/>
      <c r="R113" s="3359"/>
      <c r="S113" s="3359"/>
      <c r="T113" s="3359"/>
      <c r="U113" s="3359"/>
      <c r="V113" s="3359"/>
      <c r="W113" s="3359"/>
      <c r="X113" s="3359"/>
      <c r="Y113" s="3359"/>
      <c r="Z113" s="3359"/>
      <c r="AA113" s="3359"/>
      <c r="AB113" s="3359"/>
      <c r="AC113" s="3359"/>
      <c r="AD113" s="3359"/>
      <c r="AE113" s="3359"/>
      <c r="AF113" s="3359"/>
      <c r="AG113" s="3359"/>
      <c r="AH113" s="3359"/>
      <c r="AI113" s="3359"/>
      <c r="AJ113" s="3359"/>
      <c r="AK113" s="3359"/>
      <c r="AL113" s="3359"/>
      <c r="AM113" s="3359"/>
      <c r="AN113" s="3359"/>
      <c r="AO113" s="3359"/>
      <c r="AP113" s="3359"/>
      <c r="AQ113" s="3359"/>
      <c r="AR113" s="3359"/>
      <c r="AS113" s="3359"/>
      <c r="AT113" s="3359"/>
      <c r="AU113" s="3359"/>
      <c r="AV113" s="3359"/>
      <c r="AW113" s="3359"/>
      <c r="AX113" s="3359"/>
      <c r="AY113" s="3359"/>
      <c r="AZ113" s="3359"/>
      <c r="BA113" s="3359"/>
      <c r="BB113" s="3359"/>
      <c r="BC113" s="3359"/>
      <c r="BD113" s="3359"/>
      <c r="BE113" s="3359"/>
      <c r="BF113" s="3359"/>
      <c r="BG113" s="3359"/>
      <c r="BH113" s="3359"/>
      <c r="BI113" s="3359"/>
      <c r="BJ113" s="3359"/>
      <c r="BK113" s="3359"/>
      <c r="BL113" s="3359"/>
      <c r="BM113" s="3359"/>
      <c r="BN113" s="3359"/>
      <c r="BO113" s="3359"/>
      <c r="BP113" s="3359"/>
      <c r="BQ113" s="3359"/>
      <c r="BR113" s="3359"/>
      <c r="BS113" s="3359"/>
      <c r="BT113" s="3359"/>
      <c r="BU113" s="3359"/>
      <c r="BV113" s="3359"/>
      <c r="BW113" s="3359"/>
      <c r="BX113" s="3359"/>
      <c r="BY113" s="3359"/>
      <c r="BZ113" s="3359"/>
      <c r="CA113" s="3359"/>
      <c r="CB113" s="3359"/>
      <c r="CC113" s="3359"/>
      <c r="CD113" s="3359"/>
      <c r="CE113" s="3359"/>
      <c r="CF113" s="3359"/>
      <c r="CG113" s="3359"/>
      <c r="CH113" s="3359"/>
      <c r="CI113" s="3359"/>
      <c r="CJ113" s="3359"/>
      <c r="CK113" s="3359"/>
      <c r="CL113" s="3359"/>
      <c r="CM113" s="3359"/>
      <c r="CN113" s="3359"/>
      <c r="CO113" s="3359"/>
      <c r="CP113" s="3359"/>
      <c r="CQ113" s="3359"/>
      <c r="CR113" s="3359"/>
      <c r="CS113" s="3359"/>
      <c r="CT113" s="3359"/>
      <c r="CU113" s="3359"/>
      <c r="CV113" s="3359"/>
      <c r="CW113" s="3359"/>
      <c r="CX113" s="3359"/>
      <c r="CY113" s="3359"/>
      <c r="CZ113" s="3359"/>
      <c r="DA113" s="3359"/>
      <c r="DB113" s="3359"/>
      <c r="DC113" s="3359"/>
      <c r="DD113" s="3359"/>
      <c r="DE113" s="3359"/>
      <c r="DF113" s="3359"/>
      <c r="DG113" s="3359"/>
      <c r="DH113" s="3359"/>
      <c r="DI113" s="3359"/>
      <c r="DJ113" s="3359"/>
      <c r="DK113" s="3359"/>
      <c r="DL113" s="3359"/>
      <c r="DM113" s="3359"/>
      <c r="DN113" s="3359"/>
      <c r="DO113" s="3359"/>
      <c r="DP113" s="3359"/>
      <c r="DQ113" s="3359"/>
      <c r="DR113" s="3359"/>
      <c r="DS113" s="3359"/>
      <c r="DT113" s="3359"/>
      <c r="DU113" s="3359"/>
      <c r="DV113" s="3359"/>
      <c r="DW113" s="3359"/>
      <c r="DX113" s="3359"/>
      <c r="DY113" s="3359"/>
      <c r="DZ113" s="3359"/>
      <c r="EA113" s="3359"/>
      <c r="EB113" s="3359"/>
      <c r="EC113" s="3359"/>
      <c r="ED113" s="3359"/>
      <c r="EE113" s="3359"/>
      <c r="EF113" s="3359"/>
      <c r="EG113" s="3359"/>
      <c r="EH113" s="3359"/>
      <c r="EI113" s="3359"/>
      <c r="EJ113" s="3359"/>
      <c r="EK113" s="3359"/>
      <c r="EL113" s="3359"/>
      <c r="EM113" s="3359"/>
      <c r="EN113" s="3359"/>
      <c r="EO113" s="3359"/>
      <c r="EP113" s="3359"/>
      <c r="EQ113" s="3359"/>
      <c r="ER113" s="3359"/>
      <c r="ES113" s="3359"/>
      <c r="ET113" s="3359"/>
      <c r="EU113" s="3359"/>
      <c r="EV113" s="3359"/>
      <c r="EW113" s="3359"/>
      <c r="EX113" s="3359"/>
      <c r="EY113" s="3359"/>
      <c r="EZ113" s="3359"/>
      <c r="FA113" s="3359"/>
      <c r="FB113" s="3359"/>
      <c r="FC113" s="3359"/>
      <c r="FD113" s="3359"/>
      <c r="FE113" s="3359"/>
      <c r="FF113" s="3359"/>
      <c r="FG113" s="3359"/>
      <c r="FH113" s="3359"/>
      <c r="FI113" s="3359"/>
      <c r="FJ113" s="3359"/>
      <c r="FK113" s="3359"/>
      <c r="FL113" s="3359"/>
      <c r="FM113" s="3359"/>
      <c r="FN113" s="3359"/>
      <c r="FO113" s="3359"/>
      <c r="FP113" s="3359"/>
      <c r="FQ113" s="3359"/>
      <c r="FR113" s="3359"/>
      <c r="FS113" s="3359"/>
      <c r="FT113" s="3359"/>
      <c r="FU113" s="3359"/>
      <c r="FV113" s="3359"/>
      <c r="FW113" s="3359"/>
      <c r="FX113" s="3359"/>
      <c r="FY113" s="3359"/>
      <c r="FZ113" s="3359"/>
      <c r="GA113" s="3359"/>
      <c r="GB113" s="3359"/>
      <c r="GC113" s="3359"/>
      <c r="GD113" s="3359"/>
      <c r="GE113" s="3359"/>
      <c r="GF113" s="3359"/>
      <c r="GG113" s="3359"/>
      <c r="GH113" s="3359"/>
      <c r="GI113" s="3359"/>
      <c r="GJ113" s="3359"/>
      <c r="GK113" s="3359"/>
      <c r="GL113" s="3359"/>
      <c r="GM113" s="3359"/>
      <c r="GN113" s="3359"/>
      <c r="GO113" s="3359"/>
      <c r="GP113" s="3359"/>
      <c r="GQ113" s="3359"/>
      <c r="GR113" s="3359"/>
      <c r="GS113" s="3359"/>
      <c r="GT113" s="3359"/>
      <c r="GU113" s="3359"/>
      <c r="GV113" s="3359"/>
      <c r="GW113" s="3359"/>
      <c r="GX113" s="3359"/>
      <c r="GY113" s="3359"/>
      <c r="GZ113" s="3359"/>
      <c r="HA113" s="3359"/>
      <c r="HB113" s="3359"/>
      <c r="HC113" s="3359"/>
      <c r="HD113" s="3359"/>
      <c r="HE113" s="3359"/>
      <c r="HF113" s="3359"/>
      <c r="HG113" s="3359"/>
      <c r="HH113" s="3359" t="s">
        <v>572</v>
      </c>
      <c r="HI113" s="3359"/>
      <c r="HJ113" s="3359"/>
      <c r="HK113" s="3359"/>
      <c r="HL113" s="3359"/>
      <c r="HM113" s="3359"/>
      <c r="HN113" s="3359"/>
      <c r="HO113" s="3359"/>
      <c r="HP113" s="3359"/>
      <c r="HQ113" s="3359"/>
      <c r="HR113" s="3359"/>
      <c r="HS113" s="3359"/>
      <c r="HT113" s="3359"/>
      <c r="HU113" s="3359"/>
      <c r="HV113" s="3359"/>
      <c r="HW113" s="3359"/>
      <c r="HX113" s="3359"/>
      <c r="HY113" s="3359"/>
      <c r="HZ113" s="3359"/>
      <c r="IA113" s="3359"/>
      <c r="IB113" s="3359"/>
      <c r="IC113" s="3359"/>
      <c r="ID113" s="3359"/>
      <c r="IE113" s="3359"/>
      <c r="IF113" s="3359"/>
      <c r="IG113" s="3359"/>
      <c r="IH113" s="3359"/>
      <c r="II113" s="3359"/>
      <c r="IJ113" s="3359"/>
      <c r="IK113" s="3359"/>
      <c r="IL113" s="3359"/>
      <c r="IM113" s="3359"/>
      <c r="IN113" s="3359"/>
      <c r="IO113" s="3359"/>
      <c r="IP113" s="2880"/>
      <c r="IQ113" s="2880"/>
      <c r="IR113" s="2880"/>
      <c r="IS113" s="2880"/>
      <c r="IT113" s="2880"/>
      <c r="IU113" s="2880"/>
      <c r="IV113" s="2880"/>
      <c r="IW113" s="2880"/>
      <c r="IX113" s="2880"/>
      <c r="IY113" s="2880"/>
      <c r="IZ113" s="2880"/>
      <c r="JA113" s="2880"/>
      <c r="JB113" s="2880"/>
      <c r="JC113" s="2880"/>
      <c r="JD113" s="2880"/>
      <c r="JE113" s="2880"/>
      <c r="JF113" s="2880"/>
      <c r="JG113" s="4094"/>
      <c r="JH113" s="1233"/>
    </row>
    <row r="114" spans="1:268" x14ac:dyDescent="0.2">
      <c r="A114" s="1128">
        <v>114</v>
      </c>
      <c r="B114" s="1534" t="str">
        <f si="3" t="shared"/>
        <v/>
      </c>
      <c r="C114" s="1544" t="s">
        <v>4067</v>
      </c>
      <c r="D114" s="1386" t="s">
        <v>5326</v>
      </c>
      <c r="E114" s="2688"/>
      <c r="F114" s="2688"/>
      <c r="G114" s="2688"/>
      <c r="H114" s="2688"/>
      <c r="I114" s="2688"/>
      <c r="J114" s="2688"/>
      <c r="K114" s="2688"/>
      <c r="L114" s="2688"/>
      <c r="M114" s="2688"/>
      <c r="N114" s="2688"/>
      <c r="O114" s="2688"/>
      <c r="P114" s="2688"/>
      <c r="Q114" s="2688"/>
      <c r="R114" s="2688"/>
      <c r="S114" s="2688"/>
      <c r="T114" s="2688"/>
      <c r="U114" s="2688"/>
      <c r="V114" s="2688"/>
      <c r="W114" s="2688"/>
      <c r="X114" s="2688"/>
      <c r="Y114" s="2688"/>
      <c r="Z114" s="2688"/>
      <c r="AA114" s="2688"/>
      <c r="AB114" s="2688"/>
      <c r="AC114" s="2688"/>
      <c r="AD114" s="2688"/>
      <c r="AE114" s="2688"/>
      <c r="AF114" s="2688"/>
      <c r="AG114" s="2688"/>
      <c r="AH114" s="2688"/>
      <c r="AI114" s="2688"/>
      <c r="AJ114" s="2688"/>
      <c r="AK114" s="2688"/>
      <c r="AL114" s="2688"/>
      <c r="AM114" s="2688"/>
      <c r="AN114" s="2688"/>
      <c r="AO114" s="2688"/>
      <c r="AP114" s="2688"/>
      <c r="AQ114" s="2688"/>
      <c r="AR114" s="2688"/>
      <c r="AS114" s="2688"/>
      <c r="AT114" s="2688"/>
      <c r="AU114" s="2688"/>
      <c r="AV114" s="2688"/>
      <c r="AW114" s="2688"/>
      <c r="AX114" s="2688"/>
      <c r="AY114" s="2688"/>
      <c r="AZ114" s="2688"/>
      <c r="BA114" s="2688"/>
      <c r="BB114" s="2688"/>
      <c r="BC114" s="2688"/>
      <c r="BD114" s="2688"/>
      <c r="BE114" s="2688"/>
      <c r="BF114" s="2688"/>
      <c r="BG114" s="2688"/>
      <c r="BH114" s="2688"/>
      <c r="BI114" s="2688"/>
      <c r="BJ114" s="2688"/>
      <c r="BK114" s="2688"/>
      <c r="BL114" s="2688"/>
      <c r="BM114" s="2688"/>
      <c r="BN114" s="2688"/>
      <c r="BO114" s="2688"/>
      <c r="BP114" s="2688"/>
      <c r="BQ114" s="2688"/>
      <c r="BR114" s="2688"/>
      <c r="BS114" s="2688"/>
      <c r="BT114" s="2688"/>
      <c r="BU114" s="2688"/>
      <c r="BV114" s="2688"/>
      <c r="BW114" s="2688"/>
      <c r="BX114" s="2688"/>
      <c r="BY114" s="2688"/>
      <c r="BZ114" s="2688"/>
      <c r="CA114" s="2688"/>
      <c r="CB114" s="2688"/>
      <c r="CC114" s="2688"/>
      <c r="CD114" s="2688"/>
      <c r="CE114" s="2688"/>
      <c r="CF114" s="2688"/>
      <c r="CG114" s="2688"/>
      <c r="CH114" s="2688"/>
      <c r="CI114" s="2688"/>
      <c r="CJ114" s="2688"/>
      <c r="CK114" s="2688"/>
      <c r="CL114" s="2688"/>
      <c r="CM114" s="2688"/>
      <c r="CN114" s="2688"/>
      <c r="CO114" s="2688"/>
      <c r="CP114" s="2688"/>
      <c r="CQ114" s="2688"/>
      <c r="CR114" s="2688"/>
      <c r="CS114" s="2688"/>
      <c r="CT114" s="2688"/>
      <c r="CU114" s="2688"/>
      <c r="CV114" s="2688"/>
      <c r="CW114" s="2688"/>
      <c r="CX114" s="2688"/>
      <c r="CY114" s="2688"/>
      <c r="CZ114" s="2688"/>
      <c r="DA114" s="2688"/>
      <c r="DB114" s="2688"/>
      <c r="DC114" s="2688"/>
      <c r="DD114" s="2688"/>
      <c r="DE114" s="2688"/>
      <c r="DF114" s="2688"/>
      <c r="DG114" s="2688"/>
      <c r="DH114" s="2688"/>
      <c r="DI114" s="2688"/>
      <c r="DJ114" s="2688"/>
      <c r="DK114" s="2688"/>
      <c r="DL114" s="2688"/>
      <c r="DM114" s="2688"/>
      <c r="DN114" s="2688"/>
      <c r="DO114" s="2688"/>
      <c r="DP114" s="2688"/>
      <c r="DQ114" s="2688"/>
      <c r="DR114" s="2688"/>
      <c r="DS114" s="2688"/>
      <c r="DT114" s="2688"/>
      <c r="DU114" s="2688"/>
      <c r="DV114" s="2688"/>
      <c r="DW114" s="2688"/>
      <c r="DX114" s="2688"/>
      <c r="DY114" s="2688"/>
      <c r="DZ114" s="2688"/>
      <c r="EA114" s="2688"/>
      <c r="EB114" s="2688"/>
      <c r="EC114" s="2688"/>
      <c r="ED114" s="2688"/>
      <c r="EE114" s="2688"/>
      <c r="EF114" s="2688"/>
      <c r="EG114" s="2688"/>
      <c r="EH114" s="2688"/>
      <c r="EI114" s="2688"/>
      <c r="EJ114" s="2688"/>
      <c r="EK114" s="2688"/>
      <c r="EL114" s="2688"/>
      <c r="EM114" s="2688"/>
      <c r="EN114" s="2688"/>
      <c r="EO114" s="2688"/>
      <c r="EP114" s="2688"/>
      <c r="EQ114" s="2688"/>
      <c r="ER114" s="2688"/>
      <c r="ES114" s="2688"/>
      <c r="ET114" s="2688"/>
      <c r="EU114" s="2688"/>
      <c r="EV114" s="2688"/>
      <c r="EW114" s="2688"/>
      <c r="EX114" s="2688"/>
      <c r="EY114" s="2688"/>
      <c r="EZ114" s="2688"/>
      <c r="FA114" s="2688"/>
      <c r="FB114" s="2688"/>
      <c r="FC114" s="2688"/>
      <c r="FD114" s="2688"/>
      <c r="FE114" s="2688"/>
      <c r="FF114" s="2688"/>
      <c r="FG114" s="2688"/>
      <c r="FH114" s="2688"/>
      <c r="FI114" s="2688"/>
      <c r="FJ114" s="2688"/>
      <c r="FK114" s="2688"/>
      <c r="FL114" s="2688"/>
      <c r="FM114" s="2688"/>
      <c r="FN114" s="2688"/>
      <c r="FO114" s="2688"/>
      <c r="FP114" s="2688"/>
      <c r="FQ114" s="2688"/>
      <c r="FR114" s="2688"/>
      <c r="FS114" s="2688"/>
      <c r="FT114" s="2688"/>
      <c r="FU114" s="2688"/>
      <c r="FV114" s="2688"/>
      <c r="FW114" s="2688"/>
      <c r="FX114" s="2688"/>
      <c r="FY114" s="2688"/>
      <c r="FZ114" s="2688"/>
      <c r="GA114" s="2688"/>
      <c r="GB114" s="2688"/>
      <c r="GC114" s="2688"/>
      <c r="GD114" s="2688"/>
      <c r="GE114" s="2688"/>
      <c r="GF114" s="2688"/>
      <c r="GG114" s="2688"/>
      <c r="GH114" s="2688"/>
      <c r="GI114" s="2688"/>
      <c r="GJ114" s="2688"/>
      <c r="GK114" s="2688"/>
      <c r="GL114" s="2688"/>
      <c r="GM114" s="2688"/>
      <c r="GN114" s="2688"/>
      <c r="GO114" s="2688"/>
      <c r="GP114" s="2688"/>
      <c r="GQ114" s="2688"/>
      <c r="GR114" s="2688"/>
      <c r="GS114" s="2688"/>
      <c r="GT114" s="2688"/>
      <c r="GU114" s="2688"/>
      <c r="GV114" s="2688"/>
      <c r="GW114" s="2688"/>
      <c r="GX114" s="2688"/>
      <c r="GY114" s="2688"/>
      <c r="GZ114" s="2688"/>
      <c r="HA114" s="2688"/>
      <c r="HB114" s="2688"/>
      <c r="HC114" s="2688"/>
      <c r="HD114" s="2688"/>
      <c r="HE114" s="2688"/>
      <c r="HF114" s="2688"/>
      <c r="HG114" s="2688"/>
      <c r="HH114" s="2688">
        <v>14655</v>
      </c>
      <c r="HI114" s="2688"/>
      <c r="HJ114" s="2688"/>
      <c r="HK114" s="2688"/>
      <c r="HL114" s="2688"/>
      <c r="HM114" s="2688"/>
      <c r="HN114" s="2688"/>
      <c r="HO114" s="2688"/>
      <c r="HP114" s="2688"/>
      <c r="HQ114" s="2688"/>
      <c r="HR114" s="2688"/>
      <c r="HS114" s="2688"/>
      <c r="HT114" s="2688"/>
      <c r="HU114" s="2688"/>
      <c r="HV114" s="2688"/>
      <c r="HW114" s="2688"/>
      <c r="HX114" s="2688"/>
      <c r="HY114" s="2688"/>
      <c r="HZ114" s="2688"/>
      <c r="IA114" s="2688"/>
      <c r="IB114" s="2688"/>
      <c r="IC114" s="2688"/>
      <c r="ID114" s="2688"/>
      <c r="IE114" s="2688"/>
      <c r="IF114" s="2688"/>
      <c r="IG114" s="2688"/>
      <c r="IH114" s="2688"/>
      <c r="II114" s="2688"/>
      <c r="IJ114" s="2688"/>
      <c r="IK114" s="2688"/>
      <c r="IL114" s="2688"/>
      <c r="IM114" s="2688"/>
      <c r="IN114" s="2688"/>
      <c r="IO114" s="2688"/>
      <c r="IP114" s="2880"/>
      <c r="IQ114" s="2880"/>
      <c r="IR114" s="2880"/>
      <c r="IS114" s="2880"/>
      <c r="IT114" s="2880"/>
      <c r="IU114" s="2880"/>
      <c r="IV114" s="2880"/>
      <c r="IW114" s="2880"/>
      <c r="IX114" s="2880"/>
      <c r="IY114" s="2880"/>
      <c r="IZ114" s="2880"/>
      <c r="JA114" s="2880"/>
      <c r="JB114" s="2880"/>
      <c r="JC114" s="2880"/>
      <c r="JD114" s="2880"/>
      <c r="JE114" s="2880"/>
      <c r="JF114" s="2880"/>
      <c r="JG114" s="4094"/>
      <c r="JH114" s="1233"/>
    </row>
    <row r="115" spans="1:268" x14ac:dyDescent="0.2">
      <c r="A115" s="1128">
        <v>115</v>
      </c>
      <c r="B115" s="1534" t="str">
        <f si="3" t="shared"/>
        <v/>
      </c>
      <c r="C115" s="1544" t="s">
        <v>4068</v>
      </c>
      <c r="D115" s="1386" t="s">
        <v>5321</v>
      </c>
      <c r="E115" s="3359"/>
      <c r="F115" s="3359"/>
      <c r="G115" s="3359"/>
      <c r="H115" s="3359"/>
      <c r="I115" s="3359"/>
      <c r="J115" s="3359"/>
      <c r="K115" s="3359"/>
      <c r="L115" s="3359"/>
      <c r="M115" s="3359"/>
      <c r="N115" s="3359"/>
      <c r="O115" s="3359"/>
      <c r="P115" s="3359"/>
      <c r="Q115" s="3359"/>
      <c r="R115" s="3359"/>
      <c r="S115" s="3359"/>
      <c r="T115" s="3359"/>
      <c r="U115" s="3359"/>
      <c r="V115" s="3359"/>
      <c r="W115" s="3359"/>
      <c r="X115" s="3359"/>
      <c r="Y115" s="3359"/>
      <c r="Z115" s="3359"/>
      <c r="AA115" s="3359"/>
      <c r="AB115" s="3359"/>
      <c r="AC115" s="3359"/>
      <c r="AD115" s="3359"/>
      <c r="AE115" s="3359"/>
      <c r="AF115" s="3359"/>
      <c r="AG115" s="3359"/>
      <c r="AH115" s="3359"/>
      <c r="AI115" s="3359"/>
      <c r="AJ115" s="3359"/>
      <c r="AK115" s="3359"/>
      <c r="AL115" s="3359"/>
      <c r="AM115" s="3359"/>
      <c r="AN115" s="3359"/>
      <c r="AO115" s="3359"/>
      <c r="AP115" s="3359"/>
      <c r="AQ115" s="3359"/>
      <c r="AR115" s="3359"/>
      <c r="AS115" s="3359"/>
      <c r="AT115" s="3359"/>
      <c r="AU115" s="3359"/>
      <c r="AV115" s="3359"/>
      <c r="AW115" s="3359"/>
      <c r="AX115" s="3359"/>
      <c r="AY115" s="3359"/>
      <c r="AZ115" s="3359"/>
      <c r="BA115" s="3359"/>
      <c r="BB115" s="3359"/>
      <c r="BC115" s="3359"/>
      <c r="BD115" s="3359"/>
      <c r="BE115" s="3359"/>
      <c r="BF115" s="3359"/>
      <c r="BG115" s="3359"/>
      <c r="BH115" s="3359"/>
      <c r="BI115" s="3359"/>
      <c r="BJ115" s="3359"/>
      <c r="BK115" s="3359"/>
      <c r="BL115" s="3359"/>
      <c r="BM115" s="3359"/>
      <c r="BN115" s="3359"/>
      <c r="BO115" s="3359"/>
      <c r="BP115" s="3359"/>
      <c r="BQ115" s="3359"/>
      <c r="BR115" s="3359"/>
      <c r="BS115" s="3359"/>
      <c r="BT115" s="3359"/>
      <c r="BU115" s="3359"/>
      <c r="BV115" s="3359"/>
      <c r="BW115" s="3359"/>
      <c r="BX115" s="3359"/>
      <c r="BY115" s="3359"/>
      <c r="BZ115" s="3359"/>
      <c r="CA115" s="3359"/>
      <c r="CB115" s="3359"/>
      <c r="CC115" s="3359"/>
      <c r="CD115" s="3359"/>
      <c r="CE115" s="3359"/>
      <c r="CF115" s="3359"/>
      <c r="CG115" s="3359"/>
      <c r="CH115" s="3359"/>
      <c r="CI115" s="3359"/>
      <c r="CJ115" s="3359"/>
      <c r="CK115" s="3359"/>
      <c r="CL115" s="3359"/>
      <c r="CM115" s="3359"/>
      <c r="CN115" s="3359"/>
      <c r="CO115" s="3359"/>
      <c r="CP115" s="3359"/>
      <c r="CQ115" s="3359"/>
      <c r="CR115" s="3359"/>
      <c r="CS115" s="3359"/>
      <c r="CT115" s="3359"/>
      <c r="CU115" s="3359"/>
      <c r="CV115" s="3359"/>
      <c r="CW115" s="3359"/>
      <c r="CX115" s="3359"/>
      <c r="CY115" s="3359"/>
      <c r="CZ115" s="3359"/>
      <c r="DA115" s="3359"/>
      <c r="DB115" s="3359"/>
      <c r="DC115" s="3359"/>
      <c r="DD115" s="3359"/>
      <c r="DE115" s="3359"/>
      <c r="DF115" s="3359"/>
      <c r="DG115" s="3359"/>
      <c r="DH115" s="3359"/>
      <c r="DI115" s="3359"/>
      <c r="DJ115" s="3359"/>
      <c r="DK115" s="3359"/>
      <c r="DL115" s="3359"/>
      <c r="DM115" s="3359"/>
      <c r="DN115" s="3359"/>
      <c r="DO115" s="3359"/>
      <c r="DP115" s="3359"/>
      <c r="DQ115" s="3359"/>
      <c r="DR115" s="3359"/>
      <c r="DS115" s="3359"/>
      <c r="DT115" s="3359"/>
      <c r="DU115" s="3359"/>
      <c r="DV115" s="3359"/>
      <c r="DW115" s="3359"/>
      <c r="DX115" s="3359"/>
      <c r="DY115" s="3359"/>
      <c r="DZ115" s="3359"/>
      <c r="EA115" s="3359"/>
      <c r="EB115" s="3359"/>
      <c r="EC115" s="3359"/>
      <c r="ED115" s="3359"/>
      <c r="EE115" s="3359"/>
      <c r="EF115" s="3359"/>
      <c r="EG115" s="3359"/>
      <c r="EH115" s="3359"/>
      <c r="EI115" s="3359"/>
      <c r="EJ115" s="3359"/>
      <c r="EK115" s="3359"/>
      <c r="EL115" s="3359"/>
      <c r="EM115" s="3359"/>
      <c r="EN115" s="3359"/>
      <c r="EO115" s="3359"/>
      <c r="EP115" s="3359"/>
      <c r="EQ115" s="3359"/>
      <c r="ER115" s="3359"/>
      <c r="ES115" s="3359"/>
      <c r="ET115" s="3359"/>
      <c r="EU115" s="3359"/>
      <c r="EV115" s="3359"/>
      <c r="EW115" s="3359"/>
      <c r="EX115" s="3359"/>
      <c r="EY115" s="3359"/>
      <c r="EZ115" s="3359"/>
      <c r="FA115" s="3359"/>
      <c r="FB115" s="3359"/>
      <c r="FC115" s="3359"/>
      <c r="FD115" s="3359"/>
      <c r="FE115" s="3359"/>
      <c r="FF115" s="3359"/>
      <c r="FG115" s="3359"/>
      <c r="FH115" s="3359"/>
      <c r="FI115" s="3359"/>
      <c r="FJ115" s="3359"/>
      <c r="FK115" s="3359"/>
      <c r="FL115" s="3359"/>
      <c r="FM115" s="3359"/>
      <c r="FN115" s="3359"/>
      <c r="FO115" s="3359"/>
      <c r="FP115" s="3359"/>
      <c r="FQ115" s="3359"/>
      <c r="FR115" s="3359"/>
      <c r="FS115" s="3359"/>
      <c r="FT115" s="3359"/>
      <c r="FU115" s="3359"/>
      <c r="FV115" s="3359"/>
      <c r="FW115" s="3359"/>
      <c r="FX115" s="3359"/>
      <c r="FY115" s="3359"/>
      <c r="FZ115" s="3359"/>
      <c r="GA115" s="3359"/>
      <c r="GB115" s="3359"/>
      <c r="GC115" s="3359"/>
      <c r="GD115" s="3359"/>
      <c r="GE115" s="3359"/>
      <c r="GF115" s="3359"/>
      <c r="GG115" s="3359"/>
      <c r="GH115" s="3359"/>
      <c r="GI115" s="3359"/>
      <c r="GJ115" s="3359"/>
      <c r="GK115" s="3359"/>
      <c r="GL115" s="3359"/>
      <c r="GM115" s="3359"/>
      <c r="GN115" s="3359"/>
      <c r="GO115" s="3359"/>
      <c r="GP115" s="3359"/>
      <c r="GQ115" s="3359"/>
      <c r="GR115" s="3359"/>
      <c r="GS115" s="3359"/>
      <c r="GT115" s="3359"/>
      <c r="GU115" s="3359"/>
      <c r="GV115" s="3359"/>
      <c r="GW115" s="3359"/>
      <c r="GX115" s="3359"/>
      <c r="GY115" s="3359"/>
      <c r="GZ115" s="3359"/>
      <c r="HA115" s="3359"/>
      <c r="HB115" s="3359"/>
      <c r="HC115" s="3359"/>
      <c r="HD115" s="3359"/>
      <c r="HE115" s="3359"/>
      <c r="HF115" s="3359"/>
      <c r="HG115" s="3359"/>
      <c r="HH115" s="3359" t="s">
        <v>3031</v>
      </c>
      <c r="HI115" s="3359"/>
      <c r="HJ115" s="3359"/>
      <c r="HK115" s="3359"/>
      <c r="HL115" s="3359"/>
      <c r="HM115" s="3359"/>
      <c r="HN115" s="3359"/>
      <c r="HO115" s="3359"/>
      <c r="HP115" s="3359"/>
      <c r="HQ115" s="3359"/>
      <c r="HR115" s="3359"/>
      <c r="HS115" s="3359"/>
      <c r="HT115" s="3359"/>
      <c r="HU115" s="3359"/>
      <c r="HV115" s="3359"/>
      <c r="HW115" s="3359"/>
      <c r="HX115" s="3359"/>
      <c r="HY115" s="3359"/>
      <c r="HZ115" s="3359"/>
      <c r="IA115" s="3359"/>
      <c r="IB115" s="3359"/>
      <c r="IC115" s="3359"/>
      <c r="ID115" s="3359"/>
      <c r="IE115" s="3359"/>
      <c r="IF115" s="3359"/>
      <c r="IG115" s="3359"/>
      <c r="IH115" s="3359"/>
      <c r="II115" s="3359"/>
      <c r="IJ115" s="3359"/>
      <c r="IK115" s="3359"/>
      <c r="IL115" s="3359"/>
      <c r="IM115" s="3359"/>
      <c r="IN115" s="3359"/>
      <c r="IO115" s="3359"/>
      <c r="IP115" s="2880"/>
      <c r="IQ115" s="2880"/>
      <c r="IR115" s="2880"/>
      <c r="IS115" s="2880"/>
      <c r="IT115" s="2880"/>
      <c r="IU115" s="2880"/>
      <c r="IV115" s="2880"/>
      <c r="IW115" s="2880"/>
      <c r="IX115" s="2880"/>
      <c r="IY115" s="2880"/>
      <c r="IZ115" s="2880"/>
      <c r="JA115" s="2880"/>
      <c r="JB115" s="2880"/>
      <c r="JC115" s="2880"/>
      <c r="JD115" s="2880"/>
      <c r="JE115" s="2880"/>
      <c r="JF115" s="2880"/>
      <c r="JG115" s="4094"/>
      <c r="JH115" s="1233"/>
    </row>
    <row r="116" spans="1:268" x14ac:dyDescent="0.2">
      <c r="A116" s="1128">
        <v>116</v>
      </c>
      <c r="B116" s="1534" t="str">
        <f si="3" t="shared"/>
        <v/>
      </c>
      <c r="C116" s="1544" t="s">
        <v>4069</v>
      </c>
      <c r="D116" s="1386" t="s">
        <v>3006</v>
      </c>
      <c r="E116" s="2688"/>
      <c r="F116" s="2688"/>
      <c r="G116" s="2688"/>
      <c r="H116" s="2688"/>
      <c r="I116" s="2688"/>
      <c r="J116" s="2688"/>
      <c r="K116" s="2688"/>
      <c r="L116" s="2688"/>
      <c r="M116" s="2688"/>
      <c r="N116" s="2688"/>
      <c r="O116" s="2688"/>
      <c r="P116" s="2688"/>
      <c r="Q116" s="2688"/>
      <c r="R116" s="2688"/>
      <c r="S116" s="2688"/>
      <c r="T116" s="2688"/>
      <c r="U116" s="2688"/>
      <c r="V116" s="2688"/>
      <c r="W116" s="2688"/>
      <c r="X116" s="2688"/>
      <c r="Y116" s="2688"/>
      <c r="Z116" s="2688"/>
      <c r="AA116" s="2688"/>
      <c r="AB116" s="2688"/>
      <c r="AC116" s="2688"/>
      <c r="AD116" s="2688"/>
      <c r="AE116" s="2688"/>
      <c r="AF116" s="2688"/>
      <c r="AG116" s="2688"/>
      <c r="AH116" s="2688"/>
      <c r="AI116" s="2688"/>
      <c r="AJ116" s="2688"/>
      <c r="AK116" s="2688"/>
      <c r="AL116" s="2688"/>
      <c r="AM116" s="2688"/>
      <c r="AN116" s="2688"/>
      <c r="AO116" s="2688"/>
      <c r="AP116" s="2688"/>
      <c r="AQ116" s="2688"/>
      <c r="AR116" s="2688"/>
      <c r="AS116" s="2688"/>
      <c r="AT116" s="2688"/>
      <c r="AU116" s="2688"/>
      <c r="AV116" s="2688"/>
      <c r="AW116" s="2688"/>
      <c r="AX116" s="2688"/>
      <c r="AY116" s="2688"/>
      <c r="AZ116" s="2688"/>
      <c r="BA116" s="2688"/>
      <c r="BB116" s="2688"/>
      <c r="BC116" s="2688"/>
      <c r="BD116" s="2688"/>
      <c r="BE116" s="2688"/>
      <c r="BF116" s="2688"/>
      <c r="BG116" s="2688"/>
      <c r="BH116" s="2688"/>
      <c r="BI116" s="2688"/>
      <c r="BJ116" s="2688"/>
      <c r="BK116" s="2688"/>
      <c r="BL116" s="2688"/>
      <c r="BM116" s="2688"/>
      <c r="BN116" s="2688"/>
      <c r="BO116" s="2688"/>
      <c r="BP116" s="2688"/>
      <c r="BQ116" s="2688"/>
      <c r="BR116" s="2688"/>
      <c r="BS116" s="2688"/>
      <c r="BT116" s="2688"/>
      <c r="BU116" s="2688"/>
      <c r="BV116" s="2688"/>
      <c r="BW116" s="2688"/>
      <c r="BX116" s="2688"/>
      <c r="BY116" s="2688"/>
      <c r="BZ116" s="2688"/>
      <c r="CA116" s="2688"/>
      <c r="CB116" s="2688"/>
      <c r="CC116" s="2688"/>
      <c r="CD116" s="2688"/>
      <c r="CE116" s="2688"/>
      <c r="CF116" s="2688"/>
      <c r="CG116" s="2688"/>
      <c r="CH116" s="2688"/>
      <c r="CI116" s="2688"/>
      <c r="CJ116" s="2688"/>
      <c r="CK116" s="2688"/>
      <c r="CL116" s="2688"/>
      <c r="CM116" s="2688"/>
      <c r="CN116" s="2688"/>
      <c r="CO116" s="2688"/>
      <c r="CP116" s="2688"/>
      <c r="CQ116" s="2688"/>
      <c r="CR116" s="2688"/>
      <c r="CS116" s="2688"/>
      <c r="CT116" s="2688"/>
      <c r="CU116" s="2688"/>
      <c r="CV116" s="2688"/>
      <c r="CW116" s="2688"/>
      <c r="CX116" s="2688"/>
      <c r="CY116" s="2688"/>
      <c r="CZ116" s="2688"/>
      <c r="DA116" s="2688"/>
      <c r="DB116" s="2688"/>
      <c r="DC116" s="2688"/>
      <c r="DD116" s="2688"/>
      <c r="DE116" s="2688"/>
      <c r="DF116" s="2688"/>
      <c r="DG116" s="2688"/>
      <c r="DH116" s="2688"/>
      <c r="DI116" s="2688"/>
      <c r="DJ116" s="2688"/>
      <c r="DK116" s="2688"/>
      <c r="DL116" s="2688"/>
      <c r="DM116" s="2688"/>
      <c r="DN116" s="2688"/>
      <c r="DO116" s="2688"/>
      <c r="DP116" s="2688"/>
      <c r="DQ116" s="2688"/>
      <c r="DR116" s="2688"/>
      <c r="DS116" s="2688"/>
      <c r="DT116" s="2688"/>
      <c r="DU116" s="2688"/>
      <c r="DV116" s="2688"/>
      <c r="DW116" s="2688"/>
      <c r="DX116" s="2688"/>
      <c r="DY116" s="2688"/>
      <c r="DZ116" s="2688"/>
      <c r="EA116" s="2688"/>
      <c r="EB116" s="2688"/>
      <c r="EC116" s="2688"/>
      <c r="ED116" s="2688"/>
      <c r="EE116" s="2688"/>
      <c r="EF116" s="2688"/>
      <c r="EG116" s="2688"/>
      <c r="EH116" s="2688"/>
      <c r="EI116" s="2688"/>
      <c r="EJ116" s="2688"/>
      <c r="EK116" s="2688"/>
      <c r="EL116" s="2688"/>
      <c r="EM116" s="2688"/>
      <c r="EN116" s="2688"/>
      <c r="EO116" s="2688"/>
      <c r="EP116" s="2688"/>
      <c r="EQ116" s="2688"/>
      <c r="ER116" s="2688"/>
      <c r="ES116" s="2688"/>
      <c r="ET116" s="2688"/>
      <c r="EU116" s="2688"/>
      <c r="EV116" s="2688"/>
      <c r="EW116" s="2688"/>
      <c r="EX116" s="2688"/>
      <c r="EY116" s="2688"/>
      <c r="EZ116" s="2688"/>
      <c r="FA116" s="2688"/>
      <c r="FB116" s="2688"/>
      <c r="FC116" s="2688"/>
      <c r="FD116" s="2688"/>
      <c r="FE116" s="2688"/>
      <c r="FF116" s="2688"/>
      <c r="FG116" s="2688"/>
      <c r="FH116" s="2688"/>
      <c r="FI116" s="2688"/>
      <c r="FJ116" s="2688"/>
      <c r="FK116" s="2688"/>
      <c r="FL116" s="2688"/>
      <c r="FM116" s="2688"/>
      <c r="FN116" s="2688"/>
      <c r="FO116" s="2688"/>
      <c r="FP116" s="2688"/>
      <c r="FQ116" s="2688"/>
      <c r="FR116" s="2688"/>
      <c r="FS116" s="2688"/>
      <c r="FT116" s="2688"/>
      <c r="FU116" s="2688"/>
      <c r="FV116" s="2688"/>
      <c r="FW116" s="2688"/>
      <c r="FX116" s="2688"/>
      <c r="FY116" s="2688"/>
      <c r="FZ116" s="2688"/>
      <c r="GA116" s="2688"/>
      <c r="GB116" s="2688"/>
      <c r="GC116" s="2688"/>
      <c r="GD116" s="2688"/>
      <c r="GE116" s="2688"/>
      <c r="GF116" s="2688"/>
      <c r="GG116" s="2688"/>
      <c r="GH116" s="2688"/>
      <c r="GI116" s="2688"/>
      <c r="GJ116" s="2688"/>
      <c r="GK116" s="2688"/>
      <c r="GL116" s="2688"/>
      <c r="GM116" s="2688"/>
      <c r="GN116" s="2688"/>
      <c r="GO116" s="2688"/>
      <c r="GP116" s="2688"/>
      <c r="GQ116" s="2688"/>
      <c r="GR116" s="2688"/>
      <c r="GS116" s="2688"/>
      <c r="GT116" s="2688"/>
      <c r="GU116" s="2688"/>
      <c r="GV116" s="2688"/>
      <c r="GW116" s="2688"/>
      <c r="GX116" s="2688"/>
      <c r="GY116" s="2688"/>
      <c r="GZ116" s="2688"/>
      <c r="HA116" s="2688"/>
      <c r="HB116" s="2688"/>
      <c r="HC116" s="2688"/>
      <c r="HD116" s="2688"/>
      <c r="HE116" s="2688"/>
      <c r="HF116" s="2688"/>
      <c r="HG116" s="2688"/>
      <c r="HH116" s="2688">
        <v>1651</v>
      </c>
      <c r="HI116" s="2688"/>
      <c r="HJ116" s="2688"/>
      <c r="HK116" s="2688"/>
      <c r="HL116" s="2688"/>
      <c r="HM116" s="2688"/>
      <c r="HN116" s="2688"/>
      <c r="HO116" s="2688"/>
      <c r="HP116" s="2688"/>
      <c r="HQ116" s="2688"/>
      <c r="HR116" s="2688"/>
      <c r="HS116" s="2688"/>
      <c r="HT116" s="2688"/>
      <c r="HU116" s="2688"/>
      <c r="HV116" s="2688"/>
      <c r="HW116" s="2688"/>
      <c r="HX116" s="2688"/>
      <c r="HY116" s="2688"/>
      <c r="HZ116" s="2688"/>
      <c r="IA116" s="2688"/>
      <c r="IB116" s="2688"/>
      <c r="IC116" s="2688"/>
      <c r="ID116" s="2688"/>
      <c r="IE116" s="2688"/>
      <c r="IF116" s="2688"/>
      <c r="IG116" s="2688"/>
      <c r="IH116" s="2688"/>
      <c r="II116" s="2688"/>
      <c r="IJ116" s="2688"/>
      <c r="IK116" s="2688"/>
      <c r="IL116" s="2688"/>
      <c r="IM116" s="2688"/>
      <c r="IN116" s="2688"/>
      <c r="IO116" s="2688"/>
      <c r="IP116" s="2880"/>
      <c r="IQ116" s="2880"/>
      <c r="IR116" s="2880"/>
      <c r="IS116" s="2880"/>
      <c r="IT116" s="2880"/>
      <c r="IU116" s="2880"/>
      <c r="IV116" s="2880"/>
      <c r="IW116" s="2880"/>
      <c r="IX116" s="2880"/>
      <c r="IY116" s="2880"/>
      <c r="IZ116" s="2880"/>
      <c r="JA116" s="2880"/>
      <c r="JB116" s="2880"/>
      <c r="JC116" s="2880"/>
      <c r="JD116" s="2880"/>
      <c r="JE116" s="2880"/>
      <c r="JF116" s="2880"/>
      <c r="JG116" s="4094"/>
      <c r="JH116" s="1233"/>
    </row>
    <row r="117" spans="1:268" x14ac:dyDescent="0.2">
      <c r="A117" s="1128">
        <v>117</v>
      </c>
      <c r="B117" s="1534" t="str">
        <f si="3" t="shared"/>
        <v/>
      </c>
      <c r="C117" s="1544" t="s">
        <v>4070</v>
      </c>
      <c r="D117" s="1386" t="s">
        <v>5339</v>
      </c>
      <c r="E117" s="3359"/>
      <c r="F117" s="3359"/>
      <c r="G117" s="3359"/>
      <c r="H117" s="3359"/>
      <c r="I117" s="3359"/>
      <c r="J117" s="3359"/>
      <c r="K117" s="3359"/>
      <c r="L117" s="3359"/>
      <c r="M117" s="3359"/>
      <c r="N117" s="3359"/>
      <c r="O117" s="3359"/>
      <c r="P117" s="3359"/>
      <c r="Q117" s="3359"/>
      <c r="R117" s="3359"/>
      <c r="S117" s="3359"/>
      <c r="T117" s="3359"/>
      <c r="U117" s="3359"/>
      <c r="V117" s="3359"/>
      <c r="W117" s="3359"/>
      <c r="X117" s="3359"/>
      <c r="Y117" s="3359"/>
      <c r="Z117" s="3359"/>
      <c r="AA117" s="3359"/>
      <c r="AB117" s="3359"/>
      <c r="AC117" s="3359"/>
      <c r="AD117" s="3359"/>
      <c r="AE117" s="3359"/>
      <c r="AF117" s="3359"/>
      <c r="AG117" s="3359"/>
      <c r="AH117" s="3359"/>
      <c r="AI117" s="3359"/>
      <c r="AJ117" s="3359"/>
      <c r="AK117" s="3359"/>
      <c r="AL117" s="3359"/>
      <c r="AM117" s="3359"/>
      <c r="AN117" s="3359"/>
      <c r="AO117" s="3359"/>
      <c r="AP117" s="3359"/>
      <c r="AQ117" s="3359"/>
      <c r="AR117" s="3359"/>
      <c r="AS117" s="3359"/>
      <c r="AT117" s="3359"/>
      <c r="AU117" s="3359"/>
      <c r="AV117" s="3359"/>
      <c r="AW117" s="3359"/>
      <c r="AX117" s="3359"/>
      <c r="AY117" s="3359"/>
      <c r="AZ117" s="3359"/>
      <c r="BA117" s="3359"/>
      <c r="BB117" s="3359"/>
      <c r="BC117" s="3359"/>
      <c r="BD117" s="3359"/>
      <c r="BE117" s="3359"/>
      <c r="BF117" s="3359"/>
      <c r="BG117" s="3359"/>
      <c r="BH117" s="3359"/>
      <c r="BI117" s="3359"/>
      <c r="BJ117" s="3359"/>
      <c r="BK117" s="3359"/>
      <c r="BL117" s="3359"/>
      <c r="BM117" s="3359"/>
      <c r="BN117" s="3359"/>
      <c r="BO117" s="3359"/>
      <c r="BP117" s="3359"/>
      <c r="BQ117" s="3359"/>
      <c r="BR117" s="3359"/>
      <c r="BS117" s="3359"/>
      <c r="BT117" s="3359"/>
      <c r="BU117" s="3359"/>
      <c r="BV117" s="3359"/>
      <c r="BW117" s="3359"/>
      <c r="BX117" s="3359"/>
      <c r="BY117" s="3359"/>
      <c r="BZ117" s="3359"/>
      <c r="CA117" s="3359"/>
      <c r="CB117" s="3359"/>
      <c r="CC117" s="3359"/>
      <c r="CD117" s="3359"/>
      <c r="CE117" s="3359"/>
      <c r="CF117" s="3359"/>
      <c r="CG117" s="3359"/>
      <c r="CH117" s="3359"/>
      <c r="CI117" s="3359"/>
      <c r="CJ117" s="3359"/>
      <c r="CK117" s="3359"/>
      <c r="CL117" s="3359"/>
      <c r="CM117" s="3359"/>
      <c r="CN117" s="3359"/>
      <c r="CO117" s="3359"/>
      <c r="CP117" s="3359"/>
      <c r="CQ117" s="3359"/>
      <c r="CR117" s="3359"/>
      <c r="CS117" s="3359"/>
      <c r="CT117" s="3359"/>
      <c r="CU117" s="3359"/>
      <c r="CV117" s="3359"/>
      <c r="CW117" s="3359"/>
      <c r="CX117" s="3359"/>
      <c r="CY117" s="3359"/>
      <c r="CZ117" s="3359"/>
      <c r="DA117" s="3359"/>
      <c r="DB117" s="3359"/>
      <c r="DC117" s="3359"/>
      <c r="DD117" s="3359"/>
      <c r="DE117" s="3359"/>
      <c r="DF117" s="3359"/>
      <c r="DG117" s="3359"/>
      <c r="DH117" s="3359"/>
      <c r="DI117" s="3359"/>
      <c r="DJ117" s="3359"/>
      <c r="DK117" s="3359"/>
      <c r="DL117" s="3359"/>
      <c r="DM117" s="3359"/>
      <c r="DN117" s="3359"/>
      <c r="DO117" s="3359"/>
      <c r="DP117" s="3359"/>
      <c r="DQ117" s="3359"/>
      <c r="DR117" s="3359"/>
      <c r="DS117" s="3359"/>
      <c r="DT117" s="3359"/>
      <c r="DU117" s="3359"/>
      <c r="DV117" s="3359"/>
      <c r="DW117" s="3359"/>
      <c r="DX117" s="3359"/>
      <c r="DY117" s="3359"/>
      <c r="DZ117" s="3359"/>
      <c r="EA117" s="3359"/>
      <c r="EB117" s="3359"/>
      <c r="EC117" s="3359"/>
      <c r="ED117" s="3359"/>
      <c r="EE117" s="3359"/>
      <c r="EF117" s="3359"/>
      <c r="EG117" s="3359"/>
      <c r="EH117" s="3359"/>
      <c r="EI117" s="3359"/>
      <c r="EJ117" s="3359"/>
      <c r="EK117" s="3359"/>
      <c r="EL117" s="3359"/>
      <c r="EM117" s="3359"/>
      <c r="EN117" s="3359"/>
      <c r="EO117" s="3359"/>
      <c r="EP117" s="3359"/>
      <c r="EQ117" s="3359"/>
      <c r="ER117" s="3359"/>
      <c r="ES117" s="3359"/>
      <c r="ET117" s="3359"/>
      <c r="EU117" s="3359"/>
      <c r="EV117" s="3359"/>
      <c r="EW117" s="3359"/>
      <c r="EX117" s="3359"/>
      <c r="EY117" s="3359"/>
      <c r="EZ117" s="3359"/>
      <c r="FA117" s="3359"/>
      <c r="FB117" s="3359"/>
      <c r="FC117" s="3359"/>
      <c r="FD117" s="3359"/>
      <c r="FE117" s="3359"/>
      <c r="FF117" s="3359"/>
      <c r="FG117" s="3359"/>
      <c r="FH117" s="3359"/>
      <c r="FI117" s="3359"/>
      <c r="FJ117" s="3359"/>
      <c r="FK117" s="3359"/>
      <c r="FL117" s="3359"/>
      <c r="FM117" s="3359"/>
      <c r="FN117" s="3359"/>
      <c r="FO117" s="3359"/>
      <c r="FP117" s="3359"/>
      <c r="FQ117" s="3359"/>
      <c r="FR117" s="3359"/>
      <c r="FS117" s="3359"/>
      <c r="FT117" s="3359"/>
      <c r="FU117" s="3359"/>
      <c r="FV117" s="3359"/>
      <c r="FW117" s="3359"/>
      <c r="FX117" s="3359"/>
      <c r="FY117" s="3359"/>
      <c r="FZ117" s="3359"/>
      <c r="GA117" s="3359"/>
      <c r="GB117" s="3359"/>
      <c r="GC117" s="3359"/>
      <c r="GD117" s="3359"/>
      <c r="GE117" s="3359"/>
      <c r="GF117" s="3359"/>
      <c r="GG117" s="3359"/>
      <c r="GH117" s="3359"/>
      <c r="GI117" s="3359"/>
      <c r="GJ117" s="3359"/>
      <c r="GK117" s="3359"/>
      <c r="GL117" s="3359"/>
      <c r="GM117" s="3359"/>
      <c r="GN117" s="3359"/>
      <c r="GO117" s="3359"/>
      <c r="GP117" s="3359"/>
      <c r="GQ117" s="3359"/>
      <c r="GR117" s="3359"/>
      <c r="GS117" s="3359"/>
      <c r="GT117" s="3359"/>
      <c r="GU117" s="3359"/>
      <c r="GV117" s="3359"/>
      <c r="GW117" s="3359"/>
      <c r="GX117" s="3359"/>
      <c r="GY117" s="3359"/>
      <c r="GZ117" s="3359"/>
      <c r="HA117" s="3359"/>
      <c r="HB117" s="3359"/>
      <c r="HC117" s="3359"/>
      <c r="HD117" s="3359"/>
      <c r="HE117" s="3359"/>
      <c r="HF117" s="3359"/>
      <c r="HG117" s="3359"/>
      <c r="HH117" s="3359" t="s">
        <v>572</v>
      </c>
      <c r="HI117" s="3359"/>
      <c r="HJ117" s="3359"/>
      <c r="HK117" s="3359"/>
      <c r="HL117" s="3359"/>
      <c r="HM117" s="3359"/>
      <c r="HN117" s="3359"/>
      <c r="HO117" s="3359"/>
      <c r="HP117" s="3359"/>
      <c r="HQ117" s="3359"/>
      <c r="HR117" s="3359"/>
      <c r="HS117" s="3359"/>
      <c r="HT117" s="3359"/>
      <c r="HU117" s="3359"/>
      <c r="HV117" s="3359"/>
      <c r="HW117" s="3359"/>
      <c r="HX117" s="3359"/>
      <c r="HY117" s="3359"/>
      <c r="HZ117" s="3359"/>
      <c r="IA117" s="3359"/>
      <c r="IB117" s="3359"/>
      <c r="IC117" s="3359"/>
      <c r="ID117" s="3359"/>
      <c r="IE117" s="3359"/>
      <c r="IF117" s="3359"/>
      <c r="IG117" s="3359"/>
      <c r="IH117" s="3359"/>
      <c r="II117" s="3359"/>
      <c r="IJ117" s="3359"/>
      <c r="IK117" s="3359"/>
      <c r="IL117" s="3359"/>
      <c r="IM117" s="3359"/>
      <c r="IN117" s="3359"/>
      <c r="IO117" s="3359"/>
      <c r="IP117" s="2880"/>
      <c r="IQ117" s="2880"/>
      <c r="IR117" s="2880"/>
      <c r="IS117" s="2880"/>
      <c r="IT117" s="2880"/>
      <c r="IU117" s="2880"/>
      <c r="IV117" s="2880"/>
      <c r="IW117" s="2880"/>
      <c r="IX117" s="2880"/>
      <c r="IY117" s="2880"/>
      <c r="IZ117" s="2880"/>
      <c r="JA117" s="2880"/>
      <c r="JB117" s="2880"/>
      <c r="JC117" s="2880"/>
      <c r="JD117" s="2880"/>
      <c r="JE117" s="2880"/>
      <c r="JF117" s="2880"/>
      <c r="JG117" s="4094"/>
      <c r="JH117" s="1233"/>
    </row>
    <row r="118" spans="1:268" x14ac:dyDescent="0.2">
      <c r="A118" s="1128">
        <v>118</v>
      </c>
      <c r="B118" s="1534" t="str">
        <f si="3" t="shared"/>
        <v/>
      </c>
      <c r="C118" s="1544" t="s">
        <v>4071</v>
      </c>
      <c r="D118" s="1386" t="s">
        <v>5326</v>
      </c>
      <c r="E118" s="2688"/>
      <c r="F118" s="2688"/>
      <c r="G118" s="2688"/>
      <c r="H118" s="2688"/>
      <c r="I118" s="2688"/>
      <c r="J118" s="2688"/>
      <c r="K118" s="2688"/>
      <c r="L118" s="2688"/>
      <c r="M118" s="2688"/>
      <c r="N118" s="2688"/>
      <c r="O118" s="2688"/>
      <c r="P118" s="2688"/>
      <c r="Q118" s="2688"/>
      <c r="R118" s="2688"/>
      <c r="S118" s="2688"/>
      <c r="T118" s="2688"/>
      <c r="U118" s="2688"/>
      <c r="V118" s="2688"/>
      <c r="W118" s="2688"/>
      <c r="X118" s="2688"/>
      <c r="Y118" s="2688"/>
      <c r="Z118" s="2688"/>
      <c r="AA118" s="2688"/>
      <c r="AB118" s="2688"/>
      <c r="AC118" s="2688"/>
      <c r="AD118" s="2688"/>
      <c r="AE118" s="2688"/>
      <c r="AF118" s="2688"/>
      <c r="AG118" s="2688"/>
      <c r="AH118" s="2688"/>
      <c r="AI118" s="2688"/>
      <c r="AJ118" s="2688"/>
      <c r="AK118" s="2688"/>
      <c r="AL118" s="2688"/>
      <c r="AM118" s="2688"/>
      <c r="AN118" s="2688"/>
      <c r="AO118" s="2688"/>
      <c r="AP118" s="2688"/>
      <c r="AQ118" s="2688"/>
      <c r="AR118" s="2688"/>
      <c r="AS118" s="2688"/>
      <c r="AT118" s="2688"/>
      <c r="AU118" s="2688"/>
      <c r="AV118" s="2688"/>
      <c r="AW118" s="2688"/>
      <c r="AX118" s="2688"/>
      <c r="AY118" s="2688"/>
      <c r="AZ118" s="2688"/>
      <c r="BA118" s="2688"/>
      <c r="BB118" s="2688"/>
      <c r="BC118" s="2688"/>
      <c r="BD118" s="2688"/>
      <c r="BE118" s="2688"/>
      <c r="BF118" s="2688"/>
      <c r="BG118" s="2688"/>
      <c r="BH118" s="2688"/>
      <c r="BI118" s="2688"/>
      <c r="BJ118" s="2688"/>
      <c r="BK118" s="2688"/>
      <c r="BL118" s="2688"/>
      <c r="BM118" s="2688"/>
      <c r="BN118" s="2688"/>
      <c r="BO118" s="2688"/>
      <c r="BP118" s="2688"/>
      <c r="BQ118" s="2688"/>
      <c r="BR118" s="2688"/>
      <c r="BS118" s="2688"/>
      <c r="BT118" s="2688"/>
      <c r="BU118" s="2688"/>
      <c r="BV118" s="2688"/>
      <c r="BW118" s="2688"/>
      <c r="BX118" s="2688"/>
      <c r="BY118" s="2688"/>
      <c r="BZ118" s="2688"/>
      <c r="CA118" s="2688"/>
      <c r="CB118" s="2688"/>
      <c r="CC118" s="2688"/>
      <c r="CD118" s="2688"/>
      <c r="CE118" s="2688"/>
      <c r="CF118" s="2688"/>
      <c r="CG118" s="2688"/>
      <c r="CH118" s="2688"/>
      <c r="CI118" s="2688"/>
      <c r="CJ118" s="2688"/>
      <c r="CK118" s="2688"/>
      <c r="CL118" s="2688"/>
      <c r="CM118" s="2688"/>
      <c r="CN118" s="2688"/>
      <c r="CO118" s="2688"/>
      <c r="CP118" s="2688"/>
      <c r="CQ118" s="2688"/>
      <c r="CR118" s="2688"/>
      <c r="CS118" s="2688"/>
      <c r="CT118" s="2688"/>
      <c r="CU118" s="2688"/>
      <c r="CV118" s="2688"/>
      <c r="CW118" s="2688"/>
      <c r="CX118" s="2688"/>
      <c r="CY118" s="2688"/>
      <c r="CZ118" s="2688"/>
      <c r="DA118" s="2688"/>
      <c r="DB118" s="2688"/>
      <c r="DC118" s="2688"/>
      <c r="DD118" s="2688"/>
      <c r="DE118" s="2688"/>
      <c r="DF118" s="2688"/>
      <c r="DG118" s="2688"/>
      <c r="DH118" s="2688"/>
      <c r="DI118" s="2688"/>
      <c r="DJ118" s="2688"/>
      <c r="DK118" s="2688"/>
      <c r="DL118" s="2688"/>
      <c r="DM118" s="2688"/>
      <c r="DN118" s="2688"/>
      <c r="DO118" s="2688"/>
      <c r="DP118" s="2688"/>
      <c r="DQ118" s="2688"/>
      <c r="DR118" s="2688"/>
      <c r="DS118" s="2688"/>
      <c r="DT118" s="2688"/>
      <c r="DU118" s="2688"/>
      <c r="DV118" s="2688"/>
      <c r="DW118" s="2688"/>
      <c r="DX118" s="2688"/>
      <c r="DY118" s="2688"/>
      <c r="DZ118" s="2688"/>
      <c r="EA118" s="2688"/>
      <c r="EB118" s="2688"/>
      <c r="EC118" s="2688"/>
      <c r="ED118" s="2688"/>
      <c r="EE118" s="2688"/>
      <c r="EF118" s="2688"/>
      <c r="EG118" s="2688"/>
      <c r="EH118" s="2688"/>
      <c r="EI118" s="2688"/>
      <c r="EJ118" s="2688"/>
      <c r="EK118" s="2688"/>
      <c r="EL118" s="2688"/>
      <c r="EM118" s="2688"/>
      <c r="EN118" s="2688"/>
      <c r="EO118" s="2688"/>
      <c r="EP118" s="2688"/>
      <c r="EQ118" s="2688"/>
      <c r="ER118" s="2688"/>
      <c r="ES118" s="2688"/>
      <c r="ET118" s="2688"/>
      <c r="EU118" s="2688"/>
      <c r="EV118" s="2688"/>
      <c r="EW118" s="2688"/>
      <c r="EX118" s="2688"/>
      <c r="EY118" s="2688"/>
      <c r="EZ118" s="2688"/>
      <c r="FA118" s="2688"/>
      <c r="FB118" s="2688"/>
      <c r="FC118" s="2688"/>
      <c r="FD118" s="2688"/>
      <c r="FE118" s="2688"/>
      <c r="FF118" s="2688"/>
      <c r="FG118" s="2688"/>
      <c r="FH118" s="2688"/>
      <c r="FI118" s="2688"/>
      <c r="FJ118" s="2688"/>
      <c r="FK118" s="2688"/>
      <c r="FL118" s="2688"/>
      <c r="FM118" s="2688"/>
      <c r="FN118" s="2688"/>
      <c r="FO118" s="2688"/>
      <c r="FP118" s="2688"/>
      <c r="FQ118" s="2688"/>
      <c r="FR118" s="2688"/>
      <c r="FS118" s="2688"/>
      <c r="FT118" s="2688"/>
      <c r="FU118" s="2688"/>
      <c r="FV118" s="2688"/>
      <c r="FW118" s="2688"/>
      <c r="FX118" s="2688"/>
      <c r="FY118" s="2688"/>
      <c r="FZ118" s="2688"/>
      <c r="GA118" s="2688"/>
      <c r="GB118" s="2688"/>
      <c r="GC118" s="2688"/>
      <c r="GD118" s="2688"/>
      <c r="GE118" s="2688"/>
      <c r="GF118" s="2688"/>
      <c r="GG118" s="2688"/>
      <c r="GH118" s="2688"/>
      <c r="GI118" s="2688"/>
      <c r="GJ118" s="2688"/>
      <c r="GK118" s="2688"/>
      <c r="GL118" s="2688"/>
      <c r="GM118" s="2688"/>
      <c r="GN118" s="2688"/>
      <c r="GO118" s="2688"/>
      <c r="GP118" s="2688"/>
      <c r="GQ118" s="2688"/>
      <c r="GR118" s="2688"/>
      <c r="GS118" s="2688"/>
      <c r="GT118" s="2688"/>
      <c r="GU118" s="2688"/>
      <c r="GV118" s="2688"/>
      <c r="GW118" s="2688"/>
      <c r="GX118" s="2688"/>
      <c r="GY118" s="2688"/>
      <c r="GZ118" s="2688"/>
      <c r="HA118" s="2688"/>
      <c r="HB118" s="2688"/>
      <c r="HC118" s="2688"/>
      <c r="HD118" s="2688"/>
      <c r="HE118" s="2688"/>
      <c r="HF118" s="2688"/>
      <c r="HG118" s="2688"/>
      <c r="HH118" s="2688">
        <v>7434</v>
      </c>
      <c r="HI118" s="2688"/>
      <c r="HJ118" s="2688"/>
      <c r="HK118" s="2688"/>
      <c r="HL118" s="2688"/>
      <c r="HM118" s="2688"/>
      <c r="HN118" s="2688"/>
      <c r="HO118" s="2688"/>
      <c r="HP118" s="2688"/>
      <c r="HQ118" s="2688"/>
      <c r="HR118" s="2688"/>
      <c r="HS118" s="2688"/>
      <c r="HT118" s="2688"/>
      <c r="HU118" s="2688"/>
      <c r="HV118" s="2688"/>
      <c r="HW118" s="2688"/>
      <c r="HX118" s="2688"/>
      <c r="HY118" s="2688"/>
      <c r="HZ118" s="2688"/>
      <c r="IA118" s="2688"/>
      <c r="IB118" s="2688"/>
      <c r="IC118" s="2688"/>
      <c r="ID118" s="2688"/>
      <c r="IE118" s="2688"/>
      <c r="IF118" s="2688"/>
      <c r="IG118" s="2688"/>
      <c r="IH118" s="2688"/>
      <c r="II118" s="2688"/>
      <c r="IJ118" s="2688"/>
      <c r="IK118" s="2688"/>
      <c r="IL118" s="2688"/>
      <c r="IM118" s="2688"/>
      <c r="IN118" s="2688"/>
      <c r="IO118" s="2688"/>
      <c r="IP118" s="2880"/>
      <c r="IQ118" s="2880"/>
      <c r="IR118" s="2880"/>
      <c r="IS118" s="2880"/>
      <c r="IT118" s="2880"/>
      <c r="IU118" s="2880"/>
      <c r="IV118" s="2880"/>
      <c r="IW118" s="2880"/>
      <c r="IX118" s="2880"/>
      <c r="IY118" s="2880"/>
      <c r="IZ118" s="2880"/>
      <c r="JA118" s="2880"/>
      <c r="JB118" s="2880"/>
      <c r="JC118" s="2880"/>
      <c r="JD118" s="2880"/>
      <c r="JE118" s="2880"/>
      <c r="JF118" s="2880"/>
      <c r="JG118" s="4094"/>
      <c r="JH118" s="1233"/>
    </row>
    <row r="119" spans="1:268" x14ac:dyDescent="0.2">
      <c r="A119" s="1128">
        <v>119</v>
      </c>
      <c r="B119" s="1534" t="str">
        <f si="3" t="shared"/>
        <v/>
      </c>
      <c r="C119" s="1544" t="s">
        <v>4072</v>
      </c>
      <c r="D119" s="1386" t="s">
        <v>5321</v>
      </c>
      <c r="E119" s="3359"/>
      <c r="F119" s="3359"/>
      <c r="G119" s="3359"/>
      <c r="H119" s="3359"/>
      <c r="I119" s="3359"/>
      <c r="J119" s="3359"/>
      <c r="K119" s="3359"/>
      <c r="L119" s="3359"/>
      <c r="M119" s="3359"/>
      <c r="N119" s="3359"/>
      <c r="O119" s="3359"/>
      <c r="P119" s="3359"/>
      <c r="Q119" s="3359"/>
      <c r="R119" s="3359"/>
      <c r="S119" s="3359"/>
      <c r="T119" s="3359"/>
      <c r="U119" s="3359"/>
      <c r="V119" s="3359"/>
      <c r="W119" s="3359"/>
      <c r="X119" s="3359"/>
      <c r="Y119" s="3359"/>
      <c r="Z119" s="3359"/>
      <c r="AA119" s="3359"/>
      <c r="AB119" s="3359"/>
      <c r="AC119" s="3359"/>
      <c r="AD119" s="3359"/>
      <c r="AE119" s="3359"/>
      <c r="AF119" s="3359"/>
      <c r="AG119" s="3359"/>
      <c r="AH119" s="3359"/>
      <c r="AI119" s="3359"/>
      <c r="AJ119" s="3359"/>
      <c r="AK119" s="3359"/>
      <c r="AL119" s="3359"/>
      <c r="AM119" s="3359"/>
      <c r="AN119" s="3359"/>
      <c r="AO119" s="3359"/>
      <c r="AP119" s="3359"/>
      <c r="AQ119" s="3359"/>
      <c r="AR119" s="3359"/>
      <c r="AS119" s="3359"/>
      <c r="AT119" s="3359"/>
      <c r="AU119" s="3359"/>
      <c r="AV119" s="3359"/>
      <c r="AW119" s="3359"/>
      <c r="AX119" s="3359"/>
      <c r="AY119" s="3359"/>
      <c r="AZ119" s="3359"/>
      <c r="BA119" s="3359"/>
      <c r="BB119" s="3359"/>
      <c r="BC119" s="3359"/>
      <c r="BD119" s="3359"/>
      <c r="BE119" s="3359"/>
      <c r="BF119" s="3359"/>
      <c r="BG119" s="3359"/>
      <c r="BH119" s="3359"/>
      <c r="BI119" s="3359"/>
      <c r="BJ119" s="3359"/>
      <c r="BK119" s="3359"/>
      <c r="BL119" s="3359"/>
      <c r="BM119" s="3359"/>
      <c r="BN119" s="3359"/>
      <c r="BO119" s="3359"/>
      <c r="BP119" s="3359"/>
      <c r="BQ119" s="3359"/>
      <c r="BR119" s="3359"/>
      <c r="BS119" s="3359"/>
      <c r="BT119" s="3359"/>
      <c r="BU119" s="3359"/>
      <c r="BV119" s="3359"/>
      <c r="BW119" s="3359"/>
      <c r="BX119" s="3359"/>
      <c r="BY119" s="3359"/>
      <c r="BZ119" s="3359"/>
      <c r="CA119" s="3359"/>
      <c r="CB119" s="3359"/>
      <c r="CC119" s="3359"/>
      <c r="CD119" s="3359"/>
      <c r="CE119" s="3359"/>
      <c r="CF119" s="3359"/>
      <c r="CG119" s="3359"/>
      <c r="CH119" s="3359"/>
      <c r="CI119" s="3359"/>
      <c r="CJ119" s="3359"/>
      <c r="CK119" s="3359"/>
      <c r="CL119" s="3359"/>
      <c r="CM119" s="3359"/>
      <c r="CN119" s="3359"/>
      <c r="CO119" s="3359"/>
      <c r="CP119" s="3359"/>
      <c r="CQ119" s="3359"/>
      <c r="CR119" s="3359"/>
      <c r="CS119" s="3359"/>
      <c r="CT119" s="3359"/>
      <c r="CU119" s="3359"/>
      <c r="CV119" s="3359"/>
      <c r="CW119" s="3359"/>
      <c r="CX119" s="3359"/>
      <c r="CY119" s="3359"/>
      <c r="CZ119" s="3359"/>
      <c r="DA119" s="3359"/>
      <c r="DB119" s="3359"/>
      <c r="DC119" s="3359"/>
      <c r="DD119" s="3359"/>
      <c r="DE119" s="3359"/>
      <c r="DF119" s="3359"/>
      <c r="DG119" s="3359"/>
      <c r="DH119" s="3359"/>
      <c r="DI119" s="3359"/>
      <c r="DJ119" s="3359"/>
      <c r="DK119" s="3359"/>
      <c r="DL119" s="3359"/>
      <c r="DM119" s="3359"/>
      <c r="DN119" s="3359"/>
      <c r="DO119" s="3359"/>
      <c r="DP119" s="3359"/>
      <c r="DQ119" s="3359"/>
      <c r="DR119" s="3359"/>
      <c r="DS119" s="3359"/>
      <c r="DT119" s="3359"/>
      <c r="DU119" s="3359"/>
      <c r="DV119" s="3359"/>
      <c r="DW119" s="3359"/>
      <c r="DX119" s="3359"/>
      <c r="DY119" s="3359"/>
      <c r="DZ119" s="3359"/>
      <c r="EA119" s="3359"/>
      <c r="EB119" s="3359"/>
      <c r="EC119" s="3359"/>
      <c r="ED119" s="3359"/>
      <c r="EE119" s="3359"/>
      <c r="EF119" s="3359"/>
      <c r="EG119" s="3359"/>
      <c r="EH119" s="3359"/>
      <c r="EI119" s="3359"/>
      <c r="EJ119" s="3359"/>
      <c r="EK119" s="3359"/>
      <c r="EL119" s="3359"/>
      <c r="EM119" s="3359"/>
      <c r="EN119" s="3359"/>
      <c r="EO119" s="3359"/>
      <c r="EP119" s="3359"/>
      <c r="EQ119" s="3359"/>
      <c r="ER119" s="3359"/>
      <c r="ES119" s="3359"/>
      <c r="ET119" s="3359"/>
      <c r="EU119" s="3359"/>
      <c r="EV119" s="3359"/>
      <c r="EW119" s="3359"/>
      <c r="EX119" s="3359"/>
      <c r="EY119" s="3359"/>
      <c r="EZ119" s="3359"/>
      <c r="FA119" s="3359"/>
      <c r="FB119" s="3359"/>
      <c r="FC119" s="3359"/>
      <c r="FD119" s="3359"/>
      <c r="FE119" s="3359"/>
      <c r="FF119" s="3359"/>
      <c r="FG119" s="3359"/>
      <c r="FH119" s="3359"/>
      <c r="FI119" s="3359"/>
      <c r="FJ119" s="3359"/>
      <c r="FK119" s="3359"/>
      <c r="FL119" s="3359"/>
      <c r="FM119" s="3359"/>
      <c r="FN119" s="3359"/>
      <c r="FO119" s="3359"/>
      <c r="FP119" s="3359"/>
      <c r="FQ119" s="3359"/>
      <c r="FR119" s="3359"/>
      <c r="FS119" s="3359"/>
      <c r="FT119" s="3359"/>
      <c r="FU119" s="3359"/>
      <c r="FV119" s="3359"/>
      <c r="FW119" s="3359"/>
      <c r="FX119" s="3359"/>
      <c r="FY119" s="3359"/>
      <c r="FZ119" s="3359"/>
      <c r="GA119" s="3359"/>
      <c r="GB119" s="3359"/>
      <c r="GC119" s="3359"/>
      <c r="GD119" s="3359"/>
      <c r="GE119" s="3359"/>
      <c r="GF119" s="3359"/>
      <c r="GG119" s="3359"/>
      <c r="GH119" s="3359"/>
      <c r="GI119" s="3359"/>
      <c r="GJ119" s="3359"/>
      <c r="GK119" s="3359"/>
      <c r="GL119" s="3359"/>
      <c r="GM119" s="3359"/>
      <c r="GN119" s="3359"/>
      <c r="GO119" s="3359"/>
      <c r="GP119" s="3359"/>
      <c r="GQ119" s="3359"/>
      <c r="GR119" s="3359"/>
      <c r="GS119" s="3359"/>
      <c r="GT119" s="3359"/>
      <c r="GU119" s="3359"/>
      <c r="GV119" s="3359"/>
      <c r="GW119" s="3359"/>
      <c r="GX119" s="3359"/>
      <c r="GY119" s="3359"/>
      <c r="GZ119" s="3359"/>
      <c r="HA119" s="3359"/>
      <c r="HB119" s="3359"/>
      <c r="HC119" s="3359"/>
      <c r="HD119" s="3359"/>
      <c r="HE119" s="3359"/>
      <c r="HF119" s="3359"/>
      <c r="HG119" s="3359"/>
      <c r="HH119" s="3359" t="s">
        <v>1937</v>
      </c>
      <c r="HI119" s="3359"/>
      <c r="HJ119" s="3359"/>
      <c r="HK119" s="3359"/>
      <c r="HL119" s="3359"/>
      <c r="HM119" s="3359"/>
      <c r="HN119" s="3359"/>
      <c r="HO119" s="3359"/>
      <c r="HP119" s="3359"/>
      <c r="HQ119" s="3359"/>
      <c r="HR119" s="3359"/>
      <c r="HS119" s="3359"/>
      <c r="HT119" s="3359"/>
      <c r="HU119" s="3359"/>
      <c r="HV119" s="3359"/>
      <c r="HW119" s="3359"/>
      <c r="HX119" s="3359"/>
      <c r="HY119" s="3359"/>
      <c r="HZ119" s="3359"/>
      <c r="IA119" s="3359"/>
      <c r="IB119" s="3359"/>
      <c r="IC119" s="3359"/>
      <c r="ID119" s="3359"/>
      <c r="IE119" s="3359"/>
      <c r="IF119" s="3359"/>
      <c r="IG119" s="3359"/>
      <c r="IH119" s="3359"/>
      <c r="II119" s="3359"/>
      <c r="IJ119" s="3359"/>
      <c r="IK119" s="3359"/>
      <c r="IL119" s="3359"/>
      <c r="IM119" s="3359"/>
      <c r="IN119" s="3359"/>
      <c r="IO119" s="3359"/>
      <c r="IP119" s="2880"/>
      <c r="IQ119" s="2880"/>
      <c r="IR119" s="2880"/>
      <c r="IS119" s="2880"/>
      <c r="IT119" s="2880"/>
      <c r="IU119" s="2880"/>
      <c r="IV119" s="2880"/>
      <c r="IW119" s="2880"/>
      <c r="IX119" s="2880"/>
      <c r="IY119" s="2880"/>
      <c r="IZ119" s="2880"/>
      <c r="JA119" s="2880"/>
      <c r="JB119" s="2880"/>
      <c r="JC119" s="2880"/>
      <c r="JD119" s="2880"/>
      <c r="JE119" s="2880"/>
      <c r="JF119" s="2880"/>
      <c r="JG119" s="4094"/>
      <c r="JH119" s="1233"/>
    </row>
    <row r="120" spans="1:268" x14ac:dyDescent="0.2">
      <c r="A120" s="1128">
        <v>120</v>
      </c>
      <c r="B120" s="1534" t="str">
        <f si="3" t="shared"/>
        <v/>
      </c>
      <c r="C120" s="1544" t="s">
        <v>4073</v>
      </c>
      <c r="D120" s="1386" t="s">
        <v>3006</v>
      </c>
      <c r="E120" s="2688"/>
      <c r="F120" s="2688"/>
      <c r="G120" s="2688"/>
      <c r="H120" s="2688"/>
      <c r="I120" s="2688"/>
      <c r="J120" s="2688"/>
      <c r="K120" s="2688"/>
      <c r="L120" s="2688"/>
      <c r="M120" s="2688"/>
      <c r="N120" s="2688"/>
      <c r="O120" s="2688"/>
      <c r="P120" s="2688"/>
      <c r="Q120" s="2688"/>
      <c r="R120" s="2688"/>
      <c r="S120" s="2688"/>
      <c r="T120" s="2688"/>
      <c r="U120" s="2688"/>
      <c r="V120" s="2688"/>
      <c r="W120" s="2688"/>
      <c r="X120" s="2688"/>
      <c r="Y120" s="2688"/>
      <c r="Z120" s="2688"/>
      <c r="AA120" s="2688"/>
      <c r="AB120" s="2688"/>
      <c r="AC120" s="2688"/>
      <c r="AD120" s="2688"/>
      <c r="AE120" s="2688"/>
      <c r="AF120" s="2688"/>
      <c r="AG120" s="2688"/>
      <c r="AH120" s="2688"/>
      <c r="AI120" s="2688"/>
      <c r="AJ120" s="2688"/>
      <c r="AK120" s="2688"/>
      <c r="AL120" s="2688"/>
      <c r="AM120" s="2688"/>
      <c r="AN120" s="2688"/>
      <c r="AO120" s="2688"/>
      <c r="AP120" s="2688"/>
      <c r="AQ120" s="2688"/>
      <c r="AR120" s="2688"/>
      <c r="AS120" s="2688"/>
      <c r="AT120" s="2688"/>
      <c r="AU120" s="2688"/>
      <c r="AV120" s="2688"/>
      <c r="AW120" s="2688"/>
      <c r="AX120" s="2688"/>
      <c r="AY120" s="2688"/>
      <c r="AZ120" s="2688"/>
      <c r="BA120" s="2688"/>
      <c r="BB120" s="2688"/>
      <c r="BC120" s="2688"/>
      <c r="BD120" s="2688"/>
      <c r="BE120" s="2688"/>
      <c r="BF120" s="2688"/>
      <c r="BG120" s="2688"/>
      <c r="BH120" s="2688"/>
      <c r="BI120" s="2688"/>
      <c r="BJ120" s="2688"/>
      <c r="BK120" s="2688"/>
      <c r="BL120" s="2688"/>
      <c r="BM120" s="2688"/>
      <c r="BN120" s="2688"/>
      <c r="BO120" s="2688"/>
      <c r="BP120" s="2688"/>
      <c r="BQ120" s="2688"/>
      <c r="BR120" s="2688"/>
      <c r="BS120" s="2688"/>
      <c r="BT120" s="2688"/>
      <c r="BU120" s="2688"/>
      <c r="BV120" s="2688"/>
      <c r="BW120" s="2688"/>
      <c r="BX120" s="2688"/>
      <c r="BY120" s="2688"/>
      <c r="BZ120" s="2688"/>
      <c r="CA120" s="2688"/>
      <c r="CB120" s="2688"/>
      <c r="CC120" s="2688"/>
      <c r="CD120" s="2688"/>
      <c r="CE120" s="2688"/>
      <c r="CF120" s="2688"/>
      <c r="CG120" s="2688"/>
      <c r="CH120" s="2688"/>
      <c r="CI120" s="2688"/>
      <c r="CJ120" s="2688"/>
      <c r="CK120" s="2688"/>
      <c r="CL120" s="2688"/>
      <c r="CM120" s="2688"/>
      <c r="CN120" s="2688"/>
      <c r="CO120" s="2688"/>
      <c r="CP120" s="2688"/>
      <c r="CQ120" s="2688"/>
      <c r="CR120" s="2688"/>
      <c r="CS120" s="2688"/>
      <c r="CT120" s="2688"/>
      <c r="CU120" s="2688"/>
      <c r="CV120" s="2688"/>
      <c r="CW120" s="2688"/>
      <c r="CX120" s="2688"/>
      <c r="CY120" s="2688"/>
      <c r="CZ120" s="2688"/>
      <c r="DA120" s="2688"/>
      <c r="DB120" s="2688"/>
      <c r="DC120" s="2688"/>
      <c r="DD120" s="2688"/>
      <c r="DE120" s="2688"/>
      <c r="DF120" s="2688"/>
      <c r="DG120" s="2688"/>
      <c r="DH120" s="2688"/>
      <c r="DI120" s="2688"/>
      <c r="DJ120" s="2688"/>
      <c r="DK120" s="2688"/>
      <c r="DL120" s="2688"/>
      <c r="DM120" s="2688"/>
      <c r="DN120" s="2688"/>
      <c r="DO120" s="2688"/>
      <c r="DP120" s="2688"/>
      <c r="DQ120" s="2688"/>
      <c r="DR120" s="2688"/>
      <c r="DS120" s="2688"/>
      <c r="DT120" s="2688"/>
      <c r="DU120" s="2688"/>
      <c r="DV120" s="2688"/>
      <c r="DW120" s="2688"/>
      <c r="DX120" s="2688"/>
      <c r="DY120" s="2688"/>
      <c r="DZ120" s="2688"/>
      <c r="EA120" s="2688"/>
      <c r="EB120" s="2688"/>
      <c r="EC120" s="2688"/>
      <c r="ED120" s="2688"/>
      <c r="EE120" s="2688"/>
      <c r="EF120" s="2688"/>
      <c r="EG120" s="2688"/>
      <c r="EH120" s="2688"/>
      <c r="EI120" s="2688"/>
      <c r="EJ120" s="2688"/>
      <c r="EK120" s="2688"/>
      <c r="EL120" s="2688"/>
      <c r="EM120" s="2688"/>
      <c r="EN120" s="2688"/>
      <c r="EO120" s="2688"/>
      <c r="EP120" s="2688"/>
      <c r="EQ120" s="2688"/>
      <c r="ER120" s="2688"/>
      <c r="ES120" s="2688"/>
      <c r="ET120" s="2688"/>
      <c r="EU120" s="2688"/>
      <c r="EV120" s="2688"/>
      <c r="EW120" s="2688"/>
      <c r="EX120" s="2688"/>
      <c r="EY120" s="2688"/>
      <c r="EZ120" s="2688"/>
      <c r="FA120" s="2688"/>
      <c r="FB120" s="2688"/>
      <c r="FC120" s="2688"/>
      <c r="FD120" s="2688"/>
      <c r="FE120" s="2688"/>
      <c r="FF120" s="2688"/>
      <c r="FG120" s="2688"/>
      <c r="FH120" s="2688"/>
      <c r="FI120" s="2688"/>
      <c r="FJ120" s="2688"/>
      <c r="FK120" s="2688"/>
      <c r="FL120" s="2688"/>
      <c r="FM120" s="2688"/>
      <c r="FN120" s="2688"/>
      <c r="FO120" s="2688"/>
      <c r="FP120" s="2688"/>
      <c r="FQ120" s="2688"/>
      <c r="FR120" s="2688"/>
      <c r="FS120" s="2688"/>
      <c r="FT120" s="2688"/>
      <c r="FU120" s="2688"/>
      <c r="FV120" s="2688"/>
      <c r="FW120" s="2688"/>
      <c r="FX120" s="2688"/>
      <c r="FY120" s="2688"/>
      <c r="FZ120" s="2688"/>
      <c r="GA120" s="2688"/>
      <c r="GB120" s="2688"/>
      <c r="GC120" s="2688"/>
      <c r="GD120" s="2688"/>
      <c r="GE120" s="2688"/>
      <c r="GF120" s="2688"/>
      <c r="GG120" s="2688"/>
      <c r="GH120" s="2688"/>
      <c r="GI120" s="2688"/>
      <c r="GJ120" s="2688"/>
      <c r="GK120" s="2688"/>
      <c r="GL120" s="2688"/>
      <c r="GM120" s="2688"/>
      <c r="GN120" s="2688"/>
      <c r="GO120" s="2688"/>
      <c r="GP120" s="2688"/>
      <c r="GQ120" s="2688"/>
      <c r="GR120" s="2688"/>
      <c r="GS120" s="2688"/>
      <c r="GT120" s="2688"/>
      <c r="GU120" s="2688"/>
      <c r="GV120" s="2688"/>
      <c r="GW120" s="2688"/>
      <c r="GX120" s="2688"/>
      <c r="GY120" s="2688"/>
      <c r="GZ120" s="2688"/>
      <c r="HA120" s="2688"/>
      <c r="HB120" s="2688"/>
      <c r="HC120" s="2688"/>
      <c r="HD120" s="2688"/>
      <c r="HE120" s="2688"/>
      <c r="HF120" s="2688"/>
      <c r="HG120" s="2688"/>
      <c r="HH120" s="2688">
        <v>121168</v>
      </c>
      <c r="HI120" s="2688"/>
      <c r="HJ120" s="2688"/>
      <c r="HK120" s="2688"/>
      <c r="HL120" s="2688"/>
      <c r="HM120" s="2688"/>
      <c r="HN120" s="2688"/>
      <c r="HO120" s="2688"/>
      <c r="HP120" s="2688"/>
      <c r="HQ120" s="2688"/>
      <c r="HR120" s="2688"/>
      <c r="HS120" s="2688"/>
      <c r="HT120" s="2688"/>
      <c r="HU120" s="2688"/>
      <c r="HV120" s="2688"/>
      <c r="HW120" s="2688"/>
      <c r="HX120" s="2688"/>
      <c r="HY120" s="2688"/>
      <c r="HZ120" s="2688"/>
      <c r="IA120" s="2688"/>
      <c r="IB120" s="2688"/>
      <c r="IC120" s="2688"/>
      <c r="ID120" s="2688"/>
      <c r="IE120" s="2688"/>
      <c r="IF120" s="2688"/>
      <c r="IG120" s="2688"/>
      <c r="IH120" s="2688"/>
      <c r="II120" s="2688"/>
      <c r="IJ120" s="2688"/>
      <c r="IK120" s="2688"/>
      <c r="IL120" s="2688"/>
      <c r="IM120" s="2688"/>
      <c r="IN120" s="2688"/>
      <c r="IO120" s="2688"/>
      <c r="IP120" s="2880"/>
      <c r="IQ120" s="2880"/>
      <c r="IR120" s="2880"/>
      <c r="IS120" s="2880"/>
      <c r="IT120" s="2880"/>
      <c r="IU120" s="2880"/>
      <c r="IV120" s="2880"/>
      <c r="IW120" s="2880"/>
      <c r="IX120" s="2880"/>
      <c r="IY120" s="2880"/>
      <c r="IZ120" s="2880"/>
      <c r="JA120" s="2880"/>
      <c r="JB120" s="2880"/>
      <c r="JC120" s="2880"/>
      <c r="JD120" s="2880"/>
      <c r="JE120" s="2880"/>
      <c r="JF120" s="2880"/>
      <c r="JG120" s="4094"/>
      <c r="JH120" s="1233"/>
    </row>
    <row r="121" spans="1:268" x14ac:dyDescent="0.2">
      <c r="A121" s="1128">
        <v>121</v>
      </c>
      <c r="B121" s="1534" t="str">
        <f si="3" t="shared"/>
        <v/>
      </c>
      <c r="C121" s="1544" t="s">
        <v>4074</v>
      </c>
      <c r="D121" s="1386" t="s">
        <v>5339</v>
      </c>
      <c r="E121" s="3359"/>
      <c r="F121" s="3359"/>
      <c r="G121" s="3359"/>
      <c r="H121" s="3359"/>
      <c r="I121" s="3359"/>
      <c r="J121" s="3359"/>
      <c r="K121" s="3359"/>
      <c r="L121" s="3359"/>
      <c r="M121" s="3359"/>
      <c r="N121" s="3359"/>
      <c r="O121" s="3359"/>
      <c r="P121" s="3359"/>
      <c r="Q121" s="3359"/>
      <c r="R121" s="3359"/>
      <c r="S121" s="3359"/>
      <c r="T121" s="3359"/>
      <c r="U121" s="3359"/>
      <c r="V121" s="3359"/>
      <c r="W121" s="3359"/>
      <c r="X121" s="3359"/>
      <c r="Y121" s="3359"/>
      <c r="Z121" s="3359"/>
      <c r="AA121" s="3359"/>
      <c r="AB121" s="3359"/>
      <c r="AC121" s="3359"/>
      <c r="AD121" s="3359"/>
      <c r="AE121" s="3359"/>
      <c r="AF121" s="3359"/>
      <c r="AG121" s="3359"/>
      <c r="AH121" s="3359"/>
      <c r="AI121" s="3359"/>
      <c r="AJ121" s="3359"/>
      <c r="AK121" s="3359"/>
      <c r="AL121" s="3359"/>
      <c r="AM121" s="3359"/>
      <c r="AN121" s="3359"/>
      <c r="AO121" s="3359"/>
      <c r="AP121" s="3359"/>
      <c r="AQ121" s="3359"/>
      <c r="AR121" s="3359"/>
      <c r="AS121" s="3359"/>
      <c r="AT121" s="3359"/>
      <c r="AU121" s="3359"/>
      <c r="AV121" s="3359"/>
      <c r="AW121" s="3359"/>
      <c r="AX121" s="3359"/>
      <c r="AY121" s="3359"/>
      <c r="AZ121" s="3359"/>
      <c r="BA121" s="3359"/>
      <c r="BB121" s="3359"/>
      <c r="BC121" s="3359"/>
      <c r="BD121" s="3359"/>
      <c r="BE121" s="3359"/>
      <c r="BF121" s="3359"/>
      <c r="BG121" s="3359"/>
      <c r="BH121" s="3359"/>
      <c r="BI121" s="3359"/>
      <c r="BJ121" s="3359"/>
      <c r="BK121" s="3359"/>
      <c r="BL121" s="3359"/>
      <c r="BM121" s="3359"/>
      <c r="BN121" s="3359"/>
      <c r="BO121" s="3359"/>
      <c r="BP121" s="3359"/>
      <c r="BQ121" s="3359"/>
      <c r="BR121" s="3359"/>
      <c r="BS121" s="3359"/>
      <c r="BT121" s="3359"/>
      <c r="BU121" s="3359"/>
      <c r="BV121" s="3359"/>
      <c r="BW121" s="3359"/>
      <c r="BX121" s="3359"/>
      <c r="BY121" s="3359"/>
      <c r="BZ121" s="3359"/>
      <c r="CA121" s="3359"/>
      <c r="CB121" s="3359"/>
      <c r="CC121" s="3359"/>
      <c r="CD121" s="3359"/>
      <c r="CE121" s="3359"/>
      <c r="CF121" s="3359"/>
      <c r="CG121" s="3359"/>
      <c r="CH121" s="3359"/>
      <c r="CI121" s="3359"/>
      <c r="CJ121" s="3359"/>
      <c r="CK121" s="3359"/>
      <c r="CL121" s="3359"/>
      <c r="CM121" s="3359"/>
      <c r="CN121" s="3359"/>
      <c r="CO121" s="3359"/>
      <c r="CP121" s="3359"/>
      <c r="CQ121" s="3359"/>
      <c r="CR121" s="3359"/>
      <c r="CS121" s="3359"/>
      <c r="CT121" s="3359"/>
      <c r="CU121" s="3359"/>
      <c r="CV121" s="3359"/>
      <c r="CW121" s="3359"/>
      <c r="CX121" s="3359"/>
      <c r="CY121" s="3359"/>
      <c r="CZ121" s="3359"/>
      <c r="DA121" s="3359"/>
      <c r="DB121" s="3359"/>
      <c r="DC121" s="3359"/>
      <c r="DD121" s="3359"/>
      <c r="DE121" s="3359"/>
      <c r="DF121" s="3359"/>
      <c r="DG121" s="3359"/>
      <c r="DH121" s="3359"/>
      <c r="DI121" s="3359"/>
      <c r="DJ121" s="3359"/>
      <c r="DK121" s="3359"/>
      <c r="DL121" s="3359"/>
      <c r="DM121" s="3359"/>
      <c r="DN121" s="3359"/>
      <c r="DO121" s="3359"/>
      <c r="DP121" s="3359"/>
      <c r="DQ121" s="3359"/>
      <c r="DR121" s="3359"/>
      <c r="DS121" s="3359"/>
      <c r="DT121" s="3359"/>
      <c r="DU121" s="3359"/>
      <c r="DV121" s="3359"/>
      <c r="DW121" s="3359"/>
      <c r="DX121" s="3359"/>
      <c r="DY121" s="3359"/>
      <c r="DZ121" s="3359"/>
      <c r="EA121" s="3359"/>
      <c r="EB121" s="3359"/>
      <c r="EC121" s="3359"/>
      <c r="ED121" s="3359"/>
      <c r="EE121" s="3359"/>
      <c r="EF121" s="3359"/>
      <c r="EG121" s="3359"/>
      <c r="EH121" s="3359"/>
      <c r="EI121" s="3359"/>
      <c r="EJ121" s="3359"/>
      <c r="EK121" s="3359"/>
      <c r="EL121" s="3359"/>
      <c r="EM121" s="3359"/>
      <c r="EN121" s="3359"/>
      <c r="EO121" s="3359"/>
      <c r="EP121" s="3359"/>
      <c r="EQ121" s="3359"/>
      <c r="ER121" s="3359"/>
      <c r="ES121" s="3359"/>
      <c r="ET121" s="3359"/>
      <c r="EU121" s="3359"/>
      <c r="EV121" s="3359"/>
      <c r="EW121" s="3359"/>
      <c r="EX121" s="3359"/>
      <c r="EY121" s="3359"/>
      <c r="EZ121" s="3359"/>
      <c r="FA121" s="3359"/>
      <c r="FB121" s="3359"/>
      <c r="FC121" s="3359"/>
      <c r="FD121" s="3359"/>
      <c r="FE121" s="3359"/>
      <c r="FF121" s="3359"/>
      <c r="FG121" s="3359"/>
      <c r="FH121" s="3359"/>
      <c r="FI121" s="3359"/>
      <c r="FJ121" s="3359"/>
      <c r="FK121" s="3359"/>
      <c r="FL121" s="3359"/>
      <c r="FM121" s="3359"/>
      <c r="FN121" s="3359"/>
      <c r="FO121" s="3359"/>
      <c r="FP121" s="3359"/>
      <c r="FQ121" s="3359"/>
      <c r="FR121" s="3359"/>
      <c r="FS121" s="3359"/>
      <c r="FT121" s="3359"/>
      <c r="FU121" s="3359"/>
      <c r="FV121" s="3359"/>
      <c r="FW121" s="3359"/>
      <c r="FX121" s="3359"/>
      <c r="FY121" s="3359"/>
      <c r="FZ121" s="3359"/>
      <c r="GA121" s="3359"/>
      <c r="GB121" s="3359"/>
      <c r="GC121" s="3359"/>
      <c r="GD121" s="3359"/>
      <c r="GE121" s="3359"/>
      <c r="GF121" s="3359"/>
      <c r="GG121" s="3359"/>
      <c r="GH121" s="3359"/>
      <c r="GI121" s="3359"/>
      <c r="GJ121" s="3359"/>
      <c r="GK121" s="3359"/>
      <c r="GL121" s="3359"/>
      <c r="GM121" s="3359"/>
      <c r="GN121" s="3359"/>
      <c r="GO121" s="3359"/>
      <c r="GP121" s="3359"/>
      <c r="GQ121" s="3359"/>
      <c r="GR121" s="3359"/>
      <c r="GS121" s="3359"/>
      <c r="GT121" s="3359"/>
      <c r="GU121" s="3359"/>
      <c r="GV121" s="3359"/>
      <c r="GW121" s="3359"/>
      <c r="GX121" s="3359"/>
      <c r="GY121" s="3359"/>
      <c r="GZ121" s="3359"/>
      <c r="HA121" s="3359"/>
      <c r="HB121" s="3359"/>
      <c r="HC121" s="3359"/>
      <c r="HD121" s="3359"/>
      <c r="HE121" s="3359"/>
      <c r="HF121" s="3359"/>
      <c r="HG121" s="3359"/>
      <c r="HH121" s="3359" t="s">
        <v>572</v>
      </c>
      <c r="HI121" s="3359"/>
      <c r="HJ121" s="3359"/>
      <c r="HK121" s="3359"/>
      <c r="HL121" s="3359"/>
      <c r="HM121" s="3359"/>
      <c r="HN121" s="3359"/>
      <c r="HO121" s="3359"/>
      <c r="HP121" s="3359"/>
      <c r="HQ121" s="3359"/>
      <c r="HR121" s="3359"/>
      <c r="HS121" s="3359"/>
      <c r="HT121" s="3359"/>
      <c r="HU121" s="3359"/>
      <c r="HV121" s="3359"/>
      <c r="HW121" s="3359"/>
      <c r="HX121" s="3359"/>
      <c r="HY121" s="3359"/>
      <c r="HZ121" s="3359"/>
      <c r="IA121" s="3359"/>
      <c r="IB121" s="3359"/>
      <c r="IC121" s="3359"/>
      <c r="ID121" s="3359"/>
      <c r="IE121" s="3359"/>
      <c r="IF121" s="3359"/>
      <c r="IG121" s="3359"/>
      <c r="IH121" s="3359"/>
      <c r="II121" s="3359"/>
      <c r="IJ121" s="3359"/>
      <c r="IK121" s="3359"/>
      <c r="IL121" s="3359"/>
      <c r="IM121" s="3359"/>
      <c r="IN121" s="3359"/>
      <c r="IO121" s="3359"/>
      <c r="IP121" s="2880"/>
      <c r="IQ121" s="2880"/>
      <c r="IR121" s="2880"/>
      <c r="IS121" s="2880"/>
      <c r="IT121" s="2880"/>
      <c r="IU121" s="2880"/>
      <c r="IV121" s="2880"/>
      <c r="IW121" s="2880"/>
      <c r="IX121" s="2880"/>
      <c r="IY121" s="2880"/>
      <c r="IZ121" s="2880"/>
      <c r="JA121" s="2880"/>
      <c r="JB121" s="2880"/>
      <c r="JC121" s="2880"/>
      <c r="JD121" s="2880"/>
      <c r="JE121" s="2880"/>
      <c r="JF121" s="2880"/>
      <c r="JG121" s="4094"/>
      <c r="JH121" s="1233"/>
    </row>
    <row r="122" spans="1:268" x14ac:dyDescent="0.2">
      <c r="A122" s="1128">
        <v>122</v>
      </c>
      <c r="B122" s="1534" t="str">
        <f si="3" t="shared"/>
        <v/>
      </c>
      <c r="C122" s="1544" t="s">
        <v>4075</v>
      </c>
      <c r="D122" s="1386" t="s">
        <v>5326</v>
      </c>
      <c r="E122" s="2688"/>
      <c r="F122" s="2688"/>
      <c r="G122" s="2688"/>
      <c r="H122" s="2688"/>
      <c r="I122" s="2688"/>
      <c r="J122" s="2688"/>
      <c r="K122" s="2688"/>
      <c r="L122" s="2688"/>
      <c r="M122" s="2688"/>
      <c r="N122" s="2688"/>
      <c r="O122" s="2688"/>
      <c r="P122" s="2688"/>
      <c r="Q122" s="2688"/>
      <c r="R122" s="2688"/>
      <c r="S122" s="2688"/>
      <c r="T122" s="2688"/>
      <c r="U122" s="2688"/>
      <c r="V122" s="2688"/>
      <c r="W122" s="2688"/>
      <c r="X122" s="2688"/>
      <c r="Y122" s="2688"/>
      <c r="Z122" s="2688"/>
      <c r="AA122" s="2688"/>
      <c r="AB122" s="2688"/>
      <c r="AC122" s="2688"/>
      <c r="AD122" s="2688"/>
      <c r="AE122" s="2688"/>
      <c r="AF122" s="2688"/>
      <c r="AG122" s="2688"/>
      <c r="AH122" s="2688"/>
      <c r="AI122" s="2688"/>
      <c r="AJ122" s="2688"/>
      <c r="AK122" s="2688"/>
      <c r="AL122" s="2688"/>
      <c r="AM122" s="2688"/>
      <c r="AN122" s="2688"/>
      <c r="AO122" s="2688"/>
      <c r="AP122" s="2688"/>
      <c r="AQ122" s="2688"/>
      <c r="AR122" s="2688"/>
      <c r="AS122" s="2688"/>
      <c r="AT122" s="2688"/>
      <c r="AU122" s="2688"/>
      <c r="AV122" s="2688"/>
      <c r="AW122" s="2688"/>
      <c r="AX122" s="2688"/>
      <c r="AY122" s="2688"/>
      <c r="AZ122" s="2688"/>
      <c r="BA122" s="2688"/>
      <c r="BB122" s="2688"/>
      <c r="BC122" s="2688"/>
      <c r="BD122" s="2688"/>
      <c r="BE122" s="2688"/>
      <c r="BF122" s="2688"/>
      <c r="BG122" s="2688"/>
      <c r="BH122" s="2688"/>
      <c r="BI122" s="2688"/>
      <c r="BJ122" s="2688"/>
      <c r="BK122" s="2688"/>
      <c r="BL122" s="2688"/>
      <c r="BM122" s="2688"/>
      <c r="BN122" s="2688"/>
      <c r="BO122" s="2688"/>
      <c r="BP122" s="2688"/>
      <c r="BQ122" s="2688"/>
      <c r="BR122" s="2688"/>
      <c r="BS122" s="2688"/>
      <c r="BT122" s="2688"/>
      <c r="BU122" s="2688"/>
      <c r="BV122" s="2688"/>
      <c r="BW122" s="2688"/>
      <c r="BX122" s="2688"/>
      <c r="BY122" s="2688"/>
      <c r="BZ122" s="2688"/>
      <c r="CA122" s="2688"/>
      <c r="CB122" s="2688"/>
      <c r="CC122" s="2688"/>
      <c r="CD122" s="2688"/>
      <c r="CE122" s="2688"/>
      <c r="CF122" s="2688"/>
      <c r="CG122" s="2688"/>
      <c r="CH122" s="2688"/>
      <c r="CI122" s="2688"/>
      <c r="CJ122" s="2688"/>
      <c r="CK122" s="2688"/>
      <c r="CL122" s="2688"/>
      <c r="CM122" s="2688"/>
      <c r="CN122" s="2688"/>
      <c r="CO122" s="2688"/>
      <c r="CP122" s="2688"/>
      <c r="CQ122" s="2688"/>
      <c r="CR122" s="2688"/>
      <c r="CS122" s="2688"/>
      <c r="CT122" s="2688"/>
      <c r="CU122" s="2688"/>
      <c r="CV122" s="2688"/>
      <c r="CW122" s="2688"/>
      <c r="CX122" s="2688"/>
      <c r="CY122" s="2688"/>
      <c r="CZ122" s="2688"/>
      <c r="DA122" s="2688"/>
      <c r="DB122" s="2688"/>
      <c r="DC122" s="2688"/>
      <c r="DD122" s="2688"/>
      <c r="DE122" s="2688"/>
      <c r="DF122" s="2688"/>
      <c r="DG122" s="2688"/>
      <c r="DH122" s="2688"/>
      <c r="DI122" s="2688"/>
      <c r="DJ122" s="2688"/>
      <c r="DK122" s="2688"/>
      <c r="DL122" s="2688"/>
      <c r="DM122" s="2688"/>
      <c r="DN122" s="2688"/>
      <c r="DO122" s="2688"/>
      <c r="DP122" s="2688"/>
      <c r="DQ122" s="2688"/>
      <c r="DR122" s="2688"/>
      <c r="DS122" s="2688"/>
      <c r="DT122" s="2688"/>
      <c r="DU122" s="2688"/>
      <c r="DV122" s="2688"/>
      <c r="DW122" s="2688"/>
      <c r="DX122" s="2688"/>
      <c r="DY122" s="2688"/>
      <c r="DZ122" s="2688"/>
      <c r="EA122" s="2688"/>
      <c r="EB122" s="2688"/>
      <c r="EC122" s="2688"/>
      <c r="ED122" s="2688"/>
      <c r="EE122" s="2688"/>
      <c r="EF122" s="2688"/>
      <c r="EG122" s="2688"/>
      <c r="EH122" s="2688"/>
      <c r="EI122" s="2688"/>
      <c r="EJ122" s="2688"/>
      <c r="EK122" s="2688"/>
      <c r="EL122" s="2688"/>
      <c r="EM122" s="2688"/>
      <c r="EN122" s="2688"/>
      <c r="EO122" s="2688"/>
      <c r="EP122" s="2688"/>
      <c r="EQ122" s="2688"/>
      <c r="ER122" s="2688"/>
      <c r="ES122" s="2688"/>
      <c r="ET122" s="2688"/>
      <c r="EU122" s="2688"/>
      <c r="EV122" s="2688"/>
      <c r="EW122" s="2688"/>
      <c r="EX122" s="2688"/>
      <c r="EY122" s="2688"/>
      <c r="EZ122" s="2688"/>
      <c r="FA122" s="2688"/>
      <c r="FB122" s="2688"/>
      <c r="FC122" s="2688"/>
      <c r="FD122" s="2688"/>
      <c r="FE122" s="2688"/>
      <c r="FF122" s="2688"/>
      <c r="FG122" s="2688"/>
      <c r="FH122" s="2688"/>
      <c r="FI122" s="2688"/>
      <c r="FJ122" s="2688"/>
      <c r="FK122" s="2688"/>
      <c r="FL122" s="2688"/>
      <c r="FM122" s="2688"/>
      <c r="FN122" s="2688"/>
      <c r="FO122" s="2688"/>
      <c r="FP122" s="2688"/>
      <c r="FQ122" s="2688"/>
      <c r="FR122" s="2688"/>
      <c r="FS122" s="2688"/>
      <c r="FT122" s="2688"/>
      <c r="FU122" s="2688"/>
      <c r="FV122" s="2688"/>
      <c r="FW122" s="2688"/>
      <c r="FX122" s="2688"/>
      <c r="FY122" s="2688"/>
      <c r="FZ122" s="2688"/>
      <c r="GA122" s="2688"/>
      <c r="GB122" s="2688"/>
      <c r="GC122" s="2688"/>
      <c r="GD122" s="2688"/>
      <c r="GE122" s="2688"/>
      <c r="GF122" s="2688"/>
      <c r="GG122" s="2688"/>
      <c r="GH122" s="2688"/>
      <c r="GI122" s="2688"/>
      <c r="GJ122" s="2688"/>
      <c r="GK122" s="2688"/>
      <c r="GL122" s="2688"/>
      <c r="GM122" s="2688"/>
      <c r="GN122" s="2688"/>
      <c r="GO122" s="2688"/>
      <c r="GP122" s="2688"/>
      <c r="GQ122" s="2688"/>
      <c r="GR122" s="2688"/>
      <c r="GS122" s="2688"/>
      <c r="GT122" s="2688"/>
      <c r="GU122" s="2688"/>
      <c r="GV122" s="2688"/>
      <c r="GW122" s="2688"/>
      <c r="GX122" s="2688"/>
      <c r="GY122" s="2688"/>
      <c r="GZ122" s="2688"/>
      <c r="HA122" s="2688"/>
      <c r="HB122" s="2688"/>
      <c r="HC122" s="2688"/>
      <c r="HD122" s="2688"/>
      <c r="HE122" s="2688"/>
      <c r="HF122" s="2688"/>
      <c r="HG122" s="2688"/>
      <c r="HH122" s="2688">
        <v>291486</v>
      </c>
      <c r="HI122" s="2688"/>
      <c r="HJ122" s="2688"/>
      <c r="HK122" s="2688"/>
      <c r="HL122" s="2688"/>
      <c r="HM122" s="2688"/>
      <c r="HN122" s="2688"/>
      <c r="HO122" s="2688"/>
      <c r="HP122" s="2688"/>
      <c r="HQ122" s="2688"/>
      <c r="HR122" s="2688"/>
      <c r="HS122" s="2688"/>
      <c r="HT122" s="2688"/>
      <c r="HU122" s="2688"/>
      <c r="HV122" s="2688"/>
      <c r="HW122" s="2688"/>
      <c r="HX122" s="2688"/>
      <c r="HY122" s="2688"/>
      <c r="HZ122" s="2688"/>
      <c r="IA122" s="2688"/>
      <c r="IB122" s="2688"/>
      <c r="IC122" s="2688"/>
      <c r="ID122" s="2688"/>
      <c r="IE122" s="2688"/>
      <c r="IF122" s="2688"/>
      <c r="IG122" s="2688"/>
      <c r="IH122" s="2688"/>
      <c r="II122" s="2688"/>
      <c r="IJ122" s="2688"/>
      <c r="IK122" s="2688"/>
      <c r="IL122" s="2688"/>
      <c r="IM122" s="2688"/>
      <c r="IN122" s="2688"/>
      <c r="IO122" s="2688"/>
      <c r="IP122" s="2880"/>
      <c r="IQ122" s="2880"/>
      <c r="IR122" s="2880"/>
      <c r="IS122" s="2880"/>
      <c r="IT122" s="2880"/>
      <c r="IU122" s="2880"/>
      <c r="IV122" s="2880"/>
      <c r="IW122" s="2880"/>
      <c r="IX122" s="2880"/>
      <c r="IY122" s="2880"/>
      <c r="IZ122" s="2880"/>
      <c r="JA122" s="2880"/>
      <c r="JB122" s="2880"/>
      <c r="JC122" s="2880"/>
      <c r="JD122" s="2880"/>
      <c r="JE122" s="2880"/>
      <c r="JF122" s="2880"/>
      <c r="JG122" s="4094"/>
      <c r="JH122" s="1233"/>
    </row>
    <row r="123" spans="1:268" x14ac:dyDescent="0.2">
      <c r="A123" s="1128">
        <v>123</v>
      </c>
      <c r="B123" s="1534" t="str">
        <f si="3" t="shared"/>
        <v/>
      </c>
      <c r="C123" s="1278" t="s">
        <v>1618</v>
      </c>
      <c r="D123" s="1386" t="s">
        <v>5340</v>
      </c>
      <c r="E123" s="2688"/>
      <c r="F123" s="2688"/>
      <c r="G123" s="2688"/>
      <c r="H123" s="2688"/>
      <c r="I123" s="2688"/>
      <c r="J123" s="2688"/>
      <c r="K123" s="2688"/>
      <c r="L123" s="2688"/>
      <c r="M123" s="2688"/>
      <c r="N123" s="2688"/>
      <c r="O123" s="2688"/>
      <c r="P123" s="2688"/>
      <c r="Q123" s="2688"/>
      <c r="R123" s="2688"/>
      <c r="S123" s="2688"/>
      <c r="T123" s="2688"/>
      <c r="U123" s="2688"/>
      <c r="V123" s="2688"/>
      <c r="W123" s="2688"/>
      <c r="X123" s="2688"/>
      <c r="Y123" s="2688"/>
      <c r="Z123" s="2688"/>
      <c r="AA123" s="2688"/>
      <c r="AB123" s="2688"/>
      <c r="AC123" s="2688"/>
      <c r="AD123" s="2688"/>
      <c r="AE123" s="2688"/>
      <c r="AF123" s="2688"/>
      <c r="AG123" s="2688"/>
      <c r="AH123" s="2688"/>
      <c r="AI123" s="2688"/>
      <c r="AJ123" s="2688"/>
      <c r="AK123" s="2688"/>
      <c r="AL123" s="2688"/>
      <c r="AM123" s="2688"/>
      <c r="AN123" s="2688"/>
      <c r="AO123" s="2688"/>
      <c r="AP123" s="2688"/>
      <c r="AQ123" s="2688"/>
      <c r="AR123" s="2688"/>
      <c r="AS123" s="2688"/>
      <c r="AT123" s="2688"/>
      <c r="AU123" s="2688"/>
      <c r="AV123" s="2688"/>
      <c r="AW123" s="2688"/>
      <c r="AX123" s="2688"/>
      <c r="AY123" s="2688"/>
      <c r="AZ123" s="2688"/>
      <c r="BA123" s="2688"/>
      <c r="BB123" s="2688"/>
      <c r="BC123" s="2688"/>
      <c r="BD123" s="2688"/>
      <c r="BE123" s="2688"/>
      <c r="BF123" s="2688"/>
      <c r="BG123" s="2688"/>
      <c r="BH123" s="2688"/>
      <c r="BI123" s="2688"/>
      <c r="BJ123" s="2688"/>
      <c r="BK123" s="2688"/>
      <c r="BL123" s="2688"/>
      <c r="BM123" s="2688"/>
      <c r="BN123" s="2688"/>
      <c r="BO123" s="2688"/>
      <c r="BP123" s="2688"/>
      <c r="BQ123" s="2688"/>
      <c r="BR123" s="2688"/>
      <c r="BS123" s="2688"/>
      <c r="BT123" s="2688"/>
      <c r="BU123" s="2688"/>
      <c r="BV123" s="2688"/>
      <c r="BW123" s="2688"/>
      <c r="BX123" s="2688"/>
      <c r="BY123" s="2688"/>
      <c r="BZ123" s="2688"/>
      <c r="CA123" s="2688"/>
      <c r="CB123" s="2688"/>
      <c r="CC123" s="2688"/>
      <c r="CD123" s="2688"/>
      <c r="CE123" s="2688"/>
      <c r="CF123" s="2688"/>
      <c r="CG123" s="2688"/>
      <c r="CH123" s="2688"/>
      <c r="CI123" s="2688"/>
      <c r="CJ123" s="2688"/>
      <c r="CK123" s="2688"/>
      <c r="CL123" s="2688"/>
      <c r="CM123" s="2688"/>
      <c r="CN123" s="2688"/>
      <c r="CO123" s="2688"/>
      <c r="CP123" s="2688"/>
      <c r="CQ123" s="2688"/>
      <c r="CR123" s="2688"/>
      <c r="CS123" s="2688"/>
      <c r="CT123" s="2688"/>
      <c r="CU123" s="2688"/>
      <c r="CV123" s="2688"/>
      <c r="CW123" s="2688"/>
      <c r="CX123" s="2688"/>
      <c r="CY123" s="2688"/>
      <c r="CZ123" s="2688"/>
      <c r="DA123" s="2688"/>
      <c r="DB123" s="2688"/>
      <c r="DC123" s="2688"/>
      <c r="DD123" s="2688"/>
      <c r="DE123" s="2688"/>
      <c r="DF123" s="2688"/>
      <c r="DG123" s="2688"/>
      <c r="DH123" s="2688"/>
      <c r="DI123" s="2688"/>
      <c r="DJ123" s="2688"/>
      <c r="DK123" s="2688"/>
      <c r="DL123" s="2688"/>
      <c r="DM123" s="2688"/>
      <c r="DN123" s="2688"/>
      <c r="DO123" s="2688"/>
      <c r="DP123" s="2688"/>
      <c r="DQ123" s="2688"/>
      <c r="DR123" s="2688"/>
      <c r="DS123" s="2688"/>
      <c r="DT123" s="2688"/>
      <c r="DU123" s="2688"/>
      <c r="DV123" s="2688"/>
      <c r="DW123" s="2688"/>
      <c r="DX123" s="2688"/>
      <c r="DY123" s="2688"/>
      <c r="DZ123" s="2688"/>
      <c r="EA123" s="2688"/>
      <c r="EB123" s="2688"/>
      <c r="EC123" s="2688"/>
      <c r="ED123" s="2688"/>
      <c r="EE123" s="2688"/>
      <c r="EF123" s="2688"/>
      <c r="EG123" s="2688"/>
      <c r="EH123" s="2688"/>
      <c r="EI123" s="2688"/>
      <c r="EJ123" s="2688"/>
      <c r="EK123" s="2688"/>
      <c r="EL123" s="2688"/>
      <c r="EM123" s="2688"/>
      <c r="EN123" s="2688"/>
      <c r="EO123" s="2688"/>
      <c r="EP123" s="2688"/>
      <c r="EQ123" s="2688"/>
      <c r="ER123" s="2688"/>
      <c r="ES123" s="2688"/>
      <c r="ET123" s="2688"/>
      <c r="EU123" s="2688"/>
      <c r="EV123" s="2688"/>
      <c r="EW123" s="2688"/>
      <c r="EX123" s="2688"/>
      <c r="EY123" s="2688"/>
      <c r="EZ123" s="2688"/>
      <c r="FA123" s="2688"/>
      <c r="FB123" s="2688"/>
      <c r="FC123" s="2688"/>
      <c r="FD123" s="2688"/>
      <c r="FE123" s="2688"/>
      <c r="FF123" s="2688"/>
      <c r="FG123" s="2688"/>
      <c r="FH123" s="2688"/>
      <c r="FI123" s="2688"/>
      <c r="FJ123" s="2688"/>
      <c r="FK123" s="2688"/>
      <c r="FL123" s="2688"/>
      <c r="FM123" s="2688"/>
      <c r="FN123" s="2688"/>
      <c r="FO123" s="2688"/>
      <c r="FP123" s="2688"/>
      <c r="FQ123" s="2688"/>
      <c r="FR123" s="2688"/>
      <c r="FS123" s="2688"/>
      <c r="FT123" s="2688"/>
      <c r="FU123" s="2688"/>
      <c r="FV123" s="2688"/>
      <c r="FW123" s="2688"/>
      <c r="FX123" s="2688"/>
      <c r="FY123" s="2688"/>
      <c r="FZ123" s="2688"/>
      <c r="GA123" s="2688"/>
      <c r="GB123" s="2688"/>
      <c r="GC123" s="2688"/>
      <c r="GD123" s="2688"/>
      <c r="GE123" s="2688"/>
      <c r="GF123" s="2688"/>
      <c r="GG123" s="2688"/>
      <c r="GH123" s="2688"/>
      <c r="GI123" s="2688"/>
      <c r="GJ123" s="2688"/>
      <c r="GK123" s="2688"/>
      <c r="GL123" s="2688"/>
      <c r="GM123" s="2688"/>
      <c r="GN123" s="2688"/>
      <c r="GO123" s="2688"/>
      <c r="GP123" s="2688"/>
      <c r="GQ123" s="2688"/>
      <c r="GR123" s="2688"/>
      <c r="GS123" s="2688"/>
      <c r="GT123" s="2688"/>
      <c r="GU123" s="2688"/>
      <c r="GV123" s="2688"/>
      <c r="GW123" s="2688"/>
      <c r="GX123" s="2688"/>
      <c r="GY123" s="2688"/>
      <c r="GZ123" s="2688"/>
      <c r="HA123" s="2688"/>
      <c r="HB123" s="2688"/>
      <c r="HC123" s="2688"/>
      <c r="HD123" s="2688"/>
      <c r="HE123" s="2688"/>
      <c r="HF123" s="2688"/>
      <c r="HG123" s="2688"/>
      <c r="HH123" s="2688"/>
      <c r="HI123" s="2688"/>
      <c r="HJ123" s="2688">
        <v>49140</v>
      </c>
      <c r="HK123" s="2688">
        <v>49140</v>
      </c>
      <c r="HL123" s="2688">
        <v>49140</v>
      </c>
      <c r="HM123" s="2688">
        <v>49140</v>
      </c>
      <c r="HN123" s="2688"/>
      <c r="HO123" s="2688"/>
      <c r="HP123" s="2688"/>
      <c r="HQ123" s="2688"/>
      <c r="HR123" s="2688"/>
      <c r="HS123" s="2688"/>
      <c r="HT123" s="2688"/>
      <c r="HU123" s="2688"/>
      <c r="HV123" s="2688"/>
      <c r="HW123" s="2688"/>
      <c r="HX123" s="2688"/>
      <c r="HY123" s="2688"/>
      <c r="HZ123" s="2688"/>
      <c r="IA123" s="2688"/>
      <c r="IB123" s="2688"/>
      <c r="IC123" s="2688"/>
      <c r="ID123" s="2688"/>
      <c r="IE123" s="2688"/>
      <c r="IF123" s="2688"/>
      <c r="IG123" s="2688"/>
      <c r="IH123" s="2688"/>
      <c r="II123" s="2688"/>
      <c r="IJ123" s="2688"/>
      <c r="IK123" s="2688"/>
      <c r="IL123" s="2688"/>
      <c r="IM123" s="2688"/>
      <c r="IN123" s="2688"/>
      <c r="IO123" s="2688"/>
      <c r="IP123" s="2880"/>
      <c r="IQ123" s="2880"/>
      <c r="IR123" s="2880"/>
      <c r="IS123" s="2880"/>
      <c r="IT123" s="2880"/>
      <c r="IU123" s="2880"/>
      <c r="IV123" s="2880"/>
      <c r="IW123" s="2880"/>
      <c r="IX123" s="2880"/>
      <c r="IY123" s="2880"/>
      <c r="IZ123" s="2880"/>
      <c r="JA123" s="2880"/>
      <c r="JB123" s="2880"/>
      <c r="JC123" s="2880"/>
      <c r="JD123" s="2880"/>
      <c r="JE123" s="2880"/>
      <c r="JF123" s="2880"/>
      <c r="JG123" s="4094"/>
      <c r="JH123" s="1233"/>
    </row>
    <row r="124" spans="1:268" x14ac:dyDescent="0.2">
      <c r="A124" s="1128">
        <v>124</v>
      </c>
      <c r="B124" s="1534" t="str">
        <f si="3" t="shared"/>
        <v/>
      </c>
      <c r="C124" s="1278" t="s">
        <v>1619</v>
      </c>
      <c r="D124" s="1386" t="s">
        <v>5341</v>
      </c>
      <c r="E124" s="2688"/>
      <c r="F124" s="2688"/>
      <c r="G124" s="2688"/>
      <c r="H124" s="2688"/>
      <c r="I124" s="2688"/>
      <c r="J124" s="2688"/>
      <c r="K124" s="2688"/>
      <c r="L124" s="2688"/>
      <c r="M124" s="2688"/>
      <c r="N124" s="2688"/>
      <c r="O124" s="2688"/>
      <c r="P124" s="2688"/>
      <c r="Q124" s="2688"/>
      <c r="R124" s="2688"/>
      <c r="S124" s="2688"/>
      <c r="T124" s="2688"/>
      <c r="U124" s="2688"/>
      <c r="V124" s="2688"/>
      <c r="W124" s="2688"/>
      <c r="X124" s="2688"/>
      <c r="Y124" s="2688"/>
      <c r="Z124" s="2688"/>
      <c r="AA124" s="2688"/>
      <c r="AB124" s="2688"/>
      <c r="AC124" s="2688"/>
      <c r="AD124" s="2688"/>
      <c r="AE124" s="2688"/>
      <c r="AF124" s="2688"/>
      <c r="AG124" s="2688"/>
      <c r="AH124" s="2688"/>
      <c r="AI124" s="2688"/>
      <c r="AJ124" s="2688"/>
      <c r="AK124" s="2688"/>
      <c r="AL124" s="2688"/>
      <c r="AM124" s="2688"/>
      <c r="AN124" s="2688"/>
      <c r="AO124" s="2688"/>
      <c r="AP124" s="2688"/>
      <c r="AQ124" s="2688"/>
      <c r="AR124" s="2688"/>
      <c r="AS124" s="2688"/>
      <c r="AT124" s="2688"/>
      <c r="AU124" s="2688"/>
      <c r="AV124" s="2688"/>
      <c r="AW124" s="2688"/>
      <c r="AX124" s="2688"/>
      <c r="AY124" s="2688"/>
      <c r="AZ124" s="2688"/>
      <c r="BA124" s="2688"/>
      <c r="BB124" s="2688"/>
      <c r="BC124" s="2688"/>
      <c r="BD124" s="2688"/>
      <c r="BE124" s="2688"/>
      <c r="BF124" s="2688"/>
      <c r="BG124" s="2688"/>
      <c r="BH124" s="2688"/>
      <c r="BI124" s="2688"/>
      <c r="BJ124" s="2688"/>
      <c r="BK124" s="2688"/>
      <c r="BL124" s="2688"/>
      <c r="BM124" s="2688"/>
      <c r="BN124" s="2688"/>
      <c r="BO124" s="2688"/>
      <c r="BP124" s="2688"/>
      <c r="BQ124" s="2688"/>
      <c r="BR124" s="2688"/>
      <c r="BS124" s="2688"/>
      <c r="BT124" s="2688"/>
      <c r="BU124" s="2688"/>
      <c r="BV124" s="2688"/>
      <c r="BW124" s="2688"/>
      <c r="BX124" s="2688"/>
      <c r="BY124" s="2688"/>
      <c r="BZ124" s="2688"/>
      <c r="CA124" s="2688"/>
      <c r="CB124" s="2688"/>
      <c r="CC124" s="2688"/>
      <c r="CD124" s="2688"/>
      <c r="CE124" s="2688"/>
      <c r="CF124" s="2688"/>
      <c r="CG124" s="2688"/>
      <c r="CH124" s="2688"/>
      <c r="CI124" s="2688"/>
      <c r="CJ124" s="2688"/>
      <c r="CK124" s="2688"/>
      <c r="CL124" s="2688"/>
      <c r="CM124" s="2688"/>
      <c r="CN124" s="2688"/>
      <c r="CO124" s="2688"/>
      <c r="CP124" s="2688"/>
      <c r="CQ124" s="2688"/>
      <c r="CR124" s="2688"/>
      <c r="CS124" s="2688"/>
      <c r="CT124" s="2688"/>
      <c r="CU124" s="2688"/>
      <c r="CV124" s="2688"/>
      <c r="CW124" s="2688"/>
      <c r="CX124" s="2688"/>
      <c r="CY124" s="2688"/>
      <c r="CZ124" s="2688"/>
      <c r="DA124" s="2688"/>
      <c r="DB124" s="2688"/>
      <c r="DC124" s="2688"/>
      <c r="DD124" s="2688"/>
      <c r="DE124" s="2688"/>
      <c r="DF124" s="2688"/>
      <c r="DG124" s="2688"/>
      <c r="DH124" s="2688"/>
      <c r="DI124" s="2688"/>
      <c r="DJ124" s="2688"/>
      <c r="DK124" s="2688"/>
      <c r="DL124" s="2688"/>
      <c r="DM124" s="2688"/>
      <c r="DN124" s="2688"/>
      <c r="DO124" s="2688"/>
      <c r="DP124" s="2688"/>
      <c r="DQ124" s="2688"/>
      <c r="DR124" s="2688"/>
      <c r="DS124" s="2688"/>
      <c r="DT124" s="2688"/>
      <c r="DU124" s="2688"/>
      <c r="DV124" s="2688"/>
      <c r="DW124" s="2688"/>
      <c r="DX124" s="2688"/>
      <c r="DY124" s="2688"/>
      <c r="DZ124" s="2688"/>
      <c r="EA124" s="2688"/>
      <c r="EB124" s="2688"/>
      <c r="EC124" s="2688"/>
      <c r="ED124" s="2688"/>
      <c r="EE124" s="2688"/>
      <c r="EF124" s="2688"/>
      <c r="EG124" s="2688"/>
      <c r="EH124" s="2688"/>
      <c r="EI124" s="2688"/>
      <c r="EJ124" s="2688"/>
      <c r="EK124" s="2688"/>
      <c r="EL124" s="2688"/>
      <c r="EM124" s="2688"/>
      <c r="EN124" s="2688"/>
      <c r="EO124" s="2688"/>
      <c r="EP124" s="2688"/>
      <c r="EQ124" s="2688"/>
      <c r="ER124" s="2688"/>
      <c r="ES124" s="2688"/>
      <c r="ET124" s="2688"/>
      <c r="EU124" s="2688"/>
      <c r="EV124" s="2688"/>
      <c r="EW124" s="2688"/>
      <c r="EX124" s="2688"/>
      <c r="EY124" s="2688"/>
      <c r="EZ124" s="2688"/>
      <c r="FA124" s="2688"/>
      <c r="FB124" s="2688"/>
      <c r="FC124" s="2688"/>
      <c r="FD124" s="2688"/>
      <c r="FE124" s="2688"/>
      <c r="FF124" s="2688"/>
      <c r="FG124" s="2688"/>
      <c r="FH124" s="2688"/>
      <c r="FI124" s="2688"/>
      <c r="FJ124" s="2688"/>
      <c r="FK124" s="2688"/>
      <c r="FL124" s="2688"/>
      <c r="FM124" s="2688"/>
      <c r="FN124" s="2688"/>
      <c r="FO124" s="2688"/>
      <c r="FP124" s="2688"/>
      <c r="FQ124" s="2688"/>
      <c r="FR124" s="2688"/>
      <c r="FS124" s="2688"/>
      <c r="FT124" s="2688"/>
      <c r="FU124" s="2688"/>
      <c r="FV124" s="2688"/>
      <c r="FW124" s="2688"/>
      <c r="FX124" s="2688"/>
      <c r="FY124" s="2688"/>
      <c r="FZ124" s="2688"/>
      <c r="GA124" s="2688"/>
      <c r="GB124" s="2688"/>
      <c r="GC124" s="2688"/>
      <c r="GD124" s="2688"/>
      <c r="GE124" s="2688"/>
      <c r="GF124" s="2688"/>
      <c r="GG124" s="2688"/>
      <c r="GH124" s="2688"/>
      <c r="GI124" s="2688"/>
      <c r="GJ124" s="2688"/>
      <c r="GK124" s="2688"/>
      <c r="GL124" s="2688"/>
      <c r="GM124" s="2688"/>
      <c r="GN124" s="2688"/>
      <c r="GO124" s="2688"/>
      <c r="GP124" s="2688"/>
      <c r="GQ124" s="2688"/>
      <c r="GR124" s="2688"/>
      <c r="GS124" s="2688"/>
      <c r="GT124" s="2688"/>
      <c r="GU124" s="2688"/>
      <c r="GV124" s="2688"/>
      <c r="GW124" s="2688"/>
      <c r="GX124" s="2688"/>
      <c r="GY124" s="2688"/>
      <c r="GZ124" s="2688"/>
      <c r="HA124" s="2688"/>
      <c r="HB124" s="2688"/>
      <c r="HC124" s="2688"/>
      <c r="HD124" s="2688"/>
      <c r="HE124" s="2688"/>
      <c r="HF124" s="2688"/>
      <c r="HG124" s="2688"/>
      <c r="HH124" s="2688"/>
      <c r="HI124" s="2688"/>
      <c r="HJ124" s="2688"/>
      <c r="HK124" s="2688"/>
      <c r="HL124" s="2688"/>
      <c r="HM124" s="2688"/>
      <c r="HN124" s="2688"/>
      <c r="HO124" s="2688"/>
      <c r="HP124" s="2688"/>
      <c r="HQ124" s="2688"/>
      <c r="HR124" s="2688"/>
      <c r="HS124" s="2688"/>
      <c r="HT124" s="2688"/>
      <c r="HU124" s="2688"/>
      <c r="HV124" s="2688"/>
      <c r="HW124" s="2688"/>
      <c r="HX124" s="2688"/>
      <c r="HY124" s="2688"/>
      <c r="HZ124" s="2688"/>
      <c r="IA124" s="2688"/>
      <c r="IB124" s="2688"/>
      <c r="IC124" s="2688"/>
      <c r="ID124" s="2688"/>
      <c r="IE124" s="2688"/>
      <c r="IF124" s="2688"/>
      <c r="IG124" s="2688"/>
      <c r="IH124" s="2688"/>
      <c r="II124" s="2688"/>
      <c r="IJ124" s="2688"/>
      <c r="IK124" s="2688"/>
      <c r="IL124" s="2688"/>
      <c r="IM124" s="2688"/>
      <c r="IN124" s="2688"/>
      <c r="IO124" s="2688"/>
      <c r="IP124" s="2880"/>
      <c r="IQ124" s="2880"/>
      <c r="IR124" s="2880"/>
      <c r="IS124" s="2880"/>
      <c r="IT124" s="2880"/>
      <c r="IU124" s="2880"/>
      <c r="IV124" s="2880"/>
      <c r="IW124" s="2880"/>
      <c r="IX124" s="2880"/>
      <c r="IY124" s="2880"/>
      <c r="IZ124" s="2880"/>
      <c r="JA124" s="2880"/>
      <c r="JB124" s="2880"/>
      <c r="JC124" s="2880"/>
      <c r="JD124" s="2880"/>
      <c r="JE124" s="2880"/>
      <c r="JF124" s="2880"/>
      <c r="JG124" s="4094"/>
      <c r="JH124" s="1233"/>
    </row>
    <row r="125" spans="1:268" x14ac:dyDescent="0.2">
      <c r="A125" s="1128">
        <v>125</v>
      </c>
      <c r="B125" s="1534" t="str">
        <f si="3" t="shared"/>
        <v/>
      </c>
      <c r="C125" s="1278" t="s">
        <v>1620</v>
      </c>
      <c r="D125" s="1386" t="s">
        <v>5342</v>
      </c>
      <c r="E125" s="2688"/>
      <c r="F125" s="2688"/>
      <c r="G125" s="2688"/>
      <c r="H125" s="2688"/>
      <c r="I125" s="2688"/>
      <c r="J125" s="2688"/>
      <c r="K125" s="2688"/>
      <c r="L125" s="2688"/>
      <c r="M125" s="2688"/>
      <c r="N125" s="2688"/>
      <c r="O125" s="2688"/>
      <c r="P125" s="2688"/>
      <c r="Q125" s="2688"/>
      <c r="R125" s="2688"/>
      <c r="S125" s="2688"/>
      <c r="T125" s="2688"/>
      <c r="U125" s="2688"/>
      <c r="V125" s="2688"/>
      <c r="W125" s="2688"/>
      <c r="X125" s="2688"/>
      <c r="Y125" s="2688"/>
      <c r="Z125" s="2688"/>
      <c r="AA125" s="2688"/>
      <c r="AB125" s="2688"/>
      <c r="AC125" s="2688"/>
      <c r="AD125" s="2688"/>
      <c r="AE125" s="2688"/>
      <c r="AF125" s="2688"/>
      <c r="AG125" s="2688"/>
      <c r="AH125" s="2688"/>
      <c r="AI125" s="2688"/>
      <c r="AJ125" s="2688"/>
      <c r="AK125" s="2688"/>
      <c r="AL125" s="2688"/>
      <c r="AM125" s="2688"/>
      <c r="AN125" s="2688"/>
      <c r="AO125" s="2688"/>
      <c r="AP125" s="2688"/>
      <c r="AQ125" s="2688"/>
      <c r="AR125" s="2688"/>
      <c r="AS125" s="2688"/>
      <c r="AT125" s="2688"/>
      <c r="AU125" s="2688"/>
      <c r="AV125" s="2688"/>
      <c r="AW125" s="2688"/>
      <c r="AX125" s="2688"/>
      <c r="AY125" s="2688"/>
      <c r="AZ125" s="2688"/>
      <c r="BA125" s="2688"/>
      <c r="BB125" s="2688"/>
      <c r="BC125" s="2688"/>
      <c r="BD125" s="2688"/>
      <c r="BE125" s="2688"/>
      <c r="BF125" s="2688"/>
      <c r="BG125" s="2688"/>
      <c r="BH125" s="2688"/>
      <c r="BI125" s="2688"/>
      <c r="BJ125" s="2688"/>
      <c r="BK125" s="2688"/>
      <c r="BL125" s="2688"/>
      <c r="BM125" s="2688"/>
      <c r="BN125" s="2688"/>
      <c r="BO125" s="2688"/>
      <c r="BP125" s="2688"/>
      <c r="BQ125" s="2688"/>
      <c r="BR125" s="2688"/>
      <c r="BS125" s="2688"/>
      <c r="BT125" s="2688"/>
      <c r="BU125" s="2688"/>
      <c r="BV125" s="2688"/>
      <c r="BW125" s="2688"/>
      <c r="BX125" s="2688"/>
      <c r="BY125" s="2688"/>
      <c r="BZ125" s="2688"/>
      <c r="CA125" s="2688"/>
      <c r="CB125" s="2688"/>
      <c r="CC125" s="2688"/>
      <c r="CD125" s="2688"/>
      <c r="CE125" s="2688"/>
      <c r="CF125" s="2688"/>
      <c r="CG125" s="2688"/>
      <c r="CH125" s="2688"/>
      <c r="CI125" s="2688"/>
      <c r="CJ125" s="2688"/>
      <c r="CK125" s="2688"/>
      <c r="CL125" s="2688"/>
      <c r="CM125" s="2688"/>
      <c r="CN125" s="2688"/>
      <c r="CO125" s="2688"/>
      <c r="CP125" s="2688"/>
      <c r="CQ125" s="2688"/>
      <c r="CR125" s="2688"/>
      <c r="CS125" s="2688"/>
      <c r="CT125" s="2688"/>
      <c r="CU125" s="2688"/>
      <c r="CV125" s="2688"/>
      <c r="CW125" s="2688"/>
      <c r="CX125" s="2688"/>
      <c r="CY125" s="2688"/>
      <c r="CZ125" s="2688"/>
      <c r="DA125" s="2688"/>
      <c r="DB125" s="2688"/>
      <c r="DC125" s="2688"/>
      <c r="DD125" s="2688"/>
      <c r="DE125" s="2688"/>
      <c r="DF125" s="2688"/>
      <c r="DG125" s="2688"/>
      <c r="DH125" s="2688"/>
      <c r="DI125" s="2688"/>
      <c r="DJ125" s="2688"/>
      <c r="DK125" s="2688"/>
      <c r="DL125" s="2688"/>
      <c r="DM125" s="2688"/>
      <c r="DN125" s="2688"/>
      <c r="DO125" s="2688"/>
      <c r="DP125" s="2688"/>
      <c r="DQ125" s="2688"/>
      <c r="DR125" s="2688"/>
      <c r="DS125" s="2688"/>
      <c r="DT125" s="2688"/>
      <c r="DU125" s="2688"/>
      <c r="DV125" s="2688"/>
      <c r="DW125" s="2688"/>
      <c r="DX125" s="2688"/>
      <c r="DY125" s="2688"/>
      <c r="DZ125" s="2688"/>
      <c r="EA125" s="2688"/>
      <c r="EB125" s="2688"/>
      <c r="EC125" s="2688"/>
      <c r="ED125" s="2688"/>
      <c r="EE125" s="2688"/>
      <c r="EF125" s="2688"/>
      <c r="EG125" s="2688"/>
      <c r="EH125" s="2688"/>
      <c r="EI125" s="2688"/>
      <c r="EJ125" s="2688"/>
      <c r="EK125" s="2688"/>
      <c r="EL125" s="2688"/>
      <c r="EM125" s="2688"/>
      <c r="EN125" s="2688"/>
      <c r="EO125" s="2688"/>
      <c r="EP125" s="2688"/>
      <c r="EQ125" s="2688"/>
      <c r="ER125" s="2688"/>
      <c r="ES125" s="2688"/>
      <c r="ET125" s="2688"/>
      <c r="EU125" s="2688"/>
      <c r="EV125" s="2688"/>
      <c r="EW125" s="2688"/>
      <c r="EX125" s="2688"/>
      <c r="EY125" s="2688"/>
      <c r="EZ125" s="2688"/>
      <c r="FA125" s="2688"/>
      <c r="FB125" s="2688"/>
      <c r="FC125" s="2688"/>
      <c r="FD125" s="2688"/>
      <c r="FE125" s="2688"/>
      <c r="FF125" s="2688"/>
      <c r="FG125" s="2688"/>
      <c r="FH125" s="2688"/>
      <c r="FI125" s="2688"/>
      <c r="FJ125" s="2688"/>
      <c r="FK125" s="2688"/>
      <c r="FL125" s="2688"/>
      <c r="FM125" s="2688"/>
      <c r="FN125" s="2688"/>
      <c r="FO125" s="2688"/>
      <c r="FP125" s="2688"/>
      <c r="FQ125" s="2688"/>
      <c r="FR125" s="2688"/>
      <c r="FS125" s="2688"/>
      <c r="FT125" s="2688"/>
      <c r="FU125" s="2688"/>
      <c r="FV125" s="2688"/>
      <c r="FW125" s="2688"/>
      <c r="FX125" s="2688"/>
      <c r="FY125" s="2688"/>
      <c r="FZ125" s="2688"/>
      <c r="GA125" s="2688"/>
      <c r="GB125" s="2688"/>
      <c r="GC125" s="2688"/>
      <c r="GD125" s="2688"/>
      <c r="GE125" s="2688"/>
      <c r="GF125" s="2688"/>
      <c r="GG125" s="2688"/>
      <c r="GH125" s="2688"/>
      <c r="GI125" s="2688"/>
      <c r="GJ125" s="2688"/>
      <c r="GK125" s="2688"/>
      <c r="GL125" s="2688"/>
      <c r="GM125" s="2688"/>
      <c r="GN125" s="2688"/>
      <c r="GO125" s="2688"/>
      <c r="GP125" s="2688"/>
      <c r="GQ125" s="2688"/>
      <c r="GR125" s="2688"/>
      <c r="GS125" s="2688"/>
      <c r="GT125" s="2688"/>
      <c r="GU125" s="2688"/>
      <c r="GV125" s="2688"/>
      <c r="GW125" s="2688"/>
      <c r="GX125" s="2688"/>
      <c r="GY125" s="2688"/>
      <c r="GZ125" s="2688"/>
      <c r="HA125" s="2688"/>
      <c r="HB125" s="2688"/>
      <c r="HC125" s="2688"/>
      <c r="HD125" s="2688"/>
      <c r="HE125" s="2688"/>
      <c r="HF125" s="2688"/>
      <c r="HG125" s="2688"/>
      <c r="HH125" s="2688"/>
      <c r="HI125" s="2688"/>
      <c r="HJ125" s="2688"/>
      <c r="HK125" s="2688"/>
      <c r="HL125" s="2688"/>
      <c r="HM125" s="2688"/>
      <c r="HN125" s="2688"/>
      <c r="HO125" s="2688"/>
      <c r="HP125" s="2688"/>
      <c r="HQ125" s="2688"/>
      <c r="HR125" s="2688"/>
      <c r="HS125" s="2688"/>
      <c r="HT125" s="2688"/>
      <c r="HU125" s="2688"/>
      <c r="HV125" s="2688"/>
      <c r="HW125" s="2688"/>
      <c r="HX125" s="2688"/>
      <c r="HY125" s="2688"/>
      <c r="HZ125" s="2688"/>
      <c r="IA125" s="2688"/>
      <c r="IB125" s="2688"/>
      <c r="IC125" s="2688"/>
      <c r="ID125" s="2688"/>
      <c r="IE125" s="2688"/>
      <c r="IF125" s="2688"/>
      <c r="IG125" s="2688"/>
      <c r="IH125" s="2688"/>
      <c r="II125" s="2688"/>
      <c r="IJ125" s="2688"/>
      <c r="IK125" s="2688"/>
      <c r="IL125" s="2688"/>
      <c r="IM125" s="2688"/>
      <c r="IN125" s="2688"/>
      <c r="IO125" s="2688"/>
      <c r="IP125" s="2880"/>
      <c r="IQ125" s="2880"/>
      <c r="IR125" s="2880"/>
      <c r="IS125" s="2880"/>
      <c r="IT125" s="2880"/>
      <c r="IU125" s="2880"/>
      <c r="IV125" s="2880"/>
      <c r="IW125" s="2880"/>
      <c r="IX125" s="2880"/>
      <c r="IY125" s="2880"/>
      <c r="IZ125" s="2880"/>
      <c r="JA125" s="2880"/>
      <c r="JB125" s="2880"/>
      <c r="JC125" s="2880"/>
      <c r="JD125" s="2880"/>
      <c r="JE125" s="2880"/>
      <c r="JF125" s="2880"/>
      <c r="JG125" s="4094"/>
      <c r="JH125" s="1233"/>
    </row>
    <row r="126" spans="1:268" x14ac:dyDescent="0.2">
      <c r="A126" s="1128">
        <v>126</v>
      </c>
      <c r="B126" s="1534" t="str">
        <f si="3" t="shared"/>
        <v/>
      </c>
      <c r="C126" s="1278" t="s">
        <v>1621</v>
      </c>
      <c r="D126" s="1386" t="s">
        <v>5343</v>
      </c>
      <c r="E126" s="2688"/>
      <c r="F126" s="2688"/>
      <c r="G126" s="2688"/>
      <c r="H126" s="2688"/>
      <c r="I126" s="2688"/>
      <c r="J126" s="2688"/>
      <c r="K126" s="2688"/>
      <c r="L126" s="2688"/>
      <c r="M126" s="2688"/>
      <c r="N126" s="2688"/>
      <c r="O126" s="2688"/>
      <c r="P126" s="2688"/>
      <c r="Q126" s="2688"/>
      <c r="R126" s="2688"/>
      <c r="S126" s="2688"/>
      <c r="T126" s="2688"/>
      <c r="U126" s="2688"/>
      <c r="V126" s="2688"/>
      <c r="W126" s="2688"/>
      <c r="X126" s="2688"/>
      <c r="Y126" s="2688"/>
      <c r="Z126" s="2688"/>
      <c r="AA126" s="2688"/>
      <c r="AB126" s="2688"/>
      <c r="AC126" s="2688"/>
      <c r="AD126" s="2688"/>
      <c r="AE126" s="2688"/>
      <c r="AF126" s="2688"/>
      <c r="AG126" s="2688"/>
      <c r="AH126" s="2688"/>
      <c r="AI126" s="2688"/>
      <c r="AJ126" s="2688"/>
      <c r="AK126" s="2688"/>
      <c r="AL126" s="2688"/>
      <c r="AM126" s="2688"/>
      <c r="AN126" s="2688"/>
      <c r="AO126" s="2688"/>
      <c r="AP126" s="2688"/>
      <c r="AQ126" s="2688"/>
      <c r="AR126" s="2688"/>
      <c r="AS126" s="2688"/>
      <c r="AT126" s="2688"/>
      <c r="AU126" s="2688"/>
      <c r="AV126" s="2688"/>
      <c r="AW126" s="2688"/>
      <c r="AX126" s="2688"/>
      <c r="AY126" s="2688"/>
      <c r="AZ126" s="2688"/>
      <c r="BA126" s="2688"/>
      <c r="BB126" s="2688"/>
      <c r="BC126" s="2688"/>
      <c r="BD126" s="2688"/>
      <c r="BE126" s="2688"/>
      <c r="BF126" s="2688"/>
      <c r="BG126" s="2688"/>
      <c r="BH126" s="2688"/>
      <c r="BI126" s="2688"/>
      <c r="BJ126" s="2688"/>
      <c r="BK126" s="2688"/>
      <c r="BL126" s="2688"/>
      <c r="BM126" s="2688"/>
      <c r="BN126" s="2688"/>
      <c r="BO126" s="2688"/>
      <c r="BP126" s="2688"/>
      <c r="BQ126" s="2688"/>
      <c r="BR126" s="2688"/>
      <c r="BS126" s="2688"/>
      <c r="BT126" s="2688"/>
      <c r="BU126" s="2688"/>
      <c r="BV126" s="2688"/>
      <c r="BW126" s="2688"/>
      <c r="BX126" s="2688"/>
      <c r="BY126" s="2688"/>
      <c r="BZ126" s="2688"/>
      <c r="CA126" s="2688"/>
      <c r="CB126" s="2688"/>
      <c r="CC126" s="2688"/>
      <c r="CD126" s="2688"/>
      <c r="CE126" s="2688"/>
      <c r="CF126" s="2688"/>
      <c r="CG126" s="2688"/>
      <c r="CH126" s="2688"/>
      <c r="CI126" s="2688"/>
      <c r="CJ126" s="2688"/>
      <c r="CK126" s="2688"/>
      <c r="CL126" s="2688"/>
      <c r="CM126" s="2688"/>
      <c r="CN126" s="2688"/>
      <c r="CO126" s="2688"/>
      <c r="CP126" s="2688"/>
      <c r="CQ126" s="2688"/>
      <c r="CR126" s="2688"/>
      <c r="CS126" s="2688"/>
      <c r="CT126" s="2688"/>
      <c r="CU126" s="2688"/>
      <c r="CV126" s="2688"/>
      <c r="CW126" s="2688"/>
      <c r="CX126" s="2688"/>
      <c r="CY126" s="2688"/>
      <c r="CZ126" s="2688"/>
      <c r="DA126" s="2688"/>
      <c r="DB126" s="2688"/>
      <c r="DC126" s="2688"/>
      <c r="DD126" s="2688"/>
      <c r="DE126" s="2688"/>
      <c r="DF126" s="2688"/>
      <c r="DG126" s="2688"/>
      <c r="DH126" s="2688"/>
      <c r="DI126" s="2688"/>
      <c r="DJ126" s="2688"/>
      <c r="DK126" s="2688"/>
      <c r="DL126" s="2688"/>
      <c r="DM126" s="2688"/>
      <c r="DN126" s="2688"/>
      <c r="DO126" s="2688"/>
      <c r="DP126" s="2688"/>
      <c r="DQ126" s="2688"/>
      <c r="DR126" s="2688"/>
      <c r="DS126" s="2688"/>
      <c r="DT126" s="2688"/>
      <c r="DU126" s="2688"/>
      <c r="DV126" s="2688"/>
      <c r="DW126" s="2688"/>
      <c r="DX126" s="2688"/>
      <c r="DY126" s="2688"/>
      <c r="DZ126" s="2688"/>
      <c r="EA126" s="2688"/>
      <c r="EB126" s="2688"/>
      <c r="EC126" s="2688"/>
      <c r="ED126" s="2688"/>
      <c r="EE126" s="2688"/>
      <c r="EF126" s="2688"/>
      <c r="EG126" s="2688"/>
      <c r="EH126" s="2688"/>
      <c r="EI126" s="2688"/>
      <c r="EJ126" s="2688"/>
      <c r="EK126" s="2688"/>
      <c r="EL126" s="2688"/>
      <c r="EM126" s="2688"/>
      <c r="EN126" s="2688"/>
      <c r="EO126" s="2688"/>
      <c r="EP126" s="2688"/>
      <c r="EQ126" s="2688"/>
      <c r="ER126" s="2688"/>
      <c r="ES126" s="2688"/>
      <c r="ET126" s="2688"/>
      <c r="EU126" s="2688"/>
      <c r="EV126" s="2688"/>
      <c r="EW126" s="2688"/>
      <c r="EX126" s="2688"/>
      <c r="EY126" s="2688"/>
      <c r="EZ126" s="2688"/>
      <c r="FA126" s="2688"/>
      <c r="FB126" s="2688"/>
      <c r="FC126" s="2688"/>
      <c r="FD126" s="2688"/>
      <c r="FE126" s="2688"/>
      <c r="FF126" s="2688"/>
      <c r="FG126" s="2688"/>
      <c r="FH126" s="2688"/>
      <c r="FI126" s="2688"/>
      <c r="FJ126" s="2688"/>
      <c r="FK126" s="2688"/>
      <c r="FL126" s="2688"/>
      <c r="FM126" s="2688"/>
      <c r="FN126" s="2688"/>
      <c r="FO126" s="2688"/>
      <c r="FP126" s="2688"/>
      <c r="FQ126" s="2688"/>
      <c r="FR126" s="2688"/>
      <c r="FS126" s="2688"/>
      <c r="FT126" s="2688"/>
      <c r="FU126" s="2688"/>
      <c r="FV126" s="2688"/>
      <c r="FW126" s="2688"/>
      <c r="FX126" s="2688"/>
      <c r="FY126" s="2688"/>
      <c r="FZ126" s="2688"/>
      <c r="GA126" s="2688"/>
      <c r="GB126" s="2688"/>
      <c r="GC126" s="2688"/>
      <c r="GD126" s="2688"/>
      <c r="GE126" s="2688"/>
      <c r="GF126" s="2688"/>
      <c r="GG126" s="2688"/>
      <c r="GH126" s="2688"/>
      <c r="GI126" s="2688"/>
      <c r="GJ126" s="2688"/>
      <c r="GK126" s="2688"/>
      <c r="GL126" s="2688"/>
      <c r="GM126" s="2688"/>
      <c r="GN126" s="2688"/>
      <c r="GO126" s="2688"/>
      <c r="GP126" s="2688"/>
      <c r="GQ126" s="2688"/>
      <c r="GR126" s="2688"/>
      <c r="GS126" s="2688"/>
      <c r="GT126" s="2688"/>
      <c r="GU126" s="2688"/>
      <c r="GV126" s="2688"/>
      <c r="GW126" s="2688"/>
      <c r="GX126" s="2688"/>
      <c r="GY126" s="2688"/>
      <c r="GZ126" s="2688"/>
      <c r="HA126" s="2688"/>
      <c r="HB126" s="2688"/>
      <c r="HC126" s="2688"/>
      <c r="HD126" s="2688"/>
      <c r="HE126" s="2688"/>
      <c r="HF126" s="2688"/>
      <c r="HG126" s="2688"/>
      <c r="HH126" s="2688"/>
      <c r="HI126" s="2688"/>
      <c r="HJ126" s="2688"/>
      <c r="HK126" s="2688"/>
      <c r="HL126" s="2688"/>
      <c r="HM126" s="2688"/>
      <c r="HN126" s="2688"/>
      <c r="HO126" s="2688"/>
      <c r="HP126" s="2688"/>
      <c r="HQ126" s="2688"/>
      <c r="HR126" s="2688"/>
      <c r="HS126" s="2688"/>
      <c r="HT126" s="2688"/>
      <c r="HU126" s="2688"/>
      <c r="HV126" s="2688"/>
      <c r="HW126" s="2688"/>
      <c r="HX126" s="2688"/>
      <c r="HY126" s="2688"/>
      <c r="HZ126" s="2688"/>
      <c r="IA126" s="2688"/>
      <c r="IB126" s="2688"/>
      <c r="IC126" s="2688"/>
      <c r="ID126" s="2688"/>
      <c r="IE126" s="2688"/>
      <c r="IF126" s="2688"/>
      <c r="IG126" s="2688"/>
      <c r="IH126" s="2688"/>
      <c r="II126" s="2688"/>
      <c r="IJ126" s="2688"/>
      <c r="IK126" s="2688"/>
      <c r="IL126" s="2688"/>
      <c r="IM126" s="2688"/>
      <c r="IN126" s="2688"/>
      <c r="IO126" s="2688"/>
      <c r="IP126" s="2880"/>
      <c r="IQ126" s="2880"/>
      <c r="IR126" s="2880"/>
      <c r="IS126" s="2880"/>
      <c r="IT126" s="2880"/>
      <c r="IU126" s="2880"/>
      <c r="IV126" s="2880"/>
      <c r="IW126" s="2880"/>
      <c r="IX126" s="2880"/>
      <c r="IY126" s="2880"/>
      <c r="IZ126" s="2880"/>
      <c r="JA126" s="2880"/>
      <c r="JB126" s="2880"/>
      <c r="JC126" s="2880"/>
      <c r="JD126" s="2880"/>
      <c r="JE126" s="2880"/>
      <c r="JF126" s="2880"/>
      <c r="JG126" s="4094"/>
      <c r="JH126" s="1233"/>
    </row>
    <row r="127" spans="1:268" x14ac:dyDescent="0.2">
      <c r="A127" s="1128">
        <v>127</v>
      </c>
      <c r="B127" s="1534" t="str">
        <f si="3" t="shared"/>
        <v/>
      </c>
      <c r="C127" s="1278" t="s">
        <v>1622</v>
      </c>
      <c r="D127" s="1386" t="s">
        <v>3006</v>
      </c>
      <c r="E127" s="2688"/>
      <c r="F127" s="2688"/>
      <c r="G127" s="2688"/>
      <c r="H127" s="2688"/>
      <c r="I127" s="2688"/>
      <c r="J127" s="2688"/>
      <c r="K127" s="2688"/>
      <c r="L127" s="2688"/>
      <c r="M127" s="2688"/>
      <c r="N127" s="2688"/>
      <c r="O127" s="2688"/>
      <c r="P127" s="2688"/>
      <c r="Q127" s="2688"/>
      <c r="R127" s="2688"/>
      <c r="S127" s="2688"/>
      <c r="T127" s="2688"/>
      <c r="U127" s="2688"/>
      <c r="V127" s="2688"/>
      <c r="W127" s="2688"/>
      <c r="X127" s="2688"/>
      <c r="Y127" s="2688"/>
      <c r="Z127" s="2688"/>
      <c r="AA127" s="2688"/>
      <c r="AB127" s="2688"/>
      <c r="AC127" s="2688"/>
      <c r="AD127" s="2688"/>
      <c r="AE127" s="2688"/>
      <c r="AF127" s="2688"/>
      <c r="AG127" s="2688"/>
      <c r="AH127" s="2688"/>
      <c r="AI127" s="2688"/>
      <c r="AJ127" s="2688"/>
      <c r="AK127" s="2688"/>
      <c r="AL127" s="2688"/>
      <c r="AM127" s="2688"/>
      <c r="AN127" s="2688"/>
      <c r="AO127" s="2688"/>
      <c r="AP127" s="2688"/>
      <c r="AQ127" s="2688"/>
      <c r="AR127" s="2688"/>
      <c r="AS127" s="2688"/>
      <c r="AT127" s="2688"/>
      <c r="AU127" s="2688"/>
      <c r="AV127" s="2688"/>
      <c r="AW127" s="2688"/>
      <c r="AX127" s="2688"/>
      <c r="AY127" s="2688"/>
      <c r="AZ127" s="2688"/>
      <c r="BA127" s="2688"/>
      <c r="BB127" s="2688"/>
      <c r="BC127" s="2688"/>
      <c r="BD127" s="2688"/>
      <c r="BE127" s="2688"/>
      <c r="BF127" s="2688"/>
      <c r="BG127" s="2688"/>
      <c r="BH127" s="2688"/>
      <c r="BI127" s="2688"/>
      <c r="BJ127" s="2688"/>
      <c r="BK127" s="2688"/>
      <c r="BL127" s="2688"/>
      <c r="BM127" s="2688"/>
      <c r="BN127" s="2688"/>
      <c r="BO127" s="2688"/>
      <c r="BP127" s="2688"/>
      <c r="BQ127" s="2688"/>
      <c r="BR127" s="2688"/>
      <c r="BS127" s="2688"/>
      <c r="BT127" s="2688"/>
      <c r="BU127" s="2688"/>
      <c r="BV127" s="2688"/>
      <c r="BW127" s="2688"/>
      <c r="BX127" s="2688"/>
      <c r="BY127" s="2688"/>
      <c r="BZ127" s="2688"/>
      <c r="CA127" s="2688"/>
      <c r="CB127" s="2688"/>
      <c r="CC127" s="2688"/>
      <c r="CD127" s="2688"/>
      <c r="CE127" s="2688"/>
      <c r="CF127" s="2688"/>
      <c r="CG127" s="2688"/>
      <c r="CH127" s="2688"/>
      <c r="CI127" s="2688"/>
      <c r="CJ127" s="2688"/>
      <c r="CK127" s="2688"/>
      <c r="CL127" s="2688"/>
      <c r="CM127" s="2688"/>
      <c r="CN127" s="2688"/>
      <c r="CO127" s="2688"/>
      <c r="CP127" s="2688"/>
      <c r="CQ127" s="2688"/>
      <c r="CR127" s="2688"/>
      <c r="CS127" s="2688"/>
      <c r="CT127" s="2688"/>
      <c r="CU127" s="2688"/>
      <c r="CV127" s="2688"/>
      <c r="CW127" s="2688"/>
      <c r="CX127" s="2688"/>
      <c r="CY127" s="2688"/>
      <c r="CZ127" s="2688"/>
      <c r="DA127" s="2688"/>
      <c r="DB127" s="2688"/>
      <c r="DC127" s="2688"/>
      <c r="DD127" s="2688"/>
      <c r="DE127" s="2688"/>
      <c r="DF127" s="2688"/>
      <c r="DG127" s="2688"/>
      <c r="DH127" s="2688"/>
      <c r="DI127" s="2688"/>
      <c r="DJ127" s="2688"/>
      <c r="DK127" s="2688"/>
      <c r="DL127" s="2688"/>
      <c r="DM127" s="2688"/>
      <c r="DN127" s="2688"/>
      <c r="DO127" s="2688"/>
      <c r="DP127" s="2688"/>
      <c r="DQ127" s="2688"/>
      <c r="DR127" s="2688"/>
      <c r="DS127" s="2688"/>
      <c r="DT127" s="2688"/>
      <c r="DU127" s="2688"/>
      <c r="DV127" s="2688"/>
      <c r="DW127" s="2688"/>
      <c r="DX127" s="2688"/>
      <c r="DY127" s="2688"/>
      <c r="DZ127" s="2688"/>
      <c r="EA127" s="2688"/>
      <c r="EB127" s="2688"/>
      <c r="EC127" s="2688"/>
      <c r="ED127" s="2688"/>
      <c r="EE127" s="2688"/>
      <c r="EF127" s="2688"/>
      <c r="EG127" s="2688"/>
      <c r="EH127" s="2688"/>
      <c r="EI127" s="2688"/>
      <c r="EJ127" s="2688"/>
      <c r="EK127" s="2688"/>
      <c r="EL127" s="2688"/>
      <c r="EM127" s="2688"/>
      <c r="EN127" s="2688"/>
      <c r="EO127" s="2688"/>
      <c r="EP127" s="2688"/>
      <c r="EQ127" s="2688"/>
      <c r="ER127" s="2688"/>
      <c r="ES127" s="2688"/>
      <c r="ET127" s="2688"/>
      <c r="EU127" s="2688"/>
      <c r="EV127" s="2688"/>
      <c r="EW127" s="2688"/>
      <c r="EX127" s="2688"/>
      <c r="EY127" s="2688"/>
      <c r="EZ127" s="2688"/>
      <c r="FA127" s="2688"/>
      <c r="FB127" s="2688"/>
      <c r="FC127" s="2688"/>
      <c r="FD127" s="2688"/>
      <c r="FE127" s="2688"/>
      <c r="FF127" s="2688"/>
      <c r="FG127" s="2688"/>
      <c r="FH127" s="2688"/>
      <c r="FI127" s="2688"/>
      <c r="FJ127" s="2688"/>
      <c r="FK127" s="2688"/>
      <c r="FL127" s="2688"/>
      <c r="FM127" s="2688"/>
      <c r="FN127" s="2688"/>
      <c r="FO127" s="2688"/>
      <c r="FP127" s="2688"/>
      <c r="FQ127" s="2688"/>
      <c r="FR127" s="2688"/>
      <c r="FS127" s="2688"/>
      <c r="FT127" s="2688"/>
      <c r="FU127" s="2688"/>
      <c r="FV127" s="2688"/>
      <c r="FW127" s="2688"/>
      <c r="FX127" s="2688"/>
      <c r="FY127" s="2688"/>
      <c r="FZ127" s="2688"/>
      <c r="GA127" s="2688"/>
      <c r="GB127" s="2688"/>
      <c r="GC127" s="2688"/>
      <c r="GD127" s="2688"/>
      <c r="GE127" s="2688"/>
      <c r="GF127" s="2688"/>
      <c r="GG127" s="2688"/>
      <c r="GH127" s="2688"/>
      <c r="GI127" s="2688"/>
      <c r="GJ127" s="2688"/>
      <c r="GK127" s="2688"/>
      <c r="GL127" s="2688"/>
      <c r="GM127" s="2688"/>
      <c r="GN127" s="2688"/>
      <c r="GO127" s="2688"/>
      <c r="GP127" s="2688"/>
      <c r="GQ127" s="2688"/>
      <c r="GR127" s="2688"/>
      <c r="GS127" s="2688"/>
      <c r="GT127" s="2688"/>
      <c r="GU127" s="2688"/>
      <c r="GV127" s="2688"/>
      <c r="GW127" s="2688"/>
      <c r="GX127" s="2688"/>
      <c r="GY127" s="2688"/>
      <c r="GZ127" s="2688"/>
      <c r="HA127" s="2688"/>
      <c r="HB127" s="2688"/>
      <c r="HC127" s="2688"/>
      <c r="HD127" s="2688"/>
      <c r="HE127" s="2688"/>
      <c r="HF127" s="2688"/>
      <c r="HG127" s="2688"/>
      <c r="HH127" s="2688"/>
      <c r="HI127" s="2688"/>
      <c r="HJ127" s="2688">
        <v>49140</v>
      </c>
      <c r="HK127" s="2688">
        <v>49140</v>
      </c>
      <c r="HL127" s="2688">
        <v>49140</v>
      </c>
      <c r="HM127" s="2688">
        <v>49140</v>
      </c>
      <c r="HN127" s="2688"/>
      <c r="HO127" s="2688"/>
      <c r="HP127" s="2688"/>
      <c r="HQ127" s="2688"/>
      <c r="HR127" s="2688"/>
      <c r="HS127" s="2688"/>
      <c r="HT127" s="2688"/>
      <c r="HU127" s="2688"/>
      <c r="HV127" s="2688"/>
      <c r="HW127" s="2688"/>
      <c r="HX127" s="2688"/>
      <c r="HY127" s="2688"/>
      <c r="HZ127" s="2688"/>
      <c r="IA127" s="2688"/>
      <c r="IB127" s="2688"/>
      <c r="IC127" s="2688"/>
      <c r="ID127" s="2688"/>
      <c r="IE127" s="2688"/>
      <c r="IF127" s="2688"/>
      <c r="IG127" s="2688"/>
      <c r="IH127" s="2688"/>
      <c r="II127" s="2688"/>
      <c r="IJ127" s="2688"/>
      <c r="IK127" s="2688"/>
      <c r="IL127" s="2688"/>
      <c r="IM127" s="2688"/>
      <c r="IN127" s="2688"/>
      <c r="IO127" s="2688"/>
      <c r="IP127" s="2880"/>
      <c r="IQ127" s="2880"/>
      <c r="IR127" s="2880"/>
      <c r="IS127" s="2880"/>
      <c r="IT127" s="2880"/>
      <c r="IU127" s="2880"/>
      <c r="IV127" s="2880"/>
      <c r="IW127" s="2880"/>
      <c r="IX127" s="2880"/>
      <c r="IY127" s="2880"/>
      <c r="IZ127" s="2880"/>
      <c r="JA127" s="2880"/>
      <c r="JB127" s="2880"/>
      <c r="JC127" s="2880"/>
      <c r="JD127" s="2880"/>
      <c r="JE127" s="2880"/>
      <c r="JF127" s="2880"/>
      <c r="JG127" s="4094"/>
      <c r="JH127" s="1233"/>
    </row>
    <row r="128" spans="1:268" x14ac:dyDescent="0.2">
      <c r="A128" s="1128">
        <v>128</v>
      </c>
      <c r="B128" s="1534" t="str">
        <f si="3" t="shared"/>
        <v/>
      </c>
      <c r="C128" s="1278" t="s">
        <v>1623</v>
      </c>
      <c r="D128" s="1386" t="s">
        <v>5339</v>
      </c>
      <c r="E128" s="3359"/>
      <c r="F128" s="3359"/>
      <c r="G128" s="3359"/>
      <c r="H128" s="3359"/>
      <c r="I128" s="3359"/>
      <c r="J128" s="3359"/>
      <c r="K128" s="3359"/>
      <c r="L128" s="3359"/>
      <c r="M128" s="3359"/>
      <c r="N128" s="3359"/>
      <c r="O128" s="3359"/>
      <c r="P128" s="3359"/>
      <c r="Q128" s="3359"/>
      <c r="R128" s="3359"/>
      <c r="S128" s="3359"/>
      <c r="T128" s="3359"/>
      <c r="U128" s="3359"/>
      <c r="V128" s="3359"/>
      <c r="W128" s="3359"/>
      <c r="X128" s="3359"/>
      <c r="Y128" s="3359"/>
      <c r="Z128" s="3359"/>
      <c r="AA128" s="3359"/>
      <c r="AB128" s="3359"/>
      <c r="AC128" s="3359"/>
      <c r="AD128" s="3359"/>
      <c r="AE128" s="3359"/>
      <c r="AF128" s="3359"/>
      <c r="AG128" s="3359"/>
      <c r="AH128" s="3359"/>
      <c r="AI128" s="3359"/>
      <c r="AJ128" s="3359"/>
      <c r="AK128" s="3359"/>
      <c r="AL128" s="3359"/>
      <c r="AM128" s="3359"/>
      <c r="AN128" s="3359"/>
      <c r="AO128" s="3359"/>
      <c r="AP128" s="3359"/>
      <c r="AQ128" s="3359"/>
      <c r="AR128" s="3359"/>
      <c r="AS128" s="3359"/>
      <c r="AT128" s="3359"/>
      <c r="AU128" s="3359"/>
      <c r="AV128" s="3359"/>
      <c r="AW128" s="3359"/>
      <c r="AX128" s="3359"/>
      <c r="AY128" s="3359"/>
      <c r="AZ128" s="3359"/>
      <c r="BA128" s="3359"/>
      <c r="BB128" s="3359"/>
      <c r="BC128" s="3359"/>
      <c r="BD128" s="3359"/>
      <c r="BE128" s="3359"/>
      <c r="BF128" s="3359"/>
      <c r="BG128" s="3359"/>
      <c r="BH128" s="3359"/>
      <c r="BI128" s="3359"/>
      <c r="BJ128" s="3359"/>
      <c r="BK128" s="3359"/>
      <c r="BL128" s="3359"/>
      <c r="BM128" s="3359"/>
      <c r="BN128" s="3359"/>
      <c r="BO128" s="3359"/>
      <c r="BP128" s="3359"/>
      <c r="BQ128" s="3359"/>
      <c r="BR128" s="3359"/>
      <c r="BS128" s="3359"/>
      <c r="BT128" s="3359"/>
      <c r="BU128" s="3359"/>
      <c r="BV128" s="3359"/>
      <c r="BW128" s="3359"/>
      <c r="BX128" s="3359"/>
      <c r="BY128" s="3359"/>
      <c r="BZ128" s="3359"/>
      <c r="CA128" s="3359"/>
      <c r="CB128" s="3359"/>
      <c r="CC128" s="3359"/>
      <c r="CD128" s="3359"/>
      <c r="CE128" s="3359"/>
      <c r="CF128" s="3359"/>
      <c r="CG128" s="3359"/>
      <c r="CH128" s="3359"/>
      <c r="CI128" s="3359"/>
      <c r="CJ128" s="3359"/>
      <c r="CK128" s="3359"/>
      <c r="CL128" s="3359"/>
      <c r="CM128" s="3359"/>
      <c r="CN128" s="3359"/>
      <c r="CO128" s="3359"/>
      <c r="CP128" s="3359"/>
      <c r="CQ128" s="3359"/>
      <c r="CR128" s="3359"/>
      <c r="CS128" s="3359"/>
      <c r="CT128" s="3359"/>
      <c r="CU128" s="3359"/>
      <c r="CV128" s="3359"/>
      <c r="CW128" s="3359"/>
      <c r="CX128" s="3359"/>
      <c r="CY128" s="3359"/>
      <c r="CZ128" s="3359"/>
      <c r="DA128" s="3359"/>
      <c r="DB128" s="3359"/>
      <c r="DC128" s="3359"/>
      <c r="DD128" s="3359"/>
      <c r="DE128" s="3359"/>
      <c r="DF128" s="3359"/>
      <c r="DG128" s="3359"/>
      <c r="DH128" s="3359"/>
      <c r="DI128" s="3359"/>
      <c r="DJ128" s="3359"/>
      <c r="DK128" s="3359"/>
      <c r="DL128" s="3359"/>
      <c r="DM128" s="3359"/>
      <c r="DN128" s="3359"/>
      <c r="DO128" s="3359"/>
      <c r="DP128" s="3359"/>
      <c r="DQ128" s="3359"/>
      <c r="DR128" s="3359"/>
      <c r="DS128" s="3359"/>
      <c r="DT128" s="3359"/>
      <c r="DU128" s="3359"/>
      <c r="DV128" s="3359"/>
      <c r="DW128" s="3359"/>
      <c r="DX128" s="3359"/>
      <c r="DY128" s="3359"/>
      <c r="DZ128" s="3359"/>
      <c r="EA128" s="3359"/>
      <c r="EB128" s="3359"/>
      <c r="EC128" s="3359"/>
      <c r="ED128" s="3359"/>
      <c r="EE128" s="3359"/>
      <c r="EF128" s="3359"/>
      <c r="EG128" s="3359"/>
      <c r="EH128" s="3359"/>
      <c r="EI128" s="3359"/>
      <c r="EJ128" s="3359"/>
      <c r="EK128" s="3359"/>
      <c r="EL128" s="3359"/>
      <c r="EM128" s="3359"/>
      <c r="EN128" s="3359"/>
      <c r="EO128" s="3359"/>
      <c r="EP128" s="3359"/>
      <c r="EQ128" s="3359"/>
      <c r="ER128" s="3359"/>
      <c r="ES128" s="3359"/>
      <c r="ET128" s="3359"/>
      <c r="EU128" s="3359"/>
      <c r="EV128" s="3359"/>
      <c r="EW128" s="3359"/>
      <c r="EX128" s="3359"/>
      <c r="EY128" s="3359"/>
      <c r="EZ128" s="3359"/>
      <c r="FA128" s="3359"/>
      <c r="FB128" s="3359"/>
      <c r="FC128" s="3359"/>
      <c r="FD128" s="3359"/>
      <c r="FE128" s="3359"/>
      <c r="FF128" s="3359"/>
      <c r="FG128" s="3359"/>
      <c r="FH128" s="3359"/>
      <c r="FI128" s="3359"/>
      <c r="FJ128" s="3359"/>
      <c r="FK128" s="3359"/>
      <c r="FL128" s="3359"/>
      <c r="FM128" s="3359"/>
      <c r="FN128" s="3359"/>
      <c r="FO128" s="3359"/>
      <c r="FP128" s="3359"/>
      <c r="FQ128" s="3359"/>
      <c r="FR128" s="3359"/>
      <c r="FS128" s="3359"/>
      <c r="FT128" s="3359"/>
      <c r="FU128" s="3359"/>
      <c r="FV128" s="3359"/>
      <c r="FW128" s="3359"/>
      <c r="FX128" s="3359"/>
      <c r="FY128" s="3359"/>
      <c r="FZ128" s="3359"/>
      <c r="GA128" s="3359"/>
      <c r="GB128" s="3359"/>
      <c r="GC128" s="3359"/>
      <c r="GD128" s="3359"/>
      <c r="GE128" s="3359"/>
      <c r="GF128" s="3359"/>
      <c r="GG128" s="3359"/>
      <c r="GH128" s="3359"/>
      <c r="GI128" s="3359"/>
      <c r="GJ128" s="3359"/>
      <c r="GK128" s="3359"/>
      <c r="GL128" s="3359"/>
      <c r="GM128" s="3359"/>
      <c r="GN128" s="3359"/>
      <c r="GO128" s="3359"/>
      <c r="GP128" s="3359"/>
      <c r="GQ128" s="3359"/>
      <c r="GR128" s="3359"/>
      <c r="GS128" s="3359"/>
      <c r="GT128" s="3359"/>
      <c r="GU128" s="3359"/>
      <c r="GV128" s="3359"/>
      <c r="GW128" s="3359"/>
      <c r="GX128" s="3359"/>
      <c r="GY128" s="3359"/>
      <c r="GZ128" s="3359"/>
      <c r="HA128" s="3359"/>
      <c r="HB128" s="3359"/>
      <c r="HC128" s="3359"/>
      <c r="HD128" s="3359"/>
      <c r="HE128" s="3359"/>
      <c r="HF128" s="3359"/>
      <c r="HG128" s="3359"/>
      <c r="HH128" s="3359"/>
      <c r="HI128" s="3359"/>
      <c r="HJ128" s="3359" t="s">
        <v>572</v>
      </c>
      <c r="HK128" s="3359" t="s">
        <v>572</v>
      </c>
      <c r="HL128" s="3359" t="s">
        <v>572</v>
      </c>
      <c r="HM128" s="3359" t="s">
        <v>572</v>
      </c>
      <c r="HN128" s="3359"/>
      <c r="HO128" s="3359"/>
      <c r="HP128" s="3359"/>
      <c r="HQ128" s="3359"/>
      <c r="HR128" s="3359"/>
      <c r="HS128" s="3359"/>
      <c r="HT128" s="3359"/>
      <c r="HU128" s="3359"/>
      <c r="HV128" s="3359"/>
      <c r="HW128" s="3359"/>
      <c r="HX128" s="3359"/>
      <c r="HY128" s="3359"/>
      <c r="HZ128" s="3359"/>
      <c r="IA128" s="3359"/>
      <c r="IB128" s="3359"/>
      <c r="IC128" s="3359"/>
      <c r="ID128" s="3359"/>
      <c r="IE128" s="3359"/>
      <c r="IF128" s="3359"/>
      <c r="IG128" s="3359"/>
      <c r="IH128" s="3359"/>
      <c r="II128" s="3359"/>
      <c r="IJ128" s="3359"/>
      <c r="IK128" s="3359"/>
      <c r="IL128" s="3359"/>
      <c r="IM128" s="3359"/>
      <c r="IN128" s="3359"/>
      <c r="IO128" s="3359"/>
      <c r="IP128" s="2880"/>
      <c r="IQ128" s="2880"/>
      <c r="IR128" s="2880"/>
      <c r="IS128" s="2880"/>
      <c r="IT128" s="2880"/>
      <c r="IU128" s="2880"/>
      <c r="IV128" s="2880"/>
      <c r="IW128" s="2880"/>
      <c r="IX128" s="2880"/>
      <c r="IY128" s="2880"/>
      <c r="IZ128" s="2880"/>
      <c r="JA128" s="2880"/>
      <c r="JB128" s="2880"/>
      <c r="JC128" s="2880"/>
      <c r="JD128" s="2880"/>
      <c r="JE128" s="2880"/>
      <c r="JF128" s="2880"/>
      <c r="JG128" s="4094"/>
      <c r="JH128" s="1233"/>
    </row>
    <row r="129" spans="1:268" x14ac:dyDescent="0.2">
      <c r="A129" s="1128">
        <v>129</v>
      </c>
      <c r="B129" s="1534" t="str">
        <f si="3" t="shared"/>
        <v/>
      </c>
      <c r="C129" s="1524" t="s">
        <v>1624</v>
      </c>
      <c r="D129" s="1386" t="s">
        <v>5344</v>
      </c>
      <c r="E129" s="2688"/>
      <c r="F129" s="2688"/>
      <c r="G129" s="2688"/>
      <c r="H129" s="2688"/>
      <c r="I129" s="2688"/>
      <c r="J129" s="2688"/>
      <c r="K129" s="2688"/>
      <c r="L129" s="2688"/>
      <c r="M129" s="2688"/>
      <c r="N129" s="2688"/>
      <c r="O129" s="2688"/>
      <c r="P129" s="2688"/>
      <c r="Q129" s="2688"/>
      <c r="R129" s="2688"/>
      <c r="S129" s="2688"/>
      <c r="T129" s="2688"/>
      <c r="U129" s="2688"/>
      <c r="V129" s="2688"/>
      <c r="W129" s="2688"/>
      <c r="X129" s="2688"/>
      <c r="Y129" s="2688"/>
      <c r="Z129" s="2688"/>
      <c r="AA129" s="2688"/>
      <c r="AB129" s="2688"/>
      <c r="AC129" s="2688"/>
      <c r="AD129" s="2688"/>
      <c r="AE129" s="2688"/>
      <c r="AF129" s="2688"/>
      <c r="AG129" s="2688"/>
      <c r="AH129" s="2688"/>
      <c r="AI129" s="2688"/>
      <c r="AJ129" s="2688"/>
      <c r="AK129" s="2688"/>
      <c r="AL129" s="2688"/>
      <c r="AM129" s="2688"/>
      <c r="AN129" s="2688"/>
      <c r="AO129" s="2688"/>
      <c r="AP129" s="2688"/>
      <c r="AQ129" s="2688"/>
      <c r="AR129" s="2688"/>
      <c r="AS129" s="2688"/>
      <c r="AT129" s="2688"/>
      <c r="AU129" s="2688"/>
      <c r="AV129" s="2688"/>
      <c r="AW129" s="2688"/>
      <c r="AX129" s="2688"/>
      <c r="AY129" s="2688"/>
      <c r="AZ129" s="2688"/>
      <c r="BA129" s="2688"/>
      <c r="BB129" s="2688"/>
      <c r="BC129" s="2688"/>
      <c r="BD129" s="2688"/>
      <c r="BE129" s="2688"/>
      <c r="BF129" s="2688"/>
      <c r="BG129" s="2688"/>
      <c r="BH129" s="2688"/>
      <c r="BI129" s="2688"/>
      <c r="BJ129" s="2688"/>
      <c r="BK129" s="2688"/>
      <c r="BL129" s="2688"/>
      <c r="BM129" s="2688"/>
      <c r="BN129" s="2688"/>
      <c r="BO129" s="2688"/>
      <c r="BP129" s="2688"/>
      <c r="BQ129" s="2688"/>
      <c r="BR129" s="2688"/>
      <c r="BS129" s="2688"/>
      <c r="BT129" s="2688"/>
      <c r="BU129" s="2688"/>
      <c r="BV129" s="2688"/>
      <c r="BW129" s="2688"/>
      <c r="BX129" s="2688"/>
      <c r="BY129" s="2688"/>
      <c r="BZ129" s="2688"/>
      <c r="CA129" s="2688"/>
      <c r="CB129" s="2688"/>
      <c r="CC129" s="2688"/>
      <c r="CD129" s="2688"/>
      <c r="CE129" s="2688"/>
      <c r="CF129" s="2688"/>
      <c r="CG129" s="2688"/>
      <c r="CH129" s="2688"/>
      <c r="CI129" s="2688"/>
      <c r="CJ129" s="2688"/>
      <c r="CK129" s="2688"/>
      <c r="CL129" s="2688"/>
      <c r="CM129" s="2688"/>
      <c r="CN129" s="2688"/>
      <c r="CO129" s="2688"/>
      <c r="CP129" s="2688"/>
      <c r="CQ129" s="2688"/>
      <c r="CR129" s="2688"/>
      <c r="CS129" s="2688"/>
      <c r="CT129" s="2688"/>
      <c r="CU129" s="2688"/>
      <c r="CV129" s="2688"/>
      <c r="CW129" s="2688"/>
      <c r="CX129" s="2688"/>
      <c r="CY129" s="2688"/>
      <c r="CZ129" s="2688"/>
      <c r="DA129" s="2688"/>
      <c r="DB129" s="2688"/>
      <c r="DC129" s="2688"/>
      <c r="DD129" s="2688"/>
      <c r="DE129" s="2688"/>
      <c r="DF129" s="2688"/>
      <c r="DG129" s="2688"/>
      <c r="DH129" s="2688"/>
      <c r="DI129" s="2688"/>
      <c r="DJ129" s="2688"/>
      <c r="DK129" s="2688"/>
      <c r="DL129" s="2688"/>
      <c r="DM129" s="2688"/>
      <c r="DN129" s="2688"/>
      <c r="DO129" s="2688"/>
      <c r="DP129" s="2688"/>
      <c r="DQ129" s="2688"/>
      <c r="DR129" s="2688"/>
      <c r="DS129" s="2688"/>
      <c r="DT129" s="2688"/>
      <c r="DU129" s="2688"/>
      <c r="DV129" s="2688"/>
      <c r="DW129" s="2688"/>
      <c r="DX129" s="2688"/>
      <c r="DY129" s="2688"/>
      <c r="DZ129" s="2688"/>
      <c r="EA129" s="2688"/>
      <c r="EB129" s="2688"/>
      <c r="EC129" s="2688"/>
      <c r="ED129" s="2688"/>
      <c r="EE129" s="2688"/>
      <c r="EF129" s="2688"/>
      <c r="EG129" s="2688"/>
      <c r="EH129" s="2688"/>
      <c r="EI129" s="2688"/>
      <c r="EJ129" s="2688"/>
      <c r="EK129" s="2688"/>
      <c r="EL129" s="2688"/>
      <c r="EM129" s="2688"/>
      <c r="EN129" s="2688"/>
      <c r="EO129" s="2688"/>
      <c r="EP129" s="2688"/>
      <c r="EQ129" s="2688"/>
      <c r="ER129" s="2688"/>
      <c r="ES129" s="2688"/>
      <c r="ET129" s="2688"/>
      <c r="EU129" s="2688"/>
      <c r="EV129" s="2688"/>
      <c r="EW129" s="2688"/>
      <c r="EX129" s="2688"/>
      <c r="EY129" s="2688"/>
      <c r="EZ129" s="2688"/>
      <c r="FA129" s="2688"/>
      <c r="FB129" s="2688"/>
      <c r="FC129" s="2688"/>
      <c r="FD129" s="2688"/>
      <c r="FE129" s="2688"/>
      <c r="FF129" s="2688"/>
      <c r="FG129" s="2688"/>
      <c r="FH129" s="2688"/>
      <c r="FI129" s="2688"/>
      <c r="FJ129" s="2688"/>
      <c r="FK129" s="2688"/>
      <c r="FL129" s="2688"/>
      <c r="FM129" s="2688"/>
      <c r="FN129" s="2688"/>
      <c r="FO129" s="2688"/>
      <c r="FP129" s="2688"/>
      <c r="FQ129" s="2688"/>
      <c r="FR129" s="2688"/>
      <c r="FS129" s="2688"/>
      <c r="FT129" s="2688"/>
      <c r="FU129" s="2688"/>
      <c r="FV129" s="2688"/>
      <c r="FW129" s="2688"/>
      <c r="FX129" s="2688"/>
      <c r="FY129" s="2688"/>
      <c r="FZ129" s="2688"/>
      <c r="GA129" s="2688"/>
      <c r="GB129" s="2688"/>
      <c r="GC129" s="2688"/>
      <c r="GD129" s="2688"/>
      <c r="GE129" s="2688"/>
      <c r="GF129" s="2688"/>
      <c r="GG129" s="2688"/>
      <c r="GH129" s="2688"/>
      <c r="GI129" s="2688"/>
      <c r="GJ129" s="2688"/>
      <c r="GK129" s="2688"/>
      <c r="GL129" s="2688"/>
      <c r="GM129" s="2688"/>
      <c r="GN129" s="2688"/>
      <c r="GO129" s="2688"/>
      <c r="GP129" s="2688"/>
      <c r="GQ129" s="2688"/>
      <c r="GR129" s="2688"/>
      <c r="GS129" s="2688"/>
      <c r="GT129" s="2688"/>
      <c r="GU129" s="2688"/>
      <c r="GV129" s="2688"/>
      <c r="GW129" s="2688"/>
      <c r="GX129" s="2688"/>
      <c r="GY129" s="2688"/>
      <c r="GZ129" s="2688"/>
      <c r="HA129" s="2688"/>
      <c r="HB129" s="2688"/>
      <c r="HC129" s="2688"/>
      <c r="HD129" s="2688"/>
      <c r="HE129" s="2688"/>
      <c r="HF129" s="2688"/>
      <c r="HG129" s="2688"/>
      <c r="HH129" s="2688"/>
      <c r="HI129" s="2688"/>
      <c r="HJ129" s="2688">
        <v>13759</v>
      </c>
      <c r="HK129" s="2688">
        <v>13759</v>
      </c>
      <c r="HL129" s="2688">
        <v>13759</v>
      </c>
      <c r="HM129" s="2688">
        <v>13759</v>
      </c>
      <c r="HN129" s="2688"/>
      <c r="HO129" s="2688"/>
      <c r="HP129" s="2688"/>
      <c r="HQ129" s="2688"/>
      <c r="HR129" s="2688"/>
      <c r="HS129" s="2688"/>
      <c r="HT129" s="2688"/>
      <c r="HU129" s="2688"/>
      <c r="HV129" s="2688"/>
      <c r="HW129" s="2688"/>
      <c r="HX129" s="2688"/>
      <c r="HY129" s="2688"/>
      <c r="HZ129" s="2688"/>
      <c r="IA129" s="2688"/>
      <c r="IB129" s="2688"/>
      <c r="IC129" s="2688"/>
      <c r="ID129" s="2688"/>
      <c r="IE129" s="2688"/>
      <c r="IF129" s="2688"/>
      <c r="IG129" s="2688"/>
      <c r="IH129" s="2688"/>
      <c r="II129" s="2688"/>
      <c r="IJ129" s="2688"/>
      <c r="IK129" s="2688"/>
      <c r="IL129" s="2688"/>
      <c r="IM129" s="2688"/>
      <c r="IN129" s="2688"/>
      <c r="IO129" s="2688"/>
      <c r="IP129" s="2368"/>
      <c r="IQ129" s="2368"/>
      <c r="IR129" s="2368"/>
      <c r="IS129" s="2368"/>
      <c r="IT129" s="2368"/>
      <c r="IU129" s="2368"/>
      <c r="IV129" s="2368"/>
      <c r="IW129" s="2368"/>
      <c r="IX129" s="2368"/>
      <c r="IY129" s="2368"/>
      <c r="IZ129" s="2368"/>
      <c r="JA129" s="2368"/>
      <c r="JB129" s="2368"/>
      <c r="JC129" s="2368"/>
      <c r="JD129" s="2368"/>
      <c r="JE129" s="2368"/>
      <c r="JF129" s="2368"/>
      <c r="JG129" s="4105"/>
      <c r="JH129" s="1233"/>
    </row>
    <row r="130" spans="1:268" x14ac:dyDescent="0.2">
      <c r="A130" s="1128">
        <v>130</v>
      </c>
      <c r="B130" s="1534" t="str">
        <f si="3" t="shared"/>
        <v/>
      </c>
      <c r="C130" s="1524" t="s">
        <v>1625</v>
      </c>
      <c r="D130" s="1386" t="s">
        <v>5345</v>
      </c>
      <c r="E130" s="2688"/>
      <c r="F130" s="2688"/>
      <c r="G130" s="2688"/>
      <c r="H130" s="2688"/>
      <c r="I130" s="2688"/>
      <c r="J130" s="2688"/>
      <c r="K130" s="2688"/>
      <c r="L130" s="2688"/>
      <c r="M130" s="2688"/>
      <c r="N130" s="2688"/>
      <c r="O130" s="2688"/>
      <c r="P130" s="2688"/>
      <c r="Q130" s="2688"/>
      <c r="R130" s="2688"/>
      <c r="S130" s="2688"/>
      <c r="T130" s="2688"/>
      <c r="U130" s="2688"/>
      <c r="V130" s="2688"/>
      <c r="W130" s="2688"/>
      <c r="X130" s="2688"/>
      <c r="Y130" s="2688"/>
      <c r="Z130" s="2688"/>
      <c r="AA130" s="2688"/>
      <c r="AB130" s="2688"/>
      <c r="AC130" s="2688"/>
      <c r="AD130" s="2688"/>
      <c r="AE130" s="2688"/>
      <c r="AF130" s="2688"/>
      <c r="AG130" s="2688"/>
      <c r="AH130" s="2688"/>
      <c r="AI130" s="2688"/>
      <c r="AJ130" s="2688"/>
      <c r="AK130" s="2688"/>
      <c r="AL130" s="2688"/>
      <c r="AM130" s="2688"/>
      <c r="AN130" s="2688"/>
      <c r="AO130" s="2688"/>
      <c r="AP130" s="2688"/>
      <c r="AQ130" s="2688"/>
      <c r="AR130" s="2688"/>
      <c r="AS130" s="2688"/>
      <c r="AT130" s="2688"/>
      <c r="AU130" s="2688"/>
      <c r="AV130" s="2688"/>
      <c r="AW130" s="2688"/>
      <c r="AX130" s="2688"/>
      <c r="AY130" s="2688"/>
      <c r="AZ130" s="2688"/>
      <c r="BA130" s="2688"/>
      <c r="BB130" s="2688"/>
      <c r="BC130" s="2688"/>
      <c r="BD130" s="2688"/>
      <c r="BE130" s="2688"/>
      <c r="BF130" s="2688"/>
      <c r="BG130" s="2688"/>
      <c r="BH130" s="2688"/>
      <c r="BI130" s="2688"/>
      <c r="BJ130" s="2688"/>
      <c r="BK130" s="2688"/>
      <c r="BL130" s="2688"/>
      <c r="BM130" s="2688"/>
      <c r="BN130" s="2688"/>
      <c r="BO130" s="2688"/>
      <c r="BP130" s="2688"/>
      <c r="BQ130" s="2688"/>
      <c r="BR130" s="2688"/>
      <c r="BS130" s="2688"/>
      <c r="BT130" s="2688"/>
      <c r="BU130" s="2688"/>
      <c r="BV130" s="2688"/>
      <c r="BW130" s="2688"/>
      <c r="BX130" s="2688"/>
      <c r="BY130" s="2688"/>
      <c r="BZ130" s="2688"/>
      <c r="CA130" s="2688"/>
      <c r="CB130" s="2688"/>
      <c r="CC130" s="2688"/>
      <c r="CD130" s="2688"/>
      <c r="CE130" s="2688"/>
      <c r="CF130" s="2688"/>
      <c r="CG130" s="2688"/>
      <c r="CH130" s="2688"/>
      <c r="CI130" s="2688"/>
      <c r="CJ130" s="2688"/>
      <c r="CK130" s="2688"/>
      <c r="CL130" s="2688"/>
      <c r="CM130" s="2688"/>
      <c r="CN130" s="2688"/>
      <c r="CO130" s="2688"/>
      <c r="CP130" s="2688"/>
      <c r="CQ130" s="2688"/>
      <c r="CR130" s="2688"/>
      <c r="CS130" s="2688"/>
      <c r="CT130" s="2688"/>
      <c r="CU130" s="2688"/>
      <c r="CV130" s="2688"/>
      <c r="CW130" s="2688"/>
      <c r="CX130" s="2688"/>
      <c r="CY130" s="2688"/>
      <c r="CZ130" s="2688"/>
      <c r="DA130" s="2688"/>
      <c r="DB130" s="2688"/>
      <c r="DC130" s="2688"/>
      <c r="DD130" s="2688"/>
      <c r="DE130" s="2688"/>
      <c r="DF130" s="2688"/>
      <c r="DG130" s="2688"/>
      <c r="DH130" s="2688"/>
      <c r="DI130" s="2688"/>
      <c r="DJ130" s="2688"/>
      <c r="DK130" s="2688"/>
      <c r="DL130" s="2688"/>
      <c r="DM130" s="2688"/>
      <c r="DN130" s="2688"/>
      <c r="DO130" s="2688"/>
      <c r="DP130" s="2688"/>
      <c r="DQ130" s="2688"/>
      <c r="DR130" s="2688"/>
      <c r="DS130" s="2688"/>
      <c r="DT130" s="2688"/>
      <c r="DU130" s="2688"/>
      <c r="DV130" s="2688"/>
      <c r="DW130" s="2688"/>
      <c r="DX130" s="2688"/>
      <c r="DY130" s="2688"/>
      <c r="DZ130" s="2688"/>
      <c r="EA130" s="2688"/>
      <c r="EB130" s="2688"/>
      <c r="EC130" s="2688"/>
      <c r="ED130" s="2688"/>
      <c r="EE130" s="2688"/>
      <c r="EF130" s="2688"/>
      <c r="EG130" s="2688"/>
      <c r="EH130" s="2688"/>
      <c r="EI130" s="2688"/>
      <c r="EJ130" s="2688"/>
      <c r="EK130" s="2688"/>
      <c r="EL130" s="2688"/>
      <c r="EM130" s="2688"/>
      <c r="EN130" s="2688"/>
      <c r="EO130" s="2688"/>
      <c r="EP130" s="2688"/>
      <c r="EQ130" s="2688"/>
      <c r="ER130" s="2688"/>
      <c r="ES130" s="2688"/>
      <c r="ET130" s="2688"/>
      <c r="EU130" s="2688"/>
      <c r="EV130" s="2688"/>
      <c r="EW130" s="2688"/>
      <c r="EX130" s="2688"/>
      <c r="EY130" s="2688"/>
      <c r="EZ130" s="2688"/>
      <c r="FA130" s="2688"/>
      <c r="FB130" s="2688"/>
      <c r="FC130" s="2688"/>
      <c r="FD130" s="2688"/>
      <c r="FE130" s="2688"/>
      <c r="FF130" s="2688"/>
      <c r="FG130" s="2688"/>
      <c r="FH130" s="2688"/>
      <c r="FI130" s="2688"/>
      <c r="FJ130" s="2688"/>
      <c r="FK130" s="2688"/>
      <c r="FL130" s="2688"/>
      <c r="FM130" s="2688"/>
      <c r="FN130" s="2688"/>
      <c r="FO130" s="2688"/>
      <c r="FP130" s="2688"/>
      <c r="FQ130" s="2688"/>
      <c r="FR130" s="2688"/>
      <c r="FS130" s="2688"/>
      <c r="FT130" s="2688"/>
      <c r="FU130" s="2688"/>
      <c r="FV130" s="2688"/>
      <c r="FW130" s="2688"/>
      <c r="FX130" s="2688"/>
      <c r="FY130" s="2688"/>
      <c r="FZ130" s="2688"/>
      <c r="GA130" s="2688"/>
      <c r="GB130" s="2688"/>
      <c r="GC130" s="2688"/>
      <c r="GD130" s="2688"/>
      <c r="GE130" s="2688"/>
      <c r="GF130" s="2688"/>
      <c r="GG130" s="2688"/>
      <c r="GH130" s="2688"/>
      <c r="GI130" s="2688"/>
      <c r="GJ130" s="2688"/>
      <c r="GK130" s="2688"/>
      <c r="GL130" s="2688"/>
      <c r="GM130" s="2688"/>
      <c r="GN130" s="2688"/>
      <c r="GO130" s="2688"/>
      <c r="GP130" s="2688"/>
      <c r="GQ130" s="2688"/>
      <c r="GR130" s="2688"/>
      <c r="GS130" s="2688"/>
      <c r="GT130" s="2688"/>
      <c r="GU130" s="2688"/>
      <c r="GV130" s="2688"/>
      <c r="GW130" s="2688"/>
      <c r="GX130" s="2688"/>
      <c r="GY130" s="2688"/>
      <c r="GZ130" s="2688"/>
      <c r="HA130" s="2688"/>
      <c r="HB130" s="2688"/>
      <c r="HC130" s="2688"/>
      <c r="HD130" s="2688"/>
      <c r="HE130" s="2688"/>
      <c r="HF130" s="2688"/>
      <c r="HG130" s="2688"/>
      <c r="HH130" s="2688"/>
      <c r="HI130" s="2688"/>
      <c r="HJ130" s="2688"/>
      <c r="HK130" s="2688"/>
      <c r="HL130" s="2688"/>
      <c r="HM130" s="2688"/>
      <c r="HN130" s="2688"/>
      <c r="HO130" s="2688"/>
      <c r="HP130" s="2688"/>
      <c r="HQ130" s="2688"/>
      <c r="HR130" s="2688"/>
      <c r="HS130" s="2688"/>
      <c r="HT130" s="2688"/>
      <c r="HU130" s="2688"/>
      <c r="HV130" s="2688"/>
      <c r="HW130" s="2688"/>
      <c r="HX130" s="2688"/>
      <c r="HY130" s="2688"/>
      <c r="HZ130" s="2688"/>
      <c r="IA130" s="2688"/>
      <c r="IB130" s="2688"/>
      <c r="IC130" s="2688"/>
      <c r="ID130" s="2688"/>
      <c r="IE130" s="2688"/>
      <c r="IF130" s="2688"/>
      <c r="IG130" s="2688"/>
      <c r="IH130" s="2688"/>
      <c r="II130" s="2688"/>
      <c r="IJ130" s="2688"/>
      <c r="IK130" s="2688"/>
      <c r="IL130" s="2688"/>
      <c r="IM130" s="2688"/>
      <c r="IN130" s="2688"/>
      <c r="IO130" s="2688"/>
      <c r="IP130" s="2368"/>
      <c r="IQ130" s="2368"/>
      <c r="IR130" s="2368"/>
      <c r="IS130" s="2368"/>
      <c r="IT130" s="2368"/>
      <c r="IU130" s="2368"/>
      <c r="IV130" s="2368"/>
      <c r="IW130" s="2368"/>
      <c r="IX130" s="2368"/>
      <c r="IY130" s="2368"/>
      <c r="IZ130" s="2368"/>
      <c r="JA130" s="2368"/>
      <c r="JB130" s="2368"/>
      <c r="JC130" s="2368"/>
      <c r="JD130" s="2368"/>
      <c r="JE130" s="2368"/>
      <c r="JF130" s="2368"/>
      <c r="JG130" s="4105"/>
      <c r="JH130" s="1233"/>
    </row>
    <row r="131" spans="1:268" x14ac:dyDescent="0.2">
      <c r="A131" s="1128">
        <v>131</v>
      </c>
      <c r="B131" s="1534" t="str">
        <f si="3" t="shared"/>
        <v/>
      </c>
      <c r="C131" s="1524" t="s">
        <v>1626</v>
      </c>
      <c r="D131" s="1386" t="s">
        <v>5346</v>
      </c>
      <c r="E131" s="2688"/>
      <c r="F131" s="2688"/>
      <c r="G131" s="2688"/>
      <c r="H131" s="2688"/>
      <c r="I131" s="2688"/>
      <c r="J131" s="2688"/>
      <c r="K131" s="2688"/>
      <c r="L131" s="2688"/>
      <c r="M131" s="2688"/>
      <c r="N131" s="2688"/>
      <c r="O131" s="2688"/>
      <c r="P131" s="2688"/>
      <c r="Q131" s="2688"/>
      <c r="R131" s="2688"/>
      <c r="S131" s="2688"/>
      <c r="T131" s="2688"/>
      <c r="U131" s="2688"/>
      <c r="V131" s="2688"/>
      <c r="W131" s="2688"/>
      <c r="X131" s="2688"/>
      <c r="Y131" s="2688"/>
      <c r="Z131" s="2688"/>
      <c r="AA131" s="2688"/>
      <c r="AB131" s="2688"/>
      <c r="AC131" s="2688"/>
      <c r="AD131" s="2688"/>
      <c r="AE131" s="2688"/>
      <c r="AF131" s="2688"/>
      <c r="AG131" s="2688"/>
      <c r="AH131" s="2688"/>
      <c r="AI131" s="2688"/>
      <c r="AJ131" s="2688"/>
      <c r="AK131" s="2688"/>
      <c r="AL131" s="2688"/>
      <c r="AM131" s="2688"/>
      <c r="AN131" s="2688"/>
      <c r="AO131" s="2688"/>
      <c r="AP131" s="2688"/>
      <c r="AQ131" s="2688"/>
      <c r="AR131" s="2688"/>
      <c r="AS131" s="2688"/>
      <c r="AT131" s="2688"/>
      <c r="AU131" s="2688"/>
      <c r="AV131" s="2688"/>
      <c r="AW131" s="2688"/>
      <c r="AX131" s="2688"/>
      <c r="AY131" s="2688"/>
      <c r="AZ131" s="2688"/>
      <c r="BA131" s="2688"/>
      <c r="BB131" s="2688"/>
      <c r="BC131" s="2688"/>
      <c r="BD131" s="2688"/>
      <c r="BE131" s="2688"/>
      <c r="BF131" s="2688"/>
      <c r="BG131" s="2688"/>
      <c r="BH131" s="2688"/>
      <c r="BI131" s="2688"/>
      <c r="BJ131" s="2688"/>
      <c r="BK131" s="2688"/>
      <c r="BL131" s="2688"/>
      <c r="BM131" s="2688"/>
      <c r="BN131" s="2688"/>
      <c r="BO131" s="2688"/>
      <c r="BP131" s="2688"/>
      <c r="BQ131" s="2688"/>
      <c r="BR131" s="2688"/>
      <c r="BS131" s="2688"/>
      <c r="BT131" s="2688"/>
      <c r="BU131" s="2688"/>
      <c r="BV131" s="2688"/>
      <c r="BW131" s="2688"/>
      <c r="BX131" s="2688"/>
      <c r="BY131" s="2688"/>
      <c r="BZ131" s="2688"/>
      <c r="CA131" s="2688"/>
      <c r="CB131" s="2688"/>
      <c r="CC131" s="2688"/>
      <c r="CD131" s="2688"/>
      <c r="CE131" s="2688"/>
      <c r="CF131" s="2688"/>
      <c r="CG131" s="2688"/>
      <c r="CH131" s="2688"/>
      <c r="CI131" s="2688"/>
      <c r="CJ131" s="2688"/>
      <c r="CK131" s="2688"/>
      <c r="CL131" s="2688"/>
      <c r="CM131" s="2688"/>
      <c r="CN131" s="2688"/>
      <c r="CO131" s="2688"/>
      <c r="CP131" s="2688"/>
      <c r="CQ131" s="2688"/>
      <c r="CR131" s="2688"/>
      <c r="CS131" s="2688"/>
      <c r="CT131" s="2688"/>
      <c r="CU131" s="2688"/>
      <c r="CV131" s="2688"/>
      <c r="CW131" s="2688"/>
      <c r="CX131" s="2688"/>
      <c r="CY131" s="2688"/>
      <c r="CZ131" s="2688"/>
      <c r="DA131" s="2688"/>
      <c r="DB131" s="2688"/>
      <c r="DC131" s="2688"/>
      <c r="DD131" s="2688"/>
      <c r="DE131" s="2688"/>
      <c r="DF131" s="2688"/>
      <c r="DG131" s="2688"/>
      <c r="DH131" s="2688"/>
      <c r="DI131" s="2688"/>
      <c r="DJ131" s="2688"/>
      <c r="DK131" s="2688"/>
      <c r="DL131" s="2688"/>
      <c r="DM131" s="2688"/>
      <c r="DN131" s="2688"/>
      <c r="DO131" s="2688"/>
      <c r="DP131" s="2688"/>
      <c r="DQ131" s="2688"/>
      <c r="DR131" s="2688"/>
      <c r="DS131" s="2688"/>
      <c r="DT131" s="2688"/>
      <c r="DU131" s="2688"/>
      <c r="DV131" s="2688"/>
      <c r="DW131" s="2688"/>
      <c r="DX131" s="2688"/>
      <c r="DY131" s="2688"/>
      <c r="DZ131" s="2688"/>
      <c r="EA131" s="2688"/>
      <c r="EB131" s="2688"/>
      <c r="EC131" s="2688"/>
      <c r="ED131" s="2688"/>
      <c r="EE131" s="2688"/>
      <c r="EF131" s="2688"/>
      <c r="EG131" s="2688"/>
      <c r="EH131" s="2688"/>
      <c r="EI131" s="2688"/>
      <c r="EJ131" s="2688"/>
      <c r="EK131" s="2688"/>
      <c r="EL131" s="2688"/>
      <c r="EM131" s="2688"/>
      <c r="EN131" s="2688"/>
      <c r="EO131" s="2688"/>
      <c r="EP131" s="2688"/>
      <c r="EQ131" s="2688"/>
      <c r="ER131" s="2688"/>
      <c r="ES131" s="2688"/>
      <c r="ET131" s="2688"/>
      <c r="EU131" s="2688"/>
      <c r="EV131" s="2688"/>
      <c r="EW131" s="2688"/>
      <c r="EX131" s="2688"/>
      <c r="EY131" s="2688"/>
      <c r="EZ131" s="2688"/>
      <c r="FA131" s="2688"/>
      <c r="FB131" s="2688"/>
      <c r="FC131" s="2688"/>
      <c r="FD131" s="2688"/>
      <c r="FE131" s="2688"/>
      <c r="FF131" s="2688"/>
      <c r="FG131" s="2688"/>
      <c r="FH131" s="2688"/>
      <c r="FI131" s="2688"/>
      <c r="FJ131" s="2688"/>
      <c r="FK131" s="2688"/>
      <c r="FL131" s="2688"/>
      <c r="FM131" s="2688"/>
      <c r="FN131" s="2688"/>
      <c r="FO131" s="2688"/>
      <c r="FP131" s="2688"/>
      <c r="FQ131" s="2688"/>
      <c r="FR131" s="2688"/>
      <c r="FS131" s="2688"/>
      <c r="FT131" s="2688"/>
      <c r="FU131" s="2688"/>
      <c r="FV131" s="2688"/>
      <c r="FW131" s="2688"/>
      <c r="FX131" s="2688"/>
      <c r="FY131" s="2688"/>
      <c r="FZ131" s="2688"/>
      <c r="GA131" s="2688"/>
      <c r="GB131" s="2688"/>
      <c r="GC131" s="2688"/>
      <c r="GD131" s="2688"/>
      <c r="GE131" s="2688"/>
      <c r="GF131" s="2688"/>
      <c r="GG131" s="2688"/>
      <c r="GH131" s="2688"/>
      <c r="GI131" s="2688"/>
      <c r="GJ131" s="2688"/>
      <c r="GK131" s="2688"/>
      <c r="GL131" s="2688"/>
      <c r="GM131" s="2688"/>
      <c r="GN131" s="2688"/>
      <c r="GO131" s="2688"/>
      <c r="GP131" s="2688"/>
      <c r="GQ131" s="2688"/>
      <c r="GR131" s="2688"/>
      <c r="GS131" s="2688"/>
      <c r="GT131" s="2688"/>
      <c r="GU131" s="2688"/>
      <c r="GV131" s="2688"/>
      <c r="GW131" s="2688"/>
      <c r="GX131" s="2688"/>
      <c r="GY131" s="2688"/>
      <c r="GZ131" s="2688"/>
      <c r="HA131" s="2688"/>
      <c r="HB131" s="2688"/>
      <c r="HC131" s="2688"/>
      <c r="HD131" s="2688"/>
      <c r="HE131" s="2688"/>
      <c r="HF131" s="2688"/>
      <c r="HG131" s="2688"/>
      <c r="HH131" s="2688"/>
      <c r="HI131" s="2688"/>
      <c r="HJ131" s="2688"/>
      <c r="HK131" s="2688"/>
      <c r="HL131" s="2688"/>
      <c r="HM131" s="2688"/>
      <c r="HN131" s="2688"/>
      <c r="HO131" s="2688"/>
      <c r="HP131" s="2688"/>
      <c r="HQ131" s="2688"/>
      <c r="HR131" s="2688"/>
      <c r="HS131" s="2688"/>
      <c r="HT131" s="2688"/>
      <c r="HU131" s="2688"/>
      <c r="HV131" s="2688"/>
      <c r="HW131" s="2688"/>
      <c r="HX131" s="2688"/>
      <c r="HY131" s="2688"/>
      <c r="HZ131" s="2688"/>
      <c r="IA131" s="2688"/>
      <c r="IB131" s="2688"/>
      <c r="IC131" s="2688"/>
      <c r="ID131" s="2688"/>
      <c r="IE131" s="2688"/>
      <c r="IF131" s="2688"/>
      <c r="IG131" s="2688"/>
      <c r="IH131" s="2688"/>
      <c r="II131" s="2688"/>
      <c r="IJ131" s="2688"/>
      <c r="IK131" s="2688"/>
      <c r="IL131" s="2688"/>
      <c r="IM131" s="2688"/>
      <c r="IN131" s="2688"/>
      <c r="IO131" s="2688"/>
      <c r="IP131" s="2368"/>
      <c r="IQ131" s="2368"/>
      <c r="IR131" s="2368"/>
      <c r="IS131" s="2368"/>
      <c r="IT131" s="2368"/>
      <c r="IU131" s="2368"/>
      <c r="IV131" s="2368"/>
      <c r="IW131" s="2368"/>
      <c r="IX131" s="2368"/>
      <c r="IY131" s="2368"/>
      <c r="IZ131" s="2368"/>
      <c r="JA131" s="2368"/>
      <c r="JB131" s="2368"/>
      <c r="JC131" s="2368"/>
      <c r="JD131" s="2368"/>
      <c r="JE131" s="2368"/>
      <c r="JF131" s="2368"/>
      <c r="JG131" s="4105"/>
      <c r="JH131" s="1233"/>
    </row>
    <row r="132" spans="1:268" x14ac:dyDescent="0.2">
      <c r="A132" s="1128">
        <v>132</v>
      </c>
      <c r="B132" s="1534" t="str">
        <f si="3" t="shared"/>
        <v/>
      </c>
      <c r="C132" s="1524" t="s">
        <v>1627</v>
      </c>
      <c r="D132" s="1386" t="s">
        <v>5347</v>
      </c>
      <c r="E132" s="2688"/>
      <c r="F132" s="2688"/>
      <c r="G132" s="2688"/>
      <c r="H132" s="2688"/>
      <c r="I132" s="2688"/>
      <c r="J132" s="2688"/>
      <c r="K132" s="2688"/>
      <c r="L132" s="2688"/>
      <c r="M132" s="2688"/>
      <c r="N132" s="2688"/>
      <c r="O132" s="2688"/>
      <c r="P132" s="2688"/>
      <c r="Q132" s="2688"/>
      <c r="R132" s="2688"/>
      <c r="S132" s="2688"/>
      <c r="T132" s="2688"/>
      <c r="U132" s="2688"/>
      <c r="V132" s="2688"/>
      <c r="W132" s="2688"/>
      <c r="X132" s="2688"/>
      <c r="Y132" s="2688"/>
      <c r="Z132" s="2688"/>
      <c r="AA132" s="2688"/>
      <c r="AB132" s="2688"/>
      <c r="AC132" s="2688"/>
      <c r="AD132" s="2688"/>
      <c r="AE132" s="2688"/>
      <c r="AF132" s="2688"/>
      <c r="AG132" s="2688"/>
      <c r="AH132" s="2688"/>
      <c r="AI132" s="2688"/>
      <c r="AJ132" s="2688"/>
      <c r="AK132" s="2688"/>
      <c r="AL132" s="2688"/>
      <c r="AM132" s="2688"/>
      <c r="AN132" s="2688"/>
      <c r="AO132" s="2688"/>
      <c r="AP132" s="2688"/>
      <c r="AQ132" s="2688"/>
      <c r="AR132" s="2688"/>
      <c r="AS132" s="2688"/>
      <c r="AT132" s="2688"/>
      <c r="AU132" s="2688"/>
      <c r="AV132" s="2688"/>
      <c r="AW132" s="2688"/>
      <c r="AX132" s="2688"/>
      <c r="AY132" s="2688"/>
      <c r="AZ132" s="2688"/>
      <c r="BA132" s="2688"/>
      <c r="BB132" s="2688"/>
      <c r="BC132" s="2688"/>
      <c r="BD132" s="2688"/>
      <c r="BE132" s="2688"/>
      <c r="BF132" s="2688"/>
      <c r="BG132" s="2688"/>
      <c r="BH132" s="2688"/>
      <c r="BI132" s="2688"/>
      <c r="BJ132" s="2688"/>
      <c r="BK132" s="2688"/>
      <c r="BL132" s="2688"/>
      <c r="BM132" s="2688"/>
      <c r="BN132" s="2688"/>
      <c r="BO132" s="2688"/>
      <c r="BP132" s="2688"/>
      <c r="BQ132" s="2688"/>
      <c r="BR132" s="2688"/>
      <c r="BS132" s="2688"/>
      <c r="BT132" s="2688"/>
      <c r="BU132" s="2688"/>
      <c r="BV132" s="2688"/>
      <c r="BW132" s="2688"/>
      <c r="BX132" s="2688"/>
      <c r="BY132" s="2688"/>
      <c r="BZ132" s="2688"/>
      <c r="CA132" s="2688"/>
      <c r="CB132" s="2688"/>
      <c r="CC132" s="2688"/>
      <c r="CD132" s="2688"/>
      <c r="CE132" s="2688"/>
      <c r="CF132" s="2688"/>
      <c r="CG132" s="2688"/>
      <c r="CH132" s="2688"/>
      <c r="CI132" s="2688"/>
      <c r="CJ132" s="2688"/>
      <c r="CK132" s="2688"/>
      <c r="CL132" s="2688"/>
      <c r="CM132" s="2688"/>
      <c r="CN132" s="2688"/>
      <c r="CO132" s="2688"/>
      <c r="CP132" s="2688"/>
      <c r="CQ132" s="2688"/>
      <c r="CR132" s="2688"/>
      <c r="CS132" s="2688"/>
      <c r="CT132" s="2688"/>
      <c r="CU132" s="2688"/>
      <c r="CV132" s="2688"/>
      <c r="CW132" s="2688"/>
      <c r="CX132" s="2688"/>
      <c r="CY132" s="2688"/>
      <c r="CZ132" s="2688"/>
      <c r="DA132" s="2688"/>
      <c r="DB132" s="2688"/>
      <c r="DC132" s="2688"/>
      <c r="DD132" s="2688"/>
      <c r="DE132" s="2688"/>
      <c r="DF132" s="2688"/>
      <c r="DG132" s="2688"/>
      <c r="DH132" s="2688"/>
      <c r="DI132" s="2688"/>
      <c r="DJ132" s="2688"/>
      <c r="DK132" s="2688"/>
      <c r="DL132" s="2688"/>
      <c r="DM132" s="2688"/>
      <c r="DN132" s="2688"/>
      <c r="DO132" s="2688"/>
      <c r="DP132" s="2688"/>
      <c r="DQ132" s="2688"/>
      <c r="DR132" s="2688"/>
      <c r="DS132" s="2688"/>
      <c r="DT132" s="2688"/>
      <c r="DU132" s="2688"/>
      <c r="DV132" s="2688"/>
      <c r="DW132" s="2688"/>
      <c r="DX132" s="2688"/>
      <c r="DY132" s="2688"/>
      <c r="DZ132" s="2688"/>
      <c r="EA132" s="2688"/>
      <c r="EB132" s="2688"/>
      <c r="EC132" s="2688"/>
      <c r="ED132" s="2688"/>
      <c r="EE132" s="2688"/>
      <c r="EF132" s="2688"/>
      <c r="EG132" s="2688"/>
      <c r="EH132" s="2688"/>
      <c r="EI132" s="2688"/>
      <c r="EJ132" s="2688"/>
      <c r="EK132" s="2688"/>
      <c r="EL132" s="2688"/>
      <c r="EM132" s="2688"/>
      <c r="EN132" s="2688"/>
      <c r="EO132" s="2688"/>
      <c r="EP132" s="2688"/>
      <c r="EQ132" s="2688"/>
      <c r="ER132" s="2688"/>
      <c r="ES132" s="2688"/>
      <c r="ET132" s="2688"/>
      <c r="EU132" s="2688"/>
      <c r="EV132" s="2688"/>
      <c r="EW132" s="2688"/>
      <c r="EX132" s="2688"/>
      <c r="EY132" s="2688"/>
      <c r="EZ132" s="2688"/>
      <c r="FA132" s="2688"/>
      <c r="FB132" s="2688"/>
      <c r="FC132" s="2688"/>
      <c r="FD132" s="2688"/>
      <c r="FE132" s="2688"/>
      <c r="FF132" s="2688"/>
      <c r="FG132" s="2688"/>
      <c r="FH132" s="2688"/>
      <c r="FI132" s="2688"/>
      <c r="FJ132" s="2688"/>
      <c r="FK132" s="2688"/>
      <c r="FL132" s="2688"/>
      <c r="FM132" s="2688"/>
      <c r="FN132" s="2688"/>
      <c r="FO132" s="2688"/>
      <c r="FP132" s="2688"/>
      <c r="FQ132" s="2688"/>
      <c r="FR132" s="2688"/>
      <c r="FS132" s="2688"/>
      <c r="FT132" s="2688"/>
      <c r="FU132" s="2688"/>
      <c r="FV132" s="2688"/>
      <c r="FW132" s="2688"/>
      <c r="FX132" s="2688"/>
      <c r="FY132" s="2688"/>
      <c r="FZ132" s="2688"/>
      <c r="GA132" s="2688"/>
      <c r="GB132" s="2688"/>
      <c r="GC132" s="2688"/>
      <c r="GD132" s="2688"/>
      <c r="GE132" s="2688"/>
      <c r="GF132" s="2688"/>
      <c r="GG132" s="2688"/>
      <c r="GH132" s="2688"/>
      <c r="GI132" s="2688"/>
      <c r="GJ132" s="2688"/>
      <c r="GK132" s="2688"/>
      <c r="GL132" s="2688"/>
      <c r="GM132" s="2688"/>
      <c r="GN132" s="2688"/>
      <c r="GO132" s="2688"/>
      <c r="GP132" s="2688"/>
      <c r="GQ132" s="2688"/>
      <c r="GR132" s="2688"/>
      <c r="GS132" s="2688"/>
      <c r="GT132" s="2688"/>
      <c r="GU132" s="2688"/>
      <c r="GV132" s="2688"/>
      <c r="GW132" s="2688"/>
      <c r="GX132" s="2688"/>
      <c r="GY132" s="2688"/>
      <c r="GZ132" s="2688"/>
      <c r="HA132" s="2688"/>
      <c r="HB132" s="2688"/>
      <c r="HC132" s="2688"/>
      <c r="HD132" s="2688"/>
      <c r="HE132" s="2688"/>
      <c r="HF132" s="2688"/>
      <c r="HG132" s="2688"/>
      <c r="HH132" s="2688"/>
      <c r="HI132" s="2688"/>
      <c r="HJ132" s="2688"/>
      <c r="HK132" s="2688"/>
      <c r="HL132" s="2688"/>
      <c r="HM132" s="2688"/>
      <c r="HN132" s="2688"/>
      <c r="HO132" s="2688"/>
      <c r="HP132" s="2688"/>
      <c r="HQ132" s="2688"/>
      <c r="HR132" s="2688"/>
      <c r="HS132" s="2688"/>
      <c r="HT132" s="2688"/>
      <c r="HU132" s="2688"/>
      <c r="HV132" s="2688"/>
      <c r="HW132" s="2688"/>
      <c r="HX132" s="2688"/>
      <c r="HY132" s="2688"/>
      <c r="HZ132" s="2688"/>
      <c r="IA132" s="2688"/>
      <c r="IB132" s="2688"/>
      <c r="IC132" s="2688"/>
      <c r="ID132" s="2688"/>
      <c r="IE132" s="2688"/>
      <c r="IF132" s="2688"/>
      <c r="IG132" s="2688"/>
      <c r="IH132" s="2688"/>
      <c r="II132" s="2688"/>
      <c r="IJ132" s="2688"/>
      <c r="IK132" s="2688"/>
      <c r="IL132" s="2688"/>
      <c r="IM132" s="2688"/>
      <c r="IN132" s="2688"/>
      <c r="IO132" s="2688"/>
      <c r="IP132" s="2368"/>
      <c r="IQ132" s="2368"/>
      <c r="IR132" s="2368"/>
      <c r="IS132" s="2368"/>
      <c r="IT132" s="2368"/>
      <c r="IU132" s="2368"/>
      <c r="IV132" s="2368"/>
      <c r="IW132" s="2368"/>
      <c r="IX132" s="2368"/>
      <c r="IY132" s="2368"/>
      <c r="IZ132" s="2368"/>
      <c r="JA132" s="2368"/>
      <c r="JB132" s="2368"/>
      <c r="JC132" s="2368"/>
      <c r="JD132" s="2368"/>
      <c r="JE132" s="2368"/>
      <c r="JF132" s="2368"/>
      <c r="JG132" s="4105"/>
      <c r="JH132" s="1233"/>
    </row>
    <row r="133" spans="1:268" x14ac:dyDescent="0.2">
      <c r="A133" s="1128">
        <v>133</v>
      </c>
      <c r="B133" s="1534" t="str">
        <f si="3" t="shared"/>
        <v/>
      </c>
      <c r="C133" s="1524" t="s">
        <v>1628</v>
      </c>
      <c r="D133" s="1386" t="s">
        <v>5348</v>
      </c>
      <c r="E133" s="2688"/>
      <c r="F133" s="2688"/>
      <c r="G133" s="2688"/>
      <c r="H133" s="2688"/>
      <c r="I133" s="2688"/>
      <c r="J133" s="2688"/>
      <c r="K133" s="2688"/>
      <c r="L133" s="2688"/>
      <c r="M133" s="2688"/>
      <c r="N133" s="2688"/>
      <c r="O133" s="2688"/>
      <c r="P133" s="2688"/>
      <c r="Q133" s="2688"/>
      <c r="R133" s="2688"/>
      <c r="S133" s="2688"/>
      <c r="T133" s="2688"/>
      <c r="U133" s="2688"/>
      <c r="V133" s="2688"/>
      <c r="W133" s="2688"/>
      <c r="X133" s="2688"/>
      <c r="Y133" s="2688"/>
      <c r="Z133" s="2688"/>
      <c r="AA133" s="2688"/>
      <c r="AB133" s="2688"/>
      <c r="AC133" s="2688"/>
      <c r="AD133" s="2688"/>
      <c r="AE133" s="2688"/>
      <c r="AF133" s="2688"/>
      <c r="AG133" s="2688"/>
      <c r="AH133" s="2688"/>
      <c r="AI133" s="2688"/>
      <c r="AJ133" s="2688"/>
      <c r="AK133" s="2688"/>
      <c r="AL133" s="2688"/>
      <c r="AM133" s="2688"/>
      <c r="AN133" s="2688"/>
      <c r="AO133" s="2688"/>
      <c r="AP133" s="2688"/>
      <c r="AQ133" s="2688"/>
      <c r="AR133" s="2688"/>
      <c r="AS133" s="2688"/>
      <c r="AT133" s="2688"/>
      <c r="AU133" s="2688"/>
      <c r="AV133" s="2688"/>
      <c r="AW133" s="2688">
        <v>60345</v>
      </c>
      <c r="AX133" s="2688"/>
      <c r="AY133" s="2688"/>
      <c r="AZ133" s="2688"/>
      <c r="BA133" s="2688"/>
      <c r="BB133" s="2688"/>
      <c r="BC133" s="2688"/>
      <c r="BD133" s="2688"/>
      <c r="BE133" s="2688"/>
      <c r="BF133" s="2688"/>
      <c r="BG133" s="2688"/>
      <c r="BH133" s="2688"/>
      <c r="BI133" s="2688"/>
      <c r="BJ133" s="2688"/>
      <c r="BK133" s="2688"/>
      <c r="BL133" s="2688"/>
      <c r="BM133" s="2688"/>
      <c r="BN133" s="2688"/>
      <c r="BO133" s="2688"/>
      <c r="BP133" s="2688"/>
      <c r="BQ133" s="2688"/>
      <c r="BR133" s="2688"/>
      <c r="BS133" s="2688"/>
      <c r="BT133" s="2688"/>
      <c r="BU133" s="2688"/>
      <c r="BV133" s="2688"/>
      <c r="BW133" s="2688"/>
      <c r="BX133" s="2688"/>
      <c r="BY133" s="2688"/>
      <c r="BZ133" s="2688"/>
      <c r="CA133" s="2688"/>
      <c r="CB133" s="2688"/>
      <c r="CC133" s="2688"/>
      <c r="CD133" s="2688"/>
      <c r="CE133" s="2688"/>
      <c r="CF133" s="2688"/>
      <c r="CG133" s="2688"/>
      <c r="CH133" s="2688"/>
      <c r="CI133" s="2688"/>
      <c r="CJ133" s="2688"/>
      <c r="CK133" s="2688"/>
      <c r="CL133" s="2688"/>
      <c r="CM133" s="2688"/>
      <c r="CN133" s="2688"/>
      <c r="CO133" s="2688"/>
      <c r="CP133" s="2688"/>
      <c r="CQ133" s="2688"/>
      <c r="CR133" s="2688"/>
      <c r="CS133" s="2688"/>
      <c r="CT133" s="2688"/>
      <c r="CU133" s="2688"/>
      <c r="CV133" s="2688"/>
      <c r="CW133" s="2688"/>
      <c r="CX133" s="2688"/>
      <c r="CY133" s="2688"/>
      <c r="CZ133" s="2688"/>
      <c r="DA133" s="2688"/>
      <c r="DB133" s="2688"/>
      <c r="DC133" s="2688"/>
      <c r="DD133" s="2688"/>
      <c r="DE133" s="2688"/>
      <c r="DF133" s="2688"/>
      <c r="DG133" s="2688"/>
      <c r="DH133" s="2688"/>
      <c r="DI133" s="2688"/>
      <c r="DJ133" s="2688"/>
      <c r="DK133" s="2688"/>
      <c r="DL133" s="2688"/>
      <c r="DM133" s="2688"/>
      <c r="DN133" s="2688"/>
      <c r="DO133" s="2688"/>
      <c r="DP133" s="2688"/>
      <c r="DQ133" s="2688"/>
      <c r="DR133" s="2688"/>
      <c r="DS133" s="2688"/>
      <c r="DT133" s="2688"/>
      <c r="DU133" s="2688"/>
      <c r="DV133" s="2688"/>
      <c r="DW133" s="2688"/>
      <c r="DX133" s="2688"/>
      <c r="DY133" s="2688"/>
      <c r="DZ133" s="2688"/>
      <c r="EA133" s="2688"/>
      <c r="EB133" s="2688"/>
      <c r="EC133" s="2688"/>
      <c r="ED133" s="2688"/>
      <c r="EE133" s="2688"/>
      <c r="EF133" s="2688"/>
      <c r="EG133" s="2688"/>
      <c r="EH133" s="2688"/>
      <c r="EI133" s="2688"/>
      <c r="EJ133" s="2688"/>
      <c r="EK133" s="2688"/>
      <c r="EL133" s="2688"/>
      <c r="EM133" s="2688"/>
      <c r="EN133" s="2688"/>
      <c r="EO133" s="2688"/>
      <c r="EP133" s="2688"/>
      <c r="EQ133" s="2688"/>
      <c r="ER133" s="2688"/>
      <c r="ES133" s="2688"/>
      <c r="ET133" s="2688"/>
      <c r="EU133" s="2688"/>
      <c r="EV133" s="2688"/>
      <c r="EW133" s="2688"/>
      <c r="EX133" s="2688"/>
      <c r="EY133" s="2688"/>
      <c r="EZ133" s="2688"/>
      <c r="FA133" s="2688"/>
      <c r="FB133" s="2688"/>
      <c r="FC133" s="2688"/>
      <c r="FD133" s="2688"/>
      <c r="FE133" s="2688"/>
      <c r="FF133" s="2688"/>
      <c r="FG133" s="2688"/>
      <c r="FH133" s="2688"/>
      <c r="FI133" s="2688"/>
      <c r="FJ133" s="2688"/>
      <c r="FK133" s="2688"/>
      <c r="FL133" s="2688"/>
      <c r="FM133" s="2688"/>
      <c r="FN133" s="2688"/>
      <c r="FO133" s="2688"/>
      <c r="FP133" s="2688"/>
      <c r="FQ133" s="2688"/>
      <c r="FR133" s="2688"/>
      <c r="FS133" s="2688"/>
      <c r="FT133" s="2688"/>
      <c r="FU133" s="2688"/>
      <c r="FV133" s="2688"/>
      <c r="FW133" s="2688"/>
      <c r="FX133" s="2688"/>
      <c r="FY133" s="2688"/>
      <c r="FZ133" s="2688"/>
      <c r="GA133" s="2688"/>
      <c r="GB133" s="2688"/>
      <c r="GC133" s="2688"/>
      <c r="GD133" s="2688"/>
      <c r="GE133" s="2688"/>
      <c r="GF133" s="2688"/>
      <c r="GG133" s="2688"/>
      <c r="GH133" s="2688"/>
      <c r="GI133" s="2688"/>
      <c r="GJ133" s="2688"/>
      <c r="GK133" s="2688"/>
      <c r="GL133" s="2688"/>
      <c r="GM133" s="2688"/>
      <c r="GN133" s="2688"/>
      <c r="GO133" s="2688"/>
      <c r="GP133" s="2688"/>
      <c r="GQ133" s="2688"/>
      <c r="GR133" s="2688"/>
      <c r="GS133" s="2688"/>
      <c r="GT133" s="2688"/>
      <c r="GU133" s="2688"/>
      <c r="GV133" s="2688"/>
      <c r="GW133" s="2688"/>
      <c r="GX133" s="2688"/>
      <c r="GY133" s="2688"/>
      <c r="GZ133" s="2688"/>
      <c r="HA133" s="2688"/>
      <c r="HB133" s="2688"/>
      <c r="HC133" s="2688"/>
      <c r="HD133" s="2688"/>
      <c r="HE133" s="2688"/>
      <c r="HF133" s="2688"/>
      <c r="HG133" s="2688"/>
      <c r="HH133" s="2688"/>
      <c r="HI133" s="2688"/>
      <c r="HJ133" s="2688"/>
      <c r="HK133" s="2688"/>
      <c r="HL133" s="2688"/>
      <c r="HM133" s="2688"/>
      <c r="HN133" s="2688"/>
      <c r="HO133" s="2688"/>
      <c r="HP133" s="2688"/>
      <c r="HQ133" s="2688"/>
      <c r="HR133" s="2688"/>
      <c r="HS133" s="2688"/>
      <c r="HT133" s="2688"/>
      <c r="HU133" s="2688"/>
      <c r="HV133" s="2688"/>
      <c r="HW133" s="2688"/>
      <c r="HX133" s="2688"/>
      <c r="HY133" s="2688"/>
      <c r="HZ133" s="2688"/>
      <c r="IA133" s="2688"/>
      <c r="IB133" s="2688"/>
      <c r="IC133" s="2688"/>
      <c r="ID133" s="2688"/>
      <c r="IE133" s="2688"/>
      <c r="IF133" s="2688"/>
      <c r="IG133" s="2688"/>
      <c r="IH133" s="2688"/>
      <c r="II133" s="2688"/>
      <c r="IJ133" s="2688"/>
      <c r="IK133" s="2688"/>
      <c r="IL133" s="2688"/>
      <c r="IM133" s="2688"/>
      <c r="IN133" s="2688"/>
      <c r="IO133" s="2688"/>
      <c r="IP133" s="2368"/>
      <c r="IQ133" s="2368"/>
      <c r="IR133" s="2368"/>
      <c r="IS133" s="2368"/>
      <c r="IT133" s="2368"/>
      <c r="IU133" s="2368"/>
      <c r="IV133" s="2368"/>
      <c r="IW133" s="2368"/>
      <c r="IX133" s="2368"/>
      <c r="IY133" s="2368"/>
      <c r="IZ133" s="2368"/>
      <c r="JA133" s="2368"/>
      <c r="JB133" s="2368"/>
      <c r="JC133" s="2368"/>
      <c r="JD133" s="2368"/>
      <c r="JE133" s="2368"/>
      <c r="JF133" s="2368"/>
      <c r="JG133" s="4105"/>
      <c r="JH133" s="1233"/>
    </row>
    <row r="134" spans="1:268" x14ac:dyDescent="0.2">
      <c r="A134" s="1128">
        <v>134</v>
      </c>
      <c r="B134" s="1534" t="str">
        <f si="3" t="shared"/>
        <v/>
      </c>
      <c r="C134" s="1524" t="s">
        <v>1629</v>
      </c>
      <c r="D134" s="1386" t="s">
        <v>1014</v>
      </c>
      <c r="E134" s="2688"/>
      <c r="F134" s="2688"/>
      <c r="G134" s="2688"/>
      <c r="H134" s="2688"/>
      <c r="I134" s="2688"/>
      <c r="J134" s="2688"/>
      <c r="K134" s="2688"/>
      <c r="L134" s="2688"/>
      <c r="M134" s="2688"/>
      <c r="N134" s="2688"/>
      <c r="O134" s="2688"/>
      <c r="P134" s="2688"/>
      <c r="Q134" s="2688"/>
      <c r="R134" s="2688"/>
      <c r="S134" s="2688"/>
      <c r="T134" s="2688"/>
      <c r="U134" s="2688"/>
      <c r="V134" s="2688"/>
      <c r="W134" s="2688"/>
      <c r="X134" s="2688"/>
      <c r="Y134" s="2688"/>
      <c r="Z134" s="2688"/>
      <c r="AA134" s="2688"/>
      <c r="AB134" s="2688"/>
      <c r="AC134" s="2688"/>
      <c r="AD134" s="2688"/>
      <c r="AE134" s="2688"/>
      <c r="AF134" s="2688"/>
      <c r="AG134" s="2688"/>
      <c r="AH134" s="2688"/>
      <c r="AI134" s="2688"/>
      <c r="AJ134" s="2688"/>
      <c r="AK134" s="2688"/>
      <c r="AL134" s="2688"/>
      <c r="AM134" s="2688"/>
      <c r="AN134" s="2688"/>
      <c r="AO134" s="2688"/>
      <c r="AP134" s="2688"/>
      <c r="AQ134" s="2688"/>
      <c r="AR134" s="2688"/>
      <c r="AS134" s="2688"/>
      <c r="AT134" s="2688"/>
      <c r="AU134" s="2688"/>
      <c r="AV134" s="2688"/>
      <c r="AW134" s="2688">
        <v>17</v>
      </c>
      <c r="AX134" s="2688"/>
      <c r="AY134" s="2688"/>
      <c r="AZ134" s="2688"/>
      <c r="BA134" s="2688"/>
      <c r="BB134" s="2688"/>
      <c r="BC134" s="2688"/>
      <c r="BD134" s="2688"/>
      <c r="BE134" s="2688"/>
      <c r="BF134" s="2688"/>
      <c r="BG134" s="2688"/>
      <c r="BH134" s="2688"/>
      <c r="BI134" s="2688"/>
      <c r="BJ134" s="2688"/>
      <c r="BK134" s="2688"/>
      <c r="BL134" s="2688"/>
      <c r="BM134" s="2688"/>
      <c r="BN134" s="2688"/>
      <c r="BO134" s="2688"/>
      <c r="BP134" s="2688"/>
      <c r="BQ134" s="2688"/>
      <c r="BR134" s="2688"/>
      <c r="BS134" s="2688"/>
      <c r="BT134" s="2688"/>
      <c r="BU134" s="2688"/>
      <c r="BV134" s="2688"/>
      <c r="BW134" s="2688"/>
      <c r="BX134" s="2688"/>
      <c r="BY134" s="2688"/>
      <c r="BZ134" s="2688"/>
      <c r="CA134" s="2688"/>
      <c r="CB134" s="2688"/>
      <c r="CC134" s="2688"/>
      <c r="CD134" s="2688"/>
      <c r="CE134" s="2688"/>
      <c r="CF134" s="2688"/>
      <c r="CG134" s="2688"/>
      <c r="CH134" s="2688"/>
      <c r="CI134" s="2688"/>
      <c r="CJ134" s="2688"/>
      <c r="CK134" s="2688"/>
      <c r="CL134" s="2688"/>
      <c r="CM134" s="2688"/>
      <c r="CN134" s="2688"/>
      <c r="CO134" s="2688"/>
      <c r="CP134" s="2688"/>
      <c r="CQ134" s="2688"/>
      <c r="CR134" s="2688"/>
      <c r="CS134" s="2688"/>
      <c r="CT134" s="2688"/>
      <c r="CU134" s="2688"/>
      <c r="CV134" s="2688"/>
      <c r="CW134" s="2688"/>
      <c r="CX134" s="2688"/>
      <c r="CY134" s="2688"/>
      <c r="CZ134" s="2688"/>
      <c r="DA134" s="2688"/>
      <c r="DB134" s="2688"/>
      <c r="DC134" s="2688"/>
      <c r="DD134" s="2688"/>
      <c r="DE134" s="2688"/>
      <c r="DF134" s="2688"/>
      <c r="DG134" s="2688"/>
      <c r="DH134" s="2688"/>
      <c r="DI134" s="2688"/>
      <c r="DJ134" s="2688"/>
      <c r="DK134" s="2688"/>
      <c r="DL134" s="2688"/>
      <c r="DM134" s="2688"/>
      <c r="DN134" s="2688"/>
      <c r="DO134" s="2688"/>
      <c r="DP134" s="2688"/>
      <c r="DQ134" s="2688"/>
      <c r="DR134" s="2688"/>
      <c r="DS134" s="2688"/>
      <c r="DT134" s="2688"/>
      <c r="DU134" s="2688"/>
      <c r="DV134" s="2688"/>
      <c r="DW134" s="2688"/>
      <c r="DX134" s="2688"/>
      <c r="DY134" s="2688"/>
      <c r="DZ134" s="2688"/>
      <c r="EA134" s="2688"/>
      <c r="EB134" s="2688"/>
      <c r="EC134" s="2688"/>
      <c r="ED134" s="2688"/>
      <c r="EE134" s="2688"/>
      <c r="EF134" s="2688"/>
      <c r="EG134" s="2688"/>
      <c r="EH134" s="2688"/>
      <c r="EI134" s="2688"/>
      <c r="EJ134" s="2688"/>
      <c r="EK134" s="2688"/>
      <c r="EL134" s="2688"/>
      <c r="EM134" s="2688"/>
      <c r="EN134" s="2688"/>
      <c r="EO134" s="2688"/>
      <c r="EP134" s="2688"/>
      <c r="EQ134" s="2688"/>
      <c r="ER134" s="2688"/>
      <c r="ES134" s="2688"/>
      <c r="ET134" s="2688"/>
      <c r="EU134" s="2688"/>
      <c r="EV134" s="2688"/>
      <c r="EW134" s="2688"/>
      <c r="EX134" s="2688"/>
      <c r="EY134" s="2688"/>
      <c r="EZ134" s="2688"/>
      <c r="FA134" s="2688"/>
      <c r="FB134" s="2688"/>
      <c r="FC134" s="2688"/>
      <c r="FD134" s="2688"/>
      <c r="FE134" s="2688"/>
      <c r="FF134" s="2688"/>
      <c r="FG134" s="2688"/>
      <c r="FH134" s="2688"/>
      <c r="FI134" s="2688"/>
      <c r="FJ134" s="2688"/>
      <c r="FK134" s="2688"/>
      <c r="FL134" s="2688"/>
      <c r="FM134" s="2688"/>
      <c r="FN134" s="2688"/>
      <c r="FO134" s="2688"/>
      <c r="FP134" s="2688"/>
      <c r="FQ134" s="2688"/>
      <c r="FR134" s="2688"/>
      <c r="FS134" s="2688"/>
      <c r="FT134" s="2688"/>
      <c r="FU134" s="2688"/>
      <c r="FV134" s="2688"/>
      <c r="FW134" s="2688"/>
      <c r="FX134" s="2688"/>
      <c r="FY134" s="2688"/>
      <c r="FZ134" s="2688"/>
      <c r="GA134" s="2688"/>
      <c r="GB134" s="2688"/>
      <c r="GC134" s="2688"/>
      <c r="GD134" s="2688"/>
      <c r="GE134" s="2688"/>
      <c r="GF134" s="2688"/>
      <c r="GG134" s="2688"/>
      <c r="GH134" s="2688"/>
      <c r="GI134" s="2688"/>
      <c r="GJ134" s="2688"/>
      <c r="GK134" s="2688"/>
      <c r="GL134" s="2688"/>
      <c r="GM134" s="2688"/>
      <c r="GN134" s="2688"/>
      <c r="GO134" s="2688"/>
      <c r="GP134" s="2688"/>
      <c r="GQ134" s="2688"/>
      <c r="GR134" s="2688"/>
      <c r="GS134" s="2688"/>
      <c r="GT134" s="2688"/>
      <c r="GU134" s="2688"/>
      <c r="GV134" s="2688"/>
      <c r="GW134" s="2688"/>
      <c r="GX134" s="2688"/>
      <c r="GY134" s="2688"/>
      <c r="GZ134" s="2688"/>
      <c r="HA134" s="2688"/>
      <c r="HB134" s="2688"/>
      <c r="HC134" s="2688"/>
      <c r="HD134" s="2688"/>
      <c r="HE134" s="2688"/>
      <c r="HF134" s="2688"/>
      <c r="HG134" s="2688"/>
      <c r="HH134" s="2688"/>
      <c r="HI134" s="2688"/>
      <c r="HJ134" s="2688"/>
      <c r="HK134" s="2688"/>
      <c r="HL134" s="2688"/>
      <c r="HM134" s="2688"/>
      <c r="HN134" s="2688"/>
      <c r="HO134" s="2688"/>
      <c r="HP134" s="2688"/>
      <c r="HQ134" s="2688"/>
      <c r="HR134" s="2688"/>
      <c r="HS134" s="2688"/>
      <c r="HT134" s="2688"/>
      <c r="HU134" s="2688"/>
      <c r="HV134" s="2688"/>
      <c r="HW134" s="2688"/>
      <c r="HX134" s="2688"/>
      <c r="HY134" s="2688"/>
      <c r="HZ134" s="2688"/>
      <c r="IA134" s="2688"/>
      <c r="IB134" s="2688"/>
      <c r="IC134" s="2688"/>
      <c r="ID134" s="2688"/>
      <c r="IE134" s="2688"/>
      <c r="IF134" s="2688"/>
      <c r="IG134" s="2688"/>
      <c r="IH134" s="2688"/>
      <c r="II134" s="2688"/>
      <c r="IJ134" s="2688"/>
      <c r="IK134" s="2688"/>
      <c r="IL134" s="2688"/>
      <c r="IM134" s="2688"/>
      <c r="IN134" s="2688"/>
      <c r="IO134" s="2688"/>
      <c r="IP134" s="2368"/>
      <c r="IQ134" s="2368"/>
      <c r="IR134" s="2368"/>
      <c r="IS134" s="2368"/>
      <c r="IT134" s="2368"/>
      <c r="IU134" s="2368"/>
      <c r="IV134" s="2368"/>
      <c r="IW134" s="2368"/>
      <c r="IX134" s="2368"/>
      <c r="IY134" s="2368"/>
      <c r="IZ134" s="2368"/>
      <c r="JA134" s="2368"/>
      <c r="JB134" s="2368"/>
      <c r="JC134" s="2368"/>
      <c r="JD134" s="2368"/>
      <c r="JE134" s="2368"/>
      <c r="JF134" s="2368"/>
      <c r="JG134" s="4105"/>
      <c r="JH134" s="1233"/>
    </row>
    <row r="135" spans="1:268" x14ac:dyDescent="0.2">
      <c r="A135" s="1128">
        <v>135</v>
      </c>
      <c r="B135" s="1534" t="str">
        <f si="3" t="shared"/>
        <v/>
      </c>
      <c r="C135" s="1524" t="s">
        <v>1630</v>
      </c>
      <c r="D135" s="1386" t="s">
        <v>2749</v>
      </c>
      <c r="E135" s="2688"/>
      <c r="F135" s="2688"/>
      <c r="G135" s="2688"/>
      <c r="H135" s="2688"/>
      <c r="I135" s="2688"/>
      <c r="J135" s="2688"/>
      <c r="K135" s="2688"/>
      <c r="L135" s="2688"/>
      <c r="M135" s="2688"/>
      <c r="N135" s="2688"/>
      <c r="O135" s="2688"/>
      <c r="P135" s="2688"/>
      <c r="Q135" s="2688"/>
      <c r="R135" s="2688"/>
      <c r="S135" s="2688"/>
      <c r="T135" s="2688"/>
      <c r="U135" s="2688"/>
      <c r="V135" s="2688"/>
      <c r="W135" s="2688"/>
      <c r="X135" s="2688"/>
      <c r="Y135" s="2688"/>
      <c r="Z135" s="2688"/>
      <c r="AA135" s="2688"/>
      <c r="AB135" s="2688"/>
      <c r="AC135" s="2688"/>
      <c r="AD135" s="2688"/>
      <c r="AE135" s="2688"/>
      <c r="AF135" s="2688"/>
      <c r="AG135" s="2688"/>
      <c r="AH135" s="2688"/>
      <c r="AI135" s="2688"/>
      <c r="AJ135" s="2688"/>
      <c r="AK135" s="2688"/>
      <c r="AL135" s="2688"/>
      <c r="AM135" s="2688"/>
      <c r="AN135" s="2688"/>
      <c r="AO135" s="2688"/>
      <c r="AP135" s="2688"/>
      <c r="AQ135" s="2688"/>
      <c r="AR135" s="2688"/>
      <c r="AS135" s="2688"/>
      <c r="AT135" s="2688"/>
      <c r="AU135" s="2688"/>
      <c r="AV135" s="2688"/>
      <c r="AW135" s="2688">
        <v>12069</v>
      </c>
      <c r="AX135" s="2688"/>
      <c r="AY135" s="2688"/>
      <c r="AZ135" s="2688"/>
      <c r="BA135" s="2688"/>
      <c r="BB135" s="2688"/>
      <c r="BC135" s="2688"/>
      <c r="BD135" s="2688"/>
      <c r="BE135" s="2688"/>
      <c r="BF135" s="2688"/>
      <c r="BG135" s="2688"/>
      <c r="BH135" s="2688"/>
      <c r="BI135" s="2688"/>
      <c r="BJ135" s="2688"/>
      <c r="BK135" s="2688"/>
      <c r="BL135" s="2688"/>
      <c r="BM135" s="2688"/>
      <c r="BN135" s="2688"/>
      <c r="BO135" s="2688"/>
      <c r="BP135" s="2688"/>
      <c r="BQ135" s="2688"/>
      <c r="BR135" s="2688"/>
      <c r="BS135" s="2688"/>
      <c r="BT135" s="2688"/>
      <c r="BU135" s="2688"/>
      <c r="BV135" s="2688"/>
      <c r="BW135" s="2688"/>
      <c r="BX135" s="2688"/>
      <c r="BY135" s="2688"/>
      <c r="BZ135" s="2688"/>
      <c r="CA135" s="2688"/>
      <c r="CB135" s="2688"/>
      <c r="CC135" s="2688"/>
      <c r="CD135" s="2688"/>
      <c r="CE135" s="2688"/>
      <c r="CF135" s="2688"/>
      <c r="CG135" s="2688"/>
      <c r="CH135" s="2688"/>
      <c r="CI135" s="2688"/>
      <c r="CJ135" s="2688"/>
      <c r="CK135" s="2688"/>
      <c r="CL135" s="2688"/>
      <c r="CM135" s="2688"/>
      <c r="CN135" s="2688"/>
      <c r="CO135" s="2688"/>
      <c r="CP135" s="2688"/>
      <c r="CQ135" s="2688"/>
      <c r="CR135" s="2688"/>
      <c r="CS135" s="2688"/>
      <c r="CT135" s="2688"/>
      <c r="CU135" s="2688"/>
      <c r="CV135" s="2688"/>
      <c r="CW135" s="2688"/>
      <c r="CX135" s="2688"/>
      <c r="CY135" s="2688"/>
      <c r="CZ135" s="2688"/>
      <c r="DA135" s="2688"/>
      <c r="DB135" s="2688"/>
      <c r="DC135" s="2688"/>
      <c r="DD135" s="2688"/>
      <c r="DE135" s="2688"/>
      <c r="DF135" s="2688"/>
      <c r="DG135" s="2688"/>
      <c r="DH135" s="2688"/>
      <c r="DI135" s="2688"/>
      <c r="DJ135" s="2688"/>
      <c r="DK135" s="2688"/>
      <c r="DL135" s="2688"/>
      <c r="DM135" s="2688"/>
      <c r="DN135" s="2688"/>
      <c r="DO135" s="2688"/>
      <c r="DP135" s="2688"/>
      <c r="DQ135" s="2688"/>
      <c r="DR135" s="2688"/>
      <c r="DS135" s="2688"/>
      <c r="DT135" s="2688"/>
      <c r="DU135" s="2688"/>
      <c r="DV135" s="2688"/>
      <c r="DW135" s="2688"/>
      <c r="DX135" s="2688"/>
      <c r="DY135" s="2688"/>
      <c r="DZ135" s="2688"/>
      <c r="EA135" s="2688"/>
      <c r="EB135" s="2688"/>
      <c r="EC135" s="2688"/>
      <c r="ED135" s="2688"/>
      <c r="EE135" s="2688"/>
      <c r="EF135" s="2688"/>
      <c r="EG135" s="2688"/>
      <c r="EH135" s="2688"/>
      <c r="EI135" s="2688"/>
      <c r="EJ135" s="2688"/>
      <c r="EK135" s="2688"/>
      <c r="EL135" s="2688"/>
      <c r="EM135" s="2688"/>
      <c r="EN135" s="2688"/>
      <c r="EO135" s="2688"/>
      <c r="EP135" s="2688"/>
      <c r="EQ135" s="2688"/>
      <c r="ER135" s="2688"/>
      <c r="ES135" s="2688"/>
      <c r="ET135" s="2688"/>
      <c r="EU135" s="2688"/>
      <c r="EV135" s="2688"/>
      <c r="EW135" s="2688"/>
      <c r="EX135" s="2688"/>
      <c r="EY135" s="2688"/>
      <c r="EZ135" s="2688"/>
      <c r="FA135" s="2688"/>
      <c r="FB135" s="2688"/>
      <c r="FC135" s="2688"/>
      <c r="FD135" s="2688"/>
      <c r="FE135" s="2688"/>
      <c r="FF135" s="2688"/>
      <c r="FG135" s="2688"/>
      <c r="FH135" s="2688"/>
      <c r="FI135" s="2688"/>
      <c r="FJ135" s="2688"/>
      <c r="FK135" s="2688"/>
      <c r="FL135" s="2688"/>
      <c r="FM135" s="2688"/>
      <c r="FN135" s="2688"/>
      <c r="FO135" s="2688"/>
      <c r="FP135" s="2688"/>
      <c r="FQ135" s="2688"/>
      <c r="FR135" s="2688"/>
      <c r="FS135" s="2688"/>
      <c r="FT135" s="2688"/>
      <c r="FU135" s="2688"/>
      <c r="FV135" s="2688"/>
      <c r="FW135" s="2688"/>
      <c r="FX135" s="2688"/>
      <c r="FY135" s="2688"/>
      <c r="FZ135" s="2688"/>
      <c r="GA135" s="2688"/>
      <c r="GB135" s="2688"/>
      <c r="GC135" s="2688"/>
      <c r="GD135" s="2688"/>
      <c r="GE135" s="2688"/>
      <c r="GF135" s="2688"/>
      <c r="GG135" s="2688"/>
      <c r="GH135" s="2688"/>
      <c r="GI135" s="2688"/>
      <c r="GJ135" s="2688"/>
      <c r="GK135" s="2688"/>
      <c r="GL135" s="2688"/>
      <c r="GM135" s="2688"/>
      <c r="GN135" s="2688"/>
      <c r="GO135" s="2688"/>
      <c r="GP135" s="2688"/>
      <c r="GQ135" s="2688"/>
      <c r="GR135" s="2688"/>
      <c r="GS135" s="2688"/>
      <c r="GT135" s="2688"/>
      <c r="GU135" s="2688"/>
      <c r="GV135" s="2688"/>
      <c r="GW135" s="2688"/>
      <c r="GX135" s="2688"/>
      <c r="GY135" s="2688"/>
      <c r="GZ135" s="2688"/>
      <c r="HA135" s="2688"/>
      <c r="HB135" s="2688"/>
      <c r="HC135" s="2688"/>
      <c r="HD135" s="2688"/>
      <c r="HE135" s="2688"/>
      <c r="HF135" s="2688"/>
      <c r="HG135" s="2688"/>
      <c r="HH135" s="2688"/>
      <c r="HI135" s="2688"/>
      <c r="HJ135" s="2688"/>
      <c r="HK135" s="2688"/>
      <c r="HL135" s="2688"/>
      <c r="HM135" s="2688"/>
      <c r="HN135" s="2688"/>
      <c r="HO135" s="2688"/>
      <c r="HP135" s="2688"/>
      <c r="HQ135" s="2688"/>
      <c r="HR135" s="2688"/>
      <c r="HS135" s="2688"/>
      <c r="HT135" s="2688"/>
      <c r="HU135" s="2688"/>
      <c r="HV135" s="2688"/>
      <c r="HW135" s="2688"/>
      <c r="HX135" s="2688"/>
      <c r="HY135" s="2688"/>
      <c r="HZ135" s="2688"/>
      <c r="IA135" s="2688"/>
      <c r="IB135" s="2688"/>
      <c r="IC135" s="2688"/>
      <c r="ID135" s="2688"/>
      <c r="IE135" s="2688"/>
      <c r="IF135" s="2688"/>
      <c r="IG135" s="2688"/>
      <c r="IH135" s="2688"/>
      <c r="II135" s="2688"/>
      <c r="IJ135" s="2688"/>
      <c r="IK135" s="2688"/>
      <c r="IL135" s="2688"/>
      <c r="IM135" s="2688"/>
      <c r="IN135" s="2688"/>
      <c r="IO135" s="2688"/>
      <c r="IP135" s="2368"/>
      <c r="IQ135" s="2368"/>
      <c r="IR135" s="2368"/>
      <c r="IS135" s="2368"/>
      <c r="IT135" s="2368"/>
      <c r="IU135" s="2368"/>
      <c r="IV135" s="2368"/>
      <c r="IW135" s="2368"/>
      <c r="IX135" s="2368"/>
      <c r="IY135" s="2368"/>
      <c r="IZ135" s="2368"/>
      <c r="JA135" s="2368"/>
      <c r="JB135" s="2368"/>
      <c r="JC135" s="2368"/>
      <c r="JD135" s="2368"/>
      <c r="JE135" s="2368"/>
      <c r="JF135" s="2368"/>
      <c r="JG135" s="4105"/>
      <c r="JH135" s="1233"/>
    </row>
    <row ht="13.5" r="136" spans="1:268" thickBot="1" x14ac:dyDescent="0.25">
      <c r="A136" s="1128">
        <v>136</v>
      </c>
      <c r="B136" s="1534" t="str">
        <f si="3" t="shared"/>
        <v/>
      </c>
      <c r="C136" s="1279" t="s">
        <v>1631</v>
      </c>
      <c r="D136" s="1545" t="s">
        <v>5349</v>
      </c>
      <c r="E136" s="2688"/>
      <c r="F136" s="2688"/>
      <c r="G136" s="2688"/>
      <c r="H136" s="2688"/>
      <c r="I136" s="2688"/>
      <c r="J136" s="2688"/>
      <c r="K136" s="2688"/>
      <c r="L136" s="2688"/>
      <c r="M136" s="2688"/>
      <c r="N136" s="2688"/>
      <c r="O136" s="2688"/>
      <c r="P136" s="2688"/>
      <c r="Q136" s="2688"/>
      <c r="R136" s="2688"/>
      <c r="S136" s="2688"/>
      <c r="T136" s="2688"/>
      <c r="U136" s="2688"/>
      <c r="V136" s="2688"/>
      <c r="W136" s="2688"/>
      <c r="X136" s="2688"/>
      <c r="Y136" s="2688"/>
      <c r="Z136" s="2688"/>
      <c r="AA136" s="2688"/>
      <c r="AB136" s="2688"/>
      <c r="AC136" s="2688"/>
      <c r="AD136" s="2688"/>
      <c r="AE136" s="2688"/>
      <c r="AF136" s="2688"/>
      <c r="AG136" s="2688"/>
      <c r="AH136" s="2688"/>
      <c r="AI136" s="2688"/>
      <c r="AJ136" s="2688"/>
      <c r="AK136" s="2688"/>
      <c r="AL136" s="2688"/>
      <c r="AM136" s="2688"/>
      <c r="AN136" s="2688"/>
      <c r="AO136" s="2688"/>
      <c r="AP136" s="2688"/>
      <c r="AQ136" s="2688"/>
      <c r="AR136" s="2688"/>
      <c r="AS136" s="2688"/>
      <c r="AT136" s="2688"/>
      <c r="AU136" s="2688"/>
      <c r="AV136" s="2688"/>
      <c r="AW136" s="2688"/>
      <c r="AX136" s="2688"/>
      <c r="AY136" s="2688"/>
      <c r="AZ136" s="2688"/>
      <c r="BA136" s="2688"/>
      <c r="BB136" s="2688"/>
      <c r="BC136" s="2688"/>
      <c r="BD136" s="2688"/>
      <c r="BE136" s="2688"/>
      <c r="BF136" s="2688"/>
      <c r="BG136" s="2688"/>
      <c r="BH136" s="2688"/>
      <c r="BI136" s="2688"/>
      <c r="BJ136" s="2688"/>
      <c r="BK136" s="2688"/>
      <c r="BL136" s="2688"/>
      <c r="BM136" s="2688"/>
      <c r="BN136" s="2688"/>
      <c r="BO136" s="2688"/>
      <c r="BP136" s="2688"/>
      <c r="BQ136" s="2688"/>
      <c r="BR136" s="2688"/>
      <c r="BS136" s="2688"/>
      <c r="BT136" s="2688"/>
      <c r="BU136" s="2688"/>
      <c r="BV136" s="2688"/>
      <c r="BW136" s="2688"/>
      <c r="BX136" s="2688"/>
      <c r="BY136" s="2688"/>
      <c r="BZ136" s="2688"/>
      <c r="CA136" s="2688"/>
      <c r="CB136" s="2688"/>
      <c r="CC136" s="2688"/>
      <c r="CD136" s="2688"/>
      <c r="CE136" s="2688"/>
      <c r="CF136" s="2688"/>
      <c r="CG136" s="2688"/>
      <c r="CH136" s="2688"/>
      <c r="CI136" s="2688"/>
      <c r="CJ136" s="2688"/>
      <c r="CK136" s="2688"/>
      <c r="CL136" s="2688"/>
      <c r="CM136" s="2688"/>
      <c r="CN136" s="2688"/>
      <c r="CO136" s="2688"/>
      <c r="CP136" s="2688"/>
      <c r="CQ136" s="2688"/>
      <c r="CR136" s="2688"/>
      <c r="CS136" s="2688"/>
      <c r="CT136" s="2688"/>
      <c r="CU136" s="2688"/>
      <c r="CV136" s="2688"/>
      <c r="CW136" s="2688"/>
      <c r="CX136" s="2688"/>
      <c r="CY136" s="2688"/>
      <c r="CZ136" s="2688"/>
      <c r="DA136" s="2688"/>
      <c r="DB136" s="2688"/>
      <c r="DC136" s="2688"/>
      <c r="DD136" s="2688"/>
      <c r="DE136" s="2688"/>
      <c r="DF136" s="2688"/>
      <c r="DG136" s="2688"/>
      <c r="DH136" s="2688"/>
      <c r="DI136" s="2688"/>
      <c r="DJ136" s="2688"/>
      <c r="DK136" s="2688"/>
      <c r="DL136" s="2688"/>
      <c r="DM136" s="2688"/>
      <c r="DN136" s="2688"/>
      <c r="DO136" s="2688"/>
      <c r="DP136" s="2688"/>
      <c r="DQ136" s="2688"/>
      <c r="DR136" s="2688"/>
      <c r="DS136" s="2688"/>
      <c r="DT136" s="2688"/>
      <c r="DU136" s="2688"/>
      <c r="DV136" s="2688"/>
      <c r="DW136" s="2688"/>
      <c r="DX136" s="2688"/>
      <c r="DY136" s="2688"/>
      <c r="DZ136" s="2688"/>
      <c r="EA136" s="2688"/>
      <c r="EB136" s="2688"/>
      <c r="EC136" s="2688"/>
      <c r="ED136" s="2688"/>
      <c r="EE136" s="2688"/>
      <c r="EF136" s="2688"/>
      <c r="EG136" s="2688"/>
      <c r="EH136" s="2688"/>
      <c r="EI136" s="2688"/>
      <c r="EJ136" s="2688"/>
      <c r="EK136" s="2688"/>
      <c r="EL136" s="2688"/>
      <c r="EM136" s="2688"/>
      <c r="EN136" s="2688"/>
      <c r="EO136" s="2688"/>
      <c r="EP136" s="2688"/>
      <c r="EQ136" s="2688"/>
      <c r="ER136" s="2688"/>
      <c r="ES136" s="2688"/>
      <c r="ET136" s="2688"/>
      <c r="EU136" s="2688"/>
      <c r="EV136" s="2688"/>
      <c r="EW136" s="2688"/>
      <c r="EX136" s="2688"/>
      <c r="EY136" s="2688"/>
      <c r="EZ136" s="2688"/>
      <c r="FA136" s="2688"/>
      <c r="FB136" s="2688"/>
      <c r="FC136" s="2688"/>
      <c r="FD136" s="2688"/>
      <c r="FE136" s="2688"/>
      <c r="FF136" s="2688"/>
      <c r="FG136" s="2688"/>
      <c r="FH136" s="2688"/>
      <c r="FI136" s="2688"/>
      <c r="FJ136" s="2688"/>
      <c r="FK136" s="2688"/>
      <c r="FL136" s="2688"/>
      <c r="FM136" s="2688"/>
      <c r="FN136" s="2688"/>
      <c r="FO136" s="2688"/>
      <c r="FP136" s="2688"/>
      <c r="FQ136" s="2688"/>
      <c r="FR136" s="2688"/>
      <c r="FS136" s="2688"/>
      <c r="FT136" s="2688"/>
      <c r="FU136" s="2688"/>
      <c r="FV136" s="2688"/>
      <c r="FW136" s="2688"/>
      <c r="FX136" s="2688"/>
      <c r="FY136" s="2688"/>
      <c r="FZ136" s="2688"/>
      <c r="GA136" s="2688"/>
      <c r="GB136" s="2688"/>
      <c r="GC136" s="2688"/>
      <c r="GD136" s="2688"/>
      <c r="GE136" s="2688"/>
      <c r="GF136" s="2688"/>
      <c r="GG136" s="2688"/>
      <c r="GH136" s="2688"/>
      <c r="GI136" s="2688"/>
      <c r="GJ136" s="2688"/>
      <c r="GK136" s="2688"/>
      <c r="GL136" s="2688"/>
      <c r="GM136" s="2688"/>
      <c r="GN136" s="2688"/>
      <c r="GO136" s="2688"/>
      <c r="GP136" s="2688"/>
      <c r="GQ136" s="2688"/>
      <c r="GR136" s="2688"/>
      <c r="GS136" s="2688"/>
      <c r="GT136" s="2688"/>
      <c r="GU136" s="2688"/>
      <c r="GV136" s="2688"/>
      <c r="GW136" s="2688"/>
      <c r="GX136" s="2688"/>
      <c r="GY136" s="2688"/>
      <c r="GZ136" s="2688"/>
      <c r="HA136" s="2688"/>
      <c r="HB136" s="2688"/>
      <c r="HC136" s="2688"/>
      <c r="HD136" s="2688"/>
      <c r="HE136" s="2688"/>
      <c r="HF136" s="2688"/>
      <c r="HG136" s="2688"/>
      <c r="HH136" s="2688"/>
      <c r="HI136" s="2688"/>
      <c r="HJ136" s="2688"/>
      <c r="HK136" s="2688"/>
      <c r="HL136" s="2688"/>
      <c r="HM136" s="2688"/>
      <c r="HN136" s="2688"/>
      <c r="HO136" s="2688"/>
      <c r="HP136" s="2688"/>
      <c r="HQ136" s="2688"/>
      <c r="HR136" s="2688"/>
      <c r="HS136" s="2688"/>
      <c r="HT136" s="2688"/>
      <c r="HU136" s="2688"/>
      <c r="HV136" s="2688"/>
      <c r="HW136" s="2688"/>
      <c r="HX136" s="2688"/>
      <c r="HY136" s="2688"/>
      <c r="HZ136" s="2688"/>
      <c r="IA136" s="2688"/>
      <c r="IB136" s="2688"/>
      <c r="IC136" s="2688"/>
      <c r="ID136" s="2688"/>
      <c r="IE136" s="2688"/>
      <c r="IF136" s="2688"/>
      <c r="IG136" s="2688"/>
      <c r="IH136" s="2688"/>
      <c r="II136" s="2688"/>
      <c r="IJ136" s="2688"/>
      <c r="IK136" s="2688"/>
      <c r="IL136" s="2688"/>
      <c r="IM136" s="2688"/>
      <c r="IN136" s="2688"/>
      <c r="IO136" s="2688"/>
      <c r="IP136" s="2382"/>
      <c r="IQ136" s="2382"/>
      <c r="IR136" s="2382"/>
      <c r="IS136" s="2382"/>
      <c r="IT136" s="2382"/>
      <c r="IU136" s="2382"/>
      <c r="IV136" s="2382"/>
      <c r="IW136" s="2382"/>
      <c r="IX136" s="2382"/>
      <c r="IY136" s="2382"/>
      <c r="IZ136" s="2382"/>
      <c r="JA136" s="2382"/>
      <c r="JB136" s="2382"/>
      <c r="JC136" s="2382"/>
      <c r="JD136" s="2382"/>
      <c r="JE136" s="2382"/>
      <c r="JF136" s="2382"/>
      <c r="JG136" s="4106"/>
      <c r="JH136" s="1233"/>
    </row>
    <row r="137" spans="1:268" x14ac:dyDescent="0.2">
      <c r="C137" s="384"/>
      <c r="D137" s="384"/>
      <c r="E137" s="384"/>
      <c r="F137" s="384"/>
      <c r="G137" s="384"/>
      <c r="AI137" s="34"/>
      <c r="AJ137" s="34"/>
      <c r="AK137" s="34"/>
      <c r="AL137" s="34"/>
      <c r="AM137" s="34"/>
      <c r="AN137" s="34"/>
      <c r="AO137" s="34"/>
      <c r="AP137" s="34"/>
      <c r="AQ137" s="34"/>
      <c r="AR137" s="34"/>
      <c r="AS137" s="34"/>
      <c r="AT137" s="34"/>
      <c r="AU137" s="34"/>
      <c r="AV137" s="34"/>
      <c r="AW137" s="34"/>
      <c r="AX137" s="34"/>
      <c r="AY137" s="34"/>
      <c r="AZ137" s="34"/>
      <c r="BA137" s="34"/>
      <c r="BB137" s="34"/>
      <c r="BC137" s="34"/>
      <c r="BD137" s="34"/>
      <c r="BE137" s="34"/>
      <c r="BF137" s="34"/>
      <c r="BG137" s="34"/>
      <c r="BH137" s="34"/>
      <c r="BI137" s="34"/>
      <c r="BJ137" s="34"/>
      <c r="BK137" s="34"/>
      <c r="BL137" s="34"/>
      <c r="BM137" s="34"/>
      <c r="BN137" s="34"/>
      <c r="BO137" s="34"/>
      <c r="BP137" s="34"/>
      <c r="BQ137" s="34"/>
      <c r="BR137" s="34"/>
      <c r="BS137" s="34"/>
      <c r="BT137" s="34"/>
      <c r="BU137" s="34"/>
      <c r="BV137" s="34"/>
      <c r="BW137" s="34"/>
      <c r="BX137" s="34"/>
      <c r="BY137" s="34"/>
      <c r="BZ137" s="34"/>
      <c r="CA137" s="34"/>
      <c r="CB137" s="34"/>
      <c r="CC137" s="34"/>
      <c r="CD137" s="34"/>
      <c r="CE137" s="34"/>
      <c r="CF137" s="34"/>
      <c r="CG137" s="34"/>
      <c r="CH137" s="34"/>
      <c r="CI137" s="34"/>
      <c r="CJ137" s="34"/>
      <c r="CK137" s="34"/>
      <c r="CL137" s="34"/>
      <c r="CM137" s="34"/>
      <c r="CN137" s="34"/>
      <c r="CO137" s="34"/>
      <c r="CP137" s="34"/>
      <c r="CQ137" s="34"/>
      <c r="CR137" s="34"/>
      <c r="CS137" s="34"/>
      <c r="CT137" s="34"/>
      <c r="CU137" s="34"/>
      <c r="CV137" s="34"/>
      <c r="CW137" s="34"/>
      <c r="CX137" s="34"/>
      <c r="CY137" s="34"/>
      <c r="CZ137" s="34"/>
      <c r="DA137" s="34"/>
      <c r="DB137" s="34"/>
      <c r="DC137" s="34"/>
      <c r="DD137" s="34"/>
      <c r="DE137" s="34"/>
      <c r="DF137" s="34"/>
      <c r="DG137" s="34"/>
      <c r="DH137" s="34"/>
      <c r="DI137" s="34"/>
      <c r="DJ137" s="34"/>
      <c r="DK137" s="34"/>
      <c r="DL137" s="34"/>
      <c r="DM137" s="34"/>
      <c r="DN137" s="34"/>
      <c r="DO137" s="34"/>
      <c r="DP137" s="34"/>
      <c r="DQ137" s="34"/>
      <c r="DR137" s="34"/>
      <c r="DS137" s="34"/>
      <c r="DT137" s="34"/>
      <c r="DU137" s="34"/>
      <c r="DV137" s="34"/>
      <c r="DW137" s="34"/>
      <c r="DX137" s="34"/>
      <c r="DY137" s="34"/>
      <c r="DZ137" s="34"/>
      <c r="EA137" s="34"/>
      <c r="EB137" s="34"/>
      <c r="EC137" s="34"/>
      <c r="ED137" s="34"/>
      <c r="EE137" s="34"/>
      <c r="EF137" s="34"/>
      <c r="EG137" s="34"/>
      <c r="EH137" s="34"/>
      <c r="EI137" s="34"/>
      <c r="EJ137" s="34"/>
      <c r="EK137" s="34"/>
      <c r="EL137" s="34"/>
      <c r="EM137" s="34"/>
      <c r="EN137" s="34"/>
      <c r="EO137" s="34"/>
      <c r="EP137" s="34"/>
      <c r="EQ137" s="34"/>
      <c r="ER137" s="34"/>
      <c r="ES137" s="34"/>
      <c r="ET137" s="34"/>
      <c r="EU137" s="34"/>
      <c r="EV137" s="34"/>
      <c r="EW137" s="34"/>
      <c r="EX137" s="34"/>
      <c r="EY137" s="34"/>
      <c r="EZ137" s="34"/>
      <c r="FA137" s="34"/>
      <c r="FB137" s="34"/>
      <c r="FC137" s="34"/>
      <c r="FD137" s="34"/>
      <c r="FE137" s="34"/>
      <c r="FF137" s="34"/>
      <c r="FG137" s="34"/>
      <c r="FH137" s="34"/>
      <c r="FI137" s="34"/>
      <c r="FJ137" s="34"/>
      <c r="FK137" s="34"/>
      <c r="FL137" s="34"/>
      <c r="FM137" s="34"/>
      <c r="FN137" s="34"/>
      <c r="FO137" s="34"/>
      <c r="FP137" s="34"/>
      <c r="FQ137" s="34"/>
      <c r="FR137" s="34"/>
      <c r="FS137" s="34"/>
      <c r="FT137" s="34"/>
      <c r="FU137" s="34"/>
      <c r="FV137" s="34"/>
      <c r="FW137" s="34"/>
      <c r="FX137" s="34"/>
      <c r="FY137" s="34"/>
      <c r="FZ137" s="34"/>
      <c r="GA137" s="34"/>
      <c r="GB137" s="34"/>
      <c r="GC137" s="34"/>
      <c r="GD137" s="34"/>
      <c r="GE137" s="34"/>
      <c r="GF137" s="34"/>
      <c r="GG137" s="34"/>
      <c r="GH137" s="34"/>
      <c r="GI137" s="34"/>
      <c r="GJ137" s="34"/>
      <c r="GK137" s="34"/>
      <c r="GL137" s="34"/>
      <c r="GM137" s="34"/>
      <c r="GN137" s="34"/>
      <c r="GO137" s="34"/>
      <c r="GP137" s="34"/>
      <c r="GQ137" s="34"/>
      <c r="GR137" s="34"/>
      <c r="GS137" s="34"/>
      <c r="GT137" s="34"/>
      <c r="GU137" s="34"/>
      <c r="GV137" s="34"/>
      <c r="GW137" s="34"/>
      <c r="GX137" s="34"/>
      <c r="GY137" s="34"/>
      <c r="GZ137" s="34"/>
      <c r="HA137" s="34"/>
      <c r="HB137" s="34"/>
      <c r="HC137" s="34"/>
      <c r="HD137" s="34"/>
      <c r="HE137" s="34"/>
      <c r="HF137" s="34"/>
      <c r="HG137" s="34"/>
      <c r="HH137" s="34"/>
      <c r="HI137" s="34"/>
      <c r="HJ137" s="34"/>
      <c r="HK137" s="34"/>
      <c r="HL137" s="34"/>
      <c r="HM137" s="34"/>
      <c r="HN137" s="34"/>
      <c r="HO137" s="34"/>
      <c r="HP137" s="34"/>
      <c r="HQ137" s="34"/>
      <c r="HR137" s="34"/>
      <c r="HS137" s="34"/>
      <c r="HT137" s="34"/>
      <c r="HU137" s="34"/>
      <c r="HV137" s="34"/>
      <c r="HW137" s="34"/>
      <c r="HX137" s="34"/>
      <c r="HY137" s="34"/>
      <c r="HZ137" s="34"/>
      <c r="IA137" s="34"/>
      <c r="IB137" s="34"/>
      <c r="IC137" s="34"/>
      <c r="ID137" s="34"/>
      <c r="IE137" s="34"/>
      <c r="IF137" s="34"/>
      <c r="IG137" s="34"/>
      <c r="IH137" s="34"/>
      <c r="II137" s="34"/>
      <c r="IJ137" s="34"/>
      <c r="IK137" s="34"/>
      <c r="IL137" s="34"/>
      <c r="IM137" s="34"/>
      <c r="IN137" s="34"/>
      <c r="IO137" s="34"/>
      <c r="IP137" s="34"/>
      <c r="IQ137" s="34"/>
      <c r="IR137" s="34"/>
      <c r="IS137" s="34"/>
      <c r="IT137" s="34"/>
      <c r="IU137" s="34"/>
      <c r="IV137" s="34"/>
      <c r="IW137" s="34"/>
      <c r="IX137" s="34"/>
      <c r="IY137" s="34"/>
      <c r="IZ137" s="34"/>
      <c r="JA137" s="34"/>
      <c r="JB137" s="34"/>
      <c r="JC137" s="34"/>
      <c r="JD137" s="34"/>
      <c r="JE137" s="34"/>
      <c r="JF137" s="34"/>
      <c r="JG137" s="34"/>
    </row>
    <row r="138" spans="1:268" x14ac:dyDescent="0.2">
      <c r="C138" s="384"/>
      <c r="D138" s="384"/>
      <c r="E138" s="384"/>
      <c r="F138" s="384"/>
      <c r="G138" s="384"/>
      <c r="AI138" s="34"/>
      <c r="AJ138" s="34"/>
      <c r="AK138" s="34"/>
      <c r="AL138" s="34"/>
      <c r="AM138" s="34"/>
      <c r="AN138" s="34"/>
      <c r="AO138" s="34"/>
      <c r="AP138" s="34"/>
      <c r="AQ138" s="34"/>
      <c r="AR138" s="34"/>
      <c r="AS138" s="34"/>
      <c r="AT138" s="34"/>
      <c r="AU138" s="34"/>
      <c r="AV138" s="34"/>
      <c r="AW138" s="34"/>
      <c r="AX138" s="34"/>
      <c r="AY138" s="34"/>
      <c r="AZ138" s="34"/>
      <c r="BA138" s="34"/>
      <c r="BB138" s="34"/>
      <c r="BC138" s="34"/>
      <c r="BD138" s="34"/>
      <c r="BE138" s="34"/>
      <c r="BF138" s="34"/>
      <c r="BG138" s="34"/>
      <c r="BH138" s="34"/>
      <c r="BI138" s="34"/>
      <c r="BJ138" s="34"/>
      <c r="BK138" s="34"/>
      <c r="BL138" s="34"/>
      <c r="BM138" s="34"/>
      <c r="BN138" s="34"/>
      <c r="BO138" s="34"/>
      <c r="BP138" s="34"/>
      <c r="BQ138" s="34"/>
      <c r="BR138" s="34"/>
      <c r="BS138" s="34"/>
      <c r="BT138" s="34"/>
      <c r="BU138" s="34"/>
      <c r="BV138" s="34"/>
      <c r="BW138" s="34"/>
      <c r="BX138" s="34"/>
      <c r="BY138" s="34"/>
      <c r="BZ138" s="34"/>
      <c r="CA138" s="34"/>
      <c r="CB138" s="34"/>
      <c r="CC138" s="34"/>
      <c r="CD138" s="34"/>
      <c r="CE138" s="34"/>
      <c r="CF138" s="34"/>
      <c r="CG138" s="34"/>
      <c r="CH138" s="34"/>
      <c r="CI138" s="34"/>
      <c r="CJ138" s="34"/>
      <c r="CK138" s="34"/>
      <c r="CL138" s="34"/>
      <c r="CM138" s="34"/>
      <c r="CN138" s="34"/>
      <c r="CO138" s="34"/>
      <c r="CP138" s="34"/>
      <c r="CQ138" s="34"/>
      <c r="CR138" s="34"/>
      <c r="CS138" s="34"/>
      <c r="CT138" s="34"/>
      <c r="CU138" s="34"/>
      <c r="CV138" s="34"/>
      <c r="CW138" s="34"/>
      <c r="CX138" s="34"/>
      <c r="CY138" s="34"/>
      <c r="CZ138" s="34"/>
      <c r="DA138" s="34"/>
      <c r="DB138" s="34"/>
      <c r="DC138" s="34"/>
      <c r="DD138" s="34"/>
      <c r="DE138" s="34"/>
      <c r="DF138" s="34"/>
      <c r="DG138" s="34"/>
      <c r="DH138" s="34"/>
      <c r="DI138" s="34"/>
      <c r="DJ138" s="34"/>
      <c r="DK138" s="34"/>
      <c r="DL138" s="34"/>
      <c r="DM138" s="34"/>
      <c r="DN138" s="34"/>
      <c r="DO138" s="34"/>
      <c r="DP138" s="34"/>
      <c r="DQ138" s="34"/>
      <c r="DR138" s="34"/>
      <c r="DS138" s="34"/>
      <c r="DT138" s="34"/>
      <c r="DU138" s="34"/>
      <c r="DV138" s="34"/>
      <c r="DW138" s="34"/>
      <c r="DX138" s="34"/>
      <c r="DY138" s="34"/>
      <c r="DZ138" s="34"/>
      <c r="EA138" s="34"/>
      <c r="EB138" s="34"/>
      <c r="EC138" s="34"/>
      <c r="ED138" s="34"/>
      <c r="EE138" s="34"/>
      <c r="EF138" s="34"/>
      <c r="EG138" s="34"/>
      <c r="EH138" s="34"/>
      <c r="EI138" s="34"/>
      <c r="EJ138" s="34"/>
      <c r="EK138" s="34"/>
      <c r="EL138" s="34"/>
      <c r="EM138" s="34"/>
      <c r="EN138" s="34"/>
      <c r="EO138" s="34"/>
      <c r="EP138" s="34"/>
      <c r="EQ138" s="34"/>
      <c r="ER138" s="34"/>
      <c r="ES138" s="34"/>
      <c r="ET138" s="34"/>
      <c r="EU138" s="34"/>
      <c r="EV138" s="34"/>
      <c r="EW138" s="34"/>
      <c r="EX138" s="34"/>
      <c r="EY138" s="34"/>
      <c r="EZ138" s="34"/>
      <c r="FA138" s="34"/>
      <c r="FB138" s="34"/>
      <c r="FC138" s="34"/>
      <c r="FD138" s="34"/>
      <c r="FE138" s="34"/>
      <c r="FF138" s="34"/>
      <c r="FG138" s="34"/>
      <c r="FH138" s="34"/>
      <c r="FI138" s="34"/>
      <c r="FJ138" s="34"/>
      <c r="FK138" s="34"/>
      <c r="FL138" s="34"/>
      <c r="FM138" s="34"/>
      <c r="FN138" s="34"/>
      <c r="FO138" s="34"/>
      <c r="FP138" s="34"/>
      <c r="FQ138" s="34"/>
      <c r="FR138" s="34"/>
      <c r="FS138" s="34"/>
      <c r="FT138" s="34"/>
      <c r="FU138" s="34"/>
      <c r="FV138" s="34"/>
      <c r="FW138" s="34"/>
      <c r="FX138" s="34"/>
      <c r="FY138" s="34"/>
      <c r="FZ138" s="34"/>
      <c r="GA138" s="34"/>
      <c r="GB138" s="34"/>
      <c r="GC138" s="34"/>
      <c r="GD138" s="34"/>
      <c r="GE138" s="34"/>
      <c r="GF138" s="34"/>
      <c r="GG138" s="34"/>
      <c r="GH138" s="34"/>
      <c r="GI138" s="34"/>
      <c r="GJ138" s="34"/>
      <c r="GK138" s="34"/>
      <c r="GL138" s="34"/>
      <c r="GM138" s="34"/>
      <c r="GN138" s="34"/>
      <c r="GO138" s="34"/>
      <c r="GP138" s="34"/>
      <c r="GQ138" s="34"/>
      <c r="GR138" s="34"/>
      <c r="GS138" s="34"/>
      <c r="GT138" s="34"/>
      <c r="GU138" s="34"/>
      <c r="GV138" s="34"/>
      <c r="GW138" s="34"/>
      <c r="GX138" s="34"/>
      <c r="GY138" s="34"/>
      <c r="GZ138" s="34"/>
      <c r="HA138" s="34"/>
      <c r="HB138" s="34"/>
      <c r="HC138" s="34"/>
      <c r="HD138" s="34"/>
      <c r="HE138" s="34"/>
      <c r="HF138" s="34"/>
      <c r="HG138" s="34"/>
      <c r="HH138" s="34"/>
      <c r="HI138" s="34"/>
      <c r="HJ138" s="34"/>
      <c r="HK138" s="34"/>
      <c r="HL138" s="34"/>
      <c r="HM138" s="34"/>
      <c r="HN138" s="34"/>
      <c r="HO138" s="34"/>
      <c r="HP138" s="34"/>
      <c r="HQ138" s="34"/>
      <c r="HR138" s="34"/>
      <c r="HS138" s="34"/>
      <c r="HT138" s="34"/>
      <c r="HU138" s="34"/>
      <c r="HV138" s="34"/>
      <c r="HW138" s="34"/>
      <c r="HX138" s="34"/>
      <c r="HY138" s="34"/>
      <c r="HZ138" s="34"/>
      <c r="IA138" s="34"/>
      <c r="IB138" s="34"/>
      <c r="IC138" s="34"/>
      <c r="ID138" s="34"/>
      <c r="IE138" s="34"/>
      <c r="IF138" s="34"/>
      <c r="IG138" s="34"/>
      <c r="IH138" s="34"/>
      <c r="II138" s="34"/>
      <c r="IJ138" s="34"/>
      <c r="IK138" s="34"/>
      <c r="IL138" s="34"/>
      <c r="IM138" s="34"/>
      <c r="IN138" s="34"/>
      <c r="IO138" s="34"/>
      <c r="IP138" s="34"/>
      <c r="IQ138" s="34"/>
      <c r="IR138" s="34"/>
      <c r="IS138" s="34"/>
      <c r="IT138" s="34"/>
      <c r="IU138" s="34"/>
      <c r="IV138" s="34"/>
      <c r="IW138" s="34"/>
      <c r="IX138" s="34"/>
      <c r="IY138" s="34"/>
      <c r="IZ138" s="34"/>
      <c r="JA138" s="34"/>
      <c r="JB138" s="34"/>
      <c r="JC138" s="34"/>
      <c r="JD138" s="34"/>
      <c r="JE138" s="34"/>
      <c r="JF138" s="34"/>
      <c r="JG138" s="34"/>
    </row>
    <row r="139" spans="1:268" x14ac:dyDescent="0.2">
      <c r="C139" s="384"/>
      <c r="D139" s="384"/>
      <c r="E139" s="384"/>
      <c r="F139" s="384"/>
      <c r="G139" s="384"/>
      <c r="AI139" s="34"/>
      <c r="AJ139" s="34"/>
      <c r="AK139" s="34"/>
      <c r="AL139" s="34"/>
      <c r="AM139" s="34"/>
      <c r="AN139" s="34"/>
      <c r="AO139" s="34"/>
      <c r="AP139" s="34"/>
      <c r="AQ139" s="34"/>
      <c r="AR139" s="34"/>
      <c r="AS139" s="34"/>
      <c r="AT139" s="34"/>
      <c r="AU139" s="34"/>
      <c r="AV139" s="34"/>
      <c r="AW139" s="34"/>
      <c r="AX139" s="34"/>
      <c r="AY139" s="34"/>
      <c r="AZ139" s="34"/>
      <c r="BA139" s="34"/>
      <c r="BB139" s="34"/>
      <c r="BC139" s="34"/>
      <c r="BD139" s="34"/>
      <c r="BE139" s="34"/>
      <c r="BF139" s="34"/>
      <c r="BG139" s="34"/>
      <c r="BH139" s="34"/>
      <c r="BI139" s="34"/>
      <c r="BJ139" s="34"/>
      <c r="BK139" s="34"/>
      <c r="BL139" s="34"/>
      <c r="BM139" s="34"/>
      <c r="BN139" s="34"/>
      <c r="BO139" s="34"/>
      <c r="BP139" s="34"/>
      <c r="BQ139" s="34"/>
      <c r="BR139" s="34"/>
      <c r="BS139" s="34"/>
      <c r="BT139" s="34"/>
      <c r="BU139" s="34"/>
      <c r="BV139" s="34"/>
      <c r="BW139" s="34"/>
      <c r="BX139" s="34"/>
      <c r="BY139" s="34"/>
      <c r="BZ139" s="34"/>
      <c r="CA139" s="34"/>
      <c r="CB139" s="34"/>
      <c r="CC139" s="34"/>
      <c r="CD139" s="34"/>
      <c r="CE139" s="34"/>
      <c r="CF139" s="34"/>
      <c r="CG139" s="34"/>
      <c r="CH139" s="34"/>
      <c r="CI139" s="34"/>
      <c r="CJ139" s="34"/>
      <c r="CK139" s="34"/>
      <c r="CL139" s="34"/>
      <c r="CM139" s="34"/>
      <c r="CN139" s="34"/>
      <c r="CO139" s="34"/>
      <c r="CP139" s="34"/>
      <c r="CQ139" s="34"/>
      <c r="CR139" s="34"/>
      <c r="CS139" s="34"/>
      <c r="CT139" s="34"/>
      <c r="CU139" s="34"/>
      <c r="CV139" s="34"/>
      <c r="CW139" s="34"/>
      <c r="CX139" s="34"/>
      <c r="CY139" s="34"/>
      <c r="CZ139" s="34"/>
      <c r="DA139" s="34"/>
      <c r="DB139" s="34"/>
      <c r="DC139" s="34"/>
      <c r="DD139" s="34"/>
      <c r="DE139" s="34"/>
      <c r="DF139" s="34"/>
      <c r="DG139" s="34"/>
      <c r="DH139" s="34"/>
      <c r="DI139" s="34"/>
      <c r="DJ139" s="34"/>
      <c r="DK139" s="34"/>
      <c r="DL139" s="34"/>
      <c r="DM139" s="34"/>
      <c r="DN139" s="34"/>
      <c r="DO139" s="34"/>
      <c r="DP139" s="34"/>
      <c r="DQ139" s="34"/>
      <c r="DR139" s="34"/>
      <c r="DS139" s="34"/>
      <c r="DT139" s="34"/>
      <c r="DU139" s="34"/>
      <c r="DV139" s="34"/>
      <c r="DW139" s="34"/>
      <c r="DX139" s="34"/>
      <c r="DY139" s="34"/>
      <c r="DZ139" s="34"/>
      <c r="EA139" s="34"/>
      <c r="EB139" s="34"/>
      <c r="EC139" s="34"/>
      <c r="ED139" s="34"/>
      <c r="EE139" s="34"/>
      <c r="EF139" s="34"/>
      <c r="EG139" s="34"/>
      <c r="EH139" s="34"/>
      <c r="EI139" s="34"/>
      <c r="EJ139" s="34"/>
      <c r="EK139" s="34"/>
      <c r="EL139" s="34"/>
      <c r="EM139" s="34"/>
      <c r="EN139" s="34"/>
      <c r="EO139" s="34"/>
      <c r="EP139" s="34"/>
      <c r="EQ139" s="34"/>
      <c r="ER139" s="34"/>
      <c r="ES139" s="34"/>
      <c r="ET139" s="34"/>
      <c r="EU139" s="34"/>
      <c r="EV139" s="34"/>
      <c r="EW139" s="34"/>
      <c r="EX139" s="34"/>
      <c r="EY139" s="34"/>
      <c r="EZ139" s="34"/>
      <c r="FA139" s="34"/>
      <c r="FB139" s="34"/>
      <c r="FC139" s="34"/>
      <c r="FD139" s="34"/>
      <c r="FE139" s="34"/>
      <c r="FF139" s="34"/>
      <c r="FG139" s="34"/>
      <c r="FH139" s="34"/>
      <c r="FI139" s="34"/>
      <c r="FJ139" s="34"/>
      <c r="FK139" s="34"/>
      <c r="FL139" s="34"/>
      <c r="FM139" s="34"/>
      <c r="FN139" s="34"/>
      <c r="FO139" s="34"/>
      <c r="FP139" s="34"/>
      <c r="FQ139" s="34"/>
      <c r="FR139" s="34"/>
      <c r="FS139" s="34"/>
      <c r="FT139" s="34"/>
      <c r="FU139" s="34"/>
      <c r="FV139" s="34"/>
      <c r="FW139" s="34"/>
      <c r="FX139" s="34"/>
      <c r="FY139" s="34"/>
      <c r="FZ139" s="34"/>
      <c r="GA139" s="34"/>
      <c r="GB139" s="34"/>
      <c r="GC139" s="34"/>
      <c r="GD139" s="34"/>
      <c r="GE139" s="34"/>
      <c r="GF139" s="34"/>
      <c r="GG139" s="34"/>
      <c r="GH139" s="34"/>
      <c r="GI139" s="34"/>
      <c r="GJ139" s="34"/>
      <c r="GK139" s="34"/>
      <c r="GL139" s="34"/>
      <c r="GM139" s="34"/>
      <c r="GN139" s="34"/>
      <c r="GO139" s="34"/>
      <c r="GP139" s="34"/>
      <c r="GQ139" s="34"/>
      <c r="GR139" s="34"/>
      <c r="GS139" s="34"/>
      <c r="GT139" s="34"/>
      <c r="GU139" s="34"/>
      <c r="GV139" s="34"/>
      <c r="GW139" s="34"/>
      <c r="GX139" s="34"/>
      <c r="GY139" s="34"/>
      <c r="GZ139" s="34"/>
      <c r="HA139" s="34"/>
      <c r="HB139" s="34"/>
      <c r="HC139" s="34"/>
      <c r="HD139" s="34"/>
      <c r="HE139" s="34"/>
      <c r="HF139" s="34"/>
      <c r="HG139" s="34"/>
      <c r="HH139" s="34"/>
      <c r="HI139" s="34"/>
      <c r="HJ139" s="34"/>
      <c r="HK139" s="34"/>
      <c r="HL139" s="34"/>
      <c r="HM139" s="34"/>
      <c r="HN139" s="34"/>
      <c r="HO139" s="34"/>
      <c r="HP139" s="34"/>
      <c r="HQ139" s="34"/>
      <c r="HR139" s="34"/>
      <c r="HS139" s="34"/>
      <c r="HT139" s="34"/>
      <c r="HU139" s="34"/>
      <c r="HV139" s="34"/>
      <c r="HW139" s="34"/>
      <c r="HX139" s="34"/>
      <c r="HY139" s="34"/>
      <c r="HZ139" s="34"/>
      <c r="IA139" s="34"/>
      <c r="IB139" s="34"/>
      <c r="IC139" s="34"/>
      <c r="ID139" s="34"/>
      <c r="IE139" s="34"/>
      <c r="IF139" s="34"/>
      <c r="IG139" s="34"/>
      <c r="IH139" s="34"/>
      <c r="II139" s="34"/>
      <c r="IJ139" s="34"/>
      <c r="IK139" s="34"/>
      <c r="IL139" s="34"/>
      <c r="IM139" s="34"/>
      <c r="IN139" s="34"/>
      <c r="IO139" s="34"/>
      <c r="IP139" s="34"/>
      <c r="IQ139" s="34"/>
      <c r="IR139" s="34"/>
      <c r="IS139" s="34"/>
      <c r="IT139" s="34"/>
      <c r="IU139" s="34"/>
      <c r="IV139" s="34"/>
      <c r="IW139" s="34"/>
      <c r="IX139" s="34"/>
      <c r="IY139" s="34"/>
      <c r="IZ139" s="34"/>
      <c r="JA139" s="34"/>
      <c r="JB139" s="34"/>
      <c r="JC139" s="34"/>
      <c r="JD139" s="34"/>
      <c r="JE139" s="34"/>
      <c r="JF139" s="34"/>
      <c r="JG139" s="34"/>
    </row>
    <row r="140" spans="1:268" x14ac:dyDescent="0.2">
      <c r="C140" s="384"/>
      <c r="D140" s="384"/>
      <c r="E140" s="384"/>
      <c r="F140" s="384"/>
      <c r="G140" s="384"/>
      <c r="AI140" s="34"/>
      <c r="AJ140" s="34"/>
      <c r="AK140" s="34"/>
      <c r="AL140" s="34"/>
      <c r="AM140" s="34"/>
      <c r="AN140" s="34"/>
      <c r="AO140" s="34"/>
      <c r="AP140" s="34"/>
      <c r="AQ140" s="34"/>
      <c r="AR140" s="34"/>
      <c r="AS140" s="34"/>
      <c r="AT140" s="34"/>
      <c r="AU140" s="34"/>
      <c r="AV140" s="34"/>
      <c r="AW140" s="34"/>
      <c r="AX140" s="34"/>
      <c r="AY140" s="34"/>
      <c r="AZ140" s="34"/>
      <c r="BA140" s="34"/>
      <c r="BB140" s="34"/>
      <c r="BC140" s="34"/>
      <c r="BD140" s="34"/>
      <c r="BE140" s="34"/>
      <c r="BF140" s="34"/>
      <c r="BG140" s="34"/>
      <c r="BH140" s="34"/>
      <c r="BI140" s="34"/>
      <c r="BJ140" s="34"/>
      <c r="BK140" s="34"/>
      <c r="BL140" s="34"/>
      <c r="BM140" s="34"/>
      <c r="BN140" s="34"/>
      <c r="BO140" s="34"/>
      <c r="BP140" s="34"/>
      <c r="BQ140" s="34"/>
      <c r="BR140" s="34"/>
      <c r="BS140" s="34"/>
      <c r="BT140" s="34"/>
      <c r="BU140" s="34"/>
      <c r="BV140" s="34"/>
      <c r="BW140" s="34"/>
      <c r="BX140" s="34"/>
      <c r="BY140" s="34"/>
      <c r="BZ140" s="34"/>
      <c r="CA140" s="34"/>
      <c r="CB140" s="34"/>
      <c r="CC140" s="34"/>
      <c r="CD140" s="34"/>
      <c r="CE140" s="34"/>
      <c r="CF140" s="34"/>
      <c r="CG140" s="34"/>
      <c r="CH140" s="34"/>
      <c r="CI140" s="34"/>
      <c r="CJ140" s="34"/>
      <c r="CK140" s="34"/>
      <c r="CL140" s="34"/>
      <c r="CM140" s="34"/>
      <c r="CN140" s="34"/>
      <c r="CO140" s="34"/>
      <c r="CP140" s="34"/>
      <c r="CQ140" s="34"/>
      <c r="CR140" s="34"/>
      <c r="CS140" s="34"/>
      <c r="CT140" s="34"/>
      <c r="CU140" s="34"/>
      <c r="CV140" s="34"/>
      <c r="CW140" s="34"/>
      <c r="CX140" s="34"/>
      <c r="CY140" s="34"/>
      <c r="CZ140" s="34"/>
      <c r="DA140" s="34"/>
      <c r="DB140" s="34"/>
      <c r="DC140" s="34"/>
      <c r="DD140" s="34"/>
      <c r="DE140" s="34"/>
      <c r="DF140" s="34"/>
      <c r="DG140" s="34"/>
      <c r="DH140" s="34"/>
      <c r="DI140" s="34"/>
      <c r="DJ140" s="34"/>
      <c r="DK140" s="34"/>
      <c r="DL140" s="34"/>
      <c r="DM140" s="34"/>
      <c r="DN140" s="34"/>
      <c r="DO140" s="34"/>
      <c r="DP140" s="34"/>
      <c r="DQ140" s="34"/>
      <c r="DR140" s="34"/>
      <c r="DS140" s="34"/>
      <c r="DT140" s="34"/>
      <c r="DU140" s="34"/>
      <c r="DV140" s="34"/>
      <c r="DW140" s="34"/>
      <c r="DX140" s="34"/>
      <c r="DY140" s="34"/>
      <c r="DZ140" s="34"/>
      <c r="EA140" s="34"/>
      <c r="EB140" s="34"/>
      <c r="EC140" s="34"/>
      <c r="ED140" s="34"/>
      <c r="EE140" s="34"/>
      <c r="EF140" s="34"/>
      <c r="EG140" s="34"/>
      <c r="EH140" s="34"/>
      <c r="EI140" s="34"/>
      <c r="EJ140" s="34"/>
      <c r="EK140" s="34"/>
      <c r="EL140" s="34"/>
      <c r="EM140" s="34"/>
      <c r="EN140" s="34"/>
      <c r="EO140" s="34"/>
      <c r="EP140" s="34"/>
      <c r="EQ140" s="34"/>
      <c r="ER140" s="34"/>
      <c r="ES140" s="34"/>
      <c r="ET140" s="34"/>
      <c r="EU140" s="34"/>
      <c r="EV140" s="34"/>
      <c r="EW140" s="34"/>
      <c r="EX140" s="34"/>
      <c r="EY140" s="34"/>
      <c r="EZ140" s="34"/>
      <c r="FA140" s="34"/>
      <c r="FB140" s="34"/>
      <c r="FC140" s="34"/>
      <c r="FD140" s="34"/>
      <c r="FE140" s="34"/>
      <c r="FF140" s="34"/>
      <c r="FG140" s="34"/>
      <c r="FH140" s="34"/>
      <c r="FI140" s="34"/>
      <c r="FJ140" s="34"/>
      <c r="FK140" s="34"/>
      <c r="FL140" s="34"/>
      <c r="FM140" s="34"/>
      <c r="FN140" s="34"/>
      <c r="FO140" s="34"/>
      <c r="FP140" s="34"/>
      <c r="FQ140" s="34"/>
      <c r="FR140" s="34"/>
      <c r="FS140" s="34"/>
      <c r="FT140" s="34"/>
      <c r="FU140" s="34"/>
      <c r="FV140" s="34"/>
      <c r="FW140" s="34"/>
      <c r="FX140" s="34"/>
      <c r="FY140" s="34"/>
      <c r="FZ140" s="34"/>
      <c r="GA140" s="34"/>
      <c r="GB140" s="34"/>
      <c r="GC140" s="34"/>
      <c r="GD140" s="34"/>
      <c r="GE140" s="34"/>
      <c r="GF140" s="34"/>
      <c r="GG140" s="34"/>
      <c r="GH140" s="34"/>
      <c r="GI140" s="34"/>
      <c r="GJ140" s="34"/>
      <c r="GK140" s="34"/>
      <c r="GL140" s="34"/>
      <c r="GM140" s="34"/>
      <c r="GN140" s="34"/>
      <c r="GO140" s="34"/>
      <c r="GP140" s="34"/>
      <c r="GQ140" s="34"/>
      <c r="GR140" s="34"/>
      <c r="GS140" s="34"/>
      <c r="GT140" s="34"/>
      <c r="GU140" s="34"/>
      <c r="GV140" s="34"/>
      <c r="GW140" s="34"/>
      <c r="GX140" s="34"/>
      <c r="GY140" s="34"/>
      <c r="GZ140" s="34"/>
      <c r="HA140" s="34"/>
      <c r="HB140" s="34"/>
      <c r="HC140" s="34"/>
      <c r="HD140" s="34"/>
      <c r="HE140" s="34"/>
      <c r="HF140" s="34"/>
      <c r="HG140" s="34"/>
      <c r="HH140" s="34"/>
      <c r="HI140" s="34"/>
      <c r="HJ140" s="34"/>
      <c r="HK140" s="34"/>
      <c r="HL140" s="34"/>
      <c r="HM140" s="34"/>
      <c r="HN140" s="34"/>
      <c r="HO140" s="34"/>
      <c r="HP140" s="34"/>
      <c r="HQ140" s="34"/>
      <c r="HR140" s="34"/>
      <c r="HS140" s="34"/>
      <c r="HT140" s="34"/>
      <c r="HU140" s="34"/>
      <c r="HV140" s="34"/>
      <c r="HW140" s="34"/>
      <c r="HX140" s="34"/>
      <c r="HY140" s="34"/>
      <c r="HZ140" s="34"/>
      <c r="IA140" s="34"/>
      <c r="IB140" s="34"/>
      <c r="IC140" s="34"/>
      <c r="ID140" s="34"/>
      <c r="IE140" s="34"/>
      <c r="IF140" s="34"/>
      <c r="IG140" s="34"/>
      <c r="IH140" s="34"/>
      <c r="II140" s="34"/>
      <c r="IJ140" s="34"/>
      <c r="IK140" s="34"/>
      <c r="IL140" s="34"/>
      <c r="IM140" s="34"/>
      <c r="IN140" s="34"/>
      <c r="IO140" s="34"/>
      <c r="IP140" s="34"/>
      <c r="IQ140" s="34"/>
      <c r="IR140" s="34"/>
      <c r="IS140" s="34"/>
      <c r="IT140" s="34"/>
      <c r="IU140" s="34"/>
      <c r="IV140" s="34"/>
      <c r="IW140" s="34"/>
      <c r="IX140" s="34"/>
      <c r="IY140" s="34"/>
      <c r="IZ140" s="34"/>
      <c r="JA140" s="34"/>
      <c r="JB140" s="34"/>
      <c r="JC140" s="34"/>
      <c r="JD140" s="34"/>
      <c r="JE140" s="34"/>
      <c r="JF140" s="34"/>
      <c r="JG140" s="34"/>
    </row>
    <row r="141" spans="1:268" x14ac:dyDescent="0.2">
      <c r="C141" s="384"/>
      <c r="D141" s="384"/>
      <c r="E141" s="384"/>
      <c r="F141" s="384"/>
      <c r="G141" s="384"/>
      <c r="AI141" s="34"/>
      <c r="AJ141" s="34"/>
      <c r="AK141" s="34"/>
      <c r="AL141" s="34"/>
      <c r="AM141" s="34"/>
      <c r="AN141" s="34"/>
      <c r="AO141" s="34"/>
      <c r="AP141" s="34"/>
      <c r="AQ141" s="34"/>
      <c r="AR141" s="34"/>
      <c r="AS141" s="34"/>
      <c r="AT141" s="34"/>
      <c r="AU141" s="34"/>
      <c r="AV141" s="34"/>
      <c r="AW141" s="34"/>
      <c r="AX141" s="34"/>
      <c r="AY141" s="34"/>
      <c r="AZ141" s="34"/>
      <c r="BA141" s="34"/>
      <c r="BB141" s="34"/>
      <c r="BC141" s="34"/>
      <c r="BD141" s="34"/>
      <c r="BE141" s="34"/>
      <c r="BF141" s="34"/>
      <c r="BG141" s="34"/>
      <c r="BH141" s="34"/>
      <c r="BI141" s="34"/>
      <c r="BJ141" s="34"/>
      <c r="BK141" s="34"/>
      <c r="BL141" s="34"/>
      <c r="BM141" s="34"/>
      <c r="BN141" s="34"/>
      <c r="BO141" s="34"/>
      <c r="BP141" s="34"/>
      <c r="BQ141" s="34"/>
      <c r="BR141" s="34"/>
      <c r="BS141" s="34"/>
      <c r="BT141" s="34"/>
      <c r="BU141" s="34"/>
      <c r="BV141" s="34"/>
      <c r="BW141" s="34"/>
      <c r="BX141" s="34"/>
      <c r="BY141" s="34"/>
      <c r="BZ141" s="34"/>
      <c r="CA141" s="34"/>
      <c r="CB141" s="34"/>
      <c r="CC141" s="34"/>
      <c r="CD141" s="34"/>
      <c r="CE141" s="34"/>
      <c r="CF141" s="34"/>
      <c r="CG141" s="34"/>
      <c r="CH141" s="34"/>
      <c r="CI141" s="34"/>
      <c r="CJ141" s="34"/>
      <c r="CK141" s="34"/>
      <c r="CL141" s="34"/>
      <c r="CM141" s="34"/>
      <c r="CN141" s="34"/>
      <c r="CO141" s="34"/>
      <c r="CP141" s="34"/>
      <c r="CQ141" s="34"/>
      <c r="CR141" s="34"/>
      <c r="CS141" s="34"/>
      <c r="CT141" s="34"/>
      <c r="CU141" s="34"/>
      <c r="CV141" s="34"/>
      <c r="CW141" s="34"/>
      <c r="CX141" s="34"/>
      <c r="CY141" s="34"/>
      <c r="CZ141" s="34"/>
      <c r="DA141" s="34"/>
      <c r="DB141" s="34"/>
      <c r="DC141" s="34"/>
      <c r="DD141" s="34"/>
      <c r="DE141" s="34"/>
      <c r="DF141" s="34"/>
      <c r="DG141" s="34"/>
      <c r="DH141" s="34"/>
      <c r="DI141" s="34"/>
      <c r="DJ141" s="34"/>
      <c r="DK141" s="34"/>
      <c r="DL141" s="34"/>
      <c r="DM141" s="34"/>
      <c r="DN141" s="34"/>
      <c r="DO141" s="34"/>
      <c r="DP141" s="34"/>
      <c r="DQ141" s="34"/>
      <c r="DR141" s="34"/>
      <c r="DS141" s="34"/>
      <c r="DT141" s="34"/>
      <c r="DU141" s="34"/>
      <c r="DV141" s="34"/>
      <c r="DW141" s="34"/>
      <c r="DX141" s="34"/>
      <c r="DY141" s="34"/>
      <c r="DZ141" s="34"/>
      <c r="EA141" s="34"/>
      <c r="EB141" s="34"/>
      <c r="EC141" s="34"/>
      <c r="ED141" s="34"/>
      <c r="EE141" s="34"/>
      <c r="EF141" s="34"/>
      <c r="EG141" s="34"/>
      <c r="EH141" s="34"/>
      <c r="EI141" s="34"/>
      <c r="EJ141" s="34"/>
      <c r="EK141" s="34"/>
      <c r="EL141" s="34"/>
      <c r="EM141" s="34"/>
      <c r="EN141" s="34"/>
      <c r="EO141" s="34"/>
      <c r="EP141" s="34"/>
      <c r="EQ141" s="34"/>
      <c r="ER141" s="34"/>
      <c r="ES141" s="34"/>
      <c r="ET141" s="34"/>
      <c r="EU141" s="34"/>
      <c r="EV141" s="34"/>
      <c r="EW141" s="34"/>
      <c r="EX141" s="34"/>
      <c r="EY141" s="34"/>
      <c r="EZ141" s="34"/>
      <c r="FA141" s="34"/>
      <c r="FB141" s="34"/>
      <c r="FC141" s="34"/>
      <c r="FD141" s="34"/>
      <c r="FE141" s="34"/>
      <c r="FF141" s="34"/>
      <c r="FG141" s="34"/>
      <c r="FH141" s="34"/>
      <c r="FI141" s="34"/>
      <c r="FJ141" s="34"/>
      <c r="FK141" s="34"/>
      <c r="FL141" s="34"/>
      <c r="FM141" s="34"/>
      <c r="FN141" s="34"/>
      <c r="FO141" s="34"/>
      <c r="FP141" s="34"/>
      <c r="FQ141" s="34"/>
      <c r="FR141" s="34"/>
      <c r="FS141" s="34"/>
      <c r="FT141" s="34"/>
      <c r="FU141" s="34"/>
      <c r="FV141" s="34"/>
      <c r="FW141" s="34"/>
      <c r="FX141" s="34"/>
      <c r="FY141" s="34"/>
      <c r="FZ141" s="34"/>
      <c r="GA141" s="34"/>
      <c r="GB141" s="34"/>
      <c r="GC141" s="34"/>
      <c r="GD141" s="34"/>
      <c r="GE141" s="34"/>
      <c r="GF141" s="34"/>
      <c r="GG141" s="34"/>
      <c r="GH141" s="34"/>
      <c r="GI141" s="34"/>
      <c r="GJ141" s="34"/>
      <c r="GK141" s="34"/>
      <c r="GL141" s="34"/>
      <c r="GM141" s="34"/>
      <c r="GN141" s="34"/>
      <c r="GO141" s="34"/>
      <c r="GP141" s="34"/>
      <c r="GQ141" s="34"/>
      <c r="GR141" s="34"/>
      <c r="GS141" s="34"/>
      <c r="GT141" s="34"/>
      <c r="GU141" s="34"/>
      <c r="GV141" s="34"/>
      <c r="GW141" s="34"/>
      <c r="GX141" s="34"/>
      <c r="GY141" s="34"/>
      <c r="GZ141" s="34"/>
      <c r="HA141" s="34"/>
      <c r="HB141" s="34"/>
      <c r="HC141" s="34"/>
      <c r="HD141" s="34"/>
      <c r="HE141" s="34"/>
      <c r="HF141" s="34"/>
      <c r="HG141" s="34"/>
      <c r="HH141" s="34"/>
      <c r="HI141" s="34"/>
      <c r="HJ141" s="34"/>
      <c r="HK141" s="34"/>
      <c r="HL141" s="34"/>
      <c r="HM141" s="34"/>
      <c r="HN141" s="34"/>
      <c r="HO141" s="34"/>
      <c r="HP141" s="34"/>
      <c r="HQ141" s="34"/>
      <c r="HR141" s="34"/>
      <c r="HS141" s="34"/>
      <c r="HT141" s="34"/>
      <c r="HU141" s="34"/>
      <c r="HV141" s="34"/>
      <c r="HW141" s="34"/>
      <c r="HX141" s="34"/>
      <c r="HY141" s="34"/>
      <c r="HZ141" s="34"/>
      <c r="IA141" s="34"/>
      <c r="IB141" s="34"/>
      <c r="IC141" s="34"/>
      <c r="ID141" s="34"/>
      <c r="IE141" s="34"/>
      <c r="IF141" s="34"/>
      <c r="IG141" s="34"/>
      <c r="IH141" s="34"/>
      <c r="II141" s="34"/>
      <c r="IJ141" s="34"/>
      <c r="IK141" s="34"/>
      <c r="IL141" s="34"/>
      <c r="IM141" s="34"/>
      <c r="IN141" s="34"/>
      <c r="IO141" s="34"/>
      <c r="IP141" s="34"/>
      <c r="IQ141" s="34"/>
      <c r="IR141" s="34"/>
      <c r="IS141" s="34"/>
      <c r="IT141" s="34"/>
      <c r="IU141" s="34"/>
      <c r="IV141" s="34"/>
      <c r="IW141" s="34"/>
      <c r="IX141" s="34"/>
      <c r="IY141" s="34"/>
      <c r="IZ141" s="34"/>
      <c r="JA141" s="34"/>
      <c r="JB141" s="34"/>
      <c r="JC141" s="34"/>
      <c r="JD141" s="34"/>
      <c r="JE141" s="34"/>
      <c r="JF141" s="34"/>
      <c r="JG141" s="34"/>
    </row>
    <row r="142" spans="1:268" x14ac:dyDescent="0.2">
      <c r="C142" s="384"/>
      <c r="D142" s="384"/>
      <c r="E142" s="384"/>
      <c r="F142" s="384"/>
      <c r="G142" s="384"/>
      <c r="AI142" s="34"/>
      <c r="AJ142" s="34"/>
      <c r="AK142" s="34"/>
      <c r="AL142" s="34"/>
      <c r="AM142" s="34"/>
      <c r="AN142" s="34"/>
      <c r="AO142" s="34"/>
      <c r="AP142" s="34"/>
      <c r="AQ142" s="34"/>
      <c r="AR142" s="34"/>
      <c r="AS142" s="34"/>
      <c r="AT142" s="34"/>
      <c r="AU142" s="34"/>
      <c r="AV142" s="34"/>
      <c r="AW142" s="34"/>
      <c r="AX142" s="34"/>
      <c r="AY142" s="34"/>
      <c r="AZ142" s="34"/>
      <c r="BA142" s="34"/>
      <c r="BB142" s="34"/>
      <c r="BC142" s="34"/>
      <c r="BD142" s="34"/>
      <c r="BE142" s="34"/>
      <c r="BF142" s="34"/>
      <c r="BG142" s="34"/>
      <c r="BH142" s="34"/>
      <c r="BI142" s="34"/>
      <c r="BJ142" s="34"/>
      <c r="BK142" s="34"/>
      <c r="BL142" s="34"/>
      <c r="BM142" s="34"/>
      <c r="BN142" s="34"/>
      <c r="BO142" s="34"/>
      <c r="BP142" s="34"/>
      <c r="BQ142" s="34"/>
      <c r="BR142" s="34"/>
      <c r="BS142" s="34"/>
      <c r="BT142" s="34"/>
      <c r="BU142" s="34"/>
      <c r="BV142" s="34"/>
      <c r="BW142" s="34"/>
      <c r="BX142" s="34"/>
      <c r="BY142" s="34"/>
      <c r="BZ142" s="34"/>
      <c r="CA142" s="34"/>
      <c r="CB142" s="34"/>
      <c r="CC142" s="34"/>
      <c r="CD142" s="34"/>
      <c r="CE142" s="34"/>
      <c r="CF142" s="34"/>
      <c r="CG142" s="34"/>
      <c r="CH142" s="34"/>
      <c r="CI142" s="34"/>
      <c r="CJ142" s="34"/>
      <c r="CK142" s="34"/>
      <c r="CL142" s="34"/>
      <c r="CM142" s="34"/>
      <c r="CN142" s="34"/>
      <c r="CO142" s="34"/>
      <c r="CP142" s="34"/>
      <c r="CQ142" s="34"/>
      <c r="CR142" s="34"/>
      <c r="CS142" s="34"/>
      <c r="CT142" s="34"/>
      <c r="CU142" s="34"/>
      <c r="CV142" s="34"/>
      <c r="CW142" s="34"/>
      <c r="CX142" s="34"/>
      <c r="CY142" s="34"/>
      <c r="CZ142" s="34"/>
      <c r="DA142" s="34"/>
      <c r="DB142" s="34"/>
      <c r="DC142" s="34"/>
      <c r="DD142" s="34"/>
      <c r="DE142" s="34"/>
      <c r="DF142" s="34"/>
      <c r="DG142" s="34"/>
      <c r="DH142" s="34"/>
      <c r="DI142" s="34"/>
      <c r="DJ142" s="34"/>
      <c r="DK142" s="34"/>
      <c r="DL142" s="34"/>
      <c r="DM142" s="34"/>
      <c r="DN142" s="34"/>
      <c r="DO142" s="34"/>
      <c r="DP142" s="34"/>
      <c r="DQ142" s="34"/>
      <c r="DR142" s="34"/>
      <c r="DS142" s="34"/>
      <c r="DT142" s="34"/>
      <c r="DU142" s="34"/>
      <c r="DV142" s="34"/>
      <c r="DW142" s="34"/>
      <c r="DX142" s="34"/>
      <c r="DY142" s="34"/>
      <c r="DZ142" s="34"/>
      <c r="EA142" s="34"/>
      <c r="EB142" s="34"/>
      <c r="EC142" s="34"/>
      <c r="ED142" s="34"/>
      <c r="EE142" s="34"/>
      <c r="EF142" s="34"/>
      <c r="EG142" s="34"/>
      <c r="EH142" s="34"/>
      <c r="EI142" s="34"/>
      <c r="EJ142" s="34"/>
      <c r="EK142" s="34"/>
      <c r="EL142" s="34"/>
      <c r="EM142" s="34"/>
      <c r="EN142" s="34"/>
      <c r="EO142" s="34"/>
      <c r="EP142" s="34"/>
      <c r="EQ142" s="34"/>
      <c r="ER142" s="34"/>
      <c r="ES142" s="34"/>
      <c r="ET142" s="34"/>
      <c r="EU142" s="34"/>
      <c r="EV142" s="34"/>
      <c r="EW142" s="34"/>
      <c r="EX142" s="34"/>
      <c r="EY142" s="34"/>
      <c r="EZ142" s="34"/>
      <c r="FA142" s="34"/>
      <c r="FB142" s="34"/>
      <c r="FC142" s="34"/>
      <c r="FD142" s="34"/>
      <c r="FE142" s="34"/>
      <c r="FF142" s="34"/>
      <c r="FG142" s="34"/>
      <c r="FH142" s="34"/>
      <c r="FI142" s="34"/>
      <c r="FJ142" s="34"/>
      <c r="FK142" s="34"/>
      <c r="FL142" s="34"/>
      <c r="FM142" s="34"/>
      <c r="FN142" s="34"/>
      <c r="FO142" s="34"/>
      <c r="FP142" s="34"/>
      <c r="FQ142" s="34"/>
      <c r="FR142" s="34"/>
      <c r="FS142" s="34"/>
      <c r="FT142" s="34"/>
      <c r="FU142" s="34"/>
      <c r="FV142" s="34"/>
      <c r="FW142" s="34"/>
      <c r="FX142" s="34"/>
      <c r="FY142" s="34"/>
      <c r="FZ142" s="34"/>
      <c r="GA142" s="34"/>
      <c r="GB142" s="34"/>
      <c r="GC142" s="34"/>
      <c r="GD142" s="34"/>
      <c r="GE142" s="34"/>
      <c r="GF142" s="34"/>
      <c r="GG142" s="34"/>
      <c r="GH142" s="34"/>
      <c r="GI142" s="34"/>
      <c r="GJ142" s="34"/>
      <c r="GK142" s="34"/>
      <c r="GL142" s="34"/>
      <c r="GM142" s="34"/>
      <c r="GN142" s="34"/>
      <c r="GO142" s="34"/>
      <c r="GP142" s="34"/>
      <c r="GQ142" s="34"/>
      <c r="GR142" s="34"/>
      <c r="GS142" s="34"/>
      <c r="GT142" s="34"/>
      <c r="GU142" s="34"/>
      <c r="GV142" s="34"/>
      <c r="GW142" s="34"/>
      <c r="GX142" s="34"/>
      <c r="GY142" s="34"/>
      <c r="GZ142" s="34"/>
      <c r="HA142" s="34"/>
      <c r="HB142" s="34"/>
      <c r="HC142" s="34"/>
      <c r="HD142" s="34"/>
      <c r="HE142" s="34"/>
      <c r="HF142" s="34"/>
      <c r="HG142" s="34"/>
      <c r="HH142" s="34"/>
      <c r="HI142" s="34"/>
      <c r="HJ142" s="34"/>
      <c r="HK142" s="34"/>
      <c r="HL142" s="34"/>
      <c r="HM142" s="34"/>
      <c r="HN142" s="34"/>
      <c r="HO142" s="34"/>
      <c r="HP142" s="34"/>
      <c r="HQ142" s="34"/>
      <c r="HR142" s="34"/>
      <c r="HS142" s="34"/>
      <c r="HT142" s="34"/>
      <c r="HU142" s="34"/>
      <c r="HV142" s="34"/>
      <c r="HW142" s="34"/>
      <c r="HX142" s="34"/>
      <c r="HY142" s="34"/>
      <c r="HZ142" s="34"/>
      <c r="IA142" s="34"/>
      <c r="IB142" s="34"/>
      <c r="IC142" s="34"/>
      <c r="ID142" s="34"/>
      <c r="IE142" s="34"/>
      <c r="IF142" s="34"/>
      <c r="IG142" s="34"/>
      <c r="IH142" s="34"/>
      <c r="II142" s="34"/>
      <c r="IJ142" s="34"/>
      <c r="IK142" s="34"/>
      <c r="IL142" s="34"/>
      <c r="IM142" s="34"/>
      <c r="IN142" s="34"/>
      <c r="IO142" s="34"/>
      <c r="IP142" s="34"/>
      <c r="IQ142" s="34"/>
      <c r="IR142" s="34"/>
      <c r="IS142" s="34"/>
      <c r="IT142" s="34"/>
      <c r="IU142" s="34"/>
      <c r="IV142" s="34"/>
      <c r="IW142" s="34"/>
      <c r="IX142" s="34"/>
      <c r="IY142" s="34"/>
      <c r="IZ142" s="34"/>
      <c r="JA142" s="34"/>
      <c r="JB142" s="34"/>
      <c r="JC142" s="34"/>
      <c r="JD142" s="34"/>
      <c r="JE142" s="34"/>
      <c r="JF142" s="34"/>
      <c r="JG142" s="34"/>
    </row>
    <row ht="13.5" r="143" spans="1:268" thickBot="1" x14ac:dyDescent="0.25">
      <c r="C143" s="384"/>
      <c r="D143" s="384"/>
      <c r="E143" s="384"/>
      <c r="F143" s="384"/>
      <c r="G143" s="384"/>
      <c r="AI143" s="34"/>
      <c r="AJ143" s="34"/>
      <c r="AK143" s="34"/>
      <c r="AL143" s="34"/>
      <c r="AM143" s="34"/>
      <c r="AN143" s="34"/>
      <c r="AO143" s="34"/>
      <c r="AP143" s="34"/>
      <c r="AQ143" s="34"/>
      <c r="AR143" s="34"/>
      <c r="AS143" s="34"/>
      <c r="AT143" s="34"/>
      <c r="AU143" s="34"/>
      <c r="AV143" s="34"/>
      <c r="AW143" s="34"/>
      <c r="AX143" s="34"/>
      <c r="AY143" s="34"/>
      <c r="AZ143" s="34"/>
      <c r="BA143" s="34"/>
      <c r="BB143" s="34"/>
      <c r="BC143" s="34"/>
      <c r="BD143" s="34"/>
      <c r="BE143" s="34"/>
      <c r="BF143" s="34"/>
      <c r="BG143" s="34"/>
      <c r="BH143" s="34"/>
      <c r="BI143" s="34"/>
      <c r="BJ143" s="34"/>
      <c r="BK143" s="34"/>
      <c r="BL143" s="34"/>
      <c r="BM143" s="34"/>
      <c r="BN143" s="34"/>
      <c r="BO143" s="34"/>
      <c r="BP143" s="34"/>
      <c r="BQ143" s="34"/>
      <c r="BR143" s="34"/>
      <c r="BS143" s="34"/>
      <c r="BT143" s="34"/>
      <c r="BU143" s="34"/>
      <c r="BV143" s="34"/>
      <c r="BW143" s="34"/>
      <c r="BX143" s="34"/>
      <c r="BY143" s="34"/>
      <c r="BZ143" s="34"/>
      <c r="CA143" s="34"/>
      <c r="CB143" s="34"/>
      <c r="CC143" s="34"/>
      <c r="CD143" s="34"/>
      <c r="CE143" s="34"/>
      <c r="CF143" s="34"/>
      <c r="CG143" s="34"/>
      <c r="CH143" s="34"/>
      <c r="CI143" s="34"/>
      <c r="CJ143" s="34"/>
      <c r="CK143" s="34"/>
      <c r="CL143" s="34"/>
      <c r="CM143" s="34"/>
      <c r="CN143" s="34"/>
      <c r="CO143" s="34"/>
      <c r="CP143" s="34"/>
      <c r="CQ143" s="34"/>
      <c r="CR143" s="34"/>
      <c r="CS143" s="34"/>
      <c r="CT143" s="34"/>
      <c r="CU143" s="34"/>
      <c r="CV143" s="34"/>
      <c r="CW143" s="34"/>
      <c r="CX143" s="34"/>
      <c r="CY143" s="34"/>
      <c r="CZ143" s="34"/>
      <c r="DA143" s="34"/>
      <c r="DB143" s="34"/>
      <c r="DC143" s="34"/>
      <c r="DD143" s="34"/>
      <c r="DE143" s="34"/>
      <c r="DF143" s="34"/>
      <c r="DG143" s="34"/>
      <c r="DH143" s="34"/>
      <c r="DI143" s="34"/>
      <c r="DJ143" s="34"/>
      <c r="DK143" s="34"/>
      <c r="DL143" s="34"/>
      <c r="DM143" s="34"/>
      <c r="DN143" s="34"/>
      <c r="DO143" s="34"/>
      <c r="DP143" s="34"/>
      <c r="DQ143" s="34"/>
      <c r="DR143" s="34"/>
      <c r="DS143" s="34"/>
      <c r="DT143" s="34"/>
      <c r="DU143" s="34"/>
      <c r="DV143" s="34"/>
      <c r="DW143" s="34"/>
      <c r="DX143" s="34"/>
      <c r="DY143" s="34"/>
      <c r="DZ143" s="34"/>
      <c r="EA143" s="34"/>
      <c r="EB143" s="34"/>
      <c r="EC143" s="34"/>
      <c r="ED143" s="34"/>
      <c r="EE143" s="34"/>
      <c r="EF143" s="34"/>
      <c r="EG143" s="34"/>
      <c r="EH143" s="34"/>
      <c r="EI143" s="34"/>
      <c r="EJ143" s="34"/>
      <c r="EK143" s="34"/>
      <c r="EL143" s="34"/>
      <c r="EM143" s="34"/>
      <c r="EN143" s="34"/>
      <c r="EO143" s="34"/>
      <c r="EP143" s="34"/>
      <c r="EQ143" s="34"/>
      <c r="ER143" s="34"/>
      <c r="ES143" s="34"/>
      <c r="ET143" s="34"/>
      <c r="EU143" s="34"/>
      <c r="EV143" s="34"/>
      <c r="EW143" s="34"/>
      <c r="EX143" s="34"/>
      <c r="EY143" s="34"/>
      <c r="EZ143" s="34"/>
      <c r="FA143" s="34"/>
      <c r="FB143" s="34"/>
      <c r="FC143" s="34"/>
      <c r="FD143" s="34"/>
      <c r="FE143" s="34"/>
      <c r="FF143" s="34"/>
      <c r="FG143" s="34"/>
      <c r="FH143" s="34"/>
      <c r="FI143" s="34"/>
      <c r="FJ143" s="34"/>
      <c r="FK143" s="34"/>
      <c r="FL143" s="34"/>
      <c r="FM143" s="34"/>
      <c r="FN143" s="34"/>
      <c r="FO143" s="34"/>
      <c r="FP143" s="34"/>
      <c r="FQ143" s="34"/>
      <c r="FR143" s="34"/>
      <c r="FS143" s="34"/>
      <c r="FT143" s="34"/>
      <c r="FU143" s="34"/>
      <c r="FV143" s="34"/>
      <c r="FW143" s="34"/>
      <c r="FX143" s="34"/>
      <c r="FY143" s="34"/>
      <c r="FZ143" s="34"/>
      <c r="GA143" s="34"/>
      <c r="GB143" s="34"/>
      <c r="GC143" s="34"/>
      <c r="GD143" s="34"/>
      <c r="GE143" s="34"/>
      <c r="GF143" s="34"/>
      <c r="GG143" s="34"/>
      <c r="GH143" s="34"/>
      <c r="GI143" s="34"/>
      <c r="GJ143" s="34"/>
      <c r="GK143" s="34"/>
      <c r="GL143" s="34"/>
      <c r="GM143" s="34"/>
      <c r="GN143" s="34"/>
      <c r="GO143" s="34"/>
      <c r="GP143" s="34"/>
      <c r="GQ143" s="34"/>
      <c r="GR143" s="34"/>
      <c r="GS143" s="34"/>
      <c r="GT143" s="34"/>
      <c r="GU143" s="34"/>
      <c r="GV143" s="34"/>
      <c r="GW143" s="34"/>
      <c r="GX143" s="34"/>
      <c r="GY143" s="34"/>
      <c r="GZ143" s="34"/>
      <c r="HA143" s="34"/>
      <c r="HB143" s="34"/>
      <c r="HC143" s="34"/>
      <c r="HD143" s="34"/>
      <c r="HE143" s="34"/>
      <c r="HF143" s="34"/>
      <c r="HG143" s="34"/>
      <c r="HH143" s="34"/>
      <c r="HI143" s="34"/>
      <c r="HJ143" s="34"/>
      <c r="HK143" s="34"/>
      <c r="HL143" s="34"/>
      <c r="HM143" s="34"/>
      <c r="HN143" s="34"/>
      <c r="HO143" s="34"/>
      <c r="HP143" s="34"/>
      <c r="HQ143" s="34"/>
      <c r="HR143" s="34"/>
      <c r="HS143" s="34"/>
      <c r="HT143" s="34"/>
      <c r="HU143" s="34"/>
      <c r="HV143" s="34"/>
      <c r="HW143" s="34"/>
      <c r="HX143" s="34"/>
      <c r="HY143" s="34"/>
      <c r="HZ143" s="34"/>
      <c r="IA143" s="34"/>
      <c r="IB143" s="34"/>
      <c r="IC143" s="34"/>
      <c r="ID143" s="34"/>
      <c r="IE143" s="34"/>
      <c r="IF143" s="34"/>
      <c r="IG143" s="34"/>
      <c r="IH143" s="34"/>
      <c r="II143" s="34"/>
      <c r="IJ143" s="34"/>
      <c r="IK143" s="34"/>
      <c r="IL143" s="34"/>
      <c r="IM143" s="34"/>
      <c r="IN143" s="34"/>
      <c r="IO143" s="34"/>
      <c r="IP143" s="34"/>
      <c r="IQ143" s="34"/>
      <c r="IR143" s="34"/>
      <c r="IS143" s="34"/>
      <c r="IT143" s="34"/>
      <c r="IU143" s="34"/>
      <c r="IV143" s="34"/>
      <c r="IW143" s="34"/>
      <c r="IX143" s="34"/>
      <c r="IY143" s="34"/>
      <c r="IZ143" s="34"/>
      <c r="JA143" s="34"/>
      <c r="JB143" s="34"/>
      <c r="JC143" s="34"/>
      <c r="JD143" s="34"/>
      <c r="JE143" s="34"/>
      <c r="JF143" s="34"/>
      <c r="JG143" s="34"/>
    </row>
    <row r="144" spans="1:268" x14ac:dyDescent="0.2">
      <c r="A144" s="3612" t="s">
        <v>4479</v>
      </c>
      <c r="B144" s="2457" t="s">
        <v>3922</v>
      </c>
      <c r="C144" s="3613" t="s">
        <v>3344</v>
      </c>
      <c r="D144" s="3614" t="s">
        <v>8212</v>
      </c>
      <c r="E144" s="3615">
        <v>1</v>
      </c>
      <c r="F144" s="2407">
        <v>2</v>
      </c>
      <c r="G144" s="2407">
        <v>3</v>
      </c>
      <c r="H144" s="2407">
        <v>4</v>
      </c>
      <c r="I144" s="2407">
        <v>5</v>
      </c>
      <c r="J144" s="2407">
        <v>6</v>
      </c>
      <c r="K144" s="2407">
        <v>7</v>
      </c>
      <c r="L144" s="2407">
        <v>8</v>
      </c>
      <c r="M144" s="2407">
        <v>9</v>
      </c>
      <c r="N144" s="2407">
        <v>10</v>
      </c>
      <c r="O144" s="2407">
        <v>11</v>
      </c>
      <c r="P144" s="2407">
        <v>12</v>
      </c>
      <c r="Q144" s="2407">
        <v>13</v>
      </c>
      <c r="R144" s="2407">
        <v>14</v>
      </c>
      <c r="S144" s="2407">
        <v>15</v>
      </c>
      <c r="T144" s="2407">
        <v>16</v>
      </c>
      <c r="U144" s="2407">
        <v>17</v>
      </c>
      <c r="V144" s="2407">
        <v>18</v>
      </c>
      <c r="W144" s="2407">
        <v>19</v>
      </c>
      <c r="X144" s="2407">
        <v>20</v>
      </c>
      <c r="Y144" s="2407">
        <v>21</v>
      </c>
      <c r="Z144" s="2407">
        <v>22</v>
      </c>
      <c r="AA144" s="2407">
        <v>23</v>
      </c>
      <c r="AB144" s="2407">
        <v>24</v>
      </c>
      <c r="AC144" s="2407">
        <v>25</v>
      </c>
      <c r="AD144" s="3550">
        <v>26</v>
      </c>
      <c r="AE144" s="3550">
        <v>27</v>
      </c>
      <c r="AF144" s="3550">
        <v>28</v>
      </c>
      <c r="AG144" s="3550">
        <v>29</v>
      </c>
      <c r="AH144" s="3550">
        <v>30</v>
      </c>
      <c r="AI144" s="2407">
        <v>31</v>
      </c>
      <c r="AJ144" s="2407">
        <v>32</v>
      </c>
      <c r="AK144" s="2407">
        <v>33</v>
      </c>
      <c r="AL144" s="2407">
        <v>34</v>
      </c>
      <c r="AM144" s="2407">
        <v>35</v>
      </c>
      <c r="AN144" s="2407">
        <v>36</v>
      </c>
      <c r="AO144" s="2407">
        <v>37</v>
      </c>
      <c r="AP144" s="2407">
        <v>38</v>
      </c>
      <c r="AQ144" s="2407">
        <v>39</v>
      </c>
      <c r="AR144" s="2407">
        <v>40</v>
      </c>
      <c r="AS144" s="2407">
        <v>41</v>
      </c>
      <c r="AT144" s="2407">
        <v>42</v>
      </c>
      <c r="AU144" s="2407">
        <v>43</v>
      </c>
      <c r="AV144" s="2407">
        <v>44</v>
      </c>
      <c r="AW144" s="2407">
        <v>45</v>
      </c>
      <c r="AX144" s="2407">
        <v>46</v>
      </c>
      <c r="AY144" s="2407">
        <v>47</v>
      </c>
      <c r="AZ144" s="2407">
        <v>48</v>
      </c>
      <c r="BA144" s="2407">
        <v>49</v>
      </c>
      <c r="BB144" s="2407">
        <v>50</v>
      </c>
      <c r="BC144" s="2407">
        <v>51</v>
      </c>
      <c r="BD144" s="2407">
        <v>52</v>
      </c>
      <c r="BE144" s="2407">
        <v>53</v>
      </c>
      <c r="BF144" s="2407">
        <v>54</v>
      </c>
      <c r="BG144" s="2407">
        <v>55</v>
      </c>
      <c r="BH144" s="2407">
        <v>56</v>
      </c>
      <c r="BI144" s="2407">
        <v>57</v>
      </c>
      <c r="BJ144" s="2407">
        <v>58</v>
      </c>
      <c r="BK144" s="2407">
        <v>59</v>
      </c>
      <c r="BL144" s="2407">
        <v>60</v>
      </c>
      <c r="BM144" s="2407">
        <v>61</v>
      </c>
      <c r="BN144" s="2407">
        <v>62</v>
      </c>
      <c r="BO144" s="2407">
        <v>63</v>
      </c>
      <c r="BP144" s="2407">
        <v>64</v>
      </c>
      <c r="BQ144" s="2407">
        <v>65</v>
      </c>
      <c r="BR144" s="2407">
        <v>66</v>
      </c>
      <c r="BS144" s="2407">
        <v>67</v>
      </c>
      <c r="BT144" s="2407">
        <v>68</v>
      </c>
      <c r="BU144" s="2407">
        <v>69</v>
      </c>
      <c r="BV144" s="2407">
        <v>70</v>
      </c>
      <c r="BW144" s="2407">
        <v>71</v>
      </c>
      <c r="BX144" s="2407">
        <v>72</v>
      </c>
      <c r="BY144" s="2407">
        <v>73</v>
      </c>
      <c r="BZ144" s="2407">
        <v>74</v>
      </c>
      <c r="CA144" s="2407">
        <v>75</v>
      </c>
      <c r="CB144" s="2407">
        <v>76</v>
      </c>
      <c r="CC144" s="2407">
        <v>77</v>
      </c>
      <c r="CD144" s="2407">
        <v>78</v>
      </c>
      <c r="CE144" s="2407">
        <v>79</v>
      </c>
      <c r="CF144" s="2407">
        <v>80</v>
      </c>
      <c r="CG144" s="2407">
        <v>81</v>
      </c>
      <c r="CH144" s="2407">
        <v>82</v>
      </c>
      <c r="CI144" s="2407">
        <v>83</v>
      </c>
      <c r="CJ144" s="2407">
        <v>84</v>
      </c>
      <c r="CK144" s="2407">
        <v>85</v>
      </c>
      <c r="CL144" s="2407">
        <v>86</v>
      </c>
      <c r="CM144" s="2407">
        <v>87</v>
      </c>
      <c r="CN144" s="2407">
        <v>88</v>
      </c>
      <c r="CO144" s="2407">
        <v>89</v>
      </c>
      <c r="CP144" s="2407">
        <v>90</v>
      </c>
      <c r="CQ144" s="2407">
        <v>91</v>
      </c>
      <c r="CR144" s="2407">
        <v>92</v>
      </c>
      <c r="CS144" s="2407">
        <v>93</v>
      </c>
      <c r="CT144" s="2407">
        <v>94</v>
      </c>
      <c r="CU144" s="2407">
        <v>95</v>
      </c>
      <c r="CV144" s="2407">
        <v>96</v>
      </c>
      <c r="CW144" s="2407">
        <v>97</v>
      </c>
      <c r="CX144" s="2407">
        <v>98</v>
      </c>
      <c r="CY144" s="2407">
        <v>99</v>
      </c>
      <c r="CZ144" s="2407">
        <v>100</v>
      </c>
      <c r="DA144" s="2407">
        <v>101</v>
      </c>
      <c r="DB144" s="2407">
        <v>102</v>
      </c>
      <c r="DC144" s="2407">
        <v>103</v>
      </c>
      <c r="DD144" s="2407">
        <v>104</v>
      </c>
      <c r="DE144" s="2407">
        <v>105</v>
      </c>
      <c r="DF144" s="2407">
        <v>106</v>
      </c>
      <c r="DG144" s="2407">
        <v>107</v>
      </c>
      <c r="DH144" s="2407">
        <v>108</v>
      </c>
      <c r="DI144" s="2407">
        <v>109</v>
      </c>
      <c r="DJ144" s="2407">
        <v>110</v>
      </c>
      <c r="DK144" s="2407">
        <v>111</v>
      </c>
      <c r="DL144" s="2407">
        <v>112</v>
      </c>
      <c r="DM144" s="2407">
        <v>113</v>
      </c>
      <c r="DN144" s="2407">
        <v>114</v>
      </c>
      <c r="DO144" s="2407">
        <v>115</v>
      </c>
      <c r="DP144" s="2407">
        <v>116</v>
      </c>
      <c r="DQ144" s="2407">
        <v>117</v>
      </c>
      <c r="DR144" s="2407">
        <v>118</v>
      </c>
      <c r="DS144" s="2407">
        <v>119</v>
      </c>
      <c r="DT144" s="2407">
        <v>120</v>
      </c>
      <c r="DU144" s="2407">
        <v>121</v>
      </c>
      <c r="DV144" s="2407">
        <v>122</v>
      </c>
      <c r="DW144" s="2407">
        <v>123</v>
      </c>
      <c r="DX144" s="2407">
        <v>124</v>
      </c>
      <c r="DY144" s="2407">
        <v>125</v>
      </c>
      <c r="DZ144" s="2407">
        <v>126</v>
      </c>
      <c r="EA144" s="2407">
        <v>127</v>
      </c>
      <c r="EB144" s="2407">
        <v>128</v>
      </c>
      <c r="EC144" s="2407">
        <v>129</v>
      </c>
      <c r="ED144" s="2407">
        <v>130</v>
      </c>
      <c r="EE144" s="2407">
        <v>131</v>
      </c>
      <c r="EF144" s="2407">
        <v>132</v>
      </c>
      <c r="EG144" s="2407">
        <v>133</v>
      </c>
      <c r="EH144" s="2407">
        <v>134</v>
      </c>
      <c r="EI144" s="2407">
        <v>135</v>
      </c>
      <c r="EJ144" s="2407">
        <v>136</v>
      </c>
      <c r="EK144" s="2407">
        <v>137</v>
      </c>
      <c r="EL144" s="2407">
        <v>138</v>
      </c>
      <c r="EM144" s="2407">
        <v>139</v>
      </c>
      <c r="EN144" s="2407">
        <v>140</v>
      </c>
      <c r="EO144" s="2407">
        <v>141</v>
      </c>
      <c r="EP144" s="2407">
        <v>142</v>
      </c>
      <c r="EQ144" s="2407">
        <v>143</v>
      </c>
      <c r="ER144" s="2407">
        <v>144</v>
      </c>
      <c r="ES144" s="2407">
        <v>145</v>
      </c>
      <c r="ET144" s="2407">
        <v>146</v>
      </c>
      <c r="EU144" s="2407">
        <v>147</v>
      </c>
      <c r="EV144" s="2407">
        <v>148</v>
      </c>
      <c r="EW144" s="2407">
        <v>149</v>
      </c>
      <c r="EX144" s="2407">
        <v>150</v>
      </c>
      <c r="EY144" s="2407">
        <v>151</v>
      </c>
      <c r="EZ144" s="2407">
        <v>152</v>
      </c>
      <c r="FA144" s="2407">
        <v>153</v>
      </c>
      <c r="FB144" s="2407">
        <v>154</v>
      </c>
      <c r="FC144" s="2407">
        <v>155</v>
      </c>
      <c r="FD144" s="2407">
        <v>156</v>
      </c>
      <c r="FE144" s="2407">
        <v>157</v>
      </c>
      <c r="FF144" s="2407">
        <v>158</v>
      </c>
      <c r="FG144" s="2407">
        <v>159</v>
      </c>
      <c r="FH144" s="2407">
        <v>160</v>
      </c>
      <c r="FI144" s="2407">
        <v>161</v>
      </c>
      <c r="FJ144" s="2407">
        <v>162</v>
      </c>
      <c r="FK144" s="2407">
        <v>163</v>
      </c>
      <c r="FL144" s="2407">
        <v>164</v>
      </c>
      <c r="FM144" s="2407">
        <v>165</v>
      </c>
      <c r="FN144" s="2407">
        <v>166</v>
      </c>
      <c r="FO144" s="2407">
        <v>167</v>
      </c>
      <c r="FP144" s="2407">
        <v>168</v>
      </c>
      <c r="FQ144" s="2407">
        <v>169</v>
      </c>
      <c r="FR144" s="2407">
        <v>170</v>
      </c>
      <c r="FS144" s="2407">
        <v>171</v>
      </c>
      <c r="FT144" s="2407">
        <v>172</v>
      </c>
      <c r="FU144" s="2407">
        <v>173</v>
      </c>
      <c r="FV144" s="2407">
        <v>174</v>
      </c>
      <c r="FW144" s="2407">
        <v>175</v>
      </c>
      <c r="FX144" s="2407">
        <v>176</v>
      </c>
      <c r="FY144" s="2407">
        <v>177</v>
      </c>
      <c r="FZ144" s="2407">
        <v>178</v>
      </c>
      <c r="GA144" s="2407">
        <v>179</v>
      </c>
      <c r="GB144" s="2407">
        <v>180</v>
      </c>
      <c r="GC144" s="2407">
        <v>181</v>
      </c>
      <c r="GD144" s="2407">
        <v>182</v>
      </c>
      <c r="GE144" s="2407">
        <v>183</v>
      </c>
      <c r="GF144" s="2407">
        <v>184</v>
      </c>
      <c r="GG144" s="2407">
        <v>185</v>
      </c>
      <c r="GH144" s="2407">
        <v>186</v>
      </c>
      <c r="GI144" s="2407">
        <v>187</v>
      </c>
      <c r="GJ144" s="2407">
        <v>188</v>
      </c>
      <c r="GK144" s="2407">
        <v>189</v>
      </c>
      <c r="GL144" s="2407">
        <v>190</v>
      </c>
      <c r="GM144" s="2407">
        <v>191</v>
      </c>
      <c r="GN144" s="2407">
        <v>192</v>
      </c>
      <c r="GO144" s="2407">
        <v>193</v>
      </c>
      <c r="GP144" s="2407">
        <v>194</v>
      </c>
      <c r="GQ144" s="2407">
        <v>195</v>
      </c>
      <c r="GR144" s="2407">
        <v>196</v>
      </c>
      <c r="GS144" s="2407">
        <v>197</v>
      </c>
      <c r="GT144" s="2407">
        <v>198</v>
      </c>
      <c r="GU144" s="2407">
        <v>199</v>
      </c>
      <c r="GV144" s="2407">
        <v>200</v>
      </c>
      <c r="GW144" s="2407">
        <v>201</v>
      </c>
      <c r="GX144" s="2407">
        <v>202</v>
      </c>
      <c r="GY144" s="2407">
        <v>203</v>
      </c>
      <c r="GZ144" s="2407">
        <v>204</v>
      </c>
      <c r="HA144" s="2407">
        <v>205</v>
      </c>
      <c r="HB144" s="2407">
        <v>206</v>
      </c>
      <c r="HC144" s="2407">
        <v>207</v>
      </c>
      <c r="HD144" s="2407">
        <v>208</v>
      </c>
      <c r="HE144" s="2407">
        <v>209</v>
      </c>
      <c r="HF144" s="2407">
        <v>210</v>
      </c>
      <c r="HG144" s="2407">
        <v>211</v>
      </c>
      <c r="HH144" s="2407">
        <v>212</v>
      </c>
      <c r="HI144" s="2407">
        <v>213</v>
      </c>
      <c r="HJ144" s="2407">
        <v>214</v>
      </c>
      <c r="HK144" s="2407">
        <v>215</v>
      </c>
      <c r="HL144" s="2407">
        <v>216</v>
      </c>
      <c r="HM144" s="2407">
        <v>217</v>
      </c>
      <c r="HN144" s="2407">
        <v>218</v>
      </c>
      <c r="HO144" s="2407">
        <v>219</v>
      </c>
      <c r="HP144" s="2407">
        <v>220</v>
      </c>
      <c r="HQ144" s="2407">
        <v>221</v>
      </c>
      <c r="HR144" s="2407">
        <v>222</v>
      </c>
      <c r="HS144" s="2407">
        <v>223</v>
      </c>
      <c r="HT144" s="2407">
        <v>224</v>
      </c>
      <c r="HU144" s="2407">
        <v>225</v>
      </c>
      <c r="HV144" s="2407">
        <v>226</v>
      </c>
      <c r="HW144" s="2407">
        <v>227</v>
      </c>
      <c r="HX144" s="2407">
        <v>228</v>
      </c>
      <c r="HY144" s="2407">
        <v>229</v>
      </c>
      <c r="HZ144" s="2407">
        <v>230</v>
      </c>
      <c r="IA144" s="2407">
        <v>231</v>
      </c>
      <c r="IB144" s="2407">
        <v>232</v>
      </c>
      <c r="IC144" s="2407">
        <v>233</v>
      </c>
      <c r="ID144" s="2407">
        <v>234</v>
      </c>
      <c r="IE144" s="2407">
        <v>235</v>
      </c>
      <c r="IF144" s="2407">
        <v>236</v>
      </c>
      <c r="IG144" s="2407">
        <v>237</v>
      </c>
      <c r="IH144" s="2407">
        <v>238</v>
      </c>
      <c r="II144" s="2407">
        <v>239</v>
      </c>
      <c r="IJ144" s="2407">
        <v>240</v>
      </c>
      <c r="IK144" s="2407">
        <v>241</v>
      </c>
      <c r="IL144" s="2407">
        <v>242</v>
      </c>
      <c r="IM144" s="2407">
        <v>243</v>
      </c>
      <c r="IN144" s="2407">
        <v>244</v>
      </c>
      <c r="IO144" s="2407">
        <v>245</v>
      </c>
      <c r="IP144" s="2407">
        <v>246</v>
      </c>
      <c r="IQ144" s="2407">
        <v>247</v>
      </c>
      <c r="IR144" s="2407">
        <v>248</v>
      </c>
      <c r="IS144" s="2407">
        <v>249</v>
      </c>
      <c r="IT144" s="2407">
        <v>250</v>
      </c>
      <c r="IU144" s="2407">
        <v>251</v>
      </c>
      <c r="IV144" s="2407">
        <v>252</v>
      </c>
      <c r="IW144" s="2407">
        <v>253</v>
      </c>
      <c r="IX144" s="2407">
        <v>254</v>
      </c>
      <c r="IY144" s="2407">
        <v>255</v>
      </c>
      <c r="IZ144" s="2407">
        <v>256</v>
      </c>
      <c r="JA144" s="2407">
        <v>257</v>
      </c>
      <c r="JB144" s="2407">
        <v>258</v>
      </c>
      <c r="JC144" s="2407">
        <v>259</v>
      </c>
      <c r="JD144" s="1134">
        <v>260</v>
      </c>
      <c r="JE144" s="1134">
        <v>261</v>
      </c>
      <c r="JF144" s="1134">
        <v>262</v>
      </c>
      <c r="JG144" s="2485">
        <v>263</v>
      </c>
    </row>
    <row ht="13.5" r="145" spans="1:267" thickBot="1" x14ac:dyDescent="0.25">
      <c r="A145" s="3612">
        <v>2</v>
      </c>
      <c r="B145" s="2457" t="str">
        <f>IF(FOR_IND&gt;1,HLOOKUP(FOR_IND-1,TCR_RANGE,A2+1),"FALSE")</f>
        <v>FALSE</v>
      </c>
      <c r="C145" s="34"/>
      <c r="D145" s="78" t="s">
        <v>8243</v>
      </c>
      <c r="E145" s="3551"/>
      <c r="F145" s="3551"/>
      <c r="G145" s="3551"/>
      <c r="H145" s="3551"/>
      <c r="I145" s="3551"/>
      <c r="J145" s="3551"/>
      <c r="K145" s="3551"/>
      <c r="L145" s="3551"/>
      <c r="M145" s="3551"/>
      <c r="N145" s="3551"/>
      <c r="O145" s="3551"/>
      <c r="P145" s="3551"/>
      <c r="Q145" s="3551"/>
      <c r="R145" s="3551"/>
      <c r="S145" s="3551"/>
      <c r="T145" s="3551"/>
      <c r="U145" s="3551"/>
      <c r="V145" s="3551"/>
      <c r="W145" s="3551"/>
      <c r="X145" s="3551"/>
      <c r="Y145" s="3551"/>
      <c r="Z145" s="3551"/>
      <c r="AA145" s="3551"/>
      <c r="AB145" s="3551"/>
      <c r="AC145" s="3551"/>
      <c r="AD145" s="3551"/>
      <c r="AE145" s="3551"/>
      <c r="AF145" s="3551"/>
      <c r="AG145" s="3551"/>
      <c r="AH145" s="3551"/>
      <c r="AI145" s="3551"/>
      <c r="AJ145" s="3551"/>
      <c r="AK145" s="3551"/>
      <c r="AL145" s="3551"/>
      <c r="AM145" s="3551"/>
      <c r="AN145" s="3551"/>
      <c r="AO145" s="3551"/>
      <c r="AP145" s="3551" t="b">
        <v>1</v>
      </c>
      <c r="AQ145" s="3551" t="b">
        <v>1</v>
      </c>
      <c r="AR145" s="3551"/>
      <c r="AS145" s="3551"/>
      <c r="AT145" s="3551"/>
      <c r="AU145" s="3551"/>
      <c r="AV145" s="3551"/>
      <c r="AW145" s="3551"/>
      <c r="AX145" s="3551"/>
      <c r="AY145" s="3551"/>
      <c r="AZ145" s="3551"/>
      <c r="BA145" s="3551"/>
      <c r="BB145" s="3551" t="b">
        <v>1</v>
      </c>
      <c r="BC145" s="3551" t="b">
        <v>1</v>
      </c>
      <c r="BD145" s="3551" t="b">
        <v>1</v>
      </c>
      <c r="BE145" s="3551"/>
      <c r="BF145" s="3551"/>
      <c r="BG145" s="3551"/>
      <c r="BH145" s="3551"/>
      <c r="BI145" s="3551"/>
      <c r="BJ145" s="3551" t="b">
        <v>1</v>
      </c>
      <c r="BK145" s="3551"/>
      <c r="BL145" s="3551"/>
      <c r="BM145" s="3551"/>
      <c r="BN145" s="3551"/>
      <c r="BO145" s="3551"/>
      <c r="BP145" s="3551"/>
      <c r="BQ145" s="3551"/>
      <c r="BR145" s="3551"/>
      <c r="BS145" s="3551"/>
      <c r="BT145" s="3551"/>
      <c r="BU145" s="3551"/>
      <c r="BV145" s="3551"/>
      <c r="BW145" s="3551"/>
      <c r="BX145" s="3551"/>
      <c r="BY145" s="3551"/>
      <c r="BZ145" s="3551"/>
      <c r="CA145" s="3551"/>
      <c r="CB145" s="3551"/>
      <c r="CC145" s="3551"/>
      <c r="CD145" s="3551"/>
      <c r="CE145" s="3551"/>
      <c r="CF145" s="3551"/>
      <c r="CG145" s="3551"/>
      <c r="CH145" s="3551"/>
      <c r="CI145" s="3551"/>
      <c r="CJ145" s="3551"/>
      <c r="CK145" s="3551"/>
      <c r="CL145" s="3551"/>
      <c r="CM145" s="3551"/>
      <c r="CN145" s="3551"/>
      <c r="CO145" s="3551"/>
      <c r="CP145" s="3551"/>
      <c r="CQ145" s="3551"/>
      <c r="CR145" s="3551"/>
      <c r="CS145" s="3551"/>
      <c r="CT145" s="3551" t="b">
        <v>1</v>
      </c>
      <c r="CU145" s="3551"/>
      <c r="CV145" s="3551"/>
      <c r="CW145" s="3551"/>
      <c r="CX145" s="3551"/>
      <c r="CY145" s="3551"/>
      <c r="CZ145" s="3551"/>
      <c r="DA145" s="3551"/>
      <c r="DB145" s="3551"/>
      <c r="DC145" s="3551"/>
      <c r="DD145" s="3551"/>
      <c r="DE145" s="3551"/>
      <c r="DF145" s="3551"/>
      <c r="DG145" s="3551"/>
      <c r="DH145" s="3551"/>
      <c r="DI145" s="3551" t="b">
        <v>1</v>
      </c>
      <c r="DJ145" s="3551"/>
      <c r="DK145" s="3551"/>
      <c r="DL145" s="3551"/>
      <c r="DM145" s="3551"/>
      <c r="DN145" s="3551"/>
      <c r="DO145" s="3551"/>
      <c r="DP145" s="3551"/>
      <c r="DQ145" s="3551"/>
      <c r="DR145" s="3551"/>
      <c r="DS145" s="3551"/>
      <c r="DT145" s="3551"/>
      <c r="DU145" s="3551"/>
      <c r="DV145" s="3551"/>
      <c r="DW145" s="3551"/>
      <c r="DX145" s="3551"/>
      <c r="DY145" s="3551"/>
      <c r="DZ145" s="3551"/>
      <c r="EA145" s="3551"/>
      <c r="EB145" s="3551"/>
      <c r="EC145" s="3551"/>
      <c r="ED145" s="3551"/>
      <c r="EE145" s="3551"/>
      <c r="EF145" s="3551"/>
      <c r="EG145" s="3551"/>
      <c r="EH145" s="3551"/>
      <c r="EI145" s="3551"/>
      <c r="EJ145" s="3551"/>
      <c r="EK145" s="3551"/>
      <c r="EL145" s="3551"/>
      <c r="EM145" s="3551"/>
      <c r="EN145" s="3551"/>
      <c r="EO145" s="3551"/>
      <c r="EP145" s="3551"/>
      <c r="EQ145" s="3551"/>
      <c r="ER145" s="3551"/>
      <c r="ES145" s="3551"/>
      <c r="ET145" s="3551"/>
      <c r="EU145" s="3551"/>
      <c r="EV145" s="3551"/>
      <c r="EW145" s="3551"/>
      <c r="EX145" s="3551" t="b">
        <v>1</v>
      </c>
      <c r="EY145" s="3551"/>
      <c r="EZ145" s="3551"/>
      <c r="FA145" s="3551"/>
      <c r="FB145" s="3551"/>
      <c r="FC145" s="3551"/>
      <c r="FD145" s="3551"/>
      <c r="FE145" s="3551"/>
      <c r="FF145" s="3551"/>
      <c r="FG145" s="3551"/>
      <c r="FH145" s="3551"/>
      <c r="FI145" s="3551"/>
      <c r="FJ145" s="3551"/>
      <c r="FK145" s="3551"/>
      <c r="FL145" s="3551"/>
      <c r="FM145" s="3551"/>
      <c r="FN145" s="3551"/>
      <c r="FO145" s="3551"/>
      <c r="FP145" s="3551"/>
      <c r="FQ145" s="3551"/>
      <c r="FR145" s="3551"/>
      <c r="FS145" s="3551"/>
      <c r="FT145" s="3551"/>
      <c r="FU145" s="3551"/>
      <c r="FV145" s="3551"/>
      <c r="FW145" s="3551"/>
      <c r="FX145" s="3551"/>
      <c r="FY145" s="3551"/>
      <c r="FZ145" s="3551"/>
      <c r="GA145" s="3551"/>
      <c r="GB145" s="3551"/>
      <c r="GC145" s="3551"/>
      <c r="GD145" s="3551"/>
      <c r="GE145" s="3551"/>
      <c r="GF145" s="3551" t="b">
        <v>1</v>
      </c>
      <c r="GG145" s="3551"/>
      <c r="GH145" s="3551"/>
      <c r="GI145" s="3551"/>
      <c r="GJ145" s="3551"/>
      <c r="GK145" s="3551"/>
      <c r="GL145" s="3551"/>
      <c r="GM145" s="3551"/>
      <c r="GN145" s="3551"/>
      <c r="GO145" s="3551"/>
      <c r="GP145" s="3551"/>
      <c r="GQ145" s="3551"/>
      <c r="GR145" s="3551"/>
      <c r="GS145" s="3551"/>
      <c r="GT145" s="3551"/>
      <c r="GU145" s="3551"/>
      <c r="GV145" s="3551"/>
      <c r="GW145" s="3551"/>
      <c r="GX145" s="3551"/>
      <c r="GY145" s="3551"/>
      <c r="GZ145" s="3551"/>
      <c r="HA145" s="3551"/>
      <c r="HB145" s="3551"/>
      <c r="HC145" s="3551"/>
      <c r="HD145" s="3551"/>
      <c r="HE145" s="3551"/>
      <c r="HF145" s="3551"/>
      <c r="HG145" s="3551"/>
      <c r="HH145" s="3551" t="b">
        <v>1</v>
      </c>
      <c r="HI145" s="3551"/>
      <c r="HJ145" s="3551" t="b">
        <v>1</v>
      </c>
      <c r="HK145" s="3551" t="b">
        <v>1</v>
      </c>
      <c r="HL145" s="3551" t="b">
        <v>1</v>
      </c>
      <c r="HM145" s="3551" t="b">
        <v>1</v>
      </c>
      <c r="HN145" s="3551"/>
      <c r="HO145" s="3551"/>
      <c r="HP145" s="3551" t="b">
        <v>1</v>
      </c>
      <c r="HQ145" s="3551"/>
      <c r="HR145" s="3551" t="b">
        <v>1</v>
      </c>
      <c r="HS145" s="3551"/>
      <c r="HT145" s="3551"/>
      <c r="HU145" s="3551"/>
      <c r="HV145" s="3551"/>
      <c r="HW145" s="3551"/>
      <c r="HX145" s="3551"/>
      <c r="HY145" s="3551"/>
      <c r="HZ145" s="3551"/>
      <c r="IA145" s="3551"/>
      <c r="IB145" s="3551"/>
      <c r="IC145" s="3551"/>
      <c r="ID145" s="3551"/>
      <c r="IE145" s="3551"/>
      <c r="IF145" s="3551" t="b">
        <v>1</v>
      </c>
      <c r="IG145" s="3551"/>
      <c r="IH145" s="3551"/>
      <c r="II145" s="3551"/>
      <c r="IJ145" s="3551"/>
      <c r="IK145" s="3551"/>
      <c r="IL145" s="3551"/>
      <c r="IM145" s="3551"/>
      <c r="IN145" s="3551"/>
      <c r="IO145" s="3551"/>
      <c r="IP145" s="3551"/>
      <c r="IQ145" s="3551"/>
      <c r="IR145" s="3551"/>
      <c r="IS145" s="3551"/>
      <c r="IT145" s="3551"/>
      <c r="IU145" s="3551"/>
      <c r="IV145" s="3551"/>
      <c r="IW145" s="3551"/>
      <c r="IX145" s="3551"/>
      <c r="IY145" s="3551"/>
      <c r="IZ145" s="3551"/>
      <c r="JA145" s="3551"/>
      <c r="JB145" s="3551"/>
      <c r="JC145" s="3551"/>
      <c r="JD145" s="4226"/>
      <c r="JE145" s="4226"/>
      <c r="JF145" s="4226"/>
      <c r="JG145" s="4082"/>
    </row>
    <row r="146" spans="1:267" x14ac:dyDescent="0.2">
      <c r="A146" s="3612">
        <v>3</v>
      </c>
      <c r="B146" s="3616" t="str">
        <f ref="B146:B185" si="8" t="shared">IF(FOR_IND&gt;1,IF(HLOOKUP(FOR_IND-1,TCR_RANGE,A146)="","",HLOOKUP(FOR_IND-1,TCR_RANGE,A146)),"")</f>
        <v/>
      </c>
      <c r="C146" s="34"/>
      <c r="D146" s="3617" t="s">
        <v>8244</v>
      </c>
      <c r="E146" s="3577"/>
      <c r="F146" s="3578"/>
      <c r="G146" s="3552"/>
      <c r="H146" s="3552"/>
      <c r="I146" s="3552"/>
      <c r="J146" s="3552"/>
      <c r="K146" s="3552"/>
      <c r="L146" s="3552"/>
      <c r="M146" s="3552"/>
      <c r="N146" s="3552"/>
      <c r="O146" s="3552"/>
      <c r="P146" s="3552"/>
      <c r="Q146" s="3552"/>
      <c r="R146" s="3552"/>
      <c r="S146" s="3552"/>
      <c r="T146" s="3552"/>
      <c r="U146" s="3552"/>
      <c r="V146" s="3552"/>
      <c r="W146" s="3552"/>
      <c r="X146" s="3552"/>
      <c r="Y146" s="3552"/>
      <c r="Z146" s="3552"/>
      <c r="AA146" s="3552"/>
      <c r="AB146" s="3552"/>
      <c r="AC146" s="3552"/>
      <c r="AD146" s="3552"/>
      <c r="AE146" s="3552"/>
      <c r="AF146" s="3552"/>
      <c r="AG146" s="3552"/>
      <c r="AH146" s="3552"/>
      <c r="AI146" s="3552"/>
      <c r="AJ146" s="3552"/>
      <c r="AK146" s="3552"/>
      <c r="AL146" s="3552"/>
      <c r="AM146" s="3552"/>
      <c r="AN146" s="3552"/>
      <c r="AO146" s="3552"/>
      <c r="AP146" s="3552">
        <v>1</v>
      </c>
      <c r="AQ146" s="3578">
        <v>4</v>
      </c>
      <c r="AR146" s="3552"/>
      <c r="AS146" s="3552"/>
      <c r="AT146" s="3552"/>
      <c r="AU146" s="3552"/>
      <c r="AV146" s="3552"/>
      <c r="AW146" s="3552"/>
      <c r="AX146" s="3552"/>
      <c r="AY146" s="3552"/>
      <c r="AZ146" s="3552"/>
      <c r="BA146" s="3552"/>
      <c r="BB146" s="3578">
        <v>4</v>
      </c>
      <c r="BC146" s="3577">
        <v>1</v>
      </c>
      <c r="BD146" s="3577">
        <v>1</v>
      </c>
      <c r="BE146" s="3552"/>
      <c r="BF146" s="3552"/>
      <c r="BG146" s="3552"/>
      <c r="BH146" s="3552"/>
      <c r="BI146" s="3552"/>
      <c r="BJ146" s="3577">
        <v>1</v>
      </c>
      <c r="BK146" s="3552"/>
      <c r="BL146" s="3552"/>
      <c r="BM146" s="3552"/>
      <c r="BN146" s="3552"/>
      <c r="BO146" s="3552"/>
      <c r="BP146" s="3552"/>
      <c r="BQ146" s="3552"/>
      <c r="BR146" s="3552"/>
      <c r="BS146" s="3552"/>
      <c r="BT146" s="3552"/>
      <c r="BU146" s="3552"/>
      <c r="BV146" s="3552"/>
      <c r="BW146" s="3552"/>
      <c r="BX146" s="3552"/>
      <c r="BY146" s="3552"/>
      <c r="BZ146" s="3552"/>
      <c r="CA146" s="3552"/>
      <c r="CB146" s="3552"/>
      <c r="CC146" s="3552"/>
      <c r="CD146" s="3552"/>
      <c r="CE146" s="3552"/>
      <c r="CF146" s="3552"/>
      <c r="CG146" s="3552"/>
      <c r="CH146" s="3552"/>
      <c r="CI146" s="3552"/>
      <c r="CJ146" s="3552"/>
      <c r="CK146" s="3552"/>
      <c r="CL146" s="3552"/>
      <c r="CM146" s="3552"/>
      <c r="CN146" s="3552"/>
      <c r="CO146" s="3552"/>
      <c r="CP146" s="3552"/>
      <c r="CQ146" s="3552"/>
      <c r="CR146" s="3552"/>
      <c r="CS146" s="3552"/>
      <c r="CT146" s="3578">
        <v>4</v>
      </c>
      <c r="CU146" s="3552"/>
      <c r="CV146" s="3552"/>
      <c r="CW146" s="3552"/>
      <c r="CX146" s="3552"/>
      <c r="CY146" s="3552"/>
      <c r="CZ146" s="3552"/>
      <c r="DA146" s="3552"/>
      <c r="DB146" s="3552"/>
      <c r="DC146" s="3552"/>
      <c r="DD146" s="3552"/>
      <c r="DE146" s="3552"/>
      <c r="DF146" s="3552"/>
      <c r="DG146" s="3552"/>
      <c r="DH146" s="3552"/>
      <c r="DI146" s="3578">
        <v>4</v>
      </c>
      <c r="DJ146" s="3552"/>
      <c r="DK146" s="3552"/>
      <c r="DL146" s="3552"/>
      <c r="DM146" s="3552"/>
      <c r="DN146" s="3552"/>
      <c r="DO146" s="3552"/>
      <c r="DP146" s="3552"/>
      <c r="DQ146" s="3552"/>
      <c r="DR146" s="3552"/>
      <c r="DS146" s="3552"/>
      <c r="DT146" s="3552"/>
      <c r="DU146" s="3552"/>
      <c r="DV146" s="3552"/>
      <c r="DW146" s="3552"/>
      <c r="DX146" s="3552"/>
      <c r="DY146" s="3552"/>
      <c r="DZ146" s="3552"/>
      <c r="EA146" s="3552"/>
      <c r="EB146" s="3552"/>
      <c r="EC146" s="3552"/>
      <c r="ED146" s="3552"/>
      <c r="EE146" s="3552"/>
      <c r="EF146" s="3552"/>
      <c r="EG146" s="3552"/>
      <c r="EH146" s="3552"/>
      <c r="EI146" s="3552"/>
      <c r="EJ146" s="3552"/>
      <c r="EK146" s="3552"/>
      <c r="EL146" s="3552"/>
      <c r="EM146" s="3552"/>
      <c r="EN146" s="3552"/>
      <c r="EO146" s="3552"/>
      <c r="EP146" s="3552"/>
      <c r="EQ146" s="3552"/>
      <c r="ER146" s="3552"/>
      <c r="ES146" s="3552"/>
      <c r="ET146" s="3552"/>
      <c r="EU146" s="3552"/>
      <c r="EV146" s="3552"/>
      <c r="EW146" s="3552"/>
      <c r="EX146" s="3552">
        <v>1</v>
      </c>
      <c r="EY146" s="3552"/>
      <c r="EZ146" s="3552"/>
      <c r="FA146" s="3552"/>
      <c r="FB146" s="3552"/>
      <c r="FC146" s="3552"/>
      <c r="FD146" s="3552"/>
      <c r="FE146" s="3552"/>
      <c r="FF146" s="3552"/>
      <c r="FG146" s="3552"/>
      <c r="FH146" s="3552"/>
      <c r="FI146" s="3552"/>
      <c r="FJ146" s="3552"/>
      <c r="FK146" s="3552"/>
      <c r="FL146" s="3552"/>
      <c r="FM146" s="3552"/>
      <c r="FN146" s="3552"/>
      <c r="FO146" s="3552"/>
      <c r="FP146" s="3552"/>
      <c r="FQ146" s="3552"/>
      <c r="FR146" s="3552"/>
      <c r="FS146" s="3552"/>
      <c r="FT146" s="3552"/>
      <c r="FU146" s="3552"/>
      <c r="FV146" s="3552"/>
      <c r="FW146" s="3552"/>
      <c r="FX146" s="3552"/>
      <c r="FY146" s="3552"/>
      <c r="FZ146" s="3552"/>
      <c r="GA146" s="3552"/>
      <c r="GB146" s="3552"/>
      <c r="GC146" s="3552"/>
      <c r="GD146" s="3552"/>
      <c r="GE146" s="3552"/>
      <c r="GF146" s="3577">
        <v>1</v>
      </c>
      <c r="GG146" s="3552"/>
      <c r="GH146" s="3552"/>
      <c r="GI146" s="3552"/>
      <c r="GJ146" s="3552"/>
      <c r="GK146" s="3552"/>
      <c r="GL146" s="3552"/>
      <c r="GM146" s="3552"/>
      <c r="GN146" s="3552"/>
      <c r="GO146" s="3552"/>
      <c r="GP146" s="3552"/>
      <c r="GQ146" s="3552"/>
      <c r="GR146" s="3552"/>
      <c r="GS146" s="3552"/>
      <c r="GT146" s="3552"/>
      <c r="GU146" s="3552"/>
      <c r="GV146" s="3552"/>
      <c r="GW146" s="3552"/>
      <c r="GX146" s="3552"/>
      <c r="GY146" s="3552"/>
      <c r="GZ146" s="3552"/>
      <c r="HA146" s="3552"/>
      <c r="HB146" s="3552"/>
      <c r="HC146" s="3552"/>
      <c r="HD146" s="3552"/>
      <c r="HE146" s="3552"/>
      <c r="HF146" s="3552"/>
      <c r="HG146" s="3552"/>
      <c r="HH146" s="3579">
        <v>1</v>
      </c>
      <c r="HI146" s="3552"/>
      <c r="HJ146" s="3552">
        <v>1</v>
      </c>
      <c r="HK146" s="3552">
        <v>1</v>
      </c>
      <c r="HL146" s="3552">
        <v>1</v>
      </c>
      <c r="HM146" s="3552">
        <v>1</v>
      </c>
      <c r="HN146" s="3552"/>
      <c r="HO146" s="3552"/>
      <c r="HP146" s="3552">
        <v>1</v>
      </c>
      <c r="HQ146" s="3552"/>
      <c r="HR146" s="3552">
        <v>1</v>
      </c>
      <c r="HS146" s="3552"/>
      <c r="HT146" s="3552"/>
      <c r="HU146" s="3552"/>
      <c r="HV146" s="3552"/>
      <c r="HW146" s="3552"/>
      <c r="HX146" s="3552"/>
      <c r="HY146" s="3552"/>
      <c r="HZ146" s="3552"/>
      <c r="IA146" s="3552"/>
      <c r="IB146" s="3552"/>
      <c r="IC146" s="3552"/>
      <c r="ID146" s="3552"/>
      <c r="IE146" s="3552"/>
      <c r="IF146" s="3552">
        <v>4</v>
      </c>
      <c r="IG146" s="3552"/>
      <c r="IH146" s="3552"/>
      <c r="II146" s="3552"/>
      <c r="IJ146" s="3552"/>
      <c r="IK146" s="3552"/>
      <c r="IL146" s="3552"/>
      <c r="IM146" s="3552"/>
      <c r="IN146" s="3552"/>
      <c r="IO146" s="3552"/>
      <c r="IP146" s="3552"/>
      <c r="IQ146" s="3552"/>
      <c r="IR146" s="3552"/>
      <c r="IS146" s="3552"/>
      <c r="IT146" s="3552"/>
      <c r="IU146" s="3552"/>
      <c r="IV146" s="3552"/>
      <c r="IW146" s="3552"/>
      <c r="IX146" s="3552"/>
      <c r="IY146" s="3552"/>
      <c r="IZ146" s="3552"/>
      <c r="JA146" s="3552"/>
      <c r="JB146" s="3552"/>
      <c r="JC146" s="3552"/>
      <c r="JD146" s="4227"/>
      <c r="JE146" s="4227"/>
      <c r="JF146" s="4227"/>
      <c r="JG146" s="3579"/>
    </row>
    <row r="147" spans="1:267" x14ac:dyDescent="0.2">
      <c r="A147" s="3612">
        <v>4</v>
      </c>
      <c r="B147" s="3616" t="str">
        <f si="8" t="shared"/>
        <v/>
      </c>
      <c r="C147" s="34"/>
      <c r="D147" s="3617" t="s">
        <v>8245</v>
      </c>
      <c r="E147" s="3580"/>
      <c r="F147" s="3553"/>
      <c r="G147" s="3553"/>
      <c r="H147" s="3553"/>
      <c r="I147" s="3553"/>
      <c r="J147" s="2295"/>
      <c r="K147" s="3553"/>
      <c r="L147" s="2295"/>
      <c r="M147" s="3553"/>
      <c r="N147" s="3553"/>
      <c r="O147" s="3553"/>
      <c r="P147" s="3553"/>
      <c r="Q147" s="3553"/>
      <c r="R147" s="3553"/>
      <c r="S147" s="3553"/>
      <c r="T147" s="3553"/>
      <c r="U147" s="3553"/>
      <c r="V147" s="3553"/>
      <c r="W147" s="3553"/>
      <c r="X147" s="3553"/>
      <c r="Y147" s="3553"/>
      <c r="Z147" s="3553"/>
      <c r="AA147" s="3553"/>
      <c r="AB147" s="3553"/>
      <c r="AC147" s="3553"/>
      <c r="AD147" s="3553"/>
      <c r="AE147" s="3553"/>
      <c r="AF147" s="3553"/>
      <c r="AG147" s="3553"/>
      <c r="AH147" s="3553"/>
      <c r="AI147" s="3553"/>
      <c r="AJ147" s="3553"/>
      <c r="AK147" s="3553"/>
      <c r="AL147" s="3553"/>
      <c r="AM147" s="3553"/>
      <c r="AN147" s="3553"/>
      <c r="AO147" s="3553"/>
      <c r="AP147" s="3553">
        <v>1</v>
      </c>
      <c r="AQ147" s="3553">
        <v>8</v>
      </c>
      <c r="AR147" s="3553"/>
      <c r="AS147" s="3553"/>
      <c r="AT147" s="3553"/>
      <c r="AU147" s="3553"/>
      <c r="AV147" s="3553"/>
      <c r="AW147" s="3553"/>
      <c r="AX147" s="3553"/>
      <c r="AY147" s="3553"/>
      <c r="AZ147" s="3553"/>
      <c r="BA147" s="3553"/>
      <c r="BB147" s="3553">
        <v>8</v>
      </c>
      <c r="BC147" s="3580">
        <v>1</v>
      </c>
      <c r="BD147" s="3580">
        <v>1</v>
      </c>
      <c r="BE147" s="3553"/>
      <c r="BF147" s="3553"/>
      <c r="BG147" s="3553"/>
      <c r="BH147" s="3553"/>
      <c r="BI147" s="3553"/>
      <c r="BJ147" s="3580">
        <v>1</v>
      </c>
      <c r="BK147" s="3553"/>
      <c r="BL147" s="3553"/>
      <c r="BM147" s="3553"/>
      <c r="BN147" s="3553"/>
      <c r="BO147" s="3553"/>
      <c r="BP147" s="3553"/>
      <c r="BQ147" s="3553"/>
      <c r="BR147" s="3553"/>
      <c r="BS147" s="3553"/>
      <c r="BT147" s="3553"/>
      <c r="BU147" s="3553"/>
      <c r="BV147" s="3553"/>
      <c r="BW147" s="3553"/>
      <c r="BX147" s="3553"/>
      <c r="BY147" s="3553"/>
      <c r="BZ147" s="3553"/>
      <c r="CA147" s="3553"/>
      <c r="CB147" s="3553"/>
      <c r="CC147" s="3553"/>
      <c r="CD147" s="3553"/>
      <c r="CE147" s="3553"/>
      <c r="CF147" s="3553"/>
      <c r="CG147" s="3553"/>
      <c r="CH147" s="3553"/>
      <c r="CI147" s="3553"/>
      <c r="CJ147" s="3553"/>
      <c r="CK147" s="3553"/>
      <c r="CL147" s="3553"/>
      <c r="CM147" s="3553"/>
      <c r="CN147" s="3553"/>
      <c r="CO147" s="3553"/>
      <c r="CP147" s="3553"/>
      <c r="CQ147" s="3553"/>
      <c r="CR147" s="3553"/>
      <c r="CS147" s="3553"/>
      <c r="CT147" s="3553">
        <v>8</v>
      </c>
      <c r="CU147" s="3553"/>
      <c r="CV147" s="3553"/>
      <c r="CW147" s="3553"/>
      <c r="CX147" s="3553"/>
      <c r="CY147" s="3553"/>
      <c r="CZ147" s="3553"/>
      <c r="DA147" s="3553"/>
      <c r="DB147" s="3553"/>
      <c r="DC147" s="3553"/>
      <c r="DD147" s="3553"/>
      <c r="DE147" s="3553"/>
      <c r="DF147" s="3553"/>
      <c r="DG147" s="3553"/>
      <c r="DH147" s="3553"/>
      <c r="DI147" s="3553">
        <v>8</v>
      </c>
      <c r="DJ147" s="3553"/>
      <c r="DK147" s="3553"/>
      <c r="DL147" s="3553"/>
      <c r="DM147" s="3553"/>
      <c r="DN147" s="3553"/>
      <c r="DO147" s="3553"/>
      <c r="DP147" s="3553"/>
      <c r="DQ147" s="3553"/>
      <c r="DR147" s="3553"/>
      <c r="DS147" s="3553"/>
      <c r="DT147" s="3553"/>
      <c r="DU147" s="3553"/>
      <c r="DV147" s="3553"/>
      <c r="DW147" s="3553"/>
      <c r="DX147" s="3553"/>
      <c r="DY147" s="3553"/>
      <c r="DZ147" s="3553"/>
      <c r="EA147" s="3553"/>
      <c r="EB147" s="3553"/>
      <c r="EC147" s="3553"/>
      <c r="ED147" s="3553"/>
      <c r="EE147" s="3553"/>
      <c r="EF147" s="3553"/>
      <c r="EG147" s="3553"/>
      <c r="EH147" s="3553"/>
      <c r="EI147" s="3553"/>
      <c r="EJ147" s="3553"/>
      <c r="EK147" s="3553"/>
      <c r="EL147" s="3553"/>
      <c r="EM147" s="3553"/>
      <c r="EN147" s="3553"/>
      <c r="EO147" s="3553"/>
      <c r="EP147" s="3553"/>
      <c r="EQ147" s="3553"/>
      <c r="ER147" s="3553"/>
      <c r="ES147" s="3553"/>
      <c r="ET147" s="3553"/>
      <c r="EU147" s="3553"/>
      <c r="EV147" s="3553"/>
      <c r="EW147" s="3553"/>
      <c r="EX147" s="3553">
        <v>1</v>
      </c>
      <c r="EY147" s="3553"/>
      <c r="EZ147" s="3553"/>
      <c r="FA147" s="3553"/>
      <c r="FB147" s="3553"/>
      <c r="FC147" s="3553"/>
      <c r="FD147" s="3553"/>
      <c r="FE147" s="3553"/>
      <c r="FF147" s="3553"/>
      <c r="FG147" s="3553"/>
      <c r="FH147" s="3553"/>
      <c r="FI147" s="3553"/>
      <c r="FJ147" s="3553"/>
      <c r="FK147" s="3553"/>
      <c r="FL147" s="3553"/>
      <c r="FM147" s="3553"/>
      <c r="FN147" s="3553"/>
      <c r="FO147" s="3553"/>
      <c r="FP147" s="3553"/>
      <c r="FQ147" s="3553"/>
      <c r="FR147" s="3553"/>
      <c r="FS147" s="3553"/>
      <c r="FT147" s="3553"/>
      <c r="FU147" s="3553"/>
      <c r="FV147" s="3553"/>
      <c r="FW147" s="3553"/>
      <c r="FX147" s="3553"/>
      <c r="FY147" s="3553"/>
      <c r="FZ147" s="3553"/>
      <c r="GA147" s="3553"/>
      <c r="GB147" s="3553"/>
      <c r="GC147" s="3553"/>
      <c r="GD147" s="3553"/>
      <c r="GE147" s="3553"/>
      <c r="GF147" s="3580">
        <v>1</v>
      </c>
      <c r="GG147" s="3553"/>
      <c r="GH147" s="3553"/>
      <c r="GI147" s="3553"/>
      <c r="GJ147" s="3553"/>
      <c r="GK147" s="3553"/>
      <c r="GL147" s="3553"/>
      <c r="GM147" s="3553"/>
      <c r="GN147" s="3553"/>
      <c r="GO147" s="3553"/>
      <c r="GP147" s="3553"/>
      <c r="GQ147" s="3553"/>
      <c r="GR147" s="3553"/>
      <c r="GS147" s="3553"/>
      <c r="GT147" s="3553"/>
      <c r="GU147" s="3553"/>
      <c r="GV147" s="3553"/>
      <c r="GW147" s="3553"/>
      <c r="GX147" s="3553"/>
      <c r="GY147" s="3553"/>
      <c r="GZ147" s="3553"/>
      <c r="HA147" s="3553"/>
      <c r="HB147" s="3553"/>
      <c r="HC147" s="3553"/>
      <c r="HD147" s="3553"/>
      <c r="HE147" s="3553"/>
      <c r="HF147" s="3553"/>
      <c r="HG147" s="3553"/>
      <c r="HH147" s="3581">
        <v>1</v>
      </c>
      <c r="HI147" s="3553"/>
      <c r="HJ147" s="2295">
        <v>1</v>
      </c>
      <c r="HK147" s="2295">
        <v>1</v>
      </c>
      <c r="HL147" s="2295">
        <v>1</v>
      </c>
      <c r="HM147" s="2295">
        <v>1</v>
      </c>
      <c r="HN147" s="3553"/>
      <c r="HO147" s="3553"/>
      <c r="HP147" s="3553">
        <v>1</v>
      </c>
      <c r="HQ147" s="3553"/>
      <c r="HR147" s="3553">
        <v>1</v>
      </c>
      <c r="HS147" s="3553"/>
      <c r="HT147" s="3553"/>
      <c r="HU147" s="3553"/>
      <c r="HV147" s="3553"/>
      <c r="HW147" s="3553"/>
      <c r="HX147" s="3553"/>
      <c r="HY147" s="3553"/>
      <c r="HZ147" s="3553"/>
      <c r="IA147" s="3553"/>
      <c r="IB147" s="3553"/>
      <c r="IC147" s="3553"/>
      <c r="ID147" s="3553"/>
      <c r="IE147" s="3553"/>
      <c r="IF147" s="3553">
        <v>1</v>
      </c>
      <c r="IG147" s="3553"/>
      <c r="IH147" s="3553"/>
      <c r="II147" s="3553"/>
      <c r="IJ147" s="3553"/>
      <c r="IK147" s="3553"/>
      <c r="IL147" s="3553"/>
      <c r="IM147" s="3553"/>
      <c r="IN147" s="3553"/>
      <c r="IO147" s="3553"/>
      <c r="IP147" s="3553"/>
      <c r="IQ147" s="3553"/>
      <c r="IR147" s="3553"/>
      <c r="IS147" s="3553"/>
      <c r="IT147" s="3553"/>
      <c r="IU147" s="3553"/>
      <c r="IV147" s="3553"/>
      <c r="IW147" s="3553"/>
      <c r="IX147" s="3553"/>
      <c r="IY147" s="3553"/>
      <c r="IZ147" s="3553"/>
      <c r="JA147" s="3553"/>
      <c r="JB147" s="3553"/>
      <c r="JC147" s="3553"/>
      <c r="JD147" s="4228"/>
      <c r="JE147" s="4228"/>
      <c r="JF147" s="4228"/>
      <c r="JG147" s="4083"/>
    </row>
    <row r="148" spans="1:267" x14ac:dyDescent="0.2">
      <c r="A148" s="3612">
        <v>5</v>
      </c>
      <c r="B148" s="3616" t="str">
        <f si="8" t="shared"/>
        <v/>
      </c>
      <c r="C148" s="34"/>
      <c r="D148" s="3617" t="s">
        <v>8246</v>
      </c>
      <c r="E148" s="3582"/>
      <c r="F148" s="3583"/>
      <c r="G148" s="3554"/>
      <c r="H148" s="3554"/>
      <c r="I148" s="3584"/>
      <c r="J148" s="3584"/>
      <c r="K148" s="3584"/>
      <c r="L148" s="3584"/>
      <c r="M148" s="3554"/>
      <c r="N148" s="3554"/>
      <c r="O148" s="3554"/>
      <c r="P148" s="3554"/>
      <c r="Q148" s="3554"/>
      <c r="R148" s="3554"/>
      <c r="S148" s="3554"/>
      <c r="T148" s="3554"/>
      <c r="U148" s="3554"/>
      <c r="V148" s="3554"/>
      <c r="W148" s="3554"/>
      <c r="X148" s="3554"/>
      <c r="Y148" s="3554"/>
      <c r="Z148" s="3554"/>
      <c r="AA148" s="3554"/>
      <c r="AB148" s="3554"/>
      <c r="AC148" s="3554"/>
      <c r="AD148" s="3554"/>
      <c r="AE148" s="3554"/>
      <c r="AF148" s="3554"/>
      <c r="AG148" s="3554"/>
      <c r="AH148" s="3554"/>
      <c r="AI148" s="3554"/>
      <c r="AJ148" s="3554"/>
      <c r="AK148" s="3554"/>
      <c r="AL148" s="3554"/>
      <c r="AM148" s="3554"/>
      <c r="AN148" s="3554"/>
      <c r="AO148" s="3554"/>
      <c r="AP148" s="3584">
        <v>6741</v>
      </c>
      <c r="AQ148" s="3583">
        <v>422</v>
      </c>
      <c r="AR148" s="3554"/>
      <c r="AS148" s="3554"/>
      <c r="AT148" s="3554"/>
      <c r="AU148" s="3554"/>
      <c r="AV148" s="3554"/>
      <c r="AW148" s="3554"/>
      <c r="AX148" s="3554"/>
      <c r="AY148" s="3554"/>
      <c r="AZ148" s="3554"/>
      <c r="BA148" s="3554"/>
      <c r="BB148" s="3583">
        <v>422</v>
      </c>
      <c r="BC148" s="3582">
        <v>6741</v>
      </c>
      <c r="BD148" s="3582">
        <v>6741</v>
      </c>
      <c r="BE148" s="3554"/>
      <c r="BF148" s="3554"/>
      <c r="BG148" s="3554"/>
      <c r="BH148" s="3554"/>
      <c r="BI148" s="3554"/>
      <c r="BJ148" s="3582">
        <v>6741</v>
      </c>
      <c r="BK148" s="3554"/>
      <c r="BL148" s="3554"/>
      <c r="BM148" s="3554"/>
      <c r="BN148" s="3554"/>
      <c r="BO148" s="3554"/>
      <c r="BP148" s="3554"/>
      <c r="BQ148" s="3554"/>
      <c r="BR148" s="3554"/>
      <c r="BS148" s="3554"/>
      <c r="BT148" s="3554"/>
      <c r="BU148" s="3554"/>
      <c r="BV148" s="3554"/>
      <c r="BW148" s="3554"/>
      <c r="BX148" s="3554"/>
      <c r="BY148" s="3554"/>
      <c r="BZ148" s="3554"/>
      <c r="CA148" s="3554"/>
      <c r="CB148" s="3554"/>
      <c r="CC148" s="3554"/>
      <c r="CD148" s="3554"/>
      <c r="CE148" s="3554"/>
      <c r="CF148" s="3554"/>
      <c r="CG148" s="3554"/>
      <c r="CH148" s="3554"/>
      <c r="CI148" s="3554"/>
      <c r="CJ148" s="3554"/>
      <c r="CK148" s="3554"/>
      <c r="CL148" s="3554"/>
      <c r="CM148" s="3554"/>
      <c r="CN148" s="3554"/>
      <c r="CO148" s="3554"/>
      <c r="CP148" s="3554"/>
      <c r="CQ148" s="3554"/>
      <c r="CR148" s="3554"/>
      <c r="CS148" s="3554"/>
      <c r="CT148" s="3583">
        <v>422</v>
      </c>
      <c r="CU148" s="3554"/>
      <c r="CV148" s="3554"/>
      <c r="CW148" s="3554"/>
      <c r="CX148" s="3554"/>
      <c r="CY148" s="3554"/>
      <c r="CZ148" s="3554"/>
      <c r="DA148" s="3554"/>
      <c r="DB148" s="3554"/>
      <c r="DC148" s="3554"/>
      <c r="DD148" s="3554"/>
      <c r="DE148" s="3554"/>
      <c r="DF148" s="3554"/>
      <c r="DG148" s="3554"/>
      <c r="DH148" s="3554"/>
      <c r="DI148" s="3583">
        <v>422</v>
      </c>
      <c r="DJ148" s="3554"/>
      <c r="DK148" s="3554"/>
      <c r="DL148" s="3554"/>
      <c r="DM148" s="3554"/>
      <c r="DN148" s="3554"/>
      <c r="DO148" s="3554"/>
      <c r="DP148" s="3554"/>
      <c r="DQ148" s="3554"/>
      <c r="DR148" s="3554"/>
      <c r="DS148" s="3554"/>
      <c r="DT148" s="3554"/>
      <c r="DU148" s="3554"/>
      <c r="DV148" s="3554"/>
      <c r="DW148" s="3554"/>
      <c r="DX148" s="3554"/>
      <c r="DY148" s="3554"/>
      <c r="DZ148" s="3554"/>
      <c r="EA148" s="3554"/>
      <c r="EB148" s="3554"/>
      <c r="EC148" s="3554"/>
      <c r="ED148" s="3554"/>
      <c r="EE148" s="3554"/>
      <c r="EF148" s="3554"/>
      <c r="EG148" s="3554"/>
      <c r="EH148" s="3554"/>
      <c r="EI148" s="3554"/>
      <c r="EJ148" s="3554"/>
      <c r="EK148" s="3554"/>
      <c r="EL148" s="3554"/>
      <c r="EM148" s="3554"/>
      <c r="EN148" s="3554"/>
      <c r="EO148" s="3554"/>
      <c r="EP148" s="3554"/>
      <c r="EQ148" s="3554"/>
      <c r="ER148" s="3554"/>
      <c r="ES148" s="3554"/>
      <c r="ET148" s="3554"/>
      <c r="EU148" s="3554"/>
      <c r="EV148" s="3554"/>
      <c r="EW148" s="3554"/>
      <c r="EX148" s="3584">
        <v>1360</v>
      </c>
      <c r="EY148" s="3554"/>
      <c r="EZ148" s="3554"/>
      <c r="FA148" s="3554"/>
      <c r="FB148" s="3554"/>
      <c r="FC148" s="3554"/>
      <c r="FD148" s="3554"/>
      <c r="FE148" s="3554"/>
      <c r="FF148" s="3554"/>
      <c r="FG148" s="3554"/>
      <c r="FH148" s="3554"/>
      <c r="FI148" s="3554"/>
      <c r="FJ148" s="3554"/>
      <c r="FK148" s="3554"/>
      <c r="FL148" s="3554"/>
      <c r="FM148" s="3554"/>
      <c r="FN148" s="3554"/>
      <c r="FO148" s="3554"/>
      <c r="FP148" s="3554"/>
      <c r="FQ148" s="3554"/>
      <c r="FR148" s="3554"/>
      <c r="FS148" s="3554"/>
      <c r="FT148" s="3554"/>
      <c r="FU148" s="3554"/>
      <c r="FV148" s="3554"/>
      <c r="FW148" s="3554"/>
      <c r="FX148" s="3554"/>
      <c r="FY148" s="3554"/>
      <c r="FZ148" s="3554"/>
      <c r="GA148" s="3554"/>
      <c r="GB148" s="3554"/>
      <c r="GC148" s="3554"/>
      <c r="GD148" s="3554"/>
      <c r="GE148" s="3554"/>
      <c r="GF148" s="3582">
        <v>6741</v>
      </c>
      <c r="GG148" s="3554"/>
      <c r="GH148" s="3554"/>
      <c r="GI148" s="3554"/>
      <c r="GJ148" s="3554"/>
      <c r="GK148" s="3554"/>
      <c r="GL148" s="3554"/>
      <c r="GM148" s="3554"/>
      <c r="GN148" s="3554"/>
      <c r="GO148" s="3554"/>
      <c r="GP148" s="3554"/>
      <c r="GQ148" s="3554"/>
      <c r="GR148" s="3554"/>
      <c r="GS148" s="3554"/>
      <c r="GT148" s="3554"/>
      <c r="GU148" s="3554"/>
      <c r="GV148" s="3554"/>
      <c r="GW148" s="3554"/>
      <c r="GX148" s="3554"/>
      <c r="GY148" s="3554"/>
      <c r="GZ148" s="3554"/>
      <c r="HA148" s="3554"/>
      <c r="HB148" s="3554"/>
      <c r="HC148" s="3554"/>
      <c r="HD148" s="3554"/>
      <c r="HE148" s="3554"/>
      <c r="HF148" s="3554"/>
      <c r="HG148" s="3554"/>
      <c r="HH148" s="3585">
        <v>291486</v>
      </c>
      <c r="HI148" s="3554"/>
      <c r="HJ148" s="3554">
        <v>131762</v>
      </c>
      <c r="HK148" s="3554">
        <v>131762</v>
      </c>
      <c r="HL148" s="3554">
        <v>131762</v>
      </c>
      <c r="HM148" s="3554">
        <v>131762</v>
      </c>
      <c r="HN148" s="3554"/>
      <c r="HO148" s="3554"/>
      <c r="HP148" s="3584">
        <v>1360</v>
      </c>
      <c r="HQ148" s="3554"/>
      <c r="HR148" s="3584">
        <v>1360</v>
      </c>
      <c r="HS148" s="3554"/>
      <c r="HT148" s="3554"/>
      <c r="HU148" s="3554"/>
      <c r="HV148" s="3554"/>
      <c r="HW148" s="3554"/>
      <c r="HX148" s="3554"/>
      <c r="HY148" s="3554"/>
      <c r="HZ148" s="3554"/>
      <c r="IA148" s="3554"/>
      <c r="IB148" s="3554"/>
      <c r="IC148" s="3554"/>
      <c r="ID148" s="3554"/>
      <c r="IE148" s="3554"/>
      <c r="IF148" s="3554">
        <v>61765.16</v>
      </c>
      <c r="IG148" s="3554"/>
      <c r="IH148" s="3554"/>
      <c r="II148" s="3554"/>
      <c r="IJ148" s="3554"/>
      <c r="IK148" s="3554"/>
      <c r="IL148" s="3554"/>
      <c r="IM148" s="3554"/>
      <c r="IN148" s="3554"/>
      <c r="IO148" s="3554"/>
      <c r="IP148" s="3554"/>
      <c r="IQ148" s="3554"/>
      <c r="IR148" s="3554"/>
      <c r="IS148" s="3554"/>
      <c r="IT148" s="3554"/>
      <c r="IU148" s="3554"/>
      <c r="IV148" s="3554"/>
      <c r="IW148" s="3554"/>
      <c r="IX148" s="3554"/>
      <c r="IY148" s="3554"/>
      <c r="IZ148" s="3554"/>
      <c r="JA148" s="3554"/>
      <c r="JB148" s="3554"/>
      <c r="JC148" s="3554"/>
      <c r="JD148" s="4229"/>
      <c r="JE148" s="4229"/>
      <c r="JF148" s="4229"/>
      <c r="JG148" s="3585"/>
    </row>
    <row ht="13.5" r="149" spans="1:267" thickBot="1" x14ac:dyDescent="0.25">
      <c r="A149" s="3612">
        <v>6</v>
      </c>
      <c r="B149" s="3616" t="str">
        <f si="8" t="shared"/>
        <v/>
      </c>
      <c r="C149" s="34"/>
      <c r="D149" s="3617" t="s">
        <v>8247</v>
      </c>
      <c r="E149" s="3586"/>
      <c r="F149" s="3587"/>
      <c r="G149" s="3555"/>
      <c r="H149" s="3555"/>
      <c r="I149" s="3588"/>
      <c r="J149" s="3588"/>
      <c r="K149" s="3588"/>
      <c r="L149" s="3588"/>
      <c r="M149" s="3555"/>
      <c r="N149" s="3555"/>
      <c r="O149" s="3555"/>
      <c r="P149" s="3555"/>
      <c r="Q149" s="3555"/>
      <c r="R149" s="3555"/>
      <c r="S149" s="3555"/>
      <c r="T149" s="3555"/>
      <c r="U149" s="3555"/>
      <c r="V149" s="3555"/>
      <c r="W149" s="3555"/>
      <c r="X149" s="3555"/>
      <c r="Y149" s="3555"/>
      <c r="Z149" s="3555"/>
      <c r="AA149" s="3555"/>
      <c r="AB149" s="3555"/>
      <c r="AC149" s="3555"/>
      <c r="AD149" s="3555"/>
      <c r="AE149" s="3555"/>
      <c r="AF149" s="3555"/>
      <c r="AG149" s="3555"/>
      <c r="AH149" s="3555"/>
      <c r="AI149" s="3555"/>
      <c r="AJ149" s="3555"/>
      <c r="AK149" s="3555"/>
      <c r="AL149" s="3555"/>
      <c r="AM149" s="3555"/>
      <c r="AN149" s="3555"/>
      <c r="AO149" s="3555"/>
      <c r="AP149" s="3588">
        <v>1685</v>
      </c>
      <c r="AQ149" s="3587">
        <v>42</v>
      </c>
      <c r="AR149" s="3555"/>
      <c r="AS149" s="3555"/>
      <c r="AT149" s="3555"/>
      <c r="AU149" s="3555"/>
      <c r="AV149" s="3555"/>
      <c r="AW149" s="3555"/>
      <c r="AX149" s="3555"/>
      <c r="AY149" s="3555"/>
      <c r="AZ149" s="3555"/>
      <c r="BA149" s="3555"/>
      <c r="BB149" s="3587">
        <v>42</v>
      </c>
      <c r="BC149" s="3586">
        <v>1685</v>
      </c>
      <c r="BD149" s="3586">
        <v>1685</v>
      </c>
      <c r="BE149" s="3555"/>
      <c r="BF149" s="3555"/>
      <c r="BG149" s="3555"/>
      <c r="BH149" s="3555"/>
      <c r="BI149" s="3555"/>
      <c r="BJ149" s="3586">
        <v>1685</v>
      </c>
      <c r="BK149" s="3555"/>
      <c r="BL149" s="3555"/>
      <c r="BM149" s="3555"/>
      <c r="BN149" s="3555"/>
      <c r="BO149" s="3555"/>
      <c r="BP149" s="3555"/>
      <c r="BQ149" s="3555"/>
      <c r="BR149" s="3555"/>
      <c r="BS149" s="3555"/>
      <c r="BT149" s="3555"/>
      <c r="BU149" s="3555"/>
      <c r="BV149" s="3555"/>
      <c r="BW149" s="3555"/>
      <c r="BX149" s="3555"/>
      <c r="BY149" s="3555"/>
      <c r="BZ149" s="3555"/>
      <c r="CA149" s="3555"/>
      <c r="CB149" s="3555"/>
      <c r="CC149" s="3555"/>
      <c r="CD149" s="3555"/>
      <c r="CE149" s="3555"/>
      <c r="CF149" s="3555"/>
      <c r="CG149" s="3555"/>
      <c r="CH149" s="3555"/>
      <c r="CI149" s="3555"/>
      <c r="CJ149" s="3555"/>
      <c r="CK149" s="3555"/>
      <c r="CL149" s="3555"/>
      <c r="CM149" s="3555"/>
      <c r="CN149" s="3555"/>
      <c r="CO149" s="3555"/>
      <c r="CP149" s="3555"/>
      <c r="CQ149" s="3555"/>
      <c r="CR149" s="3555"/>
      <c r="CS149" s="3555"/>
      <c r="CT149" s="3587">
        <v>42</v>
      </c>
      <c r="CU149" s="3555"/>
      <c r="CV149" s="3555"/>
      <c r="CW149" s="3555"/>
      <c r="CX149" s="3555"/>
      <c r="CY149" s="3555"/>
      <c r="CZ149" s="3555"/>
      <c r="DA149" s="3555"/>
      <c r="DB149" s="3555"/>
      <c r="DC149" s="3555"/>
      <c r="DD149" s="3555"/>
      <c r="DE149" s="3555"/>
      <c r="DF149" s="3555"/>
      <c r="DG149" s="3555"/>
      <c r="DH149" s="3555"/>
      <c r="DI149" s="3587">
        <v>42</v>
      </c>
      <c r="DJ149" s="3555"/>
      <c r="DK149" s="3555"/>
      <c r="DL149" s="3555"/>
      <c r="DM149" s="3555"/>
      <c r="DN149" s="3555"/>
      <c r="DO149" s="3555"/>
      <c r="DP149" s="3555"/>
      <c r="DQ149" s="3555"/>
      <c r="DR149" s="3555"/>
      <c r="DS149" s="3555"/>
      <c r="DT149" s="3555"/>
      <c r="DU149" s="3555"/>
      <c r="DV149" s="3555"/>
      <c r="DW149" s="3555"/>
      <c r="DX149" s="3555"/>
      <c r="DY149" s="3555"/>
      <c r="DZ149" s="3555"/>
      <c r="EA149" s="3555"/>
      <c r="EB149" s="3555"/>
      <c r="EC149" s="3555"/>
      <c r="ED149" s="3555"/>
      <c r="EE149" s="3555"/>
      <c r="EF149" s="3555"/>
      <c r="EG149" s="3555"/>
      <c r="EH149" s="3555"/>
      <c r="EI149" s="3555"/>
      <c r="EJ149" s="3555"/>
      <c r="EK149" s="3555"/>
      <c r="EL149" s="3555"/>
      <c r="EM149" s="3555"/>
      <c r="EN149" s="3555"/>
      <c r="EO149" s="3555"/>
      <c r="EP149" s="3555"/>
      <c r="EQ149" s="3555"/>
      <c r="ER149" s="3555"/>
      <c r="ES149" s="3555"/>
      <c r="ET149" s="3555"/>
      <c r="EU149" s="3555"/>
      <c r="EV149" s="3555"/>
      <c r="EW149" s="3555"/>
      <c r="EX149" s="3588">
        <v>340</v>
      </c>
      <c r="EY149" s="3555"/>
      <c r="EZ149" s="3555"/>
      <c r="FA149" s="3555"/>
      <c r="FB149" s="3555"/>
      <c r="FC149" s="3555"/>
      <c r="FD149" s="3555"/>
      <c r="FE149" s="3555"/>
      <c r="FF149" s="3555"/>
      <c r="FG149" s="3555"/>
      <c r="FH149" s="3555"/>
      <c r="FI149" s="3555"/>
      <c r="FJ149" s="3555"/>
      <c r="FK149" s="3555"/>
      <c r="FL149" s="3555"/>
      <c r="FM149" s="3555"/>
      <c r="FN149" s="3555"/>
      <c r="FO149" s="3555"/>
      <c r="FP149" s="3555"/>
      <c r="FQ149" s="3555"/>
      <c r="FR149" s="3555"/>
      <c r="FS149" s="3555"/>
      <c r="FT149" s="3555"/>
      <c r="FU149" s="3555"/>
      <c r="FV149" s="3555"/>
      <c r="FW149" s="3555"/>
      <c r="FX149" s="3555"/>
      <c r="FY149" s="3555"/>
      <c r="FZ149" s="3555"/>
      <c r="GA149" s="3555"/>
      <c r="GB149" s="3555"/>
      <c r="GC149" s="3555"/>
      <c r="GD149" s="3555"/>
      <c r="GE149" s="3555"/>
      <c r="GF149" s="3586">
        <v>1685</v>
      </c>
      <c r="GG149" s="3555"/>
      <c r="GH149" s="3555"/>
      <c r="GI149" s="3555"/>
      <c r="GJ149" s="3555"/>
      <c r="GK149" s="3555"/>
      <c r="GL149" s="3555"/>
      <c r="GM149" s="3555"/>
      <c r="GN149" s="3555"/>
      <c r="GO149" s="3555"/>
      <c r="GP149" s="3555"/>
      <c r="GQ149" s="3555"/>
      <c r="GR149" s="3555"/>
      <c r="GS149" s="3555"/>
      <c r="GT149" s="3555"/>
      <c r="GU149" s="3555"/>
      <c r="GV149" s="3555"/>
      <c r="GW149" s="3555"/>
      <c r="GX149" s="3555"/>
      <c r="GY149" s="3555"/>
      <c r="GZ149" s="3555"/>
      <c r="HA149" s="3555"/>
      <c r="HB149" s="3555"/>
      <c r="HC149" s="3555"/>
      <c r="HD149" s="3555"/>
      <c r="HE149" s="3555"/>
      <c r="HF149" s="3555"/>
      <c r="HG149" s="3555"/>
      <c r="HH149" s="3588">
        <v>121168</v>
      </c>
      <c r="HI149" s="3555"/>
      <c r="HJ149" s="3588">
        <v>35299</v>
      </c>
      <c r="HK149" s="3588">
        <v>35299</v>
      </c>
      <c r="HL149" s="3588">
        <v>35299</v>
      </c>
      <c r="HM149" s="3588">
        <v>35299</v>
      </c>
      <c r="HN149" s="3555"/>
      <c r="HO149" s="3555"/>
      <c r="HP149" s="3588">
        <v>340</v>
      </c>
      <c r="HQ149" s="3555"/>
      <c r="HR149" s="3588">
        <v>340</v>
      </c>
      <c r="HS149" s="3555"/>
      <c r="HT149" s="3555"/>
      <c r="HU149" s="3555"/>
      <c r="HV149" s="3555"/>
      <c r="HW149" s="3555"/>
      <c r="HX149" s="3555"/>
      <c r="HY149" s="3555"/>
      <c r="HZ149" s="3555"/>
      <c r="IA149" s="3555"/>
      <c r="IB149" s="3555"/>
      <c r="IC149" s="3555"/>
      <c r="ID149" s="3555"/>
      <c r="IE149" s="3555"/>
      <c r="IF149" s="3555">
        <v>16584</v>
      </c>
      <c r="IG149" s="3555"/>
      <c r="IH149" s="3555"/>
      <c r="II149" s="3555"/>
      <c r="IJ149" s="3555"/>
      <c r="IK149" s="3555"/>
      <c r="IL149" s="3555"/>
      <c r="IM149" s="3555"/>
      <c r="IN149" s="3555"/>
      <c r="IO149" s="3555"/>
      <c r="IP149" s="3555"/>
      <c r="IQ149" s="3555"/>
      <c r="IR149" s="3555"/>
      <c r="IS149" s="3555"/>
      <c r="IT149" s="3555"/>
      <c r="IU149" s="3555"/>
      <c r="IV149" s="3555"/>
      <c r="IW149" s="3555"/>
      <c r="IX149" s="3555"/>
      <c r="IY149" s="3555"/>
      <c r="IZ149" s="3555"/>
      <c r="JA149" s="3555"/>
      <c r="JB149" s="3555"/>
      <c r="JC149" s="3555"/>
      <c r="JD149" s="4230"/>
      <c r="JE149" s="4230"/>
      <c r="JF149" s="4230"/>
      <c r="JG149" s="4084"/>
    </row>
    <row r="150" spans="1:267" x14ac:dyDescent="0.2">
      <c r="A150" s="3612">
        <v>7</v>
      </c>
      <c r="B150" s="3616" t="str">
        <f si="8" t="shared"/>
        <v/>
      </c>
      <c r="C150" s="34"/>
      <c r="D150" s="3617" t="s">
        <v>8248</v>
      </c>
      <c r="E150" s="3589"/>
      <c r="F150" s="3590"/>
      <c r="G150" s="3604"/>
      <c r="H150" s="3604"/>
      <c r="I150" s="3552"/>
      <c r="J150" s="3552"/>
      <c r="K150" s="3552"/>
      <c r="L150" s="3552"/>
      <c r="M150" s="3552"/>
      <c r="N150" s="3552"/>
      <c r="O150" s="3552"/>
      <c r="P150" s="3552"/>
      <c r="Q150" s="3552"/>
      <c r="R150" s="3552"/>
      <c r="S150" s="3552"/>
      <c r="T150" s="3552"/>
      <c r="U150" s="3552"/>
      <c r="V150" s="3552"/>
      <c r="W150" s="3552"/>
      <c r="X150" s="3552"/>
      <c r="Y150" s="3552"/>
      <c r="Z150" s="3552"/>
      <c r="AA150" s="3552"/>
      <c r="AB150" s="3552"/>
      <c r="AC150" s="3552"/>
      <c r="AD150" s="3552"/>
      <c r="AE150" s="3552"/>
      <c r="AF150" s="3552"/>
      <c r="AG150" s="3552"/>
      <c r="AH150" s="3552"/>
      <c r="AI150" s="3552"/>
      <c r="AJ150" s="3552"/>
      <c r="AK150" s="3552"/>
      <c r="AL150" s="3552"/>
      <c r="AM150" s="3552"/>
      <c r="AN150" s="3552"/>
      <c r="AO150" s="3552"/>
      <c r="AP150" s="3578">
        <v>4</v>
      </c>
      <c r="AQ150" s="3590">
        <v>1</v>
      </c>
      <c r="AR150" s="3552"/>
      <c r="AS150" s="3552"/>
      <c r="AT150" s="3552"/>
      <c r="AU150" s="3552"/>
      <c r="AV150" s="3552"/>
      <c r="AW150" s="3552"/>
      <c r="AX150" s="3552"/>
      <c r="AY150" s="3552"/>
      <c r="AZ150" s="3552"/>
      <c r="BA150" s="3552"/>
      <c r="BB150" s="3590">
        <v>1</v>
      </c>
      <c r="BC150" s="3589">
        <v>4</v>
      </c>
      <c r="BD150" s="3589">
        <v>4</v>
      </c>
      <c r="BE150" s="3552"/>
      <c r="BF150" s="3552"/>
      <c r="BG150" s="3552"/>
      <c r="BH150" s="3552"/>
      <c r="BI150" s="3552"/>
      <c r="BJ150" s="3589">
        <v>4</v>
      </c>
      <c r="BK150" s="3552"/>
      <c r="BL150" s="3552"/>
      <c r="BM150" s="3552"/>
      <c r="BN150" s="3552"/>
      <c r="BO150" s="3552"/>
      <c r="BP150" s="3552"/>
      <c r="BQ150" s="3552"/>
      <c r="BR150" s="3552"/>
      <c r="BS150" s="3552"/>
      <c r="BT150" s="3552"/>
      <c r="BU150" s="3552"/>
      <c r="BV150" s="3552"/>
      <c r="BW150" s="3552"/>
      <c r="BX150" s="3552"/>
      <c r="BY150" s="3552"/>
      <c r="BZ150" s="3552"/>
      <c r="CA150" s="3552"/>
      <c r="CB150" s="3552"/>
      <c r="CC150" s="3552"/>
      <c r="CD150" s="3552"/>
      <c r="CE150" s="3552"/>
      <c r="CF150" s="3552"/>
      <c r="CG150" s="3552"/>
      <c r="CH150" s="3552"/>
      <c r="CI150" s="3552"/>
      <c r="CJ150" s="3552"/>
      <c r="CK150" s="3552"/>
      <c r="CL150" s="3552"/>
      <c r="CM150" s="3552"/>
      <c r="CN150" s="3552"/>
      <c r="CO150" s="3552"/>
      <c r="CP150" s="3552"/>
      <c r="CQ150" s="3552"/>
      <c r="CR150" s="3552"/>
      <c r="CS150" s="3552"/>
      <c r="CT150" s="3590">
        <v>1</v>
      </c>
      <c r="CU150" s="3552"/>
      <c r="CV150" s="3552"/>
      <c r="CW150" s="3552"/>
      <c r="CX150" s="3552"/>
      <c r="CY150" s="3552"/>
      <c r="CZ150" s="3552"/>
      <c r="DA150" s="3552"/>
      <c r="DB150" s="3552"/>
      <c r="DC150" s="3552"/>
      <c r="DD150" s="3552"/>
      <c r="DE150" s="3552"/>
      <c r="DF150" s="3552"/>
      <c r="DG150" s="3552"/>
      <c r="DH150" s="3552"/>
      <c r="DI150" s="3590">
        <v>1</v>
      </c>
      <c r="DJ150" s="3552"/>
      <c r="DK150" s="3552"/>
      <c r="DL150" s="3552"/>
      <c r="DM150" s="3552"/>
      <c r="DN150" s="3552"/>
      <c r="DO150" s="3552"/>
      <c r="DP150" s="3552"/>
      <c r="DQ150" s="3552"/>
      <c r="DR150" s="3552"/>
      <c r="DS150" s="3552"/>
      <c r="DT150" s="3552"/>
      <c r="DU150" s="3552"/>
      <c r="DV150" s="3552"/>
      <c r="DW150" s="3552"/>
      <c r="DX150" s="3552"/>
      <c r="DY150" s="3552"/>
      <c r="DZ150" s="3552"/>
      <c r="EA150" s="3552"/>
      <c r="EB150" s="3552"/>
      <c r="EC150" s="3552"/>
      <c r="ED150" s="3552"/>
      <c r="EE150" s="3552"/>
      <c r="EF150" s="3552"/>
      <c r="EG150" s="3552"/>
      <c r="EH150" s="3552"/>
      <c r="EI150" s="3552"/>
      <c r="EJ150" s="3552"/>
      <c r="EK150" s="3552"/>
      <c r="EL150" s="3552"/>
      <c r="EM150" s="3552"/>
      <c r="EN150" s="3552"/>
      <c r="EO150" s="3552"/>
      <c r="EP150" s="3552"/>
      <c r="EQ150" s="3552"/>
      <c r="ER150" s="3552"/>
      <c r="ES150" s="3552"/>
      <c r="ET150" s="3552"/>
      <c r="EU150" s="3552"/>
      <c r="EV150" s="3552"/>
      <c r="EW150" s="3552"/>
      <c r="EX150" s="3552">
        <v>3</v>
      </c>
      <c r="EY150" s="3552"/>
      <c r="EZ150" s="3552"/>
      <c r="FA150" s="3552"/>
      <c r="FB150" s="3552"/>
      <c r="FC150" s="3552"/>
      <c r="FD150" s="3552"/>
      <c r="FE150" s="3552"/>
      <c r="FF150" s="3552"/>
      <c r="FG150" s="3552"/>
      <c r="FH150" s="3552"/>
      <c r="FI150" s="3552"/>
      <c r="FJ150" s="3552"/>
      <c r="FK150" s="3552"/>
      <c r="FL150" s="3552"/>
      <c r="FM150" s="3552"/>
      <c r="FN150" s="3552"/>
      <c r="FO150" s="3552"/>
      <c r="FP150" s="3552"/>
      <c r="FQ150" s="3552"/>
      <c r="FR150" s="3552"/>
      <c r="FS150" s="3552"/>
      <c r="FT150" s="3552"/>
      <c r="FU150" s="3552"/>
      <c r="FV150" s="3552"/>
      <c r="FW150" s="3552"/>
      <c r="FX150" s="3552"/>
      <c r="FY150" s="3552"/>
      <c r="FZ150" s="3552"/>
      <c r="GA150" s="3552"/>
      <c r="GB150" s="3552"/>
      <c r="GC150" s="3552"/>
      <c r="GD150" s="3552"/>
      <c r="GE150" s="3552"/>
      <c r="GF150" s="3589">
        <v>4</v>
      </c>
      <c r="GG150" s="3552"/>
      <c r="GH150" s="3552"/>
      <c r="GI150" s="3552"/>
      <c r="GJ150" s="3552"/>
      <c r="GK150" s="3552"/>
      <c r="GL150" s="3552"/>
      <c r="GM150" s="3552"/>
      <c r="GN150" s="3552"/>
      <c r="GO150" s="3552"/>
      <c r="GP150" s="3552"/>
      <c r="GQ150" s="3552"/>
      <c r="GR150" s="3552"/>
      <c r="GS150" s="3552"/>
      <c r="GT150" s="3552"/>
      <c r="GU150" s="3552"/>
      <c r="GV150" s="3552"/>
      <c r="GW150" s="3552"/>
      <c r="GX150" s="3552"/>
      <c r="GY150" s="3552"/>
      <c r="GZ150" s="3552"/>
      <c r="HA150" s="3552"/>
      <c r="HB150" s="3552"/>
      <c r="HC150" s="3552"/>
      <c r="HD150" s="3552"/>
      <c r="HE150" s="3552"/>
      <c r="HF150" s="3552"/>
      <c r="HG150" s="3552"/>
      <c r="HH150" s="3552">
        <v>1</v>
      </c>
      <c r="HI150" s="3552"/>
      <c r="HJ150" s="3552">
        <v>1</v>
      </c>
      <c r="HK150" s="3552">
        <v>1</v>
      </c>
      <c r="HL150" s="3552">
        <v>1</v>
      </c>
      <c r="HM150" s="3552">
        <v>1</v>
      </c>
      <c r="HN150" s="3552"/>
      <c r="HO150" s="3552"/>
      <c r="HP150" s="3552">
        <v>3</v>
      </c>
      <c r="HQ150" s="3552"/>
      <c r="HR150" s="3552">
        <v>3</v>
      </c>
      <c r="HS150" s="3552"/>
      <c r="HT150" s="3552"/>
      <c r="HU150" s="3552"/>
      <c r="HV150" s="3552"/>
      <c r="HW150" s="3552"/>
      <c r="HX150" s="3552"/>
      <c r="HY150" s="3552"/>
      <c r="HZ150" s="3552"/>
      <c r="IA150" s="3552"/>
      <c r="IB150" s="3552"/>
      <c r="IC150" s="3552"/>
      <c r="ID150" s="3552"/>
      <c r="IE150" s="3552"/>
      <c r="IF150" s="3552">
        <v>1</v>
      </c>
      <c r="IG150" s="3552"/>
      <c r="IH150" s="3552"/>
      <c r="II150" s="3552"/>
      <c r="IJ150" s="3552"/>
      <c r="IK150" s="3552"/>
      <c r="IL150" s="3552"/>
      <c r="IM150" s="3552"/>
      <c r="IN150" s="3552"/>
      <c r="IO150" s="3552"/>
      <c r="IP150" s="3552"/>
      <c r="IQ150" s="3552"/>
      <c r="IR150" s="3552"/>
      <c r="IS150" s="3552"/>
      <c r="IT150" s="3552"/>
      <c r="IU150" s="3552"/>
      <c r="IV150" s="3552"/>
      <c r="IW150" s="3552"/>
      <c r="IX150" s="3552"/>
      <c r="IY150" s="3552"/>
      <c r="IZ150" s="3552"/>
      <c r="JA150" s="3552"/>
      <c r="JB150" s="3552"/>
      <c r="JC150" s="3552"/>
      <c r="JD150" s="4227"/>
      <c r="JE150" s="4227"/>
      <c r="JF150" s="4227"/>
      <c r="JG150" s="3579"/>
    </row>
    <row r="151" spans="1:267" x14ac:dyDescent="0.2">
      <c r="A151" s="3612">
        <v>8</v>
      </c>
      <c r="B151" s="3616" t="str">
        <f si="8" t="shared"/>
        <v/>
      </c>
      <c r="C151" s="34"/>
      <c r="D151" s="3617" t="s">
        <v>8249</v>
      </c>
      <c r="E151" s="3580"/>
      <c r="F151" s="3553"/>
      <c r="G151" s="3553"/>
      <c r="H151" s="3553"/>
      <c r="I151" s="3553"/>
      <c r="J151" s="2295"/>
      <c r="K151" s="2295"/>
      <c r="L151" s="3553"/>
      <c r="M151" s="3553"/>
      <c r="N151" s="3553"/>
      <c r="O151" s="3553"/>
      <c r="P151" s="3553"/>
      <c r="Q151" s="3553"/>
      <c r="R151" s="3553"/>
      <c r="S151" s="3553"/>
      <c r="T151" s="3553"/>
      <c r="U151" s="3553"/>
      <c r="V151" s="3553"/>
      <c r="W151" s="3553"/>
      <c r="X151" s="3553"/>
      <c r="Y151" s="3553"/>
      <c r="Z151" s="3553"/>
      <c r="AA151" s="3553"/>
      <c r="AB151" s="3553"/>
      <c r="AC151" s="3553"/>
      <c r="AD151" s="3553"/>
      <c r="AE151" s="3553"/>
      <c r="AF151" s="3553"/>
      <c r="AG151" s="3553"/>
      <c r="AH151" s="3553"/>
      <c r="AI151" s="3553"/>
      <c r="AJ151" s="3553"/>
      <c r="AK151" s="3553"/>
      <c r="AL151" s="3553"/>
      <c r="AM151" s="3553"/>
      <c r="AN151" s="3553"/>
      <c r="AO151" s="3553"/>
      <c r="AP151" s="3553">
        <v>10</v>
      </c>
      <c r="AQ151" s="3553">
        <v>1</v>
      </c>
      <c r="AR151" s="3553"/>
      <c r="AS151" s="3553"/>
      <c r="AT151" s="3553"/>
      <c r="AU151" s="3553"/>
      <c r="AV151" s="3553"/>
      <c r="AW151" s="3553"/>
      <c r="AX151" s="3553"/>
      <c r="AY151" s="3553"/>
      <c r="AZ151" s="3553"/>
      <c r="BA151" s="3553"/>
      <c r="BB151" s="3553">
        <v>1</v>
      </c>
      <c r="BC151" s="3580">
        <v>10</v>
      </c>
      <c r="BD151" s="3580">
        <v>10</v>
      </c>
      <c r="BE151" s="3553"/>
      <c r="BF151" s="3553"/>
      <c r="BG151" s="3553"/>
      <c r="BH151" s="3553"/>
      <c r="BI151" s="3553"/>
      <c r="BJ151" s="3580">
        <v>10</v>
      </c>
      <c r="BK151" s="3553"/>
      <c r="BL151" s="3553"/>
      <c r="BM151" s="3553"/>
      <c r="BN151" s="3553"/>
      <c r="BO151" s="3553"/>
      <c r="BP151" s="3553"/>
      <c r="BQ151" s="3553"/>
      <c r="BR151" s="3553"/>
      <c r="BS151" s="3553"/>
      <c r="BT151" s="3553"/>
      <c r="BU151" s="3553"/>
      <c r="BV151" s="3553"/>
      <c r="BW151" s="3553"/>
      <c r="BX151" s="3553"/>
      <c r="BY151" s="3553"/>
      <c r="BZ151" s="3553"/>
      <c r="CA151" s="3553"/>
      <c r="CB151" s="3553"/>
      <c r="CC151" s="3553"/>
      <c r="CD151" s="3553"/>
      <c r="CE151" s="3553"/>
      <c r="CF151" s="3553"/>
      <c r="CG151" s="3553"/>
      <c r="CH151" s="3553"/>
      <c r="CI151" s="3553"/>
      <c r="CJ151" s="3553"/>
      <c r="CK151" s="3553"/>
      <c r="CL151" s="3553"/>
      <c r="CM151" s="3553"/>
      <c r="CN151" s="3553"/>
      <c r="CO151" s="3553"/>
      <c r="CP151" s="3553"/>
      <c r="CQ151" s="3553"/>
      <c r="CR151" s="3553"/>
      <c r="CS151" s="3553"/>
      <c r="CT151" s="3553">
        <v>1</v>
      </c>
      <c r="CU151" s="3553"/>
      <c r="CV151" s="3553"/>
      <c r="CW151" s="3553"/>
      <c r="CX151" s="3553"/>
      <c r="CY151" s="3553"/>
      <c r="CZ151" s="3553"/>
      <c r="DA151" s="3553"/>
      <c r="DB151" s="3553"/>
      <c r="DC151" s="3553"/>
      <c r="DD151" s="3553"/>
      <c r="DE151" s="3553"/>
      <c r="DF151" s="3553"/>
      <c r="DG151" s="3553"/>
      <c r="DH151" s="3553"/>
      <c r="DI151" s="3553">
        <v>1</v>
      </c>
      <c r="DJ151" s="3553"/>
      <c r="DK151" s="3553"/>
      <c r="DL151" s="3553"/>
      <c r="DM151" s="3553"/>
      <c r="DN151" s="3553"/>
      <c r="DO151" s="3553"/>
      <c r="DP151" s="3553"/>
      <c r="DQ151" s="3553"/>
      <c r="DR151" s="3553"/>
      <c r="DS151" s="3553"/>
      <c r="DT151" s="3553"/>
      <c r="DU151" s="3553"/>
      <c r="DV151" s="3553"/>
      <c r="DW151" s="3553"/>
      <c r="DX151" s="3553"/>
      <c r="DY151" s="3553"/>
      <c r="DZ151" s="3553"/>
      <c r="EA151" s="3553"/>
      <c r="EB151" s="3553"/>
      <c r="EC151" s="3553"/>
      <c r="ED151" s="3553"/>
      <c r="EE151" s="3553"/>
      <c r="EF151" s="3553"/>
      <c r="EG151" s="3553"/>
      <c r="EH151" s="3553"/>
      <c r="EI151" s="3553"/>
      <c r="EJ151" s="3553"/>
      <c r="EK151" s="3553"/>
      <c r="EL151" s="3553"/>
      <c r="EM151" s="3553"/>
      <c r="EN151" s="3553"/>
      <c r="EO151" s="3553"/>
      <c r="EP151" s="3553"/>
      <c r="EQ151" s="3553"/>
      <c r="ER151" s="3553"/>
      <c r="ES151" s="3553"/>
      <c r="ET151" s="3553"/>
      <c r="EU151" s="3553"/>
      <c r="EV151" s="3553"/>
      <c r="EW151" s="3553"/>
      <c r="EX151" s="3553">
        <v>8</v>
      </c>
      <c r="EY151" s="3553"/>
      <c r="EZ151" s="3553"/>
      <c r="FA151" s="3553"/>
      <c r="FB151" s="3553"/>
      <c r="FC151" s="3553"/>
      <c r="FD151" s="3553"/>
      <c r="FE151" s="3553"/>
      <c r="FF151" s="3553"/>
      <c r="FG151" s="3553"/>
      <c r="FH151" s="3553"/>
      <c r="FI151" s="3553"/>
      <c r="FJ151" s="3553"/>
      <c r="FK151" s="3553"/>
      <c r="FL151" s="3553"/>
      <c r="FM151" s="3553"/>
      <c r="FN151" s="3553"/>
      <c r="FO151" s="3553"/>
      <c r="FP151" s="3553"/>
      <c r="FQ151" s="3553"/>
      <c r="FR151" s="3553"/>
      <c r="FS151" s="3553"/>
      <c r="FT151" s="3553"/>
      <c r="FU151" s="3553"/>
      <c r="FV151" s="3553"/>
      <c r="FW151" s="3553"/>
      <c r="FX151" s="3553"/>
      <c r="FY151" s="3553"/>
      <c r="FZ151" s="3553"/>
      <c r="GA151" s="3553"/>
      <c r="GB151" s="3553"/>
      <c r="GC151" s="3553"/>
      <c r="GD151" s="3553"/>
      <c r="GE151" s="3553"/>
      <c r="GF151" s="3580">
        <v>10</v>
      </c>
      <c r="GG151" s="3553"/>
      <c r="GH151" s="3553"/>
      <c r="GI151" s="3553"/>
      <c r="GJ151" s="3553"/>
      <c r="GK151" s="3553"/>
      <c r="GL151" s="3553"/>
      <c r="GM151" s="3553"/>
      <c r="GN151" s="3553"/>
      <c r="GO151" s="3553"/>
      <c r="GP151" s="3553"/>
      <c r="GQ151" s="3553"/>
      <c r="GR151" s="3553"/>
      <c r="GS151" s="3553"/>
      <c r="GT151" s="3553"/>
      <c r="GU151" s="3553"/>
      <c r="GV151" s="3553"/>
      <c r="GW151" s="3553"/>
      <c r="GX151" s="3553"/>
      <c r="GY151" s="3553"/>
      <c r="GZ151" s="3553"/>
      <c r="HA151" s="3553"/>
      <c r="HB151" s="3553"/>
      <c r="HC151" s="3553"/>
      <c r="HD151" s="3553"/>
      <c r="HE151" s="3553"/>
      <c r="HF151" s="3553"/>
      <c r="HG151" s="3553"/>
      <c r="HH151" s="2295">
        <v>1</v>
      </c>
      <c r="HI151" s="3553"/>
      <c r="HJ151" s="3553">
        <v>1</v>
      </c>
      <c r="HK151" s="3553">
        <v>1</v>
      </c>
      <c r="HL151" s="3553">
        <v>1</v>
      </c>
      <c r="HM151" s="3553">
        <v>1</v>
      </c>
      <c r="HN151" s="3553"/>
      <c r="HO151" s="3553"/>
      <c r="HP151" s="3553">
        <v>8</v>
      </c>
      <c r="HQ151" s="3553"/>
      <c r="HR151" s="3553">
        <v>8</v>
      </c>
      <c r="HS151" s="3553"/>
      <c r="HT151" s="3553"/>
      <c r="HU151" s="3553"/>
      <c r="HV151" s="3553"/>
      <c r="HW151" s="3553"/>
      <c r="HX151" s="3553"/>
      <c r="HY151" s="3553"/>
      <c r="HZ151" s="3553"/>
      <c r="IA151" s="3553"/>
      <c r="IB151" s="3553"/>
      <c r="IC151" s="3553"/>
      <c r="ID151" s="3553"/>
      <c r="IE151" s="3553"/>
      <c r="IF151" s="3553">
        <v>1</v>
      </c>
      <c r="IG151" s="3553"/>
      <c r="IH151" s="3553"/>
      <c r="II151" s="3553"/>
      <c r="IJ151" s="3553"/>
      <c r="IK151" s="3553"/>
      <c r="IL151" s="3553"/>
      <c r="IM151" s="3553"/>
      <c r="IN151" s="3553"/>
      <c r="IO151" s="3553"/>
      <c r="IP151" s="3553"/>
      <c r="IQ151" s="3553"/>
      <c r="IR151" s="3553"/>
      <c r="IS151" s="3553"/>
      <c r="IT151" s="3553"/>
      <c r="IU151" s="3553"/>
      <c r="IV151" s="3553"/>
      <c r="IW151" s="3553"/>
      <c r="IX151" s="3553"/>
      <c r="IY151" s="3553"/>
      <c r="IZ151" s="3553"/>
      <c r="JA151" s="3553"/>
      <c r="JB151" s="3553"/>
      <c r="JC151" s="3553"/>
      <c r="JD151" s="4228"/>
      <c r="JE151" s="4228"/>
      <c r="JF151" s="4228"/>
      <c r="JG151" s="4083"/>
    </row>
    <row r="152" spans="1:267" x14ac:dyDescent="0.2">
      <c r="A152" s="3612">
        <v>9</v>
      </c>
      <c r="B152" s="3616" t="str">
        <f si="8" t="shared"/>
        <v/>
      </c>
      <c r="C152" s="34"/>
      <c r="D152" s="3617" t="s">
        <v>8250</v>
      </c>
      <c r="E152" s="3591"/>
      <c r="F152" s="3592"/>
      <c r="G152" s="3618"/>
      <c r="H152" s="3618"/>
      <c r="I152" s="3593"/>
      <c r="J152" s="3584"/>
      <c r="K152" s="3554"/>
      <c r="L152" s="3554"/>
      <c r="M152" s="3554"/>
      <c r="N152" s="3554"/>
      <c r="O152" s="3554"/>
      <c r="P152" s="3554"/>
      <c r="Q152" s="3554"/>
      <c r="R152" s="3554"/>
      <c r="S152" s="3554"/>
      <c r="T152" s="3554"/>
      <c r="U152" s="3554"/>
      <c r="V152" s="3554"/>
      <c r="W152" s="3554"/>
      <c r="X152" s="3554"/>
      <c r="Y152" s="3554"/>
      <c r="Z152" s="3554"/>
      <c r="AA152" s="3554"/>
      <c r="AB152" s="3554"/>
      <c r="AC152" s="3554"/>
      <c r="AD152" s="3554"/>
      <c r="AE152" s="3554"/>
      <c r="AF152" s="3554"/>
      <c r="AG152" s="3554"/>
      <c r="AH152" s="3554"/>
      <c r="AI152" s="3554"/>
      <c r="AJ152" s="3554"/>
      <c r="AK152" s="3554"/>
      <c r="AL152" s="3554"/>
      <c r="AM152" s="3554"/>
      <c r="AN152" s="3554"/>
      <c r="AO152" s="3554"/>
      <c r="AP152" s="4124">
        <v>2679</v>
      </c>
      <c r="AQ152" s="3592">
        <v>0</v>
      </c>
      <c r="AR152" s="3554"/>
      <c r="AS152" s="3554"/>
      <c r="AT152" s="3554"/>
      <c r="AU152" s="3554"/>
      <c r="AV152" s="3554"/>
      <c r="AW152" s="3554"/>
      <c r="AX152" s="3554"/>
      <c r="AY152" s="3554"/>
      <c r="AZ152" s="3554"/>
      <c r="BA152" s="3554"/>
      <c r="BB152" s="3592">
        <v>0</v>
      </c>
      <c r="BC152" s="3591">
        <v>2679</v>
      </c>
      <c r="BD152" s="3591">
        <v>2679</v>
      </c>
      <c r="BE152" s="3554"/>
      <c r="BF152" s="3554"/>
      <c r="BG152" s="3554"/>
      <c r="BH152" s="3554"/>
      <c r="BI152" s="3554"/>
      <c r="BJ152" s="3591">
        <v>2679</v>
      </c>
      <c r="BK152" s="3554"/>
      <c r="BL152" s="3554"/>
      <c r="BM152" s="3554"/>
      <c r="BN152" s="3554"/>
      <c r="BO152" s="3554"/>
      <c r="BP152" s="3554"/>
      <c r="BQ152" s="3554"/>
      <c r="BR152" s="3554"/>
      <c r="BS152" s="3554"/>
      <c r="BT152" s="3554"/>
      <c r="BU152" s="3554"/>
      <c r="BV152" s="3554"/>
      <c r="BW152" s="3554"/>
      <c r="BX152" s="3554"/>
      <c r="BY152" s="3554"/>
      <c r="BZ152" s="3554"/>
      <c r="CA152" s="3554"/>
      <c r="CB152" s="3554"/>
      <c r="CC152" s="3554"/>
      <c r="CD152" s="3554"/>
      <c r="CE152" s="3554"/>
      <c r="CF152" s="3554"/>
      <c r="CG152" s="3554"/>
      <c r="CH152" s="3554"/>
      <c r="CI152" s="3554"/>
      <c r="CJ152" s="3554"/>
      <c r="CK152" s="3554"/>
      <c r="CL152" s="3554"/>
      <c r="CM152" s="3554"/>
      <c r="CN152" s="3554"/>
      <c r="CO152" s="3554"/>
      <c r="CP152" s="3554"/>
      <c r="CQ152" s="3554"/>
      <c r="CR152" s="3554"/>
      <c r="CS152" s="3554"/>
      <c r="CT152" s="3592">
        <v>0</v>
      </c>
      <c r="CU152" s="3554"/>
      <c r="CV152" s="3554"/>
      <c r="CW152" s="3554"/>
      <c r="CX152" s="3554"/>
      <c r="CY152" s="3554"/>
      <c r="CZ152" s="3554"/>
      <c r="DA152" s="3554"/>
      <c r="DB152" s="3554"/>
      <c r="DC152" s="3554"/>
      <c r="DD152" s="3554"/>
      <c r="DE152" s="3554"/>
      <c r="DF152" s="3554"/>
      <c r="DG152" s="3554"/>
      <c r="DH152" s="3554"/>
      <c r="DI152" s="3592">
        <v>0</v>
      </c>
      <c r="DJ152" s="3554"/>
      <c r="DK152" s="3554"/>
      <c r="DL152" s="3554"/>
      <c r="DM152" s="3554"/>
      <c r="DN152" s="3554"/>
      <c r="DO152" s="3554"/>
      <c r="DP152" s="3554"/>
      <c r="DQ152" s="3554"/>
      <c r="DR152" s="3554"/>
      <c r="DS152" s="3554"/>
      <c r="DT152" s="3554"/>
      <c r="DU152" s="3554"/>
      <c r="DV152" s="3554"/>
      <c r="DW152" s="3554"/>
      <c r="DX152" s="3554"/>
      <c r="DY152" s="3554"/>
      <c r="DZ152" s="3554"/>
      <c r="EA152" s="3554"/>
      <c r="EB152" s="3554"/>
      <c r="EC152" s="3554"/>
      <c r="ED152" s="3554"/>
      <c r="EE152" s="3554"/>
      <c r="EF152" s="3554"/>
      <c r="EG152" s="3554"/>
      <c r="EH152" s="3554"/>
      <c r="EI152" s="3554"/>
      <c r="EJ152" s="3554"/>
      <c r="EK152" s="3554"/>
      <c r="EL152" s="3554"/>
      <c r="EM152" s="3554"/>
      <c r="EN152" s="3554"/>
      <c r="EO152" s="3554"/>
      <c r="EP152" s="3554"/>
      <c r="EQ152" s="3554"/>
      <c r="ER152" s="3554"/>
      <c r="ES152" s="3554"/>
      <c r="ET152" s="3554"/>
      <c r="EU152" s="3554"/>
      <c r="EV152" s="3554"/>
      <c r="EW152" s="3554"/>
      <c r="EX152" s="3593">
        <v>500</v>
      </c>
      <c r="EY152" s="3554"/>
      <c r="EZ152" s="3554"/>
      <c r="FA152" s="3554"/>
      <c r="FB152" s="3554"/>
      <c r="FC152" s="3554"/>
      <c r="FD152" s="3554"/>
      <c r="FE152" s="3554"/>
      <c r="FF152" s="3554"/>
      <c r="FG152" s="3554"/>
      <c r="FH152" s="3554"/>
      <c r="FI152" s="3554"/>
      <c r="FJ152" s="3554"/>
      <c r="FK152" s="3554"/>
      <c r="FL152" s="3554"/>
      <c r="FM152" s="3554"/>
      <c r="FN152" s="3554"/>
      <c r="FO152" s="3554"/>
      <c r="FP152" s="3554"/>
      <c r="FQ152" s="3554"/>
      <c r="FR152" s="3554"/>
      <c r="FS152" s="3554"/>
      <c r="FT152" s="3554"/>
      <c r="FU152" s="3554"/>
      <c r="FV152" s="3554"/>
      <c r="FW152" s="3554"/>
      <c r="FX152" s="3554"/>
      <c r="FY152" s="3554"/>
      <c r="FZ152" s="3554"/>
      <c r="GA152" s="3554"/>
      <c r="GB152" s="3554"/>
      <c r="GC152" s="3554"/>
      <c r="GD152" s="3554"/>
      <c r="GE152" s="3554"/>
      <c r="GF152" s="3591">
        <v>2679</v>
      </c>
      <c r="GG152" s="3554"/>
      <c r="GH152" s="3554"/>
      <c r="GI152" s="3554"/>
      <c r="GJ152" s="3554"/>
      <c r="GK152" s="3554"/>
      <c r="GL152" s="3554"/>
      <c r="GM152" s="3554"/>
      <c r="GN152" s="3554"/>
      <c r="GO152" s="3554"/>
      <c r="GP152" s="3554"/>
      <c r="GQ152" s="3554"/>
      <c r="GR152" s="3554"/>
      <c r="GS152" s="3554"/>
      <c r="GT152" s="3554"/>
      <c r="GU152" s="3554"/>
      <c r="GV152" s="3554"/>
      <c r="GW152" s="3554"/>
      <c r="GX152" s="3554"/>
      <c r="GY152" s="3554"/>
      <c r="GZ152" s="3554"/>
      <c r="HA152" s="3554"/>
      <c r="HB152" s="3554"/>
      <c r="HC152" s="3554"/>
      <c r="HD152" s="3554"/>
      <c r="HE152" s="3554"/>
      <c r="HF152" s="3554"/>
      <c r="HG152" s="3554"/>
      <c r="HH152" s="3554">
        <v>23904</v>
      </c>
      <c r="HI152" s="3554"/>
      <c r="HJ152" s="3554">
        <v>0</v>
      </c>
      <c r="HK152" s="3554">
        <v>0</v>
      </c>
      <c r="HL152" s="3554">
        <v>0</v>
      </c>
      <c r="HM152" s="3554">
        <v>0</v>
      </c>
      <c r="HN152" s="3554"/>
      <c r="HO152" s="3554"/>
      <c r="HP152" s="3593">
        <v>500</v>
      </c>
      <c r="HQ152" s="3554"/>
      <c r="HR152" s="3593">
        <v>500</v>
      </c>
      <c r="HS152" s="3554"/>
      <c r="HT152" s="3554"/>
      <c r="HU152" s="3554"/>
      <c r="HV152" s="3554"/>
      <c r="HW152" s="3554"/>
      <c r="HX152" s="3554"/>
      <c r="HY152" s="3554"/>
      <c r="HZ152" s="3554"/>
      <c r="IA152" s="3554"/>
      <c r="IB152" s="3554"/>
      <c r="IC152" s="3554"/>
      <c r="ID152" s="3554"/>
      <c r="IE152" s="3554"/>
      <c r="IF152" s="3554">
        <v>0</v>
      </c>
      <c r="IG152" s="3554"/>
      <c r="IH152" s="3554"/>
      <c r="II152" s="3554"/>
      <c r="IJ152" s="3554"/>
      <c r="IK152" s="3554"/>
      <c r="IL152" s="3554"/>
      <c r="IM152" s="3554"/>
      <c r="IN152" s="3554"/>
      <c r="IO152" s="3554"/>
      <c r="IP152" s="3554"/>
      <c r="IQ152" s="3554"/>
      <c r="IR152" s="3554"/>
      <c r="IS152" s="3554"/>
      <c r="IT152" s="3554"/>
      <c r="IU152" s="3554"/>
      <c r="IV152" s="3554"/>
      <c r="IW152" s="3554"/>
      <c r="IX152" s="3554"/>
      <c r="IY152" s="3554"/>
      <c r="IZ152" s="3554"/>
      <c r="JA152" s="3554"/>
      <c r="JB152" s="3554"/>
      <c r="JC152" s="3554"/>
      <c r="JD152" s="4229"/>
      <c r="JE152" s="4229"/>
      <c r="JF152" s="4229"/>
      <c r="JG152" s="3585"/>
    </row>
    <row ht="13.5" r="153" spans="1:267" thickBot="1" x14ac:dyDescent="0.25">
      <c r="A153" s="3612">
        <v>10</v>
      </c>
      <c r="B153" s="3616" t="str">
        <f si="8" t="shared"/>
        <v/>
      </c>
      <c r="C153" s="34"/>
      <c r="D153" s="3617" t="s">
        <v>8251</v>
      </c>
      <c r="E153" s="3594"/>
      <c r="F153" s="3595"/>
      <c r="G153" s="3608"/>
      <c r="H153" s="3608"/>
      <c r="I153" s="3596"/>
      <c r="J153" s="3588"/>
      <c r="K153" s="3588"/>
      <c r="L153" s="3555"/>
      <c r="M153" s="3555"/>
      <c r="N153" s="3555"/>
      <c r="O153" s="3555"/>
      <c r="P153" s="3555"/>
      <c r="Q153" s="3555"/>
      <c r="R153" s="3555"/>
      <c r="S153" s="3555"/>
      <c r="T153" s="3555"/>
      <c r="U153" s="3555"/>
      <c r="V153" s="3555"/>
      <c r="W153" s="3555"/>
      <c r="X153" s="3555"/>
      <c r="Y153" s="3555"/>
      <c r="Z153" s="3555"/>
      <c r="AA153" s="3555"/>
      <c r="AB153" s="3555"/>
      <c r="AC153" s="3555"/>
      <c r="AD153" s="3555"/>
      <c r="AE153" s="3555"/>
      <c r="AF153" s="3555"/>
      <c r="AG153" s="3555"/>
      <c r="AH153" s="3555"/>
      <c r="AI153" s="3555"/>
      <c r="AJ153" s="3555"/>
      <c r="AK153" s="3555"/>
      <c r="AL153" s="3555"/>
      <c r="AM153" s="3555"/>
      <c r="AN153" s="3555"/>
      <c r="AO153" s="3555"/>
      <c r="AP153" s="4125">
        <v>401</v>
      </c>
      <c r="AQ153" s="3595">
        <v>0</v>
      </c>
      <c r="AR153" s="3555"/>
      <c r="AS153" s="3555"/>
      <c r="AT153" s="3555"/>
      <c r="AU153" s="3555"/>
      <c r="AV153" s="3555"/>
      <c r="AW153" s="3555"/>
      <c r="AX153" s="3555"/>
      <c r="AY153" s="3555"/>
      <c r="AZ153" s="3555"/>
      <c r="BA153" s="3555"/>
      <c r="BB153" s="3595">
        <v>0</v>
      </c>
      <c r="BC153" s="3594">
        <v>401</v>
      </c>
      <c r="BD153" s="3594">
        <v>401</v>
      </c>
      <c r="BE153" s="3555"/>
      <c r="BF153" s="3555"/>
      <c r="BG153" s="3555"/>
      <c r="BH153" s="3555"/>
      <c r="BI153" s="3555"/>
      <c r="BJ153" s="3594">
        <v>401</v>
      </c>
      <c r="BK153" s="3555"/>
      <c r="BL153" s="3555"/>
      <c r="BM153" s="3555"/>
      <c r="BN153" s="3555"/>
      <c r="BO153" s="3555"/>
      <c r="BP153" s="3555"/>
      <c r="BQ153" s="3555"/>
      <c r="BR153" s="3555"/>
      <c r="BS153" s="3555"/>
      <c r="BT153" s="3555"/>
      <c r="BU153" s="3555"/>
      <c r="BV153" s="3555"/>
      <c r="BW153" s="3555"/>
      <c r="BX153" s="3555"/>
      <c r="BY153" s="3555"/>
      <c r="BZ153" s="3555"/>
      <c r="CA153" s="3555"/>
      <c r="CB153" s="3555"/>
      <c r="CC153" s="3555"/>
      <c r="CD153" s="3555"/>
      <c r="CE153" s="3555"/>
      <c r="CF153" s="3555"/>
      <c r="CG153" s="3555"/>
      <c r="CH153" s="3555"/>
      <c r="CI153" s="3555"/>
      <c r="CJ153" s="3555"/>
      <c r="CK153" s="3555"/>
      <c r="CL153" s="3555"/>
      <c r="CM153" s="3555"/>
      <c r="CN153" s="3555"/>
      <c r="CO153" s="3555"/>
      <c r="CP153" s="3555"/>
      <c r="CQ153" s="3555"/>
      <c r="CR153" s="3555"/>
      <c r="CS153" s="3555"/>
      <c r="CT153" s="3595">
        <v>0</v>
      </c>
      <c r="CU153" s="3555"/>
      <c r="CV153" s="3555"/>
      <c r="CW153" s="3555"/>
      <c r="CX153" s="3555"/>
      <c r="CY153" s="3555"/>
      <c r="CZ153" s="3555"/>
      <c r="DA153" s="3555"/>
      <c r="DB153" s="3555"/>
      <c r="DC153" s="3555"/>
      <c r="DD153" s="3555"/>
      <c r="DE153" s="3555"/>
      <c r="DF153" s="3555"/>
      <c r="DG153" s="3555"/>
      <c r="DH153" s="3555"/>
      <c r="DI153" s="3595">
        <v>0</v>
      </c>
      <c r="DJ153" s="3555"/>
      <c r="DK153" s="3555"/>
      <c r="DL153" s="3555"/>
      <c r="DM153" s="3555"/>
      <c r="DN153" s="3555"/>
      <c r="DO153" s="3555"/>
      <c r="DP153" s="3555"/>
      <c r="DQ153" s="3555"/>
      <c r="DR153" s="3555"/>
      <c r="DS153" s="3555"/>
      <c r="DT153" s="3555"/>
      <c r="DU153" s="3555"/>
      <c r="DV153" s="3555"/>
      <c r="DW153" s="3555"/>
      <c r="DX153" s="3555"/>
      <c r="DY153" s="3555"/>
      <c r="DZ153" s="3555"/>
      <c r="EA153" s="3555"/>
      <c r="EB153" s="3555"/>
      <c r="EC153" s="3555"/>
      <c r="ED153" s="3555"/>
      <c r="EE153" s="3555"/>
      <c r="EF153" s="3555"/>
      <c r="EG153" s="3555"/>
      <c r="EH153" s="3555"/>
      <c r="EI153" s="3555"/>
      <c r="EJ153" s="3555"/>
      <c r="EK153" s="3555"/>
      <c r="EL153" s="3555"/>
      <c r="EM153" s="3555"/>
      <c r="EN153" s="3555"/>
      <c r="EO153" s="3555"/>
      <c r="EP153" s="3555"/>
      <c r="EQ153" s="3555"/>
      <c r="ER153" s="3555"/>
      <c r="ES153" s="3555"/>
      <c r="ET153" s="3555"/>
      <c r="EU153" s="3555"/>
      <c r="EV153" s="3555"/>
      <c r="EW153" s="3555"/>
      <c r="EX153" s="3596">
        <v>100</v>
      </c>
      <c r="EY153" s="3555"/>
      <c r="EZ153" s="3555"/>
      <c r="FA153" s="3555"/>
      <c r="FB153" s="3555"/>
      <c r="FC153" s="3555"/>
      <c r="FD153" s="3555"/>
      <c r="FE153" s="3555"/>
      <c r="FF153" s="3555"/>
      <c r="FG153" s="3555"/>
      <c r="FH153" s="3555"/>
      <c r="FI153" s="3555"/>
      <c r="FJ153" s="3555"/>
      <c r="FK153" s="3555"/>
      <c r="FL153" s="3555"/>
      <c r="FM153" s="3555"/>
      <c r="FN153" s="3555"/>
      <c r="FO153" s="3555"/>
      <c r="FP153" s="3555"/>
      <c r="FQ153" s="3555"/>
      <c r="FR153" s="3555"/>
      <c r="FS153" s="3555"/>
      <c r="FT153" s="3555"/>
      <c r="FU153" s="3555"/>
      <c r="FV153" s="3555"/>
      <c r="FW153" s="3555"/>
      <c r="FX153" s="3555"/>
      <c r="FY153" s="3555"/>
      <c r="FZ153" s="3555"/>
      <c r="GA153" s="3555"/>
      <c r="GB153" s="3555"/>
      <c r="GC153" s="3555"/>
      <c r="GD153" s="3555"/>
      <c r="GE153" s="3555"/>
      <c r="GF153" s="3594">
        <v>401</v>
      </c>
      <c r="GG153" s="3555"/>
      <c r="GH153" s="3555"/>
      <c r="GI153" s="3555"/>
      <c r="GJ153" s="3555"/>
      <c r="GK153" s="3555"/>
      <c r="GL153" s="3555"/>
      <c r="GM153" s="3555"/>
      <c r="GN153" s="3555"/>
      <c r="GO153" s="3555"/>
      <c r="GP153" s="3555"/>
      <c r="GQ153" s="3555"/>
      <c r="GR153" s="3555"/>
      <c r="GS153" s="3555"/>
      <c r="GT153" s="3555"/>
      <c r="GU153" s="3555"/>
      <c r="GV153" s="3555"/>
      <c r="GW153" s="3555"/>
      <c r="GX153" s="3555"/>
      <c r="GY153" s="3555"/>
      <c r="GZ153" s="3555"/>
      <c r="HA153" s="3555"/>
      <c r="HB153" s="3555"/>
      <c r="HC153" s="3555"/>
      <c r="HD153" s="3555"/>
      <c r="HE153" s="3555"/>
      <c r="HF153" s="3555"/>
      <c r="HG153" s="3555"/>
      <c r="HH153" s="3588">
        <v>8836</v>
      </c>
      <c r="HI153" s="3555"/>
      <c r="HJ153" s="3555">
        <v>0</v>
      </c>
      <c r="HK153" s="3555">
        <v>0</v>
      </c>
      <c r="HL153" s="3555">
        <v>0</v>
      </c>
      <c r="HM153" s="3555">
        <v>0</v>
      </c>
      <c r="HN153" s="3555"/>
      <c r="HO153" s="3555"/>
      <c r="HP153" s="3596">
        <v>100</v>
      </c>
      <c r="HQ153" s="3555"/>
      <c r="HR153" s="3596">
        <v>100</v>
      </c>
      <c r="HS153" s="3555"/>
      <c r="HT153" s="3555"/>
      <c r="HU153" s="3555"/>
      <c r="HV153" s="3555"/>
      <c r="HW153" s="3555"/>
      <c r="HX153" s="3555"/>
      <c r="HY153" s="3555"/>
      <c r="HZ153" s="3555"/>
      <c r="IA153" s="3555"/>
      <c r="IB153" s="3555"/>
      <c r="IC153" s="3555"/>
      <c r="ID153" s="3555"/>
      <c r="IE153" s="3555"/>
      <c r="IF153" s="3555">
        <v>0</v>
      </c>
      <c r="IG153" s="3555"/>
      <c r="IH153" s="3555"/>
      <c r="II153" s="3555"/>
      <c r="IJ153" s="3555"/>
      <c r="IK153" s="3555"/>
      <c r="IL153" s="3555"/>
      <c r="IM153" s="3555"/>
      <c r="IN153" s="3555"/>
      <c r="IO153" s="3555"/>
      <c r="IP153" s="3555"/>
      <c r="IQ153" s="3555"/>
      <c r="IR153" s="3555"/>
      <c r="IS153" s="3555"/>
      <c r="IT153" s="3555"/>
      <c r="IU153" s="3555"/>
      <c r="IV153" s="3555"/>
      <c r="IW153" s="3555"/>
      <c r="IX153" s="3555"/>
      <c r="IY153" s="3555"/>
      <c r="IZ153" s="3555"/>
      <c r="JA153" s="3555"/>
      <c r="JB153" s="3555"/>
      <c r="JC153" s="3555"/>
      <c r="JD153" s="4230"/>
      <c r="JE153" s="4230"/>
      <c r="JF153" s="4230"/>
      <c r="JG153" s="4084"/>
    </row>
    <row r="154" spans="1:267" x14ac:dyDescent="0.2">
      <c r="A154" s="3612">
        <v>11</v>
      </c>
      <c r="B154" s="3616" t="str">
        <f si="8" t="shared"/>
        <v/>
      </c>
      <c r="C154" s="34"/>
      <c r="D154" s="3617" t="s">
        <v>8252</v>
      </c>
      <c r="E154" s="3589"/>
      <c r="F154" s="3578"/>
      <c r="G154" s="3552"/>
      <c r="H154" s="3552"/>
      <c r="I154" s="3552"/>
      <c r="J154" s="3552"/>
      <c r="K154" s="3552"/>
      <c r="L154" s="3552"/>
      <c r="M154" s="3552"/>
      <c r="N154" s="3552"/>
      <c r="O154" s="3552"/>
      <c r="P154" s="3552"/>
      <c r="Q154" s="3552"/>
      <c r="R154" s="3552"/>
      <c r="S154" s="3552"/>
      <c r="T154" s="3552"/>
      <c r="U154" s="3552"/>
      <c r="V154" s="3552"/>
      <c r="W154" s="3552"/>
      <c r="X154" s="3552"/>
      <c r="Y154" s="3552"/>
      <c r="Z154" s="3552"/>
      <c r="AA154" s="3552"/>
      <c r="AB154" s="3552"/>
      <c r="AC154" s="3552"/>
      <c r="AD154" s="3552"/>
      <c r="AE154" s="3552"/>
      <c r="AF154" s="3552"/>
      <c r="AG154" s="3552"/>
      <c r="AH154" s="3552"/>
      <c r="AI154" s="3552"/>
      <c r="AJ154" s="3552"/>
      <c r="AK154" s="3552"/>
      <c r="AL154" s="3552"/>
      <c r="AM154" s="3552"/>
      <c r="AN154" s="3552"/>
      <c r="AO154" s="3552"/>
      <c r="AP154" s="3578">
        <v>3</v>
      </c>
      <c r="AQ154" s="3578">
        <v>1</v>
      </c>
      <c r="AR154" s="3552"/>
      <c r="AS154" s="3552"/>
      <c r="AT154" s="3552"/>
      <c r="AU154" s="3552"/>
      <c r="AV154" s="3552"/>
      <c r="AW154" s="3552"/>
      <c r="AX154" s="3552"/>
      <c r="AY154" s="3552"/>
      <c r="AZ154" s="3552"/>
      <c r="BA154" s="3552"/>
      <c r="BB154" s="3578">
        <v>1</v>
      </c>
      <c r="BC154" s="3589">
        <v>3</v>
      </c>
      <c r="BD154" s="3589">
        <v>3</v>
      </c>
      <c r="BE154" s="3552"/>
      <c r="BF154" s="3552"/>
      <c r="BG154" s="3552"/>
      <c r="BH154" s="3552"/>
      <c r="BI154" s="3552"/>
      <c r="BJ154" s="3589">
        <v>3</v>
      </c>
      <c r="BK154" s="3552"/>
      <c r="BL154" s="3552"/>
      <c r="BM154" s="3552"/>
      <c r="BN154" s="3552"/>
      <c r="BO154" s="3552"/>
      <c r="BP154" s="3552"/>
      <c r="BQ154" s="3552"/>
      <c r="BR154" s="3552"/>
      <c r="BS154" s="3552"/>
      <c r="BT154" s="3552"/>
      <c r="BU154" s="3552"/>
      <c r="BV154" s="3552"/>
      <c r="BW154" s="3552"/>
      <c r="BX154" s="3552"/>
      <c r="BY154" s="3552"/>
      <c r="BZ154" s="3552"/>
      <c r="CA154" s="3552"/>
      <c r="CB154" s="3552"/>
      <c r="CC154" s="3552"/>
      <c r="CD154" s="3552"/>
      <c r="CE154" s="3552"/>
      <c r="CF154" s="3552"/>
      <c r="CG154" s="3552"/>
      <c r="CH154" s="3552"/>
      <c r="CI154" s="3552"/>
      <c r="CJ154" s="3552"/>
      <c r="CK154" s="3552"/>
      <c r="CL154" s="3552"/>
      <c r="CM154" s="3552"/>
      <c r="CN154" s="3552"/>
      <c r="CO154" s="3552"/>
      <c r="CP154" s="3552"/>
      <c r="CQ154" s="3552"/>
      <c r="CR154" s="3552"/>
      <c r="CS154" s="3552"/>
      <c r="CT154" s="3578">
        <v>1</v>
      </c>
      <c r="CU154" s="3552"/>
      <c r="CV154" s="3552"/>
      <c r="CW154" s="3552"/>
      <c r="CX154" s="3552"/>
      <c r="CY154" s="3552"/>
      <c r="CZ154" s="3552"/>
      <c r="DA154" s="3552"/>
      <c r="DB154" s="3552"/>
      <c r="DC154" s="3552"/>
      <c r="DD154" s="3552"/>
      <c r="DE154" s="3552"/>
      <c r="DF154" s="3552"/>
      <c r="DG154" s="3552"/>
      <c r="DH154" s="3552"/>
      <c r="DI154" s="3578">
        <v>1</v>
      </c>
      <c r="DJ154" s="3552"/>
      <c r="DK154" s="3552"/>
      <c r="DL154" s="3552"/>
      <c r="DM154" s="3552"/>
      <c r="DN154" s="3552"/>
      <c r="DO154" s="3552"/>
      <c r="DP154" s="3552"/>
      <c r="DQ154" s="3552"/>
      <c r="DR154" s="3552"/>
      <c r="DS154" s="3552"/>
      <c r="DT154" s="3552"/>
      <c r="DU154" s="3552"/>
      <c r="DV154" s="3552"/>
      <c r="DW154" s="3552"/>
      <c r="DX154" s="3552"/>
      <c r="DY154" s="3552"/>
      <c r="DZ154" s="3552"/>
      <c r="EA154" s="3552"/>
      <c r="EB154" s="3552"/>
      <c r="EC154" s="3552"/>
      <c r="ED154" s="3552"/>
      <c r="EE154" s="3552"/>
      <c r="EF154" s="3552"/>
      <c r="EG154" s="3552"/>
      <c r="EH154" s="3552"/>
      <c r="EI154" s="3552"/>
      <c r="EJ154" s="3552"/>
      <c r="EK154" s="3552"/>
      <c r="EL154" s="3552"/>
      <c r="EM154" s="3552"/>
      <c r="EN154" s="3552"/>
      <c r="EO154" s="3552"/>
      <c r="EP154" s="3552"/>
      <c r="EQ154" s="3552"/>
      <c r="ER154" s="3552"/>
      <c r="ES154" s="3552"/>
      <c r="ET154" s="3552"/>
      <c r="EU154" s="3552"/>
      <c r="EV154" s="3552"/>
      <c r="EW154" s="3552"/>
      <c r="EX154" s="3552">
        <v>4</v>
      </c>
      <c r="EY154" s="3552"/>
      <c r="EZ154" s="3552"/>
      <c r="FA154" s="3552"/>
      <c r="FB154" s="3552"/>
      <c r="FC154" s="3552"/>
      <c r="FD154" s="3552"/>
      <c r="FE154" s="3552"/>
      <c r="FF154" s="3552"/>
      <c r="FG154" s="3552"/>
      <c r="FH154" s="3552"/>
      <c r="FI154" s="3552"/>
      <c r="FJ154" s="3552"/>
      <c r="FK154" s="3552"/>
      <c r="FL154" s="3552"/>
      <c r="FM154" s="3552"/>
      <c r="FN154" s="3552"/>
      <c r="FO154" s="3552"/>
      <c r="FP154" s="3552"/>
      <c r="FQ154" s="3552"/>
      <c r="FR154" s="3552"/>
      <c r="FS154" s="3552"/>
      <c r="FT154" s="3552"/>
      <c r="FU154" s="3552"/>
      <c r="FV154" s="3552"/>
      <c r="FW154" s="3552"/>
      <c r="FX154" s="3552"/>
      <c r="FY154" s="3552"/>
      <c r="FZ154" s="3552"/>
      <c r="GA154" s="3552"/>
      <c r="GB154" s="3552"/>
      <c r="GC154" s="3552"/>
      <c r="GD154" s="3552"/>
      <c r="GE154" s="3552"/>
      <c r="GF154" s="3589">
        <v>3</v>
      </c>
      <c r="GG154" s="3552"/>
      <c r="GH154" s="3552"/>
      <c r="GI154" s="3552"/>
      <c r="GJ154" s="3552"/>
      <c r="GK154" s="3552"/>
      <c r="GL154" s="3552"/>
      <c r="GM154" s="3552"/>
      <c r="GN154" s="3552"/>
      <c r="GO154" s="3552"/>
      <c r="GP154" s="3552"/>
      <c r="GQ154" s="3552"/>
      <c r="GR154" s="3552"/>
      <c r="GS154" s="3552"/>
      <c r="GT154" s="3552"/>
      <c r="GU154" s="3552"/>
      <c r="GV154" s="3552"/>
      <c r="GW154" s="3552"/>
      <c r="GX154" s="3552"/>
      <c r="GY154" s="3552"/>
      <c r="GZ154" s="3552"/>
      <c r="HA154" s="3552"/>
      <c r="HB154" s="3552"/>
      <c r="HC154" s="3552"/>
      <c r="HD154" s="3552"/>
      <c r="HE154" s="3552"/>
      <c r="HF154" s="3552"/>
      <c r="HG154" s="3552"/>
      <c r="HH154" s="3552">
        <v>1</v>
      </c>
      <c r="HI154" s="3552"/>
      <c r="HJ154" s="3552">
        <v>1</v>
      </c>
      <c r="HK154" s="3552">
        <v>1</v>
      </c>
      <c r="HL154" s="3552">
        <v>1</v>
      </c>
      <c r="HM154" s="3552">
        <v>1</v>
      </c>
      <c r="HN154" s="3552"/>
      <c r="HO154" s="3552"/>
      <c r="HP154" s="3552">
        <v>4</v>
      </c>
      <c r="HQ154" s="3552"/>
      <c r="HR154" s="3552">
        <v>4</v>
      </c>
      <c r="HS154" s="3552"/>
      <c r="HT154" s="3552"/>
      <c r="HU154" s="3552"/>
      <c r="HV154" s="3552"/>
      <c r="HW154" s="3552"/>
      <c r="HX154" s="3552"/>
      <c r="HY154" s="3552"/>
      <c r="HZ154" s="3552"/>
      <c r="IA154" s="3552"/>
      <c r="IB154" s="3552"/>
      <c r="IC154" s="3552"/>
      <c r="ID154" s="3552"/>
      <c r="IE154" s="3552"/>
      <c r="IF154" s="3552">
        <v>1</v>
      </c>
      <c r="IG154" s="3552"/>
      <c r="IH154" s="3552"/>
      <c r="II154" s="3552"/>
      <c r="IJ154" s="3552"/>
      <c r="IK154" s="3552"/>
      <c r="IL154" s="3552"/>
      <c r="IM154" s="3552"/>
      <c r="IN154" s="3552"/>
      <c r="IO154" s="3552"/>
      <c r="IP154" s="3552"/>
      <c r="IQ154" s="3552"/>
      <c r="IR154" s="3552"/>
      <c r="IS154" s="3552"/>
      <c r="IT154" s="3552"/>
      <c r="IU154" s="3552"/>
      <c r="IV154" s="3552"/>
      <c r="IW154" s="3552"/>
      <c r="IX154" s="3552"/>
      <c r="IY154" s="3552"/>
      <c r="IZ154" s="3552"/>
      <c r="JA154" s="3552"/>
      <c r="JB154" s="3552"/>
      <c r="JC154" s="3552"/>
      <c r="JD154" s="4227"/>
      <c r="JE154" s="4227"/>
      <c r="JF154" s="4227"/>
      <c r="JG154" s="3579"/>
    </row>
    <row r="155" spans="1:267" x14ac:dyDescent="0.2">
      <c r="A155" s="3612">
        <v>12</v>
      </c>
      <c r="B155" s="3616" t="str">
        <f si="8" t="shared"/>
        <v/>
      </c>
      <c r="C155" s="34"/>
      <c r="D155" s="3617" t="s">
        <v>8253</v>
      </c>
      <c r="E155" s="3597"/>
      <c r="F155" s="3553"/>
      <c r="G155" s="3553"/>
      <c r="H155" s="3553"/>
      <c r="I155" s="2295"/>
      <c r="J155" s="2295"/>
      <c r="K155" s="2295"/>
      <c r="L155" s="3553"/>
      <c r="M155" s="3553"/>
      <c r="N155" s="3553"/>
      <c r="O155" s="3553"/>
      <c r="P155" s="3553"/>
      <c r="Q155" s="3553"/>
      <c r="R155" s="3553"/>
      <c r="S155" s="3553"/>
      <c r="T155" s="3553"/>
      <c r="U155" s="3553"/>
      <c r="V155" s="3553"/>
      <c r="W155" s="3553"/>
      <c r="X155" s="3553"/>
      <c r="Y155" s="3553"/>
      <c r="Z155" s="3553"/>
      <c r="AA155" s="3553"/>
      <c r="AB155" s="3553"/>
      <c r="AC155" s="3553"/>
      <c r="AD155" s="3553"/>
      <c r="AE155" s="3553"/>
      <c r="AF155" s="3553"/>
      <c r="AG155" s="3553"/>
      <c r="AH155" s="3553"/>
      <c r="AI155" s="3553"/>
      <c r="AJ155" s="3553"/>
      <c r="AK155" s="3553"/>
      <c r="AL155" s="3553"/>
      <c r="AM155" s="3553"/>
      <c r="AN155" s="3553"/>
      <c r="AO155" s="3553"/>
      <c r="AP155" s="2295">
        <v>6</v>
      </c>
      <c r="AQ155" s="3553">
        <v>1</v>
      </c>
      <c r="AR155" s="3553"/>
      <c r="AS155" s="3553"/>
      <c r="AT155" s="3553"/>
      <c r="AU155" s="3553"/>
      <c r="AV155" s="3553"/>
      <c r="AW155" s="3553"/>
      <c r="AX155" s="3553"/>
      <c r="AY155" s="3553"/>
      <c r="AZ155" s="3553"/>
      <c r="BA155" s="3553"/>
      <c r="BB155" s="3553">
        <v>1</v>
      </c>
      <c r="BC155" s="3597">
        <v>6</v>
      </c>
      <c r="BD155" s="3597">
        <v>6</v>
      </c>
      <c r="BE155" s="3553"/>
      <c r="BF155" s="3553"/>
      <c r="BG155" s="3553"/>
      <c r="BH155" s="3553"/>
      <c r="BI155" s="3553"/>
      <c r="BJ155" s="3597">
        <v>6</v>
      </c>
      <c r="BK155" s="3553"/>
      <c r="BL155" s="3553"/>
      <c r="BM155" s="3553"/>
      <c r="BN155" s="3553"/>
      <c r="BO155" s="3553"/>
      <c r="BP155" s="3553"/>
      <c r="BQ155" s="3553"/>
      <c r="BR155" s="3553"/>
      <c r="BS155" s="3553"/>
      <c r="BT155" s="3553"/>
      <c r="BU155" s="3553"/>
      <c r="BV155" s="3553"/>
      <c r="BW155" s="3553"/>
      <c r="BX155" s="3553"/>
      <c r="BY155" s="3553"/>
      <c r="BZ155" s="3553"/>
      <c r="CA155" s="3553"/>
      <c r="CB155" s="3553"/>
      <c r="CC155" s="3553"/>
      <c r="CD155" s="3553"/>
      <c r="CE155" s="3553"/>
      <c r="CF155" s="3553"/>
      <c r="CG155" s="3553"/>
      <c r="CH155" s="3553"/>
      <c r="CI155" s="3553"/>
      <c r="CJ155" s="3553"/>
      <c r="CK155" s="3553"/>
      <c r="CL155" s="3553"/>
      <c r="CM155" s="3553"/>
      <c r="CN155" s="3553"/>
      <c r="CO155" s="3553"/>
      <c r="CP155" s="3553"/>
      <c r="CQ155" s="3553"/>
      <c r="CR155" s="3553"/>
      <c r="CS155" s="3553"/>
      <c r="CT155" s="3553">
        <v>1</v>
      </c>
      <c r="CU155" s="3553"/>
      <c r="CV155" s="3553"/>
      <c r="CW155" s="3553"/>
      <c r="CX155" s="3553"/>
      <c r="CY155" s="3553"/>
      <c r="CZ155" s="3553"/>
      <c r="DA155" s="3553"/>
      <c r="DB155" s="3553"/>
      <c r="DC155" s="3553"/>
      <c r="DD155" s="3553"/>
      <c r="DE155" s="3553"/>
      <c r="DF155" s="3553"/>
      <c r="DG155" s="3553"/>
      <c r="DH155" s="3553"/>
      <c r="DI155" s="3553">
        <v>1</v>
      </c>
      <c r="DJ155" s="3553"/>
      <c r="DK155" s="3553"/>
      <c r="DL155" s="3553"/>
      <c r="DM155" s="3553"/>
      <c r="DN155" s="3553"/>
      <c r="DO155" s="3553"/>
      <c r="DP155" s="3553"/>
      <c r="DQ155" s="3553"/>
      <c r="DR155" s="3553"/>
      <c r="DS155" s="3553"/>
      <c r="DT155" s="3553"/>
      <c r="DU155" s="3553"/>
      <c r="DV155" s="3553"/>
      <c r="DW155" s="3553"/>
      <c r="DX155" s="3553"/>
      <c r="DY155" s="3553"/>
      <c r="DZ155" s="3553"/>
      <c r="EA155" s="3553"/>
      <c r="EB155" s="3553"/>
      <c r="EC155" s="3553"/>
      <c r="ED155" s="3553"/>
      <c r="EE155" s="3553"/>
      <c r="EF155" s="3553"/>
      <c r="EG155" s="3553"/>
      <c r="EH155" s="3553"/>
      <c r="EI155" s="3553"/>
      <c r="EJ155" s="3553"/>
      <c r="EK155" s="3553"/>
      <c r="EL155" s="3553"/>
      <c r="EM155" s="3553"/>
      <c r="EN155" s="3553"/>
      <c r="EO155" s="3553"/>
      <c r="EP155" s="3553"/>
      <c r="EQ155" s="3553"/>
      <c r="ER155" s="3553"/>
      <c r="ES155" s="3553"/>
      <c r="ET155" s="3553"/>
      <c r="EU155" s="3553"/>
      <c r="EV155" s="3553"/>
      <c r="EW155" s="3553"/>
      <c r="EX155" s="2295">
        <v>2</v>
      </c>
      <c r="EY155" s="3553"/>
      <c r="EZ155" s="3553"/>
      <c r="FA155" s="3553"/>
      <c r="FB155" s="3553"/>
      <c r="FC155" s="3553"/>
      <c r="FD155" s="3553"/>
      <c r="FE155" s="3553"/>
      <c r="FF155" s="3553"/>
      <c r="FG155" s="3553"/>
      <c r="FH155" s="3553"/>
      <c r="FI155" s="3553"/>
      <c r="FJ155" s="3553"/>
      <c r="FK155" s="3553"/>
      <c r="FL155" s="3553"/>
      <c r="FM155" s="3553"/>
      <c r="FN155" s="3553"/>
      <c r="FO155" s="3553"/>
      <c r="FP155" s="3553"/>
      <c r="FQ155" s="3553"/>
      <c r="FR155" s="3553"/>
      <c r="FS155" s="3553"/>
      <c r="FT155" s="3553"/>
      <c r="FU155" s="3553"/>
      <c r="FV155" s="3553"/>
      <c r="FW155" s="3553"/>
      <c r="FX155" s="3553"/>
      <c r="FY155" s="3553"/>
      <c r="FZ155" s="3553"/>
      <c r="GA155" s="3553"/>
      <c r="GB155" s="3553"/>
      <c r="GC155" s="3553"/>
      <c r="GD155" s="3553"/>
      <c r="GE155" s="3553"/>
      <c r="GF155" s="3597">
        <v>6</v>
      </c>
      <c r="GG155" s="3553"/>
      <c r="GH155" s="3553"/>
      <c r="GI155" s="3553"/>
      <c r="GJ155" s="3553"/>
      <c r="GK155" s="3553"/>
      <c r="GL155" s="3553"/>
      <c r="GM155" s="3553"/>
      <c r="GN155" s="3553"/>
      <c r="GO155" s="3553"/>
      <c r="GP155" s="3553"/>
      <c r="GQ155" s="3553"/>
      <c r="GR155" s="3553"/>
      <c r="GS155" s="3553"/>
      <c r="GT155" s="3553"/>
      <c r="GU155" s="3553"/>
      <c r="GV155" s="3553"/>
      <c r="GW155" s="3553"/>
      <c r="GX155" s="3553"/>
      <c r="GY155" s="3553"/>
      <c r="GZ155" s="3553"/>
      <c r="HA155" s="3553"/>
      <c r="HB155" s="3553"/>
      <c r="HC155" s="3553"/>
      <c r="HD155" s="3553"/>
      <c r="HE155" s="3553"/>
      <c r="HF155" s="3553"/>
      <c r="HG155" s="3553"/>
      <c r="HH155" s="2295">
        <v>1</v>
      </c>
      <c r="HI155" s="3553"/>
      <c r="HJ155" s="3553">
        <v>1</v>
      </c>
      <c r="HK155" s="3553">
        <v>1</v>
      </c>
      <c r="HL155" s="3553">
        <v>1</v>
      </c>
      <c r="HM155" s="3553">
        <v>1</v>
      </c>
      <c r="HN155" s="3553"/>
      <c r="HO155" s="3553"/>
      <c r="HP155" s="2295">
        <v>2</v>
      </c>
      <c r="HQ155" s="3553"/>
      <c r="HR155" s="2295">
        <v>2</v>
      </c>
      <c r="HS155" s="3553"/>
      <c r="HT155" s="3553"/>
      <c r="HU155" s="3553"/>
      <c r="HV155" s="3553"/>
      <c r="HW155" s="3553"/>
      <c r="HX155" s="3553"/>
      <c r="HY155" s="3553"/>
      <c r="HZ155" s="3553"/>
      <c r="IA155" s="3553"/>
      <c r="IB155" s="3553"/>
      <c r="IC155" s="3553"/>
      <c r="ID155" s="3553"/>
      <c r="IE155" s="3553"/>
      <c r="IF155" s="3553">
        <v>1</v>
      </c>
      <c r="IG155" s="3553"/>
      <c r="IH155" s="3553"/>
      <c r="II155" s="3553"/>
      <c r="IJ155" s="3553"/>
      <c r="IK155" s="3553"/>
      <c r="IL155" s="3553"/>
      <c r="IM155" s="3553"/>
      <c r="IN155" s="3553"/>
      <c r="IO155" s="3553"/>
      <c r="IP155" s="3553"/>
      <c r="IQ155" s="3553"/>
      <c r="IR155" s="3553"/>
      <c r="IS155" s="3553"/>
      <c r="IT155" s="3553"/>
      <c r="IU155" s="3553"/>
      <c r="IV155" s="3553"/>
      <c r="IW155" s="3553"/>
      <c r="IX155" s="3553"/>
      <c r="IY155" s="3553"/>
      <c r="IZ155" s="3553"/>
      <c r="JA155" s="3553"/>
      <c r="JB155" s="3553"/>
      <c r="JC155" s="3553"/>
      <c r="JD155" s="4228"/>
      <c r="JE155" s="4228"/>
      <c r="JF155" s="4228"/>
      <c r="JG155" s="4083"/>
    </row>
    <row r="156" spans="1:267" x14ac:dyDescent="0.2">
      <c r="A156" s="3612">
        <v>13</v>
      </c>
      <c r="B156" s="3616" t="str">
        <f si="8" t="shared"/>
        <v/>
      </c>
      <c r="C156" s="34"/>
      <c r="D156" s="3617" t="s">
        <v>8254</v>
      </c>
      <c r="E156" s="3598"/>
      <c r="F156" s="3599"/>
      <c r="G156" s="3554"/>
      <c r="H156" s="3554"/>
      <c r="I156" s="3600"/>
      <c r="J156" s="3600"/>
      <c r="K156" s="3554"/>
      <c r="L156" s="3554"/>
      <c r="M156" s="3554"/>
      <c r="N156" s="3554"/>
      <c r="O156" s="3554"/>
      <c r="P156" s="3554"/>
      <c r="Q156" s="3554"/>
      <c r="R156" s="3554"/>
      <c r="S156" s="3554"/>
      <c r="T156" s="3554"/>
      <c r="U156" s="3554"/>
      <c r="V156" s="3554"/>
      <c r="W156" s="3554"/>
      <c r="X156" s="3554"/>
      <c r="Y156" s="3554"/>
      <c r="Z156" s="3554"/>
      <c r="AA156" s="3554"/>
      <c r="AB156" s="3554"/>
      <c r="AC156" s="3554"/>
      <c r="AD156" s="3554"/>
      <c r="AE156" s="3554"/>
      <c r="AF156" s="3554"/>
      <c r="AG156" s="3554"/>
      <c r="AH156" s="3554"/>
      <c r="AI156" s="3554"/>
      <c r="AJ156" s="3554"/>
      <c r="AK156" s="3554"/>
      <c r="AL156" s="3554"/>
      <c r="AM156" s="3554"/>
      <c r="AN156" s="3554"/>
      <c r="AO156" s="3554"/>
      <c r="AP156" s="4126">
        <v>3562</v>
      </c>
      <c r="AQ156" s="3599">
        <v>0</v>
      </c>
      <c r="AR156" s="3554"/>
      <c r="AS156" s="3554"/>
      <c r="AT156" s="3554"/>
      <c r="AU156" s="3554"/>
      <c r="AV156" s="3554"/>
      <c r="AW156" s="3554"/>
      <c r="AX156" s="3554"/>
      <c r="AY156" s="3554"/>
      <c r="AZ156" s="3554"/>
      <c r="BA156" s="3554"/>
      <c r="BB156" s="3599">
        <v>0</v>
      </c>
      <c r="BC156" s="3598">
        <v>3562</v>
      </c>
      <c r="BD156" s="3598">
        <v>3562</v>
      </c>
      <c r="BE156" s="3554"/>
      <c r="BF156" s="3554"/>
      <c r="BG156" s="3554"/>
      <c r="BH156" s="3554"/>
      <c r="BI156" s="3554"/>
      <c r="BJ156" s="3598">
        <v>3562</v>
      </c>
      <c r="BK156" s="3554"/>
      <c r="BL156" s="3554"/>
      <c r="BM156" s="3554"/>
      <c r="BN156" s="3554"/>
      <c r="BO156" s="3554"/>
      <c r="BP156" s="3554"/>
      <c r="BQ156" s="3554"/>
      <c r="BR156" s="3554"/>
      <c r="BS156" s="3554"/>
      <c r="BT156" s="3554"/>
      <c r="BU156" s="3554"/>
      <c r="BV156" s="3554"/>
      <c r="BW156" s="3554"/>
      <c r="BX156" s="3554"/>
      <c r="BY156" s="3554"/>
      <c r="BZ156" s="3554"/>
      <c r="CA156" s="3554"/>
      <c r="CB156" s="3554"/>
      <c r="CC156" s="3554"/>
      <c r="CD156" s="3554"/>
      <c r="CE156" s="3554"/>
      <c r="CF156" s="3554"/>
      <c r="CG156" s="3554"/>
      <c r="CH156" s="3554"/>
      <c r="CI156" s="3554"/>
      <c r="CJ156" s="3554"/>
      <c r="CK156" s="3554"/>
      <c r="CL156" s="3554"/>
      <c r="CM156" s="3554"/>
      <c r="CN156" s="3554"/>
      <c r="CO156" s="3554"/>
      <c r="CP156" s="3554"/>
      <c r="CQ156" s="3554"/>
      <c r="CR156" s="3554"/>
      <c r="CS156" s="3554"/>
      <c r="CT156" s="3599">
        <v>0</v>
      </c>
      <c r="CU156" s="3554"/>
      <c r="CV156" s="3554"/>
      <c r="CW156" s="3554"/>
      <c r="CX156" s="3554"/>
      <c r="CY156" s="3554"/>
      <c r="CZ156" s="3554"/>
      <c r="DA156" s="3554"/>
      <c r="DB156" s="3554"/>
      <c r="DC156" s="3554"/>
      <c r="DD156" s="3554"/>
      <c r="DE156" s="3554"/>
      <c r="DF156" s="3554"/>
      <c r="DG156" s="3554"/>
      <c r="DH156" s="3554"/>
      <c r="DI156" s="3599">
        <v>0</v>
      </c>
      <c r="DJ156" s="3554"/>
      <c r="DK156" s="3554"/>
      <c r="DL156" s="3554"/>
      <c r="DM156" s="3554"/>
      <c r="DN156" s="3554"/>
      <c r="DO156" s="3554"/>
      <c r="DP156" s="3554"/>
      <c r="DQ156" s="3554"/>
      <c r="DR156" s="3554"/>
      <c r="DS156" s="3554"/>
      <c r="DT156" s="3554"/>
      <c r="DU156" s="3554"/>
      <c r="DV156" s="3554"/>
      <c r="DW156" s="3554"/>
      <c r="DX156" s="3554"/>
      <c r="DY156" s="3554"/>
      <c r="DZ156" s="3554"/>
      <c r="EA156" s="3554"/>
      <c r="EB156" s="3554"/>
      <c r="EC156" s="3554"/>
      <c r="ED156" s="3554"/>
      <c r="EE156" s="3554"/>
      <c r="EF156" s="3554"/>
      <c r="EG156" s="3554"/>
      <c r="EH156" s="3554"/>
      <c r="EI156" s="3554"/>
      <c r="EJ156" s="3554"/>
      <c r="EK156" s="3554"/>
      <c r="EL156" s="3554"/>
      <c r="EM156" s="3554"/>
      <c r="EN156" s="3554"/>
      <c r="EO156" s="3554"/>
      <c r="EP156" s="3554"/>
      <c r="EQ156" s="3554"/>
      <c r="ER156" s="3554"/>
      <c r="ES156" s="3554"/>
      <c r="ET156" s="3554"/>
      <c r="EU156" s="3554"/>
      <c r="EV156" s="3554"/>
      <c r="EW156" s="3554"/>
      <c r="EX156" s="3600">
        <v>659</v>
      </c>
      <c r="EY156" s="3554"/>
      <c r="EZ156" s="3554"/>
      <c r="FA156" s="3554"/>
      <c r="FB156" s="3554"/>
      <c r="FC156" s="3554"/>
      <c r="FD156" s="3554"/>
      <c r="FE156" s="3554"/>
      <c r="FF156" s="3554"/>
      <c r="FG156" s="3554"/>
      <c r="FH156" s="3554"/>
      <c r="FI156" s="3554"/>
      <c r="FJ156" s="3554"/>
      <c r="FK156" s="3554"/>
      <c r="FL156" s="3554"/>
      <c r="FM156" s="3554"/>
      <c r="FN156" s="3554"/>
      <c r="FO156" s="3554"/>
      <c r="FP156" s="3554"/>
      <c r="FQ156" s="3554"/>
      <c r="FR156" s="3554"/>
      <c r="FS156" s="3554"/>
      <c r="FT156" s="3554"/>
      <c r="FU156" s="3554"/>
      <c r="FV156" s="3554"/>
      <c r="FW156" s="3554"/>
      <c r="FX156" s="3554"/>
      <c r="FY156" s="3554"/>
      <c r="FZ156" s="3554"/>
      <c r="GA156" s="3554"/>
      <c r="GB156" s="3554"/>
      <c r="GC156" s="3554"/>
      <c r="GD156" s="3554"/>
      <c r="GE156" s="3554"/>
      <c r="GF156" s="3598">
        <v>3562</v>
      </c>
      <c r="GG156" s="3554"/>
      <c r="GH156" s="3554"/>
      <c r="GI156" s="3554"/>
      <c r="GJ156" s="3554"/>
      <c r="GK156" s="3554"/>
      <c r="GL156" s="3554"/>
      <c r="GM156" s="3554"/>
      <c r="GN156" s="3554"/>
      <c r="GO156" s="3554"/>
      <c r="GP156" s="3554"/>
      <c r="GQ156" s="3554"/>
      <c r="GR156" s="3554"/>
      <c r="GS156" s="3554"/>
      <c r="GT156" s="3554"/>
      <c r="GU156" s="3554"/>
      <c r="GV156" s="3554"/>
      <c r="GW156" s="3554"/>
      <c r="GX156" s="3554"/>
      <c r="GY156" s="3554"/>
      <c r="GZ156" s="3554"/>
      <c r="HA156" s="3554"/>
      <c r="HB156" s="3554"/>
      <c r="HC156" s="3554"/>
      <c r="HD156" s="3554"/>
      <c r="HE156" s="3554"/>
      <c r="HF156" s="3554"/>
      <c r="HG156" s="3554"/>
      <c r="HH156" s="3554">
        <v>2110</v>
      </c>
      <c r="HI156" s="3554"/>
      <c r="HJ156" s="3554">
        <v>0</v>
      </c>
      <c r="HK156" s="3554">
        <v>0</v>
      </c>
      <c r="HL156" s="3554">
        <v>0</v>
      </c>
      <c r="HM156" s="3554">
        <v>0</v>
      </c>
      <c r="HN156" s="3554"/>
      <c r="HO156" s="3554"/>
      <c r="HP156" s="3600">
        <v>659</v>
      </c>
      <c r="HQ156" s="3554"/>
      <c r="HR156" s="3600">
        <v>659</v>
      </c>
      <c r="HS156" s="3554"/>
      <c r="HT156" s="3554"/>
      <c r="HU156" s="3554"/>
      <c r="HV156" s="3554"/>
      <c r="HW156" s="3554"/>
      <c r="HX156" s="3554"/>
      <c r="HY156" s="3554"/>
      <c r="HZ156" s="3554"/>
      <c r="IA156" s="3554"/>
      <c r="IB156" s="3554"/>
      <c r="IC156" s="3554"/>
      <c r="ID156" s="3554"/>
      <c r="IE156" s="3554"/>
      <c r="IF156" s="3554">
        <v>0</v>
      </c>
      <c r="IG156" s="3554"/>
      <c r="IH156" s="3554"/>
      <c r="II156" s="3554"/>
      <c r="IJ156" s="3554"/>
      <c r="IK156" s="3554"/>
      <c r="IL156" s="3554"/>
      <c r="IM156" s="3554"/>
      <c r="IN156" s="3554"/>
      <c r="IO156" s="3554"/>
      <c r="IP156" s="3554"/>
      <c r="IQ156" s="3554"/>
      <c r="IR156" s="3554"/>
      <c r="IS156" s="3554"/>
      <c r="IT156" s="3554"/>
      <c r="IU156" s="3554"/>
      <c r="IV156" s="3554"/>
      <c r="IW156" s="3554"/>
      <c r="IX156" s="3554"/>
      <c r="IY156" s="3554"/>
      <c r="IZ156" s="3554"/>
      <c r="JA156" s="3554"/>
      <c r="JB156" s="3554"/>
      <c r="JC156" s="3554"/>
      <c r="JD156" s="4229"/>
      <c r="JE156" s="4229"/>
      <c r="JF156" s="4229"/>
      <c r="JG156" s="3585"/>
    </row>
    <row ht="13.5" r="157" spans="1:267" thickBot="1" x14ac:dyDescent="0.25">
      <c r="A157" s="3612">
        <v>14</v>
      </c>
      <c r="B157" s="3616" t="str">
        <f si="8" t="shared"/>
        <v/>
      </c>
      <c r="C157" s="34"/>
      <c r="D157" s="3617" t="s">
        <v>8255</v>
      </c>
      <c r="E157" s="3601"/>
      <c r="F157" s="3602"/>
      <c r="G157" s="3555"/>
      <c r="H157" s="3555"/>
      <c r="I157" s="3588"/>
      <c r="J157" s="3588"/>
      <c r="K157" s="3588"/>
      <c r="L157" s="3555"/>
      <c r="M157" s="3555"/>
      <c r="N157" s="3555"/>
      <c r="O157" s="3555"/>
      <c r="P157" s="3555"/>
      <c r="Q157" s="3555"/>
      <c r="R157" s="3555"/>
      <c r="S157" s="3555"/>
      <c r="T157" s="3555"/>
      <c r="U157" s="3555"/>
      <c r="V157" s="3555"/>
      <c r="W157" s="3555"/>
      <c r="X157" s="3555"/>
      <c r="Y157" s="3555"/>
      <c r="Z157" s="3555"/>
      <c r="AA157" s="3555"/>
      <c r="AB157" s="3555"/>
      <c r="AC157" s="3555"/>
      <c r="AD157" s="3555"/>
      <c r="AE157" s="3555"/>
      <c r="AF157" s="3555"/>
      <c r="AG157" s="3555"/>
      <c r="AH157" s="3555"/>
      <c r="AI157" s="3555"/>
      <c r="AJ157" s="3555"/>
      <c r="AK157" s="3555"/>
      <c r="AL157" s="3555"/>
      <c r="AM157" s="3555"/>
      <c r="AN157" s="3555"/>
      <c r="AO157" s="3555"/>
      <c r="AP157" s="3587">
        <v>356</v>
      </c>
      <c r="AQ157" s="3602">
        <v>0</v>
      </c>
      <c r="AR157" s="3555"/>
      <c r="AS157" s="3555"/>
      <c r="AT157" s="3555"/>
      <c r="AU157" s="3555"/>
      <c r="AV157" s="3555"/>
      <c r="AW157" s="3555"/>
      <c r="AX157" s="3555"/>
      <c r="AY157" s="3555"/>
      <c r="AZ157" s="3555"/>
      <c r="BA157" s="3555"/>
      <c r="BB157" s="3602">
        <v>0</v>
      </c>
      <c r="BC157" s="3601">
        <v>356</v>
      </c>
      <c r="BD157" s="3601">
        <v>356</v>
      </c>
      <c r="BE157" s="3555"/>
      <c r="BF157" s="3555"/>
      <c r="BG157" s="3555"/>
      <c r="BH157" s="3555"/>
      <c r="BI157" s="3555"/>
      <c r="BJ157" s="3601">
        <v>356</v>
      </c>
      <c r="BK157" s="3555"/>
      <c r="BL157" s="3555"/>
      <c r="BM157" s="3555"/>
      <c r="BN157" s="3555"/>
      <c r="BO157" s="3555"/>
      <c r="BP157" s="3555"/>
      <c r="BQ157" s="3555"/>
      <c r="BR157" s="3555"/>
      <c r="BS157" s="3555"/>
      <c r="BT157" s="3555"/>
      <c r="BU157" s="3555"/>
      <c r="BV157" s="3555"/>
      <c r="BW157" s="3555"/>
      <c r="BX157" s="3555"/>
      <c r="BY157" s="3555"/>
      <c r="BZ157" s="3555"/>
      <c r="CA157" s="3555"/>
      <c r="CB157" s="3555"/>
      <c r="CC157" s="3555"/>
      <c r="CD157" s="3555"/>
      <c r="CE157" s="3555"/>
      <c r="CF157" s="3555"/>
      <c r="CG157" s="3555"/>
      <c r="CH157" s="3555"/>
      <c r="CI157" s="3555"/>
      <c r="CJ157" s="3555"/>
      <c r="CK157" s="3555"/>
      <c r="CL157" s="3555"/>
      <c r="CM157" s="3555"/>
      <c r="CN157" s="3555"/>
      <c r="CO157" s="3555"/>
      <c r="CP157" s="3555"/>
      <c r="CQ157" s="3555"/>
      <c r="CR157" s="3555"/>
      <c r="CS157" s="3555"/>
      <c r="CT157" s="3602">
        <v>0</v>
      </c>
      <c r="CU157" s="3555"/>
      <c r="CV157" s="3555"/>
      <c r="CW157" s="3555"/>
      <c r="CX157" s="3555"/>
      <c r="CY157" s="3555"/>
      <c r="CZ157" s="3555"/>
      <c r="DA157" s="3555"/>
      <c r="DB157" s="3555"/>
      <c r="DC157" s="3555"/>
      <c r="DD157" s="3555"/>
      <c r="DE157" s="3555"/>
      <c r="DF157" s="3555"/>
      <c r="DG157" s="3555"/>
      <c r="DH157" s="3555"/>
      <c r="DI157" s="3602">
        <v>0</v>
      </c>
      <c r="DJ157" s="3555"/>
      <c r="DK157" s="3555"/>
      <c r="DL157" s="3555"/>
      <c r="DM157" s="3555"/>
      <c r="DN157" s="3555"/>
      <c r="DO157" s="3555"/>
      <c r="DP157" s="3555"/>
      <c r="DQ157" s="3555"/>
      <c r="DR157" s="3555"/>
      <c r="DS157" s="3555"/>
      <c r="DT157" s="3555"/>
      <c r="DU157" s="3555"/>
      <c r="DV157" s="3555"/>
      <c r="DW157" s="3555"/>
      <c r="DX157" s="3555"/>
      <c r="DY157" s="3555"/>
      <c r="DZ157" s="3555"/>
      <c r="EA157" s="3555"/>
      <c r="EB157" s="3555"/>
      <c r="EC157" s="3555"/>
      <c r="ED157" s="3555"/>
      <c r="EE157" s="3555"/>
      <c r="EF157" s="3555"/>
      <c r="EG157" s="3555"/>
      <c r="EH157" s="3555"/>
      <c r="EI157" s="3555"/>
      <c r="EJ157" s="3555"/>
      <c r="EK157" s="3555"/>
      <c r="EL157" s="3555"/>
      <c r="EM157" s="3555"/>
      <c r="EN157" s="3555"/>
      <c r="EO157" s="3555"/>
      <c r="EP157" s="3555"/>
      <c r="EQ157" s="3555"/>
      <c r="ER157" s="3555"/>
      <c r="ES157" s="3555"/>
      <c r="ET157" s="3555"/>
      <c r="EU157" s="3555"/>
      <c r="EV157" s="3555"/>
      <c r="EW157" s="3555"/>
      <c r="EX157" s="3588">
        <v>98.85</v>
      </c>
      <c r="EY157" s="3555"/>
      <c r="EZ157" s="3555"/>
      <c r="FA157" s="3555"/>
      <c r="FB157" s="3555"/>
      <c r="FC157" s="3555"/>
      <c r="FD157" s="3555"/>
      <c r="FE157" s="3555"/>
      <c r="FF157" s="3555"/>
      <c r="FG157" s="3555"/>
      <c r="FH157" s="3555"/>
      <c r="FI157" s="3555"/>
      <c r="FJ157" s="3555"/>
      <c r="FK157" s="3555"/>
      <c r="FL157" s="3555"/>
      <c r="FM157" s="3555"/>
      <c r="FN157" s="3555"/>
      <c r="FO157" s="3555"/>
      <c r="FP157" s="3555"/>
      <c r="FQ157" s="3555"/>
      <c r="FR157" s="3555"/>
      <c r="FS157" s="3555"/>
      <c r="FT157" s="3555"/>
      <c r="FU157" s="3555"/>
      <c r="FV157" s="3555"/>
      <c r="FW157" s="3555"/>
      <c r="FX157" s="3555"/>
      <c r="FY157" s="3555"/>
      <c r="FZ157" s="3555"/>
      <c r="GA157" s="3555"/>
      <c r="GB157" s="3555"/>
      <c r="GC157" s="3555"/>
      <c r="GD157" s="3555"/>
      <c r="GE157" s="3555"/>
      <c r="GF157" s="3601">
        <v>356</v>
      </c>
      <c r="GG157" s="3555"/>
      <c r="GH157" s="3555"/>
      <c r="GI157" s="3555"/>
      <c r="GJ157" s="3555"/>
      <c r="GK157" s="3555"/>
      <c r="GL157" s="3555"/>
      <c r="GM157" s="3555"/>
      <c r="GN157" s="3555"/>
      <c r="GO157" s="3555"/>
      <c r="GP157" s="3555"/>
      <c r="GQ157" s="3555"/>
      <c r="GR157" s="3555"/>
      <c r="GS157" s="3555"/>
      <c r="GT157" s="3555"/>
      <c r="GU157" s="3555"/>
      <c r="GV157" s="3555"/>
      <c r="GW157" s="3555"/>
      <c r="GX157" s="3555"/>
      <c r="GY157" s="3555"/>
      <c r="GZ157" s="3555"/>
      <c r="HA157" s="3555"/>
      <c r="HB157" s="3555"/>
      <c r="HC157" s="3555"/>
      <c r="HD157" s="3555"/>
      <c r="HE157" s="3555"/>
      <c r="HF157" s="3555"/>
      <c r="HG157" s="3555"/>
      <c r="HH157" s="3588">
        <v>686</v>
      </c>
      <c r="HI157" s="3555"/>
      <c r="HJ157" s="3555">
        <v>0</v>
      </c>
      <c r="HK157" s="3555">
        <v>0</v>
      </c>
      <c r="HL157" s="3555">
        <v>0</v>
      </c>
      <c r="HM157" s="3555">
        <v>0</v>
      </c>
      <c r="HN157" s="3555"/>
      <c r="HO157" s="3555"/>
      <c r="HP157" s="3588">
        <v>98.85</v>
      </c>
      <c r="HQ157" s="3555"/>
      <c r="HR157" s="3588">
        <v>98.85</v>
      </c>
      <c r="HS157" s="3555"/>
      <c r="HT157" s="3555"/>
      <c r="HU157" s="3555"/>
      <c r="HV157" s="3555"/>
      <c r="HW157" s="3555"/>
      <c r="HX157" s="3555"/>
      <c r="HY157" s="3555"/>
      <c r="HZ157" s="3555"/>
      <c r="IA157" s="3555"/>
      <c r="IB157" s="3555"/>
      <c r="IC157" s="3555"/>
      <c r="ID157" s="3555"/>
      <c r="IE157" s="3555"/>
      <c r="IF157" s="3555">
        <v>0</v>
      </c>
      <c r="IG157" s="3555"/>
      <c r="IH157" s="3555"/>
      <c r="II157" s="3555"/>
      <c r="IJ157" s="3555"/>
      <c r="IK157" s="3555"/>
      <c r="IL157" s="3555"/>
      <c r="IM157" s="3555"/>
      <c r="IN157" s="3555"/>
      <c r="IO157" s="3555"/>
      <c r="IP157" s="3555"/>
      <c r="IQ157" s="3555"/>
      <c r="IR157" s="3555"/>
      <c r="IS157" s="3555"/>
      <c r="IT157" s="3555"/>
      <c r="IU157" s="3555"/>
      <c r="IV157" s="3555"/>
      <c r="IW157" s="3555"/>
      <c r="IX157" s="3555"/>
      <c r="IY157" s="3555"/>
      <c r="IZ157" s="3555"/>
      <c r="JA157" s="3555"/>
      <c r="JB157" s="3555"/>
      <c r="JC157" s="3555"/>
      <c r="JD157" s="4230"/>
      <c r="JE157" s="4230"/>
      <c r="JF157" s="4230"/>
      <c r="JG157" s="4084"/>
    </row>
    <row r="158" spans="1:267" x14ac:dyDescent="0.2">
      <c r="A158" s="3612">
        <v>15</v>
      </c>
      <c r="B158" s="3616" t="str">
        <f si="8" t="shared"/>
        <v/>
      </c>
      <c r="C158" s="34"/>
      <c r="D158" s="3617" t="s">
        <v>8256</v>
      </c>
      <c r="E158" s="3603"/>
      <c r="F158" s="3590"/>
      <c r="G158" s="3604"/>
      <c r="H158" s="3604"/>
      <c r="I158" s="3604"/>
      <c r="J158" s="3552"/>
      <c r="K158" s="3552"/>
      <c r="L158" s="3552"/>
      <c r="M158" s="3552"/>
      <c r="N158" s="3552"/>
      <c r="O158" s="3552"/>
      <c r="P158" s="3552"/>
      <c r="Q158" s="3552"/>
      <c r="R158" s="3552"/>
      <c r="S158" s="3552"/>
      <c r="T158" s="3552"/>
      <c r="U158" s="3552"/>
      <c r="V158" s="3552"/>
      <c r="W158" s="3552"/>
      <c r="X158" s="3552"/>
      <c r="Y158" s="3552"/>
      <c r="Z158" s="3552"/>
      <c r="AA158" s="3552"/>
      <c r="AB158" s="3552"/>
      <c r="AC158" s="3552"/>
      <c r="AD158" s="3552"/>
      <c r="AE158" s="3552"/>
      <c r="AF158" s="3552"/>
      <c r="AG158" s="3552"/>
      <c r="AH158" s="3552"/>
      <c r="AI158" s="3552"/>
      <c r="AJ158" s="3552"/>
      <c r="AK158" s="3552"/>
      <c r="AL158" s="3552"/>
      <c r="AM158" s="3552"/>
      <c r="AN158" s="3552"/>
      <c r="AO158" s="3552"/>
      <c r="AP158" s="3590">
        <v>1</v>
      </c>
      <c r="AQ158" s="3590">
        <v>1</v>
      </c>
      <c r="AR158" s="3552"/>
      <c r="AS158" s="3552"/>
      <c r="AT158" s="3552"/>
      <c r="AU158" s="3552"/>
      <c r="AV158" s="3552"/>
      <c r="AW158" s="3552"/>
      <c r="AX158" s="3552"/>
      <c r="AY158" s="3552"/>
      <c r="AZ158" s="3552"/>
      <c r="BA158" s="3552"/>
      <c r="BB158" s="3590">
        <v>1</v>
      </c>
      <c r="BC158" s="3603">
        <v>1</v>
      </c>
      <c r="BD158" s="3603">
        <v>1</v>
      </c>
      <c r="BE158" s="3552"/>
      <c r="BF158" s="3552"/>
      <c r="BG158" s="3552"/>
      <c r="BH158" s="3552"/>
      <c r="BI158" s="3552"/>
      <c r="BJ158" s="3603">
        <v>1</v>
      </c>
      <c r="BK158" s="3552"/>
      <c r="BL158" s="3552"/>
      <c r="BM158" s="3552"/>
      <c r="BN158" s="3552"/>
      <c r="BO158" s="3552"/>
      <c r="BP158" s="3552"/>
      <c r="BQ158" s="3552"/>
      <c r="BR158" s="3552"/>
      <c r="BS158" s="3552"/>
      <c r="BT158" s="3552"/>
      <c r="BU158" s="3552"/>
      <c r="BV158" s="3552"/>
      <c r="BW158" s="3552"/>
      <c r="BX158" s="3552"/>
      <c r="BY158" s="3552"/>
      <c r="BZ158" s="3552"/>
      <c r="CA158" s="3552"/>
      <c r="CB158" s="3552"/>
      <c r="CC158" s="3552"/>
      <c r="CD158" s="3552"/>
      <c r="CE158" s="3552"/>
      <c r="CF158" s="3552"/>
      <c r="CG158" s="3552"/>
      <c r="CH158" s="3552"/>
      <c r="CI158" s="3552"/>
      <c r="CJ158" s="3552"/>
      <c r="CK158" s="3552"/>
      <c r="CL158" s="3552"/>
      <c r="CM158" s="3552"/>
      <c r="CN158" s="3552"/>
      <c r="CO158" s="3552"/>
      <c r="CP158" s="3552"/>
      <c r="CQ158" s="3552"/>
      <c r="CR158" s="3552"/>
      <c r="CS158" s="3552"/>
      <c r="CT158" s="3590">
        <v>1</v>
      </c>
      <c r="CU158" s="3552"/>
      <c r="CV158" s="3552"/>
      <c r="CW158" s="3552"/>
      <c r="CX158" s="3552"/>
      <c r="CY158" s="3552"/>
      <c r="CZ158" s="3552"/>
      <c r="DA158" s="3552"/>
      <c r="DB158" s="3552"/>
      <c r="DC158" s="3552"/>
      <c r="DD158" s="3552"/>
      <c r="DE158" s="3552"/>
      <c r="DF158" s="3552"/>
      <c r="DG158" s="3552"/>
      <c r="DH158" s="3552"/>
      <c r="DI158" s="3590">
        <v>1</v>
      </c>
      <c r="DJ158" s="3552"/>
      <c r="DK158" s="3552"/>
      <c r="DL158" s="3552"/>
      <c r="DM158" s="3552"/>
      <c r="DN158" s="3552"/>
      <c r="DO158" s="3552"/>
      <c r="DP158" s="3552"/>
      <c r="DQ158" s="3552"/>
      <c r="DR158" s="3552"/>
      <c r="DS158" s="3552"/>
      <c r="DT158" s="3552"/>
      <c r="DU158" s="3552"/>
      <c r="DV158" s="3552"/>
      <c r="DW158" s="3552"/>
      <c r="DX158" s="3552"/>
      <c r="DY158" s="3552"/>
      <c r="DZ158" s="3552"/>
      <c r="EA158" s="3552"/>
      <c r="EB158" s="3552"/>
      <c r="EC158" s="3552"/>
      <c r="ED158" s="3552"/>
      <c r="EE158" s="3552"/>
      <c r="EF158" s="3552"/>
      <c r="EG158" s="3552"/>
      <c r="EH158" s="3552"/>
      <c r="EI158" s="3552"/>
      <c r="EJ158" s="3552"/>
      <c r="EK158" s="3552"/>
      <c r="EL158" s="3552"/>
      <c r="EM158" s="3552"/>
      <c r="EN158" s="3552"/>
      <c r="EO158" s="3552"/>
      <c r="EP158" s="3552"/>
      <c r="EQ158" s="3552"/>
      <c r="ER158" s="3552"/>
      <c r="ES158" s="3552"/>
      <c r="ET158" s="3552"/>
      <c r="EU158" s="3552"/>
      <c r="EV158" s="3552"/>
      <c r="EW158" s="3552"/>
      <c r="EX158" s="3604">
        <v>4</v>
      </c>
      <c r="EY158" s="3552"/>
      <c r="EZ158" s="3552"/>
      <c r="FA158" s="3552"/>
      <c r="FB158" s="3552"/>
      <c r="FC158" s="3552"/>
      <c r="FD158" s="3552"/>
      <c r="FE158" s="3552"/>
      <c r="FF158" s="3552"/>
      <c r="FG158" s="3552"/>
      <c r="FH158" s="3552"/>
      <c r="FI158" s="3552"/>
      <c r="FJ158" s="3552"/>
      <c r="FK158" s="3552"/>
      <c r="FL158" s="3552"/>
      <c r="FM158" s="3552"/>
      <c r="FN158" s="3552"/>
      <c r="FO158" s="3552"/>
      <c r="FP158" s="3552"/>
      <c r="FQ158" s="3552"/>
      <c r="FR158" s="3552"/>
      <c r="FS158" s="3552"/>
      <c r="FT158" s="3552"/>
      <c r="FU158" s="3552"/>
      <c r="FV158" s="3552"/>
      <c r="FW158" s="3552"/>
      <c r="FX158" s="3552"/>
      <c r="FY158" s="3552"/>
      <c r="FZ158" s="3552"/>
      <c r="GA158" s="3552"/>
      <c r="GB158" s="3552"/>
      <c r="GC158" s="3552"/>
      <c r="GD158" s="3552"/>
      <c r="GE158" s="3552"/>
      <c r="GF158" s="3603">
        <v>1</v>
      </c>
      <c r="GG158" s="3552"/>
      <c r="GH158" s="3552"/>
      <c r="GI158" s="3552"/>
      <c r="GJ158" s="3552"/>
      <c r="GK158" s="3552"/>
      <c r="GL158" s="3552"/>
      <c r="GM158" s="3552"/>
      <c r="GN158" s="3552"/>
      <c r="GO158" s="3552"/>
      <c r="GP158" s="3552"/>
      <c r="GQ158" s="3552"/>
      <c r="GR158" s="3552"/>
      <c r="GS158" s="3552"/>
      <c r="GT158" s="3552"/>
      <c r="GU158" s="3552"/>
      <c r="GV158" s="3552"/>
      <c r="GW158" s="3552"/>
      <c r="GX158" s="3552"/>
      <c r="GY158" s="3552"/>
      <c r="GZ158" s="3552"/>
      <c r="HA158" s="3552"/>
      <c r="HB158" s="3552"/>
      <c r="HC158" s="3552"/>
      <c r="HD158" s="3552"/>
      <c r="HE158" s="3552"/>
      <c r="HF158" s="3552"/>
      <c r="HG158" s="3552"/>
      <c r="HH158" s="3552">
        <v>1</v>
      </c>
      <c r="HI158" s="3552"/>
      <c r="HJ158" s="3552">
        <v>1</v>
      </c>
      <c r="HK158" s="3552">
        <v>1</v>
      </c>
      <c r="HL158" s="3552">
        <v>1</v>
      </c>
      <c r="HM158" s="3552">
        <v>1</v>
      </c>
      <c r="HN158" s="3552"/>
      <c r="HO158" s="3552"/>
      <c r="HP158" s="3604">
        <v>4</v>
      </c>
      <c r="HQ158" s="3552"/>
      <c r="HR158" s="3604">
        <v>4</v>
      </c>
      <c r="HS158" s="3552"/>
      <c r="HT158" s="3552"/>
      <c r="HU158" s="3552"/>
      <c r="HV158" s="3552"/>
      <c r="HW158" s="3552"/>
      <c r="HX158" s="3552"/>
      <c r="HY158" s="3552"/>
      <c r="HZ158" s="3552"/>
      <c r="IA158" s="3552"/>
      <c r="IB158" s="3552"/>
      <c r="IC158" s="3552"/>
      <c r="ID158" s="3552"/>
      <c r="IE158" s="3552"/>
      <c r="IF158" s="3552">
        <v>1</v>
      </c>
      <c r="IG158" s="3552"/>
      <c r="IH158" s="3552"/>
      <c r="II158" s="3552"/>
      <c r="IJ158" s="3552"/>
      <c r="IK158" s="3552"/>
      <c r="IL158" s="3552"/>
      <c r="IM158" s="3552"/>
      <c r="IN158" s="3552"/>
      <c r="IO158" s="3552"/>
      <c r="IP158" s="3552"/>
      <c r="IQ158" s="3552"/>
      <c r="IR158" s="3552"/>
      <c r="IS158" s="3552"/>
      <c r="IT158" s="3552"/>
      <c r="IU158" s="3552"/>
      <c r="IV158" s="3552"/>
      <c r="IW158" s="3552"/>
      <c r="IX158" s="3552"/>
      <c r="IY158" s="3552"/>
      <c r="IZ158" s="3552"/>
      <c r="JA158" s="3552"/>
      <c r="JB158" s="3552"/>
      <c r="JC158" s="3552"/>
      <c r="JD158" s="4227"/>
      <c r="JE158" s="4227"/>
      <c r="JF158" s="4227"/>
      <c r="JG158" s="3579"/>
    </row>
    <row r="159" spans="1:267" x14ac:dyDescent="0.2">
      <c r="A159" s="3612">
        <v>16</v>
      </c>
      <c r="B159" s="3616" t="str">
        <f si="8" t="shared"/>
        <v/>
      </c>
      <c r="C159" s="34"/>
      <c r="D159" s="3617" t="s">
        <v>8257</v>
      </c>
      <c r="E159" s="3580"/>
      <c r="F159" s="3553"/>
      <c r="G159" s="3553"/>
      <c r="H159" s="3553"/>
      <c r="I159" s="2295"/>
      <c r="J159" s="2295"/>
      <c r="K159" s="2295"/>
      <c r="L159" s="3553"/>
      <c r="M159" s="3553"/>
      <c r="N159" s="3553"/>
      <c r="O159" s="3553"/>
      <c r="P159" s="3553"/>
      <c r="Q159" s="3553"/>
      <c r="R159" s="3553"/>
      <c r="S159" s="3553"/>
      <c r="T159" s="3553"/>
      <c r="U159" s="3553"/>
      <c r="V159" s="3553"/>
      <c r="W159" s="3553"/>
      <c r="X159" s="3553"/>
      <c r="Y159" s="3553"/>
      <c r="Z159" s="3553"/>
      <c r="AA159" s="3553"/>
      <c r="AB159" s="3553"/>
      <c r="AC159" s="3553"/>
      <c r="AD159" s="3553"/>
      <c r="AE159" s="3553"/>
      <c r="AF159" s="3553"/>
      <c r="AG159" s="3553"/>
      <c r="AH159" s="3553"/>
      <c r="AI159" s="3553"/>
      <c r="AJ159" s="3553"/>
      <c r="AK159" s="3553"/>
      <c r="AL159" s="3553"/>
      <c r="AM159" s="3553"/>
      <c r="AN159" s="3553"/>
      <c r="AO159" s="3553"/>
      <c r="AP159" s="3553">
        <v>1</v>
      </c>
      <c r="AQ159" s="3553">
        <v>1</v>
      </c>
      <c r="AR159" s="3553"/>
      <c r="AS159" s="3553"/>
      <c r="AT159" s="3553"/>
      <c r="AU159" s="3553"/>
      <c r="AV159" s="3553"/>
      <c r="AW159" s="3553"/>
      <c r="AX159" s="3553"/>
      <c r="AY159" s="3553"/>
      <c r="AZ159" s="3553"/>
      <c r="BA159" s="3553"/>
      <c r="BB159" s="3553">
        <v>1</v>
      </c>
      <c r="BC159" s="3580">
        <v>1</v>
      </c>
      <c r="BD159" s="3580">
        <v>1</v>
      </c>
      <c r="BE159" s="3553"/>
      <c r="BF159" s="3553"/>
      <c r="BG159" s="3553"/>
      <c r="BH159" s="3553"/>
      <c r="BI159" s="3553"/>
      <c r="BJ159" s="3580">
        <v>1</v>
      </c>
      <c r="BK159" s="3553"/>
      <c r="BL159" s="3553"/>
      <c r="BM159" s="3553"/>
      <c r="BN159" s="3553"/>
      <c r="BO159" s="3553"/>
      <c r="BP159" s="3553"/>
      <c r="BQ159" s="3553"/>
      <c r="BR159" s="3553"/>
      <c r="BS159" s="3553"/>
      <c r="BT159" s="3553"/>
      <c r="BU159" s="3553"/>
      <c r="BV159" s="3553"/>
      <c r="BW159" s="3553"/>
      <c r="BX159" s="3553"/>
      <c r="BY159" s="3553"/>
      <c r="BZ159" s="3553"/>
      <c r="CA159" s="3553"/>
      <c r="CB159" s="3553"/>
      <c r="CC159" s="3553"/>
      <c r="CD159" s="3553"/>
      <c r="CE159" s="3553"/>
      <c r="CF159" s="3553"/>
      <c r="CG159" s="3553"/>
      <c r="CH159" s="3553"/>
      <c r="CI159" s="3553"/>
      <c r="CJ159" s="3553"/>
      <c r="CK159" s="3553"/>
      <c r="CL159" s="3553"/>
      <c r="CM159" s="3553"/>
      <c r="CN159" s="3553"/>
      <c r="CO159" s="3553"/>
      <c r="CP159" s="3553"/>
      <c r="CQ159" s="3553"/>
      <c r="CR159" s="3553"/>
      <c r="CS159" s="3553"/>
      <c r="CT159" s="3553">
        <v>1</v>
      </c>
      <c r="CU159" s="3553"/>
      <c r="CV159" s="3553"/>
      <c r="CW159" s="3553"/>
      <c r="CX159" s="3553"/>
      <c r="CY159" s="3553"/>
      <c r="CZ159" s="3553"/>
      <c r="DA159" s="3553"/>
      <c r="DB159" s="3553"/>
      <c r="DC159" s="3553"/>
      <c r="DD159" s="3553"/>
      <c r="DE159" s="3553"/>
      <c r="DF159" s="3553"/>
      <c r="DG159" s="3553"/>
      <c r="DH159" s="3553"/>
      <c r="DI159" s="3553">
        <v>1</v>
      </c>
      <c r="DJ159" s="3553"/>
      <c r="DK159" s="3553"/>
      <c r="DL159" s="3553"/>
      <c r="DM159" s="3553"/>
      <c r="DN159" s="3553"/>
      <c r="DO159" s="3553"/>
      <c r="DP159" s="3553"/>
      <c r="DQ159" s="3553"/>
      <c r="DR159" s="3553"/>
      <c r="DS159" s="3553"/>
      <c r="DT159" s="3553"/>
      <c r="DU159" s="3553"/>
      <c r="DV159" s="3553"/>
      <c r="DW159" s="3553"/>
      <c r="DX159" s="3553"/>
      <c r="DY159" s="3553"/>
      <c r="DZ159" s="3553"/>
      <c r="EA159" s="3553"/>
      <c r="EB159" s="3553"/>
      <c r="EC159" s="3553"/>
      <c r="ED159" s="3553"/>
      <c r="EE159" s="3553"/>
      <c r="EF159" s="3553"/>
      <c r="EG159" s="3553"/>
      <c r="EH159" s="3553"/>
      <c r="EI159" s="3553"/>
      <c r="EJ159" s="3553"/>
      <c r="EK159" s="3553"/>
      <c r="EL159" s="3553"/>
      <c r="EM159" s="3553"/>
      <c r="EN159" s="3553"/>
      <c r="EO159" s="3553"/>
      <c r="EP159" s="3553"/>
      <c r="EQ159" s="3553"/>
      <c r="ER159" s="3553"/>
      <c r="ES159" s="3553"/>
      <c r="ET159" s="3553"/>
      <c r="EU159" s="3553"/>
      <c r="EV159" s="3553"/>
      <c r="EW159" s="3553"/>
      <c r="EX159" s="2295">
        <v>9</v>
      </c>
      <c r="EY159" s="3553"/>
      <c r="EZ159" s="3553"/>
      <c r="FA159" s="3553"/>
      <c r="FB159" s="3553"/>
      <c r="FC159" s="3553"/>
      <c r="FD159" s="3553"/>
      <c r="FE159" s="3553"/>
      <c r="FF159" s="3553"/>
      <c r="FG159" s="3553"/>
      <c r="FH159" s="3553"/>
      <c r="FI159" s="3553"/>
      <c r="FJ159" s="3553"/>
      <c r="FK159" s="3553"/>
      <c r="FL159" s="3553"/>
      <c r="FM159" s="3553"/>
      <c r="FN159" s="3553"/>
      <c r="FO159" s="3553"/>
      <c r="FP159" s="3553"/>
      <c r="FQ159" s="3553"/>
      <c r="FR159" s="3553"/>
      <c r="FS159" s="3553"/>
      <c r="FT159" s="3553"/>
      <c r="FU159" s="3553"/>
      <c r="FV159" s="3553"/>
      <c r="FW159" s="3553"/>
      <c r="FX159" s="3553"/>
      <c r="FY159" s="3553"/>
      <c r="FZ159" s="3553"/>
      <c r="GA159" s="3553"/>
      <c r="GB159" s="3553"/>
      <c r="GC159" s="3553"/>
      <c r="GD159" s="3553"/>
      <c r="GE159" s="3553"/>
      <c r="GF159" s="3580">
        <v>1</v>
      </c>
      <c r="GG159" s="3553"/>
      <c r="GH159" s="3553"/>
      <c r="GI159" s="3553"/>
      <c r="GJ159" s="3553"/>
      <c r="GK159" s="3553"/>
      <c r="GL159" s="3553"/>
      <c r="GM159" s="3553"/>
      <c r="GN159" s="3553"/>
      <c r="GO159" s="3553"/>
      <c r="GP159" s="3553"/>
      <c r="GQ159" s="3553"/>
      <c r="GR159" s="3553"/>
      <c r="GS159" s="3553"/>
      <c r="GT159" s="3553"/>
      <c r="GU159" s="3553"/>
      <c r="GV159" s="3553"/>
      <c r="GW159" s="3553"/>
      <c r="GX159" s="3553"/>
      <c r="GY159" s="3553"/>
      <c r="GZ159" s="3553"/>
      <c r="HA159" s="3553"/>
      <c r="HB159" s="3553"/>
      <c r="HC159" s="3553"/>
      <c r="HD159" s="3553"/>
      <c r="HE159" s="3553"/>
      <c r="HF159" s="3553"/>
      <c r="HG159" s="3553"/>
      <c r="HH159" s="2295">
        <v>1</v>
      </c>
      <c r="HI159" s="3553"/>
      <c r="HJ159" s="3553">
        <v>1</v>
      </c>
      <c r="HK159" s="3553">
        <v>1</v>
      </c>
      <c r="HL159" s="3553">
        <v>1</v>
      </c>
      <c r="HM159" s="3553">
        <v>1</v>
      </c>
      <c r="HN159" s="3553"/>
      <c r="HO159" s="3553"/>
      <c r="HP159" s="2295">
        <v>9</v>
      </c>
      <c r="HQ159" s="3553"/>
      <c r="HR159" s="2295">
        <v>9</v>
      </c>
      <c r="HS159" s="3553"/>
      <c r="HT159" s="3553"/>
      <c r="HU159" s="3553"/>
      <c r="HV159" s="3553"/>
      <c r="HW159" s="3553"/>
      <c r="HX159" s="3553"/>
      <c r="HY159" s="3553"/>
      <c r="HZ159" s="3553"/>
      <c r="IA159" s="3553"/>
      <c r="IB159" s="3553"/>
      <c r="IC159" s="3553"/>
      <c r="ID159" s="3553"/>
      <c r="IE159" s="3553"/>
      <c r="IF159" s="3553">
        <v>1</v>
      </c>
      <c r="IG159" s="3553"/>
      <c r="IH159" s="3553"/>
      <c r="II159" s="3553"/>
      <c r="IJ159" s="3553"/>
      <c r="IK159" s="3553"/>
      <c r="IL159" s="3553"/>
      <c r="IM159" s="3553"/>
      <c r="IN159" s="3553"/>
      <c r="IO159" s="3553"/>
      <c r="IP159" s="3553"/>
      <c r="IQ159" s="3553"/>
      <c r="IR159" s="3553"/>
      <c r="IS159" s="3553"/>
      <c r="IT159" s="3553"/>
      <c r="IU159" s="3553"/>
      <c r="IV159" s="3553"/>
      <c r="IW159" s="3553"/>
      <c r="IX159" s="3553"/>
      <c r="IY159" s="3553"/>
      <c r="IZ159" s="3553"/>
      <c r="JA159" s="3553"/>
      <c r="JB159" s="3553"/>
      <c r="JC159" s="3553"/>
      <c r="JD159" s="4228"/>
      <c r="JE159" s="4228"/>
      <c r="JF159" s="4228"/>
      <c r="JG159" s="4083"/>
    </row>
    <row r="160" spans="1:267" x14ac:dyDescent="0.2">
      <c r="A160" s="3612">
        <v>17</v>
      </c>
      <c r="B160" s="3616" t="str">
        <f si="8" t="shared"/>
        <v/>
      </c>
      <c r="C160" s="34"/>
      <c r="D160" s="3617" t="s">
        <v>8258</v>
      </c>
      <c r="E160" s="3605"/>
      <c r="F160" s="3592"/>
      <c r="G160" s="3618"/>
      <c r="H160" s="3618"/>
      <c r="I160" s="3606"/>
      <c r="J160" s="3600"/>
      <c r="K160" s="3554"/>
      <c r="L160" s="3554"/>
      <c r="M160" s="3554"/>
      <c r="N160" s="3554"/>
      <c r="O160" s="3554"/>
      <c r="P160" s="3554"/>
      <c r="Q160" s="3554"/>
      <c r="R160" s="3554"/>
      <c r="S160" s="3554"/>
      <c r="T160" s="3554"/>
      <c r="U160" s="3554"/>
      <c r="V160" s="3554"/>
      <c r="W160" s="3554"/>
      <c r="X160" s="3554"/>
      <c r="Y160" s="3554"/>
      <c r="Z160" s="3554"/>
      <c r="AA160" s="3554"/>
      <c r="AB160" s="3554"/>
      <c r="AC160" s="3554"/>
      <c r="AD160" s="3554"/>
      <c r="AE160" s="3554"/>
      <c r="AF160" s="3554"/>
      <c r="AG160" s="3554"/>
      <c r="AH160" s="3554"/>
      <c r="AI160" s="3554"/>
      <c r="AJ160" s="3554"/>
      <c r="AK160" s="3554"/>
      <c r="AL160" s="3554"/>
      <c r="AM160" s="3554"/>
      <c r="AN160" s="3554"/>
      <c r="AO160" s="3554"/>
      <c r="AP160" s="3592">
        <v>0</v>
      </c>
      <c r="AQ160" s="3592">
        <v>0</v>
      </c>
      <c r="AR160" s="3554"/>
      <c r="AS160" s="3554"/>
      <c r="AT160" s="3554"/>
      <c r="AU160" s="3554"/>
      <c r="AV160" s="3554"/>
      <c r="AW160" s="3554"/>
      <c r="AX160" s="3554"/>
      <c r="AY160" s="3554"/>
      <c r="AZ160" s="3554"/>
      <c r="BA160" s="3554"/>
      <c r="BB160" s="3592">
        <v>0</v>
      </c>
      <c r="BC160" s="3605">
        <v>0</v>
      </c>
      <c r="BD160" s="3605">
        <v>0</v>
      </c>
      <c r="BE160" s="3554"/>
      <c r="BF160" s="3554"/>
      <c r="BG160" s="3554"/>
      <c r="BH160" s="3554"/>
      <c r="BI160" s="3554"/>
      <c r="BJ160" s="3605">
        <v>0</v>
      </c>
      <c r="BK160" s="3554"/>
      <c r="BL160" s="3554"/>
      <c r="BM160" s="3554"/>
      <c r="BN160" s="3554"/>
      <c r="BO160" s="3554"/>
      <c r="BP160" s="3554"/>
      <c r="BQ160" s="3554"/>
      <c r="BR160" s="3554"/>
      <c r="BS160" s="3554"/>
      <c r="BT160" s="3554"/>
      <c r="BU160" s="3554"/>
      <c r="BV160" s="3554"/>
      <c r="BW160" s="3554"/>
      <c r="BX160" s="3554"/>
      <c r="BY160" s="3554"/>
      <c r="BZ160" s="3554"/>
      <c r="CA160" s="3554"/>
      <c r="CB160" s="3554"/>
      <c r="CC160" s="3554"/>
      <c r="CD160" s="3554"/>
      <c r="CE160" s="3554"/>
      <c r="CF160" s="3554"/>
      <c r="CG160" s="3554"/>
      <c r="CH160" s="3554"/>
      <c r="CI160" s="3554"/>
      <c r="CJ160" s="3554"/>
      <c r="CK160" s="3554"/>
      <c r="CL160" s="3554"/>
      <c r="CM160" s="3554"/>
      <c r="CN160" s="3554"/>
      <c r="CO160" s="3554"/>
      <c r="CP160" s="3554"/>
      <c r="CQ160" s="3554"/>
      <c r="CR160" s="3554"/>
      <c r="CS160" s="3554"/>
      <c r="CT160" s="3592">
        <v>0</v>
      </c>
      <c r="CU160" s="3554"/>
      <c r="CV160" s="3554"/>
      <c r="CW160" s="3554"/>
      <c r="CX160" s="3554"/>
      <c r="CY160" s="3554"/>
      <c r="CZ160" s="3554"/>
      <c r="DA160" s="3554"/>
      <c r="DB160" s="3554"/>
      <c r="DC160" s="3554"/>
      <c r="DD160" s="3554"/>
      <c r="DE160" s="3554"/>
      <c r="DF160" s="3554"/>
      <c r="DG160" s="3554"/>
      <c r="DH160" s="3554"/>
      <c r="DI160" s="3592">
        <v>0</v>
      </c>
      <c r="DJ160" s="3554"/>
      <c r="DK160" s="3554"/>
      <c r="DL160" s="3554"/>
      <c r="DM160" s="3554"/>
      <c r="DN160" s="3554"/>
      <c r="DO160" s="3554"/>
      <c r="DP160" s="3554"/>
      <c r="DQ160" s="3554"/>
      <c r="DR160" s="3554"/>
      <c r="DS160" s="3554"/>
      <c r="DT160" s="3554"/>
      <c r="DU160" s="3554"/>
      <c r="DV160" s="3554"/>
      <c r="DW160" s="3554"/>
      <c r="DX160" s="3554"/>
      <c r="DY160" s="3554"/>
      <c r="DZ160" s="3554"/>
      <c r="EA160" s="3554"/>
      <c r="EB160" s="3554"/>
      <c r="EC160" s="3554"/>
      <c r="ED160" s="3554"/>
      <c r="EE160" s="3554"/>
      <c r="EF160" s="3554"/>
      <c r="EG160" s="3554"/>
      <c r="EH160" s="3554"/>
      <c r="EI160" s="3554"/>
      <c r="EJ160" s="3554"/>
      <c r="EK160" s="3554"/>
      <c r="EL160" s="3554"/>
      <c r="EM160" s="3554"/>
      <c r="EN160" s="3554"/>
      <c r="EO160" s="3554"/>
      <c r="EP160" s="3554"/>
      <c r="EQ160" s="3554"/>
      <c r="ER160" s="3554"/>
      <c r="ES160" s="3554"/>
      <c r="ET160" s="3554"/>
      <c r="EU160" s="3554"/>
      <c r="EV160" s="3554"/>
      <c r="EW160" s="3554"/>
      <c r="EX160" s="3606">
        <v>3620</v>
      </c>
      <c r="EY160" s="3554"/>
      <c r="EZ160" s="3554"/>
      <c r="FA160" s="3554"/>
      <c r="FB160" s="3554"/>
      <c r="FC160" s="3554"/>
      <c r="FD160" s="3554"/>
      <c r="FE160" s="3554"/>
      <c r="FF160" s="3554"/>
      <c r="FG160" s="3554"/>
      <c r="FH160" s="3554"/>
      <c r="FI160" s="3554"/>
      <c r="FJ160" s="3554"/>
      <c r="FK160" s="3554"/>
      <c r="FL160" s="3554"/>
      <c r="FM160" s="3554"/>
      <c r="FN160" s="3554"/>
      <c r="FO160" s="3554"/>
      <c r="FP160" s="3554"/>
      <c r="FQ160" s="3554"/>
      <c r="FR160" s="3554"/>
      <c r="FS160" s="3554"/>
      <c r="FT160" s="3554"/>
      <c r="FU160" s="3554"/>
      <c r="FV160" s="3554"/>
      <c r="FW160" s="3554"/>
      <c r="FX160" s="3554"/>
      <c r="FY160" s="3554"/>
      <c r="FZ160" s="3554"/>
      <c r="GA160" s="3554"/>
      <c r="GB160" s="3554"/>
      <c r="GC160" s="3554"/>
      <c r="GD160" s="3554"/>
      <c r="GE160" s="3554"/>
      <c r="GF160" s="3605">
        <v>0</v>
      </c>
      <c r="GG160" s="3554"/>
      <c r="GH160" s="3554"/>
      <c r="GI160" s="3554"/>
      <c r="GJ160" s="3554"/>
      <c r="GK160" s="3554"/>
      <c r="GL160" s="3554"/>
      <c r="GM160" s="3554"/>
      <c r="GN160" s="3554"/>
      <c r="GO160" s="3554"/>
      <c r="GP160" s="3554"/>
      <c r="GQ160" s="3554"/>
      <c r="GR160" s="3554"/>
      <c r="GS160" s="3554"/>
      <c r="GT160" s="3554"/>
      <c r="GU160" s="3554"/>
      <c r="GV160" s="3554"/>
      <c r="GW160" s="3554"/>
      <c r="GX160" s="3554"/>
      <c r="GY160" s="3554"/>
      <c r="GZ160" s="3554"/>
      <c r="HA160" s="3554"/>
      <c r="HB160" s="3554"/>
      <c r="HC160" s="3554"/>
      <c r="HD160" s="3554"/>
      <c r="HE160" s="3554"/>
      <c r="HF160" s="3554"/>
      <c r="HG160" s="3554"/>
      <c r="HH160" s="3554">
        <v>14655</v>
      </c>
      <c r="HI160" s="3554"/>
      <c r="HJ160" s="3554">
        <v>0</v>
      </c>
      <c r="HK160" s="3554">
        <v>0</v>
      </c>
      <c r="HL160" s="3554">
        <v>0</v>
      </c>
      <c r="HM160" s="3554">
        <v>0</v>
      </c>
      <c r="HN160" s="3554"/>
      <c r="HO160" s="3554"/>
      <c r="HP160" s="3606">
        <v>3620</v>
      </c>
      <c r="HQ160" s="3554"/>
      <c r="HR160" s="3606">
        <v>3620</v>
      </c>
      <c r="HS160" s="3554"/>
      <c r="HT160" s="3554"/>
      <c r="HU160" s="3554"/>
      <c r="HV160" s="3554"/>
      <c r="HW160" s="3554"/>
      <c r="HX160" s="3554"/>
      <c r="HY160" s="3554"/>
      <c r="HZ160" s="3554"/>
      <c r="IA160" s="3554"/>
      <c r="IB160" s="3554"/>
      <c r="IC160" s="3554"/>
      <c r="ID160" s="3554"/>
      <c r="IE160" s="3554"/>
      <c r="IF160" s="3554">
        <v>0</v>
      </c>
      <c r="IG160" s="3554"/>
      <c r="IH160" s="3554"/>
      <c r="II160" s="3554"/>
      <c r="IJ160" s="3554"/>
      <c r="IK160" s="3554"/>
      <c r="IL160" s="3554"/>
      <c r="IM160" s="3554"/>
      <c r="IN160" s="3554"/>
      <c r="IO160" s="3554"/>
      <c r="IP160" s="3554"/>
      <c r="IQ160" s="3554"/>
      <c r="IR160" s="3554"/>
      <c r="IS160" s="3554"/>
      <c r="IT160" s="3554"/>
      <c r="IU160" s="3554"/>
      <c r="IV160" s="3554"/>
      <c r="IW160" s="3554"/>
      <c r="IX160" s="3554"/>
      <c r="IY160" s="3554"/>
      <c r="IZ160" s="3554"/>
      <c r="JA160" s="3554"/>
      <c r="JB160" s="3554"/>
      <c r="JC160" s="3554"/>
      <c r="JD160" s="4229"/>
      <c r="JE160" s="4229"/>
      <c r="JF160" s="4229"/>
      <c r="JG160" s="3585"/>
    </row>
    <row ht="13.5" r="161" spans="1:267" thickBot="1" x14ac:dyDescent="0.25">
      <c r="A161" s="3612">
        <v>18</v>
      </c>
      <c r="B161" s="3616" t="str">
        <f si="8" t="shared"/>
        <v/>
      </c>
      <c r="C161" s="34"/>
      <c r="D161" s="3617" t="s">
        <v>8259</v>
      </c>
      <c r="E161" s="3607"/>
      <c r="F161" s="3595"/>
      <c r="G161" s="3608"/>
      <c r="H161" s="3608"/>
      <c r="I161" s="3608"/>
      <c r="J161" s="3588"/>
      <c r="K161" s="3588"/>
      <c r="L161" s="3555"/>
      <c r="M161" s="3555"/>
      <c r="N161" s="3555"/>
      <c r="O161" s="3555"/>
      <c r="P161" s="3555"/>
      <c r="Q161" s="3555"/>
      <c r="R161" s="3555"/>
      <c r="S161" s="3555"/>
      <c r="T161" s="3555"/>
      <c r="U161" s="3555"/>
      <c r="V161" s="3555"/>
      <c r="W161" s="3555"/>
      <c r="X161" s="3555"/>
      <c r="Y161" s="3555"/>
      <c r="Z161" s="3555"/>
      <c r="AA161" s="3555"/>
      <c r="AB161" s="3555"/>
      <c r="AC161" s="3555"/>
      <c r="AD161" s="3555"/>
      <c r="AE161" s="3555"/>
      <c r="AF161" s="3555"/>
      <c r="AG161" s="3555"/>
      <c r="AH161" s="3555"/>
      <c r="AI161" s="3555"/>
      <c r="AJ161" s="3555"/>
      <c r="AK161" s="3555"/>
      <c r="AL161" s="3555"/>
      <c r="AM161" s="3555"/>
      <c r="AN161" s="3555"/>
      <c r="AO161" s="3555"/>
      <c r="AP161" s="3595">
        <v>0</v>
      </c>
      <c r="AQ161" s="3595">
        <v>0</v>
      </c>
      <c r="AR161" s="3555"/>
      <c r="AS161" s="3555"/>
      <c r="AT161" s="3555"/>
      <c r="AU161" s="3555"/>
      <c r="AV161" s="3555"/>
      <c r="AW161" s="3555"/>
      <c r="AX161" s="3555"/>
      <c r="AY161" s="3555"/>
      <c r="AZ161" s="3555"/>
      <c r="BA161" s="3555"/>
      <c r="BB161" s="3595">
        <v>0</v>
      </c>
      <c r="BC161" s="3607">
        <v>0</v>
      </c>
      <c r="BD161" s="3607">
        <v>0</v>
      </c>
      <c r="BE161" s="3555"/>
      <c r="BF161" s="3555"/>
      <c r="BG161" s="3555"/>
      <c r="BH161" s="3555"/>
      <c r="BI161" s="3555"/>
      <c r="BJ161" s="3607">
        <v>0</v>
      </c>
      <c r="BK161" s="3555"/>
      <c r="BL161" s="3555"/>
      <c r="BM161" s="3555"/>
      <c r="BN161" s="3555"/>
      <c r="BO161" s="3555"/>
      <c r="BP161" s="3555"/>
      <c r="BQ161" s="3555"/>
      <c r="BR161" s="3555"/>
      <c r="BS161" s="3555"/>
      <c r="BT161" s="3555"/>
      <c r="BU161" s="3555"/>
      <c r="BV161" s="3555"/>
      <c r="BW161" s="3555"/>
      <c r="BX161" s="3555"/>
      <c r="BY161" s="3555"/>
      <c r="BZ161" s="3555"/>
      <c r="CA161" s="3555"/>
      <c r="CB161" s="3555"/>
      <c r="CC161" s="3555"/>
      <c r="CD161" s="3555"/>
      <c r="CE161" s="3555"/>
      <c r="CF161" s="3555"/>
      <c r="CG161" s="3555"/>
      <c r="CH161" s="3555"/>
      <c r="CI161" s="3555"/>
      <c r="CJ161" s="3555"/>
      <c r="CK161" s="3555"/>
      <c r="CL161" s="3555"/>
      <c r="CM161" s="3555"/>
      <c r="CN161" s="3555"/>
      <c r="CO161" s="3555"/>
      <c r="CP161" s="3555"/>
      <c r="CQ161" s="3555"/>
      <c r="CR161" s="3555"/>
      <c r="CS161" s="3555"/>
      <c r="CT161" s="3595">
        <v>0</v>
      </c>
      <c r="CU161" s="3555"/>
      <c r="CV161" s="3555"/>
      <c r="CW161" s="3555"/>
      <c r="CX161" s="3555"/>
      <c r="CY161" s="3555"/>
      <c r="CZ161" s="3555"/>
      <c r="DA161" s="3555"/>
      <c r="DB161" s="3555"/>
      <c r="DC161" s="3555"/>
      <c r="DD161" s="3555"/>
      <c r="DE161" s="3555"/>
      <c r="DF161" s="3555"/>
      <c r="DG161" s="3555"/>
      <c r="DH161" s="3555"/>
      <c r="DI161" s="3595">
        <v>0</v>
      </c>
      <c r="DJ161" s="3555"/>
      <c r="DK161" s="3555"/>
      <c r="DL161" s="3555"/>
      <c r="DM161" s="3555"/>
      <c r="DN161" s="3555"/>
      <c r="DO161" s="3555"/>
      <c r="DP161" s="3555"/>
      <c r="DQ161" s="3555"/>
      <c r="DR161" s="3555"/>
      <c r="DS161" s="3555"/>
      <c r="DT161" s="3555"/>
      <c r="DU161" s="3555"/>
      <c r="DV161" s="3555"/>
      <c r="DW161" s="3555"/>
      <c r="DX161" s="3555"/>
      <c r="DY161" s="3555"/>
      <c r="DZ161" s="3555"/>
      <c r="EA161" s="3555"/>
      <c r="EB161" s="3555"/>
      <c r="EC161" s="3555"/>
      <c r="ED161" s="3555"/>
      <c r="EE161" s="3555"/>
      <c r="EF161" s="3555"/>
      <c r="EG161" s="3555"/>
      <c r="EH161" s="3555"/>
      <c r="EI161" s="3555"/>
      <c r="EJ161" s="3555"/>
      <c r="EK161" s="3555"/>
      <c r="EL161" s="3555"/>
      <c r="EM161" s="3555"/>
      <c r="EN161" s="3555"/>
      <c r="EO161" s="3555"/>
      <c r="EP161" s="3555"/>
      <c r="EQ161" s="3555"/>
      <c r="ER161" s="3555"/>
      <c r="ES161" s="3555"/>
      <c r="ET161" s="3555"/>
      <c r="EU161" s="3555"/>
      <c r="EV161" s="3555"/>
      <c r="EW161" s="3555"/>
      <c r="EX161" s="3608">
        <v>724</v>
      </c>
      <c r="EY161" s="3555"/>
      <c r="EZ161" s="3555"/>
      <c r="FA161" s="3555"/>
      <c r="FB161" s="3555"/>
      <c r="FC161" s="3555"/>
      <c r="FD161" s="3555"/>
      <c r="FE161" s="3555"/>
      <c r="FF161" s="3555"/>
      <c r="FG161" s="3555"/>
      <c r="FH161" s="3555"/>
      <c r="FI161" s="3555"/>
      <c r="FJ161" s="3555"/>
      <c r="FK161" s="3555"/>
      <c r="FL161" s="3555"/>
      <c r="FM161" s="3555"/>
      <c r="FN161" s="3555"/>
      <c r="FO161" s="3555"/>
      <c r="FP161" s="3555"/>
      <c r="FQ161" s="3555"/>
      <c r="FR161" s="3555"/>
      <c r="FS161" s="3555"/>
      <c r="FT161" s="3555"/>
      <c r="FU161" s="3555"/>
      <c r="FV161" s="3555"/>
      <c r="FW161" s="3555"/>
      <c r="FX161" s="3555"/>
      <c r="FY161" s="3555"/>
      <c r="FZ161" s="3555"/>
      <c r="GA161" s="3555"/>
      <c r="GB161" s="3555"/>
      <c r="GC161" s="3555"/>
      <c r="GD161" s="3555"/>
      <c r="GE161" s="3555"/>
      <c r="GF161" s="3607">
        <v>0</v>
      </c>
      <c r="GG161" s="3555"/>
      <c r="GH161" s="3555"/>
      <c r="GI161" s="3555"/>
      <c r="GJ161" s="3555"/>
      <c r="GK161" s="3555"/>
      <c r="GL161" s="3555"/>
      <c r="GM161" s="3555"/>
      <c r="GN161" s="3555"/>
      <c r="GO161" s="3555"/>
      <c r="GP161" s="3555"/>
      <c r="GQ161" s="3555"/>
      <c r="GR161" s="3555"/>
      <c r="GS161" s="3555"/>
      <c r="GT161" s="3555"/>
      <c r="GU161" s="3555"/>
      <c r="GV161" s="3555"/>
      <c r="GW161" s="3555"/>
      <c r="GX161" s="3555"/>
      <c r="GY161" s="3555"/>
      <c r="GZ161" s="3555"/>
      <c r="HA161" s="3555"/>
      <c r="HB161" s="3555"/>
      <c r="HC161" s="3555"/>
      <c r="HD161" s="3555"/>
      <c r="HE161" s="3555"/>
      <c r="HF161" s="3555"/>
      <c r="HG161" s="3555"/>
      <c r="HH161" s="3588">
        <v>3394</v>
      </c>
      <c r="HI161" s="3555"/>
      <c r="HJ161" s="3555">
        <v>0</v>
      </c>
      <c r="HK161" s="3555">
        <v>0</v>
      </c>
      <c r="HL161" s="3555">
        <v>0</v>
      </c>
      <c r="HM161" s="3555">
        <v>0</v>
      </c>
      <c r="HN161" s="3555"/>
      <c r="HO161" s="3555"/>
      <c r="HP161" s="3608">
        <v>724</v>
      </c>
      <c r="HQ161" s="3555"/>
      <c r="HR161" s="3608">
        <v>724</v>
      </c>
      <c r="HS161" s="3555"/>
      <c r="HT161" s="3555"/>
      <c r="HU161" s="3555"/>
      <c r="HV161" s="3555"/>
      <c r="HW161" s="3555"/>
      <c r="HX161" s="3555"/>
      <c r="HY161" s="3555"/>
      <c r="HZ161" s="3555"/>
      <c r="IA161" s="3555"/>
      <c r="IB161" s="3555"/>
      <c r="IC161" s="3555"/>
      <c r="ID161" s="3555"/>
      <c r="IE161" s="3555"/>
      <c r="IF161" s="3555">
        <v>0</v>
      </c>
      <c r="IG161" s="3555"/>
      <c r="IH161" s="3555"/>
      <c r="II161" s="3555"/>
      <c r="IJ161" s="3555"/>
      <c r="IK161" s="3555"/>
      <c r="IL161" s="3555"/>
      <c r="IM161" s="3555"/>
      <c r="IN161" s="3555"/>
      <c r="IO161" s="3555"/>
      <c r="IP161" s="3555"/>
      <c r="IQ161" s="3555"/>
      <c r="IR161" s="3555"/>
      <c r="IS161" s="3555"/>
      <c r="IT161" s="3555"/>
      <c r="IU161" s="3555"/>
      <c r="IV161" s="3555"/>
      <c r="IW161" s="3555"/>
      <c r="IX161" s="3555"/>
      <c r="IY161" s="3555"/>
      <c r="IZ161" s="3555"/>
      <c r="JA161" s="3555"/>
      <c r="JB161" s="3555"/>
      <c r="JC161" s="3555"/>
      <c r="JD161" s="4230"/>
      <c r="JE161" s="4230"/>
      <c r="JF161" s="4230"/>
      <c r="JG161" s="4084"/>
    </row>
    <row r="162" spans="1:267" x14ac:dyDescent="0.2">
      <c r="A162" s="3612">
        <v>19</v>
      </c>
      <c r="B162" s="3616" t="str">
        <f si="8" t="shared"/>
        <v/>
      </c>
      <c r="C162" s="34"/>
      <c r="D162" s="3617" t="s">
        <v>8260</v>
      </c>
      <c r="E162" s="3589"/>
      <c r="F162" s="3578"/>
      <c r="G162" s="3552"/>
      <c r="H162" s="3552"/>
      <c r="I162" s="3552"/>
      <c r="J162" s="3552"/>
      <c r="K162" s="3552"/>
      <c r="L162" s="3552"/>
      <c r="M162" s="3552"/>
      <c r="N162" s="3552"/>
      <c r="O162" s="3552"/>
      <c r="P162" s="3552"/>
      <c r="Q162" s="3552"/>
      <c r="R162" s="3552"/>
      <c r="S162" s="3552"/>
      <c r="T162" s="3552"/>
      <c r="U162" s="3552"/>
      <c r="V162" s="3552"/>
      <c r="W162" s="3552"/>
      <c r="X162" s="3552"/>
      <c r="Y162" s="3552"/>
      <c r="Z162" s="3552"/>
      <c r="AA162" s="3552"/>
      <c r="AB162" s="3552"/>
      <c r="AC162" s="3552"/>
      <c r="AD162" s="3552"/>
      <c r="AE162" s="3552"/>
      <c r="AF162" s="3552"/>
      <c r="AG162" s="3552"/>
      <c r="AH162" s="3552"/>
      <c r="AI162" s="3552"/>
      <c r="AJ162" s="3552"/>
      <c r="AK162" s="3552"/>
      <c r="AL162" s="3552"/>
      <c r="AM162" s="3552"/>
      <c r="AN162" s="3552"/>
      <c r="AO162" s="3552"/>
      <c r="AP162" s="3578">
        <v>1</v>
      </c>
      <c r="AQ162" s="3578">
        <v>1</v>
      </c>
      <c r="AR162" s="3552"/>
      <c r="AS162" s="3552"/>
      <c r="AT162" s="3552"/>
      <c r="AU162" s="3552"/>
      <c r="AV162" s="3552"/>
      <c r="AW162" s="3552"/>
      <c r="AX162" s="3552"/>
      <c r="AY162" s="3552"/>
      <c r="AZ162" s="3552"/>
      <c r="BA162" s="3552"/>
      <c r="BB162" s="3578">
        <v>1</v>
      </c>
      <c r="BC162" s="3589">
        <v>1</v>
      </c>
      <c r="BD162" s="3589">
        <v>1</v>
      </c>
      <c r="BE162" s="3552"/>
      <c r="BF162" s="3552"/>
      <c r="BG162" s="3552"/>
      <c r="BH162" s="3552"/>
      <c r="BI162" s="3552"/>
      <c r="BJ162" s="3589">
        <v>1</v>
      </c>
      <c r="BK162" s="3552"/>
      <c r="BL162" s="3552"/>
      <c r="BM162" s="3552"/>
      <c r="BN162" s="3552"/>
      <c r="BO162" s="3552"/>
      <c r="BP162" s="3552"/>
      <c r="BQ162" s="3552"/>
      <c r="BR162" s="3552"/>
      <c r="BS162" s="3552"/>
      <c r="BT162" s="3552"/>
      <c r="BU162" s="3552"/>
      <c r="BV162" s="3552"/>
      <c r="BW162" s="3552"/>
      <c r="BX162" s="3552"/>
      <c r="BY162" s="3552"/>
      <c r="BZ162" s="3552"/>
      <c r="CA162" s="3552"/>
      <c r="CB162" s="3552"/>
      <c r="CC162" s="3552"/>
      <c r="CD162" s="3552"/>
      <c r="CE162" s="3552"/>
      <c r="CF162" s="3552"/>
      <c r="CG162" s="3552"/>
      <c r="CH162" s="3552"/>
      <c r="CI162" s="3552"/>
      <c r="CJ162" s="3552"/>
      <c r="CK162" s="3552"/>
      <c r="CL162" s="3552"/>
      <c r="CM162" s="3552"/>
      <c r="CN162" s="3552"/>
      <c r="CO162" s="3552"/>
      <c r="CP162" s="3552"/>
      <c r="CQ162" s="3552"/>
      <c r="CR162" s="3552"/>
      <c r="CS162" s="3552"/>
      <c r="CT162" s="3578">
        <v>1</v>
      </c>
      <c r="CU162" s="3552"/>
      <c r="CV162" s="3552"/>
      <c r="CW162" s="3552"/>
      <c r="CX162" s="3552"/>
      <c r="CY162" s="3552"/>
      <c r="CZ162" s="3552"/>
      <c r="DA162" s="3552"/>
      <c r="DB162" s="3552"/>
      <c r="DC162" s="3552"/>
      <c r="DD162" s="3552"/>
      <c r="DE162" s="3552"/>
      <c r="DF162" s="3552"/>
      <c r="DG162" s="3552"/>
      <c r="DH162" s="3552"/>
      <c r="DI162" s="3578">
        <v>1</v>
      </c>
      <c r="DJ162" s="3552"/>
      <c r="DK162" s="3552"/>
      <c r="DL162" s="3552"/>
      <c r="DM162" s="3552"/>
      <c r="DN162" s="3552"/>
      <c r="DO162" s="3552"/>
      <c r="DP162" s="3552"/>
      <c r="DQ162" s="3552"/>
      <c r="DR162" s="3552"/>
      <c r="DS162" s="3552"/>
      <c r="DT162" s="3552"/>
      <c r="DU162" s="3552"/>
      <c r="DV162" s="3552"/>
      <c r="DW162" s="3552"/>
      <c r="DX162" s="3552"/>
      <c r="DY162" s="3552"/>
      <c r="DZ162" s="3552"/>
      <c r="EA162" s="3552"/>
      <c r="EB162" s="3552"/>
      <c r="EC162" s="3552"/>
      <c r="ED162" s="3552"/>
      <c r="EE162" s="3552"/>
      <c r="EF162" s="3552"/>
      <c r="EG162" s="3552"/>
      <c r="EH162" s="3552"/>
      <c r="EI162" s="3552"/>
      <c r="EJ162" s="3552"/>
      <c r="EK162" s="3552"/>
      <c r="EL162" s="3552"/>
      <c r="EM162" s="3552"/>
      <c r="EN162" s="3552"/>
      <c r="EO162" s="3552"/>
      <c r="EP162" s="3552"/>
      <c r="EQ162" s="3552"/>
      <c r="ER162" s="3552"/>
      <c r="ES162" s="3552"/>
      <c r="ET162" s="3552"/>
      <c r="EU162" s="3552"/>
      <c r="EV162" s="3552"/>
      <c r="EW162" s="3552"/>
      <c r="EX162" s="3552">
        <v>1</v>
      </c>
      <c r="EY162" s="3552"/>
      <c r="EZ162" s="3552"/>
      <c r="FA162" s="3552"/>
      <c r="FB162" s="3552"/>
      <c r="FC162" s="3552"/>
      <c r="FD162" s="3552"/>
      <c r="FE162" s="3552"/>
      <c r="FF162" s="3552"/>
      <c r="FG162" s="3552"/>
      <c r="FH162" s="3552"/>
      <c r="FI162" s="3552"/>
      <c r="FJ162" s="3552"/>
      <c r="FK162" s="3552"/>
      <c r="FL162" s="3552"/>
      <c r="FM162" s="3552"/>
      <c r="FN162" s="3552"/>
      <c r="FO162" s="3552"/>
      <c r="FP162" s="3552"/>
      <c r="FQ162" s="3552"/>
      <c r="FR162" s="3552"/>
      <c r="FS162" s="3552"/>
      <c r="FT162" s="3552"/>
      <c r="FU162" s="3552"/>
      <c r="FV162" s="3552"/>
      <c r="FW162" s="3552"/>
      <c r="FX162" s="3552"/>
      <c r="FY162" s="3552"/>
      <c r="FZ162" s="3552"/>
      <c r="GA162" s="3552"/>
      <c r="GB162" s="3552"/>
      <c r="GC162" s="3552"/>
      <c r="GD162" s="3552"/>
      <c r="GE162" s="3552"/>
      <c r="GF162" s="3589">
        <v>1</v>
      </c>
      <c r="GG162" s="3552"/>
      <c r="GH162" s="3552"/>
      <c r="GI162" s="3552"/>
      <c r="GJ162" s="3552"/>
      <c r="GK162" s="3552"/>
      <c r="GL162" s="3552"/>
      <c r="GM162" s="3552"/>
      <c r="GN162" s="3552"/>
      <c r="GO162" s="3552"/>
      <c r="GP162" s="3552"/>
      <c r="GQ162" s="3552"/>
      <c r="GR162" s="3552"/>
      <c r="GS162" s="3552"/>
      <c r="GT162" s="3552"/>
      <c r="GU162" s="3552"/>
      <c r="GV162" s="3552"/>
      <c r="GW162" s="3552"/>
      <c r="GX162" s="3552"/>
      <c r="GY162" s="3552"/>
      <c r="GZ162" s="3552"/>
      <c r="HA162" s="3552"/>
      <c r="HB162" s="3552"/>
      <c r="HC162" s="3552"/>
      <c r="HD162" s="3552"/>
      <c r="HE162" s="3552"/>
      <c r="HF162" s="3552"/>
      <c r="HG162" s="3552"/>
      <c r="HH162" s="3552">
        <v>1</v>
      </c>
      <c r="HI162" s="3552"/>
      <c r="HJ162" s="3552">
        <v>1</v>
      </c>
      <c r="HK162" s="3552">
        <v>1</v>
      </c>
      <c r="HL162" s="3552">
        <v>1</v>
      </c>
      <c r="HM162" s="3552">
        <v>1</v>
      </c>
      <c r="HN162" s="3552"/>
      <c r="HO162" s="3552"/>
      <c r="HP162" s="3552">
        <v>1</v>
      </c>
      <c r="HQ162" s="3552"/>
      <c r="HR162" s="3552">
        <v>1</v>
      </c>
      <c r="HS162" s="3552"/>
      <c r="HT162" s="3552"/>
      <c r="HU162" s="3552"/>
      <c r="HV162" s="3552"/>
      <c r="HW162" s="3552"/>
      <c r="HX162" s="3552"/>
      <c r="HY162" s="3552"/>
      <c r="HZ162" s="3552"/>
      <c r="IA162" s="3552"/>
      <c r="IB162" s="3552"/>
      <c r="IC162" s="3552"/>
      <c r="ID162" s="3552"/>
      <c r="IE162" s="3552"/>
      <c r="IF162" s="3552">
        <v>1</v>
      </c>
      <c r="IG162" s="3552"/>
      <c r="IH162" s="3552"/>
      <c r="II162" s="3552"/>
      <c r="IJ162" s="3552"/>
      <c r="IK162" s="3552"/>
      <c r="IL162" s="3552"/>
      <c r="IM162" s="3552"/>
      <c r="IN162" s="3552"/>
      <c r="IO162" s="3552"/>
      <c r="IP162" s="3552"/>
      <c r="IQ162" s="3552"/>
      <c r="IR162" s="3552"/>
      <c r="IS162" s="3552"/>
      <c r="IT162" s="3552"/>
      <c r="IU162" s="3552"/>
      <c r="IV162" s="3552"/>
      <c r="IW162" s="3552"/>
      <c r="IX162" s="3552"/>
      <c r="IY162" s="3552"/>
      <c r="IZ162" s="3552"/>
      <c r="JA162" s="3552"/>
      <c r="JB162" s="3552"/>
      <c r="JC162" s="3552"/>
      <c r="JD162" s="4227"/>
      <c r="JE162" s="4227"/>
      <c r="JF162" s="4227"/>
      <c r="JG162" s="3579"/>
    </row>
    <row r="163" spans="1:267" x14ac:dyDescent="0.2">
      <c r="A163" s="3612">
        <v>20</v>
      </c>
      <c r="B163" s="3616" t="str">
        <f si="8" t="shared"/>
        <v/>
      </c>
      <c r="C163" s="34"/>
      <c r="D163" s="3617" t="s">
        <v>8261</v>
      </c>
      <c r="E163" s="3580"/>
      <c r="F163" s="3553"/>
      <c r="G163" s="3553"/>
      <c r="H163" s="3553"/>
      <c r="I163" s="3553"/>
      <c r="J163" s="3553"/>
      <c r="K163" s="2295"/>
      <c r="L163" s="3553"/>
      <c r="M163" s="3553"/>
      <c r="N163" s="3553"/>
      <c r="O163" s="3553"/>
      <c r="P163" s="3553"/>
      <c r="Q163" s="3553"/>
      <c r="R163" s="3553"/>
      <c r="S163" s="3553"/>
      <c r="T163" s="3553"/>
      <c r="U163" s="3553"/>
      <c r="V163" s="3553"/>
      <c r="W163" s="3553"/>
      <c r="X163" s="3553"/>
      <c r="Y163" s="3553"/>
      <c r="Z163" s="3553"/>
      <c r="AA163" s="3553"/>
      <c r="AB163" s="3553"/>
      <c r="AC163" s="3553"/>
      <c r="AD163" s="3553"/>
      <c r="AE163" s="3553"/>
      <c r="AF163" s="3553"/>
      <c r="AG163" s="3553"/>
      <c r="AH163" s="3553"/>
      <c r="AI163" s="3553"/>
      <c r="AJ163" s="3553"/>
      <c r="AK163" s="3553"/>
      <c r="AL163" s="3553"/>
      <c r="AM163" s="3553"/>
      <c r="AN163" s="3553"/>
      <c r="AO163" s="3553"/>
      <c r="AP163" s="3553">
        <v>1</v>
      </c>
      <c r="AQ163" s="3553">
        <v>1</v>
      </c>
      <c r="AR163" s="3553"/>
      <c r="AS163" s="3553"/>
      <c r="AT163" s="3553"/>
      <c r="AU163" s="3553"/>
      <c r="AV163" s="3553"/>
      <c r="AW163" s="3553"/>
      <c r="AX163" s="3553"/>
      <c r="AY163" s="3553"/>
      <c r="AZ163" s="3553"/>
      <c r="BA163" s="3553"/>
      <c r="BB163" s="3553">
        <v>1</v>
      </c>
      <c r="BC163" s="3580">
        <v>1</v>
      </c>
      <c r="BD163" s="3580">
        <v>1</v>
      </c>
      <c r="BE163" s="3553"/>
      <c r="BF163" s="3553"/>
      <c r="BG163" s="3553"/>
      <c r="BH163" s="3553"/>
      <c r="BI163" s="3553"/>
      <c r="BJ163" s="3580">
        <v>1</v>
      </c>
      <c r="BK163" s="3553"/>
      <c r="BL163" s="3553"/>
      <c r="BM163" s="3553"/>
      <c r="BN163" s="3553"/>
      <c r="BO163" s="3553"/>
      <c r="BP163" s="3553"/>
      <c r="BQ163" s="3553"/>
      <c r="BR163" s="3553"/>
      <c r="BS163" s="3553"/>
      <c r="BT163" s="3553"/>
      <c r="BU163" s="3553"/>
      <c r="BV163" s="3553"/>
      <c r="BW163" s="3553"/>
      <c r="BX163" s="3553"/>
      <c r="BY163" s="3553"/>
      <c r="BZ163" s="3553"/>
      <c r="CA163" s="3553"/>
      <c r="CB163" s="3553"/>
      <c r="CC163" s="3553"/>
      <c r="CD163" s="3553"/>
      <c r="CE163" s="3553"/>
      <c r="CF163" s="3553"/>
      <c r="CG163" s="3553"/>
      <c r="CH163" s="3553"/>
      <c r="CI163" s="3553"/>
      <c r="CJ163" s="3553"/>
      <c r="CK163" s="3553"/>
      <c r="CL163" s="3553"/>
      <c r="CM163" s="3553"/>
      <c r="CN163" s="3553"/>
      <c r="CO163" s="3553"/>
      <c r="CP163" s="3553"/>
      <c r="CQ163" s="3553"/>
      <c r="CR163" s="3553"/>
      <c r="CS163" s="3553"/>
      <c r="CT163" s="3553">
        <v>1</v>
      </c>
      <c r="CU163" s="3553"/>
      <c r="CV163" s="3553"/>
      <c r="CW163" s="3553"/>
      <c r="CX163" s="3553"/>
      <c r="CY163" s="3553"/>
      <c r="CZ163" s="3553"/>
      <c r="DA163" s="3553"/>
      <c r="DB163" s="3553"/>
      <c r="DC163" s="3553"/>
      <c r="DD163" s="3553"/>
      <c r="DE163" s="3553"/>
      <c r="DF163" s="3553"/>
      <c r="DG163" s="3553"/>
      <c r="DH163" s="3553"/>
      <c r="DI163" s="3553">
        <v>1</v>
      </c>
      <c r="DJ163" s="3553"/>
      <c r="DK163" s="3553"/>
      <c r="DL163" s="3553"/>
      <c r="DM163" s="3553"/>
      <c r="DN163" s="3553"/>
      <c r="DO163" s="3553"/>
      <c r="DP163" s="3553"/>
      <c r="DQ163" s="3553"/>
      <c r="DR163" s="3553"/>
      <c r="DS163" s="3553"/>
      <c r="DT163" s="3553"/>
      <c r="DU163" s="3553"/>
      <c r="DV163" s="3553"/>
      <c r="DW163" s="3553"/>
      <c r="DX163" s="3553"/>
      <c r="DY163" s="3553"/>
      <c r="DZ163" s="3553"/>
      <c r="EA163" s="3553"/>
      <c r="EB163" s="3553"/>
      <c r="EC163" s="3553"/>
      <c r="ED163" s="3553"/>
      <c r="EE163" s="3553"/>
      <c r="EF163" s="3553"/>
      <c r="EG163" s="3553"/>
      <c r="EH163" s="3553"/>
      <c r="EI163" s="3553"/>
      <c r="EJ163" s="3553"/>
      <c r="EK163" s="3553"/>
      <c r="EL163" s="3553"/>
      <c r="EM163" s="3553"/>
      <c r="EN163" s="3553"/>
      <c r="EO163" s="3553"/>
      <c r="EP163" s="3553"/>
      <c r="EQ163" s="3553"/>
      <c r="ER163" s="3553"/>
      <c r="ES163" s="3553"/>
      <c r="ET163" s="3553"/>
      <c r="EU163" s="3553"/>
      <c r="EV163" s="3553"/>
      <c r="EW163" s="3553"/>
      <c r="EX163" s="3553">
        <v>1</v>
      </c>
      <c r="EY163" s="3553"/>
      <c r="EZ163" s="3553"/>
      <c r="FA163" s="3553"/>
      <c r="FB163" s="3553"/>
      <c r="FC163" s="3553"/>
      <c r="FD163" s="3553"/>
      <c r="FE163" s="3553"/>
      <c r="FF163" s="3553"/>
      <c r="FG163" s="3553"/>
      <c r="FH163" s="3553"/>
      <c r="FI163" s="3553"/>
      <c r="FJ163" s="3553"/>
      <c r="FK163" s="3553"/>
      <c r="FL163" s="3553"/>
      <c r="FM163" s="3553"/>
      <c r="FN163" s="3553"/>
      <c r="FO163" s="3553"/>
      <c r="FP163" s="3553"/>
      <c r="FQ163" s="3553"/>
      <c r="FR163" s="3553"/>
      <c r="FS163" s="3553"/>
      <c r="FT163" s="3553"/>
      <c r="FU163" s="3553"/>
      <c r="FV163" s="3553"/>
      <c r="FW163" s="3553"/>
      <c r="FX163" s="3553"/>
      <c r="FY163" s="3553"/>
      <c r="FZ163" s="3553"/>
      <c r="GA163" s="3553"/>
      <c r="GB163" s="3553"/>
      <c r="GC163" s="3553"/>
      <c r="GD163" s="3553"/>
      <c r="GE163" s="3553"/>
      <c r="GF163" s="3580">
        <v>1</v>
      </c>
      <c r="GG163" s="3553"/>
      <c r="GH163" s="3553"/>
      <c r="GI163" s="3553"/>
      <c r="GJ163" s="3553"/>
      <c r="GK163" s="3553"/>
      <c r="GL163" s="3553"/>
      <c r="GM163" s="3553"/>
      <c r="GN163" s="3553"/>
      <c r="GO163" s="3553"/>
      <c r="GP163" s="3553"/>
      <c r="GQ163" s="3553"/>
      <c r="GR163" s="3553"/>
      <c r="GS163" s="3553"/>
      <c r="GT163" s="3553"/>
      <c r="GU163" s="3553"/>
      <c r="GV163" s="3553"/>
      <c r="GW163" s="3553"/>
      <c r="GX163" s="3553"/>
      <c r="GY163" s="3553"/>
      <c r="GZ163" s="3553"/>
      <c r="HA163" s="3553"/>
      <c r="HB163" s="3553"/>
      <c r="HC163" s="3553"/>
      <c r="HD163" s="3553"/>
      <c r="HE163" s="3553"/>
      <c r="HF163" s="3553"/>
      <c r="HG163" s="3553"/>
      <c r="HH163" s="2295">
        <v>1</v>
      </c>
      <c r="HI163" s="3553"/>
      <c r="HJ163" s="3553">
        <v>1</v>
      </c>
      <c r="HK163" s="3553">
        <v>1</v>
      </c>
      <c r="HL163" s="3553">
        <v>1</v>
      </c>
      <c r="HM163" s="3553">
        <v>1</v>
      </c>
      <c r="HN163" s="3553"/>
      <c r="HO163" s="3553"/>
      <c r="HP163" s="3553">
        <v>1</v>
      </c>
      <c r="HQ163" s="3553"/>
      <c r="HR163" s="3553">
        <v>1</v>
      </c>
      <c r="HS163" s="3553"/>
      <c r="HT163" s="3553"/>
      <c r="HU163" s="3553"/>
      <c r="HV163" s="3553"/>
      <c r="HW163" s="3553"/>
      <c r="HX163" s="3553"/>
      <c r="HY163" s="3553"/>
      <c r="HZ163" s="3553"/>
      <c r="IA163" s="3553"/>
      <c r="IB163" s="3553"/>
      <c r="IC163" s="3553"/>
      <c r="ID163" s="3553"/>
      <c r="IE163" s="3553"/>
      <c r="IF163" s="3553">
        <v>1</v>
      </c>
      <c r="IG163" s="3553"/>
      <c r="IH163" s="3553"/>
      <c r="II163" s="3553"/>
      <c r="IJ163" s="3553"/>
      <c r="IK163" s="3553"/>
      <c r="IL163" s="3553"/>
      <c r="IM163" s="3553"/>
      <c r="IN163" s="3553"/>
      <c r="IO163" s="3553"/>
      <c r="IP163" s="3553"/>
      <c r="IQ163" s="3553"/>
      <c r="IR163" s="3553"/>
      <c r="IS163" s="3553"/>
      <c r="IT163" s="3553"/>
      <c r="IU163" s="3553"/>
      <c r="IV163" s="3553"/>
      <c r="IW163" s="3553"/>
      <c r="IX163" s="3553"/>
      <c r="IY163" s="3553"/>
      <c r="IZ163" s="3553"/>
      <c r="JA163" s="3553"/>
      <c r="JB163" s="3553"/>
      <c r="JC163" s="3553"/>
      <c r="JD163" s="4228"/>
      <c r="JE163" s="4228"/>
      <c r="JF163" s="4228"/>
      <c r="JG163" s="4083"/>
    </row>
    <row r="164" spans="1:267" x14ac:dyDescent="0.2">
      <c r="A164" s="3612">
        <v>21</v>
      </c>
      <c r="B164" s="3616" t="str">
        <f si="8" t="shared"/>
        <v/>
      </c>
      <c r="C164" s="34"/>
      <c r="D164" s="3617" t="s">
        <v>8262</v>
      </c>
      <c r="E164" s="3598"/>
      <c r="F164" s="3599"/>
      <c r="G164" s="3554"/>
      <c r="H164" s="3554"/>
      <c r="I164" s="3600"/>
      <c r="J164" s="3554"/>
      <c r="K164" s="3554"/>
      <c r="L164" s="3554"/>
      <c r="M164" s="3554"/>
      <c r="N164" s="3554"/>
      <c r="O164" s="3554"/>
      <c r="P164" s="3554"/>
      <c r="Q164" s="3554"/>
      <c r="R164" s="3554"/>
      <c r="S164" s="3554"/>
      <c r="T164" s="3554"/>
      <c r="U164" s="3554"/>
      <c r="V164" s="3554"/>
      <c r="W164" s="3554"/>
      <c r="X164" s="3554"/>
      <c r="Y164" s="3554"/>
      <c r="Z164" s="3554"/>
      <c r="AA164" s="3554"/>
      <c r="AB164" s="3554"/>
      <c r="AC164" s="3554"/>
      <c r="AD164" s="3554"/>
      <c r="AE164" s="3554"/>
      <c r="AF164" s="3554"/>
      <c r="AG164" s="3554"/>
      <c r="AH164" s="3554"/>
      <c r="AI164" s="3554"/>
      <c r="AJ164" s="3554"/>
      <c r="AK164" s="3554"/>
      <c r="AL164" s="3554"/>
      <c r="AM164" s="3554"/>
      <c r="AN164" s="3554"/>
      <c r="AO164" s="3554"/>
      <c r="AP164" s="4126">
        <v>0</v>
      </c>
      <c r="AQ164" s="3599">
        <v>0</v>
      </c>
      <c r="AR164" s="3554"/>
      <c r="AS164" s="3554"/>
      <c r="AT164" s="3554"/>
      <c r="AU164" s="3554"/>
      <c r="AV164" s="3554"/>
      <c r="AW164" s="3554"/>
      <c r="AX164" s="3554"/>
      <c r="AY164" s="3554"/>
      <c r="AZ164" s="3554"/>
      <c r="BA164" s="3554"/>
      <c r="BB164" s="3599">
        <v>0</v>
      </c>
      <c r="BC164" s="3598">
        <v>0</v>
      </c>
      <c r="BD164" s="3598">
        <v>0</v>
      </c>
      <c r="BE164" s="3554"/>
      <c r="BF164" s="3554"/>
      <c r="BG164" s="3554"/>
      <c r="BH164" s="3554"/>
      <c r="BI164" s="3554"/>
      <c r="BJ164" s="3598">
        <v>0</v>
      </c>
      <c r="BK164" s="3554"/>
      <c r="BL164" s="3554"/>
      <c r="BM164" s="3554"/>
      <c r="BN164" s="3554"/>
      <c r="BO164" s="3554"/>
      <c r="BP164" s="3554"/>
      <c r="BQ164" s="3554"/>
      <c r="BR164" s="3554"/>
      <c r="BS164" s="3554"/>
      <c r="BT164" s="3554"/>
      <c r="BU164" s="3554"/>
      <c r="BV164" s="3554"/>
      <c r="BW164" s="3554"/>
      <c r="BX164" s="3554"/>
      <c r="BY164" s="3554"/>
      <c r="BZ164" s="3554"/>
      <c r="CA164" s="3554"/>
      <c r="CB164" s="3554"/>
      <c r="CC164" s="3554"/>
      <c r="CD164" s="3554"/>
      <c r="CE164" s="3554"/>
      <c r="CF164" s="3554"/>
      <c r="CG164" s="3554"/>
      <c r="CH164" s="3554"/>
      <c r="CI164" s="3554"/>
      <c r="CJ164" s="3554"/>
      <c r="CK164" s="3554"/>
      <c r="CL164" s="3554"/>
      <c r="CM164" s="3554"/>
      <c r="CN164" s="3554"/>
      <c r="CO164" s="3554"/>
      <c r="CP164" s="3554"/>
      <c r="CQ164" s="3554"/>
      <c r="CR164" s="3554"/>
      <c r="CS164" s="3554"/>
      <c r="CT164" s="3599">
        <v>0</v>
      </c>
      <c r="CU164" s="3554"/>
      <c r="CV164" s="3554"/>
      <c r="CW164" s="3554"/>
      <c r="CX164" s="3554"/>
      <c r="CY164" s="3554"/>
      <c r="CZ164" s="3554"/>
      <c r="DA164" s="3554"/>
      <c r="DB164" s="3554"/>
      <c r="DC164" s="3554"/>
      <c r="DD164" s="3554"/>
      <c r="DE164" s="3554"/>
      <c r="DF164" s="3554"/>
      <c r="DG164" s="3554"/>
      <c r="DH164" s="3554"/>
      <c r="DI164" s="3599">
        <v>0</v>
      </c>
      <c r="DJ164" s="3554"/>
      <c r="DK164" s="3554"/>
      <c r="DL164" s="3554"/>
      <c r="DM164" s="3554"/>
      <c r="DN164" s="3554"/>
      <c r="DO164" s="3554"/>
      <c r="DP164" s="3554"/>
      <c r="DQ164" s="3554"/>
      <c r="DR164" s="3554"/>
      <c r="DS164" s="3554"/>
      <c r="DT164" s="3554"/>
      <c r="DU164" s="3554"/>
      <c r="DV164" s="3554"/>
      <c r="DW164" s="3554"/>
      <c r="DX164" s="3554"/>
      <c r="DY164" s="3554"/>
      <c r="DZ164" s="3554"/>
      <c r="EA164" s="3554"/>
      <c r="EB164" s="3554"/>
      <c r="EC164" s="3554"/>
      <c r="ED164" s="3554"/>
      <c r="EE164" s="3554"/>
      <c r="EF164" s="3554"/>
      <c r="EG164" s="3554"/>
      <c r="EH164" s="3554"/>
      <c r="EI164" s="3554"/>
      <c r="EJ164" s="3554"/>
      <c r="EK164" s="3554"/>
      <c r="EL164" s="3554"/>
      <c r="EM164" s="3554"/>
      <c r="EN164" s="3554"/>
      <c r="EO164" s="3554"/>
      <c r="EP164" s="3554"/>
      <c r="EQ164" s="3554"/>
      <c r="ER164" s="3554"/>
      <c r="ES164" s="3554"/>
      <c r="ET164" s="3554"/>
      <c r="EU164" s="3554"/>
      <c r="EV164" s="3554"/>
      <c r="EW164" s="3554"/>
      <c r="EX164" s="3600">
        <v>0</v>
      </c>
      <c r="EY164" s="3554"/>
      <c r="EZ164" s="3554"/>
      <c r="FA164" s="3554"/>
      <c r="FB164" s="3554"/>
      <c r="FC164" s="3554"/>
      <c r="FD164" s="3554"/>
      <c r="FE164" s="3554"/>
      <c r="FF164" s="3554"/>
      <c r="FG164" s="3554"/>
      <c r="FH164" s="3554"/>
      <c r="FI164" s="3554"/>
      <c r="FJ164" s="3554"/>
      <c r="FK164" s="3554"/>
      <c r="FL164" s="3554"/>
      <c r="FM164" s="3554"/>
      <c r="FN164" s="3554"/>
      <c r="FO164" s="3554"/>
      <c r="FP164" s="3554"/>
      <c r="FQ164" s="3554"/>
      <c r="FR164" s="3554"/>
      <c r="FS164" s="3554"/>
      <c r="FT164" s="3554"/>
      <c r="FU164" s="3554"/>
      <c r="FV164" s="3554"/>
      <c r="FW164" s="3554"/>
      <c r="FX164" s="3554"/>
      <c r="FY164" s="3554"/>
      <c r="FZ164" s="3554"/>
      <c r="GA164" s="3554"/>
      <c r="GB164" s="3554"/>
      <c r="GC164" s="3554"/>
      <c r="GD164" s="3554"/>
      <c r="GE164" s="3554"/>
      <c r="GF164" s="3598">
        <v>0</v>
      </c>
      <c r="GG164" s="3554"/>
      <c r="GH164" s="3554"/>
      <c r="GI164" s="3554"/>
      <c r="GJ164" s="3554"/>
      <c r="GK164" s="3554"/>
      <c r="GL164" s="3554"/>
      <c r="GM164" s="3554"/>
      <c r="GN164" s="3554"/>
      <c r="GO164" s="3554"/>
      <c r="GP164" s="3554"/>
      <c r="GQ164" s="3554"/>
      <c r="GR164" s="3554"/>
      <c r="GS164" s="3554"/>
      <c r="GT164" s="3554"/>
      <c r="GU164" s="3554"/>
      <c r="GV164" s="3554"/>
      <c r="GW164" s="3554"/>
      <c r="GX164" s="3554"/>
      <c r="GY164" s="3554"/>
      <c r="GZ164" s="3554"/>
      <c r="HA164" s="3554"/>
      <c r="HB164" s="3554"/>
      <c r="HC164" s="3554"/>
      <c r="HD164" s="3554"/>
      <c r="HE164" s="3554"/>
      <c r="HF164" s="3554"/>
      <c r="HG164" s="3554"/>
      <c r="HH164" s="3554">
        <v>7434</v>
      </c>
      <c r="HI164" s="3554"/>
      <c r="HJ164" s="3554">
        <v>0</v>
      </c>
      <c r="HK164" s="3554">
        <v>0</v>
      </c>
      <c r="HL164" s="3554">
        <v>0</v>
      </c>
      <c r="HM164" s="3554">
        <v>0</v>
      </c>
      <c r="HN164" s="3554"/>
      <c r="HO164" s="3554"/>
      <c r="HP164" s="3600">
        <v>0</v>
      </c>
      <c r="HQ164" s="3554"/>
      <c r="HR164" s="3600">
        <v>0</v>
      </c>
      <c r="HS164" s="3554"/>
      <c r="HT164" s="3554"/>
      <c r="HU164" s="3554"/>
      <c r="HV164" s="3554"/>
      <c r="HW164" s="3554"/>
      <c r="HX164" s="3554"/>
      <c r="HY164" s="3554"/>
      <c r="HZ164" s="3554"/>
      <c r="IA164" s="3554"/>
      <c r="IB164" s="3554"/>
      <c r="IC164" s="3554"/>
      <c r="ID164" s="3554"/>
      <c r="IE164" s="3554"/>
      <c r="IF164" s="3554">
        <v>0</v>
      </c>
      <c r="IG164" s="3554"/>
      <c r="IH164" s="3554"/>
      <c r="II164" s="3554"/>
      <c r="IJ164" s="3554"/>
      <c r="IK164" s="3554"/>
      <c r="IL164" s="3554"/>
      <c r="IM164" s="3554"/>
      <c r="IN164" s="3554"/>
      <c r="IO164" s="3554"/>
      <c r="IP164" s="3554"/>
      <c r="IQ164" s="3554"/>
      <c r="IR164" s="3554"/>
      <c r="IS164" s="3554"/>
      <c r="IT164" s="3554"/>
      <c r="IU164" s="3554"/>
      <c r="IV164" s="3554"/>
      <c r="IW164" s="3554"/>
      <c r="IX164" s="3554"/>
      <c r="IY164" s="3554"/>
      <c r="IZ164" s="3554"/>
      <c r="JA164" s="3554"/>
      <c r="JB164" s="3554"/>
      <c r="JC164" s="3554"/>
      <c r="JD164" s="4229"/>
      <c r="JE164" s="4229"/>
      <c r="JF164" s="4229"/>
      <c r="JG164" s="3585"/>
    </row>
    <row ht="13.5" r="165" spans="1:267" thickBot="1" x14ac:dyDescent="0.25">
      <c r="A165" s="3612">
        <v>22</v>
      </c>
      <c r="B165" s="3616" t="str">
        <f si="8" t="shared"/>
        <v/>
      </c>
      <c r="C165" s="34"/>
      <c r="D165" s="3617" t="s">
        <v>8263</v>
      </c>
      <c r="E165" s="3601"/>
      <c r="F165" s="3602"/>
      <c r="G165" s="3555"/>
      <c r="H165" s="3555"/>
      <c r="I165" s="3588"/>
      <c r="J165" s="3555"/>
      <c r="K165" s="3588"/>
      <c r="L165" s="3555"/>
      <c r="M165" s="3555"/>
      <c r="N165" s="3555"/>
      <c r="O165" s="3555"/>
      <c r="P165" s="3555"/>
      <c r="Q165" s="3555"/>
      <c r="R165" s="3555"/>
      <c r="S165" s="3555"/>
      <c r="T165" s="3555"/>
      <c r="U165" s="3555"/>
      <c r="V165" s="3555"/>
      <c r="W165" s="3555"/>
      <c r="X165" s="3555"/>
      <c r="Y165" s="3555"/>
      <c r="Z165" s="3555"/>
      <c r="AA165" s="3555"/>
      <c r="AB165" s="3555"/>
      <c r="AC165" s="3555"/>
      <c r="AD165" s="3555"/>
      <c r="AE165" s="3555"/>
      <c r="AF165" s="3555"/>
      <c r="AG165" s="3555"/>
      <c r="AH165" s="3555"/>
      <c r="AI165" s="3555"/>
      <c r="AJ165" s="3555"/>
      <c r="AK165" s="3555"/>
      <c r="AL165" s="3555"/>
      <c r="AM165" s="3555"/>
      <c r="AN165" s="3555"/>
      <c r="AO165" s="3555"/>
      <c r="AP165" s="3587">
        <v>0</v>
      </c>
      <c r="AQ165" s="3602">
        <v>0</v>
      </c>
      <c r="AR165" s="3555"/>
      <c r="AS165" s="3555"/>
      <c r="AT165" s="3555"/>
      <c r="AU165" s="3555"/>
      <c r="AV165" s="3555"/>
      <c r="AW165" s="3555"/>
      <c r="AX165" s="3555"/>
      <c r="AY165" s="3555"/>
      <c r="AZ165" s="3555"/>
      <c r="BA165" s="3555"/>
      <c r="BB165" s="3602">
        <v>0</v>
      </c>
      <c r="BC165" s="3601">
        <v>0</v>
      </c>
      <c r="BD165" s="3601">
        <v>0</v>
      </c>
      <c r="BE165" s="3555"/>
      <c r="BF165" s="3555"/>
      <c r="BG165" s="3555"/>
      <c r="BH165" s="3555"/>
      <c r="BI165" s="3555"/>
      <c r="BJ165" s="3601">
        <v>0</v>
      </c>
      <c r="BK165" s="3555"/>
      <c r="BL165" s="3555"/>
      <c r="BM165" s="3555"/>
      <c r="BN165" s="3555"/>
      <c r="BO165" s="3555"/>
      <c r="BP165" s="3555"/>
      <c r="BQ165" s="3555"/>
      <c r="BR165" s="3555"/>
      <c r="BS165" s="3555"/>
      <c r="BT165" s="3555"/>
      <c r="BU165" s="3555"/>
      <c r="BV165" s="3555"/>
      <c r="BW165" s="3555"/>
      <c r="BX165" s="3555"/>
      <c r="BY165" s="3555"/>
      <c r="BZ165" s="3555"/>
      <c r="CA165" s="3555"/>
      <c r="CB165" s="3555"/>
      <c r="CC165" s="3555"/>
      <c r="CD165" s="3555"/>
      <c r="CE165" s="3555"/>
      <c r="CF165" s="3555"/>
      <c r="CG165" s="3555"/>
      <c r="CH165" s="3555"/>
      <c r="CI165" s="3555"/>
      <c r="CJ165" s="3555"/>
      <c r="CK165" s="3555"/>
      <c r="CL165" s="3555"/>
      <c r="CM165" s="3555"/>
      <c r="CN165" s="3555"/>
      <c r="CO165" s="3555"/>
      <c r="CP165" s="3555"/>
      <c r="CQ165" s="3555"/>
      <c r="CR165" s="3555"/>
      <c r="CS165" s="3555"/>
      <c r="CT165" s="3602">
        <v>0</v>
      </c>
      <c r="CU165" s="3555"/>
      <c r="CV165" s="3555"/>
      <c r="CW165" s="3555"/>
      <c r="CX165" s="3555"/>
      <c r="CY165" s="3555"/>
      <c r="CZ165" s="3555"/>
      <c r="DA165" s="3555"/>
      <c r="DB165" s="3555"/>
      <c r="DC165" s="3555"/>
      <c r="DD165" s="3555"/>
      <c r="DE165" s="3555"/>
      <c r="DF165" s="3555"/>
      <c r="DG165" s="3555"/>
      <c r="DH165" s="3555"/>
      <c r="DI165" s="3602">
        <v>0</v>
      </c>
      <c r="DJ165" s="3555"/>
      <c r="DK165" s="3555"/>
      <c r="DL165" s="3555"/>
      <c r="DM165" s="3555"/>
      <c r="DN165" s="3555"/>
      <c r="DO165" s="3555"/>
      <c r="DP165" s="3555"/>
      <c r="DQ165" s="3555"/>
      <c r="DR165" s="3555"/>
      <c r="DS165" s="3555"/>
      <c r="DT165" s="3555"/>
      <c r="DU165" s="3555"/>
      <c r="DV165" s="3555"/>
      <c r="DW165" s="3555"/>
      <c r="DX165" s="3555"/>
      <c r="DY165" s="3555"/>
      <c r="DZ165" s="3555"/>
      <c r="EA165" s="3555"/>
      <c r="EB165" s="3555"/>
      <c r="EC165" s="3555"/>
      <c r="ED165" s="3555"/>
      <c r="EE165" s="3555"/>
      <c r="EF165" s="3555"/>
      <c r="EG165" s="3555"/>
      <c r="EH165" s="3555"/>
      <c r="EI165" s="3555"/>
      <c r="EJ165" s="3555"/>
      <c r="EK165" s="3555"/>
      <c r="EL165" s="3555"/>
      <c r="EM165" s="3555"/>
      <c r="EN165" s="3555"/>
      <c r="EO165" s="3555"/>
      <c r="EP165" s="3555"/>
      <c r="EQ165" s="3555"/>
      <c r="ER165" s="3555"/>
      <c r="ES165" s="3555"/>
      <c r="ET165" s="3555"/>
      <c r="EU165" s="3555"/>
      <c r="EV165" s="3555"/>
      <c r="EW165" s="3555"/>
      <c r="EX165" s="3588">
        <v>0</v>
      </c>
      <c r="EY165" s="3555"/>
      <c r="EZ165" s="3555"/>
      <c r="FA165" s="3555"/>
      <c r="FB165" s="3555"/>
      <c r="FC165" s="3555"/>
      <c r="FD165" s="3555"/>
      <c r="FE165" s="3555"/>
      <c r="FF165" s="3555"/>
      <c r="FG165" s="3555"/>
      <c r="FH165" s="3555"/>
      <c r="FI165" s="3555"/>
      <c r="FJ165" s="3555"/>
      <c r="FK165" s="3555"/>
      <c r="FL165" s="3555"/>
      <c r="FM165" s="3555"/>
      <c r="FN165" s="3555"/>
      <c r="FO165" s="3555"/>
      <c r="FP165" s="3555"/>
      <c r="FQ165" s="3555"/>
      <c r="FR165" s="3555"/>
      <c r="FS165" s="3555"/>
      <c r="FT165" s="3555"/>
      <c r="FU165" s="3555"/>
      <c r="FV165" s="3555"/>
      <c r="FW165" s="3555"/>
      <c r="FX165" s="3555"/>
      <c r="FY165" s="3555"/>
      <c r="FZ165" s="3555"/>
      <c r="GA165" s="3555"/>
      <c r="GB165" s="3555"/>
      <c r="GC165" s="3555"/>
      <c r="GD165" s="3555"/>
      <c r="GE165" s="3555"/>
      <c r="GF165" s="3601">
        <v>0</v>
      </c>
      <c r="GG165" s="3555"/>
      <c r="GH165" s="3555"/>
      <c r="GI165" s="3555"/>
      <c r="GJ165" s="3555"/>
      <c r="GK165" s="3555"/>
      <c r="GL165" s="3555"/>
      <c r="GM165" s="3555"/>
      <c r="GN165" s="3555"/>
      <c r="GO165" s="3555"/>
      <c r="GP165" s="3555"/>
      <c r="GQ165" s="3555"/>
      <c r="GR165" s="3555"/>
      <c r="GS165" s="3555"/>
      <c r="GT165" s="3555"/>
      <c r="GU165" s="3555"/>
      <c r="GV165" s="3555"/>
      <c r="GW165" s="3555"/>
      <c r="GX165" s="3555"/>
      <c r="GY165" s="3555"/>
      <c r="GZ165" s="3555"/>
      <c r="HA165" s="3555"/>
      <c r="HB165" s="3555"/>
      <c r="HC165" s="3555"/>
      <c r="HD165" s="3555"/>
      <c r="HE165" s="3555"/>
      <c r="HF165" s="3555"/>
      <c r="HG165" s="3555"/>
      <c r="HH165" s="3588">
        <v>1651</v>
      </c>
      <c r="HI165" s="3555"/>
      <c r="HJ165" s="3555">
        <v>0</v>
      </c>
      <c r="HK165" s="3555">
        <v>0</v>
      </c>
      <c r="HL165" s="3555">
        <v>0</v>
      </c>
      <c r="HM165" s="3555">
        <v>0</v>
      </c>
      <c r="HN165" s="3555"/>
      <c r="HO165" s="3555"/>
      <c r="HP165" s="3588">
        <v>0</v>
      </c>
      <c r="HQ165" s="3555"/>
      <c r="HR165" s="3588">
        <v>0</v>
      </c>
      <c r="HS165" s="3555"/>
      <c r="HT165" s="3555"/>
      <c r="HU165" s="3555"/>
      <c r="HV165" s="3555"/>
      <c r="HW165" s="3555"/>
      <c r="HX165" s="3555"/>
      <c r="HY165" s="3555"/>
      <c r="HZ165" s="3555"/>
      <c r="IA165" s="3555"/>
      <c r="IB165" s="3555"/>
      <c r="IC165" s="3555"/>
      <c r="ID165" s="3555"/>
      <c r="IE165" s="3555"/>
      <c r="IF165" s="3555">
        <v>0</v>
      </c>
      <c r="IG165" s="3555"/>
      <c r="IH165" s="3555"/>
      <c r="II165" s="3555"/>
      <c r="IJ165" s="3555"/>
      <c r="IK165" s="3555"/>
      <c r="IL165" s="3555"/>
      <c r="IM165" s="3555"/>
      <c r="IN165" s="3555"/>
      <c r="IO165" s="3555"/>
      <c r="IP165" s="3555"/>
      <c r="IQ165" s="3555"/>
      <c r="IR165" s="3555"/>
      <c r="IS165" s="3555"/>
      <c r="IT165" s="3555"/>
      <c r="IU165" s="3555"/>
      <c r="IV165" s="3555"/>
      <c r="IW165" s="3555"/>
      <c r="IX165" s="3555"/>
      <c r="IY165" s="3555"/>
      <c r="IZ165" s="3555"/>
      <c r="JA165" s="3555"/>
      <c r="JB165" s="3555"/>
      <c r="JC165" s="3555"/>
      <c r="JD165" s="4230"/>
      <c r="JE165" s="4230"/>
      <c r="JF165" s="4230"/>
      <c r="JG165" s="4084"/>
    </row>
    <row r="166" spans="1:267" x14ac:dyDescent="0.2">
      <c r="A166" s="3612">
        <v>23</v>
      </c>
      <c r="B166" s="3616" t="str">
        <f si="8" t="shared"/>
        <v/>
      </c>
      <c r="C166" s="34"/>
      <c r="D166" s="3617" t="s">
        <v>8264</v>
      </c>
      <c r="E166" s="3603"/>
      <c r="F166" s="3590"/>
      <c r="G166" s="3604"/>
      <c r="H166" s="3604"/>
      <c r="I166" s="3604"/>
      <c r="J166" s="3552"/>
      <c r="K166" s="3552"/>
      <c r="L166" s="3552"/>
      <c r="M166" s="3552"/>
      <c r="N166" s="3552"/>
      <c r="O166" s="3552"/>
      <c r="P166" s="3552"/>
      <c r="Q166" s="3552"/>
      <c r="R166" s="3552"/>
      <c r="S166" s="3552"/>
      <c r="T166" s="3552"/>
      <c r="U166" s="3552"/>
      <c r="V166" s="3552"/>
      <c r="W166" s="3552"/>
      <c r="X166" s="3552"/>
      <c r="Y166" s="3552"/>
      <c r="Z166" s="3552"/>
      <c r="AA166" s="3552"/>
      <c r="AB166" s="3552"/>
      <c r="AC166" s="3552"/>
      <c r="AD166" s="3552"/>
      <c r="AE166" s="3552"/>
      <c r="AF166" s="3552"/>
      <c r="AG166" s="3552"/>
      <c r="AH166" s="3552"/>
      <c r="AI166" s="3552"/>
      <c r="AJ166" s="3552"/>
      <c r="AK166" s="3552"/>
      <c r="AL166" s="3552"/>
      <c r="AM166" s="3552"/>
      <c r="AN166" s="3552"/>
      <c r="AO166" s="3552"/>
      <c r="AP166" s="3590">
        <v>1</v>
      </c>
      <c r="AQ166" s="3590">
        <v>1</v>
      </c>
      <c r="AR166" s="3552"/>
      <c r="AS166" s="3552"/>
      <c r="AT166" s="3552"/>
      <c r="AU166" s="3552"/>
      <c r="AV166" s="3552"/>
      <c r="AW166" s="3552"/>
      <c r="AX166" s="3552"/>
      <c r="AY166" s="3552"/>
      <c r="AZ166" s="3552"/>
      <c r="BA166" s="3552"/>
      <c r="BB166" s="3590">
        <v>1</v>
      </c>
      <c r="BC166" s="3603">
        <v>1</v>
      </c>
      <c r="BD166" s="3603">
        <v>1</v>
      </c>
      <c r="BE166" s="3552"/>
      <c r="BF166" s="3552"/>
      <c r="BG166" s="3552"/>
      <c r="BH166" s="3552"/>
      <c r="BI166" s="3552"/>
      <c r="BJ166" s="3603">
        <v>1</v>
      </c>
      <c r="BK166" s="3552"/>
      <c r="BL166" s="3552"/>
      <c r="BM166" s="3552"/>
      <c r="BN166" s="3552"/>
      <c r="BO166" s="3552"/>
      <c r="BP166" s="3552"/>
      <c r="BQ166" s="3552"/>
      <c r="BR166" s="3552"/>
      <c r="BS166" s="3552"/>
      <c r="BT166" s="3552"/>
      <c r="BU166" s="3552"/>
      <c r="BV166" s="3552"/>
      <c r="BW166" s="3552"/>
      <c r="BX166" s="3552"/>
      <c r="BY166" s="3552"/>
      <c r="BZ166" s="3552"/>
      <c r="CA166" s="3552"/>
      <c r="CB166" s="3552"/>
      <c r="CC166" s="3552"/>
      <c r="CD166" s="3552"/>
      <c r="CE166" s="3552"/>
      <c r="CF166" s="3552"/>
      <c r="CG166" s="3552"/>
      <c r="CH166" s="3552"/>
      <c r="CI166" s="3552"/>
      <c r="CJ166" s="3552"/>
      <c r="CK166" s="3552"/>
      <c r="CL166" s="3552"/>
      <c r="CM166" s="3552"/>
      <c r="CN166" s="3552"/>
      <c r="CO166" s="3552"/>
      <c r="CP166" s="3552"/>
      <c r="CQ166" s="3552"/>
      <c r="CR166" s="3552"/>
      <c r="CS166" s="3552"/>
      <c r="CT166" s="3590">
        <v>1</v>
      </c>
      <c r="CU166" s="3552"/>
      <c r="CV166" s="3552"/>
      <c r="CW166" s="3552"/>
      <c r="CX166" s="3552"/>
      <c r="CY166" s="3552"/>
      <c r="CZ166" s="3552"/>
      <c r="DA166" s="3552"/>
      <c r="DB166" s="3552"/>
      <c r="DC166" s="3552"/>
      <c r="DD166" s="3552"/>
      <c r="DE166" s="3552"/>
      <c r="DF166" s="3552"/>
      <c r="DG166" s="3552"/>
      <c r="DH166" s="3552"/>
      <c r="DI166" s="3590">
        <v>1</v>
      </c>
      <c r="DJ166" s="3552"/>
      <c r="DK166" s="3552"/>
      <c r="DL166" s="3552"/>
      <c r="DM166" s="3552"/>
      <c r="DN166" s="3552"/>
      <c r="DO166" s="3552"/>
      <c r="DP166" s="3552"/>
      <c r="DQ166" s="3552"/>
      <c r="DR166" s="3552"/>
      <c r="DS166" s="3552"/>
      <c r="DT166" s="3552"/>
      <c r="DU166" s="3552"/>
      <c r="DV166" s="3552"/>
      <c r="DW166" s="3552"/>
      <c r="DX166" s="3552"/>
      <c r="DY166" s="3552"/>
      <c r="DZ166" s="3552"/>
      <c r="EA166" s="3552"/>
      <c r="EB166" s="3552"/>
      <c r="EC166" s="3552"/>
      <c r="ED166" s="3552"/>
      <c r="EE166" s="3552"/>
      <c r="EF166" s="3552"/>
      <c r="EG166" s="3552"/>
      <c r="EH166" s="3552"/>
      <c r="EI166" s="3552"/>
      <c r="EJ166" s="3552"/>
      <c r="EK166" s="3552"/>
      <c r="EL166" s="3552"/>
      <c r="EM166" s="3552"/>
      <c r="EN166" s="3552"/>
      <c r="EO166" s="3552"/>
      <c r="EP166" s="3552"/>
      <c r="EQ166" s="3552"/>
      <c r="ER166" s="3552"/>
      <c r="ES166" s="3552"/>
      <c r="ET166" s="3552"/>
      <c r="EU166" s="3552"/>
      <c r="EV166" s="3552"/>
      <c r="EW166" s="3552"/>
      <c r="EX166" s="3604">
        <v>1</v>
      </c>
      <c r="EY166" s="3552"/>
      <c r="EZ166" s="3552"/>
      <c r="FA166" s="3552"/>
      <c r="FB166" s="3552"/>
      <c r="FC166" s="3552"/>
      <c r="FD166" s="3552"/>
      <c r="FE166" s="3552"/>
      <c r="FF166" s="3552"/>
      <c r="FG166" s="3552"/>
      <c r="FH166" s="3552"/>
      <c r="FI166" s="3552"/>
      <c r="FJ166" s="3552"/>
      <c r="FK166" s="3552"/>
      <c r="FL166" s="3552"/>
      <c r="FM166" s="3552"/>
      <c r="FN166" s="3552"/>
      <c r="FO166" s="3552"/>
      <c r="FP166" s="3552"/>
      <c r="FQ166" s="3552"/>
      <c r="FR166" s="3552"/>
      <c r="FS166" s="3552"/>
      <c r="FT166" s="3552"/>
      <c r="FU166" s="3552"/>
      <c r="FV166" s="3552"/>
      <c r="FW166" s="3552"/>
      <c r="FX166" s="3552"/>
      <c r="FY166" s="3552"/>
      <c r="FZ166" s="3552"/>
      <c r="GA166" s="3552"/>
      <c r="GB166" s="3552"/>
      <c r="GC166" s="3552"/>
      <c r="GD166" s="3552"/>
      <c r="GE166" s="3552"/>
      <c r="GF166" s="3603">
        <v>1</v>
      </c>
      <c r="GG166" s="3552"/>
      <c r="GH166" s="3552"/>
      <c r="GI166" s="3552"/>
      <c r="GJ166" s="3552"/>
      <c r="GK166" s="3552"/>
      <c r="GL166" s="3552"/>
      <c r="GM166" s="3552"/>
      <c r="GN166" s="3552"/>
      <c r="GO166" s="3552"/>
      <c r="GP166" s="3552"/>
      <c r="GQ166" s="3552"/>
      <c r="GR166" s="3552"/>
      <c r="GS166" s="3552"/>
      <c r="GT166" s="3552"/>
      <c r="GU166" s="3552"/>
      <c r="GV166" s="3552"/>
      <c r="GW166" s="3552"/>
      <c r="GX166" s="3552"/>
      <c r="GY166" s="3552"/>
      <c r="GZ166" s="3552"/>
      <c r="HA166" s="3552"/>
      <c r="HB166" s="3552"/>
      <c r="HC166" s="3552"/>
      <c r="HD166" s="3552"/>
      <c r="HE166" s="3552"/>
      <c r="HF166" s="3552"/>
      <c r="HG166" s="3552"/>
      <c r="HH166" s="3552">
        <v>4</v>
      </c>
      <c r="HI166" s="3552"/>
      <c r="HJ166" s="3552">
        <v>1</v>
      </c>
      <c r="HK166" s="3552">
        <v>1</v>
      </c>
      <c r="HL166" s="3552">
        <v>1</v>
      </c>
      <c r="HM166" s="3552">
        <v>1</v>
      </c>
      <c r="HN166" s="3552"/>
      <c r="HO166" s="3552"/>
      <c r="HP166" s="3604">
        <v>1</v>
      </c>
      <c r="HQ166" s="3552"/>
      <c r="HR166" s="3604">
        <v>1</v>
      </c>
      <c r="HS166" s="3552"/>
      <c r="HT166" s="3552"/>
      <c r="HU166" s="3552"/>
      <c r="HV166" s="3552"/>
      <c r="HW166" s="3552"/>
      <c r="HX166" s="3552"/>
      <c r="HY166" s="3552"/>
      <c r="HZ166" s="3552"/>
      <c r="IA166" s="3552"/>
      <c r="IB166" s="3552"/>
      <c r="IC166" s="3552"/>
      <c r="ID166" s="3552"/>
      <c r="IE166" s="3552"/>
      <c r="IF166" s="3552">
        <v>1</v>
      </c>
      <c r="IG166" s="3552"/>
      <c r="IH166" s="3552"/>
      <c r="II166" s="3552"/>
      <c r="IJ166" s="3552"/>
      <c r="IK166" s="3552"/>
      <c r="IL166" s="3552"/>
      <c r="IM166" s="3552"/>
      <c r="IN166" s="3552"/>
      <c r="IO166" s="3552"/>
      <c r="IP166" s="3552"/>
      <c r="IQ166" s="3552"/>
      <c r="IR166" s="3552"/>
      <c r="IS166" s="3552"/>
      <c r="IT166" s="3552"/>
      <c r="IU166" s="3552"/>
      <c r="IV166" s="3552"/>
      <c r="IW166" s="3552"/>
      <c r="IX166" s="3552"/>
      <c r="IY166" s="3552"/>
      <c r="IZ166" s="3552"/>
      <c r="JA166" s="3552"/>
      <c r="JB166" s="3552"/>
      <c r="JC166" s="3552"/>
      <c r="JD166" s="4227"/>
      <c r="JE166" s="4227"/>
      <c r="JF166" s="4227"/>
      <c r="JG166" s="3579"/>
    </row>
    <row r="167" spans="1:267" x14ac:dyDescent="0.2">
      <c r="A167" s="3612">
        <v>24</v>
      </c>
      <c r="B167" s="3616" t="str">
        <f si="8" t="shared"/>
        <v/>
      </c>
      <c r="C167" s="34"/>
      <c r="D167" s="3617" t="s">
        <v>8265</v>
      </c>
      <c r="E167" s="3580"/>
      <c r="F167" s="3553"/>
      <c r="G167" s="3553"/>
      <c r="H167" s="3553"/>
      <c r="I167" s="3553"/>
      <c r="J167" s="3553"/>
      <c r="K167" s="2295"/>
      <c r="L167" s="3553"/>
      <c r="M167" s="3553"/>
      <c r="N167" s="3553"/>
      <c r="O167" s="3553"/>
      <c r="P167" s="3553"/>
      <c r="Q167" s="3553"/>
      <c r="R167" s="3553"/>
      <c r="S167" s="3553"/>
      <c r="T167" s="3553"/>
      <c r="U167" s="3553"/>
      <c r="V167" s="3553"/>
      <c r="W167" s="3553"/>
      <c r="X167" s="3553"/>
      <c r="Y167" s="3553"/>
      <c r="Z167" s="3553"/>
      <c r="AA167" s="3553"/>
      <c r="AB167" s="3553"/>
      <c r="AC167" s="3553"/>
      <c r="AD167" s="3553"/>
      <c r="AE167" s="3553"/>
      <c r="AF167" s="3553"/>
      <c r="AG167" s="3553"/>
      <c r="AH167" s="3553"/>
      <c r="AI167" s="3553"/>
      <c r="AJ167" s="3553"/>
      <c r="AK167" s="3553"/>
      <c r="AL167" s="3553"/>
      <c r="AM167" s="3553"/>
      <c r="AN167" s="3553"/>
      <c r="AO167" s="3553"/>
      <c r="AP167" s="3553">
        <v>1</v>
      </c>
      <c r="AQ167" s="3553">
        <v>1</v>
      </c>
      <c r="AR167" s="3553"/>
      <c r="AS167" s="3553"/>
      <c r="AT167" s="3553"/>
      <c r="AU167" s="3553"/>
      <c r="AV167" s="3553"/>
      <c r="AW167" s="3553"/>
      <c r="AX167" s="3553"/>
      <c r="AY167" s="3553"/>
      <c r="AZ167" s="3553"/>
      <c r="BA167" s="3553"/>
      <c r="BB167" s="3553">
        <v>1</v>
      </c>
      <c r="BC167" s="3580">
        <v>1</v>
      </c>
      <c r="BD167" s="3580">
        <v>1</v>
      </c>
      <c r="BE167" s="3553"/>
      <c r="BF167" s="3553"/>
      <c r="BG167" s="3553"/>
      <c r="BH167" s="3553"/>
      <c r="BI167" s="3553"/>
      <c r="BJ167" s="3580">
        <v>1</v>
      </c>
      <c r="BK167" s="3553"/>
      <c r="BL167" s="3553"/>
      <c r="BM167" s="3553"/>
      <c r="BN167" s="3553"/>
      <c r="BO167" s="3553"/>
      <c r="BP167" s="3553"/>
      <c r="BQ167" s="3553"/>
      <c r="BR167" s="3553"/>
      <c r="BS167" s="3553"/>
      <c r="BT167" s="3553"/>
      <c r="BU167" s="3553"/>
      <c r="BV167" s="3553"/>
      <c r="BW167" s="3553"/>
      <c r="BX167" s="3553"/>
      <c r="BY167" s="3553"/>
      <c r="BZ167" s="3553"/>
      <c r="CA167" s="3553"/>
      <c r="CB167" s="3553"/>
      <c r="CC167" s="3553"/>
      <c r="CD167" s="3553"/>
      <c r="CE167" s="3553"/>
      <c r="CF167" s="3553"/>
      <c r="CG167" s="3553"/>
      <c r="CH167" s="3553"/>
      <c r="CI167" s="3553"/>
      <c r="CJ167" s="3553"/>
      <c r="CK167" s="3553"/>
      <c r="CL167" s="3553"/>
      <c r="CM167" s="3553"/>
      <c r="CN167" s="3553"/>
      <c r="CO167" s="3553"/>
      <c r="CP167" s="3553"/>
      <c r="CQ167" s="3553"/>
      <c r="CR167" s="3553"/>
      <c r="CS167" s="3553"/>
      <c r="CT167" s="3553">
        <v>1</v>
      </c>
      <c r="CU167" s="3553"/>
      <c r="CV167" s="3553"/>
      <c r="CW167" s="3553"/>
      <c r="CX167" s="3553"/>
      <c r="CY167" s="3553"/>
      <c r="CZ167" s="3553"/>
      <c r="DA167" s="3553"/>
      <c r="DB167" s="3553"/>
      <c r="DC167" s="3553"/>
      <c r="DD167" s="3553"/>
      <c r="DE167" s="3553"/>
      <c r="DF167" s="3553"/>
      <c r="DG167" s="3553"/>
      <c r="DH167" s="3553"/>
      <c r="DI167" s="3553">
        <v>1</v>
      </c>
      <c r="DJ167" s="3553"/>
      <c r="DK167" s="3553"/>
      <c r="DL167" s="3553"/>
      <c r="DM167" s="3553"/>
      <c r="DN167" s="3553"/>
      <c r="DO167" s="3553"/>
      <c r="DP167" s="3553"/>
      <c r="DQ167" s="3553"/>
      <c r="DR167" s="3553"/>
      <c r="DS167" s="3553"/>
      <c r="DT167" s="3553"/>
      <c r="DU167" s="3553"/>
      <c r="DV167" s="3553"/>
      <c r="DW167" s="3553"/>
      <c r="DX167" s="3553"/>
      <c r="DY167" s="3553"/>
      <c r="DZ167" s="3553"/>
      <c r="EA167" s="3553"/>
      <c r="EB167" s="3553"/>
      <c r="EC167" s="3553"/>
      <c r="ED167" s="3553"/>
      <c r="EE167" s="3553"/>
      <c r="EF167" s="3553"/>
      <c r="EG167" s="3553"/>
      <c r="EH167" s="3553"/>
      <c r="EI167" s="3553"/>
      <c r="EJ167" s="3553"/>
      <c r="EK167" s="3553"/>
      <c r="EL167" s="3553"/>
      <c r="EM167" s="3553"/>
      <c r="EN167" s="3553"/>
      <c r="EO167" s="3553"/>
      <c r="EP167" s="3553"/>
      <c r="EQ167" s="3553"/>
      <c r="ER167" s="3553"/>
      <c r="ES167" s="3553"/>
      <c r="ET167" s="3553"/>
      <c r="EU167" s="3553"/>
      <c r="EV167" s="3553"/>
      <c r="EW167" s="3553"/>
      <c r="EX167" s="3553">
        <v>1</v>
      </c>
      <c r="EY167" s="3553"/>
      <c r="EZ167" s="3553"/>
      <c r="FA167" s="3553"/>
      <c r="FB167" s="3553"/>
      <c r="FC167" s="3553"/>
      <c r="FD167" s="3553"/>
      <c r="FE167" s="3553"/>
      <c r="FF167" s="3553"/>
      <c r="FG167" s="3553"/>
      <c r="FH167" s="3553"/>
      <c r="FI167" s="3553"/>
      <c r="FJ167" s="3553"/>
      <c r="FK167" s="3553"/>
      <c r="FL167" s="3553"/>
      <c r="FM167" s="3553"/>
      <c r="FN167" s="3553"/>
      <c r="FO167" s="3553"/>
      <c r="FP167" s="3553"/>
      <c r="FQ167" s="3553"/>
      <c r="FR167" s="3553"/>
      <c r="FS167" s="3553"/>
      <c r="FT167" s="3553"/>
      <c r="FU167" s="3553"/>
      <c r="FV167" s="3553"/>
      <c r="FW167" s="3553"/>
      <c r="FX167" s="3553"/>
      <c r="FY167" s="3553"/>
      <c r="FZ167" s="3553"/>
      <c r="GA167" s="3553"/>
      <c r="GB167" s="3553"/>
      <c r="GC167" s="3553"/>
      <c r="GD167" s="3553"/>
      <c r="GE167" s="3553"/>
      <c r="GF167" s="3580">
        <v>1</v>
      </c>
      <c r="GG167" s="3553"/>
      <c r="GH167" s="3553"/>
      <c r="GI167" s="3553"/>
      <c r="GJ167" s="3553"/>
      <c r="GK167" s="3553"/>
      <c r="GL167" s="3553"/>
      <c r="GM167" s="3553"/>
      <c r="GN167" s="3553"/>
      <c r="GO167" s="3553"/>
      <c r="GP167" s="3553"/>
      <c r="GQ167" s="3553"/>
      <c r="GR167" s="3553"/>
      <c r="GS167" s="3553"/>
      <c r="GT167" s="3553"/>
      <c r="GU167" s="3553"/>
      <c r="GV167" s="3553"/>
      <c r="GW167" s="3553"/>
      <c r="GX167" s="3553"/>
      <c r="GY167" s="3553"/>
      <c r="GZ167" s="3553"/>
      <c r="HA167" s="3553"/>
      <c r="HB167" s="3553"/>
      <c r="HC167" s="3553"/>
      <c r="HD167" s="3553"/>
      <c r="HE167" s="3553"/>
      <c r="HF167" s="3553"/>
      <c r="HG167" s="3553"/>
      <c r="HH167" s="2295">
        <v>9</v>
      </c>
      <c r="HI167" s="3553"/>
      <c r="HJ167" s="3553">
        <v>1</v>
      </c>
      <c r="HK167" s="3553">
        <v>1</v>
      </c>
      <c r="HL167" s="3553">
        <v>1</v>
      </c>
      <c r="HM167" s="3553">
        <v>1</v>
      </c>
      <c r="HN167" s="3553"/>
      <c r="HO167" s="3553"/>
      <c r="HP167" s="3553">
        <v>1</v>
      </c>
      <c r="HQ167" s="3553"/>
      <c r="HR167" s="3553">
        <v>1</v>
      </c>
      <c r="HS167" s="3553"/>
      <c r="HT167" s="3553"/>
      <c r="HU167" s="3553"/>
      <c r="HV167" s="3553"/>
      <c r="HW167" s="3553"/>
      <c r="HX167" s="3553"/>
      <c r="HY167" s="3553"/>
      <c r="HZ167" s="3553"/>
      <c r="IA167" s="3553"/>
      <c r="IB167" s="3553"/>
      <c r="IC167" s="3553"/>
      <c r="ID167" s="3553"/>
      <c r="IE167" s="3553"/>
      <c r="IF167" s="3553">
        <v>1</v>
      </c>
      <c r="IG167" s="3553"/>
      <c r="IH167" s="3553"/>
      <c r="II167" s="3553"/>
      <c r="IJ167" s="3553"/>
      <c r="IK167" s="3553"/>
      <c r="IL167" s="3553"/>
      <c r="IM167" s="3553"/>
      <c r="IN167" s="3553"/>
      <c r="IO167" s="3553"/>
      <c r="IP167" s="3553"/>
      <c r="IQ167" s="3553"/>
      <c r="IR167" s="3553"/>
      <c r="IS167" s="3553"/>
      <c r="IT167" s="3553"/>
      <c r="IU167" s="3553"/>
      <c r="IV167" s="3553"/>
      <c r="IW167" s="3553"/>
      <c r="IX167" s="3553"/>
      <c r="IY167" s="3553"/>
      <c r="IZ167" s="3553"/>
      <c r="JA167" s="3553"/>
      <c r="JB167" s="3553"/>
      <c r="JC167" s="3553"/>
      <c r="JD167" s="4228"/>
      <c r="JE167" s="4228"/>
      <c r="JF167" s="4228"/>
      <c r="JG167" s="4083"/>
    </row>
    <row r="168" spans="1:267" x14ac:dyDescent="0.2">
      <c r="A168" s="3612">
        <v>25</v>
      </c>
      <c r="B168" s="3616" t="str">
        <f si="8" t="shared"/>
        <v/>
      </c>
      <c r="C168" s="34"/>
      <c r="D168" s="3617" t="s">
        <v>8266</v>
      </c>
      <c r="E168" s="3605"/>
      <c r="F168" s="3592"/>
      <c r="G168" s="3618"/>
      <c r="H168" s="3618"/>
      <c r="I168" s="3606"/>
      <c r="J168" s="3554"/>
      <c r="K168" s="3554"/>
      <c r="L168" s="3554"/>
      <c r="M168" s="3554"/>
      <c r="N168" s="3554"/>
      <c r="O168" s="3554"/>
      <c r="P168" s="3554"/>
      <c r="Q168" s="3554"/>
      <c r="R168" s="3554"/>
      <c r="S168" s="3554"/>
      <c r="T168" s="3554"/>
      <c r="U168" s="3554"/>
      <c r="V168" s="3554"/>
      <c r="W168" s="3554"/>
      <c r="X168" s="3554"/>
      <c r="Y168" s="3554"/>
      <c r="Z168" s="3554"/>
      <c r="AA168" s="3554"/>
      <c r="AB168" s="3554"/>
      <c r="AC168" s="3554"/>
      <c r="AD168" s="3554"/>
      <c r="AE168" s="3554"/>
      <c r="AF168" s="3554"/>
      <c r="AG168" s="3554"/>
      <c r="AH168" s="3554"/>
      <c r="AI168" s="3554"/>
      <c r="AJ168" s="3554"/>
      <c r="AK168" s="3554"/>
      <c r="AL168" s="3554"/>
      <c r="AM168" s="3554"/>
      <c r="AN168" s="3554"/>
      <c r="AO168" s="3554"/>
      <c r="AP168" s="3592">
        <v>0</v>
      </c>
      <c r="AQ168" s="3592">
        <v>0</v>
      </c>
      <c r="AR168" s="3554"/>
      <c r="AS168" s="3554"/>
      <c r="AT168" s="3554"/>
      <c r="AU168" s="3554"/>
      <c r="AV168" s="3554"/>
      <c r="AW168" s="3554"/>
      <c r="AX168" s="3554"/>
      <c r="AY168" s="3554"/>
      <c r="AZ168" s="3554"/>
      <c r="BA168" s="3554"/>
      <c r="BB168" s="3592">
        <v>0</v>
      </c>
      <c r="BC168" s="3605">
        <v>0</v>
      </c>
      <c r="BD168" s="3605">
        <v>0</v>
      </c>
      <c r="BE168" s="3554"/>
      <c r="BF168" s="3554"/>
      <c r="BG168" s="3554"/>
      <c r="BH168" s="3554"/>
      <c r="BI168" s="3554"/>
      <c r="BJ168" s="3605">
        <v>0</v>
      </c>
      <c r="BK168" s="3554"/>
      <c r="BL168" s="3554"/>
      <c r="BM168" s="3554"/>
      <c r="BN168" s="3554"/>
      <c r="BO168" s="3554"/>
      <c r="BP168" s="3554"/>
      <c r="BQ168" s="3554"/>
      <c r="BR168" s="3554"/>
      <c r="BS168" s="3554"/>
      <c r="BT168" s="3554"/>
      <c r="BU168" s="3554"/>
      <c r="BV168" s="3554"/>
      <c r="BW168" s="3554"/>
      <c r="BX168" s="3554"/>
      <c r="BY168" s="3554"/>
      <c r="BZ168" s="3554"/>
      <c r="CA168" s="3554"/>
      <c r="CB168" s="3554"/>
      <c r="CC168" s="3554"/>
      <c r="CD168" s="3554"/>
      <c r="CE168" s="3554"/>
      <c r="CF168" s="3554"/>
      <c r="CG168" s="3554"/>
      <c r="CH168" s="3554"/>
      <c r="CI168" s="3554"/>
      <c r="CJ168" s="3554"/>
      <c r="CK168" s="3554"/>
      <c r="CL168" s="3554"/>
      <c r="CM168" s="3554"/>
      <c r="CN168" s="3554"/>
      <c r="CO168" s="3554"/>
      <c r="CP168" s="3554"/>
      <c r="CQ168" s="3554"/>
      <c r="CR168" s="3554"/>
      <c r="CS168" s="3554"/>
      <c r="CT168" s="3592">
        <v>0</v>
      </c>
      <c r="CU168" s="3554"/>
      <c r="CV168" s="3554"/>
      <c r="CW168" s="3554"/>
      <c r="CX168" s="3554"/>
      <c r="CY168" s="3554"/>
      <c r="CZ168" s="3554"/>
      <c r="DA168" s="3554"/>
      <c r="DB168" s="3554"/>
      <c r="DC168" s="3554"/>
      <c r="DD168" s="3554"/>
      <c r="DE168" s="3554"/>
      <c r="DF168" s="3554"/>
      <c r="DG168" s="3554"/>
      <c r="DH168" s="3554"/>
      <c r="DI168" s="3592">
        <v>0</v>
      </c>
      <c r="DJ168" s="3554"/>
      <c r="DK168" s="3554"/>
      <c r="DL168" s="3554"/>
      <c r="DM168" s="3554"/>
      <c r="DN168" s="3554"/>
      <c r="DO168" s="3554"/>
      <c r="DP168" s="3554"/>
      <c r="DQ168" s="3554"/>
      <c r="DR168" s="3554"/>
      <c r="DS168" s="3554"/>
      <c r="DT168" s="3554"/>
      <c r="DU168" s="3554"/>
      <c r="DV168" s="3554"/>
      <c r="DW168" s="3554"/>
      <c r="DX168" s="3554"/>
      <c r="DY168" s="3554"/>
      <c r="DZ168" s="3554"/>
      <c r="EA168" s="3554"/>
      <c r="EB168" s="3554"/>
      <c r="EC168" s="3554"/>
      <c r="ED168" s="3554"/>
      <c r="EE168" s="3554"/>
      <c r="EF168" s="3554"/>
      <c r="EG168" s="3554"/>
      <c r="EH168" s="3554"/>
      <c r="EI168" s="3554"/>
      <c r="EJ168" s="3554"/>
      <c r="EK168" s="3554"/>
      <c r="EL168" s="3554"/>
      <c r="EM168" s="3554"/>
      <c r="EN168" s="3554"/>
      <c r="EO168" s="3554"/>
      <c r="EP168" s="3554"/>
      <c r="EQ168" s="3554"/>
      <c r="ER168" s="3554"/>
      <c r="ES168" s="3554"/>
      <c r="ET168" s="3554"/>
      <c r="EU168" s="3554"/>
      <c r="EV168" s="3554"/>
      <c r="EW168" s="3554"/>
      <c r="EX168" s="3606">
        <v>0</v>
      </c>
      <c r="EY168" s="3554"/>
      <c r="EZ168" s="3554"/>
      <c r="FA168" s="3554"/>
      <c r="FB168" s="3554"/>
      <c r="FC168" s="3554"/>
      <c r="FD168" s="3554"/>
      <c r="FE168" s="3554"/>
      <c r="FF168" s="3554"/>
      <c r="FG168" s="3554"/>
      <c r="FH168" s="3554"/>
      <c r="FI168" s="3554"/>
      <c r="FJ168" s="3554"/>
      <c r="FK168" s="3554"/>
      <c r="FL168" s="3554"/>
      <c r="FM168" s="3554"/>
      <c r="FN168" s="3554"/>
      <c r="FO168" s="3554"/>
      <c r="FP168" s="3554"/>
      <c r="FQ168" s="3554"/>
      <c r="FR168" s="3554"/>
      <c r="FS168" s="3554"/>
      <c r="FT168" s="3554"/>
      <c r="FU168" s="3554"/>
      <c r="FV168" s="3554"/>
      <c r="FW168" s="3554"/>
      <c r="FX168" s="3554"/>
      <c r="FY168" s="3554"/>
      <c r="FZ168" s="3554"/>
      <c r="GA168" s="3554"/>
      <c r="GB168" s="3554"/>
      <c r="GC168" s="3554"/>
      <c r="GD168" s="3554"/>
      <c r="GE168" s="3554"/>
      <c r="GF168" s="3605">
        <v>0</v>
      </c>
      <c r="GG168" s="3554"/>
      <c r="GH168" s="3554"/>
      <c r="GI168" s="3554"/>
      <c r="GJ168" s="3554"/>
      <c r="GK168" s="3554"/>
      <c r="GL168" s="3554"/>
      <c r="GM168" s="3554"/>
      <c r="GN168" s="3554"/>
      <c r="GO168" s="3554"/>
      <c r="GP168" s="3554"/>
      <c r="GQ168" s="3554"/>
      <c r="GR168" s="3554"/>
      <c r="GS168" s="3554"/>
      <c r="GT168" s="3554"/>
      <c r="GU168" s="3554"/>
      <c r="GV168" s="3554"/>
      <c r="GW168" s="3554"/>
      <c r="GX168" s="3554"/>
      <c r="GY168" s="3554"/>
      <c r="GZ168" s="3554"/>
      <c r="HA168" s="3554"/>
      <c r="HB168" s="3554"/>
      <c r="HC168" s="3554"/>
      <c r="HD168" s="3554"/>
      <c r="HE168" s="3554"/>
      <c r="HF168" s="3554"/>
      <c r="HG168" s="3554"/>
      <c r="HH168" s="3554">
        <v>500</v>
      </c>
      <c r="HI168" s="3554"/>
      <c r="HJ168" s="3554">
        <v>0</v>
      </c>
      <c r="HK168" s="3554">
        <v>0</v>
      </c>
      <c r="HL168" s="3554">
        <v>0</v>
      </c>
      <c r="HM168" s="3554">
        <v>0</v>
      </c>
      <c r="HN168" s="3554"/>
      <c r="HO168" s="3554"/>
      <c r="HP168" s="3606">
        <v>0</v>
      </c>
      <c r="HQ168" s="3554"/>
      <c r="HR168" s="3606">
        <v>0</v>
      </c>
      <c r="HS168" s="3554"/>
      <c r="HT168" s="3554"/>
      <c r="HU168" s="3554"/>
      <c r="HV168" s="3554"/>
      <c r="HW168" s="3554"/>
      <c r="HX168" s="3554"/>
      <c r="HY168" s="3554"/>
      <c r="HZ168" s="3554"/>
      <c r="IA168" s="3554"/>
      <c r="IB168" s="3554"/>
      <c r="IC168" s="3554"/>
      <c r="ID168" s="3554"/>
      <c r="IE168" s="3554"/>
      <c r="IF168" s="3554">
        <v>0</v>
      </c>
      <c r="IG168" s="3554"/>
      <c r="IH168" s="3554"/>
      <c r="II168" s="3554"/>
      <c r="IJ168" s="3554"/>
      <c r="IK168" s="3554"/>
      <c r="IL168" s="3554"/>
      <c r="IM168" s="3554"/>
      <c r="IN168" s="3554"/>
      <c r="IO168" s="3554"/>
      <c r="IP168" s="3554"/>
      <c r="IQ168" s="3554"/>
      <c r="IR168" s="3554"/>
      <c r="IS168" s="3554"/>
      <c r="IT168" s="3554"/>
      <c r="IU168" s="3554"/>
      <c r="IV168" s="3554"/>
      <c r="IW168" s="3554"/>
      <c r="IX168" s="3554"/>
      <c r="IY168" s="3554"/>
      <c r="IZ168" s="3554"/>
      <c r="JA168" s="3554"/>
      <c r="JB168" s="3554"/>
      <c r="JC168" s="3554"/>
      <c r="JD168" s="4229"/>
      <c r="JE168" s="4229"/>
      <c r="JF168" s="4229"/>
      <c r="JG168" s="3585"/>
    </row>
    <row ht="13.5" r="169" spans="1:267" thickBot="1" x14ac:dyDescent="0.25">
      <c r="A169" s="3612">
        <v>26</v>
      </c>
      <c r="B169" s="3616" t="str">
        <f si="8" t="shared"/>
        <v/>
      </c>
      <c r="C169" s="34"/>
      <c r="D169" s="3617" t="s">
        <v>8267</v>
      </c>
      <c r="E169" s="3607"/>
      <c r="F169" s="3595"/>
      <c r="G169" s="3608"/>
      <c r="H169" s="3608"/>
      <c r="I169" s="3608"/>
      <c r="J169" s="3555"/>
      <c r="K169" s="3588"/>
      <c r="L169" s="3555"/>
      <c r="M169" s="3555"/>
      <c r="N169" s="3555"/>
      <c r="O169" s="3555"/>
      <c r="P169" s="3555"/>
      <c r="Q169" s="3555"/>
      <c r="R169" s="3555"/>
      <c r="S169" s="3555"/>
      <c r="T169" s="3555"/>
      <c r="U169" s="3555"/>
      <c r="V169" s="3555"/>
      <c r="W169" s="3555"/>
      <c r="X169" s="3555"/>
      <c r="Y169" s="3555"/>
      <c r="Z169" s="3555"/>
      <c r="AA169" s="3555"/>
      <c r="AB169" s="3555"/>
      <c r="AC169" s="3555"/>
      <c r="AD169" s="3555"/>
      <c r="AE169" s="3555"/>
      <c r="AF169" s="3555"/>
      <c r="AG169" s="3555"/>
      <c r="AH169" s="3555"/>
      <c r="AI169" s="3555"/>
      <c r="AJ169" s="3555"/>
      <c r="AK169" s="3555"/>
      <c r="AL169" s="3555"/>
      <c r="AM169" s="3555"/>
      <c r="AN169" s="3555"/>
      <c r="AO169" s="3555"/>
      <c r="AP169" s="3595">
        <v>0</v>
      </c>
      <c r="AQ169" s="3595">
        <v>0</v>
      </c>
      <c r="AR169" s="3555"/>
      <c r="AS169" s="3555"/>
      <c r="AT169" s="3555"/>
      <c r="AU169" s="3555"/>
      <c r="AV169" s="3555"/>
      <c r="AW169" s="3555"/>
      <c r="AX169" s="3555"/>
      <c r="AY169" s="3555"/>
      <c r="AZ169" s="3555"/>
      <c r="BA169" s="3555"/>
      <c r="BB169" s="3595">
        <v>0</v>
      </c>
      <c r="BC169" s="3607">
        <v>0</v>
      </c>
      <c r="BD169" s="3607">
        <v>0</v>
      </c>
      <c r="BE169" s="3555"/>
      <c r="BF169" s="3555"/>
      <c r="BG169" s="3555"/>
      <c r="BH169" s="3555"/>
      <c r="BI169" s="3555"/>
      <c r="BJ169" s="3607">
        <v>0</v>
      </c>
      <c r="BK169" s="3555"/>
      <c r="BL169" s="3555"/>
      <c r="BM169" s="3555"/>
      <c r="BN169" s="3555"/>
      <c r="BO169" s="3555"/>
      <c r="BP169" s="3555"/>
      <c r="BQ169" s="3555"/>
      <c r="BR169" s="3555"/>
      <c r="BS169" s="3555"/>
      <c r="BT169" s="3555"/>
      <c r="BU169" s="3555"/>
      <c r="BV169" s="3555"/>
      <c r="BW169" s="3555"/>
      <c r="BX169" s="3555"/>
      <c r="BY169" s="3555"/>
      <c r="BZ169" s="3555"/>
      <c r="CA169" s="3555"/>
      <c r="CB169" s="3555"/>
      <c r="CC169" s="3555"/>
      <c r="CD169" s="3555"/>
      <c r="CE169" s="3555"/>
      <c r="CF169" s="3555"/>
      <c r="CG169" s="3555"/>
      <c r="CH169" s="3555"/>
      <c r="CI169" s="3555"/>
      <c r="CJ169" s="3555"/>
      <c r="CK169" s="3555"/>
      <c r="CL169" s="3555"/>
      <c r="CM169" s="3555"/>
      <c r="CN169" s="3555"/>
      <c r="CO169" s="3555"/>
      <c r="CP169" s="3555"/>
      <c r="CQ169" s="3555"/>
      <c r="CR169" s="3555"/>
      <c r="CS169" s="3555"/>
      <c r="CT169" s="3595">
        <v>0</v>
      </c>
      <c r="CU169" s="3555"/>
      <c r="CV169" s="3555"/>
      <c r="CW169" s="3555"/>
      <c r="CX169" s="3555"/>
      <c r="CY169" s="3555"/>
      <c r="CZ169" s="3555"/>
      <c r="DA169" s="3555"/>
      <c r="DB169" s="3555"/>
      <c r="DC169" s="3555"/>
      <c r="DD169" s="3555"/>
      <c r="DE169" s="3555"/>
      <c r="DF169" s="3555"/>
      <c r="DG169" s="3555"/>
      <c r="DH169" s="3555"/>
      <c r="DI169" s="3595">
        <v>0</v>
      </c>
      <c r="DJ169" s="3555"/>
      <c r="DK169" s="3555"/>
      <c r="DL169" s="3555"/>
      <c r="DM169" s="3555"/>
      <c r="DN169" s="3555"/>
      <c r="DO169" s="3555"/>
      <c r="DP169" s="3555"/>
      <c r="DQ169" s="3555"/>
      <c r="DR169" s="3555"/>
      <c r="DS169" s="3555"/>
      <c r="DT169" s="3555"/>
      <c r="DU169" s="3555"/>
      <c r="DV169" s="3555"/>
      <c r="DW169" s="3555"/>
      <c r="DX169" s="3555"/>
      <c r="DY169" s="3555"/>
      <c r="DZ169" s="3555"/>
      <c r="EA169" s="3555"/>
      <c r="EB169" s="3555"/>
      <c r="EC169" s="3555"/>
      <c r="ED169" s="3555"/>
      <c r="EE169" s="3555"/>
      <c r="EF169" s="3555"/>
      <c r="EG169" s="3555"/>
      <c r="EH169" s="3555"/>
      <c r="EI169" s="3555"/>
      <c r="EJ169" s="3555"/>
      <c r="EK169" s="3555"/>
      <c r="EL169" s="3555"/>
      <c r="EM169" s="3555"/>
      <c r="EN169" s="3555"/>
      <c r="EO169" s="3555"/>
      <c r="EP169" s="3555"/>
      <c r="EQ169" s="3555"/>
      <c r="ER169" s="3555"/>
      <c r="ES169" s="3555"/>
      <c r="ET169" s="3555"/>
      <c r="EU169" s="3555"/>
      <c r="EV169" s="3555"/>
      <c r="EW169" s="3555"/>
      <c r="EX169" s="3608">
        <v>0</v>
      </c>
      <c r="EY169" s="3555"/>
      <c r="EZ169" s="3555"/>
      <c r="FA169" s="3555"/>
      <c r="FB169" s="3555"/>
      <c r="FC169" s="3555"/>
      <c r="FD169" s="3555"/>
      <c r="FE169" s="3555"/>
      <c r="FF169" s="3555"/>
      <c r="FG169" s="3555"/>
      <c r="FH169" s="3555"/>
      <c r="FI169" s="3555"/>
      <c r="FJ169" s="3555"/>
      <c r="FK169" s="3555"/>
      <c r="FL169" s="3555"/>
      <c r="FM169" s="3555"/>
      <c r="FN169" s="3555"/>
      <c r="FO169" s="3555"/>
      <c r="FP169" s="3555"/>
      <c r="FQ169" s="3555"/>
      <c r="FR169" s="3555"/>
      <c r="FS169" s="3555"/>
      <c r="FT169" s="3555"/>
      <c r="FU169" s="3555"/>
      <c r="FV169" s="3555"/>
      <c r="FW169" s="3555"/>
      <c r="FX169" s="3555"/>
      <c r="FY169" s="3555"/>
      <c r="FZ169" s="3555"/>
      <c r="GA169" s="3555"/>
      <c r="GB169" s="3555"/>
      <c r="GC169" s="3555"/>
      <c r="GD169" s="3555"/>
      <c r="GE169" s="3555"/>
      <c r="GF169" s="3607">
        <v>0</v>
      </c>
      <c r="GG169" s="3555"/>
      <c r="GH169" s="3555"/>
      <c r="GI169" s="3555"/>
      <c r="GJ169" s="3555"/>
      <c r="GK169" s="3555"/>
      <c r="GL169" s="3555"/>
      <c r="GM169" s="3555"/>
      <c r="GN169" s="3555"/>
      <c r="GO169" s="3555"/>
      <c r="GP169" s="3555"/>
      <c r="GQ169" s="3555"/>
      <c r="GR169" s="3555"/>
      <c r="GS169" s="3555"/>
      <c r="GT169" s="3555"/>
      <c r="GU169" s="3555"/>
      <c r="GV169" s="3555"/>
      <c r="GW169" s="3555"/>
      <c r="GX169" s="3555"/>
      <c r="GY169" s="3555"/>
      <c r="GZ169" s="3555"/>
      <c r="HA169" s="3555"/>
      <c r="HB169" s="3555"/>
      <c r="HC169" s="3555"/>
      <c r="HD169" s="3555"/>
      <c r="HE169" s="3555"/>
      <c r="HF169" s="3555"/>
      <c r="HG169" s="3555"/>
      <c r="HH169" s="3588">
        <v>75</v>
      </c>
      <c r="HI169" s="3555"/>
      <c r="HJ169" s="3555">
        <v>0</v>
      </c>
      <c r="HK169" s="3555">
        <v>0</v>
      </c>
      <c r="HL169" s="3555">
        <v>0</v>
      </c>
      <c r="HM169" s="3555">
        <v>0</v>
      </c>
      <c r="HN169" s="3555"/>
      <c r="HO169" s="3555"/>
      <c r="HP169" s="3608">
        <v>0</v>
      </c>
      <c r="HQ169" s="3555"/>
      <c r="HR169" s="3608">
        <v>0</v>
      </c>
      <c r="HS169" s="3555"/>
      <c r="HT169" s="3555"/>
      <c r="HU169" s="3555"/>
      <c r="HV169" s="3555"/>
      <c r="HW169" s="3555"/>
      <c r="HX169" s="3555"/>
      <c r="HY169" s="3555"/>
      <c r="HZ169" s="3555"/>
      <c r="IA169" s="3555"/>
      <c r="IB169" s="3555"/>
      <c r="IC169" s="3555"/>
      <c r="ID169" s="3555"/>
      <c r="IE169" s="3555"/>
      <c r="IF169" s="3555">
        <v>0</v>
      </c>
      <c r="IG169" s="3555"/>
      <c r="IH169" s="3555"/>
      <c r="II169" s="3555"/>
      <c r="IJ169" s="3555"/>
      <c r="IK169" s="3555"/>
      <c r="IL169" s="3555"/>
      <c r="IM169" s="3555"/>
      <c r="IN169" s="3555"/>
      <c r="IO169" s="3555"/>
      <c r="IP169" s="3555"/>
      <c r="IQ169" s="3555"/>
      <c r="IR169" s="3555"/>
      <c r="IS169" s="3555"/>
      <c r="IT169" s="3555"/>
      <c r="IU169" s="3555"/>
      <c r="IV169" s="3555"/>
      <c r="IW169" s="3555"/>
      <c r="IX169" s="3555"/>
      <c r="IY169" s="3555"/>
      <c r="IZ169" s="3555"/>
      <c r="JA169" s="3555"/>
      <c r="JB169" s="3555"/>
      <c r="JC169" s="3555"/>
      <c r="JD169" s="4230"/>
      <c r="JE169" s="4230"/>
      <c r="JF169" s="4230"/>
      <c r="JG169" s="4084"/>
    </row>
    <row r="170" spans="1:267" x14ac:dyDescent="0.2">
      <c r="A170" s="3612">
        <v>27</v>
      </c>
      <c r="B170" s="3616" t="str">
        <f si="8" t="shared"/>
        <v/>
      </c>
      <c r="C170" s="34"/>
      <c r="D170" s="3617" t="s">
        <v>8268</v>
      </c>
      <c r="E170" s="3589"/>
      <c r="F170" s="3578"/>
      <c r="G170" s="3552"/>
      <c r="H170" s="3552"/>
      <c r="I170" s="3552"/>
      <c r="J170" s="3552"/>
      <c r="K170" s="3552"/>
      <c r="L170" s="3552"/>
      <c r="M170" s="3552"/>
      <c r="N170" s="3552"/>
      <c r="O170" s="3552"/>
      <c r="P170" s="3552"/>
      <c r="Q170" s="3552"/>
      <c r="R170" s="3552"/>
      <c r="S170" s="3552"/>
      <c r="T170" s="3552"/>
      <c r="U170" s="3552"/>
      <c r="V170" s="3552"/>
      <c r="W170" s="3552"/>
      <c r="X170" s="3552"/>
      <c r="Y170" s="3552"/>
      <c r="Z170" s="3552"/>
      <c r="AA170" s="3552"/>
      <c r="AB170" s="3552"/>
      <c r="AC170" s="3552"/>
      <c r="AD170" s="3552"/>
      <c r="AE170" s="3552"/>
      <c r="AF170" s="3552"/>
      <c r="AG170" s="3552"/>
      <c r="AH170" s="3552"/>
      <c r="AI170" s="3552"/>
      <c r="AJ170" s="3552"/>
      <c r="AK170" s="3552"/>
      <c r="AL170" s="3552"/>
      <c r="AM170" s="3552"/>
      <c r="AN170" s="3552"/>
      <c r="AO170" s="3552"/>
      <c r="AP170" s="3578">
        <v>1</v>
      </c>
      <c r="AQ170" s="3578">
        <v>1</v>
      </c>
      <c r="AR170" s="3552"/>
      <c r="AS170" s="3552"/>
      <c r="AT170" s="3552"/>
      <c r="AU170" s="3552"/>
      <c r="AV170" s="3552"/>
      <c r="AW170" s="3552"/>
      <c r="AX170" s="3552"/>
      <c r="AY170" s="3552"/>
      <c r="AZ170" s="3552"/>
      <c r="BA170" s="3552"/>
      <c r="BB170" s="3578">
        <v>1</v>
      </c>
      <c r="BC170" s="3589">
        <v>1</v>
      </c>
      <c r="BD170" s="3589">
        <v>1</v>
      </c>
      <c r="BE170" s="3552"/>
      <c r="BF170" s="3552"/>
      <c r="BG170" s="3552"/>
      <c r="BH170" s="3552"/>
      <c r="BI170" s="3552"/>
      <c r="BJ170" s="3589">
        <v>1</v>
      </c>
      <c r="BK170" s="3552"/>
      <c r="BL170" s="3552"/>
      <c r="BM170" s="3552"/>
      <c r="BN170" s="3552"/>
      <c r="BO170" s="3552"/>
      <c r="BP170" s="3552"/>
      <c r="BQ170" s="3552"/>
      <c r="BR170" s="3552"/>
      <c r="BS170" s="3552"/>
      <c r="BT170" s="3552"/>
      <c r="BU170" s="3552"/>
      <c r="BV170" s="3552"/>
      <c r="BW170" s="3552"/>
      <c r="BX170" s="3552"/>
      <c r="BY170" s="3552"/>
      <c r="BZ170" s="3552"/>
      <c r="CA170" s="3552"/>
      <c r="CB170" s="3552"/>
      <c r="CC170" s="3552"/>
      <c r="CD170" s="3552"/>
      <c r="CE170" s="3552"/>
      <c r="CF170" s="3552"/>
      <c r="CG170" s="3552"/>
      <c r="CH170" s="3552"/>
      <c r="CI170" s="3552"/>
      <c r="CJ170" s="3552"/>
      <c r="CK170" s="3552"/>
      <c r="CL170" s="3552"/>
      <c r="CM170" s="3552"/>
      <c r="CN170" s="3552"/>
      <c r="CO170" s="3552"/>
      <c r="CP170" s="3552"/>
      <c r="CQ170" s="3552"/>
      <c r="CR170" s="3552"/>
      <c r="CS170" s="3552"/>
      <c r="CT170" s="3578">
        <v>1</v>
      </c>
      <c r="CU170" s="3552"/>
      <c r="CV170" s="3552"/>
      <c r="CW170" s="3552"/>
      <c r="CX170" s="3552"/>
      <c r="CY170" s="3552"/>
      <c r="CZ170" s="3552"/>
      <c r="DA170" s="3552"/>
      <c r="DB170" s="3552"/>
      <c r="DC170" s="3552"/>
      <c r="DD170" s="3552"/>
      <c r="DE170" s="3552"/>
      <c r="DF170" s="3552"/>
      <c r="DG170" s="3552"/>
      <c r="DH170" s="3552"/>
      <c r="DI170" s="3578">
        <v>1</v>
      </c>
      <c r="DJ170" s="3552"/>
      <c r="DK170" s="3552"/>
      <c r="DL170" s="3552"/>
      <c r="DM170" s="3552"/>
      <c r="DN170" s="3552"/>
      <c r="DO170" s="3552"/>
      <c r="DP170" s="3552"/>
      <c r="DQ170" s="3552"/>
      <c r="DR170" s="3552"/>
      <c r="DS170" s="3552"/>
      <c r="DT170" s="3552"/>
      <c r="DU170" s="3552"/>
      <c r="DV170" s="3552"/>
      <c r="DW170" s="3552"/>
      <c r="DX170" s="3552"/>
      <c r="DY170" s="3552"/>
      <c r="DZ170" s="3552"/>
      <c r="EA170" s="3552"/>
      <c r="EB170" s="3552"/>
      <c r="EC170" s="3552"/>
      <c r="ED170" s="3552"/>
      <c r="EE170" s="3552"/>
      <c r="EF170" s="3552"/>
      <c r="EG170" s="3552"/>
      <c r="EH170" s="3552"/>
      <c r="EI170" s="3552"/>
      <c r="EJ170" s="3552"/>
      <c r="EK170" s="3552"/>
      <c r="EL170" s="3552"/>
      <c r="EM170" s="3552"/>
      <c r="EN170" s="3552"/>
      <c r="EO170" s="3552"/>
      <c r="EP170" s="3552"/>
      <c r="EQ170" s="3552"/>
      <c r="ER170" s="3552"/>
      <c r="ES170" s="3552"/>
      <c r="ET170" s="3552"/>
      <c r="EU170" s="3552"/>
      <c r="EV170" s="3552"/>
      <c r="EW170" s="3552"/>
      <c r="EX170" s="3552">
        <v>1</v>
      </c>
      <c r="EY170" s="3552"/>
      <c r="EZ170" s="3552"/>
      <c r="FA170" s="3552"/>
      <c r="FB170" s="3552"/>
      <c r="FC170" s="3552"/>
      <c r="FD170" s="3552"/>
      <c r="FE170" s="3552"/>
      <c r="FF170" s="3552"/>
      <c r="FG170" s="3552"/>
      <c r="FH170" s="3552"/>
      <c r="FI170" s="3552"/>
      <c r="FJ170" s="3552"/>
      <c r="FK170" s="3552"/>
      <c r="FL170" s="3552"/>
      <c r="FM170" s="3552"/>
      <c r="FN170" s="3552"/>
      <c r="FO170" s="3552"/>
      <c r="FP170" s="3552"/>
      <c r="FQ170" s="3552"/>
      <c r="FR170" s="3552"/>
      <c r="FS170" s="3552"/>
      <c r="FT170" s="3552"/>
      <c r="FU170" s="3552"/>
      <c r="FV170" s="3552"/>
      <c r="FW170" s="3552"/>
      <c r="FX170" s="3552"/>
      <c r="FY170" s="3552"/>
      <c r="FZ170" s="3552"/>
      <c r="GA170" s="3552"/>
      <c r="GB170" s="3552"/>
      <c r="GC170" s="3552"/>
      <c r="GD170" s="3552"/>
      <c r="GE170" s="3552"/>
      <c r="GF170" s="3589">
        <v>1</v>
      </c>
      <c r="GG170" s="3552"/>
      <c r="GH170" s="3552"/>
      <c r="GI170" s="3552"/>
      <c r="GJ170" s="3552"/>
      <c r="GK170" s="3552"/>
      <c r="GL170" s="3552"/>
      <c r="GM170" s="3552"/>
      <c r="GN170" s="3552"/>
      <c r="GO170" s="3552"/>
      <c r="GP170" s="3552"/>
      <c r="GQ170" s="3552"/>
      <c r="GR170" s="3552"/>
      <c r="GS170" s="3552"/>
      <c r="GT170" s="3552"/>
      <c r="GU170" s="3552"/>
      <c r="GV170" s="3552"/>
      <c r="GW170" s="3552"/>
      <c r="GX170" s="3552"/>
      <c r="GY170" s="3552"/>
      <c r="GZ170" s="3552"/>
      <c r="HA170" s="3552"/>
      <c r="HB170" s="3552"/>
      <c r="HC170" s="3552"/>
      <c r="HD170" s="3552"/>
      <c r="HE170" s="3552"/>
      <c r="HF170" s="3552"/>
      <c r="HG170" s="3552"/>
      <c r="HH170" s="3552">
        <v>3</v>
      </c>
      <c r="HI170" s="3552"/>
      <c r="HJ170" s="3552">
        <v>1</v>
      </c>
      <c r="HK170" s="3552">
        <v>1</v>
      </c>
      <c r="HL170" s="3552">
        <v>1</v>
      </c>
      <c r="HM170" s="3552">
        <v>1</v>
      </c>
      <c r="HN170" s="3552"/>
      <c r="HO170" s="3552"/>
      <c r="HP170" s="3552">
        <v>1</v>
      </c>
      <c r="HQ170" s="3552"/>
      <c r="HR170" s="3552">
        <v>1</v>
      </c>
      <c r="HS170" s="3552"/>
      <c r="HT170" s="3552"/>
      <c r="HU170" s="3552"/>
      <c r="HV170" s="3552"/>
      <c r="HW170" s="3552"/>
      <c r="HX170" s="3552"/>
      <c r="HY170" s="3552"/>
      <c r="HZ170" s="3552"/>
      <c r="IA170" s="3552"/>
      <c r="IB170" s="3552"/>
      <c r="IC170" s="3552"/>
      <c r="ID170" s="3552"/>
      <c r="IE170" s="3552"/>
      <c r="IF170" s="3552">
        <v>1</v>
      </c>
      <c r="IG170" s="3552"/>
      <c r="IH170" s="3552"/>
      <c r="II170" s="3552"/>
      <c r="IJ170" s="3552"/>
      <c r="IK170" s="3552"/>
      <c r="IL170" s="3552"/>
      <c r="IM170" s="3552"/>
      <c r="IN170" s="3552"/>
      <c r="IO170" s="3552"/>
      <c r="IP170" s="3552"/>
      <c r="IQ170" s="3552"/>
      <c r="IR170" s="3552"/>
      <c r="IS170" s="3552"/>
      <c r="IT170" s="3552"/>
      <c r="IU170" s="3552"/>
      <c r="IV170" s="3552"/>
      <c r="IW170" s="3552"/>
      <c r="IX170" s="3552"/>
      <c r="IY170" s="3552"/>
      <c r="IZ170" s="3552"/>
      <c r="JA170" s="3552"/>
      <c r="JB170" s="3552"/>
      <c r="JC170" s="3552"/>
      <c r="JD170" s="4227"/>
      <c r="JE170" s="4227"/>
      <c r="JF170" s="4227"/>
      <c r="JG170" s="3579"/>
    </row>
    <row r="171" spans="1:267" x14ac:dyDescent="0.2">
      <c r="A171" s="3612">
        <v>28</v>
      </c>
      <c r="B171" s="3616" t="str">
        <f si="8" t="shared"/>
        <v/>
      </c>
      <c r="C171" s="34"/>
      <c r="D171" s="3617" t="s">
        <v>8269</v>
      </c>
      <c r="E171" s="3580"/>
      <c r="F171" s="3553"/>
      <c r="G171" s="3553"/>
      <c r="H171" s="3553"/>
      <c r="I171" s="3553"/>
      <c r="J171" s="3553"/>
      <c r="K171" s="2295"/>
      <c r="L171" s="3553"/>
      <c r="M171" s="3553"/>
      <c r="N171" s="3553"/>
      <c r="O171" s="3553"/>
      <c r="P171" s="3553"/>
      <c r="Q171" s="3553"/>
      <c r="R171" s="3553"/>
      <c r="S171" s="3553"/>
      <c r="T171" s="3553"/>
      <c r="U171" s="3553"/>
      <c r="V171" s="3553"/>
      <c r="W171" s="3553"/>
      <c r="X171" s="3553"/>
      <c r="Y171" s="3553"/>
      <c r="Z171" s="3553"/>
      <c r="AA171" s="3553"/>
      <c r="AB171" s="3553"/>
      <c r="AC171" s="3553"/>
      <c r="AD171" s="3553"/>
      <c r="AE171" s="3553"/>
      <c r="AF171" s="3553"/>
      <c r="AG171" s="3553"/>
      <c r="AH171" s="3553"/>
      <c r="AI171" s="3553"/>
      <c r="AJ171" s="3553"/>
      <c r="AK171" s="3553"/>
      <c r="AL171" s="3553"/>
      <c r="AM171" s="3553"/>
      <c r="AN171" s="3553"/>
      <c r="AO171" s="3553"/>
      <c r="AP171" s="3553">
        <v>1</v>
      </c>
      <c r="AQ171" s="3553">
        <v>1</v>
      </c>
      <c r="AR171" s="3553"/>
      <c r="AS171" s="3553"/>
      <c r="AT171" s="3553"/>
      <c r="AU171" s="3553"/>
      <c r="AV171" s="3553"/>
      <c r="AW171" s="3553"/>
      <c r="AX171" s="3553"/>
      <c r="AY171" s="3553"/>
      <c r="AZ171" s="3553"/>
      <c r="BA171" s="3553"/>
      <c r="BB171" s="3553">
        <v>1</v>
      </c>
      <c r="BC171" s="3580">
        <v>1</v>
      </c>
      <c r="BD171" s="3580">
        <v>1</v>
      </c>
      <c r="BE171" s="3553"/>
      <c r="BF171" s="3553"/>
      <c r="BG171" s="3553"/>
      <c r="BH171" s="3553"/>
      <c r="BI171" s="3553"/>
      <c r="BJ171" s="3580">
        <v>1</v>
      </c>
      <c r="BK171" s="3553"/>
      <c r="BL171" s="3553"/>
      <c r="BM171" s="3553"/>
      <c r="BN171" s="3553"/>
      <c r="BO171" s="3553"/>
      <c r="BP171" s="3553"/>
      <c r="BQ171" s="3553"/>
      <c r="BR171" s="3553"/>
      <c r="BS171" s="3553"/>
      <c r="BT171" s="3553"/>
      <c r="BU171" s="3553"/>
      <c r="BV171" s="3553"/>
      <c r="BW171" s="3553"/>
      <c r="BX171" s="3553"/>
      <c r="BY171" s="3553"/>
      <c r="BZ171" s="3553"/>
      <c r="CA171" s="3553"/>
      <c r="CB171" s="3553"/>
      <c r="CC171" s="3553"/>
      <c r="CD171" s="3553"/>
      <c r="CE171" s="3553"/>
      <c r="CF171" s="3553"/>
      <c r="CG171" s="3553"/>
      <c r="CH171" s="3553"/>
      <c r="CI171" s="3553"/>
      <c r="CJ171" s="3553"/>
      <c r="CK171" s="3553"/>
      <c r="CL171" s="3553"/>
      <c r="CM171" s="3553"/>
      <c r="CN171" s="3553"/>
      <c r="CO171" s="3553"/>
      <c r="CP171" s="3553"/>
      <c r="CQ171" s="3553"/>
      <c r="CR171" s="3553"/>
      <c r="CS171" s="3553"/>
      <c r="CT171" s="3553">
        <v>1</v>
      </c>
      <c r="CU171" s="3553"/>
      <c r="CV171" s="3553"/>
      <c r="CW171" s="3553"/>
      <c r="CX171" s="3553"/>
      <c r="CY171" s="3553"/>
      <c r="CZ171" s="3553"/>
      <c r="DA171" s="3553"/>
      <c r="DB171" s="3553"/>
      <c r="DC171" s="3553"/>
      <c r="DD171" s="3553"/>
      <c r="DE171" s="3553"/>
      <c r="DF171" s="3553"/>
      <c r="DG171" s="3553"/>
      <c r="DH171" s="3553"/>
      <c r="DI171" s="3553">
        <v>1</v>
      </c>
      <c r="DJ171" s="3553"/>
      <c r="DK171" s="3553"/>
      <c r="DL171" s="3553"/>
      <c r="DM171" s="3553"/>
      <c r="DN171" s="3553"/>
      <c r="DO171" s="3553"/>
      <c r="DP171" s="3553"/>
      <c r="DQ171" s="3553"/>
      <c r="DR171" s="3553"/>
      <c r="DS171" s="3553"/>
      <c r="DT171" s="3553"/>
      <c r="DU171" s="3553"/>
      <c r="DV171" s="3553"/>
      <c r="DW171" s="3553"/>
      <c r="DX171" s="3553"/>
      <c r="DY171" s="3553"/>
      <c r="DZ171" s="3553"/>
      <c r="EA171" s="3553"/>
      <c r="EB171" s="3553"/>
      <c r="EC171" s="3553"/>
      <c r="ED171" s="3553"/>
      <c r="EE171" s="3553"/>
      <c r="EF171" s="3553"/>
      <c r="EG171" s="3553"/>
      <c r="EH171" s="3553"/>
      <c r="EI171" s="3553"/>
      <c r="EJ171" s="3553"/>
      <c r="EK171" s="3553"/>
      <c r="EL171" s="3553"/>
      <c r="EM171" s="3553"/>
      <c r="EN171" s="3553"/>
      <c r="EO171" s="3553"/>
      <c r="EP171" s="3553"/>
      <c r="EQ171" s="3553"/>
      <c r="ER171" s="3553"/>
      <c r="ES171" s="3553"/>
      <c r="ET171" s="3553"/>
      <c r="EU171" s="3553"/>
      <c r="EV171" s="3553"/>
      <c r="EW171" s="3553"/>
      <c r="EX171" s="3553">
        <v>1</v>
      </c>
      <c r="EY171" s="3553"/>
      <c r="EZ171" s="3553"/>
      <c r="FA171" s="3553"/>
      <c r="FB171" s="3553"/>
      <c r="FC171" s="3553"/>
      <c r="FD171" s="3553"/>
      <c r="FE171" s="3553"/>
      <c r="FF171" s="3553"/>
      <c r="FG171" s="3553"/>
      <c r="FH171" s="3553"/>
      <c r="FI171" s="3553"/>
      <c r="FJ171" s="3553"/>
      <c r="FK171" s="3553"/>
      <c r="FL171" s="3553"/>
      <c r="FM171" s="3553"/>
      <c r="FN171" s="3553"/>
      <c r="FO171" s="3553"/>
      <c r="FP171" s="3553"/>
      <c r="FQ171" s="3553"/>
      <c r="FR171" s="3553"/>
      <c r="FS171" s="3553"/>
      <c r="FT171" s="3553"/>
      <c r="FU171" s="3553"/>
      <c r="FV171" s="3553"/>
      <c r="FW171" s="3553"/>
      <c r="FX171" s="3553"/>
      <c r="FY171" s="3553"/>
      <c r="FZ171" s="3553"/>
      <c r="GA171" s="3553"/>
      <c r="GB171" s="3553"/>
      <c r="GC171" s="3553"/>
      <c r="GD171" s="3553"/>
      <c r="GE171" s="3553"/>
      <c r="GF171" s="3580">
        <v>1</v>
      </c>
      <c r="GG171" s="3553"/>
      <c r="GH171" s="3553"/>
      <c r="GI171" s="3553"/>
      <c r="GJ171" s="3553"/>
      <c r="GK171" s="3553"/>
      <c r="GL171" s="3553"/>
      <c r="GM171" s="3553"/>
      <c r="GN171" s="3553"/>
      <c r="GO171" s="3553"/>
      <c r="GP171" s="3553"/>
      <c r="GQ171" s="3553"/>
      <c r="GR171" s="3553"/>
      <c r="GS171" s="3553"/>
      <c r="GT171" s="3553"/>
      <c r="GU171" s="3553"/>
      <c r="GV171" s="3553"/>
      <c r="GW171" s="3553"/>
      <c r="GX171" s="3553"/>
      <c r="GY171" s="3553"/>
      <c r="GZ171" s="3553"/>
      <c r="HA171" s="3553"/>
      <c r="HB171" s="3553"/>
      <c r="HC171" s="3553"/>
      <c r="HD171" s="3553"/>
      <c r="HE171" s="3553"/>
      <c r="HF171" s="3553"/>
      <c r="HG171" s="3553"/>
      <c r="HH171" s="2295">
        <v>6</v>
      </c>
      <c r="HI171" s="3553"/>
      <c r="HJ171" s="3553">
        <v>1</v>
      </c>
      <c r="HK171" s="3553">
        <v>1</v>
      </c>
      <c r="HL171" s="3553">
        <v>1</v>
      </c>
      <c r="HM171" s="3553">
        <v>1</v>
      </c>
      <c r="HN171" s="3553"/>
      <c r="HO171" s="3553"/>
      <c r="HP171" s="3553">
        <v>1</v>
      </c>
      <c r="HQ171" s="3553"/>
      <c r="HR171" s="3553">
        <v>1</v>
      </c>
      <c r="HS171" s="3553"/>
      <c r="HT171" s="3553"/>
      <c r="HU171" s="3553"/>
      <c r="HV171" s="3553"/>
      <c r="HW171" s="3553"/>
      <c r="HX171" s="3553"/>
      <c r="HY171" s="3553"/>
      <c r="HZ171" s="3553"/>
      <c r="IA171" s="3553"/>
      <c r="IB171" s="3553"/>
      <c r="IC171" s="3553"/>
      <c r="ID171" s="3553"/>
      <c r="IE171" s="3553"/>
      <c r="IF171" s="3553">
        <v>1</v>
      </c>
      <c r="IG171" s="3553"/>
      <c r="IH171" s="3553"/>
      <c r="II171" s="3553"/>
      <c r="IJ171" s="3553"/>
      <c r="IK171" s="3553"/>
      <c r="IL171" s="3553"/>
      <c r="IM171" s="3553"/>
      <c r="IN171" s="3553"/>
      <c r="IO171" s="3553"/>
      <c r="IP171" s="3553"/>
      <c r="IQ171" s="3553"/>
      <c r="IR171" s="3553"/>
      <c r="IS171" s="3553"/>
      <c r="IT171" s="3553"/>
      <c r="IU171" s="3553"/>
      <c r="IV171" s="3553"/>
      <c r="IW171" s="3553"/>
      <c r="IX171" s="3553"/>
      <c r="IY171" s="3553"/>
      <c r="IZ171" s="3553"/>
      <c r="JA171" s="3553"/>
      <c r="JB171" s="3553"/>
      <c r="JC171" s="3553"/>
      <c r="JD171" s="4228"/>
      <c r="JE171" s="4228"/>
      <c r="JF171" s="4228"/>
      <c r="JG171" s="4083"/>
    </row>
    <row r="172" spans="1:267" x14ac:dyDescent="0.2">
      <c r="A172" s="3612">
        <v>29</v>
      </c>
      <c r="B172" s="3616" t="str">
        <f si="8" t="shared"/>
        <v/>
      </c>
      <c r="C172" s="34"/>
      <c r="D172" s="3617" t="s">
        <v>8270</v>
      </c>
      <c r="E172" s="3598"/>
      <c r="F172" s="3599"/>
      <c r="G172" s="3554"/>
      <c r="H172" s="3554"/>
      <c r="I172" s="3600"/>
      <c r="J172" s="3554"/>
      <c r="K172" s="3554"/>
      <c r="L172" s="3554"/>
      <c r="M172" s="3554"/>
      <c r="N172" s="3554"/>
      <c r="O172" s="3554"/>
      <c r="P172" s="3554"/>
      <c r="Q172" s="3554"/>
      <c r="R172" s="3554"/>
      <c r="S172" s="3554"/>
      <c r="T172" s="3554"/>
      <c r="U172" s="3554"/>
      <c r="V172" s="3554"/>
      <c r="W172" s="3554"/>
      <c r="X172" s="3554"/>
      <c r="Y172" s="3554"/>
      <c r="Z172" s="3554"/>
      <c r="AA172" s="3554"/>
      <c r="AB172" s="3554"/>
      <c r="AC172" s="3554"/>
      <c r="AD172" s="3554"/>
      <c r="AE172" s="3554"/>
      <c r="AF172" s="3554"/>
      <c r="AG172" s="3554"/>
      <c r="AH172" s="3554"/>
      <c r="AI172" s="3554"/>
      <c r="AJ172" s="3554"/>
      <c r="AK172" s="3554"/>
      <c r="AL172" s="3554"/>
      <c r="AM172" s="3554"/>
      <c r="AN172" s="3554"/>
      <c r="AO172" s="3554"/>
      <c r="AP172" s="4126">
        <v>0</v>
      </c>
      <c r="AQ172" s="3599">
        <v>0</v>
      </c>
      <c r="AR172" s="3554"/>
      <c r="AS172" s="3554"/>
      <c r="AT172" s="3554"/>
      <c r="AU172" s="3554"/>
      <c r="AV172" s="3554"/>
      <c r="AW172" s="3554"/>
      <c r="AX172" s="3554"/>
      <c r="AY172" s="3554"/>
      <c r="AZ172" s="3554"/>
      <c r="BA172" s="3554"/>
      <c r="BB172" s="3599">
        <v>0</v>
      </c>
      <c r="BC172" s="3598">
        <v>0</v>
      </c>
      <c r="BD172" s="3598">
        <v>0</v>
      </c>
      <c r="BE172" s="3554"/>
      <c r="BF172" s="3554"/>
      <c r="BG172" s="3554"/>
      <c r="BH172" s="3554"/>
      <c r="BI172" s="3554"/>
      <c r="BJ172" s="3598">
        <v>0</v>
      </c>
      <c r="BK172" s="3554"/>
      <c r="BL172" s="3554"/>
      <c r="BM172" s="3554"/>
      <c r="BN172" s="3554"/>
      <c r="BO172" s="3554"/>
      <c r="BP172" s="3554"/>
      <c r="BQ172" s="3554"/>
      <c r="BR172" s="3554"/>
      <c r="BS172" s="3554"/>
      <c r="BT172" s="3554"/>
      <c r="BU172" s="3554"/>
      <c r="BV172" s="3554"/>
      <c r="BW172" s="3554"/>
      <c r="BX172" s="3554"/>
      <c r="BY172" s="3554"/>
      <c r="BZ172" s="3554"/>
      <c r="CA172" s="3554"/>
      <c r="CB172" s="3554"/>
      <c r="CC172" s="3554"/>
      <c r="CD172" s="3554"/>
      <c r="CE172" s="3554"/>
      <c r="CF172" s="3554"/>
      <c r="CG172" s="3554"/>
      <c r="CH172" s="3554"/>
      <c r="CI172" s="3554"/>
      <c r="CJ172" s="3554"/>
      <c r="CK172" s="3554"/>
      <c r="CL172" s="3554"/>
      <c r="CM172" s="3554"/>
      <c r="CN172" s="3554"/>
      <c r="CO172" s="3554"/>
      <c r="CP172" s="3554"/>
      <c r="CQ172" s="3554"/>
      <c r="CR172" s="3554"/>
      <c r="CS172" s="3554"/>
      <c r="CT172" s="3599">
        <v>0</v>
      </c>
      <c r="CU172" s="3554"/>
      <c r="CV172" s="3554"/>
      <c r="CW172" s="3554"/>
      <c r="CX172" s="3554"/>
      <c r="CY172" s="3554"/>
      <c r="CZ172" s="3554"/>
      <c r="DA172" s="3554"/>
      <c r="DB172" s="3554"/>
      <c r="DC172" s="3554"/>
      <c r="DD172" s="3554"/>
      <c r="DE172" s="3554"/>
      <c r="DF172" s="3554"/>
      <c r="DG172" s="3554"/>
      <c r="DH172" s="3554"/>
      <c r="DI172" s="3599">
        <v>0</v>
      </c>
      <c r="DJ172" s="3554"/>
      <c r="DK172" s="3554"/>
      <c r="DL172" s="3554"/>
      <c r="DM172" s="3554"/>
      <c r="DN172" s="3554"/>
      <c r="DO172" s="3554"/>
      <c r="DP172" s="3554"/>
      <c r="DQ172" s="3554"/>
      <c r="DR172" s="3554"/>
      <c r="DS172" s="3554"/>
      <c r="DT172" s="3554"/>
      <c r="DU172" s="3554"/>
      <c r="DV172" s="3554"/>
      <c r="DW172" s="3554"/>
      <c r="DX172" s="3554"/>
      <c r="DY172" s="3554"/>
      <c r="DZ172" s="3554"/>
      <c r="EA172" s="3554"/>
      <c r="EB172" s="3554"/>
      <c r="EC172" s="3554"/>
      <c r="ED172" s="3554"/>
      <c r="EE172" s="3554"/>
      <c r="EF172" s="3554"/>
      <c r="EG172" s="3554"/>
      <c r="EH172" s="3554"/>
      <c r="EI172" s="3554"/>
      <c r="EJ172" s="3554"/>
      <c r="EK172" s="3554"/>
      <c r="EL172" s="3554"/>
      <c r="EM172" s="3554"/>
      <c r="EN172" s="3554"/>
      <c r="EO172" s="3554"/>
      <c r="EP172" s="3554"/>
      <c r="EQ172" s="3554"/>
      <c r="ER172" s="3554"/>
      <c r="ES172" s="3554"/>
      <c r="ET172" s="3554"/>
      <c r="EU172" s="3554"/>
      <c r="EV172" s="3554"/>
      <c r="EW172" s="3554"/>
      <c r="EX172" s="3600">
        <v>0</v>
      </c>
      <c r="EY172" s="3554"/>
      <c r="EZ172" s="3554"/>
      <c r="FA172" s="3554"/>
      <c r="FB172" s="3554"/>
      <c r="FC172" s="3554"/>
      <c r="FD172" s="3554"/>
      <c r="FE172" s="3554"/>
      <c r="FF172" s="3554"/>
      <c r="FG172" s="3554"/>
      <c r="FH172" s="3554"/>
      <c r="FI172" s="3554"/>
      <c r="FJ172" s="3554"/>
      <c r="FK172" s="3554"/>
      <c r="FL172" s="3554"/>
      <c r="FM172" s="3554"/>
      <c r="FN172" s="3554"/>
      <c r="FO172" s="3554"/>
      <c r="FP172" s="3554"/>
      <c r="FQ172" s="3554"/>
      <c r="FR172" s="3554"/>
      <c r="FS172" s="3554"/>
      <c r="FT172" s="3554"/>
      <c r="FU172" s="3554"/>
      <c r="FV172" s="3554"/>
      <c r="FW172" s="3554"/>
      <c r="FX172" s="3554"/>
      <c r="FY172" s="3554"/>
      <c r="FZ172" s="3554"/>
      <c r="GA172" s="3554"/>
      <c r="GB172" s="3554"/>
      <c r="GC172" s="3554"/>
      <c r="GD172" s="3554"/>
      <c r="GE172" s="3554"/>
      <c r="GF172" s="3598">
        <v>0</v>
      </c>
      <c r="GG172" s="3554"/>
      <c r="GH172" s="3554"/>
      <c r="GI172" s="3554"/>
      <c r="GJ172" s="3554"/>
      <c r="GK172" s="3554"/>
      <c r="GL172" s="3554"/>
      <c r="GM172" s="3554"/>
      <c r="GN172" s="3554"/>
      <c r="GO172" s="3554"/>
      <c r="GP172" s="3554"/>
      <c r="GQ172" s="3554"/>
      <c r="GR172" s="3554"/>
      <c r="GS172" s="3554"/>
      <c r="GT172" s="3554"/>
      <c r="GU172" s="3554"/>
      <c r="GV172" s="3554"/>
      <c r="GW172" s="3554"/>
      <c r="GX172" s="3554"/>
      <c r="GY172" s="3554"/>
      <c r="GZ172" s="3554"/>
      <c r="HA172" s="3554"/>
      <c r="HB172" s="3554"/>
      <c r="HC172" s="3554"/>
      <c r="HD172" s="3554"/>
      <c r="HE172" s="3554"/>
      <c r="HF172" s="3554"/>
      <c r="HG172" s="3554"/>
      <c r="HH172" s="3554">
        <v>5759</v>
      </c>
      <c r="HI172" s="3554"/>
      <c r="HJ172" s="3554">
        <v>0</v>
      </c>
      <c r="HK172" s="3554">
        <v>0</v>
      </c>
      <c r="HL172" s="3554">
        <v>0</v>
      </c>
      <c r="HM172" s="3554">
        <v>0</v>
      </c>
      <c r="HN172" s="3554"/>
      <c r="HO172" s="3554"/>
      <c r="HP172" s="3600">
        <v>0</v>
      </c>
      <c r="HQ172" s="3554"/>
      <c r="HR172" s="3600">
        <v>0</v>
      </c>
      <c r="HS172" s="3554"/>
      <c r="HT172" s="3554"/>
      <c r="HU172" s="3554"/>
      <c r="HV172" s="3554"/>
      <c r="HW172" s="3554"/>
      <c r="HX172" s="3554"/>
      <c r="HY172" s="3554"/>
      <c r="HZ172" s="3554"/>
      <c r="IA172" s="3554"/>
      <c r="IB172" s="3554"/>
      <c r="IC172" s="3554"/>
      <c r="ID172" s="3554"/>
      <c r="IE172" s="3554"/>
      <c r="IF172" s="3554">
        <v>0</v>
      </c>
      <c r="IG172" s="3554"/>
      <c r="IH172" s="3554"/>
      <c r="II172" s="3554"/>
      <c r="IJ172" s="3554"/>
      <c r="IK172" s="3554"/>
      <c r="IL172" s="3554"/>
      <c r="IM172" s="3554"/>
      <c r="IN172" s="3554"/>
      <c r="IO172" s="3554"/>
      <c r="IP172" s="3554"/>
      <c r="IQ172" s="3554"/>
      <c r="IR172" s="3554"/>
      <c r="IS172" s="3554"/>
      <c r="IT172" s="3554"/>
      <c r="IU172" s="3554"/>
      <c r="IV172" s="3554"/>
      <c r="IW172" s="3554"/>
      <c r="IX172" s="3554"/>
      <c r="IY172" s="3554"/>
      <c r="IZ172" s="3554"/>
      <c r="JA172" s="3554"/>
      <c r="JB172" s="3554"/>
      <c r="JC172" s="3554"/>
      <c r="JD172" s="4229"/>
      <c r="JE172" s="4229"/>
      <c r="JF172" s="4229"/>
      <c r="JG172" s="3585"/>
    </row>
    <row ht="13.5" r="173" spans="1:267" thickBot="1" x14ac:dyDescent="0.25">
      <c r="A173" s="3612">
        <v>30</v>
      </c>
      <c r="B173" s="3616" t="str">
        <f si="8" t="shared"/>
        <v/>
      </c>
      <c r="C173" s="34"/>
      <c r="D173" s="3617" t="s">
        <v>8271</v>
      </c>
      <c r="E173" s="3601"/>
      <c r="F173" s="3602"/>
      <c r="G173" s="3555"/>
      <c r="H173" s="3555"/>
      <c r="I173" s="3588"/>
      <c r="J173" s="3555"/>
      <c r="K173" s="3588"/>
      <c r="L173" s="3555"/>
      <c r="M173" s="3555"/>
      <c r="N173" s="3555"/>
      <c r="O173" s="3555"/>
      <c r="P173" s="3555"/>
      <c r="Q173" s="3555"/>
      <c r="R173" s="3555"/>
      <c r="S173" s="3555"/>
      <c r="T173" s="3555"/>
      <c r="U173" s="3555"/>
      <c r="V173" s="3555"/>
      <c r="W173" s="3555"/>
      <c r="X173" s="3555"/>
      <c r="Y173" s="3555"/>
      <c r="Z173" s="3555"/>
      <c r="AA173" s="3555"/>
      <c r="AB173" s="3555"/>
      <c r="AC173" s="3555"/>
      <c r="AD173" s="3555"/>
      <c r="AE173" s="3555"/>
      <c r="AF173" s="3555"/>
      <c r="AG173" s="3555"/>
      <c r="AH173" s="3555"/>
      <c r="AI173" s="3555"/>
      <c r="AJ173" s="3555"/>
      <c r="AK173" s="3555"/>
      <c r="AL173" s="3555"/>
      <c r="AM173" s="3555"/>
      <c r="AN173" s="3555"/>
      <c r="AO173" s="3555"/>
      <c r="AP173" s="3587">
        <v>0</v>
      </c>
      <c r="AQ173" s="3602">
        <v>0</v>
      </c>
      <c r="AR173" s="3555"/>
      <c r="AS173" s="3555"/>
      <c r="AT173" s="3555"/>
      <c r="AU173" s="3555"/>
      <c r="AV173" s="3555"/>
      <c r="AW173" s="3555"/>
      <c r="AX173" s="3555"/>
      <c r="AY173" s="3555"/>
      <c r="AZ173" s="3555"/>
      <c r="BA173" s="3555"/>
      <c r="BB173" s="3602">
        <v>0</v>
      </c>
      <c r="BC173" s="3601">
        <v>0</v>
      </c>
      <c r="BD173" s="3601">
        <v>0</v>
      </c>
      <c r="BE173" s="3555"/>
      <c r="BF173" s="3555"/>
      <c r="BG173" s="3555"/>
      <c r="BH173" s="3555"/>
      <c r="BI173" s="3555"/>
      <c r="BJ173" s="3601">
        <v>0</v>
      </c>
      <c r="BK173" s="3555"/>
      <c r="BL173" s="3555"/>
      <c r="BM173" s="3555"/>
      <c r="BN173" s="3555"/>
      <c r="BO173" s="3555"/>
      <c r="BP173" s="3555"/>
      <c r="BQ173" s="3555"/>
      <c r="BR173" s="3555"/>
      <c r="BS173" s="3555"/>
      <c r="BT173" s="3555"/>
      <c r="BU173" s="3555"/>
      <c r="BV173" s="3555"/>
      <c r="BW173" s="3555"/>
      <c r="BX173" s="3555"/>
      <c r="BY173" s="3555"/>
      <c r="BZ173" s="3555"/>
      <c r="CA173" s="3555"/>
      <c r="CB173" s="3555"/>
      <c r="CC173" s="3555"/>
      <c r="CD173" s="3555"/>
      <c r="CE173" s="3555"/>
      <c r="CF173" s="3555"/>
      <c r="CG173" s="3555"/>
      <c r="CH173" s="3555"/>
      <c r="CI173" s="3555"/>
      <c r="CJ173" s="3555"/>
      <c r="CK173" s="3555"/>
      <c r="CL173" s="3555"/>
      <c r="CM173" s="3555"/>
      <c r="CN173" s="3555"/>
      <c r="CO173" s="3555"/>
      <c r="CP173" s="3555"/>
      <c r="CQ173" s="3555"/>
      <c r="CR173" s="3555"/>
      <c r="CS173" s="3555"/>
      <c r="CT173" s="3602">
        <v>0</v>
      </c>
      <c r="CU173" s="3555"/>
      <c r="CV173" s="3555"/>
      <c r="CW173" s="3555"/>
      <c r="CX173" s="3555"/>
      <c r="CY173" s="3555"/>
      <c r="CZ173" s="3555"/>
      <c r="DA173" s="3555"/>
      <c r="DB173" s="3555"/>
      <c r="DC173" s="3555"/>
      <c r="DD173" s="3555"/>
      <c r="DE173" s="3555"/>
      <c r="DF173" s="3555"/>
      <c r="DG173" s="3555"/>
      <c r="DH173" s="3555"/>
      <c r="DI173" s="3602">
        <v>0</v>
      </c>
      <c r="DJ173" s="3555"/>
      <c r="DK173" s="3555"/>
      <c r="DL173" s="3555"/>
      <c r="DM173" s="3555"/>
      <c r="DN173" s="3555"/>
      <c r="DO173" s="3555"/>
      <c r="DP173" s="3555"/>
      <c r="DQ173" s="3555"/>
      <c r="DR173" s="3555"/>
      <c r="DS173" s="3555"/>
      <c r="DT173" s="3555"/>
      <c r="DU173" s="3555"/>
      <c r="DV173" s="3555"/>
      <c r="DW173" s="3555"/>
      <c r="DX173" s="3555"/>
      <c r="DY173" s="3555"/>
      <c r="DZ173" s="3555"/>
      <c r="EA173" s="3555"/>
      <c r="EB173" s="3555"/>
      <c r="EC173" s="3555"/>
      <c r="ED173" s="3555"/>
      <c r="EE173" s="3555"/>
      <c r="EF173" s="3555"/>
      <c r="EG173" s="3555"/>
      <c r="EH173" s="3555"/>
      <c r="EI173" s="3555"/>
      <c r="EJ173" s="3555"/>
      <c r="EK173" s="3555"/>
      <c r="EL173" s="3555"/>
      <c r="EM173" s="3555"/>
      <c r="EN173" s="3555"/>
      <c r="EO173" s="3555"/>
      <c r="EP173" s="3555"/>
      <c r="EQ173" s="3555"/>
      <c r="ER173" s="3555"/>
      <c r="ES173" s="3555"/>
      <c r="ET173" s="3555"/>
      <c r="EU173" s="3555"/>
      <c r="EV173" s="3555"/>
      <c r="EW173" s="3555"/>
      <c r="EX173" s="3588">
        <v>0</v>
      </c>
      <c r="EY173" s="3555"/>
      <c r="EZ173" s="3555"/>
      <c r="FA173" s="3555"/>
      <c r="FB173" s="3555"/>
      <c r="FC173" s="3555"/>
      <c r="FD173" s="3555"/>
      <c r="FE173" s="3555"/>
      <c r="FF173" s="3555"/>
      <c r="FG173" s="3555"/>
      <c r="FH173" s="3555"/>
      <c r="FI173" s="3555"/>
      <c r="FJ173" s="3555"/>
      <c r="FK173" s="3555"/>
      <c r="FL173" s="3555"/>
      <c r="FM173" s="3555"/>
      <c r="FN173" s="3555"/>
      <c r="FO173" s="3555"/>
      <c r="FP173" s="3555"/>
      <c r="FQ173" s="3555"/>
      <c r="FR173" s="3555"/>
      <c r="FS173" s="3555"/>
      <c r="FT173" s="3555"/>
      <c r="FU173" s="3555"/>
      <c r="FV173" s="3555"/>
      <c r="FW173" s="3555"/>
      <c r="FX173" s="3555"/>
      <c r="FY173" s="3555"/>
      <c r="FZ173" s="3555"/>
      <c r="GA173" s="3555"/>
      <c r="GB173" s="3555"/>
      <c r="GC173" s="3555"/>
      <c r="GD173" s="3555"/>
      <c r="GE173" s="3555"/>
      <c r="GF173" s="3601">
        <v>0</v>
      </c>
      <c r="GG173" s="3555"/>
      <c r="GH173" s="3555"/>
      <c r="GI173" s="3555"/>
      <c r="GJ173" s="3555"/>
      <c r="GK173" s="3555"/>
      <c r="GL173" s="3555"/>
      <c r="GM173" s="3555"/>
      <c r="GN173" s="3555"/>
      <c r="GO173" s="3555"/>
      <c r="GP173" s="3555"/>
      <c r="GQ173" s="3555"/>
      <c r="GR173" s="3555"/>
      <c r="GS173" s="3555"/>
      <c r="GT173" s="3555"/>
      <c r="GU173" s="3555"/>
      <c r="GV173" s="3555"/>
      <c r="GW173" s="3555"/>
      <c r="GX173" s="3555"/>
      <c r="GY173" s="3555"/>
      <c r="GZ173" s="3555"/>
      <c r="HA173" s="3555"/>
      <c r="HB173" s="3555"/>
      <c r="HC173" s="3555"/>
      <c r="HD173" s="3555"/>
      <c r="HE173" s="3555"/>
      <c r="HF173" s="3555"/>
      <c r="HG173" s="3555"/>
      <c r="HH173" s="3588">
        <v>575.9</v>
      </c>
      <c r="HI173" s="3555"/>
      <c r="HJ173" s="3555">
        <v>0</v>
      </c>
      <c r="HK173" s="3555">
        <v>0</v>
      </c>
      <c r="HL173" s="3555">
        <v>0</v>
      </c>
      <c r="HM173" s="3555">
        <v>0</v>
      </c>
      <c r="HN173" s="3555"/>
      <c r="HO173" s="3555"/>
      <c r="HP173" s="3588">
        <v>0</v>
      </c>
      <c r="HQ173" s="3555"/>
      <c r="HR173" s="3588">
        <v>0</v>
      </c>
      <c r="HS173" s="3555"/>
      <c r="HT173" s="3555"/>
      <c r="HU173" s="3555"/>
      <c r="HV173" s="3555"/>
      <c r="HW173" s="3555"/>
      <c r="HX173" s="3555"/>
      <c r="HY173" s="3555"/>
      <c r="HZ173" s="3555"/>
      <c r="IA173" s="3555"/>
      <c r="IB173" s="3555"/>
      <c r="IC173" s="3555"/>
      <c r="ID173" s="3555"/>
      <c r="IE173" s="3555"/>
      <c r="IF173" s="3555">
        <v>0</v>
      </c>
      <c r="IG173" s="3555"/>
      <c r="IH173" s="3555"/>
      <c r="II173" s="3555"/>
      <c r="IJ173" s="3555"/>
      <c r="IK173" s="3555"/>
      <c r="IL173" s="3555"/>
      <c r="IM173" s="3555"/>
      <c r="IN173" s="3555"/>
      <c r="IO173" s="3555"/>
      <c r="IP173" s="3555"/>
      <c r="IQ173" s="3555"/>
      <c r="IR173" s="3555"/>
      <c r="IS173" s="3555"/>
      <c r="IT173" s="3555"/>
      <c r="IU173" s="3555"/>
      <c r="IV173" s="3555"/>
      <c r="IW173" s="3555"/>
      <c r="IX173" s="3555"/>
      <c r="IY173" s="3555"/>
      <c r="IZ173" s="3555"/>
      <c r="JA173" s="3555"/>
      <c r="JB173" s="3555"/>
      <c r="JC173" s="3555"/>
      <c r="JD173" s="4230"/>
      <c r="JE173" s="4230"/>
      <c r="JF173" s="4230"/>
      <c r="JG173" s="4084"/>
    </row>
    <row r="174" spans="1:267" x14ac:dyDescent="0.2">
      <c r="A174" s="3612">
        <v>31</v>
      </c>
      <c r="B174" s="3616" t="str">
        <f si="8" t="shared"/>
        <v/>
      </c>
      <c r="C174" s="34"/>
      <c r="D174" s="3617" t="s">
        <v>8272</v>
      </c>
      <c r="E174" s="3603"/>
      <c r="F174" s="3590"/>
      <c r="G174" s="3604"/>
      <c r="H174" s="3604"/>
      <c r="I174" s="3604"/>
      <c r="J174" s="3552"/>
      <c r="K174" s="3552"/>
      <c r="L174" s="3552"/>
      <c r="M174" s="3552"/>
      <c r="N174" s="3552"/>
      <c r="O174" s="3552"/>
      <c r="P174" s="3552"/>
      <c r="Q174" s="3552"/>
      <c r="R174" s="3552"/>
      <c r="S174" s="3552"/>
      <c r="T174" s="3552"/>
      <c r="U174" s="3552"/>
      <c r="V174" s="3552"/>
      <c r="W174" s="3552"/>
      <c r="X174" s="3552"/>
      <c r="Y174" s="3552"/>
      <c r="Z174" s="3552"/>
      <c r="AA174" s="3552"/>
      <c r="AB174" s="3552"/>
      <c r="AC174" s="3552"/>
      <c r="AD174" s="3552"/>
      <c r="AE174" s="3552"/>
      <c r="AF174" s="3552"/>
      <c r="AG174" s="3552"/>
      <c r="AH174" s="3552"/>
      <c r="AI174" s="3552"/>
      <c r="AJ174" s="3552"/>
      <c r="AK174" s="3552"/>
      <c r="AL174" s="3552"/>
      <c r="AM174" s="3552"/>
      <c r="AN174" s="3552"/>
      <c r="AO174" s="3552"/>
      <c r="AP174" s="3590">
        <v>1</v>
      </c>
      <c r="AQ174" s="3590">
        <v>1</v>
      </c>
      <c r="AR174" s="3552"/>
      <c r="AS174" s="3552"/>
      <c r="AT174" s="3552"/>
      <c r="AU174" s="3552"/>
      <c r="AV174" s="3552"/>
      <c r="AW174" s="3552"/>
      <c r="AX174" s="3552"/>
      <c r="AY174" s="3552"/>
      <c r="AZ174" s="3552"/>
      <c r="BA174" s="3552"/>
      <c r="BB174" s="3590">
        <v>1</v>
      </c>
      <c r="BC174" s="3603">
        <v>1</v>
      </c>
      <c r="BD174" s="3603">
        <v>1</v>
      </c>
      <c r="BE174" s="3552"/>
      <c r="BF174" s="3552"/>
      <c r="BG174" s="3552"/>
      <c r="BH174" s="3552"/>
      <c r="BI174" s="3552"/>
      <c r="BJ174" s="3603">
        <v>1</v>
      </c>
      <c r="BK174" s="3552"/>
      <c r="BL174" s="3552"/>
      <c r="BM174" s="3552"/>
      <c r="BN174" s="3552"/>
      <c r="BO174" s="3552"/>
      <c r="BP174" s="3552"/>
      <c r="BQ174" s="3552"/>
      <c r="BR174" s="3552"/>
      <c r="BS174" s="3552"/>
      <c r="BT174" s="3552"/>
      <c r="BU174" s="3552"/>
      <c r="BV174" s="3552"/>
      <c r="BW174" s="3552"/>
      <c r="BX174" s="3552"/>
      <c r="BY174" s="3552"/>
      <c r="BZ174" s="3552"/>
      <c r="CA174" s="3552"/>
      <c r="CB174" s="3552"/>
      <c r="CC174" s="3552"/>
      <c r="CD174" s="3552"/>
      <c r="CE174" s="3552"/>
      <c r="CF174" s="3552"/>
      <c r="CG174" s="3552"/>
      <c r="CH174" s="3552"/>
      <c r="CI174" s="3552"/>
      <c r="CJ174" s="3552"/>
      <c r="CK174" s="3552"/>
      <c r="CL174" s="3552"/>
      <c r="CM174" s="3552"/>
      <c r="CN174" s="3552"/>
      <c r="CO174" s="3552"/>
      <c r="CP174" s="3552"/>
      <c r="CQ174" s="3552"/>
      <c r="CR174" s="3552"/>
      <c r="CS174" s="3552"/>
      <c r="CT174" s="3590">
        <v>1</v>
      </c>
      <c r="CU174" s="3552"/>
      <c r="CV174" s="3552"/>
      <c r="CW174" s="3552"/>
      <c r="CX174" s="3552"/>
      <c r="CY174" s="3552"/>
      <c r="CZ174" s="3552"/>
      <c r="DA174" s="3552"/>
      <c r="DB174" s="3552"/>
      <c r="DC174" s="3552"/>
      <c r="DD174" s="3552"/>
      <c r="DE174" s="3552"/>
      <c r="DF174" s="3552"/>
      <c r="DG174" s="3552"/>
      <c r="DH174" s="3552"/>
      <c r="DI174" s="3590">
        <v>1</v>
      </c>
      <c r="DJ174" s="3552"/>
      <c r="DK174" s="3552"/>
      <c r="DL174" s="3552"/>
      <c r="DM174" s="3552"/>
      <c r="DN174" s="3552"/>
      <c r="DO174" s="3552"/>
      <c r="DP174" s="3552"/>
      <c r="DQ174" s="3552"/>
      <c r="DR174" s="3552"/>
      <c r="DS174" s="3552"/>
      <c r="DT174" s="3552"/>
      <c r="DU174" s="3552"/>
      <c r="DV174" s="3552"/>
      <c r="DW174" s="3552"/>
      <c r="DX174" s="3552"/>
      <c r="DY174" s="3552"/>
      <c r="DZ174" s="3552"/>
      <c r="EA174" s="3552"/>
      <c r="EB174" s="3552"/>
      <c r="EC174" s="3552"/>
      <c r="ED174" s="3552"/>
      <c r="EE174" s="3552"/>
      <c r="EF174" s="3552"/>
      <c r="EG174" s="3552"/>
      <c r="EH174" s="3552"/>
      <c r="EI174" s="3552"/>
      <c r="EJ174" s="3552"/>
      <c r="EK174" s="3552"/>
      <c r="EL174" s="3552"/>
      <c r="EM174" s="3552"/>
      <c r="EN174" s="3552"/>
      <c r="EO174" s="3552"/>
      <c r="EP174" s="3552"/>
      <c r="EQ174" s="3552"/>
      <c r="ER174" s="3552"/>
      <c r="ES174" s="3552"/>
      <c r="ET174" s="3552"/>
      <c r="EU174" s="3552"/>
      <c r="EV174" s="3552"/>
      <c r="EW174" s="3552"/>
      <c r="EX174" s="3604">
        <v>1</v>
      </c>
      <c r="EY174" s="3552"/>
      <c r="EZ174" s="3552"/>
      <c r="FA174" s="3552"/>
      <c r="FB174" s="3552"/>
      <c r="FC174" s="3552"/>
      <c r="FD174" s="3552"/>
      <c r="FE174" s="3552"/>
      <c r="FF174" s="3552"/>
      <c r="FG174" s="3552"/>
      <c r="FH174" s="3552"/>
      <c r="FI174" s="3552"/>
      <c r="FJ174" s="3552"/>
      <c r="FK174" s="3552"/>
      <c r="FL174" s="3552"/>
      <c r="FM174" s="3552"/>
      <c r="FN174" s="3552"/>
      <c r="FO174" s="3552"/>
      <c r="FP174" s="3552"/>
      <c r="FQ174" s="3552"/>
      <c r="FR174" s="3552"/>
      <c r="FS174" s="3552"/>
      <c r="FT174" s="3552"/>
      <c r="FU174" s="3552"/>
      <c r="FV174" s="3552"/>
      <c r="FW174" s="3552"/>
      <c r="FX174" s="3552"/>
      <c r="FY174" s="3552"/>
      <c r="FZ174" s="3552"/>
      <c r="GA174" s="3552"/>
      <c r="GB174" s="3552"/>
      <c r="GC174" s="3552"/>
      <c r="GD174" s="3552"/>
      <c r="GE174" s="3552"/>
      <c r="GF174" s="3603">
        <v>1</v>
      </c>
      <c r="GG174" s="3552"/>
      <c r="GH174" s="3552"/>
      <c r="GI174" s="3552"/>
      <c r="GJ174" s="3552"/>
      <c r="GK174" s="3552"/>
      <c r="GL174" s="3552"/>
      <c r="GM174" s="3552"/>
      <c r="GN174" s="3552"/>
      <c r="GO174" s="3552"/>
      <c r="GP174" s="3552"/>
      <c r="GQ174" s="3552"/>
      <c r="GR174" s="3552"/>
      <c r="GS174" s="3552"/>
      <c r="GT174" s="3552"/>
      <c r="GU174" s="3552"/>
      <c r="GV174" s="3552"/>
      <c r="GW174" s="3552"/>
      <c r="GX174" s="3552"/>
      <c r="GY174" s="3552"/>
      <c r="GZ174" s="3552"/>
      <c r="HA174" s="3552"/>
      <c r="HB174" s="3552"/>
      <c r="HC174" s="3552"/>
      <c r="HD174" s="3552"/>
      <c r="HE174" s="3552"/>
      <c r="HF174" s="3552"/>
      <c r="HG174" s="3552"/>
      <c r="HH174" s="3552">
        <v>3</v>
      </c>
      <c r="HI174" s="3552"/>
      <c r="HJ174" s="3552">
        <v>1</v>
      </c>
      <c r="HK174" s="3552">
        <v>1</v>
      </c>
      <c r="HL174" s="3552">
        <v>1</v>
      </c>
      <c r="HM174" s="3552">
        <v>1</v>
      </c>
      <c r="HN174" s="3552"/>
      <c r="HO174" s="3552"/>
      <c r="HP174" s="3604">
        <v>1</v>
      </c>
      <c r="HQ174" s="3552"/>
      <c r="HR174" s="3604">
        <v>1</v>
      </c>
      <c r="HS174" s="3552"/>
      <c r="HT174" s="3552"/>
      <c r="HU174" s="3552"/>
      <c r="HV174" s="3552"/>
      <c r="HW174" s="3552"/>
      <c r="HX174" s="3552"/>
      <c r="HY174" s="3552"/>
      <c r="HZ174" s="3552"/>
      <c r="IA174" s="3552"/>
      <c r="IB174" s="3552"/>
      <c r="IC174" s="3552"/>
      <c r="ID174" s="3552"/>
      <c r="IE174" s="3552"/>
      <c r="IF174" s="3552">
        <v>1</v>
      </c>
      <c r="IG174" s="3552"/>
      <c r="IH174" s="3552"/>
      <c r="II174" s="3552"/>
      <c r="IJ174" s="3552"/>
      <c r="IK174" s="3552"/>
      <c r="IL174" s="3552"/>
      <c r="IM174" s="3552"/>
      <c r="IN174" s="3552"/>
      <c r="IO174" s="3552"/>
      <c r="IP174" s="3552"/>
      <c r="IQ174" s="3552"/>
      <c r="IR174" s="3552"/>
      <c r="IS174" s="3552"/>
      <c r="IT174" s="3552"/>
      <c r="IU174" s="3552"/>
      <c r="IV174" s="3552"/>
      <c r="IW174" s="3552"/>
      <c r="IX174" s="3552"/>
      <c r="IY174" s="3552"/>
      <c r="IZ174" s="3552"/>
      <c r="JA174" s="3552"/>
      <c r="JB174" s="3552"/>
      <c r="JC174" s="3552"/>
      <c r="JD174" s="4227"/>
      <c r="JE174" s="4227"/>
      <c r="JF174" s="4227"/>
      <c r="JG174" s="3579"/>
    </row>
    <row r="175" spans="1:267" x14ac:dyDescent="0.2">
      <c r="A175" s="3612">
        <v>32</v>
      </c>
      <c r="B175" s="3616" t="str">
        <f si="8" t="shared"/>
        <v/>
      </c>
      <c r="C175" s="34"/>
      <c r="D175" s="3617" t="s">
        <v>8273</v>
      </c>
      <c r="E175" s="3580"/>
      <c r="F175" s="3553"/>
      <c r="G175" s="3553"/>
      <c r="H175" s="3553"/>
      <c r="I175" s="3553"/>
      <c r="J175" s="3553"/>
      <c r="K175" s="2295"/>
      <c r="L175" s="3553"/>
      <c r="M175" s="3553"/>
      <c r="N175" s="3553"/>
      <c r="O175" s="3553"/>
      <c r="P175" s="3553"/>
      <c r="Q175" s="3553"/>
      <c r="R175" s="3553"/>
      <c r="S175" s="3553"/>
      <c r="T175" s="3553"/>
      <c r="U175" s="3553"/>
      <c r="V175" s="3553"/>
      <c r="W175" s="3553"/>
      <c r="X175" s="3553"/>
      <c r="Y175" s="3553"/>
      <c r="Z175" s="3553"/>
      <c r="AA175" s="3553"/>
      <c r="AB175" s="3553"/>
      <c r="AC175" s="3553"/>
      <c r="AD175" s="3553"/>
      <c r="AE175" s="3553"/>
      <c r="AF175" s="3553"/>
      <c r="AG175" s="3553"/>
      <c r="AH175" s="3553"/>
      <c r="AI175" s="3553"/>
      <c r="AJ175" s="3553"/>
      <c r="AK175" s="3553"/>
      <c r="AL175" s="3553"/>
      <c r="AM175" s="3553"/>
      <c r="AN175" s="3553"/>
      <c r="AO175" s="3553"/>
      <c r="AP175" s="3553">
        <v>1</v>
      </c>
      <c r="AQ175" s="3553">
        <v>1</v>
      </c>
      <c r="AR175" s="3553"/>
      <c r="AS175" s="3553"/>
      <c r="AT175" s="3553"/>
      <c r="AU175" s="3553"/>
      <c r="AV175" s="3553"/>
      <c r="AW175" s="3553"/>
      <c r="AX175" s="3553"/>
      <c r="AY175" s="3553"/>
      <c r="AZ175" s="3553"/>
      <c r="BA175" s="3553"/>
      <c r="BB175" s="3553">
        <v>1</v>
      </c>
      <c r="BC175" s="3580">
        <v>1</v>
      </c>
      <c r="BD175" s="3580">
        <v>1</v>
      </c>
      <c r="BE175" s="3553"/>
      <c r="BF175" s="3553"/>
      <c r="BG175" s="3553"/>
      <c r="BH175" s="3553"/>
      <c r="BI175" s="3553"/>
      <c r="BJ175" s="3580">
        <v>1</v>
      </c>
      <c r="BK175" s="3553"/>
      <c r="BL175" s="3553"/>
      <c r="BM175" s="3553"/>
      <c r="BN175" s="3553"/>
      <c r="BO175" s="3553"/>
      <c r="BP175" s="3553"/>
      <c r="BQ175" s="3553"/>
      <c r="BR175" s="3553"/>
      <c r="BS175" s="3553"/>
      <c r="BT175" s="3553"/>
      <c r="BU175" s="3553"/>
      <c r="BV175" s="3553"/>
      <c r="BW175" s="3553"/>
      <c r="BX175" s="3553"/>
      <c r="BY175" s="3553"/>
      <c r="BZ175" s="3553"/>
      <c r="CA175" s="3553"/>
      <c r="CB175" s="3553"/>
      <c r="CC175" s="3553"/>
      <c r="CD175" s="3553"/>
      <c r="CE175" s="3553"/>
      <c r="CF175" s="3553"/>
      <c r="CG175" s="3553"/>
      <c r="CH175" s="3553"/>
      <c r="CI175" s="3553"/>
      <c r="CJ175" s="3553"/>
      <c r="CK175" s="3553"/>
      <c r="CL175" s="3553"/>
      <c r="CM175" s="3553"/>
      <c r="CN175" s="3553"/>
      <c r="CO175" s="3553"/>
      <c r="CP175" s="3553"/>
      <c r="CQ175" s="3553"/>
      <c r="CR175" s="3553"/>
      <c r="CS175" s="3553"/>
      <c r="CT175" s="3553">
        <v>1</v>
      </c>
      <c r="CU175" s="3553"/>
      <c r="CV175" s="3553"/>
      <c r="CW175" s="3553"/>
      <c r="CX175" s="3553"/>
      <c r="CY175" s="3553"/>
      <c r="CZ175" s="3553"/>
      <c r="DA175" s="3553"/>
      <c r="DB175" s="3553"/>
      <c r="DC175" s="3553"/>
      <c r="DD175" s="3553"/>
      <c r="DE175" s="3553"/>
      <c r="DF175" s="3553"/>
      <c r="DG175" s="3553"/>
      <c r="DH175" s="3553"/>
      <c r="DI175" s="3553">
        <v>1</v>
      </c>
      <c r="DJ175" s="3553"/>
      <c r="DK175" s="3553"/>
      <c r="DL175" s="3553"/>
      <c r="DM175" s="3553"/>
      <c r="DN175" s="3553"/>
      <c r="DO175" s="3553"/>
      <c r="DP175" s="3553"/>
      <c r="DQ175" s="3553"/>
      <c r="DR175" s="3553"/>
      <c r="DS175" s="3553"/>
      <c r="DT175" s="3553"/>
      <c r="DU175" s="3553"/>
      <c r="DV175" s="3553"/>
      <c r="DW175" s="3553"/>
      <c r="DX175" s="3553"/>
      <c r="DY175" s="3553"/>
      <c r="DZ175" s="3553"/>
      <c r="EA175" s="3553"/>
      <c r="EB175" s="3553"/>
      <c r="EC175" s="3553"/>
      <c r="ED175" s="3553"/>
      <c r="EE175" s="3553"/>
      <c r="EF175" s="3553"/>
      <c r="EG175" s="3553"/>
      <c r="EH175" s="3553"/>
      <c r="EI175" s="3553"/>
      <c r="EJ175" s="3553"/>
      <c r="EK175" s="3553"/>
      <c r="EL175" s="3553"/>
      <c r="EM175" s="3553"/>
      <c r="EN175" s="3553"/>
      <c r="EO175" s="3553"/>
      <c r="EP175" s="3553"/>
      <c r="EQ175" s="3553"/>
      <c r="ER175" s="3553"/>
      <c r="ES175" s="3553"/>
      <c r="ET175" s="3553"/>
      <c r="EU175" s="3553"/>
      <c r="EV175" s="3553"/>
      <c r="EW175" s="3553"/>
      <c r="EX175" s="3553">
        <v>1</v>
      </c>
      <c r="EY175" s="3553"/>
      <c r="EZ175" s="3553"/>
      <c r="FA175" s="3553"/>
      <c r="FB175" s="3553"/>
      <c r="FC175" s="3553"/>
      <c r="FD175" s="3553"/>
      <c r="FE175" s="3553"/>
      <c r="FF175" s="3553"/>
      <c r="FG175" s="3553"/>
      <c r="FH175" s="3553"/>
      <c r="FI175" s="3553"/>
      <c r="FJ175" s="3553"/>
      <c r="FK175" s="3553"/>
      <c r="FL175" s="3553"/>
      <c r="FM175" s="3553"/>
      <c r="FN175" s="3553"/>
      <c r="FO175" s="3553"/>
      <c r="FP175" s="3553"/>
      <c r="FQ175" s="3553"/>
      <c r="FR175" s="3553"/>
      <c r="FS175" s="3553"/>
      <c r="FT175" s="3553"/>
      <c r="FU175" s="3553"/>
      <c r="FV175" s="3553"/>
      <c r="FW175" s="3553"/>
      <c r="FX175" s="3553"/>
      <c r="FY175" s="3553"/>
      <c r="FZ175" s="3553"/>
      <c r="GA175" s="3553"/>
      <c r="GB175" s="3553"/>
      <c r="GC175" s="3553"/>
      <c r="GD175" s="3553"/>
      <c r="GE175" s="3553"/>
      <c r="GF175" s="3580">
        <v>1</v>
      </c>
      <c r="GG175" s="3553"/>
      <c r="GH175" s="3553"/>
      <c r="GI175" s="3553"/>
      <c r="GJ175" s="3553"/>
      <c r="GK175" s="3553"/>
      <c r="GL175" s="3553"/>
      <c r="GM175" s="3553"/>
      <c r="GN175" s="3553"/>
      <c r="GO175" s="3553"/>
      <c r="GP175" s="3553"/>
      <c r="GQ175" s="3553"/>
      <c r="GR175" s="3553"/>
      <c r="GS175" s="3553"/>
      <c r="GT175" s="3553"/>
      <c r="GU175" s="3553"/>
      <c r="GV175" s="3553"/>
      <c r="GW175" s="3553"/>
      <c r="GX175" s="3553"/>
      <c r="GY175" s="3553"/>
      <c r="GZ175" s="3553"/>
      <c r="HA175" s="3553"/>
      <c r="HB175" s="3553"/>
      <c r="HC175" s="3553"/>
      <c r="HD175" s="3553"/>
      <c r="HE175" s="3553"/>
      <c r="HF175" s="3553"/>
      <c r="HG175" s="3553"/>
      <c r="HH175" s="2295">
        <v>6</v>
      </c>
      <c r="HI175" s="3553"/>
      <c r="HJ175" s="3553">
        <v>1</v>
      </c>
      <c r="HK175" s="3553">
        <v>1</v>
      </c>
      <c r="HL175" s="3553">
        <v>1</v>
      </c>
      <c r="HM175" s="3553">
        <v>1</v>
      </c>
      <c r="HN175" s="3553"/>
      <c r="HO175" s="3553"/>
      <c r="HP175" s="3553">
        <v>1</v>
      </c>
      <c r="HQ175" s="3553"/>
      <c r="HR175" s="3553">
        <v>1</v>
      </c>
      <c r="HS175" s="3553"/>
      <c r="HT175" s="3553"/>
      <c r="HU175" s="3553"/>
      <c r="HV175" s="3553"/>
      <c r="HW175" s="3553"/>
      <c r="HX175" s="3553"/>
      <c r="HY175" s="3553"/>
      <c r="HZ175" s="3553"/>
      <c r="IA175" s="3553"/>
      <c r="IB175" s="3553"/>
      <c r="IC175" s="3553"/>
      <c r="ID175" s="3553"/>
      <c r="IE175" s="3553"/>
      <c r="IF175" s="3553">
        <v>1</v>
      </c>
      <c r="IG175" s="3553"/>
      <c r="IH175" s="3553"/>
      <c r="II175" s="3553"/>
      <c r="IJ175" s="3553"/>
      <c r="IK175" s="3553"/>
      <c r="IL175" s="3553"/>
      <c r="IM175" s="3553"/>
      <c r="IN175" s="3553"/>
      <c r="IO175" s="3553"/>
      <c r="IP175" s="3553"/>
      <c r="IQ175" s="3553"/>
      <c r="IR175" s="3553"/>
      <c r="IS175" s="3553"/>
      <c r="IT175" s="3553"/>
      <c r="IU175" s="3553"/>
      <c r="IV175" s="3553"/>
      <c r="IW175" s="3553"/>
      <c r="IX175" s="3553"/>
      <c r="IY175" s="3553"/>
      <c r="IZ175" s="3553"/>
      <c r="JA175" s="3553"/>
      <c r="JB175" s="3553"/>
      <c r="JC175" s="3553"/>
      <c r="JD175" s="4228"/>
      <c r="JE175" s="4228"/>
      <c r="JF175" s="4228"/>
      <c r="JG175" s="4083"/>
    </row>
    <row r="176" spans="1:267" x14ac:dyDescent="0.2">
      <c r="A176" s="3612">
        <v>33</v>
      </c>
      <c r="B176" s="3616" t="str">
        <f si="8" t="shared"/>
        <v/>
      </c>
      <c r="C176" s="34"/>
      <c r="D176" s="3617" t="s">
        <v>8274</v>
      </c>
      <c r="E176" s="3605"/>
      <c r="F176" s="3592"/>
      <c r="G176" s="3618"/>
      <c r="H176" s="3618"/>
      <c r="I176" s="3606"/>
      <c r="J176" s="3554"/>
      <c r="K176" s="3554"/>
      <c r="L176" s="3554"/>
      <c r="M176" s="3554"/>
      <c r="N176" s="3554"/>
      <c r="O176" s="3554"/>
      <c r="P176" s="3554"/>
      <c r="Q176" s="3554"/>
      <c r="R176" s="3554"/>
      <c r="S176" s="3554"/>
      <c r="T176" s="3554"/>
      <c r="U176" s="3554"/>
      <c r="V176" s="3554"/>
      <c r="W176" s="3554"/>
      <c r="X176" s="3554"/>
      <c r="Y176" s="3554"/>
      <c r="Z176" s="3554"/>
      <c r="AA176" s="3554"/>
      <c r="AB176" s="3554"/>
      <c r="AC176" s="3554"/>
      <c r="AD176" s="3554"/>
      <c r="AE176" s="3554"/>
      <c r="AF176" s="3554"/>
      <c r="AG176" s="3554"/>
      <c r="AH176" s="3554"/>
      <c r="AI176" s="3554"/>
      <c r="AJ176" s="3554"/>
      <c r="AK176" s="3554"/>
      <c r="AL176" s="3554"/>
      <c r="AM176" s="3554"/>
      <c r="AN176" s="3554"/>
      <c r="AO176" s="3554"/>
      <c r="AP176" s="3592">
        <v>0</v>
      </c>
      <c r="AQ176" s="3592">
        <v>0</v>
      </c>
      <c r="AR176" s="3554"/>
      <c r="AS176" s="3554"/>
      <c r="AT176" s="3554"/>
      <c r="AU176" s="3554"/>
      <c r="AV176" s="3554"/>
      <c r="AW176" s="3554"/>
      <c r="AX176" s="3554"/>
      <c r="AY176" s="3554"/>
      <c r="AZ176" s="3554"/>
      <c r="BA176" s="3554"/>
      <c r="BB176" s="3592">
        <v>0</v>
      </c>
      <c r="BC176" s="3605">
        <v>0</v>
      </c>
      <c r="BD176" s="3605">
        <v>0</v>
      </c>
      <c r="BE176" s="3554"/>
      <c r="BF176" s="3554"/>
      <c r="BG176" s="3554"/>
      <c r="BH176" s="3554"/>
      <c r="BI176" s="3554"/>
      <c r="BJ176" s="3605">
        <v>0</v>
      </c>
      <c r="BK176" s="3554"/>
      <c r="BL176" s="3554"/>
      <c r="BM176" s="3554"/>
      <c r="BN176" s="3554"/>
      <c r="BO176" s="3554"/>
      <c r="BP176" s="3554"/>
      <c r="BQ176" s="3554"/>
      <c r="BR176" s="3554"/>
      <c r="BS176" s="3554"/>
      <c r="BT176" s="3554"/>
      <c r="BU176" s="3554"/>
      <c r="BV176" s="3554"/>
      <c r="BW176" s="3554"/>
      <c r="BX176" s="3554"/>
      <c r="BY176" s="3554"/>
      <c r="BZ176" s="3554"/>
      <c r="CA176" s="3554"/>
      <c r="CB176" s="3554"/>
      <c r="CC176" s="3554"/>
      <c r="CD176" s="3554"/>
      <c r="CE176" s="3554"/>
      <c r="CF176" s="3554"/>
      <c r="CG176" s="3554"/>
      <c r="CH176" s="3554"/>
      <c r="CI176" s="3554"/>
      <c r="CJ176" s="3554"/>
      <c r="CK176" s="3554"/>
      <c r="CL176" s="3554"/>
      <c r="CM176" s="3554"/>
      <c r="CN176" s="3554"/>
      <c r="CO176" s="3554"/>
      <c r="CP176" s="3554"/>
      <c r="CQ176" s="3554"/>
      <c r="CR176" s="3554"/>
      <c r="CS176" s="3554"/>
      <c r="CT176" s="3592">
        <v>0</v>
      </c>
      <c r="CU176" s="3554"/>
      <c r="CV176" s="3554"/>
      <c r="CW176" s="3554"/>
      <c r="CX176" s="3554"/>
      <c r="CY176" s="3554"/>
      <c r="CZ176" s="3554"/>
      <c r="DA176" s="3554"/>
      <c r="DB176" s="3554"/>
      <c r="DC176" s="3554"/>
      <c r="DD176" s="3554"/>
      <c r="DE176" s="3554"/>
      <c r="DF176" s="3554"/>
      <c r="DG176" s="3554"/>
      <c r="DH176" s="3554"/>
      <c r="DI176" s="3592">
        <v>0</v>
      </c>
      <c r="DJ176" s="3554"/>
      <c r="DK176" s="3554"/>
      <c r="DL176" s="3554"/>
      <c r="DM176" s="3554"/>
      <c r="DN176" s="3554"/>
      <c r="DO176" s="3554"/>
      <c r="DP176" s="3554"/>
      <c r="DQ176" s="3554"/>
      <c r="DR176" s="3554"/>
      <c r="DS176" s="3554"/>
      <c r="DT176" s="3554"/>
      <c r="DU176" s="3554"/>
      <c r="DV176" s="3554"/>
      <c r="DW176" s="3554"/>
      <c r="DX176" s="3554"/>
      <c r="DY176" s="3554"/>
      <c r="DZ176" s="3554"/>
      <c r="EA176" s="3554"/>
      <c r="EB176" s="3554"/>
      <c r="EC176" s="3554"/>
      <c r="ED176" s="3554"/>
      <c r="EE176" s="3554"/>
      <c r="EF176" s="3554"/>
      <c r="EG176" s="3554"/>
      <c r="EH176" s="3554"/>
      <c r="EI176" s="3554"/>
      <c r="EJ176" s="3554"/>
      <c r="EK176" s="3554"/>
      <c r="EL176" s="3554"/>
      <c r="EM176" s="3554"/>
      <c r="EN176" s="3554"/>
      <c r="EO176" s="3554"/>
      <c r="EP176" s="3554"/>
      <c r="EQ176" s="3554"/>
      <c r="ER176" s="3554"/>
      <c r="ES176" s="3554"/>
      <c r="ET176" s="3554"/>
      <c r="EU176" s="3554"/>
      <c r="EV176" s="3554"/>
      <c r="EW176" s="3554"/>
      <c r="EX176" s="3606">
        <v>0</v>
      </c>
      <c r="EY176" s="3554"/>
      <c r="EZ176" s="3554"/>
      <c r="FA176" s="3554"/>
      <c r="FB176" s="3554"/>
      <c r="FC176" s="3554"/>
      <c r="FD176" s="3554"/>
      <c r="FE176" s="3554"/>
      <c r="FF176" s="3554"/>
      <c r="FG176" s="3554"/>
      <c r="FH176" s="3554"/>
      <c r="FI176" s="3554"/>
      <c r="FJ176" s="3554"/>
      <c r="FK176" s="3554"/>
      <c r="FL176" s="3554"/>
      <c r="FM176" s="3554"/>
      <c r="FN176" s="3554"/>
      <c r="FO176" s="3554"/>
      <c r="FP176" s="3554"/>
      <c r="FQ176" s="3554"/>
      <c r="FR176" s="3554"/>
      <c r="FS176" s="3554"/>
      <c r="FT176" s="3554"/>
      <c r="FU176" s="3554"/>
      <c r="FV176" s="3554"/>
      <c r="FW176" s="3554"/>
      <c r="FX176" s="3554"/>
      <c r="FY176" s="3554"/>
      <c r="FZ176" s="3554"/>
      <c r="GA176" s="3554"/>
      <c r="GB176" s="3554"/>
      <c r="GC176" s="3554"/>
      <c r="GD176" s="3554"/>
      <c r="GE176" s="3554"/>
      <c r="GF176" s="3605">
        <v>0</v>
      </c>
      <c r="GG176" s="3554"/>
      <c r="GH176" s="3554"/>
      <c r="GI176" s="3554"/>
      <c r="GJ176" s="3554"/>
      <c r="GK176" s="3554"/>
      <c r="GL176" s="3554"/>
      <c r="GM176" s="3554"/>
      <c r="GN176" s="3554"/>
      <c r="GO176" s="3554"/>
      <c r="GP176" s="3554"/>
      <c r="GQ176" s="3554"/>
      <c r="GR176" s="3554"/>
      <c r="GS176" s="3554"/>
      <c r="GT176" s="3554"/>
      <c r="GU176" s="3554"/>
      <c r="GV176" s="3554"/>
      <c r="GW176" s="3554"/>
      <c r="GX176" s="3554"/>
      <c r="GY176" s="3554"/>
      <c r="GZ176" s="3554"/>
      <c r="HA176" s="3554"/>
      <c r="HB176" s="3554"/>
      <c r="HC176" s="3554"/>
      <c r="HD176" s="3554"/>
      <c r="HE176" s="3554"/>
      <c r="HF176" s="3554"/>
      <c r="HG176" s="3554"/>
      <c r="HH176" s="3554">
        <v>1697</v>
      </c>
      <c r="HI176" s="3554"/>
      <c r="HJ176" s="3554">
        <v>0</v>
      </c>
      <c r="HK176" s="3554">
        <v>0</v>
      </c>
      <c r="HL176" s="3554">
        <v>0</v>
      </c>
      <c r="HM176" s="3554">
        <v>0</v>
      </c>
      <c r="HN176" s="3554"/>
      <c r="HO176" s="3554"/>
      <c r="HP176" s="3606">
        <v>0</v>
      </c>
      <c r="HQ176" s="3554"/>
      <c r="HR176" s="3606">
        <v>0</v>
      </c>
      <c r="HS176" s="3554"/>
      <c r="HT176" s="3554"/>
      <c r="HU176" s="3554"/>
      <c r="HV176" s="3554"/>
      <c r="HW176" s="3554"/>
      <c r="HX176" s="3554"/>
      <c r="HY176" s="3554"/>
      <c r="HZ176" s="3554"/>
      <c r="IA176" s="3554"/>
      <c r="IB176" s="3554"/>
      <c r="IC176" s="3554"/>
      <c r="ID176" s="3554"/>
      <c r="IE176" s="3554"/>
      <c r="IF176" s="3554">
        <v>0</v>
      </c>
      <c r="IG176" s="3554"/>
      <c r="IH176" s="3554"/>
      <c r="II176" s="3554"/>
      <c r="IJ176" s="3554"/>
      <c r="IK176" s="3554"/>
      <c r="IL176" s="3554"/>
      <c r="IM176" s="3554"/>
      <c r="IN176" s="3554"/>
      <c r="IO176" s="3554"/>
      <c r="IP176" s="3554"/>
      <c r="IQ176" s="3554"/>
      <c r="IR176" s="3554"/>
      <c r="IS176" s="3554"/>
      <c r="IT176" s="3554"/>
      <c r="IU176" s="3554"/>
      <c r="IV176" s="3554"/>
      <c r="IW176" s="3554"/>
      <c r="IX176" s="3554"/>
      <c r="IY176" s="3554"/>
      <c r="IZ176" s="3554"/>
      <c r="JA176" s="3554"/>
      <c r="JB176" s="3554"/>
      <c r="JC176" s="3554"/>
      <c r="JD176" s="4229"/>
      <c r="JE176" s="4229"/>
      <c r="JF176" s="4229"/>
      <c r="JG176" s="3585"/>
    </row>
    <row ht="13.5" r="177" spans="1:267" thickBot="1" x14ac:dyDescent="0.25">
      <c r="A177" s="3612">
        <v>34</v>
      </c>
      <c r="B177" s="3616" t="str">
        <f si="8" t="shared"/>
        <v/>
      </c>
      <c r="C177" s="34"/>
      <c r="D177" s="3617" t="s">
        <v>8275</v>
      </c>
      <c r="E177" s="3607"/>
      <c r="F177" s="3595"/>
      <c r="G177" s="3608"/>
      <c r="H177" s="3608"/>
      <c r="I177" s="3608"/>
      <c r="J177" s="3555"/>
      <c r="K177" s="3587"/>
      <c r="L177" s="3555"/>
      <c r="M177" s="3555"/>
      <c r="N177" s="3555"/>
      <c r="O177" s="3555"/>
      <c r="P177" s="3555"/>
      <c r="Q177" s="3555"/>
      <c r="R177" s="3555"/>
      <c r="S177" s="3555"/>
      <c r="T177" s="3555"/>
      <c r="U177" s="3555"/>
      <c r="V177" s="3555"/>
      <c r="W177" s="3555"/>
      <c r="X177" s="3555"/>
      <c r="Y177" s="3555"/>
      <c r="Z177" s="3555"/>
      <c r="AA177" s="3555"/>
      <c r="AB177" s="3555"/>
      <c r="AC177" s="3555"/>
      <c r="AD177" s="3555"/>
      <c r="AE177" s="3555"/>
      <c r="AF177" s="3555"/>
      <c r="AG177" s="3555"/>
      <c r="AH177" s="3555"/>
      <c r="AI177" s="3555"/>
      <c r="AJ177" s="3555"/>
      <c r="AK177" s="3555"/>
      <c r="AL177" s="3555"/>
      <c r="AM177" s="3555"/>
      <c r="AN177" s="3555"/>
      <c r="AO177" s="3555"/>
      <c r="AP177" s="3595">
        <v>0</v>
      </c>
      <c r="AQ177" s="3595">
        <v>0</v>
      </c>
      <c r="AR177" s="3555"/>
      <c r="AS177" s="3555"/>
      <c r="AT177" s="3555"/>
      <c r="AU177" s="3555"/>
      <c r="AV177" s="3555"/>
      <c r="AW177" s="3555"/>
      <c r="AX177" s="3555"/>
      <c r="AY177" s="3555"/>
      <c r="AZ177" s="3555"/>
      <c r="BA177" s="3555"/>
      <c r="BB177" s="3595">
        <v>0</v>
      </c>
      <c r="BC177" s="3607">
        <v>0</v>
      </c>
      <c r="BD177" s="3607">
        <v>0</v>
      </c>
      <c r="BE177" s="3555"/>
      <c r="BF177" s="3555"/>
      <c r="BG177" s="3555"/>
      <c r="BH177" s="3555"/>
      <c r="BI177" s="3555"/>
      <c r="BJ177" s="3607">
        <v>0</v>
      </c>
      <c r="BK177" s="3555"/>
      <c r="BL177" s="3555"/>
      <c r="BM177" s="3555"/>
      <c r="BN177" s="3555"/>
      <c r="BO177" s="3555"/>
      <c r="BP177" s="3555"/>
      <c r="BQ177" s="3555"/>
      <c r="BR177" s="3555"/>
      <c r="BS177" s="3555"/>
      <c r="BT177" s="3555"/>
      <c r="BU177" s="3555"/>
      <c r="BV177" s="3555"/>
      <c r="BW177" s="3555"/>
      <c r="BX177" s="3555"/>
      <c r="BY177" s="3555"/>
      <c r="BZ177" s="3555"/>
      <c r="CA177" s="3555"/>
      <c r="CB177" s="3555"/>
      <c r="CC177" s="3555"/>
      <c r="CD177" s="3555"/>
      <c r="CE177" s="3555"/>
      <c r="CF177" s="3555"/>
      <c r="CG177" s="3555"/>
      <c r="CH177" s="3555"/>
      <c r="CI177" s="3555"/>
      <c r="CJ177" s="3555"/>
      <c r="CK177" s="3555"/>
      <c r="CL177" s="3555"/>
      <c r="CM177" s="3555"/>
      <c r="CN177" s="3555"/>
      <c r="CO177" s="3555"/>
      <c r="CP177" s="3555"/>
      <c r="CQ177" s="3555"/>
      <c r="CR177" s="3555"/>
      <c r="CS177" s="3555"/>
      <c r="CT177" s="3595">
        <v>0</v>
      </c>
      <c r="CU177" s="3555"/>
      <c r="CV177" s="3555"/>
      <c r="CW177" s="3555"/>
      <c r="CX177" s="3555"/>
      <c r="CY177" s="3555"/>
      <c r="CZ177" s="3555"/>
      <c r="DA177" s="3555"/>
      <c r="DB177" s="3555"/>
      <c r="DC177" s="3555"/>
      <c r="DD177" s="3555"/>
      <c r="DE177" s="3555"/>
      <c r="DF177" s="3555"/>
      <c r="DG177" s="3555"/>
      <c r="DH177" s="3555"/>
      <c r="DI177" s="3595">
        <v>0</v>
      </c>
      <c r="DJ177" s="3555"/>
      <c r="DK177" s="3555"/>
      <c r="DL177" s="3555"/>
      <c r="DM177" s="3555"/>
      <c r="DN177" s="3555"/>
      <c r="DO177" s="3555"/>
      <c r="DP177" s="3555"/>
      <c r="DQ177" s="3555"/>
      <c r="DR177" s="3555"/>
      <c r="DS177" s="3555"/>
      <c r="DT177" s="3555"/>
      <c r="DU177" s="3555"/>
      <c r="DV177" s="3555"/>
      <c r="DW177" s="3555"/>
      <c r="DX177" s="3555"/>
      <c r="DY177" s="3555"/>
      <c r="DZ177" s="3555"/>
      <c r="EA177" s="3555"/>
      <c r="EB177" s="3555"/>
      <c r="EC177" s="3555"/>
      <c r="ED177" s="3555"/>
      <c r="EE177" s="3555"/>
      <c r="EF177" s="3555"/>
      <c r="EG177" s="3555"/>
      <c r="EH177" s="3555"/>
      <c r="EI177" s="3555"/>
      <c r="EJ177" s="3555"/>
      <c r="EK177" s="3555"/>
      <c r="EL177" s="3555"/>
      <c r="EM177" s="3555"/>
      <c r="EN177" s="3555"/>
      <c r="EO177" s="3555"/>
      <c r="EP177" s="3555"/>
      <c r="EQ177" s="3555"/>
      <c r="ER177" s="3555"/>
      <c r="ES177" s="3555"/>
      <c r="ET177" s="3555"/>
      <c r="EU177" s="3555"/>
      <c r="EV177" s="3555"/>
      <c r="EW177" s="3555"/>
      <c r="EX177" s="3608">
        <v>0</v>
      </c>
      <c r="EY177" s="3555"/>
      <c r="EZ177" s="3555"/>
      <c r="FA177" s="3555"/>
      <c r="FB177" s="3555"/>
      <c r="FC177" s="3555"/>
      <c r="FD177" s="3555"/>
      <c r="FE177" s="3555"/>
      <c r="FF177" s="3555"/>
      <c r="FG177" s="3555"/>
      <c r="FH177" s="3555"/>
      <c r="FI177" s="3555"/>
      <c r="FJ177" s="3555"/>
      <c r="FK177" s="3555"/>
      <c r="FL177" s="3555"/>
      <c r="FM177" s="3555"/>
      <c r="FN177" s="3555"/>
      <c r="FO177" s="3555"/>
      <c r="FP177" s="3555"/>
      <c r="FQ177" s="3555"/>
      <c r="FR177" s="3555"/>
      <c r="FS177" s="3555"/>
      <c r="FT177" s="3555"/>
      <c r="FU177" s="3555"/>
      <c r="FV177" s="3555"/>
      <c r="FW177" s="3555"/>
      <c r="FX177" s="3555"/>
      <c r="FY177" s="3555"/>
      <c r="FZ177" s="3555"/>
      <c r="GA177" s="3555"/>
      <c r="GB177" s="3555"/>
      <c r="GC177" s="3555"/>
      <c r="GD177" s="3555"/>
      <c r="GE177" s="3555"/>
      <c r="GF177" s="3607">
        <v>0</v>
      </c>
      <c r="GG177" s="3555"/>
      <c r="GH177" s="3555"/>
      <c r="GI177" s="3555"/>
      <c r="GJ177" s="3555"/>
      <c r="GK177" s="3555"/>
      <c r="GL177" s="3555"/>
      <c r="GM177" s="3555"/>
      <c r="GN177" s="3555"/>
      <c r="GO177" s="3555"/>
      <c r="GP177" s="3555"/>
      <c r="GQ177" s="3555"/>
      <c r="GR177" s="3555"/>
      <c r="GS177" s="3555"/>
      <c r="GT177" s="3555"/>
      <c r="GU177" s="3555"/>
      <c r="GV177" s="3555"/>
      <c r="GW177" s="3555"/>
      <c r="GX177" s="3555"/>
      <c r="GY177" s="3555"/>
      <c r="GZ177" s="3555"/>
      <c r="HA177" s="3555"/>
      <c r="HB177" s="3555"/>
      <c r="HC177" s="3555"/>
      <c r="HD177" s="3555"/>
      <c r="HE177" s="3555"/>
      <c r="HF177" s="3555"/>
      <c r="HG177" s="3555"/>
      <c r="HH177" s="3587">
        <v>170</v>
      </c>
      <c r="HI177" s="3555"/>
      <c r="HJ177" s="3555">
        <v>0</v>
      </c>
      <c r="HK177" s="3555">
        <v>0</v>
      </c>
      <c r="HL177" s="3555">
        <v>0</v>
      </c>
      <c r="HM177" s="3555">
        <v>0</v>
      </c>
      <c r="HN177" s="3555"/>
      <c r="HO177" s="3555"/>
      <c r="HP177" s="3608">
        <v>0</v>
      </c>
      <c r="HQ177" s="3555"/>
      <c r="HR177" s="3608">
        <v>0</v>
      </c>
      <c r="HS177" s="3555"/>
      <c r="HT177" s="3555"/>
      <c r="HU177" s="3555"/>
      <c r="HV177" s="3555"/>
      <c r="HW177" s="3555"/>
      <c r="HX177" s="3555"/>
      <c r="HY177" s="3555"/>
      <c r="HZ177" s="3555"/>
      <c r="IA177" s="3555"/>
      <c r="IB177" s="3555"/>
      <c r="IC177" s="3555"/>
      <c r="ID177" s="3555"/>
      <c r="IE177" s="3555"/>
      <c r="IF177" s="3555">
        <v>0</v>
      </c>
      <c r="IG177" s="3555"/>
      <c r="IH177" s="3555"/>
      <c r="II177" s="3555"/>
      <c r="IJ177" s="3555"/>
      <c r="IK177" s="3555"/>
      <c r="IL177" s="3555"/>
      <c r="IM177" s="3555"/>
      <c r="IN177" s="3555"/>
      <c r="IO177" s="3555"/>
      <c r="IP177" s="3555"/>
      <c r="IQ177" s="3555"/>
      <c r="IR177" s="3555"/>
      <c r="IS177" s="3555"/>
      <c r="IT177" s="3555"/>
      <c r="IU177" s="3555"/>
      <c r="IV177" s="3555"/>
      <c r="IW177" s="3555"/>
      <c r="IX177" s="3555"/>
      <c r="IY177" s="3555"/>
      <c r="IZ177" s="3555"/>
      <c r="JA177" s="3555"/>
      <c r="JB177" s="3555"/>
      <c r="JC177" s="3555"/>
      <c r="JD177" s="4230"/>
      <c r="JE177" s="4230"/>
      <c r="JF177" s="4230"/>
      <c r="JG177" s="4084"/>
    </row>
    <row r="178" spans="1:267" x14ac:dyDescent="0.2">
      <c r="A178" s="3612">
        <v>35</v>
      </c>
      <c r="B178" s="3616" t="str">
        <f si="8" t="shared"/>
        <v/>
      </c>
      <c r="C178" s="34"/>
      <c r="D178" s="3617" t="s">
        <v>8276</v>
      </c>
      <c r="E178" s="3589"/>
      <c r="F178" s="3578"/>
      <c r="G178" s="3552"/>
      <c r="H178" s="3552"/>
      <c r="I178" s="3552"/>
      <c r="J178" s="3552"/>
      <c r="K178" s="3552"/>
      <c r="L178" s="3552"/>
      <c r="M178" s="3552"/>
      <c r="N178" s="3552"/>
      <c r="O178" s="3552"/>
      <c r="P178" s="3552"/>
      <c r="Q178" s="3552"/>
      <c r="R178" s="3552"/>
      <c r="S178" s="3552"/>
      <c r="T178" s="3552"/>
      <c r="U178" s="3552"/>
      <c r="V178" s="3552"/>
      <c r="W178" s="3552"/>
      <c r="X178" s="3552"/>
      <c r="Y178" s="3552"/>
      <c r="Z178" s="3552"/>
      <c r="AA178" s="3552"/>
      <c r="AB178" s="3552"/>
      <c r="AC178" s="3552"/>
      <c r="AD178" s="3552"/>
      <c r="AE178" s="3552"/>
      <c r="AF178" s="3552"/>
      <c r="AG178" s="3552"/>
      <c r="AH178" s="3552"/>
      <c r="AI178" s="3552"/>
      <c r="AJ178" s="3552"/>
      <c r="AK178" s="3552"/>
      <c r="AL178" s="3552"/>
      <c r="AM178" s="3552"/>
      <c r="AN178" s="3552"/>
      <c r="AO178" s="3552"/>
      <c r="AP178" s="3578">
        <v>1</v>
      </c>
      <c r="AQ178" s="3578">
        <v>1</v>
      </c>
      <c r="AR178" s="3552"/>
      <c r="AS178" s="3552"/>
      <c r="AT178" s="3552"/>
      <c r="AU178" s="3552"/>
      <c r="AV178" s="3552"/>
      <c r="AW178" s="3552"/>
      <c r="AX178" s="3552"/>
      <c r="AY178" s="3552"/>
      <c r="AZ178" s="3552"/>
      <c r="BA178" s="3552"/>
      <c r="BB178" s="3578">
        <v>1</v>
      </c>
      <c r="BC178" s="3589">
        <v>1</v>
      </c>
      <c r="BD178" s="3589">
        <v>1</v>
      </c>
      <c r="BE178" s="3552"/>
      <c r="BF178" s="3552"/>
      <c r="BG178" s="3552"/>
      <c r="BH178" s="3552"/>
      <c r="BI178" s="3552"/>
      <c r="BJ178" s="3589">
        <v>1</v>
      </c>
      <c r="BK178" s="3552"/>
      <c r="BL178" s="3552"/>
      <c r="BM178" s="3552"/>
      <c r="BN178" s="3552"/>
      <c r="BO178" s="3552"/>
      <c r="BP178" s="3552"/>
      <c r="BQ178" s="3552"/>
      <c r="BR178" s="3552"/>
      <c r="BS178" s="3552"/>
      <c r="BT178" s="3552"/>
      <c r="BU178" s="3552"/>
      <c r="BV178" s="3552"/>
      <c r="BW178" s="3552"/>
      <c r="BX178" s="3552"/>
      <c r="BY178" s="3552"/>
      <c r="BZ178" s="3552"/>
      <c r="CA178" s="3552"/>
      <c r="CB178" s="3552"/>
      <c r="CC178" s="3552"/>
      <c r="CD178" s="3552"/>
      <c r="CE178" s="3552"/>
      <c r="CF178" s="3552"/>
      <c r="CG178" s="3552"/>
      <c r="CH178" s="3552"/>
      <c r="CI178" s="3552"/>
      <c r="CJ178" s="3552"/>
      <c r="CK178" s="3552"/>
      <c r="CL178" s="3552"/>
      <c r="CM178" s="3552"/>
      <c r="CN178" s="3552"/>
      <c r="CO178" s="3552"/>
      <c r="CP178" s="3552"/>
      <c r="CQ178" s="3552"/>
      <c r="CR178" s="3552"/>
      <c r="CS178" s="3552"/>
      <c r="CT178" s="3578">
        <v>1</v>
      </c>
      <c r="CU178" s="3552"/>
      <c r="CV178" s="3552"/>
      <c r="CW178" s="3552"/>
      <c r="CX178" s="3552"/>
      <c r="CY178" s="3552"/>
      <c r="CZ178" s="3552"/>
      <c r="DA178" s="3552"/>
      <c r="DB178" s="3552"/>
      <c r="DC178" s="3552"/>
      <c r="DD178" s="3552"/>
      <c r="DE178" s="3552"/>
      <c r="DF178" s="3552"/>
      <c r="DG178" s="3552"/>
      <c r="DH178" s="3552"/>
      <c r="DI178" s="3578">
        <v>1</v>
      </c>
      <c r="DJ178" s="3552"/>
      <c r="DK178" s="3552"/>
      <c r="DL178" s="3552"/>
      <c r="DM178" s="3552"/>
      <c r="DN178" s="3552"/>
      <c r="DO178" s="3552"/>
      <c r="DP178" s="3552"/>
      <c r="DQ178" s="3552"/>
      <c r="DR178" s="3552"/>
      <c r="DS178" s="3552"/>
      <c r="DT178" s="3552"/>
      <c r="DU178" s="3552"/>
      <c r="DV178" s="3552"/>
      <c r="DW178" s="3552"/>
      <c r="DX178" s="3552"/>
      <c r="DY178" s="3552"/>
      <c r="DZ178" s="3552"/>
      <c r="EA178" s="3552"/>
      <c r="EB178" s="3552"/>
      <c r="EC178" s="3552"/>
      <c r="ED178" s="3552"/>
      <c r="EE178" s="3552"/>
      <c r="EF178" s="3552"/>
      <c r="EG178" s="3552"/>
      <c r="EH178" s="3552"/>
      <c r="EI178" s="3552"/>
      <c r="EJ178" s="3552"/>
      <c r="EK178" s="3552"/>
      <c r="EL178" s="3552"/>
      <c r="EM178" s="3552"/>
      <c r="EN178" s="3552"/>
      <c r="EO178" s="3552"/>
      <c r="EP178" s="3552"/>
      <c r="EQ178" s="3552"/>
      <c r="ER178" s="3552"/>
      <c r="ES178" s="3552"/>
      <c r="ET178" s="3552"/>
      <c r="EU178" s="3552"/>
      <c r="EV178" s="3552"/>
      <c r="EW178" s="3552"/>
      <c r="EX178" s="3552">
        <v>1</v>
      </c>
      <c r="EY178" s="3552"/>
      <c r="EZ178" s="3552"/>
      <c r="FA178" s="3552"/>
      <c r="FB178" s="3552"/>
      <c r="FC178" s="3552"/>
      <c r="FD178" s="3552"/>
      <c r="FE178" s="3552"/>
      <c r="FF178" s="3552"/>
      <c r="FG178" s="3552"/>
      <c r="FH178" s="3552"/>
      <c r="FI178" s="3552"/>
      <c r="FJ178" s="3552"/>
      <c r="FK178" s="3552"/>
      <c r="FL178" s="3552"/>
      <c r="FM178" s="3552"/>
      <c r="FN178" s="3552"/>
      <c r="FO178" s="3552"/>
      <c r="FP178" s="3552"/>
      <c r="FQ178" s="3552"/>
      <c r="FR178" s="3552"/>
      <c r="FS178" s="3552"/>
      <c r="FT178" s="3552"/>
      <c r="FU178" s="3552"/>
      <c r="FV178" s="3552"/>
      <c r="FW178" s="3552"/>
      <c r="FX178" s="3552"/>
      <c r="FY178" s="3552"/>
      <c r="FZ178" s="3552"/>
      <c r="GA178" s="3552"/>
      <c r="GB178" s="3552"/>
      <c r="GC178" s="3552"/>
      <c r="GD178" s="3552"/>
      <c r="GE178" s="3552"/>
      <c r="GF178" s="3589">
        <v>1</v>
      </c>
      <c r="GG178" s="3552"/>
      <c r="GH178" s="3552"/>
      <c r="GI178" s="3552"/>
      <c r="GJ178" s="3552"/>
      <c r="GK178" s="3552"/>
      <c r="GL178" s="3552"/>
      <c r="GM178" s="3552"/>
      <c r="GN178" s="3552"/>
      <c r="GO178" s="3552"/>
      <c r="GP178" s="3552"/>
      <c r="GQ178" s="3552"/>
      <c r="GR178" s="3552"/>
      <c r="GS178" s="3552"/>
      <c r="GT178" s="3552"/>
      <c r="GU178" s="3552"/>
      <c r="GV178" s="3552"/>
      <c r="GW178" s="3552"/>
      <c r="GX178" s="3552"/>
      <c r="GY178" s="3552"/>
      <c r="GZ178" s="3552"/>
      <c r="HA178" s="3552"/>
      <c r="HB178" s="3552"/>
      <c r="HC178" s="3552"/>
      <c r="HD178" s="3552"/>
      <c r="HE178" s="3552"/>
      <c r="HF178" s="3552"/>
      <c r="HG178" s="3552"/>
      <c r="HH178" s="3552">
        <v>4</v>
      </c>
      <c r="HI178" s="3552"/>
      <c r="HJ178" s="3552">
        <v>1</v>
      </c>
      <c r="HK178" s="3552">
        <v>1</v>
      </c>
      <c r="HL178" s="3552">
        <v>1</v>
      </c>
      <c r="HM178" s="3552">
        <v>1</v>
      </c>
      <c r="HN178" s="3552"/>
      <c r="HO178" s="3552"/>
      <c r="HP178" s="3552">
        <v>1</v>
      </c>
      <c r="HQ178" s="3552"/>
      <c r="HR178" s="3552">
        <v>1</v>
      </c>
      <c r="HS178" s="3552"/>
      <c r="HT178" s="3552"/>
      <c r="HU178" s="3552"/>
      <c r="HV178" s="3552"/>
      <c r="HW178" s="3552"/>
      <c r="HX178" s="3552"/>
      <c r="HY178" s="3552"/>
      <c r="HZ178" s="3552"/>
      <c r="IA178" s="3552"/>
      <c r="IB178" s="3552"/>
      <c r="IC178" s="3552"/>
      <c r="ID178" s="3552"/>
      <c r="IE178" s="3552"/>
      <c r="IF178" s="3552">
        <v>1</v>
      </c>
      <c r="IG178" s="3552"/>
      <c r="IH178" s="3552"/>
      <c r="II178" s="3552"/>
      <c r="IJ178" s="3552"/>
      <c r="IK178" s="3552"/>
      <c r="IL178" s="3552"/>
      <c r="IM178" s="3552"/>
      <c r="IN178" s="3552"/>
      <c r="IO178" s="3552"/>
      <c r="IP178" s="3552"/>
      <c r="IQ178" s="3552"/>
      <c r="IR178" s="3552"/>
      <c r="IS178" s="3552"/>
      <c r="IT178" s="3552"/>
      <c r="IU178" s="3552"/>
      <c r="IV178" s="3552"/>
      <c r="IW178" s="3552"/>
      <c r="IX178" s="3552"/>
      <c r="IY178" s="3552"/>
      <c r="IZ178" s="3552"/>
      <c r="JA178" s="3552"/>
      <c r="JB178" s="3552"/>
      <c r="JC178" s="3552"/>
      <c r="JD178" s="4227"/>
      <c r="JE178" s="4227"/>
      <c r="JF178" s="4227"/>
      <c r="JG178" s="3579"/>
    </row>
    <row r="179" spans="1:267" x14ac:dyDescent="0.2">
      <c r="A179" s="3612">
        <v>36</v>
      </c>
      <c r="B179" s="3616" t="str">
        <f si="8" t="shared"/>
        <v/>
      </c>
      <c r="C179" s="34"/>
      <c r="D179" s="3617" t="s">
        <v>8277</v>
      </c>
      <c r="E179" s="3580"/>
      <c r="F179" s="3553"/>
      <c r="G179" s="3553"/>
      <c r="H179" s="3553"/>
      <c r="I179" s="3553"/>
      <c r="J179" s="3553"/>
      <c r="K179" s="2295"/>
      <c r="L179" s="3553"/>
      <c r="M179" s="3553"/>
      <c r="N179" s="3553"/>
      <c r="O179" s="3553"/>
      <c r="P179" s="3553"/>
      <c r="Q179" s="3553"/>
      <c r="R179" s="3553"/>
      <c r="S179" s="3553"/>
      <c r="T179" s="3553"/>
      <c r="U179" s="3553"/>
      <c r="V179" s="3553"/>
      <c r="W179" s="3553"/>
      <c r="X179" s="3553"/>
      <c r="Y179" s="3553"/>
      <c r="Z179" s="3553"/>
      <c r="AA179" s="3553"/>
      <c r="AB179" s="3553"/>
      <c r="AC179" s="3553"/>
      <c r="AD179" s="3553"/>
      <c r="AE179" s="3553"/>
      <c r="AF179" s="3553"/>
      <c r="AG179" s="3553"/>
      <c r="AH179" s="3553"/>
      <c r="AI179" s="3553"/>
      <c r="AJ179" s="3553"/>
      <c r="AK179" s="3553"/>
      <c r="AL179" s="3553"/>
      <c r="AM179" s="3553"/>
      <c r="AN179" s="3553"/>
      <c r="AO179" s="3553"/>
      <c r="AP179" s="3553">
        <v>1</v>
      </c>
      <c r="AQ179" s="3553">
        <v>1</v>
      </c>
      <c r="AR179" s="3553"/>
      <c r="AS179" s="3553"/>
      <c r="AT179" s="3553"/>
      <c r="AU179" s="3553"/>
      <c r="AV179" s="3553"/>
      <c r="AW179" s="3553"/>
      <c r="AX179" s="3553"/>
      <c r="AY179" s="3553"/>
      <c r="AZ179" s="3553"/>
      <c r="BA179" s="3553"/>
      <c r="BB179" s="3553">
        <v>1</v>
      </c>
      <c r="BC179" s="3580">
        <v>1</v>
      </c>
      <c r="BD179" s="3580">
        <v>1</v>
      </c>
      <c r="BE179" s="3553"/>
      <c r="BF179" s="3553"/>
      <c r="BG179" s="3553"/>
      <c r="BH179" s="3553"/>
      <c r="BI179" s="3553"/>
      <c r="BJ179" s="3580">
        <v>1</v>
      </c>
      <c r="BK179" s="3553"/>
      <c r="BL179" s="3553"/>
      <c r="BM179" s="3553"/>
      <c r="BN179" s="3553"/>
      <c r="BO179" s="3553"/>
      <c r="BP179" s="3553"/>
      <c r="BQ179" s="3553"/>
      <c r="BR179" s="3553"/>
      <c r="BS179" s="3553"/>
      <c r="BT179" s="3553"/>
      <c r="BU179" s="3553"/>
      <c r="BV179" s="3553"/>
      <c r="BW179" s="3553"/>
      <c r="BX179" s="3553"/>
      <c r="BY179" s="3553"/>
      <c r="BZ179" s="3553"/>
      <c r="CA179" s="3553"/>
      <c r="CB179" s="3553"/>
      <c r="CC179" s="3553"/>
      <c r="CD179" s="3553"/>
      <c r="CE179" s="3553"/>
      <c r="CF179" s="3553"/>
      <c r="CG179" s="3553"/>
      <c r="CH179" s="3553"/>
      <c r="CI179" s="3553"/>
      <c r="CJ179" s="3553"/>
      <c r="CK179" s="3553"/>
      <c r="CL179" s="3553"/>
      <c r="CM179" s="3553"/>
      <c r="CN179" s="3553"/>
      <c r="CO179" s="3553"/>
      <c r="CP179" s="3553"/>
      <c r="CQ179" s="3553"/>
      <c r="CR179" s="3553"/>
      <c r="CS179" s="3553"/>
      <c r="CT179" s="3553">
        <v>1</v>
      </c>
      <c r="CU179" s="3553"/>
      <c r="CV179" s="3553"/>
      <c r="CW179" s="3553"/>
      <c r="CX179" s="3553"/>
      <c r="CY179" s="3553"/>
      <c r="CZ179" s="3553"/>
      <c r="DA179" s="3553"/>
      <c r="DB179" s="3553"/>
      <c r="DC179" s="3553"/>
      <c r="DD179" s="3553"/>
      <c r="DE179" s="3553"/>
      <c r="DF179" s="3553"/>
      <c r="DG179" s="3553"/>
      <c r="DH179" s="3553"/>
      <c r="DI179" s="3553">
        <v>1</v>
      </c>
      <c r="DJ179" s="3553"/>
      <c r="DK179" s="3553"/>
      <c r="DL179" s="3553"/>
      <c r="DM179" s="3553"/>
      <c r="DN179" s="3553"/>
      <c r="DO179" s="3553"/>
      <c r="DP179" s="3553"/>
      <c r="DQ179" s="3553"/>
      <c r="DR179" s="3553"/>
      <c r="DS179" s="3553"/>
      <c r="DT179" s="3553"/>
      <c r="DU179" s="3553"/>
      <c r="DV179" s="3553"/>
      <c r="DW179" s="3553"/>
      <c r="DX179" s="3553"/>
      <c r="DY179" s="3553"/>
      <c r="DZ179" s="3553"/>
      <c r="EA179" s="3553"/>
      <c r="EB179" s="3553"/>
      <c r="EC179" s="3553"/>
      <c r="ED179" s="3553"/>
      <c r="EE179" s="3553"/>
      <c r="EF179" s="3553"/>
      <c r="EG179" s="3553"/>
      <c r="EH179" s="3553"/>
      <c r="EI179" s="3553"/>
      <c r="EJ179" s="3553"/>
      <c r="EK179" s="3553"/>
      <c r="EL179" s="3553"/>
      <c r="EM179" s="3553"/>
      <c r="EN179" s="3553"/>
      <c r="EO179" s="3553"/>
      <c r="EP179" s="3553"/>
      <c r="EQ179" s="3553"/>
      <c r="ER179" s="3553"/>
      <c r="ES179" s="3553"/>
      <c r="ET179" s="3553"/>
      <c r="EU179" s="3553"/>
      <c r="EV179" s="3553"/>
      <c r="EW179" s="3553"/>
      <c r="EX179" s="3553">
        <v>1</v>
      </c>
      <c r="EY179" s="3553"/>
      <c r="EZ179" s="3553"/>
      <c r="FA179" s="3553"/>
      <c r="FB179" s="3553"/>
      <c r="FC179" s="3553"/>
      <c r="FD179" s="3553"/>
      <c r="FE179" s="3553"/>
      <c r="FF179" s="3553"/>
      <c r="FG179" s="3553"/>
      <c r="FH179" s="3553"/>
      <c r="FI179" s="3553"/>
      <c r="FJ179" s="3553"/>
      <c r="FK179" s="3553"/>
      <c r="FL179" s="3553"/>
      <c r="FM179" s="3553"/>
      <c r="FN179" s="3553"/>
      <c r="FO179" s="3553"/>
      <c r="FP179" s="3553"/>
      <c r="FQ179" s="3553"/>
      <c r="FR179" s="3553"/>
      <c r="FS179" s="3553"/>
      <c r="FT179" s="3553"/>
      <c r="FU179" s="3553"/>
      <c r="FV179" s="3553"/>
      <c r="FW179" s="3553"/>
      <c r="FX179" s="3553"/>
      <c r="FY179" s="3553"/>
      <c r="FZ179" s="3553"/>
      <c r="GA179" s="3553"/>
      <c r="GB179" s="3553"/>
      <c r="GC179" s="3553"/>
      <c r="GD179" s="3553"/>
      <c r="GE179" s="3553"/>
      <c r="GF179" s="3580">
        <v>1</v>
      </c>
      <c r="GG179" s="3553"/>
      <c r="GH179" s="3553"/>
      <c r="GI179" s="3553"/>
      <c r="GJ179" s="3553"/>
      <c r="GK179" s="3553"/>
      <c r="GL179" s="3553"/>
      <c r="GM179" s="3553"/>
      <c r="GN179" s="3553"/>
      <c r="GO179" s="3553"/>
      <c r="GP179" s="3553"/>
      <c r="GQ179" s="3553"/>
      <c r="GR179" s="3553"/>
      <c r="GS179" s="3553"/>
      <c r="GT179" s="3553"/>
      <c r="GU179" s="3553"/>
      <c r="GV179" s="3553"/>
      <c r="GW179" s="3553"/>
      <c r="GX179" s="3553"/>
      <c r="GY179" s="3553"/>
      <c r="GZ179" s="3553"/>
      <c r="HA179" s="3553"/>
      <c r="HB179" s="3553"/>
      <c r="HC179" s="3553"/>
      <c r="HD179" s="3553"/>
      <c r="HE179" s="3553"/>
      <c r="HF179" s="3553"/>
      <c r="HG179" s="3553"/>
      <c r="HH179" s="2295">
        <v>6</v>
      </c>
      <c r="HI179" s="3553"/>
      <c r="HJ179" s="3553">
        <v>1</v>
      </c>
      <c r="HK179" s="3553">
        <v>1</v>
      </c>
      <c r="HL179" s="3553">
        <v>1</v>
      </c>
      <c r="HM179" s="3553">
        <v>1</v>
      </c>
      <c r="HN179" s="3553"/>
      <c r="HO179" s="3553"/>
      <c r="HP179" s="3553">
        <v>1</v>
      </c>
      <c r="HQ179" s="3553"/>
      <c r="HR179" s="3553">
        <v>1</v>
      </c>
      <c r="HS179" s="3553"/>
      <c r="HT179" s="3553"/>
      <c r="HU179" s="3553"/>
      <c r="HV179" s="3553"/>
      <c r="HW179" s="3553"/>
      <c r="HX179" s="3553"/>
      <c r="HY179" s="3553"/>
      <c r="HZ179" s="3553"/>
      <c r="IA179" s="3553"/>
      <c r="IB179" s="3553"/>
      <c r="IC179" s="3553"/>
      <c r="ID179" s="3553"/>
      <c r="IE179" s="3553"/>
      <c r="IF179" s="3553">
        <v>1</v>
      </c>
      <c r="IG179" s="3553"/>
      <c r="IH179" s="3553"/>
      <c r="II179" s="3553"/>
      <c r="IJ179" s="3553"/>
      <c r="IK179" s="3553"/>
      <c r="IL179" s="3553"/>
      <c r="IM179" s="3553"/>
      <c r="IN179" s="3553"/>
      <c r="IO179" s="3553"/>
      <c r="IP179" s="3553"/>
      <c r="IQ179" s="3553"/>
      <c r="IR179" s="3553"/>
      <c r="IS179" s="3553"/>
      <c r="IT179" s="3553"/>
      <c r="IU179" s="3553"/>
      <c r="IV179" s="3553"/>
      <c r="IW179" s="3553"/>
      <c r="IX179" s="3553"/>
      <c r="IY179" s="3553"/>
      <c r="IZ179" s="3553"/>
      <c r="JA179" s="3553"/>
      <c r="JB179" s="3553"/>
      <c r="JC179" s="3553"/>
      <c r="JD179" s="4228"/>
      <c r="JE179" s="4228"/>
      <c r="JF179" s="4228"/>
      <c r="JG179" s="4083"/>
    </row>
    <row r="180" spans="1:267" x14ac:dyDescent="0.2">
      <c r="A180" s="3612">
        <v>37</v>
      </c>
      <c r="B180" s="3616" t="str">
        <f si="8" t="shared"/>
        <v/>
      </c>
      <c r="C180" s="34"/>
      <c r="D180" s="3617" t="s">
        <v>8278</v>
      </c>
      <c r="E180" s="3598"/>
      <c r="F180" s="3599"/>
      <c r="G180" s="3554"/>
      <c r="H180" s="3554"/>
      <c r="I180" s="3600"/>
      <c r="J180" s="3554"/>
      <c r="K180" s="3554"/>
      <c r="L180" s="3554"/>
      <c r="M180" s="3554"/>
      <c r="N180" s="3554"/>
      <c r="O180" s="3554"/>
      <c r="P180" s="3554"/>
      <c r="Q180" s="3554"/>
      <c r="R180" s="3554"/>
      <c r="S180" s="3554"/>
      <c r="T180" s="3554"/>
      <c r="U180" s="3554"/>
      <c r="V180" s="3554"/>
      <c r="W180" s="3554"/>
      <c r="X180" s="3554"/>
      <c r="Y180" s="3554"/>
      <c r="Z180" s="3554"/>
      <c r="AA180" s="3554"/>
      <c r="AB180" s="3554"/>
      <c r="AC180" s="3554"/>
      <c r="AD180" s="3554"/>
      <c r="AE180" s="3554"/>
      <c r="AF180" s="3554"/>
      <c r="AG180" s="3554"/>
      <c r="AH180" s="3554"/>
      <c r="AI180" s="3554"/>
      <c r="AJ180" s="3554"/>
      <c r="AK180" s="3554"/>
      <c r="AL180" s="3554"/>
      <c r="AM180" s="3554"/>
      <c r="AN180" s="3554"/>
      <c r="AO180" s="3554"/>
      <c r="AP180" s="4126">
        <v>0</v>
      </c>
      <c r="AQ180" s="3599">
        <v>0</v>
      </c>
      <c r="AR180" s="3554"/>
      <c r="AS180" s="3554"/>
      <c r="AT180" s="3554"/>
      <c r="AU180" s="3554"/>
      <c r="AV180" s="3554"/>
      <c r="AW180" s="3554"/>
      <c r="AX180" s="3554"/>
      <c r="AY180" s="3554"/>
      <c r="AZ180" s="3554"/>
      <c r="BA180" s="3554"/>
      <c r="BB180" s="3599">
        <v>0</v>
      </c>
      <c r="BC180" s="3598">
        <v>0</v>
      </c>
      <c r="BD180" s="3598">
        <v>0</v>
      </c>
      <c r="BE180" s="3554"/>
      <c r="BF180" s="3554"/>
      <c r="BG180" s="3554"/>
      <c r="BH180" s="3554"/>
      <c r="BI180" s="3554"/>
      <c r="BJ180" s="3598">
        <v>0</v>
      </c>
      <c r="BK180" s="3554"/>
      <c r="BL180" s="3554"/>
      <c r="BM180" s="3554"/>
      <c r="BN180" s="3554"/>
      <c r="BO180" s="3554"/>
      <c r="BP180" s="3554"/>
      <c r="BQ180" s="3554"/>
      <c r="BR180" s="3554"/>
      <c r="BS180" s="3554"/>
      <c r="BT180" s="3554"/>
      <c r="BU180" s="3554"/>
      <c r="BV180" s="3554"/>
      <c r="BW180" s="3554"/>
      <c r="BX180" s="3554"/>
      <c r="BY180" s="3554"/>
      <c r="BZ180" s="3554"/>
      <c r="CA180" s="3554"/>
      <c r="CB180" s="3554"/>
      <c r="CC180" s="3554"/>
      <c r="CD180" s="3554"/>
      <c r="CE180" s="3554"/>
      <c r="CF180" s="3554"/>
      <c r="CG180" s="3554"/>
      <c r="CH180" s="3554"/>
      <c r="CI180" s="3554"/>
      <c r="CJ180" s="3554"/>
      <c r="CK180" s="3554"/>
      <c r="CL180" s="3554"/>
      <c r="CM180" s="3554"/>
      <c r="CN180" s="3554"/>
      <c r="CO180" s="3554"/>
      <c r="CP180" s="3554"/>
      <c r="CQ180" s="3554"/>
      <c r="CR180" s="3554"/>
      <c r="CS180" s="3554"/>
      <c r="CT180" s="3599">
        <v>0</v>
      </c>
      <c r="CU180" s="3554"/>
      <c r="CV180" s="3554"/>
      <c r="CW180" s="3554"/>
      <c r="CX180" s="3554"/>
      <c r="CY180" s="3554"/>
      <c r="CZ180" s="3554"/>
      <c r="DA180" s="3554"/>
      <c r="DB180" s="3554"/>
      <c r="DC180" s="3554"/>
      <c r="DD180" s="3554"/>
      <c r="DE180" s="3554"/>
      <c r="DF180" s="3554"/>
      <c r="DG180" s="3554"/>
      <c r="DH180" s="3554"/>
      <c r="DI180" s="3599">
        <v>0</v>
      </c>
      <c r="DJ180" s="3554"/>
      <c r="DK180" s="3554"/>
      <c r="DL180" s="3554"/>
      <c r="DM180" s="3554"/>
      <c r="DN180" s="3554"/>
      <c r="DO180" s="3554"/>
      <c r="DP180" s="3554"/>
      <c r="DQ180" s="3554"/>
      <c r="DR180" s="3554"/>
      <c r="DS180" s="3554"/>
      <c r="DT180" s="3554"/>
      <c r="DU180" s="3554"/>
      <c r="DV180" s="3554"/>
      <c r="DW180" s="3554"/>
      <c r="DX180" s="3554"/>
      <c r="DY180" s="3554"/>
      <c r="DZ180" s="3554"/>
      <c r="EA180" s="3554"/>
      <c r="EB180" s="3554"/>
      <c r="EC180" s="3554"/>
      <c r="ED180" s="3554"/>
      <c r="EE180" s="3554"/>
      <c r="EF180" s="3554"/>
      <c r="EG180" s="3554"/>
      <c r="EH180" s="3554"/>
      <c r="EI180" s="3554"/>
      <c r="EJ180" s="3554"/>
      <c r="EK180" s="3554"/>
      <c r="EL180" s="3554"/>
      <c r="EM180" s="3554"/>
      <c r="EN180" s="3554"/>
      <c r="EO180" s="3554"/>
      <c r="EP180" s="3554"/>
      <c r="EQ180" s="3554"/>
      <c r="ER180" s="3554"/>
      <c r="ES180" s="3554"/>
      <c r="ET180" s="3554"/>
      <c r="EU180" s="3554"/>
      <c r="EV180" s="3554"/>
      <c r="EW180" s="3554"/>
      <c r="EX180" s="3600">
        <v>0</v>
      </c>
      <c r="EY180" s="3554"/>
      <c r="EZ180" s="3554"/>
      <c r="FA180" s="3554"/>
      <c r="FB180" s="3554"/>
      <c r="FC180" s="3554"/>
      <c r="FD180" s="3554"/>
      <c r="FE180" s="3554"/>
      <c r="FF180" s="3554"/>
      <c r="FG180" s="3554"/>
      <c r="FH180" s="3554"/>
      <c r="FI180" s="3554"/>
      <c r="FJ180" s="3554"/>
      <c r="FK180" s="3554"/>
      <c r="FL180" s="3554"/>
      <c r="FM180" s="3554"/>
      <c r="FN180" s="3554"/>
      <c r="FO180" s="3554"/>
      <c r="FP180" s="3554"/>
      <c r="FQ180" s="3554"/>
      <c r="FR180" s="3554"/>
      <c r="FS180" s="3554"/>
      <c r="FT180" s="3554"/>
      <c r="FU180" s="3554"/>
      <c r="FV180" s="3554"/>
      <c r="FW180" s="3554"/>
      <c r="FX180" s="3554"/>
      <c r="FY180" s="3554"/>
      <c r="FZ180" s="3554"/>
      <c r="GA180" s="3554"/>
      <c r="GB180" s="3554"/>
      <c r="GC180" s="3554"/>
      <c r="GD180" s="3554"/>
      <c r="GE180" s="3554"/>
      <c r="GF180" s="3598">
        <v>0</v>
      </c>
      <c r="GG180" s="3554"/>
      <c r="GH180" s="3554"/>
      <c r="GI180" s="3554"/>
      <c r="GJ180" s="3554"/>
      <c r="GK180" s="3554"/>
      <c r="GL180" s="3554"/>
      <c r="GM180" s="3554"/>
      <c r="GN180" s="3554"/>
      <c r="GO180" s="3554"/>
      <c r="GP180" s="3554"/>
      <c r="GQ180" s="3554"/>
      <c r="GR180" s="3554"/>
      <c r="GS180" s="3554"/>
      <c r="GT180" s="3554"/>
      <c r="GU180" s="3554"/>
      <c r="GV180" s="3554"/>
      <c r="GW180" s="3554"/>
      <c r="GX180" s="3554"/>
      <c r="GY180" s="3554"/>
      <c r="GZ180" s="3554"/>
      <c r="HA180" s="3554"/>
      <c r="HB180" s="3554"/>
      <c r="HC180" s="3554"/>
      <c r="HD180" s="3554"/>
      <c r="HE180" s="3554"/>
      <c r="HF180" s="3554"/>
      <c r="HG180" s="3554"/>
      <c r="HH180" s="3554">
        <v>1000</v>
      </c>
      <c r="HI180" s="3554"/>
      <c r="HJ180" s="3554">
        <v>0</v>
      </c>
      <c r="HK180" s="3554">
        <v>0</v>
      </c>
      <c r="HL180" s="3554">
        <v>0</v>
      </c>
      <c r="HM180" s="3554">
        <v>0</v>
      </c>
      <c r="HN180" s="3554"/>
      <c r="HO180" s="3554"/>
      <c r="HP180" s="3600">
        <v>0</v>
      </c>
      <c r="HQ180" s="3554"/>
      <c r="HR180" s="3600">
        <v>0</v>
      </c>
      <c r="HS180" s="3554"/>
      <c r="HT180" s="3554"/>
      <c r="HU180" s="3554"/>
      <c r="HV180" s="3554"/>
      <c r="HW180" s="3554"/>
      <c r="HX180" s="3554"/>
      <c r="HY180" s="3554"/>
      <c r="HZ180" s="3554"/>
      <c r="IA180" s="3554"/>
      <c r="IB180" s="3554"/>
      <c r="IC180" s="3554"/>
      <c r="ID180" s="3554"/>
      <c r="IE180" s="3554"/>
      <c r="IF180" s="3554">
        <v>0</v>
      </c>
      <c r="IG180" s="3554"/>
      <c r="IH180" s="3554"/>
      <c r="II180" s="3554"/>
      <c r="IJ180" s="3554"/>
      <c r="IK180" s="3554"/>
      <c r="IL180" s="3554"/>
      <c r="IM180" s="3554"/>
      <c r="IN180" s="3554"/>
      <c r="IO180" s="3554"/>
      <c r="IP180" s="3554"/>
      <c r="IQ180" s="3554"/>
      <c r="IR180" s="3554"/>
      <c r="IS180" s="3554"/>
      <c r="IT180" s="3554"/>
      <c r="IU180" s="3554"/>
      <c r="IV180" s="3554"/>
      <c r="IW180" s="3554"/>
      <c r="IX180" s="3554"/>
      <c r="IY180" s="3554"/>
      <c r="IZ180" s="3554"/>
      <c r="JA180" s="3554"/>
      <c r="JB180" s="3554"/>
      <c r="JC180" s="3554"/>
      <c r="JD180" s="4229"/>
      <c r="JE180" s="4229"/>
      <c r="JF180" s="4229"/>
      <c r="JG180" s="3585"/>
    </row>
    <row ht="13.5" r="181" spans="1:267" thickBot="1" x14ac:dyDescent="0.25">
      <c r="A181" s="3612">
        <v>38</v>
      </c>
      <c r="B181" s="3616" t="str">
        <f si="8" t="shared"/>
        <v/>
      </c>
      <c r="C181" s="34"/>
      <c r="D181" s="3617" t="s">
        <v>8279</v>
      </c>
      <c r="E181" s="3601"/>
      <c r="F181" s="3602"/>
      <c r="G181" s="3555"/>
      <c r="H181" s="3555"/>
      <c r="I181" s="3588"/>
      <c r="J181" s="3555"/>
      <c r="K181" s="3588"/>
      <c r="L181" s="3555"/>
      <c r="M181" s="3555"/>
      <c r="N181" s="3555"/>
      <c r="O181" s="3555"/>
      <c r="P181" s="3555"/>
      <c r="Q181" s="3555"/>
      <c r="R181" s="3555"/>
      <c r="S181" s="3555"/>
      <c r="T181" s="3555"/>
      <c r="U181" s="3555"/>
      <c r="V181" s="3555"/>
      <c r="W181" s="3555"/>
      <c r="X181" s="3555"/>
      <c r="Y181" s="3555"/>
      <c r="Z181" s="3555"/>
      <c r="AA181" s="3555"/>
      <c r="AB181" s="3555"/>
      <c r="AC181" s="3555"/>
      <c r="AD181" s="3555"/>
      <c r="AE181" s="3555"/>
      <c r="AF181" s="3555"/>
      <c r="AG181" s="3555"/>
      <c r="AH181" s="3555"/>
      <c r="AI181" s="3555"/>
      <c r="AJ181" s="3555"/>
      <c r="AK181" s="3555"/>
      <c r="AL181" s="3555"/>
      <c r="AM181" s="3555"/>
      <c r="AN181" s="3555"/>
      <c r="AO181" s="3555"/>
      <c r="AP181" s="3587">
        <v>0</v>
      </c>
      <c r="AQ181" s="3602">
        <v>0</v>
      </c>
      <c r="AR181" s="3555"/>
      <c r="AS181" s="3555"/>
      <c r="AT181" s="3555"/>
      <c r="AU181" s="3555"/>
      <c r="AV181" s="3555"/>
      <c r="AW181" s="3555"/>
      <c r="AX181" s="3555"/>
      <c r="AY181" s="3555"/>
      <c r="AZ181" s="3555"/>
      <c r="BA181" s="3555"/>
      <c r="BB181" s="3602">
        <v>0</v>
      </c>
      <c r="BC181" s="3601">
        <v>0</v>
      </c>
      <c r="BD181" s="3601">
        <v>0</v>
      </c>
      <c r="BE181" s="3555"/>
      <c r="BF181" s="3555"/>
      <c r="BG181" s="3555"/>
      <c r="BH181" s="3555"/>
      <c r="BI181" s="3555"/>
      <c r="BJ181" s="3601">
        <v>0</v>
      </c>
      <c r="BK181" s="3555"/>
      <c r="BL181" s="3555"/>
      <c r="BM181" s="3555"/>
      <c r="BN181" s="3555"/>
      <c r="BO181" s="3555"/>
      <c r="BP181" s="3555"/>
      <c r="BQ181" s="3555"/>
      <c r="BR181" s="3555"/>
      <c r="BS181" s="3555"/>
      <c r="BT181" s="3555"/>
      <c r="BU181" s="3555"/>
      <c r="BV181" s="3555"/>
      <c r="BW181" s="3555"/>
      <c r="BX181" s="3555"/>
      <c r="BY181" s="3555"/>
      <c r="BZ181" s="3555"/>
      <c r="CA181" s="3555"/>
      <c r="CB181" s="3555"/>
      <c r="CC181" s="3555"/>
      <c r="CD181" s="3555"/>
      <c r="CE181" s="3555"/>
      <c r="CF181" s="3555"/>
      <c r="CG181" s="3555"/>
      <c r="CH181" s="3555"/>
      <c r="CI181" s="3555"/>
      <c r="CJ181" s="3555"/>
      <c r="CK181" s="3555"/>
      <c r="CL181" s="3555"/>
      <c r="CM181" s="3555"/>
      <c r="CN181" s="3555"/>
      <c r="CO181" s="3555"/>
      <c r="CP181" s="3555"/>
      <c r="CQ181" s="3555"/>
      <c r="CR181" s="3555"/>
      <c r="CS181" s="3555"/>
      <c r="CT181" s="3602">
        <v>0</v>
      </c>
      <c r="CU181" s="3555"/>
      <c r="CV181" s="3555"/>
      <c r="CW181" s="3555"/>
      <c r="CX181" s="3555"/>
      <c r="CY181" s="3555"/>
      <c r="CZ181" s="3555"/>
      <c r="DA181" s="3555"/>
      <c r="DB181" s="3555"/>
      <c r="DC181" s="3555"/>
      <c r="DD181" s="3555"/>
      <c r="DE181" s="3555"/>
      <c r="DF181" s="3555"/>
      <c r="DG181" s="3555"/>
      <c r="DH181" s="3555"/>
      <c r="DI181" s="3602">
        <v>0</v>
      </c>
      <c r="DJ181" s="3555"/>
      <c r="DK181" s="3555"/>
      <c r="DL181" s="3555"/>
      <c r="DM181" s="3555"/>
      <c r="DN181" s="3555"/>
      <c r="DO181" s="3555"/>
      <c r="DP181" s="3555"/>
      <c r="DQ181" s="3555"/>
      <c r="DR181" s="3555"/>
      <c r="DS181" s="3555"/>
      <c r="DT181" s="3555"/>
      <c r="DU181" s="3555"/>
      <c r="DV181" s="3555"/>
      <c r="DW181" s="3555"/>
      <c r="DX181" s="3555"/>
      <c r="DY181" s="3555"/>
      <c r="DZ181" s="3555"/>
      <c r="EA181" s="3555"/>
      <c r="EB181" s="3555"/>
      <c r="EC181" s="3555"/>
      <c r="ED181" s="3555"/>
      <c r="EE181" s="3555"/>
      <c r="EF181" s="3555"/>
      <c r="EG181" s="3555"/>
      <c r="EH181" s="3555"/>
      <c r="EI181" s="3555"/>
      <c r="EJ181" s="3555"/>
      <c r="EK181" s="3555"/>
      <c r="EL181" s="3555"/>
      <c r="EM181" s="3555"/>
      <c r="EN181" s="3555"/>
      <c r="EO181" s="3555"/>
      <c r="EP181" s="3555"/>
      <c r="EQ181" s="3555"/>
      <c r="ER181" s="3555"/>
      <c r="ES181" s="3555"/>
      <c r="ET181" s="3555"/>
      <c r="EU181" s="3555"/>
      <c r="EV181" s="3555"/>
      <c r="EW181" s="3555"/>
      <c r="EX181" s="3588">
        <v>0</v>
      </c>
      <c r="EY181" s="3555"/>
      <c r="EZ181" s="3555"/>
      <c r="FA181" s="3555"/>
      <c r="FB181" s="3555"/>
      <c r="FC181" s="3555"/>
      <c r="FD181" s="3555"/>
      <c r="FE181" s="3555"/>
      <c r="FF181" s="3555"/>
      <c r="FG181" s="3555"/>
      <c r="FH181" s="3555"/>
      <c r="FI181" s="3555"/>
      <c r="FJ181" s="3555"/>
      <c r="FK181" s="3555"/>
      <c r="FL181" s="3555"/>
      <c r="FM181" s="3555"/>
      <c r="FN181" s="3555"/>
      <c r="FO181" s="3555"/>
      <c r="FP181" s="3555"/>
      <c r="FQ181" s="3555"/>
      <c r="FR181" s="3555"/>
      <c r="FS181" s="3555"/>
      <c r="FT181" s="3555"/>
      <c r="FU181" s="3555"/>
      <c r="FV181" s="3555"/>
      <c r="FW181" s="3555"/>
      <c r="FX181" s="3555"/>
      <c r="FY181" s="3555"/>
      <c r="FZ181" s="3555"/>
      <c r="GA181" s="3555"/>
      <c r="GB181" s="3555"/>
      <c r="GC181" s="3555"/>
      <c r="GD181" s="3555"/>
      <c r="GE181" s="3555"/>
      <c r="GF181" s="3601">
        <v>0</v>
      </c>
      <c r="GG181" s="3555"/>
      <c r="GH181" s="3555"/>
      <c r="GI181" s="3555"/>
      <c r="GJ181" s="3555"/>
      <c r="GK181" s="3555"/>
      <c r="GL181" s="3555"/>
      <c r="GM181" s="3555"/>
      <c r="GN181" s="3555"/>
      <c r="GO181" s="3555"/>
      <c r="GP181" s="3555"/>
      <c r="GQ181" s="3555"/>
      <c r="GR181" s="3555"/>
      <c r="GS181" s="3555"/>
      <c r="GT181" s="3555"/>
      <c r="GU181" s="3555"/>
      <c r="GV181" s="3555"/>
      <c r="GW181" s="3555"/>
      <c r="GX181" s="3555"/>
      <c r="GY181" s="3555"/>
      <c r="GZ181" s="3555"/>
      <c r="HA181" s="3555"/>
      <c r="HB181" s="3555"/>
      <c r="HC181" s="3555"/>
      <c r="HD181" s="3555"/>
      <c r="HE181" s="3555"/>
      <c r="HF181" s="3555"/>
      <c r="HG181" s="3555"/>
      <c r="HH181" s="3588">
        <v>100</v>
      </c>
      <c r="HI181" s="3555"/>
      <c r="HJ181" s="3555">
        <v>0</v>
      </c>
      <c r="HK181" s="3555">
        <v>0</v>
      </c>
      <c r="HL181" s="3555">
        <v>0</v>
      </c>
      <c r="HM181" s="3555">
        <v>0</v>
      </c>
      <c r="HN181" s="3555"/>
      <c r="HO181" s="3555"/>
      <c r="HP181" s="3588">
        <v>0</v>
      </c>
      <c r="HQ181" s="3555"/>
      <c r="HR181" s="3588">
        <v>0</v>
      </c>
      <c r="HS181" s="3555"/>
      <c r="HT181" s="3555"/>
      <c r="HU181" s="3555"/>
      <c r="HV181" s="3555"/>
      <c r="HW181" s="3555"/>
      <c r="HX181" s="3555"/>
      <c r="HY181" s="3555"/>
      <c r="HZ181" s="3555"/>
      <c r="IA181" s="3555"/>
      <c r="IB181" s="3555"/>
      <c r="IC181" s="3555"/>
      <c r="ID181" s="3555"/>
      <c r="IE181" s="3555"/>
      <c r="IF181" s="3555">
        <v>0</v>
      </c>
      <c r="IG181" s="3555"/>
      <c r="IH181" s="3555"/>
      <c r="II181" s="3555"/>
      <c r="IJ181" s="3555"/>
      <c r="IK181" s="3555"/>
      <c r="IL181" s="3555"/>
      <c r="IM181" s="3555"/>
      <c r="IN181" s="3555"/>
      <c r="IO181" s="3555"/>
      <c r="IP181" s="3555"/>
      <c r="IQ181" s="3555"/>
      <c r="IR181" s="3555"/>
      <c r="IS181" s="3555"/>
      <c r="IT181" s="3555"/>
      <c r="IU181" s="3555"/>
      <c r="IV181" s="3555"/>
      <c r="IW181" s="3555"/>
      <c r="IX181" s="3555"/>
      <c r="IY181" s="3555"/>
      <c r="IZ181" s="3555"/>
      <c r="JA181" s="3555"/>
      <c r="JB181" s="3555"/>
      <c r="JC181" s="3555"/>
      <c r="JD181" s="4230"/>
      <c r="JE181" s="4230"/>
      <c r="JF181" s="4230"/>
      <c r="JG181" s="4084"/>
    </row>
    <row r="182" spans="1:267" x14ac:dyDescent="0.2">
      <c r="A182" s="3612">
        <v>39</v>
      </c>
      <c r="B182" s="3616" t="str">
        <f si="8" t="shared"/>
        <v/>
      </c>
      <c r="C182" s="34"/>
      <c r="D182" s="3617" t="s">
        <v>8280</v>
      </c>
      <c r="E182" s="3603"/>
      <c r="F182" s="3590"/>
      <c r="G182" s="3604"/>
      <c r="H182" s="3604"/>
      <c r="I182" s="3604"/>
      <c r="J182" s="3552"/>
      <c r="K182" s="3552"/>
      <c r="L182" s="3552"/>
      <c r="M182" s="3552"/>
      <c r="N182" s="3552"/>
      <c r="O182" s="3552"/>
      <c r="P182" s="3552"/>
      <c r="Q182" s="3552"/>
      <c r="R182" s="3552"/>
      <c r="S182" s="3552"/>
      <c r="T182" s="3552"/>
      <c r="U182" s="3552"/>
      <c r="V182" s="3552"/>
      <c r="W182" s="3552"/>
      <c r="X182" s="3552"/>
      <c r="Y182" s="3552"/>
      <c r="Z182" s="3552"/>
      <c r="AA182" s="3552"/>
      <c r="AB182" s="3552"/>
      <c r="AC182" s="3552"/>
      <c r="AD182" s="3552"/>
      <c r="AE182" s="3552"/>
      <c r="AF182" s="3552"/>
      <c r="AG182" s="3552"/>
      <c r="AH182" s="3552"/>
      <c r="AI182" s="3552"/>
      <c r="AJ182" s="3552"/>
      <c r="AK182" s="3552"/>
      <c r="AL182" s="3552"/>
      <c r="AM182" s="3552"/>
      <c r="AN182" s="3552"/>
      <c r="AO182" s="3552"/>
      <c r="AP182" s="3590">
        <v>1</v>
      </c>
      <c r="AQ182" s="3590">
        <v>1</v>
      </c>
      <c r="AR182" s="3552"/>
      <c r="AS182" s="3552"/>
      <c r="AT182" s="3552"/>
      <c r="AU182" s="3552"/>
      <c r="AV182" s="3552"/>
      <c r="AW182" s="3552"/>
      <c r="AX182" s="3552"/>
      <c r="AY182" s="3552"/>
      <c r="AZ182" s="3552"/>
      <c r="BA182" s="3552"/>
      <c r="BB182" s="3590">
        <v>1</v>
      </c>
      <c r="BC182" s="3603">
        <v>1</v>
      </c>
      <c r="BD182" s="3603">
        <v>1</v>
      </c>
      <c r="BE182" s="3552"/>
      <c r="BF182" s="3552"/>
      <c r="BG182" s="3552"/>
      <c r="BH182" s="3552"/>
      <c r="BI182" s="3552"/>
      <c r="BJ182" s="3603">
        <v>1</v>
      </c>
      <c r="BK182" s="3552"/>
      <c r="BL182" s="3552"/>
      <c r="BM182" s="3552"/>
      <c r="BN182" s="3552"/>
      <c r="BO182" s="3552"/>
      <c r="BP182" s="3552"/>
      <c r="BQ182" s="3552"/>
      <c r="BR182" s="3552"/>
      <c r="BS182" s="3552"/>
      <c r="BT182" s="3552"/>
      <c r="BU182" s="3552"/>
      <c r="BV182" s="3552"/>
      <c r="BW182" s="3552"/>
      <c r="BX182" s="3552"/>
      <c r="BY182" s="3552"/>
      <c r="BZ182" s="3552"/>
      <c r="CA182" s="3552"/>
      <c r="CB182" s="3552"/>
      <c r="CC182" s="3552"/>
      <c r="CD182" s="3552"/>
      <c r="CE182" s="3552"/>
      <c r="CF182" s="3552"/>
      <c r="CG182" s="3552"/>
      <c r="CH182" s="3552"/>
      <c r="CI182" s="3552"/>
      <c r="CJ182" s="3552"/>
      <c r="CK182" s="3552"/>
      <c r="CL182" s="3552"/>
      <c r="CM182" s="3552"/>
      <c r="CN182" s="3552"/>
      <c r="CO182" s="3552"/>
      <c r="CP182" s="3552"/>
      <c r="CQ182" s="3552"/>
      <c r="CR182" s="3552"/>
      <c r="CS182" s="3552"/>
      <c r="CT182" s="3590">
        <v>1</v>
      </c>
      <c r="CU182" s="3552"/>
      <c r="CV182" s="3552"/>
      <c r="CW182" s="3552"/>
      <c r="CX182" s="3552"/>
      <c r="CY182" s="3552"/>
      <c r="CZ182" s="3552"/>
      <c r="DA182" s="3552"/>
      <c r="DB182" s="3552"/>
      <c r="DC182" s="3552"/>
      <c r="DD182" s="3552"/>
      <c r="DE182" s="3552"/>
      <c r="DF182" s="3552"/>
      <c r="DG182" s="3552"/>
      <c r="DH182" s="3552"/>
      <c r="DI182" s="3590">
        <v>1</v>
      </c>
      <c r="DJ182" s="3552"/>
      <c r="DK182" s="3552"/>
      <c r="DL182" s="3552"/>
      <c r="DM182" s="3552"/>
      <c r="DN182" s="3552"/>
      <c r="DO182" s="3552"/>
      <c r="DP182" s="3552"/>
      <c r="DQ182" s="3552"/>
      <c r="DR182" s="3552"/>
      <c r="DS182" s="3552"/>
      <c r="DT182" s="3552"/>
      <c r="DU182" s="3552"/>
      <c r="DV182" s="3552"/>
      <c r="DW182" s="3552"/>
      <c r="DX182" s="3552"/>
      <c r="DY182" s="3552"/>
      <c r="DZ182" s="3552"/>
      <c r="EA182" s="3552"/>
      <c r="EB182" s="3552"/>
      <c r="EC182" s="3552"/>
      <c r="ED182" s="3552"/>
      <c r="EE182" s="3552"/>
      <c r="EF182" s="3552"/>
      <c r="EG182" s="3552"/>
      <c r="EH182" s="3552"/>
      <c r="EI182" s="3552"/>
      <c r="EJ182" s="3552"/>
      <c r="EK182" s="3552"/>
      <c r="EL182" s="3552"/>
      <c r="EM182" s="3552"/>
      <c r="EN182" s="3552"/>
      <c r="EO182" s="3552"/>
      <c r="EP182" s="3552"/>
      <c r="EQ182" s="3552"/>
      <c r="ER182" s="3552"/>
      <c r="ES182" s="3552"/>
      <c r="ET182" s="3552"/>
      <c r="EU182" s="3552"/>
      <c r="EV182" s="3552"/>
      <c r="EW182" s="3552"/>
      <c r="EX182" s="3604">
        <v>1</v>
      </c>
      <c r="EY182" s="3552"/>
      <c r="EZ182" s="3552"/>
      <c r="FA182" s="3552"/>
      <c r="FB182" s="3552"/>
      <c r="FC182" s="3552"/>
      <c r="FD182" s="3552"/>
      <c r="FE182" s="3552"/>
      <c r="FF182" s="3552"/>
      <c r="FG182" s="3552"/>
      <c r="FH182" s="3552"/>
      <c r="FI182" s="3552"/>
      <c r="FJ182" s="3552"/>
      <c r="FK182" s="3552"/>
      <c r="FL182" s="3552"/>
      <c r="FM182" s="3552"/>
      <c r="FN182" s="3552"/>
      <c r="FO182" s="3552"/>
      <c r="FP182" s="3552"/>
      <c r="FQ182" s="3552"/>
      <c r="FR182" s="3552"/>
      <c r="FS182" s="3552"/>
      <c r="FT182" s="3552"/>
      <c r="FU182" s="3552"/>
      <c r="FV182" s="3552"/>
      <c r="FW182" s="3552"/>
      <c r="FX182" s="3552"/>
      <c r="FY182" s="3552"/>
      <c r="FZ182" s="3552"/>
      <c r="GA182" s="3552"/>
      <c r="GB182" s="3552"/>
      <c r="GC182" s="3552"/>
      <c r="GD182" s="3552"/>
      <c r="GE182" s="3552"/>
      <c r="GF182" s="3603">
        <v>1</v>
      </c>
      <c r="GG182" s="3552"/>
      <c r="GH182" s="3552"/>
      <c r="GI182" s="3552"/>
      <c r="GJ182" s="3552"/>
      <c r="GK182" s="3552"/>
      <c r="GL182" s="3552"/>
      <c r="GM182" s="3552"/>
      <c r="GN182" s="3552"/>
      <c r="GO182" s="3552"/>
      <c r="GP182" s="3552"/>
      <c r="GQ182" s="3552"/>
      <c r="GR182" s="3552"/>
      <c r="GS182" s="3552"/>
      <c r="GT182" s="3552"/>
      <c r="GU182" s="3552"/>
      <c r="GV182" s="3552"/>
      <c r="GW182" s="3552"/>
      <c r="GX182" s="3552"/>
      <c r="GY182" s="3552"/>
      <c r="GZ182" s="3552"/>
      <c r="HA182" s="3552"/>
      <c r="HB182" s="3552"/>
      <c r="HC182" s="3552"/>
      <c r="HD182" s="3552"/>
      <c r="HE182" s="3552"/>
      <c r="HF182" s="3552"/>
      <c r="HG182" s="3552"/>
      <c r="HH182" s="3552">
        <v>4</v>
      </c>
      <c r="HI182" s="3552"/>
      <c r="HJ182" s="3552">
        <v>1</v>
      </c>
      <c r="HK182" s="3552">
        <v>1</v>
      </c>
      <c r="HL182" s="3552">
        <v>1</v>
      </c>
      <c r="HM182" s="3552">
        <v>1</v>
      </c>
      <c r="HN182" s="3552"/>
      <c r="HO182" s="3552"/>
      <c r="HP182" s="3604">
        <v>1</v>
      </c>
      <c r="HQ182" s="3552"/>
      <c r="HR182" s="3604">
        <v>1</v>
      </c>
      <c r="HS182" s="3552"/>
      <c r="HT182" s="3552"/>
      <c r="HU182" s="3552"/>
      <c r="HV182" s="3552"/>
      <c r="HW182" s="3552"/>
      <c r="HX182" s="3552"/>
      <c r="HY182" s="3552"/>
      <c r="HZ182" s="3552"/>
      <c r="IA182" s="3552"/>
      <c r="IB182" s="3552"/>
      <c r="IC182" s="3552"/>
      <c r="ID182" s="3552"/>
      <c r="IE182" s="3552"/>
      <c r="IF182" s="3552">
        <v>1</v>
      </c>
      <c r="IG182" s="3552"/>
      <c r="IH182" s="3552"/>
      <c r="II182" s="3552"/>
      <c r="IJ182" s="3552"/>
      <c r="IK182" s="3552"/>
      <c r="IL182" s="3552"/>
      <c r="IM182" s="3552"/>
      <c r="IN182" s="3552"/>
      <c r="IO182" s="3552"/>
      <c r="IP182" s="3552"/>
      <c r="IQ182" s="3552"/>
      <c r="IR182" s="3552"/>
      <c r="IS182" s="3552"/>
      <c r="IT182" s="3552"/>
      <c r="IU182" s="3552"/>
      <c r="IV182" s="3552"/>
      <c r="IW182" s="3552"/>
      <c r="IX182" s="3552"/>
      <c r="IY182" s="3552"/>
      <c r="IZ182" s="3552"/>
      <c r="JA182" s="3552"/>
      <c r="JB182" s="3552"/>
      <c r="JC182" s="3552"/>
      <c r="JD182" s="4227"/>
      <c r="JE182" s="4227"/>
      <c r="JF182" s="4227"/>
      <c r="JG182" s="3579"/>
    </row>
    <row r="183" spans="1:267" x14ac:dyDescent="0.2">
      <c r="A183" s="3612">
        <v>40</v>
      </c>
      <c r="B183" s="3616" t="str">
        <f si="8" t="shared"/>
        <v/>
      </c>
      <c r="C183" s="34"/>
      <c r="D183" s="3617" t="s">
        <v>8281</v>
      </c>
      <c r="E183" s="3580"/>
      <c r="F183" s="3553"/>
      <c r="G183" s="3553"/>
      <c r="H183" s="3553"/>
      <c r="I183" s="3553"/>
      <c r="J183" s="3553"/>
      <c r="K183" s="2295"/>
      <c r="L183" s="3553"/>
      <c r="M183" s="3553"/>
      <c r="N183" s="3553"/>
      <c r="O183" s="3553"/>
      <c r="P183" s="3553"/>
      <c r="Q183" s="3553"/>
      <c r="R183" s="3553"/>
      <c r="S183" s="3553"/>
      <c r="T183" s="3553"/>
      <c r="U183" s="3553"/>
      <c r="V183" s="3553"/>
      <c r="W183" s="3553"/>
      <c r="X183" s="3553"/>
      <c r="Y183" s="3553"/>
      <c r="Z183" s="3553"/>
      <c r="AA183" s="3553"/>
      <c r="AB183" s="3553"/>
      <c r="AC183" s="3553"/>
      <c r="AD183" s="3553"/>
      <c r="AE183" s="3553"/>
      <c r="AF183" s="3553"/>
      <c r="AG183" s="3553"/>
      <c r="AH183" s="3553"/>
      <c r="AI183" s="3553"/>
      <c r="AJ183" s="3553"/>
      <c r="AK183" s="3553"/>
      <c r="AL183" s="3553"/>
      <c r="AM183" s="3553"/>
      <c r="AN183" s="3553"/>
      <c r="AO183" s="3553"/>
      <c r="AP183" s="3553">
        <v>1</v>
      </c>
      <c r="AQ183" s="3553">
        <v>1</v>
      </c>
      <c r="AR183" s="3553"/>
      <c r="AS183" s="3553"/>
      <c r="AT183" s="3553"/>
      <c r="AU183" s="3553"/>
      <c r="AV183" s="3553"/>
      <c r="AW183" s="3553"/>
      <c r="AX183" s="3553"/>
      <c r="AY183" s="3553"/>
      <c r="AZ183" s="3553"/>
      <c r="BA183" s="3553"/>
      <c r="BB183" s="3553">
        <v>1</v>
      </c>
      <c r="BC183" s="3580">
        <v>1</v>
      </c>
      <c r="BD183" s="3580">
        <v>1</v>
      </c>
      <c r="BE183" s="3553"/>
      <c r="BF183" s="3553"/>
      <c r="BG183" s="3553"/>
      <c r="BH183" s="3553"/>
      <c r="BI183" s="3553"/>
      <c r="BJ183" s="3580">
        <v>1</v>
      </c>
      <c r="BK183" s="3553"/>
      <c r="BL183" s="3553"/>
      <c r="BM183" s="3553"/>
      <c r="BN183" s="3553"/>
      <c r="BO183" s="3553"/>
      <c r="BP183" s="3553"/>
      <c r="BQ183" s="3553"/>
      <c r="BR183" s="3553"/>
      <c r="BS183" s="3553"/>
      <c r="BT183" s="3553"/>
      <c r="BU183" s="3553"/>
      <c r="BV183" s="3553"/>
      <c r="BW183" s="3553"/>
      <c r="BX183" s="3553"/>
      <c r="BY183" s="3553"/>
      <c r="BZ183" s="3553"/>
      <c r="CA183" s="3553"/>
      <c r="CB183" s="3553"/>
      <c r="CC183" s="3553"/>
      <c r="CD183" s="3553"/>
      <c r="CE183" s="3553"/>
      <c r="CF183" s="3553"/>
      <c r="CG183" s="3553"/>
      <c r="CH183" s="3553"/>
      <c r="CI183" s="3553"/>
      <c r="CJ183" s="3553"/>
      <c r="CK183" s="3553"/>
      <c r="CL183" s="3553"/>
      <c r="CM183" s="3553"/>
      <c r="CN183" s="3553"/>
      <c r="CO183" s="3553"/>
      <c r="CP183" s="3553"/>
      <c r="CQ183" s="3553"/>
      <c r="CR183" s="3553"/>
      <c r="CS183" s="3553"/>
      <c r="CT183" s="3553">
        <v>1</v>
      </c>
      <c r="CU183" s="3553"/>
      <c r="CV183" s="3553"/>
      <c r="CW183" s="3553"/>
      <c r="CX183" s="3553"/>
      <c r="CY183" s="3553"/>
      <c r="CZ183" s="3553"/>
      <c r="DA183" s="3553"/>
      <c r="DB183" s="3553"/>
      <c r="DC183" s="3553"/>
      <c r="DD183" s="3553"/>
      <c r="DE183" s="3553"/>
      <c r="DF183" s="3553"/>
      <c r="DG183" s="3553"/>
      <c r="DH183" s="3553"/>
      <c r="DI183" s="3553">
        <v>1</v>
      </c>
      <c r="DJ183" s="3553"/>
      <c r="DK183" s="3553"/>
      <c r="DL183" s="3553"/>
      <c r="DM183" s="3553"/>
      <c r="DN183" s="3553"/>
      <c r="DO183" s="3553"/>
      <c r="DP183" s="3553"/>
      <c r="DQ183" s="3553"/>
      <c r="DR183" s="3553"/>
      <c r="DS183" s="3553"/>
      <c r="DT183" s="3553"/>
      <c r="DU183" s="3553"/>
      <c r="DV183" s="3553"/>
      <c r="DW183" s="3553"/>
      <c r="DX183" s="3553"/>
      <c r="DY183" s="3553"/>
      <c r="DZ183" s="3553"/>
      <c r="EA183" s="3553"/>
      <c r="EB183" s="3553"/>
      <c r="EC183" s="3553"/>
      <c r="ED183" s="3553"/>
      <c r="EE183" s="3553"/>
      <c r="EF183" s="3553"/>
      <c r="EG183" s="3553"/>
      <c r="EH183" s="3553"/>
      <c r="EI183" s="3553"/>
      <c r="EJ183" s="3553"/>
      <c r="EK183" s="3553"/>
      <c r="EL183" s="3553"/>
      <c r="EM183" s="3553"/>
      <c r="EN183" s="3553"/>
      <c r="EO183" s="3553"/>
      <c r="EP183" s="3553"/>
      <c r="EQ183" s="3553"/>
      <c r="ER183" s="3553"/>
      <c r="ES183" s="3553"/>
      <c r="ET183" s="3553"/>
      <c r="EU183" s="3553"/>
      <c r="EV183" s="3553"/>
      <c r="EW183" s="3553"/>
      <c r="EX183" s="3553">
        <v>1</v>
      </c>
      <c r="EY183" s="3553"/>
      <c r="EZ183" s="3553"/>
      <c r="FA183" s="3553"/>
      <c r="FB183" s="3553"/>
      <c r="FC183" s="3553"/>
      <c r="FD183" s="3553"/>
      <c r="FE183" s="3553"/>
      <c r="FF183" s="3553"/>
      <c r="FG183" s="3553"/>
      <c r="FH183" s="3553"/>
      <c r="FI183" s="3553"/>
      <c r="FJ183" s="3553"/>
      <c r="FK183" s="3553"/>
      <c r="FL183" s="3553"/>
      <c r="FM183" s="3553"/>
      <c r="FN183" s="3553"/>
      <c r="FO183" s="3553"/>
      <c r="FP183" s="3553"/>
      <c r="FQ183" s="3553"/>
      <c r="FR183" s="3553"/>
      <c r="FS183" s="3553"/>
      <c r="FT183" s="3553"/>
      <c r="FU183" s="3553"/>
      <c r="FV183" s="3553"/>
      <c r="FW183" s="3553"/>
      <c r="FX183" s="3553"/>
      <c r="FY183" s="3553"/>
      <c r="FZ183" s="3553"/>
      <c r="GA183" s="3553"/>
      <c r="GB183" s="3553"/>
      <c r="GC183" s="3553"/>
      <c r="GD183" s="3553"/>
      <c r="GE183" s="3553"/>
      <c r="GF183" s="3580">
        <v>1</v>
      </c>
      <c r="GG183" s="3553"/>
      <c r="GH183" s="3553"/>
      <c r="GI183" s="3553"/>
      <c r="GJ183" s="3553"/>
      <c r="GK183" s="3553"/>
      <c r="GL183" s="3553"/>
      <c r="GM183" s="3553"/>
      <c r="GN183" s="3553"/>
      <c r="GO183" s="3553"/>
      <c r="GP183" s="3553"/>
      <c r="GQ183" s="3553"/>
      <c r="GR183" s="3553"/>
      <c r="GS183" s="3553"/>
      <c r="GT183" s="3553"/>
      <c r="GU183" s="3553"/>
      <c r="GV183" s="3553"/>
      <c r="GW183" s="3553"/>
      <c r="GX183" s="3553"/>
      <c r="GY183" s="3553"/>
      <c r="GZ183" s="3553"/>
      <c r="HA183" s="3553"/>
      <c r="HB183" s="3553"/>
      <c r="HC183" s="3553"/>
      <c r="HD183" s="3553"/>
      <c r="HE183" s="3553"/>
      <c r="HF183" s="3553"/>
      <c r="HG183" s="3553"/>
      <c r="HH183" s="2295">
        <v>6</v>
      </c>
      <c r="HI183" s="3553"/>
      <c r="HJ183" s="3553">
        <v>1</v>
      </c>
      <c r="HK183" s="3553">
        <v>1</v>
      </c>
      <c r="HL183" s="3553">
        <v>1</v>
      </c>
      <c r="HM183" s="3553">
        <v>1</v>
      </c>
      <c r="HN183" s="3553"/>
      <c r="HO183" s="3553"/>
      <c r="HP183" s="3553">
        <v>1</v>
      </c>
      <c r="HQ183" s="3553"/>
      <c r="HR183" s="3553">
        <v>1</v>
      </c>
      <c r="HS183" s="3553"/>
      <c r="HT183" s="3553"/>
      <c r="HU183" s="3553"/>
      <c r="HV183" s="3553"/>
      <c r="HW183" s="3553"/>
      <c r="HX183" s="3553"/>
      <c r="HY183" s="3553"/>
      <c r="HZ183" s="3553"/>
      <c r="IA183" s="3553"/>
      <c r="IB183" s="3553"/>
      <c r="IC183" s="3553"/>
      <c r="ID183" s="3553"/>
      <c r="IE183" s="3553"/>
      <c r="IF183" s="3553">
        <v>1</v>
      </c>
      <c r="IG183" s="3553"/>
      <c r="IH183" s="3553"/>
      <c r="II183" s="3553"/>
      <c r="IJ183" s="3553"/>
      <c r="IK183" s="3553"/>
      <c r="IL183" s="3553"/>
      <c r="IM183" s="3553"/>
      <c r="IN183" s="3553"/>
      <c r="IO183" s="3553"/>
      <c r="IP183" s="3553"/>
      <c r="IQ183" s="3553"/>
      <c r="IR183" s="3553"/>
      <c r="IS183" s="3553"/>
      <c r="IT183" s="3553"/>
      <c r="IU183" s="3553"/>
      <c r="IV183" s="3553"/>
      <c r="IW183" s="3553"/>
      <c r="IX183" s="3553"/>
      <c r="IY183" s="3553"/>
      <c r="IZ183" s="3553"/>
      <c r="JA183" s="3553"/>
      <c r="JB183" s="3553"/>
      <c r="JC183" s="3553"/>
      <c r="JD183" s="4228"/>
      <c r="JE183" s="4228"/>
      <c r="JF183" s="4228"/>
      <c r="JG183" s="4083"/>
    </row>
    <row r="184" spans="1:267" x14ac:dyDescent="0.2">
      <c r="A184" s="3612">
        <v>41</v>
      </c>
      <c r="B184" s="3616" t="str">
        <f si="8" t="shared"/>
        <v/>
      </c>
      <c r="C184" s="34"/>
      <c r="D184" s="3617" t="s">
        <v>8282</v>
      </c>
      <c r="E184" s="3605"/>
      <c r="F184" s="3592"/>
      <c r="G184" s="3618"/>
      <c r="H184" s="3618"/>
      <c r="I184" s="3606"/>
      <c r="J184" s="3618"/>
      <c r="K184" s="3554"/>
      <c r="L184" s="3554"/>
      <c r="M184" s="3554"/>
      <c r="N184" s="3554"/>
      <c r="O184" s="3554"/>
      <c r="P184" s="3554"/>
      <c r="Q184" s="3554"/>
      <c r="R184" s="3554"/>
      <c r="S184" s="3554"/>
      <c r="T184" s="3554"/>
      <c r="U184" s="3554"/>
      <c r="V184" s="3554"/>
      <c r="W184" s="3554"/>
      <c r="X184" s="3554"/>
      <c r="Y184" s="3554"/>
      <c r="Z184" s="3554"/>
      <c r="AA184" s="3554"/>
      <c r="AB184" s="3554"/>
      <c r="AC184" s="3554"/>
      <c r="AD184" s="3554"/>
      <c r="AE184" s="3554"/>
      <c r="AF184" s="3554"/>
      <c r="AG184" s="3554"/>
      <c r="AH184" s="3554"/>
      <c r="AI184" s="3554"/>
      <c r="AJ184" s="3554"/>
      <c r="AK184" s="3554"/>
      <c r="AL184" s="3554"/>
      <c r="AM184" s="3554"/>
      <c r="AN184" s="3554"/>
      <c r="AO184" s="3554"/>
      <c r="AP184" s="3592">
        <v>0</v>
      </c>
      <c r="AQ184" s="3592">
        <v>0</v>
      </c>
      <c r="AR184" s="3554"/>
      <c r="AS184" s="3554"/>
      <c r="AT184" s="3554"/>
      <c r="AU184" s="3554"/>
      <c r="AV184" s="3554"/>
      <c r="AW184" s="3554"/>
      <c r="AX184" s="3554"/>
      <c r="AY184" s="3554"/>
      <c r="AZ184" s="3554"/>
      <c r="BA184" s="3554"/>
      <c r="BB184" s="3592">
        <v>0</v>
      </c>
      <c r="BC184" s="3605">
        <v>0</v>
      </c>
      <c r="BD184" s="3605">
        <v>0</v>
      </c>
      <c r="BE184" s="3554"/>
      <c r="BF184" s="3554"/>
      <c r="BG184" s="3554"/>
      <c r="BH184" s="3554"/>
      <c r="BI184" s="3554"/>
      <c r="BJ184" s="3605">
        <v>0</v>
      </c>
      <c r="BK184" s="3554"/>
      <c r="BL184" s="3554"/>
      <c r="BM184" s="3554"/>
      <c r="BN184" s="3554"/>
      <c r="BO184" s="3554"/>
      <c r="BP184" s="3554"/>
      <c r="BQ184" s="3554"/>
      <c r="BR184" s="3554"/>
      <c r="BS184" s="3554"/>
      <c r="BT184" s="3554"/>
      <c r="BU184" s="3554"/>
      <c r="BV184" s="3554"/>
      <c r="BW184" s="3554"/>
      <c r="BX184" s="3554"/>
      <c r="BY184" s="3554"/>
      <c r="BZ184" s="3554"/>
      <c r="CA184" s="3554"/>
      <c r="CB184" s="3554"/>
      <c r="CC184" s="3554"/>
      <c r="CD184" s="3554"/>
      <c r="CE184" s="3554"/>
      <c r="CF184" s="3554"/>
      <c r="CG184" s="3554"/>
      <c r="CH184" s="3554"/>
      <c r="CI184" s="3554"/>
      <c r="CJ184" s="3554"/>
      <c r="CK184" s="3554"/>
      <c r="CL184" s="3554"/>
      <c r="CM184" s="3554"/>
      <c r="CN184" s="3554"/>
      <c r="CO184" s="3554"/>
      <c r="CP184" s="3554"/>
      <c r="CQ184" s="3554"/>
      <c r="CR184" s="3554"/>
      <c r="CS184" s="3554"/>
      <c r="CT184" s="3592">
        <v>0</v>
      </c>
      <c r="CU184" s="3554"/>
      <c r="CV184" s="3554"/>
      <c r="CW184" s="3554"/>
      <c r="CX184" s="3554"/>
      <c r="CY184" s="3554"/>
      <c r="CZ184" s="3554"/>
      <c r="DA184" s="3554"/>
      <c r="DB184" s="3554"/>
      <c r="DC184" s="3554"/>
      <c r="DD184" s="3554"/>
      <c r="DE184" s="3554"/>
      <c r="DF184" s="3554"/>
      <c r="DG184" s="3554"/>
      <c r="DH184" s="3554"/>
      <c r="DI184" s="3592">
        <v>0</v>
      </c>
      <c r="DJ184" s="3554"/>
      <c r="DK184" s="3554"/>
      <c r="DL184" s="3554"/>
      <c r="DM184" s="3554"/>
      <c r="DN184" s="3554"/>
      <c r="DO184" s="3554"/>
      <c r="DP184" s="3554"/>
      <c r="DQ184" s="3554"/>
      <c r="DR184" s="3554"/>
      <c r="DS184" s="3554"/>
      <c r="DT184" s="3554"/>
      <c r="DU184" s="3554"/>
      <c r="DV184" s="3554"/>
      <c r="DW184" s="3554"/>
      <c r="DX184" s="3554"/>
      <c r="DY184" s="3554"/>
      <c r="DZ184" s="3554"/>
      <c r="EA184" s="3554"/>
      <c r="EB184" s="3554"/>
      <c r="EC184" s="3554"/>
      <c r="ED184" s="3554"/>
      <c r="EE184" s="3554"/>
      <c r="EF184" s="3554"/>
      <c r="EG184" s="3554"/>
      <c r="EH184" s="3554"/>
      <c r="EI184" s="3554"/>
      <c r="EJ184" s="3554"/>
      <c r="EK184" s="3554"/>
      <c r="EL184" s="3554"/>
      <c r="EM184" s="3554"/>
      <c r="EN184" s="3554"/>
      <c r="EO184" s="3554"/>
      <c r="EP184" s="3554"/>
      <c r="EQ184" s="3554"/>
      <c r="ER184" s="3554"/>
      <c r="ES184" s="3554"/>
      <c r="ET184" s="3554"/>
      <c r="EU184" s="3554"/>
      <c r="EV184" s="3554"/>
      <c r="EW184" s="3554"/>
      <c r="EX184" s="3606">
        <v>0</v>
      </c>
      <c r="EY184" s="3554"/>
      <c r="EZ184" s="3554"/>
      <c r="FA184" s="3554"/>
      <c r="FB184" s="3554"/>
      <c r="FC184" s="3554"/>
      <c r="FD184" s="3554"/>
      <c r="FE184" s="3554"/>
      <c r="FF184" s="3554"/>
      <c r="FG184" s="3554"/>
      <c r="FH184" s="3554"/>
      <c r="FI184" s="3554"/>
      <c r="FJ184" s="3554"/>
      <c r="FK184" s="3554"/>
      <c r="FL184" s="3554"/>
      <c r="FM184" s="3554"/>
      <c r="FN184" s="3554"/>
      <c r="FO184" s="3554"/>
      <c r="FP184" s="3554"/>
      <c r="FQ184" s="3554"/>
      <c r="FR184" s="3554"/>
      <c r="FS184" s="3554"/>
      <c r="FT184" s="3554"/>
      <c r="FU184" s="3554"/>
      <c r="FV184" s="3554"/>
      <c r="FW184" s="3554"/>
      <c r="FX184" s="3554"/>
      <c r="FY184" s="3554"/>
      <c r="FZ184" s="3554"/>
      <c r="GA184" s="3554"/>
      <c r="GB184" s="3554"/>
      <c r="GC184" s="3554"/>
      <c r="GD184" s="3554"/>
      <c r="GE184" s="3554"/>
      <c r="GF184" s="3605">
        <v>0</v>
      </c>
      <c r="GG184" s="3554"/>
      <c r="GH184" s="3554"/>
      <c r="GI184" s="3554"/>
      <c r="GJ184" s="3554"/>
      <c r="GK184" s="3554"/>
      <c r="GL184" s="3554"/>
      <c r="GM184" s="3554"/>
      <c r="GN184" s="3554"/>
      <c r="GO184" s="3554"/>
      <c r="GP184" s="3554"/>
      <c r="GQ184" s="3554"/>
      <c r="GR184" s="3554"/>
      <c r="GS184" s="3554"/>
      <c r="GT184" s="3554"/>
      <c r="GU184" s="3554"/>
      <c r="GV184" s="3554"/>
      <c r="GW184" s="3554"/>
      <c r="GX184" s="3554"/>
      <c r="GY184" s="3554"/>
      <c r="GZ184" s="3554"/>
      <c r="HA184" s="3554"/>
      <c r="HB184" s="3554"/>
      <c r="HC184" s="3554"/>
      <c r="HD184" s="3554"/>
      <c r="HE184" s="3554"/>
      <c r="HF184" s="3554"/>
      <c r="HG184" s="3554"/>
      <c r="HH184" s="3554">
        <v>500</v>
      </c>
      <c r="HI184" s="3554"/>
      <c r="HJ184" s="3554">
        <v>0</v>
      </c>
      <c r="HK184" s="3554">
        <v>0</v>
      </c>
      <c r="HL184" s="3554">
        <v>0</v>
      </c>
      <c r="HM184" s="3554">
        <v>0</v>
      </c>
      <c r="HN184" s="3554"/>
      <c r="HO184" s="3554"/>
      <c r="HP184" s="3606">
        <v>0</v>
      </c>
      <c r="HQ184" s="3554"/>
      <c r="HR184" s="3606">
        <v>0</v>
      </c>
      <c r="HS184" s="3554"/>
      <c r="HT184" s="3554"/>
      <c r="HU184" s="3554"/>
      <c r="HV184" s="3554"/>
      <c r="HW184" s="3554"/>
      <c r="HX184" s="3554"/>
      <c r="HY184" s="3554"/>
      <c r="HZ184" s="3554"/>
      <c r="IA184" s="3554"/>
      <c r="IB184" s="3554"/>
      <c r="IC184" s="3554"/>
      <c r="ID184" s="3554"/>
      <c r="IE184" s="3554"/>
      <c r="IF184" s="3554">
        <v>0</v>
      </c>
      <c r="IG184" s="3554"/>
      <c r="IH184" s="3554"/>
      <c r="II184" s="3554"/>
      <c r="IJ184" s="3554"/>
      <c r="IK184" s="3554"/>
      <c r="IL184" s="3554"/>
      <c r="IM184" s="3554"/>
      <c r="IN184" s="3554"/>
      <c r="IO184" s="3554"/>
      <c r="IP184" s="3554"/>
      <c r="IQ184" s="3554"/>
      <c r="IR184" s="3554"/>
      <c r="IS184" s="3554"/>
      <c r="IT184" s="3554"/>
      <c r="IU184" s="3554"/>
      <c r="IV184" s="3554"/>
      <c r="IW184" s="3554"/>
      <c r="IX184" s="3554"/>
      <c r="IY184" s="3554"/>
      <c r="IZ184" s="3554"/>
      <c r="JA184" s="3554"/>
      <c r="JB184" s="3554"/>
      <c r="JC184" s="3554"/>
      <c r="JD184" s="4229"/>
      <c r="JE184" s="4229"/>
      <c r="JF184" s="4229"/>
      <c r="JG184" s="3585"/>
    </row>
    <row ht="13.5" r="185" spans="1:267" thickBot="1" x14ac:dyDescent="0.25">
      <c r="A185" s="3612">
        <v>42</v>
      </c>
      <c r="B185" s="3616" t="str">
        <f si="8" t="shared"/>
        <v/>
      </c>
      <c r="C185" s="34"/>
      <c r="D185" s="3617" t="s">
        <v>8283</v>
      </c>
      <c r="E185" s="3607"/>
      <c r="F185" s="3595"/>
      <c r="G185" s="3608"/>
      <c r="H185" s="3608"/>
      <c r="I185" s="3608"/>
      <c r="J185" s="3608"/>
      <c r="K185" s="3587"/>
      <c r="L185" s="3555"/>
      <c r="M185" s="3555"/>
      <c r="N185" s="3555"/>
      <c r="O185" s="3555"/>
      <c r="P185" s="3555"/>
      <c r="Q185" s="3555"/>
      <c r="R185" s="3555"/>
      <c r="S185" s="3555"/>
      <c r="T185" s="3555"/>
      <c r="U185" s="3555"/>
      <c r="V185" s="3555"/>
      <c r="W185" s="3555"/>
      <c r="X185" s="3555"/>
      <c r="Y185" s="3555"/>
      <c r="Z185" s="3555"/>
      <c r="AA185" s="3555"/>
      <c r="AB185" s="3555"/>
      <c r="AC185" s="3555"/>
      <c r="AD185" s="3555"/>
      <c r="AE185" s="3555"/>
      <c r="AF185" s="3555"/>
      <c r="AG185" s="3555"/>
      <c r="AH185" s="3555"/>
      <c r="AI185" s="3555"/>
      <c r="AJ185" s="3555"/>
      <c r="AK185" s="3555"/>
      <c r="AL185" s="3555"/>
      <c r="AM185" s="3555"/>
      <c r="AN185" s="3555"/>
      <c r="AO185" s="3555"/>
      <c r="AP185" s="3595">
        <v>0</v>
      </c>
      <c r="AQ185" s="3595">
        <v>0</v>
      </c>
      <c r="AR185" s="3555"/>
      <c r="AS185" s="3555"/>
      <c r="AT185" s="3555"/>
      <c r="AU185" s="3555"/>
      <c r="AV185" s="3555"/>
      <c r="AW185" s="3555"/>
      <c r="AX185" s="3555"/>
      <c r="AY185" s="3555"/>
      <c r="AZ185" s="3555"/>
      <c r="BA185" s="3555"/>
      <c r="BB185" s="3595">
        <v>0</v>
      </c>
      <c r="BC185" s="3607">
        <v>0</v>
      </c>
      <c r="BD185" s="3607">
        <v>0</v>
      </c>
      <c r="BE185" s="3555"/>
      <c r="BF185" s="3555"/>
      <c r="BG185" s="3555"/>
      <c r="BH185" s="3555"/>
      <c r="BI185" s="3555"/>
      <c r="BJ185" s="3607">
        <v>0</v>
      </c>
      <c r="BK185" s="3555"/>
      <c r="BL185" s="3555"/>
      <c r="BM185" s="3555"/>
      <c r="BN185" s="3555"/>
      <c r="BO185" s="3555"/>
      <c r="BP185" s="3555"/>
      <c r="BQ185" s="3555"/>
      <c r="BR185" s="3555"/>
      <c r="BS185" s="3555"/>
      <c r="BT185" s="3555"/>
      <c r="BU185" s="3555"/>
      <c r="BV185" s="3555"/>
      <c r="BW185" s="3555"/>
      <c r="BX185" s="3555"/>
      <c r="BY185" s="3555"/>
      <c r="BZ185" s="3555"/>
      <c r="CA185" s="3555"/>
      <c r="CB185" s="3555"/>
      <c r="CC185" s="3555"/>
      <c r="CD185" s="3555"/>
      <c r="CE185" s="3555"/>
      <c r="CF185" s="3555"/>
      <c r="CG185" s="3555"/>
      <c r="CH185" s="3555"/>
      <c r="CI185" s="3555"/>
      <c r="CJ185" s="3555"/>
      <c r="CK185" s="3555"/>
      <c r="CL185" s="3555"/>
      <c r="CM185" s="3555"/>
      <c r="CN185" s="3555"/>
      <c r="CO185" s="3555"/>
      <c r="CP185" s="3555"/>
      <c r="CQ185" s="3555"/>
      <c r="CR185" s="3555"/>
      <c r="CS185" s="3555"/>
      <c r="CT185" s="3595">
        <v>0</v>
      </c>
      <c r="CU185" s="3555"/>
      <c r="CV185" s="3555"/>
      <c r="CW185" s="3555"/>
      <c r="CX185" s="3555"/>
      <c r="CY185" s="3555"/>
      <c r="CZ185" s="3555"/>
      <c r="DA185" s="3555"/>
      <c r="DB185" s="3555"/>
      <c r="DC185" s="3555"/>
      <c r="DD185" s="3555"/>
      <c r="DE185" s="3555"/>
      <c r="DF185" s="3555"/>
      <c r="DG185" s="3555"/>
      <c r="DH185" s="3555"/>
      <c r="DI185" s="3595">
        <v>0</v>
      </c>
      <c r="DJ185" s="3555"/>
      <c r="DK185" s="3555"/>
      <c r="DL185" s="3555"/>
      <c r="DM185" s="3555"/>
      <c r="DN185" s="3555"/>
      <c r="DO185" s="3555"/>
      <c r="DP185" s="3555"/>
      <c r="DQ185" s="3555"/>
      <c r="DR185" s="3555"/>
      <c r="DS185" s="3555"/>
      <c r="DT185" s="3555"/>
      <c r="DU185" s="3555"/>
      <c r="DV185" s="3555"/>
      <c r="DW185" s="3555"/>
      <c r="DX185" s="3555"/>
      <c r="DY185" s="3555"/>
      <c r="DZ185" s="3555"/>
      <c r="EA185" s="3555"/>
      <c r="EB185" s="3555"/>
      <c r="EC185" s="3555"/>
      <c r="ED185" s="3555"/>
      <c r="EE185" s="3555"/>
      <c r="EF185" s="3555"/>
      <c r="EG185" s="3555"/>
      <c r="EH185" s="3555"/>
      <c r="EI185" s="3555"/>
      <c r="EJ185" s="3555"/>
      <c r="EK185" s="3555"/>
      <c r="EL185" s="3555"/>
      <c r="EM185" s="3555"/>
      <c r="EN185" s="3555"/>
      <c r="EO185" s="3555"/>
      <c r="EP185" s="3555"/>
      <c r="EQ185" s="3555"/>
      <c r="ER185" s="3555"/>
      <c r="ES185" s="3555"/>
      <c r="ET185" s="3555"/>
      <c r="EU185" s="3555"/>
      <c r="EV185" s="3555"/>
      <c r="EW185" s="3555"/>
      <c r="EX185" s="3608">
        <v>0</v>
      </c>
      <c r="EY185" s="3555"/>
      <c r="EZ185" s="3555"/>
      <c r="FA185" s="3555"/>
      <c r="FB185" s="3555"/>
      <c r="FC185" s="3555"/>
      <c r="FD185" s="3555"/>
      <c r="FE185" s="3555"/>
      <c r="FF185" s="3555"/>
      <c r="FG185" s="3555"/>
      <c r="FH185" s="3555"/>
      <c r="FI185" s="3555"/>
      <c r="FJ185" s="3555"/>
      <c r="FK185" s="3555"/>
      <c r="FL185" s="3555"/>
      <c r="FM185" s="3555"/>
      <c r="FN185" s="3555"/>
      <c r="FO185" s="3555"/>
      <c r="FP185" s="3555"/>
      <c r="FQ185" s="3555"/>
      <c r="FR185" s="3555"/>
      <c r="FS185" s="3555"/>
      <c r="FT185" s="3555"/>
      <c r="FU185" s="3555"/>
      <c r="FV185" s="3555"/>
      <c r="FW185" s="3555"/>
      <c r="FX185" s="3555"/>
      <c r="FY185" s="3555"/>
      <c r="FZ185" s="3555"/>
      <c r="GA185" s="3555"/>
      <c r="GB185" s="3555"/>
      <c r="GC185" s="3555"/>
      <c r="GD185" s="3555"/>
      <c r="GE185" s="3555"/>
      <c r="GF185" s="3607">
        <v>0</v>
      </c>
      <c r="GG185" s="3555"/>
      <c r="GH185" s="3555"/>
      <c r="GI185" s="3555"/>
      <c r="GJ185" s="3555"/>
      <c r="GK185" s="3555"/>
      <c r="GL185" s="3555"/>
      <c r="GM185" s="3555"/>
      <c r="GN185" s="3555"/>
      <c r="GO185" s="3555"/>
      <c r="GP185" s="3555"/>
      <c r="GQ185" s="3555"/>
      <c r="GR185" s="3555"/>
      <c r="GS185" s="3555"/>
      <c r="GT185" s="3555"/>
      <c r="GU185" s="3555"/>
      <c r="GV185" s="3555"/>
      <c r="GW185" s="3555"/>
      <c r="GX185" s="3555"/>
      <c r="GY185" s="3555"/>
      <c r="GZ185" s="3555"/>
      <c r="HA185" s="3555"/>
      <c r="HB185" s="3555"/>
      <c r="HC185" s="3555"/>
      <c r="HD185" s="3555"/>
      <c r="HE185" s="3555"/>
      <c r="HF185" s="3555"/>
      <c r="HG185" s="3555"/>
      <c r="HH185" s="3587">
        <v>50</v>
      </c>
      <c r="HI185" s="3555"/>
      <c r="HJ185" s="3555">
        <v>0</v>
      </c>
      <c r="HK185" s="3555">
        <v>0</v>
      </c>
      <c r="HL185" s="3555">
        <v>0</v>
      </c>
      <c r="HM185" s="3555">
        <v>0</v>
      </c>
      <c r="HN185" s="3555"/>
      <c r="HO185" s="3555"/>
      <c r="HP185" s="3608">
        <v>0</v>
      </c>
      <c r="HQ185" s="3555"/>
      <c r="HR185" s="3608">
        <v>0</v>
      </c>
      <c r="HS185" s="3555"/>
      <c r="HT185" s="3555"/>
      <c r="HU185" s="3555"/>
      <c r="HV185" s="3555"/>
      <c r="HW185" s="3555"/>
      <c r="HX185" s="3555"/>
      <c r="HY185" s="3555"/>
      <c r="HZ185" s="3555"/>
      <c r="IA185" s="3555"/>
      <c r="IB185" s="3555"/>
      <c r="IC185" s="3555"/>
      <c r="ID185" s="3555"/>
      <c r="IE185" s="3555"/>
      <c r="IF185" s="3555">
        <v>0</v>
      </c>
      <c r="IG185" s="3555"/>
      <c r="IH185" s="3555"/>
      <c r="II185" s="3555"/>
      <c r="IJ185" s="3555"/>
      <c r="IK185" s="3555"/>
      <c r="IL185" s="3555"/>
      <c r="IM185" s="3555"/>
      <c r="IN185" s="3555"/>
      <c r="IO185" s="3555"/>
      <c r="IP185" s="3555"/>
      <c r="IQ185" s="3555"/>
      <c r="IR185" s="3555"/>
      <c r="IS185" s="3555"/>
      <c r="IT185" s="3555"/>
      <c r="IU185" s="3555"/>
      <c r="IV185" s="3555"/>
      <c r="IW185" s="3555"/>
      <c r="IX185" s="3555"/>
      <c r="IY185" s="3555"/>
      <c r="IZ185" s="3555"/>
      <c r="JA185" s="3555"/>
      <c r="JB185" s="3555"/>
      <c r="JC185" s="3555"/>
      <c r="JD185" s="4230"/>
      <c r="JE185" s="4230"/>
      <c r="JF185" s="4230"/>
      <c r="JG185" s="4084"/>
    </row>
  </sheetData>
  <phoneticPr fontId="67" type="noConversion"/>
  <pageMargins bottom="0.19685039370078741" footer="0" header="0" left="0.19685039370078741" right="0.19685039370078741" top="0.19685039370078741"/>
  <pageSetup orientation="portrait" paperSize="9" r:id="rId1" scale="10"/>
  <headerFooter alignWithMargins="0"/>
  <legacyDrawing r:id="rId2"/>
</worksheet>
</file>

<file path=xl/worksheets/sheet17.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68"/>
  <dimension ref="A1:T28"/>
  <sheetViews>
    <sheetView showGridLines="0" workbookViewId="0">
      <pane activePane="bottomLeft" state="frozen" topLeftCell="A2" ySplit="1"/>
      <selection activeCell="E22" pane="bottomLeft" sqref="E22"/>
    </sheetView>
  </sheetViews>
  <sheetFormatPr defaultRowHeight="12.75" x14ac:dyDescent="0.2"/>
  <cols>
    <col min="1" max="1" bestFit="true" customWidth="true" style="1129" width="3.85546875" collapsed="true"/>
    <col min="3" max="3" customWidth="true" width="9.28515625" collapsed="true"/>
    <col min="4" max="4" bestFit="true" customWidth="true" width="78.42578125" collapsed="true"/>
    <col min="5" max="7" customWidth="true" width="10.7109375" collapsed="true"/>
    <col min="8" max="8" bestFit="true" customWidth="true" width="9.28515625" collapsed="true"/>
    <col min="11" max="11" bestFit="true" customWidth="true" width="9.85546875" collapsed="true"/>
    <col min="17" max="17" customWidth="true" width="2.28515625" collapsed="true"/>
    <col min="18" max="18" bestFit="true" customWidth="true" width="10.85546875" collapsed="true"/>
    <col min="19" max="19" customWidth="true" style="4" width="28.140625" collapsed="true"/>
  </cols>
  <sheetData>
    <row r="1" spans="1:19" x14ac:dyDescent="0.2">
      <c r="A1" s="1128" t="s">
        <v>4479</v>
      </c>
      <c r="B1" s="628" t="s">
        <v>3922</v>
      </c>
      <c r="C1" s="1535" t="s">
        <v>3320</v>
      </c>
      <c r="D1" s="1536"/>
      <c r="E1" s="1134">
        <v>1</v>
      </c>
      <c r="F1" s="1134">
        <v>2</v>
      </c>
      <c r="G1" s="1134">
        <v>3</v>
      </c>
      <c r="H1" s="1134">
        <v>4</v>
      </c>
      <c r="I1" s="1134">
        <v>5</v>
      </c>
      <c r="J1" s="1134">
        <v>6</v>
      </c>
      <c r="K1" s="1134">
        <v>7</v>
      </c>
      <c r="L1" s="1134">
        <v>8</v>
      </c>
      <c r="M1" s="1258">
        <v>9</v>
      </c>
      <c r="N1" s="1258">
        <v>10</v>
      </c>
      <c r="O1" s="1258">
        <v>11</v>
      </c>
      <c r="P1" s="1135">
        <v>12</v>
      </c>
      <c r="Q1" s="1233"/>
      <c r="R1" s="1689" t="s">
        <v>5040</v>
      </c>
      <c r="S1" s="1688" t="s">
        <v>6104</v>
      </c>
    </row>
    <row r="2" spans="1:19" x14ac:dyDescent="0.2">
      <c r="A2" s="1128">
        <v>2</v>
      </c>
      <c r="B2" s="1534" t="str">
        <f ref="B2:B25" si="0" t="shared">IF(TRU_IND&gt;1,IF(HLOOKUP(TRU_IND-1,TRU_RANGE,A2)="","",HLOOKUP(TRU_IND-1,TRU_RANGE,A2)),"")</f>
        <v/>
      </c>
      <c r="C2" s="1537" t="s">
        <v>1481</v>
      </c>
      <c r="D2" s="1522" t="s">
        <v>5728</v>
      </c>
      <c r="E2" s="1697"/>
      <c r="F2" s="1697">
        <v>10200</v>
      </c>
      <c r="G2" s="1697"/>
      <c r="H2" s="1694">
        <v>44507</v>
      </c>
      <c r="I2" s="1700"/>
      <c r="J2" s="1700"/>
      <c r="K2" s="1700"/>
      <c r="L2" s="1694"/>
      <c r="M2" s="2879"/>
      <c r="N2" s="2879"/>
      <c r="O2" s="2879"/>
      <c r="P2" s="1695"/>
      <c r="Q2" s="1233"/>
      <c r="R2" s="1689"/>
      <c r="S2" s="1690" t="s">
        <v>6108</v>
      </c>
    </row>
    <row r="3" spans="1:19" x14ac:dyDescent="0.2">
      <c r="A3" s="1128">
        <v>3</v>
      </c>
      <c r="B3" s="1534" t="str">
        <f si="0" t="shared"/>
        <v/>
      </c>
      <c r="C3" s="1537" t="s">
        <v>1482</v>
      </c>
      <c r="D3" s="1522" t="s">
        <v>5729</v>
      </c>
      <c r="E3" s="1693"/>
      <c r="F3" s="1693"/>
      <c r="G3" s="1693"/>
      <c r="H3" s="1694">
        <v>4500</v>
      </c>
      <c r="I3" s="1700"/>
      <c r="J3" s="1700"/>
      <c r="K3" s="1700"/>
      <c r="L3" s="1694"/>
      <c r="M3" s="2879"/>
      <c r="N3" s="2879"/>
      <c r="O3" s="2879"/>
      <c r="P3" s="1695"/>
      <c r="Q3" s="1233"/>
      <c r="R3" s="1691"/>
      <c r="S3" s="1690" t="s">
        <v>6127</v>
      </c>
    </row>
    <row r="4" spans="1:19" x14ac:dyDescent="0.2">
      <c r="A4" s="1128">
        <v>4</v>
      </c>
      <c r="B4" s="1534" t="str">
        <f si="0" t="shared"/>
        <v/>
      </c>
      <c r="C4" s="1537" t="s">
        <v>1483</v>
      </c>
      <c r="D4" s="1522" t="s">
        <v>5730</v>
      </c>
      <c r="E4" s="1693"/>
      <c r="F4" s="1693">
        <v>10568</v>
      </c>
      <c r="G4" s="1693"/>
      <c r="H4" s="1694"/>
      <c r="I4" s="1700"/>
      <c r="J4" s="1700"/>
      <c r="K4" s="1700">
        <v>137238</v>
      </c>
      <c r="L4" s="1694"/>
      <c r="M4" s="2879"/>
      <c r="N4" s="2879"/>
      <c r="O4" s="2879"/>
      <c r="P4" s="1695"/>
      <c r="Q4" s="1233"/>
      <c r="R4" s="1691"/>
      <c r="S4" s="1690" t="s">
        <v>6108</v>
      </c>
    </row>
    <row r="5" spans="1:19" x14ac:dyDescent="0.2">
      <c r="A5" s="1128">
        <v>5</v>
      </c>
      <c r="B5" s="1534" t="str">
        <f si="0" t="shared"/>
        <v/>
      </c>
      <c r="C5" s="1537" t="s">
        <v>1484</v>
      </c>
      <c r="D5" s="1522" t="s">
        <v>5731</v>
      </c>
      <c r="E5" s="1693"/>
      <c r="F5" s="1698">
        <v>800</v>
      </c>
      <c r="G5" s="1693"/>
      <c r="H5" s="1694"/>
      <c r="I5" s="1700"/>
      <c r="J5" s="1700"/>
      <c r="K5" s="1700">
        <v>15726</v>
      </c>
      <c r="L5" s="3830">
        <v>148</v>
      </c>
      <c r="M5" s="2879"/>
      <c r="N5" s="2879"/>
      <c r="O5" s="2879"/>
      <c r="P5" s="1695"/>
      <c r="Q5" s="1233"/>
      <c r="R5" s="1691"/>
      <c r="S5" s="1690" t="s">
        <v>6108</v>
      </c>
    </row>
    <row r="6" spans="1:19" x14ac:dyDescent="0.2">
      <c r="A6" s="1128">
        <v>6</v>
      </c>
      <c r="B6" s="1534" t="str">
        <f si="0" t="shared"/>
        <v/>
      </c>
      <c r="C6" s="1537" t="s">
        <v>1485</v>
      </c>
      <c r="D6" s="1522" t="s">
        <v>5732</v>
      </c>
      <c r="E6" s="1693"/>
      <c r="F6" s="1699">
        <v>2278</v>
      </c>
      <c r="G6" s="1693"/>
      <c r="H6" s="1694"/>
      <c r="I6" s="1700"/>
      <c r="J6" s="1700"/>
      <c r="K6" s="1700">
        <v>26811</v>
      </c>
      <c r="L6" s="3830">
        <v>8861</v>
      </c>
      <c r="M6" s="2879"/>
      <c r="N6" s="2879"/>
      <c r="O6" s="2879"/>
      <c r="P6" s="1695"/>
      <c r="Q6" s="1233"/>
      <c r="R6" s="1691"/>
      <c r="S6" s="1690" t="s">
        <v>6108</v>
      </c>
    </row>
    <row r="7" spans="1:19" x14ac:dyDescent="0.2">
      <c r="A7" s="1128">
        <v>7</v>
      </c>
      <c r="B7" s="1534" t="str">
        <f si="0" t="shared"/>
        <v/>
      </c>
      <c r="C7" s="1538" t="s">
        <v>1486</v>
      </c>
      <c r="D7" s="1394" t="s">
        <v>5733</v>
      </c>
      <c r="E7" s="1540" t="s">
        <v>1189</v>
      </c>
      <c r="F7" s="1540" t="s">
        <v>1189</v>
      </c>
      <c r="G7" s="1540" t="s">
        <v>1189</v>
      </c>
      <c r="H7" s="1295" t="s">
        <v>1189</v>
      </c>
      <c r="I7" s="1294" t="s">
        <v>1189</v>
      </c>
      <c r="J7" s="1294" t="s">
        <v>1189</v>
      </c>
      <c r="K7" s="1294" t="s">
        <v>572</v>
      </c>
      <c r="L7" s="2378"/>
      <c r="M7" s="2880"/>
      <c r="N7" s="2880"/>
      <c r="O7" s="2880"/>
      <c r="P7" s="1539"/>
      <c r="Q7" s="1523"/>
      <c r="R7" s="1691"/>
      <c r="S7" s="1690" t="s">
        <v>6111</v>
      </c>
    </row>
    <row r="8" spans="1:19" x14ac:dyDescent="0.2">
      <c r="A8" s="1128">
        <v>8</v>
      </c>
      <c r="B8" s="1534" t="str">
        <f si="0" t="shared"/>
        <v/>
      </c>
      <c r="C8" s="1537" t="s">
        <v>3038</v>
      </c>
      <c r="D8" s="1522" t="s">
        <v>5734</v>
      </c>
      <c r="E8" s="1692"/>
      <c r="F8" s="1692"/>
      <c r="G8" s="1693">
        <v>451</v>
      </c>
      <c r="H8" s="1694"/>
      <c r="I8" s="1700">
        <v>239</v>
      </c>
      <c r="J8" s="1700"/>
      <c r="K8" s="1700">
        <v>1476</v>
      </c>
      <c r="L8" s="2550"/>
      <c r="M8" s="2879"/>
      <c r="N8" s="2879"/>
      <c r="O8" s="2879"/>
      <c r="P8" s="1695"/>
      <c r="Q8" s="1233"/>
      <c r="R8" s="1691"/>
      <c r="S8" s="1690" t="s">
        <v>6108</v>
      </c>
    </row>
    <row r="9" spans="1:19" x14ac:dyDescent="0.2">
      <c r="A9" s="1128">
        <v>9</v>
      </c>
      <c r="B9" s="1534" t="str">
        <f si="0" t="shared"/>
        <v/>
      </c>
      <c r="C9" s="1537" t="s">
        <v>3039</v>
      </c>
      <c r="D9" s="1522" t="s">
        <v>5735</v>
      </c>
      <c r="E9" s="1696"/>
      <c r="F9" s="1696"/>
      <c r="G9" s="1696">
        <v>116</v>
      </c>
      <c r="H9" s="1694"/>
      <c r="I9" s="1700">
        <v>523</v>
      </c>
      <c r="J9" s="1700">
        <v>800</v>
      </c>
      <c r="K9" s="1700">
        <v>200</v>
      </c>
      <c r="L9" s="3830">
        <v>778</v>
      </c>
      <c r="M9" s="2879"/>
      <c r="N9" s="2879"/>
      <c r="O9" s="2879"/>
      <c r="P9" s="1695"/>
      <c r="Q9" s="1233"/>
      <c r="R9" s="1691"/>
      <c r="S9" s="1690" t="s">
        <v>6108</v>
      </c>
    </row>
    <row r="10" spans="1:19" x14ac:dyDescent="0.2">
      <c r="A10" s="1128">
        <v>10</v>
      </c>
      <c r="B10" s="1534" t="str">
        <f si="0" t="shared"/>
        <v/>
      </c>
      <c r="C10" s="1537" t="s">
        <v>3040</v>
      </c>
      <c r="D10" s="1522" t="s">
        <v>5736</v>
      </c>
      <c r="E10" s="1696"/>
      <c r="F10" s="1696"/>
      <c r="G10" s="1696">
        <v>59</v>
      </c>
      <c r="H10" s="1694"/>
      <c r="I10" s="1700"/>
      <c r="J10" s="1700"/>
      <c r="K10" s="1700">
        <v>23696</v>
      </c>
      <c r="L10" s="3830">
        <v>155</v>
      </c>
      <c r="M10" s="2879"/>
      <c r="N10" s="2879"/>
      <c r="O10" s="2879"/>
      <c r="P10" s="1695"/>
      <c r="Q10" s="1233"/>
      <c r="R10" s="1691"/>
      <c r="S10" s="1690" t="s">
        <v>6108</v>
      </c>
    </row>
    <row r="11" spans="1:19" x14ac:dyDescent="0.2">
      <c r="A11" s="1128">
        <v>11</v>
      </c>
      <c r="B11" s="1534" t="str">
        <f si="0" t="shared"/>
        <v/>
      </c>
      <c r="C11" s="1537" t="s">
        <v>3041</v>
      </c>
      <c r="D11" s="1522" t="s">
        <v>5737</v>
      </c>
      <c r="E11" s="1696"/>
      <c r="F11" s="1696"/>
      <c r="G11" s="1696">
        <v>3200</v>
      </c>
      <c r="H11" s="1694"/>
      <c r="I11" s="1700"/>
      <c r="J11" s="1700"/>
      <c r="K11" s="1700"/>
      <c r="L11" s="2550"/>
      <c r="M11" s="2879"/>
      <c r="N11" s="2879"/>
      <c r="O11" s="2879"/>
      <c r="P11" s="1695"/>
      <c r="Q11" s="1233"/>
      <c r="R11" s="1691"/>
      <c r="S11" s="1690" t="s">
        <v>6108</v>
      </c>
    </row>
    <row r="12" spans="1:19" x14ac:dyDescent="0.2">
      <c r="A12" s="1128">
        <v>12</v>
      </c>
      <c r="B12" s="1534" t="str">
        <f si="0" t="shared"/>
        <v/>
      </c>
      <c r="C12" s="1537" t="s">
        <v>3042</v>
      </c>
      <c r="D12" s="1522" t="s">
        <v>5738</v>
      </c>
      <c r="E12" s="1696"/>
      <c r="F12" s="1696"/>
      <c r="G12" s="1696"/>
      <c r="H12" s="1694"/>
      <c r="I12" s="1700">
        <v>40</v>
      </c>
      <c r="J12" s="1700">
        <v>1762</v>
      </c>
      <c r="K12" s="1700"/>
      <c r="L12" s="2550"/>
      <c r="M12" s="2879"/>
      <c r="N12" s="2879"/>
      <c r="O12" s="2879"/>
      <c r="P12" s="1695"/>
      <c r="Q12" s="1233"/>
      <c r="R12" s="1691"/>
      <c r="S12" s="1690" t="s">
        <v>6108</v>
      </c>
    </row>
    <row r="13" spans="1:19" x14ac:dyDescent="0.2">
      <c r="A13" s="1128">
        <v>13</v>
      </c>
      <c r="B13" s="1534" t="str">
        <f si="0" t="shared"/>
        <v/>
      </c>
      <c r="C13" s="1537" t="s">
        <v>2756</v>
      </c>
      <c r="D13" s="1522" t="s">
        <v>5739</v>
      </c>
      <c r="E13" s="1696"/>
      <c r="F13" s="1696"/>
      <c r="G13" s="1696"/>
      <c r="H13" s="1694"/>
      <c r="I13" s="1700">
        <v>6034</v>
      </c>
      <c r="J13" s="1700">
        <v>4468</v>
      </c>
      <c r="K13" s="1700"/>
      <c r="L13" s="3830">
        <v>10998</v>
      </c>
      <c r="M13" s="2879"/>
      <c r="N13" s="2879"/>
      <c r="O13" s="2879"/>
      <c r="P13" s="1695"/>
      <c r="Q13" s="1233"/>
      <c r="R13" s="1691"/>
      <c r="S13" s="1690" t="s">
        <v>6108</v>
      </c>
    </row>
    <row r="14" spans="1:19" x14ac:dyDescent="0.2">
      <c r="A14" s="1128">
        <v>14</v>
      </c>
      <c r="B14" s="1534" t="str">
        <f si="0" t="shared"/>
        <v/>
      </c>
      <c r="C14" s="1537" t="s">
        <v>1744</v>
      </c>
      <c r="D14" s="1522" t="s">
        <v>5740</v>
      </c>
      <c r="E14" s="1696"/>
      <c r="F14" s="1696"/>
      <c r="G14" s="1696">
        <v>246</v>
      </c>
      <c r="H14" s="1694"/>
      <c r="I14" s="1700"/>
      <c r="J14" s="1700"/>
      <c r="K14" s="1700"/>
      <c r="L14" s="1694"/>
      <c r="M14" s="2879"/>
      <c r="N14" s="2879"/>
      <c r="O14" s="2879"/>
      <c r="P14" s="1695"/>
      <c r="Q14" s="1233"/>
      <c r="R14" s="1691"/>
      <c r="S14" s="1690" t="s">
        <v>6108</v>
      </c>
    </row>
    <row r="15" spans="1:19" x14ac:dyDescent="0.2">
      <c r="A15" s="1128">
        <v>15</v>
      </c>
      <c r="B15" s="1534" t="str">
        <f si="0" t="shared"/>
        <v/>
      </c>
      <c r="C15" s="1537" t="s">
        <v>1745</v>
      </c>
      <c r="D15" s="1522" t="s">
        <v>5741</v>
      </c>
      <c r="E15" s="1696"/>
      <c r="F15" s="1696"/>
      <c r="G15" s="1696"/>
      <c r="H15" s="1694"/>
      <c r="I15" s="1700">
        <v>48</v>
      </c>
      <c r="J15" s="1700"/>
      <c r="K15" s="1700"/>
      <c r="L15" s="1694"/>
      <c r="M15" s="2879"/>
      <c r="N15" s="2879"/>
      <c r="O15" s="2879"/>
      <c r="P15" s="1695"/>
      <c r="Q15" s="1233"/>
      <c r="R15" s="1691"/>
      <c r="S15" s="1690" t="s">
        <v>6108</v>
      </c>
    </row>
    <row r="16" spans="1:19" x14ac:dyDescent="0.2">
      <c r="A16" s="1128">
        <v>16</v>
      </c>
      <c r="B16" s="1534" t="str">
        <f si="0" t="shared"/>
        <v/>
      </c>
      <c r="C16" s="1537" t="s">
        <v>1746</v>
      </c>
      <c r="D16" s="1522" t="s">
        <v>5742</v>
      </c>
      <c r="E16" s="1696">
        <v>1808</v>
      </c>
      <c r="F16" s="1696"/>
      <c r="G16" s="1696"/>
      <c r="H16" s="1694"/>
      <c r="I16" s="1700"/>
      <c r="J16" s="1700"/>
      <c r="K16" s="1700"/>
      <c r="L16" s="1694"/>
      <c r="M16" s="2879"/>
      <c r="N16" s="2879"/>
      <c r="O16" s="2879"/>
      <c r="P16" s="1695"/>
      <c r="Q16" s="1233"/>
      <c r="R16" s="1691"/>
      <c r="S16" s="1690" t="s">
        <v>6108</v>
      </c>
    </row>
    <row r="17" spans="1:19" x14ac:dyDescent="0.2">
      <c r="A17" s="1128">
        <v>17</v>
      </c>
      <c r="B17" s="1534" t="str">
        <f si="0" t="shared"/>
        <v/>
      </c>
      <c r="C17" s="1537" t="s">
        <v>1747</v>
      </c>
      <c r="D17" s="1522" t="s">
        <v>5743</v>
      </c>
      <c r="E17" s="1696">
        <v>1379</v>
      </c>
      <c r="F17" s="1696"/>
      <c r="G17" s="1696"/>
      <c r="H17" s="1694"/>
      <c r="I17" s="1700"/>
      <c r="J17" s="1700"/>
      <c r="K17" s="1700"/>
      <c r="L17" s="1694"/>
      <c r="M17" s="2879"/>
      <c r="N17" s="2879"/>
      <c r="O17" s="2879"/>
      <c r="P17" s="1695"/>
      <c r="Q17" s="1233"/>
      <c r="R17" s="1691"/>
      <c r="S17" s="1690" t="s">
        <v>6108</v>
      </c>
    </row>
    <row r="18" spans="1:19" x14ac:dyDescent="0.2">
      <c r="A18" s="1128">
        <v>18</v>
      </c>
      <c r="B18" s="1534" t="str">
        <f si="0" t="shared"/>
        <v/>
      </c>
      <c r="C18" s="1537" t="s">
        <v>1748</v>
      </c>
      <c r="D18" s="1522" t="s">
        <v>5744</v>
      </c>
      <c r="E18" s="1696">
        <v>122</v>
      </c>
      <c r="F18" s="1696"/>
      <c r="G18" s="1696"/>
      <c r="H18" s="1694"/>
      <c r="I18" s="1700"/>
      <c r="J18" s="1700"/>
      <c r="K18" s="1700"/>
      <c r="L18" s="1694"/>
      <c r="M18" s="2879"/>
      <c r="N18" s="2879"/>
      <c r="O18" s="2879"/>
      <c r="P18" s="1695"/>
      <c r="Q18" s="1233"/>
      <c r="R18" s="1691"/>
      <c r="S18" s="1690" t="s">
        <v>6108</v>
      </c>
    </row>
    <row r="19" spans="1:19" x14ac:dyDescent="0.2">
      <c r="A19" s="1128">
        <v>19</v>
      </c>
      <c r="B19" s="1534" t="str">
        <f si="0" t="shared"/>
        <v/>
      </c>
      <c r="C19" s="1537" t="s">
        <v>23</v>
      </c>
      <c r="D19" s="1522" t="s">
        <v>5745</v>
      </c>
      <c r="E19" s="1696">
        <v>259</v>
      </c>
      <c r="F19" s="1696"/>
      <c r="G19" s="1696"/>
      <c r="H19" s="1694"/>
      <c r="I19" s="1700"/>
      <c r="J19" s="1700">
        <v>11984</v>
      </c>
      <c r="K19" s="1700"/>
      <c r="L19" s="1694"/>
      <c r="M19" s="2879"/>
      <c r="N19" s="2879"/>
      <c r="O19" s="2879"/>
      <c r="P19" s="1695"/>
      <c r="Q19" s="1233"/>
      <c r="R19" s="1691"/>
      <c r="S19" s="1690" t="s">
        <v>6108</v>
      </c>
    </row>
    <row r="20" spans="1:19" x14ac:dyDescent="0.2">
      <c r="A20" s="1128">
        <v>20</v>
      </c>
      <c r="B20" s="1534" t="str">
        <f si="0" t="shared"/>
        <v/>
      </c>
      <c r="C20" s="1537" t="s">
        <v>24</v>
      </c>
      <c r="D20" s="1522" t="s">
        <v>5746</v>
      </c>
      <c r="E20" s="1696">
        <v>400</v>
      </c>
      <c r="F20" s="1696"/>
      <c r="G20" s="1696"/>
      <c r="H20" s="1694"/>
      <c r="I20" s="1700"/>
      <c r="J20" s="1700"/>
      <c r="K20" s="1700"/>
      <c r="L20" s="1694"/>
      <c r="M20" s="2879"/>
      <c r="N20" s="2879"/>
      <c r="O20" s="2879"/>
      <c r="P20" s="1695"/>
      <c r="Q20" s="1233"/>
      <c r="R20" s="1691"/>
      <c r="S20" s="1690" t="s">
        <v>6108</v>
      </c>
    </row>
    <row r="21" spans="1:19" x14ac:dyDescent="0.2">
      <c r="A21" s="1128">
        <v>21</v>
      </c>
      <c r="B21" s="1534" t="str">
        <f si="0" t="shared"/>
        <v/>
      </c>
      <c r="C21" s="1537" t="s">
        <v>25</v>
      </c>
      <c r="D21" s="1522" t="s">
        <v>5747</v>
      </c>
      <c r="E21" s="1696">
        <v>90</v>
      </c>
      <c r="F21" s="1696"/>
      <c r="G21" s="1696"/>
      <c r="H21" s="1694"/>
      <c r="I21" s="1700"/>
      <c r="J21" s="1700"/>
      <c r="K21" s="1700"/>
      <c r="L21" s="1694"/>
      <c r="M21" s="2879"/>
      <c r="N21" s="2879"/>
      <c r="O21" s="2879"/>
      <c r="P21" s="1695"/>
      <c r="Q21" s="1233"/>
      <c r="R21" s="1691"/>
      <c r="S21" s="1690" t="s">
        <v>6108</v>
      </c>
    </row>
    <row r="22" spans="1:19" x14ac:dyDescent="0.2">
      <c r="A22" s="1819">
        <v>22</v>
      </c>
      <c r="B22" s="1820" t="str">
        <f si="0" t="shared"/>
        <v/>
      </c>
      <c r="C22" s="1821" t="s">
        <v>26</v>
      </c>
      <c r="D22" s="1822" t="s">
        <v>5748</v>
      </c>
      <c r="E22" s="1823"/>
      <c r="F22" s="1823"/>
      <c r="G22" s="1823"/>
      <c r="H22" s="1824"/>
      <c r="I22" s="1824"/>
      <c r="J22" s="1824"/>
      <c r="K22" s="1824"/>
      <c r="L22" s="1824"/>
      <c r="M22" s="2881"/>
      <c r="N22" s="2881"/>
      <c r="O22" s="2881"/>
      <c r="P22" s="1825"/>
      <c r="Q22" s="1233"/>
      <c r="R22" s="1849" t="s">
        <v>6130</v>
      </c>
      <c r="S22" s="1849" t="s">
        <v>6130</v>
      </c>
    </row>
    <row r="23" spans="1:19" x14ac:dyDescent="0.2">
      <c r="A23" s="1128">
        <v>23</v>
      </c>
      <c r="B23" s="1534" t="str">
        <f si="0" t="shared"/>
        <v/>
      </c>
      <c r="C23" s="1537" t="s">
        <v>27</v>
      </c>
      <c r="D23" s="1522" t="s">
        <v>5749</v>
      </c>
      <c r="E23" s="1696"/>
      <c r="F23" s="1696">
        <v>230</v>
      </c>
      <c r="G23" s="1696"/>
      <c r="H23" s="1694">
        <v>55640</v>
      </c>
      <c r="I23" s="1700"/>
      <c r="J23" s="1700">
        <v>33799</v>
      </c>
      <c r="K23" s="1700"/>
      <c r="L23" s="1694"/>
      <c r="M23" s="2879"/>
      <c r="N23" s="2879"/>
      <c r="O23" s="2879"/>
      <c r="P23" s="1695"/>
      <c r="Q23" s="1233"/>
      <c r="R23" s="1691"/>
      <c r="S23" s="1690" t="s">
        <v>6108</v>
      </c>
    </row>
    <row r="24" spans="1:19" x14ac:dyDescent="0.2">
      <c r="A24" s="1128">
        <v>24</v>
      </c>
      <c r="B24" s="1534" t="str">
        <f si="0" t="shared"/>
        <v/>
      </c>
      <c r="C24" s="1537" t="s">
        <v>28</v>
      </c>
      <c r="D24" s="1522" t="s">
        <v>5750</v>
      </c>
      <c r="E24" s="1696"/>
      <c r="F24" s="1696"/>
      <c r="G24" s="1696"/>
      <c r="H24" s="1694"/>
      <c r="I24" s="1700"/>
      <c r="J24" s="1700">
        <v>2716</v>
      </c>
      <c r="K24" s="1700"/>
      <c r="L24" s="1694"/>
      <c r="M24" s="2879"/>
      <c r="N24" s="2879"/>
      <c r="O24" s="2879"/>
      <c r="P24" s="1695"/>
      <c r="Q24" s="1233"/>
      <c r="R24" s="1691"/>
      <c r="S24" s="1690" t="s">
        <v>6108</v>
      </c>
    </row>
    <row r="25" spans="1:19" x14ac:dyDescent="0.2">
      <c r="A25" s="1128">
        <v>25</v>
      </c>
      <c r="B25" s="1534" t="str">
        <f si="0" t="shared"/>
        <v/>
      </c>
      <c r="C25" s="1537" t="s">
        <v>29</v>
      </c>
      <c r="D25" s="1522" t="s">
        <v>5751</v>
      </c>
      <c r="E25" s="1696"/>
      <c r="F25" s="1696"/>
      <c r="G25" s="1696"/>
      <c r="H25" s="1694">
        <v>1850</v>
      </c>
      <c r="I25" s="1700"/>
      <c r="J25" s="1700"/>
      <c r="K25" s="1700"/>
      <c r="L25" s="1694"/>
      <c r="M25" s="2879"/>
      <c r="N25" s="2879"/>
      <c r="O25" s="2879"/>
      <c r="P25" s="1695"/>
      <c r="Q25" s="1233"/>
      <c r="R25" s="1691"/>
      <c r="S25" s="1690" t="s">
        <v>6108</v>
      </c>
    </row>
    <row r="26" spans="1:19" x14ac:dyDescent="0.2">
      <c r="A26" s="1128">
        <v>26</v>
      </c>
      <c r="B26" s="1534" t="str">
        <f>IF(TRU_IND&gt;1,IF(HLOOKUP(TRU_IND-1,TRU_RANGE,A26)="","",HLOOKUP(TRU_IND-1,TRU_RANGE,A26)),"")</f>
        <v/>
      </c>
      <c r="C26" s="1537" t="s">
        <v>1032</v>
      </c>
      <c r="D26" s="1522" t="s">
        <v>6444</v>
      </c>
      <c r="E26" s="2257"/>
      <c r="F26" s="2257"/>
      <c r="G26" s="2257"/>
      <c r="H26" s="1700"/>
      <c r="I26" s="1700"/>
      <c r="J26" s="1700"/>
      <c r="K26" s="1700">
        <v>1200</v>
      </c>
      <c r="L26" s="1700"/>
      <c r="M26" s="2882"/>
      <c r="N26" s="2882"/>
      <c r="O26" s="2882"/>
      <c r="P26" s="2258"/>
      <c r="Q26" s="1233"/>
      <c r="R26" s="2260"/>
      <c r="S26" s="2259" t="s">
        <v>6108</v>
      </c>
    </row>
    <row r="27" spans="1:19" x14ac:dyDescent="0.2">
      <c r="A27" s="1128">
        <v>27</v>
      </c>
      <c r="B27" s="1534" t="str">
        <f>IF(TRU_IND&gt;1,IF(HLOOKUP(TRU_IND-1,TRU_RANGE,A27)="","",HLOOKUP(TRU_IND-1,TRU_RANGE,A27)),"")</f>
        <v/>
      </c>
      <c r="C27" s="1537" t="s">
        <v>6878</v>
      </c>
      <c r="D27" s="1522" t="s">
        <v>7284</v>
      </c>
      <c r="E27" s="2257"/>
      <c r="F27" s="2257"/>
      <c r="G27" s="2257"/>
      <c r="H27" s="1700"/>
      <c r="I27" s="1700"/>
      <c r="J27" s="1700"/>
      <c r="K27" s="1700">
        <v>500</v>
      </c>
      <c r="L27" s="1700"/>
      <c r="M27" s="2882"/>
      <c r="N27" s="2882"/>
      <c r="O27" s="2882"/>
      <c r="P27" s="2258"/>
      <c r="Q27" s="1233"/>
      <c r="R27" s="2260"/>
      <c r="S27" s="2259" t="s">
        <v>6124</v>
      </c>
    </row>
    <row ht="13.5" r="28" spans="1:19" thickBot="1" x14ac:dyDescent="0.25">
      <c r="A28" s="1128">
        <v>28</v>
      </c>
      <c r="B28" s="1534" t="str">
        <f>IF(TRU_IND&gt;1,IF(HLOOKUP(TRU_IND-1,TRU_RANGE,A28)="","",HLOOKUP(TRU_IND-1,TRU_RANGE,A28)),"")</f>
        <v/>
      </c>
      <c r="C28" s="2953" t="s">
        <v>6287</v>
      </c>
      <c r="D28" s="2954" t="s">
        <v>5752</v>
      </c>
      <c r="E28" s="2955"/>
      <c r="F28" s="1541"/>
      <c r="G28" s="1541"/>
      <c r="H28" s="1263"/>
      <c r="I28" s="1826"/>
      <c r="J28" s="1826"/>
      <c r="K28" s="1826"/>
      <c r="L28" s="1263"/>
      <c r="M28" s="2074"/>
      <c r="N28" s="2074"/>
      <c r="O28" s="2074"/>
      <c r="P28" s="1378"/>
      <c r="Q28" s="1233"/>
      <c r="R28" s="1691"/>
      <c r="S28" s="1690" t="s">
        <v>6112</v>
      </c>
    </row>
  </sheetData>
  <phoneticPr fontId="67" type="noConversion"/>
  <dataValidations count="1">
    <dataValidation allowBlank="1" showErrorMessage="1" showInputMessage="1" sqref="S2:S21 S23:S28" type="list" xr:uid="{00000000-0002-0000-1000-000000000000}">
      <formula1>allowedTypes</formula1>
    </dataValidation>
  </dataValidations>
  <pageMargins bottom="0.196850393700787" footer="0" header="0" left="0.196850393700787" right="0.196850393700787" top="0.196850393700787"/>
  <pageSetup orientation="landscape" paperSize="9" r:id="rId1"/>
  <headerFooter alignWithMargins="0"/>
</worksheet>
</file>

<file path=xl/worksheets/sheet18.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xmlns:xr="http://schemas.microsoft.com/office/spreadsheetml/2014/revision" xmlns:xr2="http://schemas.microsoft.com/office/spreadsheetml/2015/revision2" xmlns:xr3="http://schemas.microsoft.com/office/spreadsheetml/2016/revision3" mc:Ignorable="x14ac xr xr2 xr3" xr:uid="{00000000-0001-0000-1100-000000000000}">
  <sheetPr codeName="Sheet69">
    <tabColor theme="9" tint="0.39997558519241921"/>
  </sheetPr>
  <dimension ref="A1:JM132"/>
  <sheetViews>
    <sheetView showGridLines="0" workbookViewId="0">
      <pane activePane="bottomRight" state="frozen" topLeftCell="E104" xSplit="3" ySplit="1"/>
      <selection activeCell="JF25" sqref="JF25"/>
      <selection activeCell="JF25" pane="topRight" sqref="JF25"/>
      <selection activeCell="JF25" pane="bottomLeft" sqref="JF25"/>
      <selection activeCell="J123" pane="bottomRight" sqref="J123"/>
    </sheetView>
  </sheetViews>
  <sheetFormatPr defaultColWidth="9.140625" defaultRowHeight="12" x14ac:dyDescent="0.2"/>
  <cols>
    <col min="1" max="1" bestFit="true" customWidth="true" style="1127" width="3.85546875" collapsed="true"/>
    <col min="2" max="2" customWidth="true" style="181" width="11.0" collapsed="true"/>
    <col min="3" max="3" style="381" width="9.140625" collapsed="true"/>
    <col min="4" max="4" customWidth="true" style="1138" width="36.42578125" collapsed="true"/>
    <col min="5" max="7" bestFit="true" customWidth="true" style="181" width="10.85546875" collapsed="true"/>
    <col min="8" max="8" customWidth="true" style="181" width="10.7109375" collapsed="true"/>
    <col min="9" max="9" bestFit="true" customWidth="true" style="181" width="10.85546875" collapsed="true"/>
    <col min="10" max="10" bestFit="true" customWidth="true" style="181" width="11.0" collapsed="true"/>
    <col min="11" max="11" bestFit="true" customWidth="true" style="181" width="10.85546875" collapsed="true"/>
    <col min="12" max="13" bestFit="true" customWidth="true" style="181" width="10.0" collapsed="true"/>
    <col min="14" max="14" bestFit="true" customWidth="true" style="181" width="9.85546875" collapsed="true"/>
    <col min="15" max="15" bestFit="true" customWidth="true" style="181" width="11.0" collapsed="true"/>
    <col min="16" max="261" customWidth="true" style="181" width="11.0" collapsed="true"/>
    <col min="262" max="262" bestFit="true" customWidth="true" style="181" width="12.42578125" collapsed="true"/>
    <col min="263" max="266" customWidth="true" style="181" width="11.0" collapsed="true"/>
    <col min="267" max="267" bestFit="true" customWidth="true" style="181" width="11.0" collapsed="true"/>
    <col min="268" max="268" customWidth="true" style="181" width="2.140625" collapsed="true"/>
    <col min="269" max="269" customWidth="true" style="181" width="60.140625" collapsed="true"/>
    <col min="270" max="270" customWidth="true" style="4" width="22.7109375" collapsed="true"/>
    <col min="271" max="271" bestFit="true" customWidth="true" style="181" width="10.5703125" collapsed="true"/>
    <col min="272" max="272" bestFit="true" customWidth="true" style="181" width="35.140625" collapsed="true"/>
    <col min="273" max="16384" style="181" width="9.140625" collapsed="true"/>
  </cols>
  <sheetData>
    <row ht="13.5" r="1" spans="1:272" thickBot="1" x14ac:dyDescent="0.25">
      <c r="E1" s="1286">
        <v>1</v>
      </c>
      <c r="F1" s="1286">
        <v>2</v>
      </c>
      <c r="G1" s="1286">
        <v>3</v>
      </c>
      <c r="H1" s="1286">
        <v>4</v>
      </c>
      <c r="I1" s="1286">
        <v>5</v>
      </c>
      <c r="J1" s="1286">
        <v>6</v>
      </c>
      <c r="K1" s="1286">
        <v>7</v>
      </c>
      <c r="L1" s="1286">
        <v>8</v>
      </c>
      <c r="M1" s="1286">
        <v>9</v>
      </c>
      <c r="N1" s="1066">
        <v>10</v>
      </c>
      <c r="O1" s="1880">
        <v>11</v>
      </c>
      <c r="P1" s="2029">
        <v>12</v>
      </c>
      <c r="Q1" s="1880">
        <v>13</v>
      </c>
      <c r="R1" s="2029">
        <v>14</v>
      </c>
      <c r="S1" s="1880">
        <v>15</v>
      </c>
      <c r="T1" s="2029">
        <v>16</v>
      </c>
      <c r="U1" s="1880">
        <v>17</v>
      </c>
      <c r="V1" s="2029">
        <v>18</v>
      </c>
      <c r="W1" s="1880">
        <v>19</v>
      </c>
      <c r="X1" s="2029">
        <v>20</v>
      </c>
      <c r="Y1" s="1880">
        <v>21</v>
      </c>
      <c r="Z1" s="2029">
        <v>22</v>
      </c>
      <c r="AA1" s="1880">
        <v>23</v>
      </c>
      <c r="AB1" s="2029">
        <v>24</v>
      </c>
      <c r="AC1" s="1880">
        <v>25</v>
      </c>
      <c r="AD1" s="2029">
        <v>26</v>
      </c>
      <c r="AE1" s="1880">
        <v>27</v>
      </c>
      <c r="AF1" s="2029">
        <v>28</v>
      </c>
      <c r="AG1" s="1880">
        <v>29</v>
      </c>
      <c r="AH1" s="2029">
        <v>30</v>
      </c>
      <c r="AI1" s="1880">
        <v>31</v>
      </c>
      <c r="AJ1" s="2029">
        <v>32</v>
      </c>
      <c r="AK1" s="1880">
        <v>33</v>
      </c>
      <c r="AL1" s="2029">
        <v>34</v>
      </c>
      <c r="AM1" s="1880">
        <v>35</v>
      </c>
      <c r="AN1" s="2029">
        <v>36</v>
      </c>
      <c r="AO1" s="1880">
        <v>37</v>
      </c>
      <c r="AP1" s="2029">
        <v>38</v>
      </c>
      <c r="AQ1" s="1880">
        <v>39</v>
      </c>
      <c r="AR1" s="2029">
        <v>40</v>
      </c>
      <c r="AS1" s="1880">
        <v>41</v>
      </c>
      <c r="AT1" s="2029">
        <v>42</v>
      </c>
      <c r="AU1" s="1880">
        <v>43</v>
      </c>
      <c r="AV1" s="2029">
        <v>44</v>
      </c>
      <c r="AW1" s="1880">
        <v>45</v>
      </c>
      <c r="AX1" s="2029">
        <v>46</v>
      </c>
      <c r="AY1" s="1880">
        <v>47</v>
      </c>
      <c r="AZ1" s="2029">
        <v>48</v>
      </c>
      <c r="BA1" s="1880">
        <v>49</v>
      </c>
      <c r="BB1" s="2029">
        <v>50</v>
      </c>
      <c r="BC1" s="1880">
        <v>51</v>
      </c>
      <c r="BD1" s="2029">
        <v>52</v>
      </c>
      <c r="BE1" s="1880">
        <v>53</v>
      </c>
      <c r="BF1" s="2029">
        <v>54</v>
      </c>
      <c r="BG1" s="1880">
        <v>55</v>
      </c>
      <c r="BH1" s="2029">
        <v>56</v>
      </c>
      <c r="BI1" s="1880">
        <v>57</v>
      </c>
      <c r="BJ1" s="2029">
        <v>58</v>
      </c>
      <c r="BK1" s="1880">
        <v>59</v>
      </c>
      <c r="BL1" s="2029">
        <v>60</v>
      </c>
      <c r="BM1" s="1880">
        <v>61</v>
      </c>
      <c r="BN1" s="2029">
        <v>62</v>
      </c>
      <c r="BO1" s="1880">
        <v>63</v>
      </c>
      <c r="BP1" s="2029">
        <v>64</v>
      </c>
      <c r="BQ1" s="1880">
        <v>65</v>
      </c>
      <c r="BR1" s="2029">
        <v>66</v>
      </c>
      <c r="BS1" s="1880">
        <v>67</v>
      </c>
      <c r="BT1" s="2029">
        <v>68</v>
      </c>
      <c r="BU1" s="1880">
        <v>69</v>
      </c>
      <c r="BV1" s="2029">
        <v>70</v>
      </c>
      <c r="BW1" s="1880">
        <v>71</v>
      </c>
      <c r="BX1" s="2029">
        <v>72</v>
      </c>
      <c r="BY1" s="1880">
        <v>73</v>
      </c>
      <c r="BZ1" s="2029">
        <v>74</v>
      </c>
      <c r="CA1" s="1880">
        <v>75</v>
      </c>
      <c r="CB1" s="2029">
        <v>76</v>
      </c>
      <c r="CC1" s="1880">
        <v>77</v>
      </c>
      <c r="CD1" s="2029">
        <v>78</v>
      </c>
      <c r="CE1" s="1880">
        <v>79</v>
      </c>
      <c r="CF1" s="2029">
        <v>80</v>
      </c>
      <c r="CG1" s="1880">
        <v>81</v>
      </c>
      <c r="CH1" s="2029">
        <v>82</v>
      </c>
      <c r="CI1" s="1880">
        <v>83</v>
      </c>
      <c r="CJ1" s="2029">
        <v>84</v>
      </c>
      <c r="CK1" s="1880">
        <v>85</v>
      </c>
      <c r="CL1" s="2029">
        <v>86</v>
      </c>
      <c r="CM1" s="1880">
        <v>87</v>
      </c>
      <c r="CN1" s="2029">
        <v>88</v>
      </c>
      <c r="CO1" s="1880">
        <v>89</v>
      </c>
      <c r="CP1" s="2029">
        <v>90</v>
      </c>
      <c r="CQ1" s="1880">
        <v>91</v>
      </c>
      <c r="CR1" s="2029">
        <v>92</v>
      </c>
      <c r="CS1" s="1880">
        <v>93</v>
      </c>
      <c r="CT1" s="2029">
        <v>94</v>
      </c>
      <c r="CU1" s="1880">
        <v>95</v>
      </c>
      <c r="CV1" s="2029">
        <v>96</v>
      </c>
      <c r="CW1" s="1880">
        <v>97</v>
      </c>
      <c r="CX1" s="2029">
        <v>98</v>
      </c>
      <c r="CY1" s="1880">
        <v>99</v>
      </c>
      <c r="CZ1" s="2029">
        <v>100</v>
      </c>
      <c r="DA1" s="1880">
        <v>101</v>
      </c>
      <c r="DB1" s="2029">
        <v>102</v>
      </c>
      <c r="DC1" s="1880">
        <v>103</v>
      </c>
      <c r="DD1" s="2029">
        <v>104</v>
      </c>
      <c r="DE1" s="1880">
        <v>105</v>
      </c>
      <c r="DF1" s="2029">
        <v>106</v>
      </c>
      <c r="DG1" s="1880">
        <v>107</v>
      </c>
      <c r="DH1" s="2029">
        <v>108</v>
      </c>
      <c r="DI1" s="1880">
        <v>109</v>
      </c>
      <c r="DJ1" s="2029">
        <v>110</v>
      </c>
      <c r="DK1" s="1880">
        <v>111</v>
      </c>
      <c r="DL1" s="2029">
        <v>112</v>
      </c>
      <c r="DM1" s="1880">
        <v>113</v>
      </c>
      <c r="DN1" s="2029">
        <v>114</v>
      </c>
      <c r="DO1" s="1880">
        <v>115</v>
      </c>
      <c r="DP1" s="2029">
        <v>116</v>
      </c>
      <c r="DQ1" s="1880">
        <v>117</v>
      </c>
      <c r="DR1" s="2029">
        <v>118</v>
      </c>
      <c r="DS1" s="1880">
        <v>119</v>
      </c>
      <c r="DT1" s="2029">
        <v>120</v>
      </c>
      <c r="DU1" s="1880">
        <v>121</v>
      </c>
      <c r="DV1" s="2029">
        <v>122</v>
      </c>
      <c r="DW1" s="1880">
        <v>123</v>
      </c>
      <c r="DX1" s="2029">
        <v>124</v>
      </c>
      <c r="DY1" s="1880">
        <v>125</v>
      </c>
      <c r="DZ1" s="2029">
        <v>126</v>
      </c>
      <c r="EA1" s="1880">
        <v>127</v>
      </c>
      <c r="EB1" s="2029">
        <v>128</v>
      </c>
      <c r="EC1" s="1880">
        <v>129</v>
      </c>
      <c r="ED1" s="2029">
        <v>130</v>
      </c>
      <c r="EE1" s="1880">
        <v>131</v>
      </c>
      <c r="EF1" s="2029">
        <v>132</v>
      </c>
      <c r="EG1" s="1880">
        <v>133</v>
      </c>
      <c r="EH1" s="2029">
        <v>134</v>
      </c>
      <c r="EI1" s="1880">
        <v>135</v>
      </c>
      <c r="EJ1" s="2029">
        <v>136</v>
      </c>
      <c r="EK1" s="1880">
        <v>137</v>
      </c>
      <c r="EL1" s="2029">
        <v>138</v>
      </c>
      <c r="EM1" s="1880">
        <v>139</v>
      </c>
      <c r="EN1" s="2029">
        <v>140</v>
      </c>
      <c r="EO1" s="1880">
        <v>141</v>
      </c>
      <c r="EP1" s="2029">
        <v>142</v>
      </c>
      <c r="EQ1" s="1880">
        <v>143</v>
      </c>
      <c r="ER1" s="2029">
        <v>144</v>
      </c>
      <c r="ES1" s="1880">
        <v>145</v>
      </c>
      <c r="ET1" s="2029">
        <v>146</v>
      </c>
      <c r="EU1" s="1880">
        <v>147</v>
      </c>
      <c r="EV1" s="2029">
        <v>148</v>
      </c>
      <c r="EW1" s="1880">
        <v>149</v>
      </c>
      <c r="EX1" s="2029">
        <v>150</v>
      </c>
      <c r="EY1" s="1880">
        <v>151</v>
      </c>
      <c r="EZ1" s="2029">
        <v>152</v>
      </c>
      <c r="FA1" s="1880">
        <v>153</v>
      </c>
      <c r="FB1" s="2029">
        <v>154</v>
      </c>
      <c r="FC1" s="1880">
        <v>155</v>
      </c>
      <c r="FD1" s="2029">
        <v>156</v>
      </c>
      <c r="FE1" s="1880">
        <v>157</v>
      </c>
      <c r="FF1" s="2029">
        <v>158</v>
      </c>
      <c r="FG1" s="1880">
        <v>159</v>
      </c>
      <c r="FH1" s="2029">
        <v>160</v>
      </c>
      <c r="FI1" s="1880">
        <v>161</v>
      </c>
      <c r="FJ1" s="2029">
        <v>162</v>
      </c>
      <c r="FK1" s="1880">
        <v>163</v>
      </c>
      <c r="FL1" s="2029">
        <v>164</v>
      </c>
      <c r="FM1" s="1880">
        <v>165</v>
      </c>
      <c r="FN1" s="2029">
        <v>166</v>
      </c>
      <c r="FO1" s="1880">
        <v>167</v>
      </c>
      <c r="FP1" s="2029">
        <v>168</v>
      </c>
      <c r="FQ1" s="1880">
        <v>169</v>
      </c>
      <c r="FR1" s="2029">
        <v>170</v>
      </c>
      <c r="FS1" s="1880">
        <v>171</v>
      </c>
      <c r="FT1" s="2029">
        <v>172</v>
      </c>
      <c r="FU1" s="1880">
        <v>173</v>
      </c>
      <c r="FV1" s="2029">
        <v>174</v>
      </c>
      <c r="FW1" s="1880">
        <v>175</v>
      </c>
      <c r="FX1" s="2029">
        <v>176</v>
      </c>
      <c r="FY1" s="1880">
        <v>177</v>
      </c>
      <c r="FZ1" s="2029">
        <v>178</v>
      </c>
      <c r="GA1" s="1880">
        <v>179</v>
      </c>
      <c r="GB1" s="2029">
        <v>180</v>
      </c>
      <c r="GC1" s="1880">
        <v>181</v>
      </c>
      <c r="GD1" s="2029">
        <v>182</v>
      </c>
      <c r="GE1" s="1880">
        <v>183</v>
      </c>
      <c r="GF1" s="2029">
        <v>184</v>
      </c>
      <c r="GG1" s="1880">
        <v>185</v>
      </c>
      <c r="GH1" s="2029">
        <v>186</v>
      </c>
      <c r="GI1" s="1880">
        <v>187</v>
      </c>
      <c r="GJ1" s="2029">
        <v>188</v>
      </c>
      <c r="GK1" s="1880">
        <v>189</v>
      </c>
      <c r="GL1" s="2029">
        <v>190</v>
      </c>
      <c r="GM1" s="1880">
        <v>191</v>
      </c>
      <c r="GN1" s="2029">
        <v>192</v>
      </c>
      <c r="GO1" s="1880">
        <v>193</v>
      </c>
      <c r="GP1" s="2029">
        <v>194</v>
      </c>
      <c r="GQ1" s="1880">
        <v>195</v>
      </c>
      <c r="GR1" s="2029">
        <v>196</v>
      </c>
      <c r="GS1" s="1880">
        <v>197</v>
      </c>
      <c r="GT1" s="2029">
        <v>198</v>
      </c>
      <c r="GU1" s="1880">
        <v>199</v>
      </c>
      <c r="GV1" s="2029">
        <v>200</v>
      </c>
      <c r="GW1" s="1880">
        <v>201</v>
      </c>
      <c r="GX1" s="2029">
        <v>202</v>
      </c>
      <c r="GY1" s="1880">
        <v>203</v>
      </c>
      <c r="GZ1" s="2029">
        <v>204</v>
      </c>
      <c r="HA1" s="1880">
        <v>205</v>
      </c>
      <c r="HB1" s="2029">
        <v>206</v>
      </c>
      <c r="HC1" s="1880">
        <v>207</v>
      </c>
      <c r="HD1" s="2029">
        <v>208</v>
      </c>
      <c r="HE1" s="1880">
        <v>209</v>
      </c>
      <c r="HF1" s="2029">
        <v>210</v>
      </c>
      <c r="HG1" s="1880">
        <v>211</v>
      </c>
      <c r="HH1" s="2029">
        <v>212</v>
      </c>
      <c r="HI1" s="1880">
        <v>213</v>
      </c>
      <c r="HJ1" s="2029">
        <v>214</v>
      </c>
      <c r="HK1" s="1880">
        <v>215</v>
      </c>
      <c r="HL1" s="2029">
        <v>216</v>
      </c>
      <c r="HM1" s="1880">
        <v>217</v>
      </c>
      <c r="HN1" s="2029">
        <v>218</v>
      </c>
      <c r="HO1" s="1880">
        <v>219</v>
      </c>
      <c r="HP1" s="2029">
        <v>220</v>
      </c>
      <c r="HQ1" s="1880">
        <v>221</v>
      </c>
      <c r="HR1" s="2029">
        <v>222</v>
      </c>
      <c r="HS1" s="1880">
        <v>223</v>
      </c>
      <c r="HT1" s="2029">
        <v>224</v>
      </c>
      <c r="HU1" s="1880">
        <v>225</v>
      </c>
      <c r="HV1" s="2029">
        <v>226</v>
      </c>
      <c r="HW1" s="1880">
        <v>227</v>
      </c>
      <c r="HX1" s="2029">
        <v>228</v>
      </c>
      <c r="HY1" s="1880">
        <v>229</v>
      </c>
      <c r="HZ1" s="2029">
        <v>230</v>
      </c>
      <c r="IA1" s="1880">
        <v>231</v>
      </c>
      <c r="IB1" s="2029">
        <v>232</v>
      </c>
      <c r="IC1" s="1880">
        <v>233</v>
      </c>
      <c r="ID1" s="2029">
        <v>234</v>
      </c>
      <c r="IE1" s="1880">
        <v>235</v>
      </c>
      <c r="IF1" s="2029">
        <v>236</v>
      </c>
      <c r="IG1" s="1880">
        <v>237</v>
      </c>
      <c r="IH1" s="2029">
        <v>238</v>
      </c>
      <c r="II1" s="1880">
        <v>239</v>
      </c>
      <c r="IJ1" s="2029">
        <v>240</v>
      </c>
      <c r="IK1" s="1880">
        <v>241</v>
      </c>
      <c r="IL1" s="2029">
        <v>242</v>
      </c>
      <c r="IM1" s="1880">
        <v>243</v>
      </c>
      <c r="IN1" s="2029">
        <v>244</v>
      </c>
      <c r="IO1" s="1880">
        <v>245</v>
      </c>
      <c r="IP1" s="2029">
        <v>246</v>
      </c>
      <c r="IQ1" s="1880">
        <v>247</v>
      </c>
      <c r="IR1" s="2029">
        <v>248</v>
      </c>
      <c r="IS1" s="2029">
        <v>249</v>
      </c>
      <c r="IT1" s="2029">
        <v>250</v>
      </c>
      <c r="IU1" s="2029">
        <v>251</v>
      </c>
      <c r="IV1" s="2029">
        <v>252</v>
      </c>
      <c r="IW1" s="2029">
        <v>253</v>
      </c>
      <c r="IX1" s="2029">
        <v>254</v>
      </c>
      <c r="IY1" s="2029">
        <v>255</v>
      </c>
      <c r="IZ1" s="2029">
        <v>256</v>
      </c>
      <c r="JA1" s="2029">
        <v>257</v>
      </c>
      <c r="JB1" s="2029">
        <v>258</v>
      </c>
      <c r="JC1" s="2029">
        <v>259</v>
      </c>
      <c r="JD1" s="2029">
        <v>260</v>
      </c>
      <c r="JE1" s="2029">
        <v>261</v>
      </c>
      <c r="JF1" s="2029">
        <v>262</v>
      </c>
      <c r="JG1" s="3928">
        <v>263</v>
      </c>
      <c r="JH1" s="3927"/>
      <c r="JI1" s="1567" t="s">
        <v>5034</v>
      </c>
      <c r="JJ1" s="1573" t="s">
        <v>6104</v>
      </c>
      <c r="JK1" s="1568" t="s">
        <v>6096</v>
      </c>
      <c r="JL1" s="1569" t="s">
        <v>6099</v>
      </c>
    </row>
    <row ht="12.75" r="2" spans="1:272" x14ac:dyDescent="0.2">
      <c r="A2" s="1128" t="s">
        <v>4479</v>
      </c>
      <c r="B2" s="628" t="s">
        <v>3922</v>
      </c>
      <c r="C2" s="1287" t="s">
        <v>2768</v>
      </c>
      <c r="D2" s="1288"/>
      <c r="E2" s="1289">
        <v>1</v>
      </c>
      <c r="F2" s="1289">
        <v>2</v>
      </c>
      <c r="G2" s="1289">
        <v>3</v>
      </c>
      <c r="H2" s="1289">
        <v>4</v>
      </c>
      <c r="I2" s="1289">
        <v>5</v>
      </c>
      <c r="J2" s="1289">
        <v>6</v>
      </c>
      <c r="K2" s="1289">
        <v>7</v>
      </c>
      <c r="L2" s="1289">
        <v>8</v>
      </c>
      <c r="M2" s="1289">
        <v>9</v>
      </c>
      <c r="N2" s="1289">
        <v>10</v>
      </c>
      <c r="O2" s="1289">
        <v>11</v>
      </c>
      <c r="P2" s="1289">
        <v>12</v>
      </c>
      <c r="Q2" s="1289">
        <v>13</v>
      </c>
      <c r="R2" s="1289">
        <v>14</v>
      </c>
      <c r="S2" s="1289">
        <v>15</v>
      </c>
      <c r="T2" s="1289">
        <v>16</v>
      </c>
      <c r="U2" s="1289">
        <v>17</v>
      </c>
      <c r="V2" s="1289">
        <v>18</v>
      </c>
      <c r="W2" s="1289">
        <v>19</v>
      </c>
      <c r="X2" s="1289">
        <v>20</v>
      </c>
      <c r="Y2" s="1289">
        <v>21</v>
      </c>
      <c r="Z2" s="1289">
        <v>22</v>
      </c>
      <c r="AA2" s="1289">
        <v>23</v>
      </c>
      <c r="AB2" s="1289">
        <v>24</v>
      </c>
      <c r="AC2" s="1289">
        <v>25</v>
      </c>
      <c r="AD2" s="1289">
        <v>26</v>
      </c>
      <c r="AE2" s="1289">
        <v>27</v>
      </c>
      <c r="AF2" s="1289">
        <v>28</v>
      </c>
      <c r="AG2" s="1289">
        <v>29</v>
      </c>
      <c r="AH2" s="1289">
        <v>30</v>
      </c>
      <c r="AI2" s="1289">
        <v>31</v>
      </c>
      <c r="AJ2" s="1289">
        <v>32</v>
      </c>
      <c r="AK2" s="1289">
        <v>33</v>
      </c>
      <c r="AL2" s="1289">
        <v>34</v>
      </c>
      <c r="AM2" s="1289">
        <v>35</v>
      </c>
      <c r="AN2" s="1289">
        <v>36</v>
      </c>
      <c r="AO2" s="1289">
        <v>37</v>
      </c>
      <c r="AP2" s="1289">
        <v>38</v>
      </c>
      <c r="AQ2" s="1289">
        <v>39</v>
      </c>
      <c r="AR2" s="1289">
        <v>40</v>
      </c>
      <c r="AS2" s="1289">
        <v>41</v>
      </c>
      <c r="AT2" s="1289">
        <v>42</v>
      </c>
      <c r="AU2" s="1289">
        <v>43</v>
      </c>
      <c r="AV2" s="1289">
        <v>44</v>
      </c>
      <c r="AW2" s="1289">
        <v>45</v>
      </c>
      <c r="AX2" s="1289">
        <v>46</v>
      </c>
      <c r="AY2" s="1289">
        <v>47</v>
      </c>
      <c r="AZ2" s="1289">
        <v>48</v>
      </c>
      <c r="BA2" s="1289">
        <v>49</v>
      </c>
      <c r="BB2" s="1289">
        <v>50</v>
      </c>
      <c r="BC2" s="1289">
        <v>51</v>
      </c>
      <c r="BD2" s="1289">
        <v>52</v>
      </c>
      <c r="BE2" s="1289">
        <v>53</v>
      </c>
      <c r="BF2" s="1289">
        <v>54</v>
      </c>
      <c r="BG2" s="1289">
        <v>55</v>
      </c>
      <c r="BH2" s="1289">
        <v>56</v>
      </c>
      <c r="BI2" s="1289">
        <v>57</v>
      </c>
      <c r="BJ2" s="1289">
        <v>58</v>
      </c>
      <c r="BK2" s="1289">
        <v>59</v>
      </c>
      <c r="BL2" s="1289">
        <v>60</v>
      </c>
      <c r="BM2" s="1289">
        <v>61</v>
      </c>
      <c r="BN2" s="1289">
        <v>62</v>
      </c>
      <c r="BO2" s="1289">
        <v>63</v>
      </c>
      <c r="BP2" s="1289">
        <v>64</v>
      </c>
      <c r="BQ2" s="1289">
        <v>65</v>
      </c>
      <c r="BR2" s="1289">
        <v>66</v>
      </c>
      <c r="BS2" s="1289">
        <v>67</v>
      </c>
      <c r="BT2" s="1289">
        <v>68</v>
      </c>
      <c r="BU2" s="1289">
        <v>69</v>
      </c>
      <c r="BV2" s="1289">
        <v>70</v>
      </c>
      <c r="BW2" s="1289">
        <v>71</v>
      </c>
      <c r="BX2" s="1289">
        <v>72</v>
      </c>
      <c r="BY2" s="1289">
        <v>73</v>
      </c>
      <c r="BZ2" s="1289">
        <v>74</v>
      </c>
      <c r="CA2" s="1289">
        <v>75</v>
      </c>
      <c r="CB2" s="1289">
        <v>76</v>
      </c>
      <c r="CC2" s="1289">
        <v>77</v>
      </c>
      <c r="CD2" s="1289">
        <v>78</v>
      </c>
      <c r="CE2" s="1289">
        <v>79</v>
      </c>
      <c r="CF2" s="1289">
        <v>80</v>
      </c>
      <c r="CG2" s="1289">
        <v>81</v>
      </c>
      <c r="CH2" s="1289">
        <v>82</v>
      </c>
      <c r="CI2" s="1289">
        <v>83</v>
      </c>
      <c r="CJ2" s="1289">
        <v>84</v>
      </c>
      <c r="CK2" s="1289">
        <v>85</v>
      </c>
      <c r="CL2" s="1289">
        <v>86</v>
      </c>
      <c r="CM2" s="1289">
        <v>87</v>
      </c>
      <c r="CN2" s="1289">
        <v>88</v>
      </c>
      <c r="CO2" s="1289">
        <v>89</v>
      </c>
      <c r="CP2" s="1289">
        <v>90</v>
      </c>
      <c r="CQ2" s="1289">
        <v>91</v>
      </c>
      <c r="CR2" s="1289">
        <v>92</v>
      </c>
      <c r="CS2" s="1289">
        <v>93</v>
      </c>
      <c r="CT2" s="1289">
        <v>94</v>
      </c>
      <c r="CU2" s="1289">
        <v>95</v>
      </c>
      <c r="CV2" s="1289">
        <v>96</v>
      </c>
      <c r="CW2" s="1289">
        <v>97</v>
      </c>
      <c r="CX2" s="1289">
        <v>98</v>
      </c>
      <c r="CY2" s="1289">
        <v>99</v>
      </c>
      <c r="CZ2" s="1289">
        <v>100</v>
      </c>
      <c r="DA2" s="1289">
        <v>101</v>
      </c>
      <c r="DB2" s="1289">
        <v>102</v>
      </c>
      <c r="DC2" s="1289">
        <v>103</v>
      </c>
      <c r="DD2" s="1289">
        <v>104</v>
      </c>
      <c r="DE2" s="1289">
        <v>105</v>
      </c>
      <c r="DF2" s="1289">
        <v>106</v>
      </c>
      <c r="DG2" s="1289">
        <v>107</v>
      </c>
      <c r="DH2" s="1289">
        <v>108</v>
      </c>
      <c r="DI2" s="1289">
        <v>109</v>
      </c>
      <c r="DJ2" s="1289">
        <v>110</v>
      </c>
      <c r="DK2" s="1289">
        <v>111</v>
      </c>
      <c r="DL2" s="1289">
        <v>112</v>
      </c>
      <c r="DM2" s="1289">
        <v>113</v>
      </c>
      <c r="DN2" s="1289">
        <v>114</v>
      </c>
      <c r="DO2" s="1289">
        <v>115</v>
      </c>
      <c r="DP2" s="1289">
        <v>116</v>
      </c>
      <c r="DQ2" s="1289">
        <v>117</v>
      </c>
      <c r="DR2" s="1289">
        <v>118</v>
      </c>
      <c r="DS2" s="1289">
        <v>119</v>
      </c>
      <c r="DT2" s="1289">
        <v>120</v>
      </c>
      <c r="DU2" s="1289">
        <v>121</v>
      </c>
      <c r="DV2" s="1289">
        <v>122</v>
      </c>
      <c r="DW2" s="1289">
        <v>123</v>
      </c>
      <c r="DX2" s="1289">
        <v>124</v>
      </c>
      <c r="DY2" s="1289">
        <v>125</v>
      </c>
      <c r="DZ2" s="1289">
        <v>126</v>
      </c>
      <c r="EA2" s="1289">
        <v>127</v>
      </c>
      <c r="EB2" s="1289">
        <v>128</v>
      </c>
      <c r="EC2" s="1289">
        <v>129</v>
      </c>
      <c r="ED2" s="1289">
        <v>130</v>
      </c>
      <c r="EE2" s="1289">
        <v>131</v>
      </c>
      <c r="EF2" s="1289">
        <v>132</v>
      </c>
      <c r="EG2" s="1289">
        <v>133</v>
      </c>
      <c r="EH2" s="1289">
        <v>134</v>
      </c>
      <c r="EI2" s="1289">
        <v>135</v>
      </c>
      <c r="EJ2" s="1289">
        <v>136</v>
      </c>
      <c r="EK2" s="1289">
        <v>137</v>
      </c>
      <c r="EL2" s="1289">
        <v>138</v>
      </c>
      <c r="EM2" s="1289">
        <v>139</v>
      </c>
      <c r="EN2" s="1289">
        <v>140</v>
      </c>
      <c r="EO2" s="1289">
        <v>141</v>
      </c>
      <c r="EP2" s="1289">
        <v>142</v>
      </c>
      <c r="EQ2" s="1289">
        <v>143</v>
      </c>
      <c r="ER2" s="1289">
        <v>144</v>
      </c>
      <c r="ES2" s="1289">
        <v>145</v>
      </c>
      <c r="ET2" s="1289">
        <v>146</v>
      </c>
      <c r="EU2" s="1289">
        <v>147</v>
      </c>
      <c r="EV2" s="1289">
        <v>148</v>
      </c>
      <c r="EW2" s="1289">
        <v>149</v>
      </c>
      <c r="EX2" s="1289">
        <v>150</v>
      </c>
      <c r="EY2" s="1289">
        <v>151</v>
      </c>
      <c r="EZ2" s="1289">
        <v>152</v>
      </c>
      <c r="FA2" s="1289">
        <v>153</v>
      </c>
      <c r="FB2" s="1289">
        <v>154</v>
      </c>
      <c r="FC2" s="1289">
        <v>155</v>
      </c>
      <c r="FD2" s="1289">
        <v>156</v>
      </c>
      <c r="FE2" s="1289">
        <v>157</v>
      </c>
      <c r="FF2" s="1289">
        <v>158</v>
      </c>
      <c r="FG2" s="1289">
        <v>159</v>
      </c>
      <c r="FH2" s="1289">
        <v>160</v>
      </c>
      <c r="FI2" s="1289">
        <v>161</v>
      </c>
      <c r="FJ2" s="1289">
        <v>162</v>
      </c>
      <c r="FK2" s="1289">
        <v>163</v>
      </c>
      <c r="FL2" s="1289">
        <v>164</v>
      </c>
      <c r="FM2" s="1289">
        <v>165</v>
      </c>
      <c r="FN2" s="1289">
        <v>166</v>
      </c>
      <c r="FO2" s="1289">
        <v>167</v>
      </c>
      <c r="FP2" s="1289">
        <v>168</v>
      </c>
      <c r="FQ2" s="1289">
        <v>169</v>
      </c>
      <c r="FR2" s="1289">
        <v>170</v>
      </c>
      <c r="FS2" s="1289">
        <v>171</v>
      </c>
      <c r="FT2" s="1289">
        <v>172</v>
      </c>
      <c r="FU2" s="1289">
        <v>173</v>
      </c>
      <c r="FV2" s="1289">
        <v>174</v>
      </c>
      <c r="FW2" s="1289">
        <v>175</v>
      </c>
      <c r="FX2" s="1289">
        <v>176</v>
      </c>
      <c r="FY2" s="1289">
        <v>177</v>
      </c>
      <c r="FZ2" s="1289">
        <v>178</v>
      </c>
      <c r="GA2" s="1289">
        <v>179</v>
      </c>
      <c r="GB2" s="1289">
        <v>180</v>
      </c>
      <c r="GC2" s="1289">
        <v>181</v>
      </c>
      <c r="GD2" s="1289">
        <v>182</v>
      </c>
      <c r="GE2" s="1289">
        <v>183</v>
      </c>
      <c r="GF2" s="1289">
        <v>184</v>
      </c>
      <c r="GG2" s="1289">
        <v>185</v>
      </c>
      <c r="GH2" s="1289">
        <v>186</v>
      </c>
      <c r="GI2" s="1289">
        <v>187</v>
      </c>
      <c r="GJ2" s="1289">
        <v>188</v>
      </c>
      <c r="GK2" s="1289">
        <v>189</v>
      </c>
      <c r="GL2" s="1289">
        <v>190</v>
      </c>
      <c r="GM2" s="1289">
        <v>191</v>
      </c>
      <c r="GN2" s="1289">
        <v>192</v>
      </c>
      <c r="GO2" s="1289">
        <v>193</v>
      </c>
      <c r="GP2" s="1289">
        <v>194</v>
      </c>
      <c r="GQ2" s="1289">
        <v>195</v>
      </c>
      <c r="GR2" s="1289">
        <v>196</v>
      </c>
      <c r="GS2" s="1289">
        <v>197</v>
      </c>
      <c r="GT2" s="1289">
        <v>198</v>
      </c>
      <c r="GU2" s="1289">
        <v>199</v>
      </c>
      <c r="GV2" s="1289">
        <v>200</v>
      </c>
      <c r="GW2" s="1289">
        <v>201</v>
      </c>
      <c r="GX2" s="1289">
        <v>202</v>
      </c>
      <c r="GY2" s="1289">
        <v>203</v>
      </c>
      <c r="GZ2" s="1289">
        <v>204</v>
      </c>
      <c r="HA2" s="1289">
        <v>205</v>
      </c>
      <c r="HB2" s="1289">
        <v>206</v>
      </c>
      <c r="HC2" s="1289">
        <v>207</v>
      </c>
      <c r="HD2" s="1289">
        <v>208</v>
      </c>
      <c r="HE2" s="1289">
        <v>209</v>
      </c>
      <c r="HF2" s="1289">
        <v>210</v>
      </c>
      <c r="HG2" s="1289">
        <v>211</v>
      </c>
      <c r="HH2" s="1289">
        <v>212</v>
      </c>
      <c r="HI2" s="1289">
        <v>213</v>
      </c>
      <c r="HJ2" s="1289">
        <v>214</v>
      </c>
      <c r="HK2" s="1289">
        <v>215</v>
      </c>
      <c r="HL2" s="1289">
        <v>216</v>
      </c>
      <c r="HM2" s="1289">
        <v>217</v>
      </c>
      <c r="HN2" s="1289">
        <v>218</v>
      </c>
      <c r="HO2" s="1289">
        <v>219</v>
      </c>
      <c r="HP2" s="1289">
        <v>220</v>
      </c>
      <c r="HQ2" s="1289">
        <v>221</v>
      </c>
      <c r="HR2" s="1289">
        <v>222</v>
      </c>
      <c r="HS2" s="1289">
        <v>223</v>
      </c>
      <c r="HT2" s="1289">
        <v>224</v>
      </c>
      <c r="HU2" s="1289">
        <v>225</v>
      </c>
      <c r="HV2" s="1289">
        <v>226</v>
      </c>
      <c r="HW2" s="1289">
        <v>227</v>
      </c>
      <c r="HX2" s="1289">
        <v>228</v>
      </c>
      <c r="HY2" s="1289">
        <v>229</v>
      </c>
      <c r="HZ2" s="1289">
        <v>230</v>
      </c>
      <c r="IA2" s="1289">
        <v>231</v>
      </c>
      <c r="IB2" s="1289">
        <v>232</v>
      </c>
      <c r="IC2" s="1289">
        <v>233</v>
      </c>
      <c r="ID2" s="1289">
        <v>234</v>
      </c>
      <c r="IE2" s="1289">
        <v>235</v>
      </c>
      <c r="IF2" s="1289">
        <v>236</v>
      </c>
      <c r="IG2" s="1289">
        <v>237</v>
      </c>
      <c r="IH2" s="1289">
        <v>238</v>
      </c>
      <c r="II2" s="1289">
        <v>239</v>
      </c>
      <c r="IJ2" s="1289">
        <v>240</v>
      </c>
      <c r="IK2" s="1289">
        <v>241</v>
      </c>
      <c r="IL2" s="1289">
        <v>242</v>
      </c>
      <c r="IM2" s="1289">
        <v>243</v>
      </c>
      <c r="IN2" s="1289">
        <v>244</v>
      </c>
      <c r="IO2" s="1289">
        <v>245</v>
      </c>
      <c r="IP2" s="1289">
        <v>246</v>
      </c>
      <c r="IQ2" s="1289">
        <v>247</v>
      </c>
      <c r="IR2" s="1289">
        <v>248</v>
      </c>
      <c r="IS2" s="1289">
        <v>249</v>
      </c>
      <c r="IT2" s="1289">
        <v>250</v>
      </c>
      <c r="IU2" s="1289">
        <v>251</v>
      </c>
      <c r="IV2" s="1289">
        <v>252</v>
      </c>
      <c r="IW2" s="1289">
        <v>253</v>
      </c>
      <c r="IX2" s="1289">
        <v>254</v>
      </c>
      <c r="IY2" s="1289">
        <v>255</v>
      </c>
      <c r="IZ2" s="1289">
        <v>256</v>
      </c>
      <c r="JA2" s="1289">
        <v>257</v>
      </c>
      <c r="JB2" s="1289">
        <v>258</v>
      </c>
      <c r="JC2" s="1289">
        <v>259</v>
      </c>
      <c r="JD2" s="1134">
        <v>260</v>
      </c>
      <c r="JE2" s="1134">
        <v>261</v>
      </c>
      <c r="JF2" s="1134">
        <v>262</v>
      </c>
      <c r="JG2" s="2485">
        <v>263</v>
      </c>
      <c r="JH2" s="1367"/>
      <c r="JI2" s="1567" t="s">
        <v>5034</v>
      </c>
      <c r="JJ2" s="1570"/>
      <c r="JK2" s="1568" t="s">
        <v>6096</v>
      </c>
      <c r="JL2" s="1569" t="s">
        <v>6099</v>
      </c>
    </row>
    <row r="3" spans="1:272" x14ac:dyDescent="0.2">
      <c r="A3" s="1128">
        <v>2</v>
      </c>
      <c r="B3" s="1285" t="str">
        <f ref="B3:B40" si="0" t="shared">IF(CGT_IND&gt;1,IF(HLOOKUP(CGT_IND-1,CGT_RANGE,A3)="","",HLOOKUP(CGT_IND-1,CGT_RANGE,A3)),"")</f>
        <v/>
      </c>
      <c r="C3" s="1577" t="s">
        <v>3637</v>
      </c>
      <c r="D3" s="1357" t="s">
        <v>4905</v>
      </c>
      <c r="E3" s="1615"/>
      <c r="F3" s="1615"/>
      <c r="G3" s="1615"/>
      <c r="H3" s="1615"/>
      <c r="I3" s="1615"/>
      <c r="J3" s="1615"/>
      <c r="K3" s="1615"/>
      <c r="L3" s="1615"/>
      <c r="M3" s="1615"/>
      <c r="N3" s="1615"/>
      <c r="O3" s="1881"/>
      <c r="P3" s="2030"/>
      <c r="Q3" s="2079"/>
      <c r="R3" s="2079"/>
      <c r="S3" s="2079"/>
      <c r="T3" s="3901"/>
      <c r="U3" s="3901"/>
      <c r="V3" s="3901"/>
      <c r="W3" s="3901"/>
      <c r="X3" s="3901"/>
      <c r="Y3" s="3901"/>
      <c r="Z3" s="3901"/>
      <c r="AA3" s="3901"/>
      <c r="AB3" s="3901"/>
      <c r="AC3" s="3901"/>
      <c r="AD3" s="3901"/>
      <c r="AE3" s="3901"/>
      <c r="AF3" s="3901"/>
      <c r="AG3" s="3901"/>
      <c r="AH3" s="3901"/>
      <c r="AI3" s="3901"/>
      <c r="AJ3" s="3901"/>
      <c r="AK3" s="3901"/>
      <c r="AL3" s="3901"/>
      <c r="AM3" s="3901"/>
      <c r="AN3" s="3901"/>
      <c r="AO3" s="3901"/>
      <c r="AP3" s="3901"/>
      <c r="AQ3" s="3901"/>
      <c r="AR3" s="3901"/>
      <c r="AS3" s="3901"/>
      <c r="AT3" s="3901"/>
      <c r="AU3" s="3901"/>
      <c r="AV3" s="3901"/>
      <c r="AW3" s="3901"/>
      <c r="AX3" s="3901"/>
      <c r="AY3" s="3901"/>
      <c r="AZ3" s="3901"/>
      <c r="BA3" s="3901"/>
      <c r="BB3" s="3901"/>
      <c r="BC3" s="3901"/>
      <c r="BD3" s="3901"/>
      <c r="BE3" s="3901"/>
      <c r="BF3" s="3901"/>
      <c r="BG3" s="1615"/>
      <c r="BH3" s="3901"/>
      <c r="BI3" s="3901"/>
      <c r="BJ3" s="3901"/>
      <c r="BK3" s="3901"/>
      <c r="BL3" s="3901"/>
      <c r="BM3" s="3901"/>
      <c r="BN3" s="3901"/>
      <c r="BO3" s="3901"/>
      <c r="BP3" s="3901"/>
      <c r="BQ3" s="3901"/>
      <c r="BR3" s="3901"/>
      <c r="BS3" s="3901"/>
      <c r="BT3" s="3901"/>
      <c r="BU3" s="3901"/>
      <c r="BV3" s="3901"/>
      <c r="BW3" s="3901"/>
      <c r="BX3" s="3901"/>
      <c r="BY3" s="3901"/>
      <c r="BZ3" s="3901"/>
      <c r="CA3" s="3901"/>
      <c r="CB3" s="3901"/>
      <c r="CC3" s="3901"/>
      <c r="CD3" s="3901"/>
      <c r="CE3" s="3901"/>
      <c r="CF3" s="3901"/>
      <c r="CG3" s="3901"/>
      <c r="CH3" s="3901"/>
      <c r="CI3" s="3901"/>
      <c r="CJ3" s="3901"/>
      <c r="CK3" s="3901"/>
      <c r="CL3" s="3901"/>
      <c r="CM3" s="3901"/>
      <c r="CN3" s="3901"/>
      <c r="CO3" s="3901"/>
      <c r="CP3" s="3901"/>
      <c r="CQ3" s="3901"/>
      <c r="CR3" s="3901"/>
      <c r="CS3" s="3901"/>
      <c r="CT3" s="3901"/>
      <c r="CU3" s="3901"/>
      <c r="CV3" s="3901"/>
      <c r="CW3" s="3901"/>
      <c r="CX3" s="3901"/>
      <c r="CY3" s="3901"/>
      <c r="CZ3" s="3901"/>
      <c r="DA3" s="3901"/>
      <c r="DB3" s="3901"/>
      <c r="DC3" s="3901"/>
      <c r="DD3" s="3901"/>
      <c r="DE3" s="3901"/>
      <c r="DF3" s="3901"/>
      <c r="DG3" s="3901"/>
      <c r="DH3" s="3901"/>
      <c r="DI3" s="3901"/>
      <c r="DJ3" s="3901"/>
      <c r="DK3" s="3901"/>
      <c r="DL3" s="3901"/>
      <c r="DM3" s="3901"/>
      <c r="DN3" s="3901"/>
      <c r="DO3" s="3901"/>
      <c r="DP3" s="3901"/>
      <c r="DQ3" s="3901"/>
      <c r="DR3" s="3901"/>
      <c r="DS3" s="3901"/>
      <c r="DT3" s="3901"/>
      <c r="DU3" s="3901"/>
      <c r="DV3" s="3901"/>
      <c r="DW3" s="3901"/>
      <c r="DX3" s="3901"/>
      <c r="DY3" s="3901"/>
      <c r="DZ3" s="3901"/>
      <c r="EA3" s="3901"/>
      <c r="EB3" s="3901"/>
      <c r="EC3" s="3901"/>
      <c r="ED3" s="3901"/>
      <c r="EE3" s="3901"/>
      <c r="EF3" s="3901"/>
      <c r="EG3" s="3901"/>
      <c r="EH3" s="3901"/>
      <c r="EI3" s="3901"/>
      <c r="EJ3" s="3901"/>
      <c r="EK3" s="3901"/>
      <c r="EL3" s="3901"/>
      <c r="EM3" s="3901"/>
      <c r="EN3" s="3901"/>
      <c r="EO3" s="3901"/>
      <c r="EP3" s="3901"/>
      <c r="EQ3" s="3901"/>
      <c r="ER3" s="3901"/>
      <c r="ES3" s="3901"/>
      <c r="ET3" s="3901"/>
      <c r="EU3" s="3901"/>
      <c r="EV3" s="3901"/>
      <c r="EW3" s="3901"/>
      <c r="EX3" s="3901"/>
      <c r="EY3" s="3901"/>
      <c r="EZ3" s="3901"/>
      <c r="FA3" s="3901"/>
      <c r="FB3" s="3901"/>
      <c r="FC3" s="3901"/>
      <c r="FD3" s="3901"/>
      <c r="FE3" s="3901"/>
      <c r="FF3" s="3901"/>
      <c r="FG3" s="3901"/>
      <c r="FH3" s="3901"/>
      <c r="FI3" s="3901"/>
      <c r="FJ3" s="3901"/>
      <c r="FK3" s="3901"/>
      <c r="FL3" s="3901"/>
      <c r="FM3" s="3901"/>
      <c r="FN3" s="3901"/>
      <c r="FO3" s="3901"/>
      <c r="FP3" s="3901"/>
      <c r="FQ3" s="3901"/>
      <c r="FR3" s="3901"/>
      <c r="FS3" s="3901"/>
      <c r="FT3" s="3901"/>
      <c r="FU3" s="3901"/>
      <c r="FV3" s="3901"/>
      <c r="FW3" s="3901"/>
      <c r="FX3" s="3901"/>
      <c r="FY3" s="3901"/>
      <c r="FZ3" s="3901"/>
      <c r="GA3" s="3901"/>
      <c r="GB3" s="3901"/>
      <c r="GC3" s="3901"/>
      <c r="GD3" s="3901"/>
      <c r="GE3" s="3901"/>
      <c r="GF3" s="3901"/>
      <c r="GG3" s="3901"/>
      <c r="GH3" s="3901"/>
      <c r="GI3" s="3901"/>
      <c r="GJ3" s="3901"/>
      <c r="GK3" s="3901"/>
      <c r="GL3" s="3901"/>
      <c r="GM3" s="3901"/>
      <c r="GN3" s="3901"/>
      <c r="GO3" s="3901"/>
      <c r="GP3" s="3901"/>
      <c r="GQ3" s="3901"/>
      <c r="GR3" s="3901"/>
      <c r="GS3" s="3901"/>
      <c r="GT3" s="3901"/>
      <c r="GU3" s="3901"/>
      <c r="GV3" s="3901"/>
      <c r="GW3" s="3901"/>
      <c r="GX3" s="3901"/>
      <c r="GY3" s="3901"/>
      <c r="GZ3" s="3901"/>
      <c r="HA3" s="3901"/>
      <c r="HB3" s="3901"/>
      <c r="HC3" s="3901"/>
      <c r="HD3" s="3901"/>
      <c r="HE3" s="3901"/>
      <c r="HF3" s="3901"/>
      <c r="HG3" s="3901"/>
      <c r="HH3" s="3901"/>
      <c r="HI3" s="3901"/>
      <c r="HJ3" s="3901"/>
      <c r="HK3" s="3901"/>
      <c r="HL3" s="3901"/>
      <c r="HM3" s="3901"/>
      <c r="HN3" s="3901"/>
      <c r="HO3" s="3901"/>
      <c r="HP3" s="3901"/>
      <c r="HQ3" s="3901"/>
      <c r="HR3" s="3901"/>
      <c r="HS3" s="3901"/>
      <c r="HT3" s="3901"/>
      <c r="HU3" s="3901"/>
      <c r="HV3" s="3901"/>
      <c r="HW3" s="3901"/>
      <c r="HX3" s="3901"/>
      <c r="HY3" s="3901"/>
      <c r="HZ3" s="3901"/>
      <c r="IA3" s="3901"/>
      <c r="IB3" s="3901"/>
      <c r="IC3" s="3901"/>
      <c r="ID3" s="3901"/>
      <c r="IE3" s="3901"/>
      <c r="IF3" s="3901"/>
      <c r="IG3" s="3901"/>
      <c r="IH3" s="3901"/>
      <c r="II3" s="3901"/>
      <c r="IJ3" s="3901"/>
      <c r="IK3" s="3901"/>
      <c r="IL3" s="3901"/>
      <c r="IM3" s="3901"/>
      <c r="IN3" s="3901"/>
      <c r="IO3" s="3901"/>
      <c r="IP3" s="3901"/>
      <c r="IQ3" s="3901"/>
      <c r="IR3" s="3901"/>
      <c r="IS3" s="3901"/>
      <c r="IT3" s="3901"/>
      <c r="IU3" s="3901"/>
      <c r="IV3" s="3901"/>
      <c r="IW3" s="3901"/>
      <c r="IX3" s="3901"/>
      <c r="IY3" s="3901"/>
      <c r="IZ3" s="3901"/>
      <c r="JA3" s="3901"/>
      <c r="JB3" s="3901"/>
      <c r="JC3" s="3901"/>
      <c r="JD3" s="3901"/>
      <c r="JE3" s="3901"/>
      <c r="JF3" s="3901"/>
      <c r="JG3" s="2080"/>
      <c r="JH3" s="1367"/>
      <c r="JI3" s="1561" t="s">
        <v>5365</v>
      </c>
      <c r="JJ3" s="1574" t="s">
        <v>6105</v>
      </c>
      <c r="JK3" s="1562"/>
      <c r="JL3" s="1564"/>
    </row>
    <row r="4" spans="1:272" x14ac:dyDescent="0.2">
      <c r="A4" s="1128">
        <v>3</v>
      </c>
      <c r="B4" s="1285" t="str">
        <f si="0" t="shared"/>
        <v/>
      </c>
      <c r="C4" s="1577" t="s">
        <v>2913</v>
      </c>
      <c r="D4" s="1357" t="s">
        <v>4906</v>
      </c>
      <c r="E4" s="1615"/>
      <c r="F4" s="1619"/>
      <c r="G4" s="1619"/>
      <c r="H4" s="1620"/>
      <c r="I4" s="1620"/>
      <c r="J4" s="1620"/>
      <c r="K4" s="1620"/>
      <c r="L4" s="1620"/>
      <c r="M4" s="1620"/>
      <c r="N4" s="1620"/>
      <c r="O4" s="1882"/>
      <c r="P4" s="2031"/>
      <c r="Q4" s="2081"/>
      <c r="R4" s="2081"/>
      <c r="S4" s="2081"/>
      <c r="T4" s="3902"/>
      <c r="U4" s="3902"/>
      <c r="V4" s="3902"/>
      <c r="W4" s="3902"/>
      <c r="X4" s="3902"/>
      <c r="Y4" s="3902"/>
      <c r="Z4" s="3902"/>
      <c r="AA4" s="3902"/>
      <c r="AB4" s="3902"/>
      <c r="AC4" s="3902"/>
      <c r="AD4" s="3902"/>
      <c r="AE4" s="3902"/>
      <c r="AF4" s="3902"/>
      <c r="AG4" s="3902"/>
      <c r="AH4" s="3902"/>
      <c r="AI4" s="3902"/>
      <c r="AJ4" s="3902"/>
      <c r="AK4" s="3902"/>
      <c r="AL4" s="3902"/>
      <c r="AM4" s="3902"/>
      <c r="AN4" s="3902"/>
      <c r="AO4" s="3902"/>
      <c r="AP4" s="3902"/>
      <c r="AQ4" s="3902"/>
      <c r="AR4" s="3902"/>
      <c r="AS4" s="3902"/>
      <c r="AT4" s="3902"/>
      <c r="AU4" s="3902"/>
      <c r="AV4" s="3902"/>
      <c r="AW4" s="3902"/>
      <c r="AX4" s="3902"/>
      <c r="AY4" s="3902"/>
      <c r="AZ4" s="3902"/>
      <c r="BA4" s="3902"/>
      <c r="BB4" s="3902"/>
      <c r="BC4" s="3902"/>
      <c r="BD4" s="3902"/>
      <c r="BE4" s="3902"/>
      <c r="BF4" s="3902"/>
      <c r="BG4" s="1620"/>
      <c r="BH4" s="3902"/>
      <c r="BI4" s="3902"/>
      <c r="BJ4" s="3902"/>
      <c r="BK4" s="3902"/>
      <c r="BL4" s="3902"/>
      <c r="BM4" s="3902"/>
      <c r="BN4" s="3902"/>
      <c r="BO4" s="3902"/>
      <c r="BP4" s="3902"/>
      <c r="BQ4" s="3902"/>
      <c r="BR4" s="3902"/>
      <c r="BS4" s="3902"/>
      <c r="BT4" s="3902"/>
      <c r="BU4" s="3902"/>
      <c r="BV4" s="3902"/>
      <c r="BW4" s="3902"/>
      <c r="BX4" s="3902"/>
      <c r="BY4" s="3902"/>
      <c r="BZ4" s="3902"/>
      <c r="CA4" s="3902"/>
      <c r="CB4" s="3902"/>
      <c r="CC4" s="3902"/>
      <c r="CD4" s="3902"/>
      <c r="CE4" s="3902"/>
      <c r="CF4" s="3902"/>
      <c r="CG4" s="3902"/>
      <c r="CH4" s="3902"/>
      <c r="CI4" s="3902"/>
      <c r="CJ4" s="3902"/>
      <c r="CK4" s="3902"/>
      <c r="CL4" s="3902"/>
      <c r="CM4" s="3902"/>
      <c r="CN4" s="3902"/>
      <c r="CO4" s="3902"/>
      <c r="CP4" s="3902"/>
      <c r="CQ4" s="3902"/>
      <c r="CR4" s="3902"/>
      <c r="CS4" s="3902"/>
      <c r="CT4" s="3902"/>
      <c r="CU4" s="3902"/>
      <c r="CV4" s="3902"/>
      <c r="CW4" s="3902"/>
      <c r="CX4" s="3902"/>
      <c r="CY4" s="3902"/>
      <c r="CZ4" s="3902"/>
      <c r="DA4" s="3902"/>
      <c r="DB4" s="3902"/>
      <c r="DC4" s="3902"/>
      <c r="DD4" s="3902"/>
      <c r="DE4" s="3902"/>
      <c r="DF4" s="3902"/>
      <c r="DG4" s="3902"/>
      <c r="DH4" s="3902"/>
      <c r="DI4" s="3902"/>
      <c r="DJ4" s="3902"/>
      <c r="DK4" s="3902"/>
      <c r="DL4" s="3902"/>
      <c r="DM4" s="3902"/>
      <c r="DN4" s="3902"/>
      <c r="DO4" s="3902"/>
      <c r="DP4" s="3902"/>
      <c r="DQ4" s="3902"/>
      <c r="DR4" s="3902"/>
      <c r="DS4" s="3902"/>
      <c r="DT4" s="3902"/>
      <c r="DU4" s="3902"/>
      <c r="DV4" s="3902"/>
      <c r="DW4" s="3902"/>
      <c r="DX4" s="3902"/>
      <c r="DY4" s="3902"/>
      <c r="DZ4" s="3902"/>
      <c r="EA4" s="3902"/>
      <c r="EB4" s="3902"/>
      <c r="EC4" s="3902"/>
      <c r="ED4" s="3902"/>
      <c r="EE4" s="3902"/>
      <c r="EF4" s="3902"/>
      <c r="EG4" s="3902"/>
      <c r="EH4" s="3902"/>
      <c r="EI4" s="3902"/>
      <c r="EJ4" s="3902"/>
      <c r="EK4" s="3902"/>
      <c r="EL4" s="3902"/>
      <c r="EM4" s="3902"/>
      <c r="EN4" s="3902"/>
      <c r="EO4" s="3902"/>
      <c r="EP4" s="3902"/>
      <c r="EQ4" s="3902"/>
      <c r="ER4" s="3902"/>
      <c r="ES4" s="3902"/>
      <c r="ET4" s="3902"/>
      <c r="EU4" s="3902"/>
      <c r="EV4" s="3902"/>
      <c r="EW4" s="3902"/>
      <c r="EX4" s="3902"/>
      <c r="EY4" s="3902"/>
      <c r="EZ4" s="3902"/>
      <c r="FA4" s="3902"/>
      <c r="FB4" s="3902"/>
      <c r="FC4" s="3902"/>
      <c r="FD4" s="3902"/>
      <c r="FE4" s="3902"/>
      <c r="FF4" s="3902"/>
      <c r="FG4" s="3902"/>
      <c r="FH4" s="3902"/>
      <c r="FI4" s="3902"/>
      <c r="FJ4" s="3902"/>
      <c r="FK4" s="3902"/>
      <c r="FL4" s="3902"/>
      <c r="FM4" s="3902"/>
      <c r="FN4" s="3902"/>
      <c r="FO4" s="3902"/>
      <c r="FP4" s="3902"/>
      <c r="FQ4" s="3902"/>
      <c r="FR4" s="3902"/>
      <c r="FS4" s="3902"/>
      <c r="FT4" s="3902"/>
      <c r="FU4" s="3902"/>
      <c r="FV4" s="3902"/>
      <c r="FW4" s="3902"/>
      <c r="FX4" s="3902"/>
      <c r="FY4" s="3902"/>
      <c r="FZ4" s="3902"/>
      <c r="GA4" s="3902"/>
      <c r="GB4" s="3902"/>
      <c r="GC4" s="3902"/>
      <c r="GD4" s="3902"/>
      <c r="GE4" s="3902"/>
      <c r="GF4" s="3902"/>
      <c r="GG4" s="3902"/>
      <c r="GH4" s="3902"/>
      <c r="GI4" s="3902"/>
      <c r="GJ4" s="3902"/>
      <c r="GK4" s="3902"/>
      <c r="GL4" s="3902"/>
      <c r="GM4" s="3902"/>
      <c r="GN4" s="3902"/>
      <c r="GO4" s="3902"/>
      <c r="GP4" s="3902"/>
      <c r="GQ4" s="3902"/>
      <c r="GR4" s="3902"/>
      <c r="GS4" s="3902"/>
      <c r="GT4" s="3902"/>
      <c r="GU4" s="3902"/>
      <c r="GV4" s="3902"/>
      <c r="GW4" s="3902"/>
      <c r="GX4" s="3902"/>
      <c r="GY4" s="3902"/>
      <c r="GZ4" s="3902"/>
      <c r="HA4" s="3902"/>
      <c r="HB4" s="3902"/>
      <c r="HC4" s="3902"/>
      <c r="HD4" s="3902"/>
      <c r="HE4" s="3902"/>
      <c r="HF4" s="3902"/>
      <c r="HG4" s="3902"/>
      <c r="HH4" s="3902"/>
      <c r="HI4" s="3902"/>
      <c r="HJ4" s="3902"/>
      <c r="HK4" s="3902"/>
      <c r="HL4" s="3902"/>
      <c r="HM4" s="3902"/>
      <c r="HN4" s="3902"/>
      <c r="HO4" s="3902"/>
      <c r="HP4" s="3902"/>
      <c r="HQ4" s="3902"/>
      <c r="HR4" s="3902"/>
      <c r="HS4" s="3902"/>
      <c r="HT4" s="3902"/>
      <c r="HU4" s="3902"/>
      <c r="HV4" s="3902"/>
      <c r="HW4" s="3902"/>
      <c r="HX4" s="3902"/>
      <c r="HY4" s="3902"/>
      <c r="HZ4" s="3902"/>
      <c r="IA4" s="3902"/>
      <c r="IB4" s="3902"/>
      <c r="IC4" s="3902"/>
      <c r="ID4" s="3902"/>
      <c r="IE4" s="3902"/>
      <c r="IF4" s="3902"/>
      <c r="IG4" s="3902"/>
      <c r="IH4" s="3902"/>
      <c r="II4" s="3902"/>
      <c r="IJ4" s="3902"/>
      <c r="IK4" s="3902"/>
      <c r="IL4" s="3902"/>
      <c r="IM4" s="3902"/>
      <c r="IN4" s="3902"/>
      <c r="IO4" s="3902"/>
      <c r="IP4" s="3902"/>
      <c r="IQ4" s="3902"/>
      <c r="IR4" s="3902"/>
      <c r="IS4" s="3902"/>
      <c r="IT4" s="3902"/>
      <c r="IU4" s="3902"/>
      <c r="IV4" s="3902"/>
      <c r="IW4" s="3902"/>
      <c r="IX4" s="3902"/>
      <c r="IY4" s="3902"/>
      <c r="IZ4" s="3902"/>
      <c r="JA4" s="3902"/>
      <c r="JB4" s="3902"/>
      <c r="JC4" s="3902"/>
      <c r="JD4" s="3902"/>
      <c r="JE4" s="3902"/>
      <c r="JF4" s="3902"/>
      <c r="JG4" s="2082"/>
      <c r="JH4" s="1367"/>
      <c r="JI4" s="1563" t="s">
        <v>5035</v>
      </c>
      <c r="JJ4" s="1574" t="s">
        <v>6106</v>
      </c>
      <c r="JK4" s="1564"/>
      <c r="JL4" s="1564"/>
    </row>
    <row r="5" spans="1:272" x14ac:dyDescent="0.2">
      <c r="A5" s="1128">
        <v>4</v>
      </c>
      <c r="B5" s="1657" t="str">
        <f si="0" t="shared"/>
        <v/>
      </c>
      <c r="C5" s="1579" t="s">
        <v>2914</v>
      </c>
      <c r="D5" s="1392" t="s">
        <v>4911</v>
      </c>
      <c r="E5" s="1827"/>
      <c r="F5" s="1827"/>
      <c r="G5" s="1827"/>
      <c r="H5" s="1827"/>
      <c r="I5" s="1827"/>
      <c r="J5" s="1827">
        <v>4</v>
      </c>
      <c r="K5" s="1831">
        <v>2</v>
      </c>
      <c r="L5" s="1827"/>
      <c r="M5" s="1827">
        <v>1</v>
      </c>
      <c r="N5" s="1827"/>
      <c r="O5" s="1883">
        <v>2</v>
      </c>
      <c r="P5" s="2032"/>
      <c r="Q5" s="2083"/>
      <c r="R5" s="2083"/>
      <c r="S5" s="2083"/>
      <c r="T5" s="3903"/>
      <c r="U5" s="3903"/>
      <c r="V5" s="3903"/>
      <c r="W5" s="3903"/>
      <c r="X5" s="3903"/>
      <c r="Y5" s="3903"/>
      <c r="Z5" s="3903"/>
      <c r="AA5" s="3903"/>
      <c r="AB5" s="3903"/>
      <c r="AC5" s="3903"/>
      <c r="AD5" s="3903"/>
      <c r="AE5" s="3903"/>
      <c r="AF5" s="3903"/>
      <c r="AG5" s="3903"/>
      <c r="AH5" s="3903"/>
      <c r="AI5" s="3903"/>
      <c r="AJ5" s="3903"/>
      <c r="AK5" s="3903"/>
      <c r="AL5" s="3903"/>
      <c r="AM5" s="3903"/>
      <c r="AN5" s="3903"/>
      <c r="AO5" s="3903"/>
      <c r="AP5" s="3903"/>
      <c r="AQ5" s="3903"/>
      <c r="AR5" s="3903"/>
      <c r="AS5" s="3903"/>
      <c r="AT5" s="3903"/>
      <c r="AU5" s="3903"/>
      <c r="AV5" s="3903"/>
      <c r="AW5" s="3903"/>
      <c r="AX5" s="3903"/>
      <c r="AY5" s="3903"/>
      <c r="AZ5" s="3903"/>
      <c r="BA5" s="3903"/>
      <c r="BB5" s="3903"/>
      <c r="BC5" s="3903"/>
      <c r="BD5" s="3903"/>
      <c r="BE5" s="3903"/>
      <c r="BF5" s="3903"/>
      <c r="BG5" s="1827"/>
      <c r="BH5" s="3903"/>
      <c r="BI5" s="3903"/>
      <c r="BJ5" s="3903"/>
      <c r="BK5" s="3903"/>
      <c r="BL5" s="3903"/>
      <c r="BM5" s="3903"/>
      <c r="BN5" s="3903"/>
      <c r="BO5" s="3903"/>
      <c r="BP5" s="3903"/>
      <c r="BQ5" s="3903"/>
      <c r="BR5" s="3903"/>
      <c r="BS5" s="3903"/>
      <c r="BT5" s="3903"/>
      <c r="BU5" s="3903"/>
      <c r="BV5" s="3903"/>
      <c r="BW5" s="3903"/>
      <c r="BX5" s="3903"/>
      <c r="BY5" s="3903"/>
      <c r="BZ5" s="3903"/>
      <c r="CA5" s="3903"/>
      <c r="CB5" s="3903"/>
      <c r="CC5" s="3903"/>
      <c r="CD5" s="3903"/>
      <c r="CE5" s="3903"/>
      <c r="CF5" s="3903"/>
      <c r="CG5" s="3903"/>
      <c r="CH5" s="3903"/>
      <c r="CI5" s="3903"/>
      <c r="CJ5" s="3903"/>
      <c r="CK5" s="3903"/>
      <c r="CL5" s="3903"/>
      <c r="CM5" s="3903"/>
      <c r="CN5" s="3903"/>
      <c r="CO5" s="3903"/>
      <c r="CP5" s="3903"/>
      <c r="CQ5" s="3903"/>
      <c r="CR5" s="3903"/>
      <c r="CS5" s="3903"/>
      <c r="CT5" s="3903"/>
      <c r="CU5" s="3903"/>
      <c r="CV5" s="3903"/>
      <c r="CW5" s="3903"/>
      <c r="CX5" s="3903"/>
      <c r="CY5" s="3903"/>
      <c r="CZ5" s="3903"/>
      <c r="DA5" s="3903"/>
      <c r="DB5" s="3903"/>
      <c r="DC5" s="3903"/>
      <c r="DD5" s="3903"/>
      <c r="DE5" s="3903"/>
      <c r="DF5" s="3903"/>
      <c r="DG5" s="3903"/>
      <c r="DH5" s="3903"/>
      <c r="DI5" s="3903"/>
      <c r="DJ5" s="3903"/>
      <c r="DK5" s="3903"/>
      <c r="DL5" s="3903"/>
      <c r="DM5" s="3903"/>
      <c r="DN5" s="3903"/>
      <c r="DO5" s="3903"/>
      <c r="DP5" s="3903"/>
      <c r="DQ5" s="3903"/>
      <c r="DR5" s="3903"/>
      <c r="DS5" s="3903"/>
      <c r="DT5" s="3903"/>
      <c r="DU5" s="3903"/>
      <c r="DV5" s="3903"/>
      <c r="DW5" s="3903"/>
      <c r="DX5" s="3903"/>
      <c r="DY5" s="3903"/>
      <c r="DZ5" s="3903"/>
      <c r="EA5" s="3903"/>
      <c r="EB5" s="3903"/>
      <c r="EC5" s="3903"/>
      <c r="ED5" s="3903"/>
      <c r="EE5" s="3903"/>
      <c r="EF5" s="3903"/>
      <c r="EG5" s="3903"/>
      <c r="EH5" s="3903"/>
      <c r="EI5" s="3903"/>
      <c r="EJ5" s="3903"/>
      <c r="EK5" s="3903"/>
      <c r="EL5" s="3903"/>
      <c r="EM5" s="3903"/>
      <c r="EN5" s="3903"/>
      <c r="EO5" s="3903"/>
      <c r="EP5" s="3903"/>
      <c r="EQ5" s="3903"/>
      <c r="ER5" s="3903"/>
      <c r="ES5" s="3903"/>
      <c r="ET5" s="3903"/>
      <c r="EU5" s="3903"/>
      <c r="EV5" s="3903"/>
      <c r="EW5" s="3903"/>
      <c r="EX5" s="3903"/>
      <c r="EY5" s="3903"/>
      <c r="EZ5" s="3903"/>
      <c r="FA5" s="3903"/>
      <c r="FB5" s="3903"/>
      <c r="FC5" s="3903"/>
      <c r="FD5" s="3903"/>
      <c r="FE5" s="3903"/>
      <c r="FF5" s="3903"/>
      <c r="FG5" s="3903"/>
      <c r="FH5" s="3903"/>
      <c r="FI5" s="3903"/>
      <c r="FJ5" s="3903"/>
      <c r="FK5" s="3903"/>
      <c r="FL5" s="3903"/>
      <c r="FM5" s="3903"/>
      <c r="FN5" s="3903"/>
      <c r="FO5" s="3903"/>
      <c r="FP5" s="3903"/>
      <c r="FQ5" s="3903"/>
      <c r="FR5" s="3903"/>
      <c r="FS5" s="3903"/>
      <c r="FT5" s="3903"/>
      <c r="FU5" s="3903"/>
      <c r="FV5" s="3903"/>
      <c r="FW5" s="3903"/>
      <c r="FX5" s="3903"/>
      <c r="FY5" s="3903"/>
      <c r="FZ5" s="3903"/>
      <c r="GA5" s="3903"/>
      <c r="GB5" s="3903"/>
      <c r="GC5" s="3903"/>
      <c r="GD5" s="3903"/>
      <c r="GE5" s="3903"/>
      <c r="GF5" s="3903"/>
      <c r="GG5" s="3903"/>
      <c r="GH5" s="3903"/>
      <c r="GI5" s="3903"/>
      <c r="GJ5" s="3903"/>
      <c r="GK5" s="3903"/>
      <c r="GL5" s="3903"/>
      <c r="GM5" s="3903"/>
      <c r="GN5" s="3903"/>
      <c r="GO5" s="3903"/>
      <c r="GP5" s="3903"/>
      <c r="GQ5" s="3903"/>
      <c r="GR5" s="3903"/>
      <c r="GS5" s="3903"/>
      <c r="GT5" s="3903"/>
      <c r="GU5" s="3903"/>
      <c r="GV5" s="3903"/>
      <c r="GW5" s="3903"/>
      <c r="GX5" s="3903"/>
      <c r="GY5" s="3903"/>
      <c r="GZ5" s="3903"/>
      <c r="HA5" s="3903"/>
      <c r="HB5" s="3903"/>
      <c r="HC5" s="3903"/>
      <c r="HD5" s="3903"/>
      <c r="HE5" s="3903"/>
      <c r="HF5" s="3903"/>
      <c r="HG5" s="3903"/>
      <c r="HH5" s="3903"/>
      <c r="HI5" s="3903"/>
      <c r="HJ5" s="3903"/>
      <c r="HK5" s="3903"/>
      <c r="HL5" s="3903"/>
      <c r="HM5" s="3903"/>
      <c r="HN5" s="3903"/>
      <c r="HO5" s="3903"/>
      <c r="HP5" s="3903"/>
      <c r="HQ5" s="3903"/>
      <c r="HR5" s="3903"/>
      <c r="HS5" s="3903"/>
      <c r="HT5" s="3903"/>
      <c r="HU5" s="3903"/>
      <c r="HV5" s="3903"/>
      <c r="HW5" s="3903"/>
      <c r="HX5" s="3903"/>
      <c r="HY5" s="3903"/>
      <c r="HZ5" s="3903"/>
      <c r="IA5" s="3903"/>
      <c r="IB5" s="3903"/>
      <c r="IC5" s="3903"/>
      <c r="ID5" s="3903"/>
      <c r="IE5" s="3903"/>
      <c r="IF5" s="3903"/>
      <c r="IG5" s="3903"/>
      <c r="IH5" s="3903"/>
      <c r="II5" s="3903"/>
      <c r="IJ5" s="3903"/>
      <c r="IK5" s="3903"/>
      <c r="IL5" s="3903"/>
      <c r="IM5" s="3903"/>
      <c r="IN5" s="3903"/>
      <c r="IO5" s="3903"/>
      <c r="IP5" s="3903"/>
      <c r="IQ5" s="3903"/>
      <c r="IR5" s="3903"/>
      <c r="IS5" s="4387"/>
      <c r="IT5" s="3983">
        <v>4</v>
      </c>
      <c r="IU5" s="3983">
        <v>3</v>
      </c>
      <c r="IV5" s="3983">
        <v>1</v>
      </c>
      <c r="IW5" s="3983">
        <v>1</v>
      </c>
      <c r="IX5" s="3983">
        <v>1</v>
      </c>
      <c r="IY5" s="3983">
        <v>1</v>
      </c>
      <c r="IZ5" s="3983">
        <v>1</v>
      </c>
      <c r="JA5" s="3983">
        <v>2</v>
      </c>
      <c r="JB5" s="3983">
        <v>2</v>
      </c>
      <c r="JC5" s="3903"/>
      <c r="JD5" s="3903"/>
      <c r="JE5" s="3903"/>
      <c r="JF5" s="3903"/>
      <c r="JG5" s="2084"/>
      <c r="JH5" s="1367"/>
      <c r="JI5" s="1565"/>
      <c r="JJ5" s="1566" t="s">
        <v>6107</v>
      </c>
      <c r="JK5" s="1835"/>
      <c r="JL5" s="1835"/>
    </row>
    <row ht="22.5" r="6" spans="1:272" x14ac:dyDescent="0.2">
      <c r="A6" s="1128">
        <v>5</v>
      </c>
      <c r="B6" s="1656" t="str">
        <f si="0" t="shared"/>
        <v/>
      </c>
      <c r="C6" s="1579" t="s">
        <v>2695</v>
      </c>
      <c r="D6" s="1392" t="s">
        <v>4912</v>
      </c>
      <c r="E6" s="1346"/>
      <c r="F6" s="1346"/>
      <c r="G6" s="1346"/>
      <c r="H6" s="1346"/>
      <c r="I6" s="1346"/>
      <c r="J6" s="1346">
        <v>625000</v>
      </c>
      <c r="K6" s="1346">
        <v>330000</v>
      </c>
      <c r="L6" s="1346"/>
      <c r="M6" s="1346">
        <v>200000</v>
      </c>
      <c r="N6" s="1346"/>
      <c r="O6" s="1884"/>
      <c r="P6" s="2033"/>
      <c r="Q6" s="2073"/>
      <c r="R6" s="2073"/>
      <c r="S6" s="2073"/>
      <c r="T6" s="2348"/>
      <c r="U6" s="2348"/>
      <c r="V6" s="2348"/>
      <c r="W6" s="2348"/>
      <c r="X6" s="2348"/>
      <c r="Y6" s="2348"/>
      <c r="Z6" s="2348"/>
      <c r="AA6" s="2348"/>
      <c r="AB6" s="2348"/>
      <c r="AC6" s="2348"/>
      <c r="AD6" s="2348"/>
      <c r="AE6" s="2348"/>
      <c r="AF6" s="2348"/>
      <c r="AG6" s="2348"/>
      <c r="AH6" s="2348"/>
      <c r="AI6" s="2348"/>
      <c r="AJ6" s="2348"/>
      <c r="AK6" s="2348"/>
      <c r="AL6" s="2348"/>
      <c r="AM6" s="2348"/>
      <c r="AN6" s="2348"/>
      <c r="AO6" s="2348"/>
      <c r="AP6" s="2348"/>
      <c r="AQ6" s="2348"/>
      <c r="AR6" s="2348"/>
      <c r="AS6" s="2348"/>
      <c r="AT6" s="2348"/>
      <c r="AU6" s="2348"/>
      <c r="AV6" s="2348"/>
      <c r="AW6" s="2348"/>
      <c r="AX6" s="2348"/>
      <c r="AY6" s="2348"/>
      <c r="AZ6" s="2348"/>
      <c r="BA6" s="2348"/>
      <c r="BB6" s="2348"/>
      <c r="BC6" s="2348"/>
      <c r="BD6" s="2348"/>
      <c r="BE6" s="2348"/>
      <c r="BF6" s="2348"/>
      <c r="BG6" s="1346"/>
      <c r="BH6" s="2348"/>
      <c r="BI6" s="2348"/>
      <c r="BJ6" s="2348"/>
      <c r="BK6" s="2348"/>
      <c r="BL6" s="2348"/>
      <c r="BM6" s="2348"/>
      <c r="BN6" s="2348"/>
      <c r="BO6" s="2348"/>
      <c r="BP6" s="2348"/>
      <c r="BQ6" s="2348"/>
      <c r="BR6" s="2348"/>
      <c r="BS6" s="2348"/>
      <c r="BT6" s="2348"/>
      <c r="BU6" s="2348"/>
      <c r="BV6" s="2348"/>
      <c r="BW6" s="2348"/>
      <c r="BX6" s="2348"/>
      <c r="BY6" s="2348"/>
      <c r="BZ6" s="2348"/>
      <c r="CA6" s="2348"/>
      <c r="CB6" s="2348"/>
      <c r="CC6" s="2348"/>
      <c r="CD6" s="2348"/>
      <c r="CE6" s="2348"/>
      <c r="CF6" s="2348"/>
      <c r="CG6" s="2348"/>
      <c r="CH6" s="2348"/>
      <c r="CI6" s="2348"/>
      <c r="CJ6" s="2348"/>
      <c r="CK6" s="2348"/>
      <c r="CL6" s="2348"/>
      <c r="CM6" s="2348"/>
      <c r="CN6" s="2348"/>
      <c r="CO6" s="2348"/>
      <c r="CP6" s="2348"/>
      <c r="CQ6" s="2348"/>
      <c r="CR6" s="2348"/>
      <c r="CS6" s="2348"/>
      <c r="CT6" s="2348"/>
      <c r="CU6" s="2348"/>
      <c r="CV6" s="2348"/>
      <c r="CW6" s="2348"/>
      <c r="CX6" s="2348"/>
      <c r="CY6" s="2348"/>
      <c r="CZ6" s="2348"/>
      <c r="DA6" s="2348"/>
      <c r="DB6" s="2348"/>
      <c r="DC6" s="2348"/>
      <c r="DD6" s="2348"/>
      <c r="DE6" s="2348"/>
      <c r="DF6" s="2348"/>
      <c r="DG6" s="2348"/>
      <c r="DH6" s="2348"/>
      <c r="DI6" s="2348"/>
      <c r="DJ6" s="2348"/>
      <c r="DK6" s="2348"/>
      <c r="DL6" s="2348"/>
      <c r="DM6" s="2348"/>
      <c r="DN6" s="2348"/>
      <c r="DO6" s="2348"/>
      <c r="DP6" s="2348"/>
      <c r="DQ6" s="2348"/>
      <c r="DR6" s="2348"/>
      <c r="DS6" s="2348"/>
      <c r="DT6" s="2348"/>
      <c r="DU6" s="2348"/>
      <c r="DV6" s="2348"/>
      <c r="DW6" s="2348"/>
      <c r="DX6" s="2348"/>
      <c r="DY6" s="2348"/>
      <c r="DZ6" s="2348"/>
      <c r="EA6" s="2348"/>
      <c r="EB6" s="2348"/>
      <c r="EC6" s="2348"/>
      <c r="ED6" s="2348"/>
      <c r="EE6" s="2348"/>
      <c r="EF6" s="2348"/>
      <c r="EG6" s="2348"/>
      <c r="EH6" s="2348"/>
      <c r="EI6" s="2348"/>
      <c r="EJ6" s="2348"/>
      <c r="EK6" s="2348"/>
      <c r="EL6" s="2348"/>
      <c r="EM6" s="2348"/>
      <c r="EN6" s="2348"/>
      <c r="EO6" s="2348"/>
      <c r="EP6" s="2348"/>
      <c r="EQ6" s="2348"/>
      <c r="ER6" s="2348"/>
      <c r="ES6" s="2348"/>
      <c r="ET6" s="2348"/>
      <c r="EU6" s="2348"/>
      <c r="EV6" s="2348"/>
      <c r="EW6" s="2348"/>
      <c r="EX6" s="2348"/>
      <c r="EY6" s="2348"/>
      <c r="EZ6" s="2348"/>
      <c r="FA6" s="2348"/>
      <c r="FB6" s="2348"/>
      <c r="FC6" s="2348"/>
      <c r="FD6" s="2348"/>
      <c r="FE6" s="2348"/>
      <c r="FF6" s="2348"/>
      <c r="FG6" s="2348"/>
      <c r="FH6" s="2348"/>
      <c r="FI6" s="2348"/>
      <c r="FJ6" s="2348"/>
      <c r="FK6" s="2348"/>
      <c r="FL6" s="2348"/>
      <c r="FM6" s="2348"/>
      <c r="FN6" s="2348"/>
      <c r="FO6" s="2348"/>
      <c r="FP6" s="2348"/>
      <c r="FQ6" s="2348"/>
      <c r="FR6" s="2348"/>
      <c r="FS6" s="2348"/>
      <c r="FT6" s="2348"/>
      <c r="FU6" s="2348"/>
      <c r="FV6" s="2348"/>
      <c r="FW6" s="2348"/>
      <c r="FX6" s="2348"/>
      <c r="FY6" s="2348"/>
      <c r="FZ6" s="2348"/>
      <c r="GA6" s="2348"/>
      <c r="GB6" s="2348"/>
      <c r="GC6" s="2348"/>
      <c r="GD6" s="2348"/>
      <c r="GE6" s="2348"/>
      <c r="GF6" s="2348"/>
      <c r="GG6" s="2348"/>
      <c r="GH6" s="2348"/>
      <c r="GI6" s="2348"/>
      <c r="GJ6" s="2348"/>
      <c r="GK6" s="2348"/>
      <c r="GL6" s="2348"/>
      <c r="GM6" s="2348"/>
      <c r="GN6" s="2348"/>
      <c r="GO6" s="2348"/>
      <c r="GP6" s="2348"/>
      <c r="GQ6" s="2348"/>
      <c r="GR6" s="2348"/>
      <c r="GS6" s="2348"/>
      <c r="GT6" s="2348"/>
      <c r="GU6" s="2348"/>
      <c r="GV6" s="2348"/>
      <c r="GW6" s="2348"/>
      <c r="GX6" s="2348"/>
      <c r="GY6" s="2348"/>
      <c r="GZ6" s="2348"/>
      <c r="HA6" s="2348"/>
      <c r="HB6" s="2348"/>
      <c r="HC6" s="2348"/>
      <c r="HD6" s="2348"/>
      <c r="HE6" s="2348"/>
      <c r="HF6" s="2348"/>
      <c r="HG6" s="2348"/>
      <c r="HH6" s="2348"/>
      <c r="HI6" s="2348"/>
      <c r="HJ6" s="2348"/>
      <c r="HK6" s="2348"/>
      <c r="HL6" s="2348"/>
      <c r="HM6" s="2348"/>
      <c r="HN6" s="2348"/>
      <c r="HO6" s="2348"/>
      <c r="HP6" s="2348"/>
      <c r="HQ6" s="2348"/>
      <c r="HR6" s="2348"/>
      <c r="HS6" s="2348"/>
      <c r="HT6" s="2348"/>
      <c r="HU6" s="2348"/>
      <c r="HV6" s="2348"/>
      <c r="HW6" s="2348"/>
      <c r="HX6" s="2348"/>
      <c r="HY6" s="2348"/>
      <c r="HZ6" s="2348"/>
      <c r="IA6" s="2348"/>
      <c r="IB6" s="2348"/>
      <c r="IC6" s="2348"/>
      <c r="ID6" s="2348"/>
      <c r="IE6" s="2348"/>
      <c r="IF6" s="2348"/>
      <c r="IG6" s="2348"/>
      <c r="IH6" s="2348"/>
      <c r="II6" s="2348"/>
      <c r="IJ6" s="2348"/>
      <c r="IK6" s="2348"/>
      <c r="IL6" s="2348"/>
      <c r="IM6" s="2348"/>
      <c r="IN6" s="2348"/>
      <c r="IO6" s="2348"/>
      <c r="IP6" s="2348"/>
      <c r="IQ6" s="2348"/>
      <c r="IR6" s="2348"/>
      <c r="IS6" s="2348"/>
      <c r="IT6" s="3982">
        <v>385723</v>
      </c>
      <c r="IU6" s="3982">
        <v>172570</v>
      </c>
      <c r="IV6" s="3982">
        <v>440000</v>
      </c>
      <c r="IW6" s="3982">
        <v>93723</v>
      </c>
      <c r="IX6" s="3982">
        <v>475000</v>
      </c>
      <c r="IY6" s="3982">
        <v>55000</v>
      </c>
      <c r="IZ6" s="3982">
        <v>540013</v>
      </c>
      <c r="JA6" s="3982">
        <v>343840</v>
      </c>
      <c r="JB6" s="3982">
        <v>1090000</v>
      </c>
      <c r="JC6" s="2348"/>
      <c r="JD6" s="2348"/>
      <c r="JE6" s="2348"/>
      <c r="JF6" s="2348"/>
      <c r="JG6" s="2085"/>
      <c r="JH6" s="1367"/>
      <c r="JI6" s="1565"/>
      <c r="JJ6" s="1566" t="s">
        <v>6108</v>
      </c>
      <c r="JK6" s="1566" t="s">
        <v>2914</v>
      </c>
      <c r="JL6" s="1835"/>
    </row>
    <row ht="22.5" r="7" spans="1:272" x14ac:dyDescent="0.2">
      <c r="A7" s="1128">
        <v>6</v>
      </c>
      <c r="B7" s="1656" t="str">
        <f si="0" t="shared"/>
        <v/>
      </c>
      <c r="C7" s="1579" t="s">
        <v>2696</v>
      </c>
      <c r="D7" s="1392" t="s">
        <v>4913</v>
      </c>
      <c r="E7" s="1346"/>
      <c r="F7" s="1346"/>
      <c r="G7" s="1346"/>
      <c r="H7" s="1346"/>
      <c r="I7" s="1346"/>
      <c r="J7" s="1346">
        <v>600900</v>
      </c>
      <c r="K7" s="1346">
        <v>390000</v>
      </c>
      <c r="L7" s="1346"/>
      <c r="M7" s="1346">
        <v>150860</v>
      </c>
      <c r="N7" s="1346"/>
      <c r="O7" s="1884"/>
      <c r="P7" s="2033"/>
      <c r="Q7" s="2073"/>
      <c r="R7" s="2073"/>
      <c r="S7" s="2073"/>
      <c r="T7" s="2348"/>
      <c r="U7" s="2348"/>
      <c r="V7" s="2348"/>
      <c r="W7" s="2348"/>
      <c r="X7" s="2348"/>
      <c r="Y7" s="2348"/>
      <c r="Z7" s="2348"/>
      <c r="AA7" s="2348"/>
      <c r="AB7" s="2348"/>
      <c r="AC7" s="2348"/>
      <c r="AD7" s="2348"/>
      <c r="AE7" s="2348"/>
      <c r="AF7" s="2348"/>
      <c r="AG7" s="2348"/>
      <c r="AH7" s="2348"/>
      <c r="AI7" s="2348"/>
      <c r="AJ7" s="2348"/>
      <c r="AK7" s="2348"/>
      <c r="AL7" s="2348"/>
      <c r="AM7" s="2348"/>
      <c r="AN7" s="2348"/>
      <c r="AO7" s="2348"/>
      <c r="AP7" s="2348"/>
      <c r="AQ7" s="2348"/>
      <c r="AR7" s="2348"/>
      <c r="AS7" s="2348"/>
      <c r="AT7" s="2348"/>
      <c r="AU7" s="2348"/>
      <c r="AV7" s="2348"/>
      <c r="AW7" s="2348"/>
      <c r="AX7" s="2348"/>
      <c r="AY7" s="2348"/>
      <c r="AZ7" s="2348"/>
      <c r="BA7" s="2348"/>
      <c r="BB7" s="2348"/>
      <c r="BC7" s="2348"/>
      <c r="BD7" s="2348"/>
      <c r="BE7" s="2348"/>
      <c r="BF7" s="2348"/>
      <c r="BG7" s="1346"/>
      <c r="BH7" s="2348"/>
      <c r="BI7" s="2348"/>
      <c r="BJ7" s="2348"/>
      <c r="BK7" s="2348"/>
      <c r="BL7" s="2348"/>
      <c r="BM7" s="2348"/>
      <c r="BN7" s="2348"/>
      <c r="BO7" s="2348"/>
      <c r="BP7" s="2348"/>
      <c r="BQ7" s="2348"/>
      <c r="BR7" s="2348"/>
      <c r="BS7" s="2348"/>
      <c r="BT7" s="2348"/>
      <c r="BU7" s="2348"/>
      <c r="BV7" s="2348"/>
      <c r="BW7" s="2348"/>
      <c r="BX7" s="2348"/>
      <c r="BY7" s="2348"/>
      <c r="BZ7" s="2348"/>
      <c r="CA7" s="2348"/>
      <c r="CB7" s="2348"/>
      <c r="CC7" s="2348"/>
      <c r="CD7" s="2348"/>
      <c r="CE7" s="2348"/>
      <c r="CF7" s="2348"/>
      <c r="CG7" s="2348"/>
      <c r="CH7" s="2348"/>
      <c r="CI7" s="2348"/>
      <c r="CJ7" s="2348"/>
      <c r="CK7" s="2348"/>
      <c r="CL7" s="2348"/>
      <c r="CM7" s="2348"/>
      <c r="CN7" s="2348"/>
      <c r="CO7" s="2348"/>
      <c r="CP7" s="2348"/>
      <c r="CQ7" s="2348"/>
      <c r="CR7" s="2348"/>
      <c r="CS7" s="2348"/>
      <c r="CT7" s="2348"/>
      <c r="CU7" s="2348"/>
      <c r="CV7" s="2348"/>
      <c r="CW7" s="2348"/>
      <c r="CX7" s="2348"/>
      <c r="CY7" s="2348"/>
      <c r="CZ7" s="2348"/>
      <c r="DA7" s="2348"/>
      <c r="DB7" s="2348"/>
      <c r="DC7" s="2348"/>
      <c r="DD7" s="2348"/>
      <c r="DE7" s="2348"/>
      <c r="DF7" s="2348"/>
      <c r="DG7" s="2348"/>
      <c r="DH7" s="2348"/>
      <c r="DI7" s="2348"/>
      <c r="DJ7" s="2348"/>
      <c r="DK7" s="2348"/>
      <c r="DL7" s="2348"/>
      <c r="DM7" s="2348"/>
      <c r="DN7" s="2348"/>
      <c r="DO7" s="2348"/>
      <c r="DP7" s="2348"/>
      <c r="DQ7" s="2348"/>
      <c r="DR7" s="2348"/>
      <c r="DS7" s="2348"/>
      <c r="DT7" s="2348"/>
      <c r="DU7" s="2348"/>
      <c r="DV7" s="2348"/>
      <c r="DW7" s="2348"/>
      <c r="DX7" s="2348"/>
      <c r="DY7" s="2348"/>
      <c r="DZ7" s="2348"/>
      <c r="EA7" s="2348"/>
      <c r="EB7" s="2348"/>
      <c r="EC7" s="2348"/>
      <c r="ED7" s="2348"/>
      <c r="EE7" s="2348"/>
      <c r="EF7" s="2348"/>
      <c r="EG7" s="2348"/>
      <c r="EH7" s="2348"/>
      <c r="EI7" s="2348"/>
      <c r="EJ7" s="2348"/>
      <c r="EK7" s="2348"/>
      <c r="EL7" s="2348"/>
      <c r="EM7" s="2348"/>
      <c r="EN7" s="2348"/>
      <c r="EO7" s="2348"/>
      <c r="EP7" s="2348"/>
      <c r="EQ7" s="2348"/>
      <c r="ER7" s="2348"/>
      <c r="ES7" s="2348"/>
      <c r="ET7" s="2348"/>
      <c r="EU7" s="2348"/>
      <c r="EV7" s="2348"/>
      <c r="EW7" s="2348"/>
      <c r="EX7" s="2348"/>
      <c r="EY7" s="2348"/>
      <c r="EZ7" s="2348"/>
      <c r="FA7" s="2348"/>
      <c r="FB7" s="2348"/>
      <c r="FC7" s="2348"/>
      <c r="FD7" s="2348"/>
      <c r="FE7" s="2348"/>
      <c r="FF7" s="2348"/>
      <c r="FG7" s="2348"/>
      <c r="FH7" s="2348"/>
      <c r="FI7" s="2348"/>
      <c r="FJ7" s="2348"/>
      <c r="FK7" s="2348"/>
      <c r="FL7" s="2348"/>
      <c r="FM7" s="2348"/>
      <c r="FN7" s="2348"/>
      <c r="FO7" s="2348"/>
      <c r="FP7" s="2348"/>
      <c r="FQ7" s="2348"/>
      <c r="FR7" s="2348"/>
      <c r="FS7" s="2348"/>
      <c r="FT7" s="2348"/>
      <c r="FU7" s="2348"/>
      <c r="FV7" s="2348"/>
      <c r="FW7" s="2348"/>
      <c r="FX7" s="2348"/>
      <c r="FY7" s="2348"/>
      <c r="FZ7" s="2348"/>
      <c r="GA7" s="2348"/>
      <c r="GB7" s="2348"/>
      <c r="GC7" s="2348"/>
      <c r="GD7" s="2348"/>
      <c r="GE7" s="2348"/>
      <c r="GF7" s="2348"/>
      <c r="GG7" s="2348"/>
      <c r="GH7" s="2348"/>
      <c r="GI7" s="2348"/>
      <c r="GJ7" s="2348"/>
      <c r="GK7" s="2348"/>
      <c r="GL7" s="2348"/>
      <c r="GM7" s="2348"/>
      <c r="GN7" s="2348"/>
      <c r="GO7" s="2348"/>
      <c r="GP7" s="2348"/>
      <c r="GQ7" s="2348"/>
      <c r="GR7" s="2348"/>
      <c r="GS7" s="2348"/>
      <c r="GT7" s="2348"/>
      <c r="GU7" s="2348"/>
      <c r="GV7" s="2348"/>
      <c r="GW7" s="2348"/>
      <c r="GX7" s="2348"/>
      <c r="GY7" s="2348"/>
      <c r="GZ7" s="2348"/>
      <c r="HA7" s="2348"/>
      <c r="HB7" s="2348"/>
      <c r="HC7" s="2348"/>
      <c r="HD7" s="2348"/>
      <c r="HE7" s="2348"/>
      <c r="HF7" s="2348"/>
      <c r="HG7" s="2348"/>
      <c r="HH7" s="2348"/>
      <c r="HI7" s="2348"/>
      <c r="HJ7" s="2348"/>
      <c r="HK7" s="2348"/>
      <c r="HL7" s="2348"/>
      <c r="HM7" s="2348"/>
      <c r="HN7" s="2348"/>
      <c r="HO7" s="2348"/>
      <c r="HP7" s="2348"/>
      <c r="HQ7" s="2348"/>
      <c r="HR7" s="2348"/>
      <c r="HS7" s="2348"/>
      <c r="HT7" s="2348"/>
      <c r="HU7" s="2348"/>
      <c r="HV7" s="2348"/>
      <c r="HW7" s="2348"/>
      <c r="HX7" s="2348"/>
      <c r="HY7" s="2348"/>
      <c r="HZ7" s="2348"/>
      <c r="IA7" s="2348"/>
      <c r="IB7" s="2348"/>
      <c r="IC7" s="2348"/>
      <c r="ID7" s="2348"/>
      <c r="IE7" s="2348"/>
      <c r="IF7" s="2348"/>
      <c r="IG7" s="2348"/>
      <c r="IH7" s="2348"/>
      <c r="II7" s="2348"/>
      <c r="IJ7" s="2348"/>
      <c r="IK7" s="2348"/>
      <c r="IL7" s="2348"/>
      <c r="IM7" s="2348"/>
      <c r="IN7" s="2348"/>
      <c r="IO7" s="2348"/>
      <c r="IP7" s="2348"/>
      <c r="IQ7" s="2348"/>
      <c r="IR7" s="2348"/>
      <c r="IS7" s="2348"/>
      <c r="IT7" s="3982">
        <v>316588</v>
      </c>
      <c r="IU7" s="3982">
        <v>116677</v>
      </c>
      <c r="IV7" s="3982">
        <v>81000</v>
      </c>
      <c r="IW7" s="3982">
        <v>82641</v>
      </c>
      <c r="IX7" s="3982">
        <v>114421</v>
      </c>
      <c r="IY7" s="3982">
        <v>49037</v>
      </c>
      <c r="IZ7" s="3982">
        <v>503006</v>
      </c>
      <c r="JA7" s="3982">
        <v>320261</v>
      </c>
      <c r="JB7" s="3982">
        <v>987500</v>
      </c>
      <c r="JC7" s="2348"/>
      <c r="JD7" s="2348"/>
      <c r="JE7" s="2348"/>
      <c r="JF7" s="2348"/>
      <c r="JG7" s="2085"/>
      <c r="JH7" s="1367"/>
      <c r="JI7" s="1565"/>
      <c r="JJ7" s="1566" t="s">
        <v>6108</v>
      </c>
      <c r="JK7" s="1566" t="s">
        <v>1881</v>
      </c>
      <c r="JL7" s="1835"/>
    </row>
    <row ht="22.5" r="8" spans="1:272" x14ac:dyDescent="0.2">
      <c r="A8" s="1128">
        <v>7</v>
      </c>
      <c r="B8" s="1656" t="str">
        <f si="0" t="shared"/>
        <v/>
      </c>
      <c r="C8" s="1828" t="s">
        <v>2697</v>
      </c>
      <c r="D8" s="1392" t="s">
        <v>5299</v>
      </c>
      <c r="E8" s="1618"/>
      <c r="F8" s="1618"/>
      <c r="G8" s="1618"/>
      <c r="H8" s="1618"/>
      <c r="I8" s="1618"/>
      <c r="J8" s="1618">
        <v>5000</v>
      </c>
      <c r="K8" s="1618"/>
      <c r="L8" s="1618"/>
      <c r="M8" s="1617">
        <f>MAX(0,M6-M7)</f>
        <v>49140</v>
      </c>
      <c r="N8" s="1618"/>
      <c r="O8" s="1885">
        <v>38000</v>
      </c>
      <c r="P8" s="2034"/>
      <c r="Q8" s="2034"/>
      <c r="R8" s="2034"/>
      <c r="S8" s="2034"/>
      <c r="T8" s="3904"/>
      <c r="U8" s="3904"/>
      <c r="V8" s="3904"/>
      <c r="W8" s="3904"/>
      <c r="X8" s="3904"/>
      <c r="Y8" s="3904"/>
      <c r="Z8" s="3904"/>
      <c r="AA8" s="3904"/>
      <c r="AB8" s="3904"/>
      <c r="AC8" s="3904"/>
      <c r="AD8" s="3904"/>
      <c r="AE8" s="3904"/>
      <c r="AF8" s="3904"/>
      <c r="AG8" s="3904"/>
      <c r="AH8" s="3904"/>
      <c r="AI8" s="3904"/>
      <c r="AJ8" s="3904"/>
      <c r="AK8" s="3904"/>
      <c r="AL8" s="3904"/>
      <c r="AM8" s="3904"/>
      <c r="AN8" s="3904"/>
      <c r="AO8" s="3904"/>
      <c r="AP8" s="3904"/>
      <c r="AQ8" s="3904"/>
      <c r="AR8" s="3904"/>
      <c r="AS8" s="3904"/>
      <c r="AT8" s="3904"/>
      <c r="AU8" s="3904"/>
      <c r="AV8" s="3904"/>
      <c r="AW8" s="3904"/>
      <c r="AX8" s="3904"/>
      <c r="AY8" s="3904"/>
      <c r="AZ8" s="3904"/>
      <c r="BA8" s="3904"/>
      <c r="BB8" s="3904"/>
      <c r="BC8" s="3904"/>
      <c r="BD8" s="3904"/>
      <c r="BE8" s="3904"/>
      <c r="BF8" s="3904"/>
      <c r="BG8" s="1618"/>
      <c r="BH8" s="3904"/>
      <c r="BI8" s="3904"/>
      <c r="BJ8" s="3904"/>
      <c r="BK8" s="3904"/>
      <c r="BL8" s="3904"/>
      <c r="BM8" s="3904"/>
      <c r="BN8" s="3904"/>
      <c r="BO8" s="3904"/>
      <c r="BP8" s="3904"/>
      <c r="BQ8" s="3904"/>
      <c r="BR8" s="3904"/>
      <c r="BS8" s="3904"/>
      <c r="BT8" s="3904"/>
      <c r="BU8" s="3904"/>
      <c r="BV8" s="3904"/>
      <c r="BW8" s="3904"/>
      <c r="BX8" s="3904"/>
      <c r="BY8" s="3904"/>
      <c r="BZ8" s="3904"/>
      <c r="CA8" s="3904"/>
      <c r="CB8" s="3904"/>
      <c r="CC8" s="3904"/>
      <c r="CD8" s="3904"/>
      <c r="CE8" s="3904"/>
      <c r="CF8" s="3904"/>
      <c r="CG8" s="3904"/>
      <c r="CH8" s="3904"/>
      <c r="CI8" s="3904"/>
      <c r="CJ8" s="3904"/>
      <c r="CK8" s="3904"/>
      <c r="CL8" s="3904"/>
      <c r="CM8" s="3904"/>
      <c r="CN8" s="3904"/>
      <c r="CO8" s="3904"/>
      <c r="CP8" s="3904"/>
      <c r="CQ8" s="3904"/>
      <c r="CR8" s="3904"/>
      <c r="CS8" s="3904"/>
      <c r="CT8" s="3904"/>
      <c r="CU8" s="3904"/>
      <c r="CV8" s="3904"/>
      <c r="CW8" s="3904"/>
      <c r="CX8" s="3904"/>
      <c r="CY8" s="3904"/>
      <c r="CZ8" s="3904"/>
      <c r="DA8" s="3904"/>
      <c r="DB8" s="3904"/>
      <c r="DC8" s="3904"/>
      <c r="DD8" s="3904"/>
      <c r="DE8" s="3904"/>
      <c r="DF8" s="3904"/>
      <c r="DG8" s="3904"/>
      <c r="DH8" s="3904"/>
      <c r="DI8" s="3904"/>
      <c r="DJ8" s="3904"/>
      <c r="DK8" s="3904"/>
      <c r="DL8" s="3904"/>
      <c r="DM8" s="3904"/>
      <c r="DN8" s="3904"/>
      <c r="DO8" s="3904"/>
      <c r="DP8" s="3904"/>
      <c r="DQ8" s="3904"/>
      <c r="DR8" s="3904"/>
      <c r="DS8" s="3904"/>
      <c r="DT8" s="3904"/>
      <c r="DU8" s="3904"/>
      <c r="DV8" s="3904"/>
      <c r="DW8" s="3904"/>
      <c r="DX8" s="3904"/>
      <c r="DY8" s="3904"/>
      <c r="DZ8" s="3904"/>
      <c r="EA8" s="3904"/>
      <c r="EB8" s="3904"/>
      <c r="EC8" s="3904"/>
      <c r="ED8" s="3904"/>
      <c r="EE8" s="3904"/>
      <c r="EF8" s="3904"/>
      <c r="EG8" s="3904"/>
      <c r="EH8" s="3904"/>
      <c r="EI8" s="3904"/>
      <c r="EJ8" s="3904"/>
      <c r="EK8" s="3904"/>
      <c r="EL8" s="3904"/>
      <c r="EM8" s="3904"/>
      <c r="EN8" s="3904"/>
      <c r="EO8" s="3904"/>
      <c r="EP8" s="3904"/>
      <c r="EQ8" s="3904"/>
      <c r="ER8" s="3904"/>
      <c r="ES8" s="3904"/>
      <c r="ET8" s="3904"/>
      <c r="EU8" s="3904"/>
      <c r="EV8" s="3904"/>
      <c r="EW8" s="3904"/>
      <c r="EX8" s="3904"/>
      <c r="EY8" s="3904"/>
      <c r="EZ8" s="3904"/>
      <c r="FA8" s="3904"/>
      <c r="FB8" s="3904"/>
      <c r="FC8" s="3904"/>
      <c r="FD8" s="3904"/>
      <c r="FE8" s="3904"/>
      <c r="FF8" s="3904"/>
      <c r="FG8" s="3904"/>
      <c r="FH8" s="3904"/>
      <c r="FI8" s="3904"/>
      <c r="FJ8" s="3904"/>
      <c r="FK8" s="3904"/>
      <c r="FL8" s="3904"/>
      <c r="FM8" s="3904"/>
      <c r="FN8" s="3904"/>
      <c r="FO8" s="3904"/>
      <c r="FP8" s="3904"/>
      <c r="FQ8" s="3904"/>
      <c r="FR8" s="3904"/>
      <c r="FS8" s="3904"/>
      <c r="FT8" s="3904"/>
      <c r="FU8" s="3904"/>
      <c r="FV8" s="3904"/>
      <c r="FW8" s="3904"/>
      <c r="FX8" s="3904"/>
      <c r="FY8" s="3904"/>
      <c r="FZ8" s="3904"/>
      <c r="GA8" s="3904"/>
      <c r="GB8" s="3904"/>
      <c r="GC8" s="3904"/>
      <c r="GD8" s="3904"/>
      <c r="GE8" s="3904"/>
      <c r="GF8" s="3904"/>
      <c r="GG8" s="3904"/>
      <c r="GH8" s="3904"/>
      <c r="GI8" s="3904"/>
      <c r="GJ8" s="3904"/>
      <c r="GK8" s="3904"/>
      <c r="GL8" s="3904"/>
      <c r="GM8" s="3904"/>
      <c r="GN8" s="3904"/>
      <c r="GO8" s="3904"/>
      <c r="GP8" s="3904"/>
      <c r="GQ8" s="3904"/>
      <c r="GR8" s="3904"/>
      <c r="GS8" s="3904"/>
      <c r="GT8" s="3904"/>
      <c r="GU8" s="3904"/>
      <c r="GV8" s="3904"/>
      <c r="GW8" s="3904"/>
      <c r="GX8" s="3904"/>
      <c r="GY8" s="3904"/>
      <c r="GZ8" s="3904"/>
      <c r="HA8" s="3904"/>
      <c r="HB8" s="3904"/>
      <c r="HC8" s="3904"/>
      <c r="HD8" s="3904"/>
      <c r="HE8" s="3904"/>
      <c r="HF8" s="3904"/>
      <c r="HG8" s="3904"/>
      <c r="HH8" s="3904"/>
      <c r="HI8" s="3904"/>
      <c r="HJ8" s="3904"/>
      <c r="HK8" s="3904"/>
      <c r="HL8" s="3904"/>
      <c r="HM8" s="3904"/>
      <c r="HN8" s="3904"/>
      <c r="HO8" s="3904"/>
      <c r="HP8" s="3904"/>
      <c r="HQ8" s="3904"/>
      <c r="HR8" s="3904"/>
      <c r="HS8" s="3904"/>
      <c r="HT8" s="3904"/>
      <c r="HU8" s="3904"/>
      <c r="HV8" s="3904"/>
      <c r="HW8" s="3904"/>
      <c r="HX8" s="3904"/>
      <c r="HY8" s="3904"/>
      <c r="HZ8" s="3904"/>
      <c r="IA8" s="3904"/>
      <c r="IB8" s="3904"/>
      <c r="IC8" s="3904"/>
      <c r="ID8" s="3904"/>
      <c r="IE8" s="3904"/>
      <c r="IF8" s="3904"/>
      <c r="IG8" s="3904"/>
      <c r="IH8" s="3904"/>
      <c r="II8" s="3904"/>
      <c r="IJ8" s="3904"/>
      <c r="IK8" s="3904"/>
      <c r="IL8" s="3904"/>
      <c r="IM8" s="3904"/>
      <c r="IN8" s="3904"/>
      <c r="IO8" s="3904"/>
      <c r="IP8" s="3904"/>
      <c r="IQ8" s="3904"/>
      <c r="IR8" s="3904"/>
      <c r="IS8" s="3904"/>
      <c r="IT8" s="3919">
        <f>MAX(0,IT6-IT7)</f>
        <v>69135</v>
      </c>
      <c r="IU8" s="3919">
        <f ref="IU8:JB8" si="1" t="shared">MAX(0,IU6-IU7)</f>
        <v>55893</v>
      </c>
      <c r="IV8" s="3919">
        <f si="1" t="shared"/>
        <v>359000</v>
      </c>
      <c r="IW8" s="3919">
        <f si="1" t="shared"/>
        <v>11082</v>
      </c>
      <c r="IX8" s="3919">
        <f si="1" t="shared"/>
        <v>360579</v>
      </c>
      <c r="IY8" s="3919">
        <f si="1" t="shared"/>
        <v>5963</v>
      </c>
      <c r="IZ8" s="3919">
        <f si="1" t="shared"/>
        <v>37007</v>
      </c>
      <c r="JA8" s="3919">
        <f si="1" t="shared"/>
        <v>23579</v>
      </c>
      <c r="JB8" s="3919">
        <f si="1" t="shared"/>
        <v>102500</v>
      </c>
      <c r="JC8" s="3904"/>
      <c r="JD8" s="3904"/>
      <c r="JE8" s="3904"/>
      <c r="JF8" s="3904"/>
      <c r="JG8" s="2086"/>
      <c r="JH8" s="1367"/>
      <c r="JI8" s="1565"/>
      <c r="JJ8" s="1566" t="s">
        <v>6108</v>
      </c>
      <c r="JK8" s="1566" t="s">
        <v>2914</v>
      </c>
      <c r="JL8" s="1835"/>
    </row>
    <row ht="22.5" r="9" spans="1:272" x14ac:dyDescent="0.2">
      <c r="A9" s="1128">
        <v>8</v>
      </c>
      <c r="B9" s="1656" t="str">
        <f si="0" t="shared"/>
        <v/>
      </c>
      <c r="C9" s="1828" t="s">
        <v>2698</v>
      </c>
      <c r="D9" s="1392" t="s">
        <v>5300</v>
      </c>
      <c r="E9" s="1618"/>
      <c r="F9" s="1618"/>
      <c r="G9" s="1618"/>
      <c r="H9" s="1618"/>
      <c r="I9" s="1618"/>
      <c r="J9" s="1618">
        <v>2000</v>
      </c>
      <c r="K9" s="1618">
        <v>10000</v>
      </c>
      <c r="L9" s="1618"/>
      <c r="M9" s="1618"/>
      <c r="N9" s="1618"/>
      <c r="O9" s="1885"/>
      <c r="P9" s="2034"/>
      <c r="Q9" s="2034"/>
      <c r="R9" s="2034"/>
      <c r="S9" s="2034"/>
      <c r="T9" s="3904"/>
      <c r="U9" s="3904"/>
      <c r="V9" s="3904"/>
      <c r="W9" s="3904"/>
      <c r="X9" s="3904"/>
      <c r="Y9" s="3904"/>
      <c r="Z9" s="3904"/>
      <c r="AA9" s="3904"/>
      <c r="AB9" s="3904"/>
      <c r="AC9" s="3904"/>
      <c r="AD9" s="3904"/>
      <c r="AE9" s="3904"/>
      <c r="AF9" s="3904"/>
      <c r="AG9" s="3904"/>
      <c r="AH9" s="3904"/>
      <c r="AI9" s="3904"/>
      <c r="AJ9" s="3904"/>
      <c r="AK9" s="3904"/>
      <c r="AL9" s="3904"/>
      <c r="AM9" s="3904"/>
      <c r="AN9" s="3904"/>
      <c r="AO9" s="3904"/>
      <c r="AP9" s="3904"/>
      <c r="AQ9" s="3904"/>
      <c r="AR9" s="3904"/>
      <c r="AS9" s="3904"/>
      <c r="AT9" s="3904"/>
      <c r="AU9" s="3904"/>
      <c r="AV9" s="3904"/>
      <c r="AW9" s="3904"/>
      <c r="AX9" s="3904"/>
      <c r="AY9" s="3904"/>
      <c r="AZ9" s="3904"/>
      <c r="BA9" s="3904"/>
      <c r="BB9" s="3904"/>
      <c r="BC9" s="3904"/>
      <c r="BD9" s="3904"/>
      <c r="BE9" s="3904"/>
      <c r="BF9" s="3904"/>
      <c r="BG9" s="1618"/>
      <c r="BH9" s="3904"/>
      <c r="BI9" s="3904"/>
      <c r="BJ9" s="3904"/>
      <c r="BK9" s="3904"/>
      <c r="BL9" s="3904"/>
      <c r="BM9" s="3904"/>
      <c r="BN9" s="3904"/>
      <c r="BO9" s="3904"/>
      <c r="BP9" s="3904"/>
      <c r="BQ9" s="3904"/>
      <c r="BR9" s="3904"/>
      <c r="BS9" s="3904"/>
      <c r="BT9" s="3904"/>
      <c r="BU9" s="3904"/>
      <c r="BV9" s="3904"/>
      <c r="BW9" s="3904"/>
      <c r="BX9" s="3904"/>
      <c r="BY9" s="3904"/>
      <c r="BZ9" s="3904"/>
      <c r="CA9" s="3904"/>
      <c r="CB9" s="3904"/>
      <c r="CC9" s="3904"/>
      <c r="CD9" s="3904"/>
      <c r="CE9" s="3904"/>
      <c r="CF9" s="3904"/>
      <c r="CG9" s="3904"/>
      <c r="CH9" s="3904"/>
      <c r="CI9" s="3904"/>
      <c r="CJ9" s="3904"/>
      <c r="CK9" s="3904"/>
      <c r="CL9" s="3904"/>
      <c r="CM9" s="3904"/>
      <c r="CN9" s="3904"/>
      <c r="CO9" s="3904"/>
      <c r="CP9" s="3904"/>
      <c r="CQ9" s="3904"/>
      <c r="CR9" s="3904"/>
      <c r="CS9" s="3904"/>
      <c r="CT9" s="3904"/>
      <c r="CU9" s="3904"/>
      <c r="CV9" s="3904"/>
      <c r="CW9" s="3904"/>
      <c r="CX9" s="3904"/>
      <c r="CY9" s="3904"/>
      <c r="CZ9" s="3904"/>
      <c r="DA9" s="3904"/>
      <c r="DB9" s="3904"/>
      <c r="DC9" s="3904"/>
      <c r="DD9" s="3904"/>
      <c r="DE9" s="3904"/>
      <c r="DF9" s="3904"/>
      <c r="DG9" s="3904"/>
      <c r="DH9" s="3904"/>
      <c r="DI9" s="3904"/>
      <c r="DJ9" s="3904"/>
      <c r="DK9" s="3904"/>
      <c r="DL9" s="3904"/>
      <c r="DM9" s="3904"/>
      <c r="DN9" s="3904"/>
      <c r="DO9" s="3904"/>
      <c r="DP9" s="3904"/>
      <c r="DQ9" s="3904"/>
      <c r="DR9" s="3904"/>
      <c r="DS9" s="3904"/>
      <c r="DT9" s="3904"/>
      <c r="DU9" s="3904"/>
      <c r="DV9" s="3904"/>
      <c r="DW9" s="3904"/>
      <c r="DX9" s="3904"/>
      <c r="DY9" s="3904"/>
      <c r="DZ9" s="3904"/>
      <c r="EA9" s="3904"/>
      <c r="EB9" s="3904"/>
      <c r="EC9" s="3904"/>
      <c r="ED9" s="3904"/>
      <c r="EE9" s="3904"/>
      <c r="EF9" s="3904"/>
      <c r="EG9" s="3904"/>
      <c r="EH9" s="3904"/>
      <c r="EI9" s="3904"/>
      <c r="EJ9" s="3904"/>
      <c r="EK9" s="3904"/>
      <c r="EL9" s="3904"/>
      <c r="EM9" s="3904"/>
      <c r="EN9" s="3904"/>
      <c r="EO9" s="3904"/>
      <c r="EP9" s="3904"/>
      <c r="EQ9" s="3904"/>
      <c r="ER9" s="3904"/>
      <c r="ES9" s="3904"/>
      <c r="ET9" s="3904"/>
      <c r="EU9" s="3904"/>
      <c r="EV9" s="3904"/>
      <c r="EW9" s="3904"/>
      <c r="EX9" s="3904"/>
      <c r="EY9" s="3904"/>
      <c r="EZ9" s="3904"/>
      <c r="FA9" s="3904"/>
      <c r="FB9" s="3904"/>
      <c r="FC9" s="3904"/>
      <c r="FD9" s="3904"/>
      <c r="FE9" s="3904"/>
      <c r="FF9" s="3904"/>
      <c r="FG9" s="3904"/>
      <c r="FH9" s="3904"/>
      <c r="FI9" s="3904"/>
      <c r="FJ9" s="3904"/>
      <c r="FK9" s="3904"/>
      <c r="FL9" s="3904"/>
      <c r="FM9" s="3904"/>
      <c r="FN9" s="3904"/>
      <c r="FO9" s="3904"/>
      <c r="FP9" s="3904"/>
      <c r="FQ9" s="3904"/>
      <c r="FR9" s="3904"/>
      <c r="FS9" s="3904"/>
      <c r="FT9" s="3904"/>
      <c r="FU9" s="3904"/>
      <c r="FV9" s="3904"/>
      <c r="FW9" s="3904"/>
      <c r="FX9" s="3904"/>
      <c r="FY9" s="3904"/>
      <c r="FZ9" s="3904"/>
      <c r="GA9" s="3904"/>
      <c r="GB9" s="3904"/>
      <c r="GC9" s="3904"/>
      <c r="GD9" s="3904"/>
      <c r="GE9" s="3904"/>
      <c r="GF9" s="3904"/>
      <c r="GG9" s="3904"/>
      <c r="GH9" s="3904"/>
      <c r="GI9" s="3904"/>
      <c r="GJ9" s="3904"/>
      <c r="GK9" s="3904"/>
      <c r="GL9" s="3904"/>
      <c r="GM9" s="3904"/>
      <c r="GN9" s="3904"/>
      <c r="GO9" s="3904"/>
      <c r="GP9" s="3904"/>
      <c r="GQ9" s="3904"/>
      <c r="GR9" s="3904"/>
      <c r="GS9" s="3904"/>
      <c r="GT9" s="3904"/>
      <c r="GU9" s="3904"/>
      <c r="GV9" s="3904"/>
      <c r="GW9" s="3904"/>
      <c r="GX9" s="3904"/>
      <c r="GY9" s="3904"/>
      <c r="GZ9" s="3904"/>
      <c r="HA9" s="3904"/>
      <c r="HB9" s="3904"/>
      <c r="HC9" s="3904"/>
      <c r="HD9" s="3904"/>
      <c r="HE9" s="3904"/>
      <c r="HF9" s="3904"/>
      <c r="HG9" s="3904"/>
      <c r="HH9" s="3904"/>
      <c r="HI9" s="3904"/>
      <c r="HJ9" s="3904"/>
      <c r="HK9" s="3904"/>
      <c r="HL9" s="3904"/>
      <c r="HM9" s="3904"/>
      <c r="HN9" s="3904"/>
      <c r="HO9" s="3904"/>
      <c r="HP9" s="3904"/>
      <c r="HQ9" s="3904"/>
      <c r="HR9" s="3904"/>
      <c r="HS9" s="3904"/>
      <c r="HT9" s="3904"/>
      <c r="HU9" s="3904"/>
      <c r="HV9" s="3904"/>
      <c r="HW9" s="3904"/>
      <c r="HX9" s="3904"/>
      <c r="HY9" s="3904"/>
      <c r="HZ9" s="3904"/>
      <c r="IA9" s="3904"/>
      <c r="IB9" s="3904"/>
      <c r="IC9" s="3904"/>
      <c r="ID9" s="3904"/>
      <c r="IE9" s="3904"/>
      <c r="IF9" s="3904"/>
      <c r="IG9" s="3904"/>
      <c r="IH9" s="3904"/>
      <c r="II9" s="3904"/>
      <c r="IJ9" s="3904"/>
      <c r="IK9" s="3904"/>
      <c r="IL9" s="3904"/>
      <c r="IM9" s="3904"/>
      <c r="IN9" s="3904"/>
      <c r="IO9" s="3904"/>
      <c r="IP9" s="3904"/>
      <c r="IQ9" s="3904"/>
      <c r="IR9" s="3904"/>
      <c r="IS9" s="3904"/>
      <c r="IT9" s="3904"/>
      <c r="IU9" s="3904"/>
      <c r="IV9" s="3904"/>
      <c r="IW9" s="3904"/>
      <c r="IX9" s="3904"/>
      <c r="IY9" s="3904"/>
      <c r="IZ9" s="3904"/>
      <c r="JA9" s="3904"/>
      <c r="JB9" s="3904"/>
      <c r="JC9" s="3904"/>
      <c r="JD9" s="3904"/>
      <c r="JE9" s="3904"/>
      <c r="JF9" s="3904"/>
      <c r="JG9" s="2087"/>
      <c r="JH9" s="1367"/>
      <c r="JI9" s="1565"/>
      <c r="JJ9" s="1566" t="s">
        <v>6108</v>
      </c>
      <c r="JK9" s="1566" t="s">
        <v>2914</v>
      </c>
      <c r="JL9" s="1835"/>
    </row>
    <row ht="22.5" r="10" spans="1:272" x14ac:dyDescent="0.2">
      <c r="A10" s="1128">
        <v>9</v>
      </c>
      <c r="B10" s="1658" t="str">
        <f si="0" t="shared"/>
        <v/>
      </c>
      <c r="C10" s="1579" t="s">
        <v>2699</v>
      </c>
      <c r="D10" s="1392" t="s">
        <v>4915</v>
      </c>
      <c r="E10" s="1346"/>
      <c r="F10" s="1346"/>
      <c r="G10" s="1346"/>
      <c r="H10" s="1346"/>
      <c r="I10" s="1346"/>
      <c r="J10" s="1832" t="s">
        <v>6115</v>
      </c>
      <c r="K10" s="1346"/>
      <c r="L10" s="1346"/>
      <c r="M10" s="1346"/>
      <c r="N10" s="1346"/>
      <c r="O10" s="1884"/>
      <c r="P10" s="2033"/>
      <c r="Q10" s="2073"/>
      <c r="R10" s="2073"/>
      <c r="S10" s="2073"/>
      <c r="T10" s="2348"/>
      <c r="U10" s="2348"/>
      <c r="V10" s="2348"/>
      <c r="W10" s="2348"/>
      <c r="X10" s="2348"/>
      <c r="Y10" s="2348"/>
      <c r="Z10" s="2348"/>
      <c r="AA10" s="2348"/>
      <c r="AB10" s="2348"/>
      <c r="AC10" s="2348"/>
      <c r="AD10" s="2348"/>
      <c r="AE10" s="2348"/>
      <c r="AF10" s="2348"/>
      <c r="AG10" s="2348"/>
      <c r="AH10" s="2348"/>
      <c r="AI10" s="2348"/>
      <c r="AJ10" s="2348"/>
      <c r="AK10" s="2348"/>
      <c r="AL10" s="2348"/>
      <c r="AM10" s="2348"/>
      <c r="AN10" s="2348"/>
      <c r="AO10" s="2348"/>
      <c r="AP10" s="2348"/>
      <c r="AQ10" s="2348"/>
      <c r="AR10" s="2348"/>
      <c r="AS10" s="2348"/>
      <c r="AT10" s="2348"/>
      <c r="AU10" s="2348"/>
      <c r="AV10" s="2348"/>
      <c r="AW10" s="2348"/>
      <c r="AX10" s="2348"/>
      <c r="AY10" s="2348"/>
      <c r="AZ10" s="2348"/>
      <c r="BA10" s="2348"/>
      <c r="BB10" s="2348"/>
      <c r="BC10" s="2348"/>
      <c r="BD10" s="2348"/>
      <c r="BE10" s="2348"/>
      <c r="BF10" s="2348"/>
      <c r="BG10" s="1346"/>
      <c r="BH10" s="2348"/>
      <c r="BI10" s="2348"/>
      <c r="BJ10" s="2348"/>
      <c r="BK10" s="2348"/>
      <c r="BL10" s="2348"/>
      <c r="BM10" s="2348"/>
      <c r="BN10" s="2348"/>
      <c r="BO10" s="2348"/>
      <c r="BP10" s="2348"/>
      <c r="BQ10" s="2348"/>
      <c r="BR10" s="2348"/>
      <c r="BS10" s="2348"/>
      <c r="BT10" s="2348"/>
      <c r="BU10" s="2348"/>
      <c r="BV10" s="2348"/>
      <c r="BW10" s="2348"/>
      <c r="BX10" s="2348"/>
      <c r="BY10" s="2348"/>
      <c r="BZ10" s="2348"/>
      <c r="CA10" s="2348"/>
      <c r="CB10" s="2348"/>
      <c r="CC10" s="2348"/>
      <c r="CD10" s="2348"/>
      <c r="CE10" s="2348"/>
      <c r="CF10" s="2348"/>
      <c r="CG10" s="2348"/>
      <c r="CH10" s="2348"/>
      <c r="CI10" s="2348"/>
      <c r="CJ10" s="2348"/>
      <c r="CK10" s="2348"/>
      <c r="CL10" s="2348"/>
      <c r="CM10" s="2348"/>
      <c r="CN10" s="2348"/>
      <c r="CO10" s="2348"/>
      <c r="CP10" s="2348"/>
      <c r="CQ10" s="2348"/>
      <c r="CR10" s="2348"/>
      <c r="CS10" s="2348"/>
      <c r="CT10" s="2348"/>
      <c r="CU10" s="2348"/>
      <c r="CV10" s="2348"/>
      <c r="CW10" s="2348"/>
      <c r="CX10" s="2348"/>
      <c r="CY10" s="2348"/>
      <c r="CZ10" s="2348"/>
      <c r="DA10" s="2348"/>
      <c r="DB10" s="2348"/>
      <c r="DC10" s="2348"/>
      <c r="DD10" s="2348"/>
      <c r="DE10" s="2348"/>
      <c r="DF10" s="2348"/>
      <c r="DG10" s="2348"/>
      <c r="DH10" s="2348"/>
      <c r="DI10" s="2348"/>
      <c r="DJ10" s="2348"/>
      <c r="DK10" s="2348"/>
      <c r="DL10" s="2348"/>
      <c r="DM10" s="2348"/>
      <c r="DN10" s="2348"/>
      <c r="DO10" s="2348"/>
      <c r="DP10" s="2348"/>
      <c r="DQ10" s="2348"/>
      <c r="DR10" s="2348"/>
      <c r="DS10" s="2348"/>
      <c r="DT10" s="2348"/>
      <c r="DU10" s="2348"/>
      <c r="DV10" s="2348"/>
      <c r="DW10" s="2348"/>
      <c r="DX10" s="2348"/>
      <c r="DY10" s="2348"/>
      <c r="DZ10" s="2348"/>
      <c r="EA10" s="2348"/>
      <c r="EB10" s="2348"/>
      <c r="EC10" s="2348"/>
      <c r="ED10" s="2348"/>
      <c r="EE10" s="2348"/>
      <c r="EF10" s="2348"/>
      <c r="EG10" s="2348"/>
      <c r="EH10" s="2348"/>
      <c r="EI10" s="2348"/>
      <c r="EJ10" s="2348"/>
      <c r="EK10" s="2348"/>
      <c r="EL10" s="2348"/>
      <c r="EM10" s="2348"/>
      <c r="EN10" s="2348"/>
      <c r="EO10" s="2348"/>
      <c r="EP10" s="2348"/>
      <c r="EQ10" s="2348"/>
      <c r="ER10" s="2348"/>
      <c r="ES10" s="2348"/>
      <c r="ET10" s="2348"/>
      <c r="EU10" s="2348"/>
      <c r="EV10" s="2348"/>
      <c r="EW10" s="2348"/>
      <c r="EX10" s="2348"/>
      <c r="EY10" s="2348"/>
      <c r="EZ10" s="2348"/>
      <c r="FA10" s="2348"/>
      <c r="FB10" s="2348"/>
      <c r="FC10" s="2348"/>
      <c r="FD10" s="2348"/>
      <c r="FE10" s="2348"/>
      <c r="FF10" s="2348"/>
      <c r="FG10" s="2348"/>
      <c r="FH10" s="2348"/>
      <c r="FI10" s="2348"/>
      <c r="FJ10" s="2348"/>
      <c r="FK10" s="2348"/>
      <c r="FL10" s="2348"/>
      <c r="FM10" s="2348"/>
      <c r="FN10" s="2348"/>
      <c r="FO10" s="2348"/>
      <c r="FP10" s="2348"/>
      <c r="FQ10" s="2348"/>
      <c r="FR10" s="2348"/>
      <c r="FS10" s="2348"/>
      <c r="FT10" s="2348"/>
      <c r="FU10" s="2348"/>
      <c r="FV10" s="2348"/>
      <c r="FW10" s="2348"/>
      <c r="FX10" s="2348"/>
      <c r="FY10" s="2348"/>
      <c r="FZ10" s="2348"/>
      <c r="GA10" s="2348"/>
      <c r="GB10" s="2348"/>
      <c r="GC10" s="2348"/>
      <c r="GD10" s="2348"/>
      <c r="GE10" s="2348"/>
      <c r="GF10" s="2348"/>
      <c r="GG10" s="2348"/>
      <c r="GH10" s="2348"/>
      <c r="GI10" s="2348"/>
      <c r="GJ10" s="2348"/>
      <c r="GK10" s="2348"/>
      <c r="GL10" s="2348"/>
      <c r="GM10" s="2348"/>
      <c r="GN10" s="2348"/>
      <c r="GO10" s="2348"/>
      <c r="GP10" s="2348"/>
      <c r="GQ10" s="2348"/>
      <c r="GR10" s="2348"/>
      <c r="GS10" s="2348"/>
      <c r="GT10" s="2348"/>
      <c r="GU10" s="2348"/>
      <c r="GV10" s="2348"/>
      <c r="GW10" s="2348"/>
      <c r="GX10" s="2348"/>
      <c r="GY10" s="2348"/>
      <c r="GZ10" s="2348"/>
      <c r="HA10" s="2348"/>
      <c r="HB10" s="2348"/>
      <c r="HC10" s="2348"/>
      <c r="HD10" s="2348"/>
      <c r="HE10" s="2348"/>
      <c r="HF10" s="2348"/>
      <c r="HG10" s="2348"/>
      <c r="HH10" s="2348"/>
      <c r="HI10" s="2348"/>
      <c r="HJ10" s="2348"/>
      <c r="HK10" s="2348"/>
      <c r="HL10" s="2348"/>
      <c r="HM10" s="2348"/>
      <c r="HN10" s="2348"/>
      <c r="HO10" s="2348"/>
      <c r="HP10" s="2348"/>
      <c r="HQ10" s="2348"/>
      <c r="HR10" s="2348"/>
      <c r="HS10" s="2348"/>
      <c r="HT10" s="2348"/>
      <c r="HU10" s="2348"/>
      <c r="HV10" s="2348"/>
      <c r="HW10" s="2348"/>
      <c r="HX10" s="2348"/>
      <c r="HY10" s="2348"/>
      <c r="HZ10" s="2348"/>
      <c r="IA10" s="2348"/>
      <c r="IB10" s="2348"/>
      <c r="IC10" s="2348"/>
      <c r="ID10" s="2348"/>
      <c r="IE10" s="2348"/>
      <c r="IF10" s="2348"/>
      <c r="IG10" s="2348"/>
      <c r="IH10" s="2348"/>
      <c r="II10" s="2348"/>
      <c r="IJ10" s="2348"/>
      <c r="IK10" s="2348"/>
      <c r="IL10" s="2348"/>
      <c r="IM10" s="2348"/>
      <c r="IN10" s="2348"/>
      <c r="IO10" s="2348"/>
      <c r="IP10" s="2348"/>
      <c r="IQ10" s="2348"/>
      <c r="IR10" s="2348"/>
      <c r="IS10" s="2348"/>
      <c r="IT10" s="2348"/>
      <c r="IU10" s="2348"/>
      <c r="IV10" s="2348"/>
      <c r="IW10" s="2348"/>
      <c r="IX10" s="2348"/>
      <c r="IY10" s="2348"/>
      <c r="IZ10" s="2348"/>
      <c r="JA10" s="2348"/>
      <c r="JB10" s="4309" t="s">
        <v>8886</v>
      </c>
      <c r="JC10" s="2348"/>
      <c r="JD10" s="2348"/>
      <c r="JE10" s="2348"/>
      <c r="JF10" s="2348"/>
      <c r="JG10" s="2085"/>
      <c r="JH10" s="1367"/>
      <c r="JI10" s="1565" t="s">
        <v>5039</v>
      </c>
      <c r="JJ10" s="1566" t="s">
        <v>6109</v>
      </c>
      <c r="JK10" s="1835"/>
      <c r="JL10" s="1835"/>
    </row>
    <row r="11" spans="1:272" x14ac:dyDescent="0.2">
      <c r="A11" s="1128">
        <v>10</v>
      </c>
      <c r="B11" s="1656" t="str">
        <f si="0" t="shared"/>
        <v/>
      </c>
      <c r="C11" s="4070" t="s">
        <v>3852</v>
      </c>
      <c r="D11" s="4067" t="s">
        <v>6437</v>
      </c>
      <c r="E11" s="1529"/>
      <c r="F11" s="1529"/>
      <c r="G11" s="1529"/>
      <c r="H11" s="1529"/>
      <c r="I11" s="1529"/>
      <c r="J11" s="4068"/>
      <c r="K11" s="4069"/>
      <c r="L11" s="1529"/>
      <c r="M11" s="1529"/>
      <c r="N11" s="1529"/>
      <c r="O11" s="1886"/>
      <c r="P11" s="2035"/>
      <c r="Q11" s="2035"/>
      <c r="R11" s="2035"/>
      <c r="S11" s="2035"/>
      <c r="T11" s="3905"/>
      <c r="U11" s="3905"/>
      <c r="V11" s="3905"/>
      <c r="W11" s="3905"/>
      <c r="X11" s="3905"/>
      <c r="Y11" s="3905"/>
      <c r="Z11" s="3905"/>
      <c r="AA11" s="3905"/>
      <c r="AB11" s="3905"/>
      <c r="AC11" s="3905"/>
      <c r="AD11" s="3905"/>
      <c r="AE11" s="3905"/>
      <c r="AF11" s="3905"/>
      <c r="AG11" s="3905"/>
      <c r="AH11" s="3905"/>
      <c r="AI11" s="3905"/>
      <c r="AJ11" s="3905"/>
      <c r="AK11" s="3905"/>
      <c r="AL11" s="3905"/>
      <c r="AM11" s="3905"/>
      <c r="AN11" s="3905"/>
      <c r="AO11" s="3905"/>
      <c r="AP11" s="3905"/>
      <c r="AQ11" s="3905"/>
      <c r="AR11" s="3905"/>
      <c r="AS11" s="3905"/>
      <c r="AT11" s="3905"/>
      <c r="AU11" s="3905"/>
      <c r="AV11" s="3905"/>
      <c r="AW11" s="3905"/>
      <c r="AX11" s="3905"/>
      <c r="AY11" s="3905"/>
      <c r="AZ11" s="3905"/>
      <c r="BA11" s="3905"/>
      <c r="BB11" s="3905"/>
      <c r="BC11" s="3905"/>
      <c r="BD11" s="3905"/>
      <c r="BE11" s="3905"/>
      <c r="BF11" s="3905"/>
      <c r="BG11" s="1529"/>
      <c r="BH11" s="3905"/>
      <c r="BI11" s="3905"/>
      <c r="BJ11" s="3905"/>
      <c r="BK11" s="3905"/>
      <c r="BL11" s="3905"/>
      <c r="BM11" s="3905"/>
      <c r="BN11" s="3905"/>
      <c r="BO11" s="3905"/>
      <c r="BP11" s="3905"/>
      <c r="BQ11" s="3905"/>
      <c r="BR11" s="3905"/>
      <c r="BS11" s="3905"/>
      <c r="BT11" s="3905"/>
      <c r="BU11" s="3905"/>
      <c r="BV11" s="3905"/>
      <c r="BW11" s="3905"/>
      <c r="BX11" s="3905"/>
      <c r="BY11" s="3905"/>
      <c r="BZ11" s="3905"/>
      <c r="CA11" s="3905"/>
      <c r="CB11" s="3905"/>
      <c r="CC11" s="3905"/>
      <c r="CD11" s="3905"/>
      <c r="CE11" s="3905"/>
      <c r="CF11" s="3905"/>
      <c r="CG11" s="3905"/>
      <c r="CH11" s="3905"/>
      <c r="CI11" s="3905"/>
      <c r="CJ11" s="3905"/>
      <c r="CK11" s="3905"/>
      <c r="CL11" s="3905"/>
      <c r="CM11" s="3905"/>
      <c r="CN11" s="3905"/>
      <c r="CO11" s="3905"/>
      <c r="CP11" s="3905"/>
      <c r="CQ11" s="3905"/>
      <c r="CR11" s="3905"/>
      <c r="CS11" s="3905"/>
      <c r="CT11" s="3905"/>
      <c r="CU11" s="3905"/>
      <c r="CV11" s="3905"/>
      <c r="CW11" s="3905"/>
      <c r="CX11" s="3905"/>
      <c r="CY11" s="3905"/>
      <c r="CZ11" s="3905"/>
      <c r="DA11" s="3905"/>
      <c r="DB11" s="3905"/>
      <c r="DC11" s="3905"/>
      <c r="DD11" s="3905"/>
      <c r="DE11" s="3905"/>
      <c r="DF11" s="3905"/>
      <c r="DG11" s="3905"/>
      <c r="DH11" s="3905"/>
      <c r="DI11" s="3905"/>
      <c r="DJ11" s="3905"/>
      <c r="DK11" s="3905"/>
      <c r="DL11" s="3905"/>
      <c r="DM11" s="3905"/>
      <c r="DN11" s="3905"/>
      <c r="DO11" s="3905"/>
      <c r="DP11" s="3905"/>
      <c r="DQ11" s="3905"/>
      <c r="DR11" s="3905"/>
      <c r="DS11" s="3905"/>
      <c r="DT11" s="3905"/>
      <c r="DU11" s="3905"/>
      <c r="DV11" s="3905"/>
      <c r="DW11" s="3905"/>
      <c r="DX11" s="3905"/>
      <c r="DY11" s="3905"/>
      <c r="DZ11" s="3905"/>
      <c r="EA11" s="3905"/>
      <c r="EB11" s="3905"/>
      <c r="EC11" s="3905"/>
      <c r="ED11" s="3905"/>
      <c r="EE11" s="3905"/>
      <c r="EF11" s="3905"/>
      <c r="EG11" s="3905"/>
      <c r="EH11" s="3905"/>
      <c r="EI11" s="3905"/>
      <c r="EJ11" s="3905"/>
      <c r="EK11" s="3905"/>
      <c r="EL11" s="3905"/>
      <c r="EM11" s="3905"/>
      <c r="EN11" s="3905"/>
      <c r="EO11" s="3905"/>
      <c r="EP11" s="3905"/>
      <c r="EQ11" s="3905"/>
      <c r="ER11" s="3905"/>
      <c r="ES11" s="3905"/>
      <c r="ET11" s="3905"/>
      <c r="EU11" s="3905"/>
      <c r="EV11" s="3905"/>
      <c r="EW11" s="3905"/>
      <c r="EX11" s="3905"/>
      <c r="EY11" s="3905"/>
      <c r="EZ11" s="3905"/>
      <c r="FA11" s="3905"/>
      <c r="FB11" s="3905"/>
      <c r="FC11" s="3905"/>
      <c r="FD11" s="3905"/>
      <c r="FE11" s="3905"/>
      <c r="FF11" s="3905"/>
      <c r="FG11" s="3905"/>
      <c r="FH11" s="3905"/>
      <c r="FI11" s="3905"/>
      <c r="FJ11" s="3905"/>
      <c r="FK11" s="3905"/>
      <c r="FL11" s="3905"/>
      <c r="FM11" s="3905"/>
      <c r="FN11" s="3905"/>
      <c r="FO11" s="3905"/>
      <c r="FP11" s="3905"/>
      <c r="FQ11" s="3905"/>
      <c r="FR11" s="3905"/>
      <c r="FS11" s="3905"/>
      <c r="FT11" s="3905"/>
      <c r="FU11" s="3905"/>
      <c r="FV11" s="3905"/>
      <c r="FW11" s="3905"/>
      <c r="FX11" s="3905"/>
      <c r="FY11" s="3905"/>
      <c r="FZ11" s="3905"/>
      <c r="GA11" s="3905"/>
      <c r="GB11" s="3905"/>
      <c r="GC11" s="3905"/>
      <c r="GD11" s="3905"/>
      <c r="GE11" s="3905"/>
      <c r="GF11" s="3905"/>
      <c r="GG11" s="3905"/>
      <c r="GH11" s="3905"/>
      <c r="GI11" s="3905"/>
      <c r="GJ11" s="3905"/>
      <c r="GK11" s="3905"/>
      <c r="GL11" s="3905"/>
      <c r="GM11" s="3905"/>
      <c r="GN11" s="3905"/>
      <c r="GO11" s="3905"/>
      <c r="GP11" s="3905"/>
      <c r="GQ11" s="3905"/>
      <c r="GR11" s="3905"/>
      <c r="GS11" s="3905"/>
      <c r="GT11" s="3905"/>
      <c r="GU11" s="3905"/>
      <c r="GV11" s="3905"/>
      <c r="GW11" s="3905"/>
      <c r="GX11" s="3905"/>
      <c r="GY11" s="3905"/>
      <c r="GZ11" s="3905"/>
      <c r="HA11" s="3905"/>
      <c r="HB11" s="3905"/>
      <c r="HC11" s="3905"/>
      <c r="HD11" s="3905"/>
      <c r="HE11" s="3905"/>
      <c r="HF11" s="3905"/>
      <c r="HG11" s="3905"/>
      <c r="HH11" s="3905"/>
      <c r="HI11" s="3905"/>
      <c r="HJ11" s="3905"/>
      <c r="HK11" s="3905"/>
      <c r="HL11" s="3905"/>
      <c r="HM11" s="3905"/>
      <c r="HN11" s="3905"/>
      <c r="HO11" s="3905"/>
      <c r="HP11" s="3905"/>
      <c r="HQ11" s="3905"/>
      <c r="HR11" s="3905"/>
      <c r="HS11" s="3905"/>
      <c r="HT11" s="3905"/>
      <c r="HU11" s="3905"/>
      <c r="HV11" s="3905"/>
      <c r="HW11" s="3905"/>
      <c r="HX11" s="3905"/>
      <c r="HY11" s="3905"/>
      <c r="HZ11" s="3905"/>
      <c r="IA11" s="3905"/>
      <c r="IB11" s="3905"/>
      <c r="IC11" s="3905"/>
      <c r="ID11" s="3905"/>
      <c r="IE11" s="3905"/>
      <c r="IF11" s="3905"/>
      <c r="IG11" s="3905"/>
      <c r="IH11" s="3905"/>
      <c r="II11" s="3905"/>
      <c r="IJ11" s="3905"/>
      <c r="IK11" s="3905"/>
      <c r="IL11" s="3905"/>
      <c r="IM11" s="3905"/>
      <c r="IN11" s="3905"/>
      <c r="IO11" s="3905"/>
      <c r="IP11" s="3905"/>
      <c r="IQ11" s="3905"/>
      <c r="IR11" s="3905"/>
      <c r="IS11" s="3905"/>
      <c r="IT11" s="3905"/>
      <c r="IU11" s="3905"/>
      <c r="IV11" s="3905"/>
      <c r="IW11" s="3905"/>
      <c r="IX11" s="3905"/>
      <c r="IY11" s="3905"/>
      <c r="IZ11" s="3905"/>
      <c r="JA11" s="3905"/>
      <c r="JB11" s="3905"/>
      <c r="JC11" s="3905"/>
      <c r="JD11" s="3905"/>
      <c r="JE11" s="3905"/>
      <c r="JF11" s="3905"/>
      <c r="JG11" s="2088"/>
      <c r="JH11" s="1367"/>
      <c r="JI11" s="1565" t="s">
        <v>6113</v>
      </c>
      <c r="JJ11" s="1566" t="s">
        <v>6110</v>
      </c>
      <c r="JK11" s="1566" t="s">
        <v>2914</v>
      </c>
      <c r="JL11" s="1835"/>
    </row>
    <row ht="22.5" r="12" spans="1:272" x14ac:dyDescent="0.2">
      <c r="A12" s="1128">
        <v>11</v>
      </c>
      <c r="B12" s="1656" t="str">
        <f si="0" t="shared"/>
        <v/>
      </c>
      <c r="C12" s="4070" t="s">
        <v>3853</v>
      </c>
      <c r="D12" s="4067" t="s">
        <v>6437</v>
      </c>
      <c r="E12" s="1529"/>
      <c r="F12" s="1529"/>
      <c r="G12" s="1529"/>
      <c r="H12" s="1529"/>
      <c r="I12" s="1529"/>
      <c r="J12" s="4068"/>
      <c r="K12" s="1529"/>
      <c r="L12" s="1529"/>
      <c r="M12" s="1529"/>
      <c r="N12" s="1529"/>
      <c r="O12" s="1886"/>
      <c r="P12" s="2035"/>
      <c r="Q12" s="2035"/>
      <c r="R12" s="2035"/>
      <c r="S12" s="2035"/>
      <c r="T12" s="3905"/>
      <c r="U12" s="3905"/>
      <c r="V12" s="3905"/>
      <c r="W12" s="3905"/>
      <c r="X12" s="3905"/>
      <c r="Y12" s="3905"/>
      <c r="Z12" s="3905"/>
      <c r="AA12" s="3905"/>
      <c r="AB12" s="3905"/>
      <c r="AC12" s="3905"/>
      <c r="AD12" s="3905"/>
      <c r="AE12" s="3905"/>
      <c r="AF12" s="3905"/>
      <c r="AG12" s="3905"/>
      <c r="AH12" s="3905"/>
      <c r="AI12" s="3905"/>
      <c r="AJ12" s="3905"/>
      <c r="AK12" s="3905"/>
      <c r="AL12" s="3905"/>
      <c r="AM12" s="3905"/>
      <c r="AN12" s="3905"/>
      <c r="AO12" s="3905"/>
      <c r="AP12" s="3905"/>
      <c r="AQ12" s="3905"/>
      <c r="AR12" s="3905"/>
      <c r="AS12" s="3905"/>
      <c r="AT12" s="3905"/>
      <c r="AU12" s="3905"/>
      <c r="AV12" s="3905"/>
      <c r="AW12" s="3905"/>
      <c r="AX12" s="3905"/>
      <c r="AY12" s="3905"/>
      <c r="AZ12" s="3905"/>
      <c r="BA12" s="3905"/>
      <c r="BB12" s="3905"/>
      <c r="BC12" s="3905"/>
      <c r="BD12" s="3905"/>
      <c r="BE12" s="3905"/>
      <c r="BF12" s="3905"/>
      <c r="BG12" s="1529"/>
      <c r="BH12" s="3905"/>
      <c r="BI12" s="3905"/>
      <c r="BJ12" s="3905"/>
      <c r="BK12" s="3905"/>
      <c r="BL12" s="3905"/>
      <c r="BM12" s="3905"/>
      <c r="BN12" s="3905"/>
      <c r="BO12" s="3905"/>
      <c r="BP12" s="3905"/>
      <c r="BQ12" s="3905"/>
      <c r="BR12" s="3905"/>
      <c r="BS12" s="3905"/>
      <c r="BT12" s="3905"/>
      <c r="BU12" s="3905"/>
      <c r="BV12" s="3905"/>
      <c r="BW12" s="3905"/>
      <c r="BX12" s="3905"/>
      <c r="BY12" s="3905"/>
      <c r="BZ12" s="3905"/>
      <c r="CA12" s="3905"/>
      <c r="CB12" s="3905"/>
      <c r="CC12" s="3905"/>
      <c r="CD12" s="3905"/>
      <c r="CE12" s="3905"/>
      <c r="CF12" s="3905"/>
      <c r="CG12" s="3905"/>
      <c r="CH12" s="3905"/>
      <c r="CI12" s="3905"/>
      <c r="CJ12" s="3905"/>
      <c r="CK12" s="3905"/>
      <c r="CL12" s="3905"/>
      <c r="CM12" s="3905"/>
      <c r="CN12" s="3905"/>
      <c r="CO12" s="3905"/>
      <c r="CP12" s="3905"/>
      <c r="CQ12" s="3905"/>
      <c r="CR12" s="3905"/>
      <c r="CS12" s="3905"/>
      <c r="CT12" s="3905"/>
      <c r="CU12" s="3905"/>
      <c r="CV12" s="3905"/>
      <c r="CW12" s="3905"/>
      <c r="CX12" s="3905"/>
      <c r="CY12" s="3905"/>
      <c r="CZ12" s="3905"/>
      <c r="DA12" s="3905"/>
      <c r="DB12" s="3905"/>
      <c r="DC12" s="3905"/>
      <c r="DD12" s="3905"/>
      <c r="DE12" s="3905"/>
      <c r="DF12" s="3905"/>
      <c r="DG12" s="3905"/>
      <c r="DH12" s="3905"/>
      <c r="DI12" s="3905"/>
      <c r="DJ12" s="3905"/>
      <c r="DK12" s="3905"/>
      <c r="DL12" s="3905"/>
      <c r="DM12" s="3905"/>
      <c r="DN12" s="3905"/>
      <c r="DO12" s="3905"/>
      <c r="DP12" s="3905"/>
      <c r="DQ12" s="3905"/>
      <c r="DR12" s="3905"/>
      <c r="DS12" s="3905"/>
      <c r="DT12" s="3905"/>
      <c r="DU12" s="3905"/>
      <c r="DV12" s="3905"/>
      <c r="DW12" s="3905"/>
      <c r="DX12" s="3905"/>
      <c r="DY12" s="3905"/>
      <c r="DZ12" s="3905"/>
      <c r="EA12" s="3905"/>
      <c r="EB12" s="3905"/>
      <c r="EC12" s="3905"/>
      <c r="ED12" s="3905"/>
      <c r="EE12" s="3905"/>
      <c r="EF12" s="3905"/>
      <c r="EG12" s="3905"/>
      <c r="EH12" s="3905"/>
      <c r="EI12" s="3905"/>
      <c r="EJ12" s="3905"/>
      <c r="EK12" s="3905"/>
      <c r="EL12" s="3905"/>
      <c r="EM12" s="3905"/>
      <c r="EN12" s="3905"/>
      <c r="EO12" s="3905"/>
      <c r="EP12" s="3905"/>
      <c r="EQ12" s="3905"/>
      <c r="ER12" s="3905"/>
      <c r="ES12" s="3905"/>
      <c r="ET12" s="3905"/>
      <c r="EU12" s="3905"/>
      <c r="EV12" s="3905"/>
      <c r="EW12" s="3905"/>
      <c r="EX12" s="3905"/>
      <c r="EY12" s="3905"/>
      <c r="EZ12" s="3905"/>
      <c r="FA12" s="3905"/>
      <c r="FB12" s="3905"/>
      <c r="FC12" s="3905"/>
      <c r="FD12" s="3905"/>
      <c r="FE12" s="3905"/>
      <c r="FF12" s="3905"/>
      <c r="FG12" s="3905"/>
      <c r="FH12" s="3905"/>
      <c r="FI12" s="3905"/>
      <c r="FJ12" s="3905"/>
      <c r="FK12" s="3905"/>
      <c r="FL12" s="3905"/>
      <c r="FM12" s="3905"/>
      <c r="FN12" s="3905"/>
      <c r="FO12" s="3905"/>
      <c r="FP12" s="3905"/>
      <c r="FQ12" s="3905"/>
      <c r="FR12" s="3905"/>
      <c r="FS12" s="3905"/>
      <c r="FT12" s="3905"/>
      <c r="FU12" s="3905"/>
      <c r="FV12" s="3905"/>
      <c r="FW12" s="3905"/>
      <c r="FX12" s="3905"/>
      <c r="FY12" s="3905"/>
      <c r="FZ12" s="3905"/>
      <c r="GA12" s="3905"/>
      <c r="GB12" s="3905"/>
      <c r="GC12" s="3905"/>
      <c r="GD12" s="3905"/>
      <c r="GE12" s="3905"/>
      <c r="GF12" s="3905"/>
      <c r="GG12" s="3905"/>
      <c r="GH12" s="3905"/>
      <c r="GI12" s="3905"/>
      <c r="GJ12" s="3905"/>
      <c r="GK12" s="3905"/>
      <c r="GL12" s="3905"/>
      <c r="GM12" s="3905"/>
      <c r="GN12" s="3905"/>
      <c r="GO12" s="3905"/>
      <c r="GP12" s="3905"/>
      <c r="GQ12" s="3905"/>
      <c r="GR12" s="3905"/>
      <c r="GS12" s="3905"/>
      <c r="GT12" s="3905"/>
      <c r="GU12" s="3905"/>
      <c r="GV12" s="3905"/>
      <c r="GW12" s="3905"/>
      <c r="GX12" s="3905"/>
      <c r="GY12" s="3905"/>
      <c r="GZ12" s="3905"/>
      <c r="HA12" s="3905"/>
      <c r="HB12" s="3905"/>
      <c r="HC12" s="3905"/>
      <c r="HD12" s="3905"/>
      <c r="HE12" s="3905"/>
      <c r="HF12" s="3905"/>
      <c r="HG12" s="3905"/>
      <c r="HH12" s="3905"/>
      <c r="HI12" s="3905"/>
      <c r="HJ12" s="3905"/>
      <c r="HK12" s="3905"/>
      <c r="HL12" s="3905"/>
      <c r="HM12" s="3905"/>
      <c r="HN12" s="3905"/>
      <c r="HO12" s="3905"/>
      <c r="HP12" s="3905"/>
      <c r="HQ12" s="3905"/>
      <c r="HR12" s="3905"/>
      <c r="HS12" s="3905"/>
      <c r="HT12" s="3905"/>
      <c r="HU12" s="3905"/>
      <c r="HV12" s="3905"/>
      <c r="HW12" s="3905"/>
      <c r="HX12" s="3905"/>
      <c r="HY12" s="3905"/>
      <c r="HZ12" s="3905"/>
      <c r="IA12" s="3905"/>
      <c r="IB12" s="3905"/>
      <c r="IC12" s="3905"/>
      <c r="ID12" s="3905"/>
      <c r="IE12" s="3905"/>
      <c r="IF12" s="3905"/>
      <c r="IG12" s="3905"/>
      <c r="IH12" s="3905"/>
      <c r="II12" s="3905"/>
      <c r="IJ12" s="3905"/>
      <c r="IK12" s="3905"/>
      <c r="IL12" s="3905"/>
      <c r="IM12" s="3905"/>
      <c r="IN12" s="3905"/>
      <c r="IO12" s="3905"/>
      <c r="IP12" s="3905"/>
      <c r="IQ12" s="3905"/>
      <c r="IR12" s="3905"/>
      <c r="IS12" s="3905"/>
      <c r="IT12" s="3905"/>
      <c r="IU12" s="3905"/>
      <c r="IV12" s="3905"/>
      <c r="IW12" s="3905"/>
      <c r="IX12" s="3905"/>
      <c r="IY12" s="3905"/>
      <c r="IZ12" s="3905"/>
      <c r="JA12" s="3905"/>
      <c r="JB12" s="3905"/>
      <c r="JC12" s="3905"/>
      <c r="JD12" s="3905"/>
      <c r="JE12" s="3905"/>
      <c r="JF12" s="3905"/>
      <c r="JG12" s="2088"/>
      <c r="JH12" s="1367"/>
      <c r="JI12" s="1565"/>
      <c r="JJ12" s="1566" t="s">
        <v>6108</v>
      </c>
      <c r="JK12" s="1566" t="s">
        <v>3852</v>
      </c>
      <c r="JL12" s="1835"/>
    </row>
    <row ht="45" r="13" spans="1:272" x14ac:dyDescent="0.2">
      <c r="A13" s="1128">
        <v>12</v>
      </c>
      <c r="B13" s="1656" t="str">
        <f si="0" t="shared"/>
        <v/>
      </c>
      <c r="C13" s="1579" t="s">
        <v>3854</v>
      </c>
      <c r="D13" s="1392" t="str">
        <f>"If, during "&amp;tax_year&amp;", you  submitted a Real Time Transaction Tax return for the disposal of a residential property or properties, put the overall gain or loss in the box -  include the  individual amounts of gains in  box 6 and losses in box 7"</f>
        <v>If, during 2019-20, you  submitted a Real Time Transaction Tax return for the disposal of a residential property or properties, put the overall gain or loss in the box -  include the  individual amounts of gains in  box 6 and losses in box 7</v>
      </c>
      <c r="E13" s="1346"/>
      <c r="F13" s="1346"/>
      <c r="G13" s="1346"/>
      <c r="H13" s="1346"/>
      <c r="I13" s="1346"/>
      <c r="J13" s="1346">
        <v>3000</v>
      </c>
      <c r="K13" s="1833">
        <v>-10000</v>
      </c>
      <c r="L13" s="1346"/>
      <c r="M13" s="1346"/>
      <c r="N13" s="1346"/>
      <c r="O13" s="1884"/>
      <c r="P13" s="2033"/>
      <c r="Q13" s="2073"/>
      <c r="R13" s="2073"/>
      <c r="S13" s="2073"/>
      <c r="T13" s="2348"/>
      <c r="U13" s="2348"/>
      <c r="V13" s="2348"/>
      <c r="W13" s="2348"/>
      <c r="X13" s="2348"/>
      <c r="Y13" s="2348"/>
      <c r="Z13" s="2348"/>
      <c r="AA13" s="2348"/>
      <c r="AB13" s="2348"/>
      <c r="AC13" s="2348"/>
      <c r="AD13" s="2348"/>
      <c r="AE13" s="2348"/>
      <c r="AF13" s="2348"/>
      <c r="AG13" s="2348"/>
      <c r="AH13" s="2348"/>
      <c r="AI13" s="2348"/>
      <c r="AJ13" s="2348"/>
      <c r="AK13" s="2348"/>
      <c r="AL13" s="2348"/>
      <c r="AM13" s="2348"/>
      <c r="AN13" s="2348"/>
      <c r="AO13" s="2348"/>
      <c r="AP13" s="2348"/>
      <c r="AQ13" s="2348"/>
      <c r="AR13" s="2348"/>
      <c r="AS13" s="2348"/>
      <c r="AT13" s="2348"/>
      <c r="AU13" s="2348"/>
      <c r="AV13" s="2348"/>
      <c r="AW13" s="2348"/>
      <c r="AX13" s="2348"/>
      <c r="AY13" s="2348"/>
      <c r="AZ13" s="2348"/>
      <c r="BA13" s="2348"/>
      <c r="BB13" s="2348"/>
      <c r="BC13" s="2348"/>
      <c r="BD13" s="2348"/>
      <c r="BE13" s="2348"/>
      <c r="BF13" s="2348"/>
      <c r="BG13" s="1346"/>
      <c r="BH13" s="2348"/>
      <c r="BI13" s="2348"/>
      <c r="BJ13" s="2348"/>
      <c r="BK13" s="2348"/>
      <c r="BL13" s="2348"/>
      <c r="BM13" s="2348"/>
      <c r="BN13" s="2348"/>
      <c r="BO13" s="2348"/>
      <c r="BP13" s="2348"/>
      <c r="BQ13" s="2348"/>
      <c r="BR13" s="2348"/>
      <c r="BS13" s="2348"/>
      <c r="BT13" s="2348"/>
      <c r="BU13" s="2348"/>
      <c r="BV13" s="2348"/>
      <c r="BW13" s="2348"/>
      <c r="BX13" s="2348"/>
      <c r="BY13" s="2348"/>
      <c r="BZ13" s="2348"/>
      <c r="CA13" s="2348"/>
      <c r="CB13" s="2348"/>
      <c r="CC13" s="2348"/>
      <c r="CD13" s="2348"/>
      <c r="CE13" s="2348"/>
      <c r="CF13" s="2348"/>
      <c r="CG13" s="2348"/>
      <c r="CH13" s="2348"/>
      <c r="CI13" s="2348"/>
      <c r="CJ13" s="2348"/>
      <c r="CK13" s="2348"/>
      <c r="CL13" s="2348"/>
      <c r="CM13" s="2348"/>
      <c r="CN13" s="2348"/>
      <c r="CO13" s="2348"/>
      <c r="CP13" s="2348"/>
      <c r="CQ13" s="2348"/>
      <c r="CR13" s="2348"/>
      <c r="CS13" s="2348"/>
      <c r="CT13" s="2348"/>
      <c r="CU13" s="2348"/>
      <c r="CV13" s="2348"/>
      <c r="CW13" s="2348"/>
      <c r="CX13" s="2348"/>
      <c r="CY13" s="2348"/>
      <c r="CZ13" s="2348"/>
      <c r="DA13" s="2348"/>
      <c r="DB13" s="2348"/>
      <c r="DC13" s="2348"/>
      <c r="DD13" s="2348"/>
      <c r="DE13" s="2348"/>
      <c r="DF13" s="2348"/>
      <c r="DG13" s="2348"/>
      <c r="DH13" s="2348"/>
      <c r="DI13" s="2348"/>
      <c r="DJ13" s="2348"/>
      <c r="DK13" s="2348"/>
      <c r="DL13" s="2348"/>
      <c r="DM13" s="2348"/>
      <c r="DN13" s="2348"/>
      <c r="DO13" s="2348"/>
      <c r="DP13" s="2348"/>
      <c r="DQ13" s="2348"/>
      <c r="DR13" s="2348"/>
      <c r="DS13" s="2348"/>
      <c r="DT13" s="2348"/>
      <c r="DU13" s="2348"/>
      <c r="DV13" s="2348"/>
      <c r="DW13" s="2348"/>
      <c r="DX13" s="2348"/>
      <c r="DY13" s="2348"/>
      <c r="DZ13" s="2348"/>
      <c r="EA13" s="2348"/>
      <c r="EB13" s="2348"/>
      <c r="EC13" s="2348"/>
      <c r="ED13" s="2348"/>
      <c r="EE13" s="2348"/>
      <c r="EF13" s="2348"/>
      <c r="EG13" s="2348"/>
      <c r="EH13" s="2348"/>
      <c r="EI13" s="2348"/>
      <c r="EJ13" s="2348"/>
      <c r="EK13" s="2348"/>
      <c r="EL13" s="2348"/>
      <c r="EM13" s="2348"/>
      <c r="EN13" s="2348"/>
      <c r="EO13" s="2348"/>
      <c r="EP13" s="2348"/>
      <c r="EQ13" s="2348"/>
      <c r="ER13" s="2348"/>
      <c r="ES13" s="2348"/>
      <c r="ET13" s="2348"/>
      <c r="EU13" s="2348"/>
      <c r="EV13" s="2348"/>
      <c r="EW13" s="2348"/>
      <c r="EX13" s="2348"/>
      <c r="EY13" s="2348"/>
      <c r="EZ13" s="2348"/>
      <c r="FA13" s="2348"/>
      <c r="FB13" s="2348"/>
      <c r="FC13" s="2348"/>
      <c r="FD13" s="2348"/>
      <c r="FE13" s="2348"/>
      <c r="FF13" s="2348"/>
      <c r="FG13" s="2348"/>
      <c r="FH13" s="2348"/>
      <c r="FI13" s="2348"/>
      <c r="FJ13" s="2348"/>
      <c r="FK13" s="2348"/>
      <c r="FL13" s="2348"/>
      <c r="FM13" s="2348"/>
      <c r="FN13" s="2348"/>
      <c r="FO13" s="2348"/>
      <c r="FP13" s="2348"/>
      <c r="FQ13" s="2348"/>
      <c r="FR13" s="2348"/>
      <c r="FS13" s="2348"/>
      <c r="FT13" s="2348"/>
      <c r="FU13" s="2348"/>
      <c r="FV13" s="2348"/>
      <c r="FW13" s="2348"/>
      <c r="FX13" s="2348"/>
      <c r="FY13" s="2348"/>
      <c r="FZ13" s="2348"/>
      <c r="GA13" s="2348"/>
      <c r="GB13" s="2348"/>
      <c r="GC13" s="2348"/>
      <c r="GD13" s="2348"/>
      <c r="GE13" s="2348"/>
      <c r="GF13" s="2348"/>
      <c r="GG13" s="2348"/>
      <c r="GH13" s="2348"/>
      <c r="GI13" s="2348"/>
      <c r="GJ13" s="2348"/>
      <c r="GK13" s="2348"/>
      <c r="GL13" s="2348"/>
      <c r="GM13" s="2348"/>
      <c r="GN13" s="2348"/>
      <c r="GO13" s="2348"/>
      <c r="GP13" s="2348"/>
      <c r="GQ13" s="2348"/>
      <c r="GR13" s="2348"/>
      <c r="GS13" s="2348"/>
      <c r="GT13" s="2348"/>
      <c r="GU13" s="2348"/>
      <c r="GV13" s="2348"/>
      <c r="GW13" s="2348"/>
      <c r="GX13" s="2348"/>
      <c r="GY13" s="2348"/>
      <c r="GZ13" s="2348"/>
      <c r="HA13" s="2348"/>
      <c r="HB13" s="2348"/>
      <c r="HC13" s="2348"/>
      <c r="HD13" s="2348"/>
      <c r="HE13" s="2348"/>
      <c r="HF13" s="2348"/>
      <c r="HG13" s="2348"/>
      <c r="HH13" s="2348"/>
      <c r="HI13" s="2348"/>
      <c r="HJ13" s="2348"/>
      <c r="HK13" s="2348"/>
      <c r="HL13" s="2348"/>
      <c r="HM13" s="2348"/>
      <c r="HN13" s="2348"/>
      <c r="HO13" s="2348"/>
      <c r="HP13" s="2348"/>
      <c r="HQ13" s="2348"/>
      <c r="HR13" s="2348"/>
      <c r="HS13" s="2348"/>
      <c r="HT13" s="2348"/>
      <c r="HU13" s="2348"/>
      <c r="HV13" s="2348"/>
      <c r="HW13" s="2348"/>
      <c r="HX13" s="2348"/>
      <c r="HY13" s="2348"/>
      <c r="HZ13" s="2348"/>
      <c r="IA13" s="2348"/>
      <c r="IB13" s="2348"/>
      <c r="IC13" s="2348"/>
      <c r="ID13" s="2348"/>
      <c r="IE13" s="2348"/>
      <c r="IF13" s="2348"/>
      <c r="IG13" s="2348"/>
      <c r="IH13" s="2348"/>
      <c r="II13" s="2348"/>
      <c r="IJ13" s="2348"/>
      <c r="IK13" s="2348"/>
      <c r="IL13" s="2348"/>
      <c r="IM13" s="2348"/>
      <c r="IN13" s="2348"/>
      <c r="IO13" s="2348"/>
      <c r="IP13" s="2348"/>
      <c r="IQ13" s="2348"/>
      <c r="IR13" s="2348"/>
      <c r="IS13" s="2348"/>
      <c r="IT13" s="2348"/>
      <c r="IU13" s="2348"/>
      <c r="IV13" s="2348"/>
      <c r="IW13" s="2348"/>
      <c r="IX13" s="2348"/>
      <c r="IY13" s="2348"/>
      <c r="IZ13" s="2348"/>
      <c r="JA13" s="2348"/>
      <c r="JB13" s="2348"/>
      <c r="JC13" s="2348"/>
      <c r="JD13" s="2348"/>
      <c r="JE13" s="2348"/>
      <c r="JF13" s="2348"/>
      <c r="JG13" s="2085"/>
      <c r="JH13" s="1367"/>
      <c r="JI13" s="1566" t="s">
        <v>6091</v>
      </c>
      <c r="JJ13" s="1566" t="s">
        <v>6110</v>
      </c>
      <c r="JK13" s="1835"/>
      <c r="JL13" s="1835"/>
    </row>
    <row ht="22.5" r="14" spans="1:272" x14ac:dyDescent="0.2">
      <c r="A14" s="1128">
        <v>13</v>
      </c>
      <c r="B14" s="1656" t="str">
        <f si="0" t="shared"/>
        <v/>
      </c>
      <c r="C14" s="1828" t="s">
        <v>3855</v>
      </c>
      <c r="D14" s="1392" t="s">
        <v>5303</v>
      </c>
      <c r="E14" s="1529"/>
      <c r="F14" s="1529"/>
      <c r="G14" s="1529"/>
      <c r="H14" s="1529"/>
      <c r="I14" s="1529"/>
      <c r="J14" s="1529">
        <v>900</v>
      </c>
      <c r="K14" s="1529"/>
      <c r="L14" s="1529"/>
      <c r="M14" s="1529"/>
      <c r="N14" s="1529"/>
      <c r="O14" s="1886"/>
      <c r="P14" s="2035"/>
      <c r="Q14" s="2035"/>
      <c r="R14" s="2035"/>
      <c r="S14" s="2035"/>
      <c r="T14" s="3905"/>
      <c r="U14" s="3905"/>
      <c r="V14" s="3905"/>
      <c r="W14" s="3905"/>
      <c r="X14" s="3905"/>
      <c r="Y14" s="3905"/>
      <c r="Z14" s="3905"/>
      <c r="AA14" s="3905"/>
      <c r="AB14" s="3905"/>
      <c r="AC14" s="3905"/>
      <c r="AD14" s="3905"/>
      <c r="AE14" s="3905"/>
      <c r="AF14" s="3905"/>
      <c r="AG14" s="3905"/>
      <c r="AH14" s="3905"/>
      <c r="AI14" s="3905"/>
      <c r="AJ14" s="3905"/>
      <c r="AK14" s="3905"/>
      <c r="AL14" s="3905"/>
      <c r="AM14" s="3905"/>
      <c r="AN14" s="3905"/>
      <c r="AO14" s="3905"/>
      <c r="AP14" s="3905"/>
      <c r="AQ14" s="3905"/>
      <c r="AR14" s="3905"/>
      <c r="AS14" s="3905"/>
      <c r="AT14" s="3905"/>
      <c r="AU14" s="3905"/>
      <c r="AV14" s="3905"/>
      <c r="AW14" s="3905"/>
      <c r="AX14" s="3905"/>
      <c r="AY14" s="3905"/>
      <c r="AZ14" s="3905"/>
      <c r="BA14" s="3905"/>
      <c r="BB14" s="3905"/>
      <c r="BC14" s="3905"/>
      <c r="BD14" s="3905"/>
      <c r="BE14" s="3905"/>
      <c r="BF14" s="3905"/>
      <c r="BG14" s="1529"/>
      <c r="BH14" s="3905"/>
      <c r="BI14" s="3905"/>
      <c r="BJ14" s="3905"/>
      <c r="BK14" s="3905"/>
      <c r="BL14" s="3905"/>
      <c r="BM14" s="3905"/>
      <c r="BN14" s="3905"/>
      <c r="BO14" s="3905"/>
      <c r="BP14" s="3905"/>
      <c r="BQ14" s="3905"/>
      <c r="BR14" s="3905"/>
      <c r="BS14" s="3905"/>
      <c r="BT14" s="3905"/>
      <c r="BU14" s="3905"/>
      <c r="BV14" s="3905"/>
      <c r="BW14" s="3905"/>
      <c r="BX14" s="3905"/>
      <c r="BY14" s="3905"/>
      <c r="BZ14" s="3905"/>
      <c r="CA14" s="3905"/>
      <c r="CB14" s="3905"/>
      <c r="CC14" s="3905"/>
      <c r="CD14" s="3905"/>
      <c r="CE14" s="3905"/>
      <c r="CF14" s="3905"/>
      <c r="CG14" s="3905"/>
      <c r="CH14" s="3905"/>
      <c r="CI14" s="3905"/>
      <c r="CJ14" s="3905"/>
      <c r="CK14" s="3905"/>
      <c r="CL14" s="3905"/>
      <c r="CM14" s="3905"/>
      <c r="CN14" s="3905"/>
      <c r="CO14" s="3905"/>
      <c r="CP14" s="3905"/>
      <c r="CQ14" s="3905"/>
      <c r="CR14" s="3905"/>
      <c r="CS14" s="3905"/>
      <c r="CT14" s="3905"/>
      <c r="CU14" s="3905"/>
      <c r="CV14" s="3905"/>
      <c r="CW14" s="3905"/>
      <c r="CX14" s="3905"/>
      <c r="CY14" s="3905"/>
      <c r="CZ14" s="3905"/>
      <c r="DA14" s="3905"/>
      <c r="DB14" s="3905"/>
      <c r="DC14" s="3905"/>
      <c r="DD14" s="3905"/>
      <c r="DE14" s="3905"/>
      <c r="DF14" s="3905"/>
      <c r="DG14" s="3905"/>
      <c r="DH14" s="3905"/>
      <c r="DI14" s="3905"/>
      <c r="DJ14" s="3905"/>
      <c r="DK14" s="3905"/>
      <c r="DL14" s="3905"/>
      <c r="DM14" s="3905"/>
      <c r="DN14" s="3905"/>
      <c r="DO14" s="3905"/>
      <c r="DP14" s="3905"/>
      <c r="DQ14" s="3905"/>
      <c r="DR14" s="3905"/>
      <c r="DS14" s="3905"/>
      <c r="DT14" s="3905"/>
      <c r="DU14" s="3905"/>
      <c r="DV14" s="3905"/>
      <c r="DW14" s="3905"/>
      <c r="DX14" s="3905"/>
      <c r="DY14" s="3905"/>
      <c r="DZ14" s="3905"/>
      <c r="EA14" s="3905"/>
      <c r="EB14" s="3905"/>
      <c r="EC14" s="3905"/>
      <c r="ED14" s="3905"/>
      <c r="EE14" s="3905"/>
      <c r="EF14" s="3905"/>
      <c r="EG14" s="3905"/>
      <c r="EH14" s="3905"/>
      <c r="EI14" s="3905"/>
      <c r="EJ14" s="3905"/>
      <c r="EK14" s="3905"/>
      <c r="EL14" s="3905"/>
      <c r="EM14" s="3905"/>
      <c r="EN14" s="3905"/>
      <c r="EO14" s="3905"/>
      <c r="EP14" s="3905"/>
      <c r="EQ14" s="3905"/>
      <c r="ER14" s="3905"/>
      <c r="ES14" s="3905"/>
      <c r="ET14" s="3905"/>
      <c r="EU14" s="3905"/>
      <c r="EV14" s="3905"/>
      <c r="EW14" s="3905"/>
      <c r="EX14" s="3905"/>
      <c r="EY14" s="3905"/>
      <c r="EZ14" s="3905"/>
      <c r="FA14" s="3905"/>
      <c r="FB14" s="3905"/>
      <c r="FC14" s="3905"/>
      <c r="FD14" s="3905"/>
      <c r="FE14" s="3905"/>
      <c r="FF14" s="3905"/>
      <c r="FG14" s="3905"/>
      <c r="FH14" s="3905"/>
      <c r="FI14" s="3905"/>
      <c r="FJ14" s="3905"/>
      <c r="FK14" s="3905"/>
      <c r="FL14" s="3905"/>
      <c r="FM14" s="3905"/>
      <c r="FN14" s="3905"/>
      <c r="FO14" s="3905"/>
      <c r="FP14" s="3905"/>
      <c r="FQ14" s="3905"/>
      <c r="FR14" s="3905"/>
      <c r="FS14" s="3905"/>
      <c r="FT14" s="3905"/>
      <c r="FU14" s="3905"/>
      <c r="FV14" s="3905"/>
      <c r="FW14" s="3905"/>
      <c r="FX14" s="3905"/>
      <c r="FY14" s="3905"/>
      <c r="FZ14" s="3905"/>
      <c r="GA14" s="3905"/>
      <c r="GB14" s="3905"/>
      <c r="GC14" s="3905"/>
      <c r="GD14" s="3905"/>
      <c r="GE14" s="3905"/>
      <c r="GF14" s="3905"/>
      <c r="GG14" s="3905"/>
      <c r="GH14" s="3905"/>
      <c r="GI14" s="3905"/>
      <c r="GJ14" s="3905"/>
      <c r="GK14" s="3905"/>
      <c r="GL14" s="3905"/>
      <c r="GM14" s="3905"/>
      <c r="GN14" s="3905"/>
      <c r="GO14" s="3905"/>
      <c r="GP14" s="3905"/>
      <c r="GQ14" s="3905"/>
      <c r="GR14" s="3905"/>
      <c r="GS14" s="3905"/>
      <c r="GT14" s="3905"/>
      <c r="GU14" s="3905"/>
      <c r="GV14" s="3905"/>
      <c r="GW14" s="3905"/>
      <c r="GX14" s="3905"/>
      <c r="GY14" s="3905"/>
      <c r="GZ14" s="3905"/>
      <c r="HA14" s="3905"/>
      <c r="HB14" s="3905"/>
      <c r="HC14" s="3905"/>
      <c r="HD14" s="3905"/>
      <c r="HE14" s="3905"/>
      <c r="HF14" s="3905"/>
      <c r="HG14" s="3905"/>
      <c r="HH14" s="3905"/>
      <c r="HI14" s="3905"/>
      <c r="HJ14" s="3905"/>
      <c r="HK14" s="3905"/>
      <c r="HL14" s="3905"/>
      <c r="HM14" s="3905"/>
      <c r="HN14" s="3905"/>
      <c r="HO14" s="3905"/>
      <c r="HP14" s="3905"/>
      <c r="HQ14" s="3905"/>
      <c r="HR14" s="3905"/>
      <c r="HS14" s="3905"/>
      <c r="HT14" s="3905"/>
      <c r="HU14" s="3905"/>
      <c r="HV14" s="3905"/>
      <c r="HW14" s="3905"/>
      <c r="HX14" s="3905"/>
      <c r="HY14" s="3905"/>
      <c r="HZ14" s="3905"/>
      <c r="IA14" s="3905"/>
      <c r="IB14" s="3905"/>
      <c r="IC14" s="3905"/>
      <c r="ID14" s="3905"/>
      <c r="IE14" s="3905"/>
      <c r="IF14" s="3905"/>
      <c r="IG14" s="3905"/>
      <c r="IH14" s="3905"/>
      <c r="II14" s="3905"/>
      <c r="IJ14" s="3905"/>
      <c r="IK14" s="3905"/>
      <c r="IL14" s="3905"/>
      <c r="IM14" s="3905"/>
      <c r="IN14" s="3905"/>
      <c r="IO14" s="3905"/>
      <c r="IP14" s="3905"/>
      <c r="IQ14" s="3905"/>
      <c r="IR14" s="3905"/>
      <c r="IS14" s="3905"/>
      <c r="IT14" s="3905"/>
      <c r="IU14" s="3905"/>
      <c r="IV14" s="3905"/>
      <c r="IW14" s="3905"/>
      <c r="IX14" s="3905"/>
      <c r="IY14" s="3905"/>
      <c r="IZ14" s="3905"/>
      <c r="JA14" s="3905"/>
      <c r="JB14" s="3905"/>
      <c r="JC14" s="3905"/>
      <c r="JD14" s="3905"/>
      <c r="JE14" s="3905"/>
      <c r="JF14" s="3905"/>
      <c r="JG14" s="2088"/>
      <c r="JH14" s="1367"/>
      <c r="JI14" s="1565"/>
      <c r="JJ14" s="1566" t="s">
        <v>6108</v>
      </c>
      <c r="JK14" s="1566" t="s">
        <v>3854</v>
      </c>
      <c r="JL14" s="1835"/>
    </row>
    <row ht="22.5" r="15" spans="1:272" x14ac:dyDescent="0.2">
      <c r="A15" s="1128">
        <v>14</v>
      </c>
      <c r="B15" s="1656" t="str">
        <f si="0" t="shared"/>
        <v/>
      </c>
      <c r="C15" s="1579" t="s">
        <v>3856</v>
      </c>
      <c r="D15" s="1392" t="s">
        <v>5302</v>
      </c>
      <c r="E15" s="1346"/>
      <c r="F15" s="1346"/>
      <c r="G15" s="1346"/>
      <c r="H15" s="1346"/>
      <c r="I15" s="1346"/>
      <c r="J15" s="1346"/>
      <c r="K15" s="1346"/>
      <c r="L15" s="1346"/>
      <c r="M15" s="1346"/>
      <c r="N15" s="1346"/>
      <c r="O15" s="1621">
        <v>38000</v>
      </c>
      <c r="P15" s="2036"/>
      <c r="Q15" s="2089"/>
      <c r="R15" s="2089"/>
      <c r="S15" s="2089"/>
      <c r="T15" s="3906"/>
      <c r="U15" s="3906"/>
      <c r="V15" s="3906"/>
      <c r="W15" s="3906"/>
      <c r="X15" s="3906"/>
      <c r="Y15" s="3906"/>
      <c r="Z15" s="3906"/>
      <c r="AA15" s="3906"/>
      <c r="AB15" s="3906"/>
      <c r="AC15" s="3906"/>
      <c r="AD15" s="3906"/>
      <c r="AE15" s="3906"/>
      <c r="AF15" s="3906"/>
      <c r="AG15" s="3906"/>
      <c r="AH15" s="3906"/>
      <c r="AI15" s="3906"/>
      <c r="AJ15" s="3906"/>
      <c r="AK15" s="3906"/>
      <c r="AL15" s="3906"/>
      <c r="AM15" s="3906"/>
      <c r="AN15" s="3906"/>
      <c r="AO15" s="3906"/>
      <c r="AP15" s="3906"/>
      <c r="AQ15" s="3906"/>
      <c r="AR15" s="3906"/>
      <c r="AS15" s="3906"/>
      <c r="AT15" s="3906"/>
      <c r="AU15" s="3906"/>
      <c r="AV15" s="3906"/>
      <c r="AW15" s="3906"/>
      <c r="AX15" s="3906"/>
      <c r="AY15" s="3906"/>
      <c r="AZ15" s="3906"/>
      <c r="BA15" s="3906"/>
      <c r="BB15" s="3906"/>
      <c r="BC15" s="3906"/>
      <c r="BD15" s="3906"/>
      <c r="BE15" s="3906"/>
      <c r="BF15" s="3906"/>
      <c r="BG15" s="1346"/>
      <c r="BH15" s="3906"/>
      <c r="BI15" s="3906"/>
      <c r="BJ15" s="3906"/>
      <c r="BK15" s="3906"/>
      <c r="BL15" s="3906"/>
      <c r="BM15" s="3906"/>
      <c r="BN15" s="3906"/>
      <c r="BO15" s="3906"/>
      <c r="BP15" s="3906"/>
      <c r="BQ15" s="3906"/>
      <c r="BR15" s="3906"/>
      <c r="BS15" s="3906"/>
      <c r="BT15" s="3906"/>
      <c r="BU15" s="3906"/>
      <c r="BV15" s="3906"/>
      <c r="BW15" s="3906"/>
      <c r="BX15" s="3906"/>
      <c r="BY15" s="3906"/>
      <c r="BZ15" s="3906"/>
      <c r="CA15" s="3906"/>
      <c r="CB15" s="3906"/>
      <c r="CC15" s="3906"/>
      <c r="CD15" s="3906"/>
      <c r="CE15" s="3906"/>
      <c r="CF15" s="3906"/>
      <c r="CG15" s="3906"/>
      <c r="CH15" s="3906"/>
      <c r="CI15" s="3906"/>
      <c r="CJ15" s="3906"/>
      <c r="CK15" s="3906"/>
      <c r="CL15" s="3906"/>
      <c r="CM15" s="3906"/>
      <c r="CN15" s="3906"/>
      <c r="CO15" s="3906"/>
      <c r="CP15" s="3906"/>
      <c r="CQ15" s="3906"/>
      <c r="CR15" s="3906"/>
      <c r="CS15" s="3906"/>
      <c r="CT15" s="3906"/>
      <c r="CU15" s="3906"/>
      <c r="CV15" s="3906"/>
      <c r="CW15" s="3906"/>
      <c r="CX15" s="3906"/>
      <c r="CY15" s="3906"/>
      <c r="CZ15" s="3906"/>
      <c r="DA15" s="3906"/>
      <c r="DB15" s="3906"/>
      <c r="DC15" s="3906"/>
      <c r="DD15" s="3906"/>
      <c r="DE15" s="3906"/>
      <c r="DF15" s="3906"/>
      <c r="DG15" s="3906"/>
      <c r="DH15" s="3906"/>
      <c r="DI15" s="3906"/>
      <c r="DJ15" s="3906"/>
      <c r="DK15" s="3906"/>
      <c r="DL15" s="3906"/>
      <c r="DM15" s="3906"/>
      <c r="DN15" s="3906"/>
      <c r="DO15" s="3906"/>
      <c r="DP15" s="3906"/>
      <c r="DQ15" s="3906"/>
      <c r="DR15" s="3906"/>
      <c r="DS15" s="3906"/>
      <c r="DT15" s="3906"/>
      <c r="DU15" s="3906"/>
      <c r="DV15" s="3906"/>
      <c r="DW15" s="3906"/>
      <c r="DX15" s="3906"/>
      <c r="DY15" s="3906"/>
      <c r="DZ15" s="3906"/>
      <c r="EA15" s="3906"/>
      <c r="EB15" s="3906"/>
      <c r="EC15" s="3906"/>
      <c r="ED15" s="3906"/>
      <c r="EE15" s="3906"/>
      <c r="EF15" s="3906"/>
      <c r="EG15" s="3906"/>
      <c r="EH15" s="3906"/>
      <c r="EI15" s="3906"/>
      <c r="EJ15" s="3906"/>
      <c r="EK15" s="3906"/>
      <c r="EL15" s="3906"/>
      <c r="EM15" s="3906"/>
      <c r="EN15" s="3906"/>
      <c r="EO15" s="3906"/>
      <c r="EP15" s="3906"/>
      <c r="EQ15" s="3906"/>
      <c r="ER15" s="3906"/>
      <c r="ES15" s="3906"/>
      <c r="ET15" s="3906"/>
      <c r="EU15" s="3906"/>
      <c r="EV15" s="3906"/>
      <c r="EW15" s="3906"/>
      <c r="EX15" s="3906"/>
      <c r="EY15" s="3906"/>
      <c r="EZ15" s="3906"/>
      <c r="FA15" s="3906"/>
      <c r="FB15" s="3906"/>
      <c r="FC15" s="3906"/>
      <c r="FD15" s="3906"/>
      <c r="FE15" s="3906"/>
      <c r="FF15" s="3906"/>
      <c r="FG15" s="3906"/>
      <c r="FH15" s="3906"/>
      <c r="FI15" s="3906"/>
      <c r="FJ15" s="3906"/>
      <c r="FK15" s="3906"/>
      <c r="FL15" s="3906"/>
      <c r="FM15" s="3906"/>
      <c r="FN15" s="3906"/>
      <c r="FO15" s="3906"/>
      <c r="FP15" s="3906"/>
      <c r="FQ15" s="3906"/>
      <c r="FR15" s="3906"/>
      <c r="FS15" s="3906"/>
      <c r="FT15" s="3906"/>
      <c r="FU15" s="3906"/>
      <c r="FV15" s="3906"/>
      <c r="FW15" s="3906"/>
      <c r="FX15" s="3906"/>
      <c r="FY15" s="3906"/>
      <c r="FZ15" s="3906"/>
      <c r="GA15" s="3906"/>
      <c r="GB15" s="3906"/>
      <c r="GC15" s="3906"/>
      <c r="GD15" s="3906"/>
      <c r="GE15" s="3906"/>
      <c r="GF15" s="3906"/>
      <c r="GG15" s="3906"/>
      <c r="GH15" s="3906"/>
      <c r="GI15" s="3906"/>
      <c r="GJ15" s="3906"/>
      <c r="GK15" s="3906"/>
      <c r="GL15" s="3906"/>
      <c r="GM15" s="3906"/>
      <c r="GN15" s="3906"/>
      <c r="GO15" s="3906"/>
      <c r="GP15" s="3906"/>
      <c r="GQ15" s="3906"/>
      <c r="GR15" s="3906"/>
      <c r="GS15" s="3906"/>
      <c r="GT15" s="3906"/>
      <c r="GU15" s="3906"/>
      <c r="GV15" s="3906"/>
      <c r="GW15" s="3906"/>
      <c r="GX15" s="3906"/>
      <c r="GY15" s="3906"/>
      <c r="GZ15" s="3906"/>
      <c r="HA15" s="3906"/>
      <c r="HB15" s="3906"/>
      <c r="HC15" s="3906"/>
      <c r="HD15" s="3906"/>
      <c r="HE15" s="3906"/>
      <c r="HF15" s="3906"/>
      <c r="HG15" s="3906"/>
      <c r="HH15" s="3906"/>
      <c r="HI15" s="3906"/>
      <c r="HJ15" s="3906"/>
      <c r="HK15" s="3906"/>
      <c r="HL15" s="3906"/>
      <c r="HM15" s="3906"/>
      <c r="HN15" s="3906"/>
      <c r="HO15" s="3906"/>
      <c r="HP15" s="3906"/>
      <c r="HQ15" s="3906"/>
      <c r="HR15" s="3906"/>
      <c r="HS15" s="3906"/>
      <c r="HT15" s="3906"/>
      <c r="HU15" s="3906"/>
      <c r="HV15" s="3906"/>
      <c r="HW15" s="3906"/>
      <c r="HX15" s="3906"/>
      <c r="HY15" s="3906"/>
      <c r="HZ15" s="3906"/>
      <c r="IA15" s="3906"/>
      <c r="IB15" s="3906"/>
      <c r="IC15" s="3906"/>
      <c r="ID15" s="3906"/>
      <c r="IE15" s="3906"/>
      <c r="IF15" s="3906"/>
      <c r="IG15" s="3906"/>
      <c r="IH15" s="3906"/>
      <c r="II15" s="3906"/>
      <c r="IJ15" s="3906"/>
      <c r="IK15" s="3906"/>
      <c r="IL15" s="3906"/>
      <c r="IM15" s="3906"/>
      <c r="IN15" s="3906"/>
      <c r="IO15" s="3906"/>
      <c r="IP15" s="3906"/>
      <c r="IQ15" s="3906"/>
      <c r="IR15" s="3906"/>
      <c r="IS15" s="3906"/>
      <c r="IT15" s="3906"/>
      <c r="IU15" s="3906"/>
      <c r="IV15" s="3906"/>
      <c r="IW15" s="3906"/>
      <c r="IX15" s="3906"/>
      <c r="IY15" s="3906"/>
      <c r="IZ15" s="3906"/>
      <c r="JA15" s="3906"/>
      <c r="JB15" s="3906"/>
      <c r="JC15" s="3906"/>
      <c r="JD15" s="3906"/>
      <c r="JE15" s="3906"/>
      <c r="JF15" s="3906"/>
      <c r="JG15" s="2090"/>
      <c r="JH15" s="1367"/>
      <c r="JI15" s="1565"/>
      <c r="JJ15" s="1566" t="s">
        <v>6108</v>
      </c>
      <c r="JK15" s="1835"/>
      <c r="JL15" s="1835"/>
    </row>
    <row r="16" spans="1:272" x14ac:dyDescent="0.2">
      <c r="A16" s="1128">
        <v>15</v>
      </c>
      <c r="B16" s="1657" t="str">
        <f si="0" t="shared"/>
        <v/>
      </c>
      <c r="C16" s="1579" t="s">
        <v>3857</v>
      </c>
      <c r="D16" s="1392" t="s">
        <v>4911</v>
      </c>
      <c r="E16" s="1667"/>
      <c r="F16" s="1667">
        <v>2</v>
      </c>
      <c r="G16" s="1667">
        <v>1</v>
      </c>
      <c r="H16" s="1667">
        <v>1</v>
      </c>
      <c r="I16" s="1668"/>
      <c r="J16" s="1667">
        <v>1</v>
      </c>
      <c r="K16" s="1667">
        <v>4</v>
      </c>
      <c r="L16" s="1668"/>
      <c r="M16" s="1668"/>
      <c r="N16" s="1668"/>
      <c r="O16" s="1887"/>
      <c r="P16" s="1667"/>
      <c r="Q16" s="1667">
        <v>1</v>
      </c>
      <c r="R16" s="1667"/>
      <c r="S16" s="1667">
        <v>1</v>
      </c>
      <c r="T16" s="3907"/>
      <c r="U16" s="3907"/>
      <c r="V16" s="3907"/>
      <c r="W16" s="3907"/>
      <c r="X16" s="3907"/>
      <c r="Y16" s="3907"/>
      <c r="Z16" s="3907"/>
      <c r="AA16" s="3907"/>
      <c r="AB16" s="3907"/>
      <c r="AC16" s="3907"/>
      <c r="AD16" s="3907"/>
      <c r="AE16" s="3907"/>
      <c r="AF16" s="3907"/>
      <c r="AG16" s="3907"/>
      <c r="AH16" s="3907"/>
      <c r="AI16" s="3907"/>
      <c r="AJ16" s="3907"/>
      <c r="AK16" s="3907"/>
      <c r="AL16" s="3907"/>
      <c r="AM16" s="3907"/>
      <c r="AN16" s="3907"/>
      <c r="AO16" s="3907"/>
      <c r="AP16" s="3907"/>
      <c r="AQ16" s="3907"/>
      <c r="AR16" s="3907"/>
      <c r="AS16" s="3907"/>
      <c r="AT16" s="3907"/>
      <c r="AU16" s="3907"/>
      <c r="AV16" s="3907"/>
      <c r="AW16" s="3907"/>
      <c r="AX16" s="3907"/>
      <c r="AY16" s="3907"/>
      <c r="AZ16" s="3907"/>
      <c r="BA16" s="3907"/>
      <c r="BB16" s="3907"/>
      <c r="BC16" s="3907"/>
      <c r="BD16" s="3907"/>
      <c r="BE16" s="3907"/>
      <c r="BF16" s="3907"/>
      <c r="BG16" s="1668"/>
      <c r="BH16" s="3907"/>
      <c r="BI16" s="3907"/>
      <c r="BJ16" s="3907"/>
      <c r="BK16" s="3907"/>
      <c r="BL16" s="3907"/>
      <c r="BM16" s="3907"/>
      <c r="BN16" s="3907"/>
      <c r="BO16" s="3907"/>
      <c r="BP16" s="3907"/>
      <c r="BQ16" s="3907"/>
      <c r="BR16" s="3907"/>
      <c r="BS16" s="3907"/>
      <c r="BT16" s="3907"/>
      <c r="BU16" s="3907"/>
      <c r="BV16" s="3907"/>
      <c r="BW16" s="3907"/>
      <c r="BX16" s="3907"/>
      <c r="BY16" s="3907"/>
      <c r="BZ16" s="3907"/>
      <c r="CA16" s="3907"/>
      <c r="CB16" s="3907"/>
      <c r="CC16" s="3907"/>
      <c r="CD16" s="3907"/>
      <c r="CE16" s="3907"/>
      <c r="CF16" s="3907"/>
      <c r="CG16" s="3907"/>
      <c r="CH16" s="3907"/>
      <c r="CI16" s="3907"/>
      <c r="CJ16" s="3907"/>
      <c r="CK16" s="3907"/>
      <c r="CL16" s="3907"/>
      <c r="CM16" s="3907"/>
      <c r="CN16" s="3907"/>
      <c r="CO16" s="3907"/>
      <c r="CP16" s="3907"/>
      <c r="CQ16" s="3907"/>
      <c r="CR16" s="3907"/>
      <c r="CS16" s="3907"/>
      <c r="CT16" s="3907"/>
      <c r="CU16" s="3907"/>
      <c r="CV16" s="3907"/>
      <c r="CW16" s="3907"/>
      <c r="CX16" s="3907"/>
      <c r="CY16" s="3907"/>
      <c r="CZ16" s="3907"/>
      <c r="DA16" s="3907"/>
      <c r="DB16" s="3907"/>
      <c r="DC16" s="3907"/>
      <c r="DD16" s="3907"/>
      <c r="DE16" s="3907"/>
      <c r="DF16" s="3907"/>
      <c r="DG16" s="3907"/>
      <c r="DH16" s="3907"/>
      <c r="DI16" s="3907"/>
      <c r="DJ16" s="3907"/>
      <c r="DK16" s="3907"/>
      <c r="DL16" s="3907"/>
      <c r="DM16" s="3907"/>
      <c r="DN16" s="3907"/>
      <c r="DO16" s="3907"/>
      <c r="DP16" s="3907"/>
      <c r="DQ16" s="3907"/>
      <c r="DR16" s="3907"/>
      <c r="DS16" s="3907"/>
      <c r="DT16" s="3907"/>
      <c r="DU16" s="3907"/>
      <c r="DV16" s="3907"/>
      <c r="DW16" s="3907"/>
      <c r="DX16" s="3907"/>
      <c r="DY16" s="3907"/>
      <c r="DZ16" s="3907"/>
      <c r="EA16" s="3907"/>
      <c r="EB16" s="3907"/>
      <c r="EC16" s="3907"/>
      <c r="ED16" s="3907"/>
      <c r="EE16" s="3907"/>
      <c r="EF16" s="3907"/>
      <c r="EG16" s="3907"/>
      <c r="EH16" s="3907"/>
      <c r="EI16" s="3907"/>
      <c r="EJ16" s="3907"/>
      <c r="EK16" s="3907"/>
      <c r="EL16" s="3907"/>
      <c r="EM16" s="3907"/>
      <c r="EN16" s="3907"/>
      <c r="EO16" s="3907"/>
      <c r="EP16" s="3907"/>
      <c r="EQ16" s="3907"/>
      <c r="ER16" s="3907"/>
      <c r="ES16" s="3907"/>
      <c r="ET16" s="3907"/>
      <c r="EU16" s="3907"/>
      <c r="EV16" s="3907"/>
      <c r="EW16" s="3907"/>
      <c r="EX16" s="3907"/>
      <c r="EY16" s="3907"/>
      <c r="EZ16" s="3907"/>
      <c r="FA16" s="3907"/>
      <c r="FB16" s="3907"/>
      <c r="FC16" s="3907"/>
      <c r="FD16" s="3907"/>
      <c r="FE16" s="3907"/>
      <c r="FF16" s="3907"/>
      <c r="FG16" s="3907"/>
      <c r="FH16" s="3907"/>
      <c r="FI16" s="3907"/>
      <c r="FJ16" s="3907"/>
      <c r="FK16" s="3907"/>
      <c r="FL16" s="3907"/>
      <c r="FM16" s="3907"/>
      <c r="FN16" s="3907"/>
      <c r="FO16" s="3907"/>
      <c r="FP16" s="3907"/>
      <c r="FQ16" s="3907"/>
      <c r="FR16" s="3907"/>
      <c r="FS16" s="3907"/>
      <c r="FT16" s="3907"/>
      <c r="FU16" s="3907"/>
      <c r="FV16" s="3907"/>
      <c r="FW16" s="3907"/>
      <c r="FX16" s="3907"/>
      <c r="FY16" s="3907"/>
      <c r="FZ16" s="3907"/>
      <c r="GA16" s="3907"/>
      <c r="GB16" s="3907"/>
      <c r="GC16" s="3907"/>
      <c r="GD16" s="3907"/>
      <c r="GE16" s="3907"/>
      <c r="GF16" s="3907"/>
      <c r="GG16" s="3907"/>
      <c r="GH16" s="3907"/>
      <c r="GI16" s="3907"/>
      <c r="GJ16" s="3907"/>
      <c r="GK16" s="3907"/>
      <c r="GL16" s="3907"/>
      <c r="GM16" s="3907"/>
      <c r="GN16" s="3907"/>
      <c r="GO16" s="3907"/>
      <c r="GP16" s="3907"/>
      <c r="GQ16" s="3907"/>
      <c r="GR16" s="3907"/>
      <c r="GS16" s="3907"/>
      <c r="GT16" s="3907"/>
      <c r="GU16" s="3907"/>
      <c r="GV16" s="3907"/>
      <c r="GW16" s="3907"/>
      <c r="GX16" s="3907"/>
      <c r="GY16" s="3907"/>
      <c r="GZ16" s="3907"/>
      <c r="HA16" s="3907"/>
      <c r="HB16" s="3907"/>
      <c r="HC16" s="3907"/>
      <c r="HD16" s="3907"/>
      <c r="HE16" s="3907"/>
      <c r="HF16" s="3907"/>
      <c r="HG16" s="3907"/>
      <c r="HH16" s="3907"/>
      <c r="HI16" s="3907"/>
      <c r="HJ16" s="3907"/>
      <c r="HK16" s="3907"/>
      <c r="HL16" s="3907"/>
      <c r="HM16" s="3907"/>
      <c r="HN16" s="3907"/>
      <c r="HO16" s="3907"/>
      <c r="HP16" s="3907"/>
      <c r="HQ16" s="3907"/>
      <c r="HR16" s="3907"/>
      <c r="HS16" s="3907"/>
      <c r="HT16" s="3907"/>
      <c r="HU16" s="3907"/>
      <c r="HV16" s="3907"/>
      <c r="HW16" s="3907"/>
      <c r="HX16" s="3907"/>
      <c r="HY16" s="3907"/>
      <c r="HZ16" s="3907"/>
      <c r="IA16" s="3907"/>
      <c r="IB16" s="3907"/>
      <c r="IC16" s="3907"/>
      <c r="ID16" s="3907"/>
      <c r="IE16" s="3907"/>
      <c r="IF16" s="3907"/>
      <c r="IG16" s="3907"/>
      <c r="IH16" s="3907"/>
      <c r="II16" s="3907"/>
      <c r="IJ16" s="3907"/>
      <c r="IK16" s="3907"/>
      <c r="IL16" s="3907"/>
      <c r="IM16" s="3907"/>
      <c r="IN16" s="3907"/>
      <c r="IO16" s="3907"/>
      <c r="IP16" s="3907"/>
      <c r="IQ16" s="3907"/>
      <c r="IR16" s="3907"/>
      <c r="IS16" s="3907"/>
      <c r="IT16" s="3907"/>
      <c r="IU16" s="4324">
        <v>1</v>
      </c>
      <c r="IV16" s="4020"/>
      <c r="IW16" s="3907"/>
      <c r="IX16" s="4020">
        <v>1</v>
      </c>
      <c r="IY16" s="4020">
        <v>1</v>
      </c>
      <c r="IZ16" s="3907"/>
      <c r="JA16" s="4322"/>
      <c r="JB16" s="4322"/>
      <c r="JC16" s="3907"/>
      <c r="JD16" s="3907"/>
      <c r="JE16" s="3907"/>
      <c r="JF16" s="3907"/>
      <c r="JG16" s="2088"/>
      <c r="JH16" s="1367"/>
      <c r="JI16" s="1565"/>
      <c r="JJ16" s="1566" t="s">
        <v>6107</v>
      </c>
      <c r="JK16" s="1835"/>
      <c r="JL16" s="1835"/>
    </row>
    <row ht="22.5" r="17" spans="1:272" x14ac:dyDescent="0.2">
      <c r="A17" s="1128">
        <v>16</v>
      </c>
      <c r="B17" s="1656" t="str">
        <f si="0" t="shared"/>
        <v/>
      </c>
      <c r="C17" s="1579" t="s">
        <v>3858</v>
      </c>
      <c r="D17" s="1392" t="s">
        <v>4912</v>
      </c>
      <c r="E17" s="1621"/>
      <c r="F17" s="1621">
        <v>37000</v>
      </c>
      <c r="G17" s="1621">
        <v>12000</v>
      </c>
      <c r="H17" s="1621">
        <v>212000</v>
      </c>
      <c r="I17" s="1621"/>
      <c r="J17" s="1621">
        <v>129000</v>
      </c>
      <c r="K17" s="1621">
        <v>40000</v>
      </c>
      <c r="L17" s="1621"/>
      <c r="M17" s="1621"/>
      <c r="N17" s="1621"/>
      <c r="O17" s="1888"/>
      <c r="P17" s="1621"/>
      <c r="Q17" s="1621">
        <v>30000</v>
      </c>
      <c r="R17" s="1621"/>
      <c r="S17" s="1621">
        <v>295729</v>
      </c>
      <c r="T17" s="3908"/>
      <c r="U17" s="3908"/>
      <c r="V17" s="3908"/>
      <c r="W17" s="3908"/>
      <c r="X17" s="3908"/>
      <c r="Y17" s="3908"/>
      <c r="Z17" s="3908"/>
      <c r="AA17" s="3908"/>
      <c r="AB17" s="3908"/>
      <c r="AC17" s="3908"/>
      <c r="AD17" s="3908"/>
      <c r="AE17" s="3908"/>
      <c r="AF17" s="3908"/>
      <c r="AG17" s="3908"/>
      <c r="AH17" s="3908"/>
      <c r="AI17" s="3908"/>
      <c r="AJ17" s="3908"/>
      <c r="AK17" s="3908"/>
      <c r="AL17" s="3908"/>
      <c r="AM17" s="3908"/>
      <c r="AN17" s="3908"/>
      <c r="AO17" s="3908"/>
      <c r="AP17" s="3908"/>
      <c r="AQ17" s="3908"/>
      <c r="AR17" s="3908"/>
      <c r="AS17" s="3908"/>
      <c r="AT17" s="3908"/>
      <c r="AU17" s="3908"/>
      <c r="AV17" s="3908"/>
      <c r="AW17" s="3908"/>
      <c r="AX17" s="3908"/>
      <c r="AY17" s="3908"/>
      <c r="AZ17" s="3908"/>
      <c r="BA17" s="3908"/>
      <c r="BB17" s="3908"/>
      <c r="BC17" s="3908"/>
      <c r="BD17" s="3908"/>
      <c r="BE17" s="3908"/>
      <c r="BF17" s="3908"/>
      <c r="BG17" s="1621"/>
      <c r="BH17" s="3908"/>
      <c r="BI17" s="3908"/>
      <c r="BJ17" s="3908"/>
      <c r="BK17" s="3908"/>
      <c r="BL17" s="3908"/>
      <c r="BM17" s="3908"/>
      <c r="BN17" s="3908"/>
      <c r="BO17" s="3908"/>
      <c r="BP17" s="3908"/>
      <c r="BQ17" s="3908"/>
      <c r="BR17" s="3908"/>
      <c r="BS17" s="3908"/>
      <c r="BT17" s="3908"/>
      <c r="BU17" s="3908"/>
      <c r="BV17" s="3908"/>
      <c r="BW17" s="3908"/>
      <c r="BX17" s="3908"/>
      <c r="BY17" s="3908"/>
      <c r="BZ17" s="3908"/>
      <c r="CA17" s="3908"/>
      <c r="CB17" s="3908"/>
      <c r="CC17" s="3908"/>
      <c r="CD17" s="3908"/>
      <c r="CE17" s="3908"/>
      <c r="CF17" s="3908"/>
      <c r="CG17" s="3908"/>
      <c r="CH17" s="3908"/>
      <c r="CI17" s="3908"/>
      <c r="CJ17" s="3908"/>
      <c r="CK17" s="3908"/>
      <c r="CL17" s="3908"/>
      <c r="CM17" s="3908"/>
      <c r="CN17" s="3908"/>
      <c r="CO17" s="3908"/>
      <c r="CP17" s="3908"/>
      <c r="CQ17" s="3908"/>
      <c r="CR17" s="3908"/>
      <c r="CS17" s="3908"/>
      <c r="CT17" s="3908"/>
      <c r="CU17" s="3908"/>
      <c r="CV17" s="3908"/>
      <c r="CW17" s="3908"/>
      <c r="CX17" s="3908"/>
      <c r="CY17" s="3908"/>
      <c r="CZ17" s="3908"/>
      <c r="DA17" s="3908"/>
      <c r="DB17" s="3908"/>
      <c r="DC17" s="3908"/>
      <c r="DD17" s="3908"/>
      <c r="DE17" s="3908"/>
      <c r="DF17" s="3908"/>
      <c r="DG17" s="3908"/>
      <c r="DH17" s="3908"/>
      <c r="DI17" s="3908"/>
      <c r="DJ17" s="3908"/>
      <c r="DK17" s="3908"/>
      <c r="DL17" s="3908"/>
      <c r="DM17" s="3908"/>
      <c r="DN17" s="3908"/>
      <c r="DO17" s="3908"/>
      <c r="DP17" s="3908"/>
      <c r="DQ17" s="3908"/>
      <c r="DR17" s="3908"/>
      <c r="DS17" s="3908"/>
      <c r="DT17" s="3908"/>
      <c r="DU17" s="3908"/>
      <c r="DV17" s="3908"/>
      <c r="DW17" s="3908"/>
      <c r="DX17" s="3908"/>
      <c r="DY17" s="3908"/>
      <c r="DZ17" s="3908"/>
      <c r="EA17" s="3908"/>
      <c r="EB17" s="3908"/>
      <c r="EC17" s="3908"/>
      <c r="ED17" s="3908"/>
      <c r="EE17" s="3908"/>
      <c r="EF17" s="3908"/>
      <c r="EG17" s="3908"/>
      <c r="EH17" s="3908"/>
      <c r="EI17" s="3908"/>
      <c r="EJ17" s="3908"/>
      <c r="EK17" s="3908"/>
      <c r="EL17" s="3908"/>
      <c r="EM17" s="3908"/>
      <c r="EN17" s="3908"/>
      <c r="EO17" s="3908"/>
      <c r="EP17" s="3908"/>
      <c r="EQ17" s="3908"/>
      <c r="ER17" s="3908"/>
      <c r="ES17" s="3908"/>
      <c r="ET17" s="3908"/>
      <c r="EU17" s="3908"/>
      <c r="EV17" s="3908"/>
      <c r="EW17" s="3908"/>
      <c r="EX17" s="3908"/>
      <c r="EY17" s="3908"/>
      <c r="EZ17" s="3908"/>
      <c r="FA17" s="3908"/>
      <c r="FB17" s="3908"/>
      <c r="FC17" s="3908"/>
      <c r="FD17" s="3908"/>
      <c r="FE17" s="3908"/>
      <c r="FF17" s="3908"/>
      <c r="FG17" s="3908"/>
      <c r="FH17" s="3908"/>
      <c r="FI17" s="3908"/>
      <c r="FJ17" s="3908"/>
      <c r="FK17" s="3908"/>
      <c r="FL17" s="3908"/>
      <c r="FM17" s="3908"/>
      <c r="FN17" s="3908"/>
      <c r="FO17" s="3908"/>
      <c r="FP17" s="3908"/>
      <c r="FQ17" s="3908"/>
      <c r="FR17" s="3908"/>
      <c r="FS17" s="3908"/>
      <c r="FT17" s="3908"/>
      <c r="FU17" s="3908"/>
      <c r="FV17" s="3908"/>
      <c r="FW17" s="3908"/>
      <c r="FX17" s="3908"/>
      <c r="FY17" s="3908"/>
      <c r="FZ17" s="3908"/>
      <c r="GA17" s="3908"/>
      <c r="GB17" s="3908"/>
      <c r="GC17" s="3908"/>
      <c r="GD17" s="3908"/>
      <c r="GE17" s="3908"/>
      <c r="GF17" s="3908"/>
      <c r="GG17" s="3908"/>
      <c r="GH17" s="3908"/>
      <c r="GI17" s="3908"/>
      <c r="GJ17" s="3908"/>
      <c r="GK17" s="3908"/>
      <c r="GL17" s="3908"/>
      <c r="GM17" s="3908"/>
      <c r="GN17" s="3908"/>
      <c r="GO17" s="3908"/>
      <c r="GP17" s="3908"/>
      <c r="GQ17" s="3908"/>
      <c r="GR17" s="3908"/>
      <c r="GS17" s="3908"/>
      <c r="GT17" s="3908"/>
      <c r="GU17" s="3908"/>
      <c r="GV17" s="3908"/>
      <c r="GW17" s="3908"/>
      <c r="GX17" s="3908"/>
      <c r="GY17" s="3908"/>
      <c r="GZ17" s="3908"/>
      <c r="HA17" s="3908"/>
      <c r="HB17" s="3908"/>
      <c r="HC17" s="3908"/>
      <c r="HD17" s="3908"/>
      <c r="HE17" s="3908"/>
      <c r="HF17" s="3908"/>
      <c r="HG17" s="3908"/>
      <c r="HH17" s="3908"/>
      <c r="HI17" s="3908"/>
      <c r="HJ17" s="3908"/>
      <c r="HK17" s="3908"/>
      <c r="HL17" s="3908"/>
      <c r="HM17" s="3908"/>
      <c r="HN17" s="3908"/>
      <c r="HO17" s="3908"/>
      <c r="HP17" s="3908"/>
      <c r="HQ17" s="3908"/>
      <c r="HR17" s="3908"/>
      <c r="HS17" s="3908"/>
      <c r="HT17" s="3908"/>
      <c r="HU17" s="3908"/>
      <c r="HV17" s="3908"/>
      <c r="HW17" s="3908"/>
      <c r="HX17" s="3908"/>
      <c r="HY17" s="3908"/>
      <c r="HZ17" s="3908"/>
      <c r="IA17" s="3908"/>
      <c r="IB17" s="3908"/>
      <c r="IC17" s="3908"/>
      <c r="ID17" s="3908"/>
      <c r="IE17" s="3908"/>
      <c r="IF17" s="3908"/>
      <c r="IG17" s="3908"/>
      <c r="IH17" s="3908"/>
      <c r="II17" s="3908"/>
      <c r="IJ17" s="3908"/>
      <c r="IK17" s="3908"/>
      <c r="IL17" s="3908"/>
      <c r="IM17" s="3908"/>
      <c r="IN17" s="3908"/>
      <c r="IO17" s="3908"/>
      <c r="IP17" s="3908"/>
      <c r="IQ17" s="3908"/>
      <c r="IR17" s="3908"/>
      <c r="IS17" s="3908"/>
      <c r="IT17" s="3908"/>
      <c r="IU17" s="3982">
        <v>76671</v>
      </c>
      <c r="IV17" s="4021"/>
      <c r="IW17" s="3908"/>
      <c r="IX17" s="4021">
        <v>13000</v>
      </c>
      <c r="IY17" s="4021">
        <v>125000</v>
      </c>
      <c r="IZ17" s="3908"/>
      <c r="JA17" s="3906"/>
      <c r="JB17" s="3906"/>
      <c r="JC17" s="3908"/>
      <c r="JD17" s="3908"/>
      <c r="JE17" s="3908"/>
      <c r="JF17" s="3908"/>
      <c r="JG17" s="2088"/>
      <c r="JH17" s="1367"/>
      <c r="JI17" s="1565"/>
      <c r="JJ17" s="1566" t="s">
        <v>6108</v>
      </c>
      <c r="JK17" s="1566" t="s">
        <v>3857</v>
      </c>
      <c r="JL17" s="1835"/>
    </row>
    <row ht="22.5" r="18" spans="1:272" x14ac:dyDescent="0.2">
      <c r="A18" s="1128">
        <v>17</v>
      </c>
      <c r="B18" s="1656" t="str">
        <f si="0" t="shared"/>
        <v/>
      </c>
      <c r="C18" s="1579" t="s">
        <v>2750</v>
      </c>
      <c r="D18" s="1392" t="s">
        <v>4913</v>
      </c>
      <c r="E18" s="1621"/>
      <c r="F18" s="1621">
        <v>12000</v>
      </c>
      <c r="G18" s="1621"/>
      <c r="H18" s="1621">
        <v>197000</v>
      </c>
      <c r="I18" s="1621"/>
      <c r="J18" s="1621">
        <v>56000</v>
      </c>
      <c r="K18" s="1621">
        <v>4000</v>
      </c>
      <c r="L18" s="1621"/>
      <c r="M18" s="1621"/>
      <c r="N18" s="1621"/>
      <c r="O18" s="1888"/>
      <c r="P18" s="1621"/>
      <c r="Q18" s="1621">
        <v>17000</v>
      </c>
      <c r="R18" s="1621"/>
      <c r="S18" s="1621">
        <v>251014</v>
      </c>
      <c r="T18" s="3908"/>
      <c r="U18" s="3908"/>
      <c r="V18" s="3908"/>
      <c r="W18" s="3908"/>
      <c r="X18" s="3908"/>
      <c r="Y18" s="3908"/>
      <c r="Z18" s="3908"/>
      <c r="AA18" s="3908"/>
      <c r="AB18" s="3908"/>
      <c r="AC18" s="3908"/>
      <c r="AD18" s="3908"/>
      <c r="AE18" s="3908"/>
      <c r="AF18" s="3908"/>
      <c r="AG18" s="3908"/>
      <c r="AH18" s="3908"/>
      <c r="AI18" s="3908"/>
      <c r="AJ18" s="3908"/>
      <c r="AK18" s="3908"/>
      <c r="AL18" s="3908"/>
      <c r="AM18" s="3908"/>
      <c r="AN18" s="3908"/>
      <c r="AO18" s="3908"/>
      <c r="AP18" s="3908"/>
      <c r="AQ18" s="3908"/>
      <c r="AR18" s="3908"/>
      <c r="AS18" s="3908"/>
      <c r="AT18" s="3908"/>
      <c r="AU18" s="3908"/>
      <c r="AV18" s="3908"/>
      <c r="AW18" s="3908"/>
      <c r="AX18" s="3908"/>
      <c r="AY18" s="3908"/>
      <c r="AZ18" s="3908"/>
      <c r="BA18" s="3908"/>
      <c r="BB18" s="3908"/>
      <c r="BC18" s="3908"/>
      <c r="BD18" s="3908"/>
      <c r="BE18" s="3908"/>
      <c r="BF18" s="3908"/>
      <c r="BG18" s="1621"/>
      <c r="BH18" s="3908"/>
      <c r="BI18" s="3908"/>
      <c r="BJ18" s="3908"/>
      <c r="BK18" s="3908"/>
      <c r="BL18" s="3908"/>
      <c r="BM18" s="3908"/>
      <c r="BN18" s="3908"/>
      <c r="BO18" s="3908"/>
      <c r="BP18" s="3908"/>
      <c r="BQ18" s="3908"/>
      <c r="BR18" s="3908"/>
      <c r="BS18" s="3908"/>
      <c r="BT18" s="3908"/>
      <c r="BU18" s="3908"/>
      <c r="BV18" s="3908"/>
      <c r="BW18" s="3908"/>
      <c r="BX18" s="3908"/>
      <c r="BY18" s="3908"/>
      <c r="BZ18" s="3908"/>
      <c r="CA18" s="3908"/>
      <c r="CB18" s="3908"/>
      <c r="CC18" s="3908"/>
      <c r="CD18" s="3908"/>
      <c r="CE18" s="3908"/>
      <c r="CF18" s="3908"/>
      <c r="CG18" s="3908"/>
      <c r="CH18" s="3908"/>
      <c r="CI18" s="3908"/>
      <c r="CJ18" s="3908"/>
      <c r="CK18" s="3908"/>
      <c r="CL18" s="3908"/>
      <c r="CM18" s="3908"/>
      <c r="CN18" s="3908"/>
      <c r="CO18" s="3908"/>
      <c r="CP18" s="3908"/>
      <c r="CQ18" s="3908"/>
      <c r="CR18" s="3908"/>
      <c r="CS18" s="3908"/>
      <c r="CT18" s="3908"/>
      <c r="CU18" s="3908"/>
      <c r="CV18" s="3908"/>
      <c r="CW18" s="3908"/>
      <c r="CX18" s="3908"/>
      <c r="CY18" s="3908"/>
      <c r="CZ18" s="3908"/>
      <c r="DA18" s="3908"/>
      <c r="DB18" s="3908"/>
      <c r="DC18" s="3908"/>
      <c r="DD18" s="3908"/>
      <c r="DE18" s="3908"/>
      <c r="DF18" s="3908"/>
      <c r="DG18" s="3908"/>
      <c r="DH18" s="3908"/>
      <c r="DI18" s="3908"/>
      <c r="DJ18" s="3908"/>
      <c r="DK18" s="3908"/>
      <c r="DL18" s="3908"/>
      <c r="DM18" s="3908"/>
      <c r="DN18" s="3908"/>
      <c r="DO18" s="3908"/>
      <c r="DP18" s="3908"/>
      <c r="DQ18" s="3908"/>
      <c r="DR18" s="3908"/>
      <c r="DS18" s="3908"/>
      <c r="DT18" s="3908"/>
      <c r="DU18" s="3908"/>
      <c r="DV18" s="3908"/>
      <c r="DW18" s="3908"/>
      <c r="DX18" s="3908"/>
      <c r="DY18" s="3908"/>
      <c r="DZ18" s="3908"/>
      <c r="EA18" s="3908"/>
      <c r="EB18" s="3908"/>
      <c r="EC18" s="3908"/>
      <c r="ED18" s="3908"/>
      <c r="EE18" s="3908"/>
      <c r="EF18" s="3908"/>
      <c r="EG18" s="3908"/>
      <c r="EH18" s="3908"/>
      <c r="EI18" s="3908"/>
      <c r="EJ18" s="3908"/>
      <c r="EK18" s="3908"/>
      <c r="EL18" s="3908"/>
      <c r="EM18" s="3908"/>
      <c r="EN18" s="3908"/>
      <c r="EO18" s="3908"/>
      <c r="EP18" s="3908"/>
      <c r="EQ18" s="3908"/>
      <c r="ER18" s="3908"/>
      <c r="ES18" s="3908"/>
      <c r="ET18" s="3908"/>
      <c r="EU18" s="3908"/>
      <c r="EV18" s="3908"/>
      <c r="EW18" s="3908"/>
      <c r="EX18" s="3908"/>
      <c r="EY18" s="3908"/>
      <c r="EZ18" s="3908"/>
      <c r="FA18" s="3908"/>
      <c r="FB18" s="3908"/>
      <c r="FC18" s="3908"/>
      <c r="FD18" s="3908"/>
      <c r="FE18" s="3908"/>
      <c r="FF18" s="3908"/>
      <c r="FG18" s="3908"/>
      <c r="FH18" s="3908"/>
      <c r="FI18" s="3908"/>
      <c r="FJ18" s="3908"/>
      <c r="FK18" s="3908"/>
      <c r="FL18" s="3908"/>
      <c r="FM18" s="3908"/>
      <c r="FN18" s="3908"/>
      <c r="FO18" s="3908"/>
      <c r="FP18" s="3908"/>
      <c r="FQ18" s="3908"/>
      <c r="FR18" s="3908"/>
      <c r="FS18" s="3908"/>
      <c r="FT18" s="3908"/>
      <c r="FU18" s="3908"/>
      <c r="FV18" s="3908"/>
      <c r="FW18" s="3908"/>
      <c r="FX18" s="3908"/>
      <c r="FY18" s="3908"/>
      <c r="FZ18" s="3908"/>
      <c r="GA18" s="3908"/>
      <c r="GB18" s="3908"/>
      <c r="GC18" s="3908"/>
      <c r="GD18" s="3908"/>
      <c r="GE18" s="3908"/>
      <c r="GF18" s="3908"/>
      <c r="GG18" s="3908"/>
      <c r="GH18" s="3908"/>
      <c r="GI18" s="3908"/>
      <c r="GJ18" s="3908"/>
      <c r="GK18" s="3908"/>
      <c r="GL18" s="3908"/>
      <c r="GM18" s="3908"/>
      <c r="GN18" s="3908"/>
      <c r="GO18" s="3908"/>
      <c r="GP18" s="3908"/>
      <c r="GQ18" s="3908"/>
      <c r="GR18" s="3908"/>
      <c r="GS18" s="3908"/>
      <c r="GT18" s="3908"/>
      <c r="GU18" s="3908"/>
      <c r="GV18" s="3908"/>
      <c r="GW18" s="3908"/>
      <c r="GX18" s="3908"/>
      <c r="GY18" s="3908"/>
      <c r="GZ18" s="3908"/>
      <c r="HA18" s="3908"/>
      <c r="HB18" s="3908"/>
      <c r="HC18" s="3908"/>
      <c r="HD18" s="3908"/>
      <c r="HE18" s="3908"/>
      <c r="HF18" s="3908"/>
      <c r="HG18" s="3908"/>
      <c r="HH18" s="3908"/>
      <c r="HI18" s="3908"/>
      <c r="HJ18" s="3908"/>
      <c r="HK18" s="3908"/>
      <c r="HL18" s="3908"/>
      <c r="HM18" s="3908"/>
      <c r="HN18" s="3908"/>
      <c r="HO18" s="3908"/>
      <c r="HP18" s="3908"/>
      <c r="HQ18" s="3908"/>
      <c r="HR18" s="3908"/>
      <c r="HS18" s="3908"/>
      <c r="HT18" s="3908"/>
      <c r="HU18" s="3908"/>
      <c r="HV18" s="3908"/>
      <c r="HW18" s="3908"/>
      <c r="HX18" s="3908"/>
      <c r="HY18" s="3908"/>
      <c r="HZ18" s="3908"/>
      <c r="IA18" s="3908"/>
      <c r="IB18" s="3908"/>
      <c r="IC18" s="3908"/>
      <c r="ID18" s="3908"/>
      <c r="IE18" s="3908"/>
      <c r="IF18" s="3908"/>
      <c r="IG18" s="3908"/>
      <c r="IH18" s="3908"/>
      <c r="II18" s="3908"/>
      <c r="IJ18" s="3908"/>
      <c r="IK18" s="3908"/>
      <c r="IL18" s="3908"/>
      <c r="IM18" s="3908"/>
      <c r="IN18" s="3908"/>
      <c r="IO18" s="3908"/>
      <c r="IP18" s="3908"/>
      <c r="IQ18" s="3908"/>
      <c r="IR18" s="3908"/>
      <c r="IS18" s="3908"/>
      <c r="IT18" s="3908"/>
      <c r="IU18" s="3982">
        <v>18646</v>
      </c>
      <c r="IV18" s="4021"/>
      <c r="IW18" s="3908"/>
      <c r="IX18" s="4021"/>
      <c r="IY18" s="4021">
        <v>32500</v>
      </c>
      <c r="IZ18" s="3908"/>
      <c r="JA18" s="3906"/>
      <c r="JB18" s="3906"/>
      <c r="JC18" s="3908"/>
      <c r="JD18" s="3908"/>
      <c r="JE18" s="3908"/>
      <c r="JF18" s="3908"/>
      <c r="JG18" s="2088"/>
      <c r="JH18" s="1367"/>
      <c r="JI18" s="1565" t="s">
        <v>5038</v>
      </c>
      <c r="JJ18" s="1566" t="s">
        <v>6108</v>
      </c>
      <c r="JK18" s="1835"/>
      <c r="JL18" s="1835"/>
    </row>
    <row ht="22.5" r="19" spans="1:272" x14ac:dyDescent="0.2">
      <c r="A19" s="1128">
        <v>18</v>
      </c>
      <c r="B19" s="1656" t="str">
        <f si="0" t="shared"/>
        <v/>
      </c>
      <c r="C19" s="1828" t="s">
        <v>2751</v>
      </c>
      <c r="D19" s="1392" t="s">
        <v>5304</v>
      </c>
      <c r="E19" s="1618"/>
      <c r="F19" s="1617">
        <f>MAX(0,F17-F18)</f>
        <v>25000</v>
      </c>
      <c r="G19" s="1617">
        <f>MAX(0,G17-G18)</f>
        <v>12000</v>
      </c>
      <c r="H19" s="1617">
        <f>MAX(0,H17-H18)</f>
        <v>15000</v>
      </c>
      <c r="I19" s="1618"/>
      <c r="J19" s="1617">
        <f>MAX(0,J17-J18)</f>
        <v>73000</v>
      </c>
      <c r="K19" s="1617">
        <f>MAX(0,K17-K18)</f>
        <v>36000</v>
      </c>
      <c r="L19" s="1618"/>
      <c r="M19" s="1618"/>
      <c r="N19" s="1618"/>
      <c r="O19" s="1885"/>
      <c r="P19" s="1617"/>
      <c r="Q19" s="1617">
        <v>13000</v>
      </c>
      <c r="R19" s="1617"/>
      <c r="S19" s="1617">
        <f>MAX(0,S17-S18)</f>
        <v>44715</v>
      </c>
      <c r="T19" s="3909"/>
      <c r="U19" s="3909"/>
      <c r="V19" s="3909"/>
      <c r="W19" s="3909"/>
      <c r="X19" s="3909"/>
      <c r="Y19" s="3909"/>
      <c r="Z19" s="3909"/>
      <c r="AA19" s="3909"/>
      <c r="AB19" s="3909"/>
      <c r="AC19" s="3909"/>
      <c r="AD19" s="3909"/>
      <c r="AE19" s="3909"/>
      <c r="AF19" s="3909"/>
      <c r="AG19" s="3909"/>
      <c r="AH19" s="3909"/>
      <c r="AI19" s="3909"/>
      <c r="AJ19" s="3909"/>
      <c r="AK19" s="3909"/>
      <c r="AL19" s="3909"/>
      <c r="AM19" s="3909"/>
      <c r="AN19" s="3909"/>
      <c r="AO19" s="3909"/>
      <c r="AP19" s="3909"/>
      <c r="AQ19" s="3909"/>
      <c r="AR19" s="3909"/>
      <c r="AS19" s="3909"/>
      <c r="AT19" s="3909"/>
      <c r="AU19" s="3909"/>
      <c r="AV19" s="3909"/>
      <c r="AW19" s="3909"/>
      <c r="AX19" s="3909"/>
      <c r="AY19" s="3909"/>
      <c r="AZ19" s="3909"/>
      <c r="BA19" s="3909"/>
      <c r="BB19" s="3909"/>
      <c r="BC19" s="3909"/>
      <c r="BD19" s="3909"/>
      <c r="BE19" s="3909"/>
      <c r="BF19" s="3909"/>
      <c r="BG19" s="1618"/>
      <c r="BH19" s="3909"/>
      <c r="BI19" s="3909"/>
      <c r="BJ19" s="3909"/>
      <c r="BK19" s="3909"/>
      <c r="BL19" s="3909"/>
      <c r="BM19" s="3909"/>
      <c r="BN19" s="3909"/>
      <c r="BO19" s="3909"/>
      <c r="BP19" s="3909"/>
      <c r="BQ19" s="3909"/>
      <c r="BR19" s="3909"/>
      <c r="BS19" s="3909"/>
      <c r="BT19" s="3909"/>
      <c r="BU19" s="3909"/>
      <c r="BV19" s="3909"/>
      <c r="BW19" s="3909"/>
      <c r="BX19" s="3909"/>
      <c r="BY19" s="3909"/>
      <c r="BZ19" s="3909"/>
      <c r="CA19" s="3909"/>
      <c r="CB19" s="3909"/>
      <c r="CC19" s="3909"/>
      <c r="CD19" s="3909"/>
      <c r="CE19" s="3909"/>
      <c r="CF19" s="3909"/>
      <c r="CG19" s="3909"/>
      <c r="CH19" s="3909"/>
      <c r="CI19" s="3909"/>
      <c r="CJ19" s="3909"/>
      <c r="CK19" s="3909"/>
      <c r="CL19" s="3909"/>
      <c r="CM19" s="3909"/>
      <c r="CN19" s="3909"/>
      <c r="CO19" s="3909"/>
      <c r="CP19" s="3909"/>
      <c r="CQ19" s="3909"/>
      <c r="CR19" s="3909"/>
      <c r="CS19" s="3909"/>
      <c r="CT19" s="3909"/>
      <c r="CU19" s="3909"/>
      <c r="CV19" s="3909"/>
      <c r="CW19" s="3909"/>
      <c r="CX19" s="3909"/>
      <c r="CY19" s="3909"/>
      <c r="CZ19" s="3909"/>
      <c r="DA19" s="3909"/>
      <c r="DB19" s="3909"/>
      <c r="DC19" s="3909"/>
      <c r="DD19" s="3909"/>
      <c r="DE19" s="3909"/>
      <c r="DF19" s="3909"/>
      <c r="DG19" s="3909"/>
      <c r="DH19" s="3909"/>
      <c r="DI19" s="3909"/>
      <c r="DJ19" s="3909"/>
      <c r="DK19" s="3909"/>
      <c r="DL19" s="3909"/>
      <c r="DM19" s="3909"/>
      <c r="DN19" s="3909"/>
      <c r="DO19" s="3909"/>
      <c r="DP19" s="3909"/>
      <c r="DQ19" s="3909"/>
      <c r="DR19" s="3909"/>
      <c r="DS19" s="3909"/>
      <c r="DT19" s="3909"/>
      <c r="DU19" s="3909"/>
      <c r="DV19" s="3909"/>
      <c r="DW19" s="3909"/>
      <c r="DX19" s="3909"/>
      <c r="DY19" s="3909"/>
      <c r="DZ19" s="3909"/>
      <c r="EA19" s="3909"/>
      <c r="EB19" s="3909"/>
      <c r="EC19" s="3909"/>
      <c r="ED19" s="3909"/>
      <c r="EE19" s="3909"/>
      <c r="EF19" s="3909"/>
      <c r="EG19" s="3909"/>
      <c r="EH19" s="3909"/>
      <c r="EI19" s="3909"/>
      <c r="EJ19" s="3909"/>
      <c r="EK19" s="3909"/>
      <c r="EL19" s="3909"/>
      <c r="EM19" s="3909"/>
      <c r="EN19" s="3909"/>
      <c r="EO19" s="3909"/>
      <c r="EP19" s="3909"/>
      <c r="EQ19" s="3909"/>
      <c r="ER19" s="3909"/>
      <c r="ES19" s="3909"/>
      <c r="ET19" s="3909"/>
      <c r="EU19" s="3909"/>
      <c r="EV19" s="3909"/>
      <c r="EW19" s="3909"/>
      <c r="EX19" s="3909"/>
      <c r="EY19" s="3909"/>
      <c r="EZ19" s="3909"/>
      <c r="FA19" s="3909"/>
      <c r="FB19" s="3909"/>
      <c r="FC19" s="3909"/>
      <c r="FD19" s="3909"/>
      <c r="FE19" s="3909"/>
      <c r="FF19" s="3909"/>
      <c r="FG19" s="3909"/>
      <c r="FH19" s="3909"/>
      <c r="FI19" s="3909"/>
      <c r="FJ19" s="3909"/>
      <c r="FK19" s="3909"/>
      <c r="FL19" s="3909"/>
      <c r="FM19" s="3909"/>
      <c r="FN19" s="3909"/>
      <c r="FO19" s="3909"/>
      <c r="FP19" s="3909"/>
      <c r="FQ19" s="3909"/>
      <c r="FR19" s="3909"/>
      <c r="FS19" s="3909"/>
      <c r="FT19" s="3909"/>
      <c r="FU19" s="3909"/>
      <c r="FV19" s="3909"/>
      <c r="FW19" s="3909"/>
      <c r="FX19" s="3909"/>
      <c r="FY19" s="3909"/>
      <c r="FZ19" s="3909"/>
      <c r="GA19" s="3909"/>
      <c r="GB19" s="3909"/>
      <c r="GC19" s="3909"/>
      <c r="GD19" s="3909"/>
      <c r="GE19" s="3909"/>
      <c r="GF19" s="3909"/>
      <c r="GG19" s="3909"/>
      <c r="GH19" s="3909"/>
      <c r="GI19" s="3909"/>
      <c r="GJ19" s="3909"/>
      <c r="GK19" s="3909"/>
      <c r="GL19" s="3909"/>
      <c r="GM19" s="3909"/>
      <c r="GN19" s="3909"/>
      <c r="GO19" s="3909"/>
      <c r="GP19" s="3909"/>
      <c r="GQ19" s="3909"/>
      <c r="GR19" s="3909"/>
      <c r="GS19" s="3909"/>
      <c r="GT19" s="3909"/>
      <c r="GU19" s="3909"/>
      <c r="GV19" s="3909"/>
      <c r="GW19" s="3909"/>
      <c r="GX19" s="3909"/>
      <c r="GY19" s="3909"/>
      <c r="GZ19" s="3909"/>
      <c r="HA19" s="3909"/>
      <c r="HB19" s="3909"/>
      <c r="HC19" s="3909"/>
      <c r="HD19" s="3909"/>
      <c r="HE19" s="3909"/>
      <c r="HF19" s="3909"/>
      <c r="HG19" s="3909"/>
      <c r="HH19" s="3909"/>
      <c r="HI19" s="3909"/>
      <c r="HJ19" s="3909"/>
      <c r="HK19" s="3909"/>
      <c r="HL19" s="3909"/>
      <c r="HM19" s="3909"/>
      <c r="HN19" s="3909"/>
      <c r="HO19" s="3909"/>
      <c r="HP19" s="3909"/>
      <c r="HQ19" s="3909"/>
      <c r="HR19" s="3909"/>
      <c r="HS19" s="3909"/>
      <c r="HT19" s="3909"/>
      <c r="HU19" s="3909"/>
      <c r="HV19" s="3909"/>
      <c r="HW19" s="3909"/>
      <c r="HX19" s="3909"/>
      <c r="HY19" s="3909"/>
      <c r="HZ19" s="3909"/>
      <c r="IA19" s="3909"/>
      <c r="IB19" s="3909"/>
      <c r="IC19" s="3909"/>
      <c r="ID19" s="3909"/>
      <c r="IE19" s="3909"/>
      <c r="IF19" s="3909"/>
      <c r="IG19" s="3909"/>
      <c r="IH19" s="3909"/>
      <c r="II19" s="3909"/>
      <c r="IJ19" s="3909"/>
      <c r="IK19" s="3909"/>
      <c r="IL19" s="3909"/>
      <c r="IM19" s="3909"/>
      <c r="IN19" s="3909"/>
      <c r="IO19" s="3909"/>
      <c r="IP19" s="3909"/>
      <c r="IQ19" s="3909"/>
      <c r="IR19" s="3909"/>
      <c r="IS19" s="3909"/>
      <c r="IT19" s="3984">
        <v>0</v>
      </c>
      <c r="IU19" s="3919">
        <v>58025</v>
      </c>
      <c r="IV19" s="3984">
        <v>0</v>
      </c>
      <c r="IW19" s="3984">
        <v>0</v>
      </c>
      <c r="IX19" s="3984">
        <v>13000</v>
      </c>
      <c r="IY19" s="3919">
        <v>92500</v>
      </c>
      <c r="IZ19" s="3984">
        <v>0</v>
      </c>
      <c r="JA19" s="3984">
        <v>0</v>
      </c>
      <c r="JB19" s="3984">
        <v>0</v>
      </c>
      <c r="JC19" s="3909"/>
      <c r="JD19" s="3909"/>
      <c r="JE19" s="3909"/>
      <c r="JF19" s="3909"/>
      <c r="JG19" s="2088"/>
      <c r="JH19" s="1367"/>
      <c r="JI19" s="1565"/>
      <c r="JJ19" s="1566" t="s">
        <v>6108</v>
      </c>
      <c r="JK19" s="1566" t="s">
        <v>3857</v>
      </c>
      <c r="JL19" s="1835"/>
    </row>
    <row ht="22.5" r="20" spans="1:272" x14ac:dyDescent="0.2">
      <c r="A20" s="1128">
        <v>19</v>
      </c>
      <c r="B20" s="1656" t="str">
        <f si="0" t="shared"/>
        <v/>
      </c>
      <c r="C20" s="1828" t="s">
        <v>2752</v>
      </c>
      <c r="D20" s="1392" t="s">
        <v>4917</v>
      </c>
      <c r="E20" s="1622"/>
      <c r="F20" s="1622"/>
      <c r="G20" s="1622"/>
      <c r="H20" s="1622">
        <v>8000</v>
      </c>
      <c r="I20" s="1623"/>
      <c r="J20" s="1623"/>
      <c r="K20" s="1623"/>
      <c r="L20" s="1623"/>
      <c r="M20" s="1623"/>
      <c r="N20" s="1623"/>
      <c r="O20" s="1889"/>
      <c r="P20" s="1623">
        <v>17654</v>
      </c>
      <c r="Q20" s="1623"/>
      <c r="R20" s="1623"/>
      <c r="S20" s="1623"/>
      <c r="T20" s="3910"/>
      <c r="U20" s="3910"/>
      <c r="V20" s="3910"/>
      <c r="W20" s="3910"/>
      <c r="X20" s="3910"/>
      <c r="Y20" s="3910"/>
      <c r="Z20" s="3910"/>
      <c r="AA20" s="3910"/>
      <c r="AB20" s="3910"/>
      <c r="AC20" s="3910"/>
      <c r="AD20" s="3910"/>
      <c r="AE20" s="3910"/>
      <c r="AF20" s="3910"/>
      <c r="AG20" s="3910"/>
      <c r="AH20" s="3910"/>
      <c r="AI20" s="3910"/>
      <c r="AJ20" s="3910"/>
      <c r="AK20" s="3910"/>
      <c r="AL20" s="3910"/>
      <c r="AM20" s="3910"/>
      <c r="AN20" s="3910"/>
      <c r="AO20" s="3910"/>
      <c r="AP20" s="3910"/>
      <c r="AQ20" s="3910"/>
      <c r="AR20" s="3910"/>
      <c r="AS20" s="3910"/>
      <c r="AT20" s="3910"/>
      <c r="AU20" s="3910"/>
      <c r="AV20" s="3910"/>
      <c r="AW20" s="3910"/>
      <c r="AX20" s="3910"/>
      <c r="AY20" s="3910"/>
      <c r="AZ20" s="3910"/>
      <c r="BA20" s="3910"/>
      <c r="BB20" s="3910"/>
      <c r="BC20" s="3910"/>
      <c r="BD20" s="3910"/>
      <c r="BE20" s="3910"/>
      <c r="BF20" s="3910"/>
      <c r="BG20" s="1623"/>
      <c r="BH20" s="3910"/>
      <c r="BI20" s="3910"/>
      <c r="BJ20" s="3910"/>
      <c r="BK20" s="3910"/>
      <c r="BL20" s="3910"/>
      <c r="BM20" s="3910"/>
      <c r="BN20" s="3910"/>
      <c r="BO20" s="3910"/>
      <c r="BP20" s="3910"/>
      <c r="BQ20" s="3910"/>
      <c r="BR20" s="3910"/>
      <c r="BS20" s="3910"/>
      <c r="BT20" s="3910"/>
      <c r="BU20" s="3910"/>
      <c r="BV20" s="3910"/>
      <c r="BW20" s="3910"/>
      <c r="BX20" s="3910"/>
      <c r="BY20" s="3910"/>
      <c r="BZ20" s="3910"/>
      <c r="CA20" s="3910"/>
      <c r="CB20" s="3910"/>
      <c r="CC20" s="3910"/>
      <c r="CD20" s="3910"/>
      <c r="CE20" s="3910"/>
      <c r="CF20" s="3910"/>
      <c r="CG20" s="3910"/>
      <c r="CH20" s="3910"/>
      <c r="CI20" s="3910"/>
      <c r="CJ20" s="3910"/>
      <c r="CK20" s="3910"/>
      <c r="CL20" s="3910"/>
      <c r="CM20" s="3910"/>
      <c r="CN20" s="3910"/>
      <c r="CO20" s="3910"/>
      <c r="CP20" s="3910"/>
      <c r="CQ20" s="3910"/>
      <c r="CR20" s="3910"/>
      <c r="CS20" s="3910"/>
      <c r="CT20" s="3910"/>
      <c r="CU20" s="3910"/>
      <c r="CV20" s="3910"/>
      <c r="CW20" s="3910"/>
      <c r="CX20" s="3910"/>
      <c r="CY20" s="3910"/>
      <c r="CZ20" s="3910"/>
      <c r="DA20" s="3910"/>
      <c r="DB20" s="3910"/>
      <c r="DC20" s="3910"/>
      <c r="DD20" s="3910"/>
      <c r="DE20" s="3910"/>
      <c r="DF20" s="3910"/>
      <c r="DG20" s="3910"/>
      <c r="DH20" s="3910"/>
      <c r="DI20" s="3910"/>
      <c r="DJ20" s="3910"/>
      <c r="DK20" s="3910"/>
      <c r="DL20" s="3910"/>
      <c r="DM20" s="3910"/>
      <c r="DN20" s="3910"/>
      <c r="DO20" s="3910"/>
      <c r="DP20" s="3910"/>
      <c r="DQ20" s="3910"/>
      <c r="DR20" s="3910"/>
      <c r="DS20" s="3910"/>
      <c r="DT20" s="3910"/>
      <c r="DU20" s="3910"/>
      <c r="DV20" s="3910"/>
      <c r="DW20" s="3910"/>
      <c r="DX20" s="3910"/>
      <c r="DY20" s="3910"/>
      <c r="DZ20" s="3910"/>
      <c r="EA20" s="3910"/>
      <c r="EB20" s="3910"/>
      <c r="EC20" s="3910"/>
      <c r="ED20" s="3910"/>
      <c r="EE20" s="3910"/>
      <c r="EF20" s="3910"/>
      <c r="EG20" s="3910"/>
      <c r="EH20" s="3910"/>
      <c r="EI20" s="3910"/>
      <c r="EJ20" s="3910"/>
      <c r="EK20" s="3910"/>
      <c r="EL20" s="3910"/>
      <c r="EM20" s="3910"/>
      <c r="EN20" s="3910"/>
      <c r="EO20" s="3910"/>
      <c r="EP20" s="3910"/>
      <c r="EQ20" s="3910"/>
      <c r="ER20" s="3910"/>
      <c r="ES20" s="3910"/>
      <c r="ET20" s="3910"/>
      <c r="EU20" s="3910"/>
      <c r="EV20" s="3910"/>
      <c r="EW20" s="3910"/>
      <c r="EX20" s="3910"/>
      <c r="EY20" s="3910"/>
      <c r="EZ20" s="3910"/>
      <c r="FA20" s="3910"/>
      <c r="FB20" s="3910"/>
      <c r="FC20" s="3910"/>
      <c r="FD20" s="3910"/>
      <c r="FE20" s="3910"/>
      <c r="FF20" s="3910"/>
      <c r="FG20" s="3910"/>
      <c r="FH20" s="3910"/>
      <c r="FI20" s="3910"/>
      <c r="FJ20" s="3910"/>
      <c r="FK20" s="3910"/>
      <c r="FL20" s="3910"/>
      <c r="FM20" s="3910"/>
      <c r="FN20" s="3910"/>
      <c r="FO20" s="3910"/>
      <c r="FP20" s="3910"/>
      <c r="FQ20" s="3910"/>
      <c r="FR20" s="3910"/>
      <c r="FS20" s="3910"/>
      <c r="FT20" s="3910"/>
      <c r="FU20" s="3910"/>
      <c r="FV20" s="3910"/>
      <c r="FW20" s="3910"/>
      <c r="FX20" s="3910"/>
      <c r="FY20" s="3910"/>
      <c r="FZ20" s="3910"/>
      <c r="GA20" s="3910"/>
      <c r="GB20" s="3910"/>
      <c r="GC20" s="3910"/>
      <c r="GD20" s="3910"/>
      <c r="GE20" s="3910"/>
      <c r="GF20" s="3910"/>
      <c r="GG20" s="3910"/>
      <c r="GH20" s="3910"/>
      <c r="GI20" s="3910"/>
      <c r="GJ20" s="3910"/>
      <c r="GK20" s="3910"/>
      <c r="GL20" s="3910"/>
      <c r="GM20" s="3910"/>
      <c r="GN20" s="3910"/>
      <c r="GO20" s="3910"/>
      <c r="GP20" s="3910"/>
      <c r="GQ20" s="3910"/>
      <c r="GR20" s="3910"/>
      <c r="GS20" s="3910"/>
      <c r="GT20" s="3910"/>
      <c r="GU20" s="3910"/>
      <c r="GV20" s="3910"/>
      <c r="GW20" s="3910"/>
      <c r="GX20" s="3910"/>
      <c r="GY20" s="3910"/>
      <c r="GZ20" s="3910"/>
      <c r="HA20" s="3910"/>
      <c r="HB20" s="3910"/>
      <c r="HC20" s="3910"/>
      <c r="HD20" s="3910"/>
      <c r="HE20" s="3910"/>
      <c r="HF20" s="3910"/>
      <c r="HG20" s="3910"/>
      <c r="HH20" s="3910"/>
      <c r="HI20" s="3910"/>
      <c r="HJ20" s="3910"/>
      <c r="HK20" s="3910"/>
      <c r="HL20" s="3910"/>
      <c r="HM20" s="3910"/>
      <c r="HN20" s="3910"/>
      <c r="HO20" s="3910"/>
      <c r="HP20" s="3910"/>
      <c r="HQ20" s="3910"/>
      <c r="HR20" s="3910"/>
      <c r="HS20" s="3910"/>
      <c r="HT20" s="3910"/>
      <c r="HU20" s="3910"/>
      <c r="HV20" s="3910"/>
      <c r="HW20" s="3910"/>
      <c r="HX20" s="3910"/>
      <c r="HY20" s="3910"/>
      <c r="HZ20" s="3910"/>
      <c r="IA20" s="3910"/>
      <c r="IB20" s="3910"/>
      <c r="IC20" s="3910"/>
      <c r="ID20" s="3910"/>
      <c r="IE20" s="3910"/>
      <c r="IF20" s="3910"/>
      <c r="IG20" s="3910"/>
      <c r="IH20" s="3910"/>
      <c r="II20" s="3910"/>
      <c r="IJ20" s="3910"/>
      <c r="IK20" s="3910"/>
      <c r="IL20" s="3910"/>
      <c r="IM20" s="3910"/>
      <c r="IN20" s="3910"/>
      <c r="IO20" s="3910"/>
      <c r="IP20" s="3910"/>
      <c r="IQ20" s="3910"/>
      <c r="IR20" s="3910"/>
      <c r="IS20" s="3910"/>
      <c r="IT20" s="3910"/>
      <c r="IU20" s="3910"/>
      <c r="IV20" s="3910"/>
      <c r="IW20" s="3910"/>
      <c r="IX20" s="3910"/>
      <c r="IY20" s="3910"/>
      <c r="IZ20" s="3910"/>
      <c r="JA20" s="3910"/>
      <c r="JB20" s="3910"/>
      <c r="JC20" s="3910"/>
      <c r="JD20" s="3910"/>
      <c r="JE20" s="3910"/>
      <c r="JF20" s="3910"/>
      <c r="JG20" s="2088"/>
      <c r="JH20" s="1367"/>
      <c r="JI20" s="1565"/>
      <c r="JJ20" s="1566" t="s">
        <v>6108</v>
      </c>
      <c r="JK20" s="1835"/>
      <c r="JL20" s="1835"/>
    </row>
    <row ht="22.5" r="21" spans="1:272" x14ac:dyDescent="0.2">
      <c r="A21" s="1128">
        <v>20</v>
      </c>
      <c r="B21" s="1656" t="str">
        <f si="0" t="shared"/>
        <v/>
      </c>
      <c r="C21" s="1829" t="s">
        <v>3015</v>
      </c>
      <c r="D21" s="1392" t="s">
        <v>5204</v>
      </c>
      <c r="E21" s="1618"/>
      <c r="F21" s="1618"/>
      <c r="G21" s="1618"/>
      <c r="H21" s="1618"/>
      <c r="I21" s="1618"/>
      <c r="J21" s="1618"/>
      <c r="K21" s="1618"/>
      <c r="L21" s="1618"/>
      <c r="M21" s="1618"/>
      <c r="N21" s="1618"/>
      <c r="O21" s="1885"/>
      <c r="P21" s="1618"/>
      <c r="Q21" s="1618"/>
      <c r="R21" s="1618"/>
      <c r="S21" s="1618"/>
      <c r="T21" s="3904"/>
      <c r="U21" s="3904"/>
      <c r="V21" s="3904"/>
      <c r="W21" s="3904"/>
      <c r="X21" s="3904"/>
      <c r="Y21" s="3904"/>
      <c r="Z21" s="3904"/>
      <c r="AA21" s="3904"/>
      <c r="AB21" s="3904"/>
      <c r="AC21" s="3904"/>
      <c r="AD21" s="3904"/>
      <c r="AE21" s="3904"/>
      <c r="AF21" s="3904"/>
      <c r="AG21" s="3904"/>
      <c r="AH21" s="3904"/>
      <c r="AI21" s="3904"/>
      <c r="AJ21" s="3904"/>
      <c r="AK21" s="3904"/>
      <c r="AL21" s="3904"/>
      <c r="AM21" s="3904"/>
      <c r="AN21" s="3904"/>
      <c r="AO21" s="3904"/>
      <c r="AP21" s="3904"/>
      <c r="AQ21" s="3904"/>
      <c r="AR21" s="3904"/>
      <c r="AS21" s="3904"/>
      <c r="AT21" s="3904"/>
      <c r="AU21" s="3904"/>
      <c r="AV21" s="3904"/>
      <c r="AW21" s="3904"/>
      <c r="AX21" s="3904"/>
      <c r="AY21" s="3904"/>
      <c r="AZ21" s="3904"/>
      <c r="BA21" s="3904"/>
      <c r="BB21" s="3904"/>
      <c r="BC21" s="3904"/>
      <c r="BD21" s="3904"/>
      <c r="BE21" s="3904"/>
      <c r="BF21" s="3904"/>
      <c r="BG21" s="1618"/>
      <c r="BH21" s="3904"/>
      <c r="BI21" s="3904"/>
      <c r="BJ21" s="3904"/>
      <c r="BK21" s="3904"/>
      <c r="BL21" s="3904"/>
      <c r="BM21" s="3904"/>
      <c r="BN21" s="3904"/>
      <c r="BO21" s="3904"/>
      <c r="BP21" s="3904"/>
      <c r="BQ21" s="3904"/>
      <c r="BR21" s="3904"/>
      <c r="BS21" s="3904"/>
      <c r="BT21" s="3904"/>
      <c r="BU21" s="3904"/>
      <c r="BV21" s="3904"/>
      <c r="BW21" s="3904"/>
      <c r="BX21" s="3904"/>
      <c r="BY21" s="3904"/>
      <c r="BZ21" s="3904"/>
      <c r="CA21" s="3904"/>
      <c r="CB21" s="3904"/>
      <c r="CC21" s="3904"/>
      <c r="CD21" s="3904"/>
      <c r="CE21" s="3904"/>
      <c r="CF21" s="3904"/>
      <c r="CG21" s="3904"/>
      <c r="CH21" s="3904"/>
      <c r="CI21" s="3904"/>
      <c r="CJ21" s="3904"/>
      <c r="CK21" s="3904"/>
      <c r="CL21" s="3904"/>
      <c r="CM21" s="3904"/>
      <c r="CN21" s="3904"/>
      <c r="CO21" s="3904"/>
      <c r="CP21" s="3904"/>
      <c r="CQ21" s="3904"/>
      <c r="CR21" s="3904"/>
      <c r="CS21" s="3904"/>
      <c r="CT21" s="3904"/>
      <c r="CU21" s="3904"/>
      <c r="CV21" s="3904"/>
      <c r="CW21" s="3904"/>
      <c r="CX21" s="3904"/>
      <c r="CY21" s="3904"/>
      <c r="CZ21" s="3904"/>
      <c r="DA21" s="3904"/>
      <c r="DB21" s="3904"/>
      <c r="DC21" s="3904"/>
      <c r="DD21" s="3904"/>
      <c r="DE21" s="3904"/>
      <c r="DF21" s="3904"/>
      <c r="DG21" s="3904"/>
      <c r="DH21" s="3904"/>
      <c r="DI21" s="3904"/>
      <c r="DJ21" s="3904"/>
      <c r="DK21" s="3904"/>
      <c r="DL21" s="3904"/>
      <c r="DM21" s="3904"/>
      <c r="DN21" s="3904"/>
      <c r="DO21" s="3904"/>
      <c r="DP21" s="3904"/>
      <c r="DQ21" s="3904"/>
      <c r="DR21" s="3904"/>
      <c r="DS21" s="3904"/>
      <c r="DT21" s="3904"/>
      <c r="DU21" s="3904"/>
      <c r="DV21" s="3904"/>
      <c r="DW21" s="3904"/>
      <c r="DX21" s="3904"/>
      <c r="DY21" s="3904"/>
      <c r="DZ21" s="3904"/>
      <c r="EA21" s="3904"/>
      <c r="EB21" s="3904"/>
      <c r="EC21" s="3904"/>
      <c r="ED21" s="3904"/>
      <c r="EE21" s="3904"/>
      <c r="EF21" s="3904"/>
      <c r="EG21" s="3904"/>
      <c r="EH21" s="3904"/>
      <c r="EI21" s="3904"/>
      <c r="EJ21" s="3904"/>
      <c r="EK21" s="3904"/>
      <c r="EL21" s="3904"/>
      <c r="EM21" s="3904"/>
      <c r="EN21" s="3904"/>
      <c r="EO21" s="3904"/>
      <c r="EP21" s="3904"/>
      <c r="EQ21" s="3904"/>
      <c r="ER21" s="3904"/>
      <c r="ES21" s="3904"/>
      <c r="ET21" s="3904"/>
      <c r="EU21" s="3904"/>
      <c r="EV21" s="3904"/>
      <c r="EW21" s="3904"/>
      <c r="EX21" s="3904"/>
      <c r="EY21" s="3904"/>
      <c r="EZ21" s="3904"/>
      <c r="FA21" s="3904"/>
      <c r="FB21" s="3904"/>
      <c r="FC21" s="3904"/>
      <c r="FD21" s="3904"/>
      <c r="FE21" s="3904"/>
      <c r="FF21" s="3904"/>
      <c r="FG21" s="3904"/>
      <c r="FH21" s="3904"/>
      <c r="FI21" s="3904"/>
      <c r="FJ21" s="3904"/>
      <c r="FK21" s="3904"/>
      <c r="FL21" s="3904"/>
      <c r="FM21" s="3904"/>
      <c r="FN21" s="3904"/>
      <c r="FO21" s="3904"/>
      <c r="FP21" s="3904"/>
      <c r="FQ21" s="3904"/>
      <c r="FR21" s="3904"/>
      <c r="FS21" s="3904"/>
      <c r="FT21" s="3904"/>
      <c r="FU21" s="3904"/>
      <c r="FV21" s="3904"/>
      <c r="FW21" s="3904"/>
      <c r="FX21" s="3904"/>
      <c r="FY21" s="3904"/>
      <c r="FZ21" s="3904"/>
      <c r="GA21" s="3904"/>
      <c r="GB21" s="3904"/>
      <c r="GC21" s="3904"/>
      <c r="GD21" s="3904"/>
      <c r="GE21" s="3904"/>
      <c r="GF21" s="3904"/>
      <c r="GG21" s="3904"/>
      <c r="GH21" s="3904"/>
      <c r="GI21" s="3904"/>
      <c r="GJ21" s="3904"/>
      <c r="GK21" s="3904"/>
      <c r="GL21" s="3904"/>
      <c r="GM21" s="3904"/>
      <c r="GN21" s="3904"/>
      <c r="GO21" s="3904"/>
      <c r="GP21" s="3904"/>
      <c r="GQ21" s="3904"/>
      <c r="GR21" s="3904"/>
      <c r="GS21" s="3904"/>
      <c r="GT21" s="3904"/>
      <c r="GU21" s="3904"/>
      <c r="GV21" s="3904"/>
      <c r="GW21" s="3904"/>
      <c r="GX21" s="3904"/>
      <c r="GY21" s="3904"/>
      <c r="GZ21" s="3904"/>
      <c r="HA21" s="3904"/>
      <c r="HB21" s="3904"/>
      <c r="HC21" s="3904"/>
      <c r="HD21" s="3904"/>
      <c r="HE21" s="3904"/>
      <c r="HF21" s="3904"/>
      <c r="HG21" s="3904"/>
      <c r="HH21" s="3904"/>
      <c r="HI21" s="3904"/>
      <c r="HJ21" s="3904"/>
      <c r="HK21" s="3904"/>
      <c r="HL21" s="3904"/>
      <c r="HM21" s="3904"/>
      <c r="HN21" s="3904"/>
      <c r="HO21" s="3904"/>
      <c r="HP21" s="3904"/>
      <c r="HQ21" s="3904"/>
      <c r="HR21" s="3904"/>
      <c r="HS21" s="3904"/>
      <c r="HT21" s="3904"/>
      <c r="HU21" s="3904"/>
      <c r="HV21" s="3904"/>
      <c r="HW21" s="3904"/>
      <c r="HX21" s="3904"/>
      <c r="HY21" s="3904"/>
      <c r="HZ21" s="3904"/>
      <c r="IA21" s="3904"/>
      <c r="IB21" s="3904"/>
      <c r="IC21" s="3904"/>
      <c r="ID21" s="3904"/>
      <c r="IE21" s="3904"/>
      <c r="IF21" s="3904"/>
      <c r="IG21" s="3904"/>
      <c r="IH21" s="3904"/>
      <c r="II21" s="3904"/>
      <c r="IJ21" s="3904"/>
      <c r="IK21" s="3904"/>
      <c r="IL21" s="3904"/>
      <c r="IM21" s="3904"/>
      <c r="IN21" s="3904"/>
      <c r="IO21" s="3904"/>
      <c r="IP21" s="3904"/>
      <c r="IQ21" s="3904"/>
      <c r="IR21" s="3904"/>
      <c r="IS21" s="3904"/>
      <c r="IT21" s="3904"/>
      <c r="IU21" s="3904"/>
      <c r="IV21" s="3904"/>
      <c r="IW21" s="3904"/>
      <c r="IX21" s="3904"/>
      <c r="IY21" s="3904"/>
      <c r="IZ21" s="3904"/>
      <c r="JA21" s="3904"/>
      <c r="JB21" s="3904"/>
      <c r="JC21" s="3904"/>
      <c r="JD21" s="3904"/>
      <c r="JE21" s="3904"/>
      <c r="JF21" s="3904"/>
      <c r="JG21" s="2088"/>
      <c r="JH21" s="1367"/>
      <c r="JI21" s="1566" t="s">
        <v>6092</v>
      </c>
      <c r="JJ21" s="1566" t="s">
        <v>6108</v>
      </c>
      <c r="JK21" s="1566" t="s">
        <v>3857</v>
      </c>
      <c r="JL21" s="1835"/>
    </row>
    <row ht="22.5" r="22" spans="1:272" x14ac:dyDescent="0.2">
      <c r="A22" s="1128">
        <v>21</v>
      </c>
      <c r="B22" s="1658" t="str">
        <f si="0" t="shared"/>
        <v/>
      </c>
      <c r="C22" s="1579" t="s">
        <v>3016</v>
      </c>
      <c r="D22" s="1392" t="s">
        <v>4915</v>
      </c>
      <c r="E22" s="1670" t="s">
        <v>4945</v>
      </c>
      <c r="F22" s="1670" t="s">
        <v>6439</v>
      </c>
      <c r="G22" s="1670" t="s">
        <v>6439</v>
      </c>
      <c r="H22" s="1670"/>
      <c r="I22" s="1671"/>
      <c r="J22" s="1671"/>
      <c r="K22" s="1671" t="s">
        <v>6439</v>
      </c>
      <c r="L22" s="1672"/>
      <c r="M22" s="1672"/>
      <c r="N22" s="1834"/>
      <c r="O22" s="1890"/>
      <c r="P22" s="1671" t="s">
        <v>6439</v>
      </c>
      <c r="Q22" s="1671" t="s">
        <v>6439</v>
      </c>
      <c r="R22" s="1671"/>
      <c r="S22" s="1671"/>
      <c r="T22" s="3911"/>
      <c r="U22" s="3911"/>
      <c r="V22" s="3911"/>
      <c r="W22" s="3911"/>
      <c r="X22" s="3911"/>
      <c r="Y22" s="3911"/>
      <c r="Z22" s="3911"/>
      <c r="AA22" s="3911"/>
      <c r="AB22" s="3911"/>
      <c r="AC22" s="3911"/>
      <c r="AD22" s="3911"/>
      <c r="AE22" s="3911"/>
      <c r="AF22" s="3911"/>
      <c r="AG22" s="3911"/>
      <c r="AH22" s="3911"/>
      <c r="AI22" s="3911"/>
      <c r="AJ22" s="3911"/>
      <c r="AK22" s="3911"/>
      <c r="AL22" s="3911"/>
      <c r="AM22" s="3911"/>
      <c r="AN22" s="3911"/>
      <c r="AO22" s="3911"/>
      <c r="AP22" s="3911"/>
      <c r="AQ22" s="3911"/>
      <c r="AR22" s="3911"/>
      <c r="AS22" s="3911"/>
      <c r="AT22" s="3911"/>
      <c r="AU22" s="3911"/>
      <c r="AV22" s="3911"/>
      <c r="AW22" s="3911"/>
      <c r="AX22" s="3911"/>
      <c r="AY22" s="3911"/>
      <c r="AZ22" s="3911"/>
      <c r="BA22" s="3911"/>
      <c r="BB22" s="3911"/>
      <c r="BC22" s="3911"/>
      <c r="BD22" s="3911"/>
      <c r="BE22" s="3911"/>
      <c r="BF22" s="3911"/>
      <c r="BG22" s="4386" t="s">
        <v>8983</v>
      </c>
      <c r="BH22" s="3911"/>
      <c r="BI22" s="3911"/>
      <c r="BJ22" s="3911"/>
      <c r="BK22" s="3911"/>
      <c r="BL22" s="3911"/>
      <c r="BM22" s="3911"/>
      <c r="BN22" s="3911"/>
      <c r="BO22" s="3911"/>
      <c r="BP22" s="3911"/>
      <c r="BQ22" s="3911"/>
      <c r="BR22" s="3911"/>
      <c r="BS22" s="3911"/>
      <c r="BT22" s="3911"/>
      <c r="BU22" s="3911"/>
      <c r="BV22" s="3911"/>
      <c r="BW22" s="3911"/>
      <c r="BX22" s="3911"/>
      <c r="BY22" s="3911"/>
      <c r="BZ22" s="3911"/>
      <c r="CA22" s="3911"/>
      <c r="CB22" s="3911"/>
      <c r="CC22" s="3911"/>
      <c r="CD22" s="3911"/>
      <c r="CE22" s="3911"/>
      <c r="CF22" s="3911"/>
      <c r="CG22" s="3911"/>
      <c r="CH22" s="3911"/>
      <c r="CI22" s="3911"/>
      <c r="CJ22" s="3911"/>
      <c r="CK22" s="3911"/>
      <c r="CL22" s="3911"/>
      <c r="CM22" s="3911"/>
      <c r="CN22" s="3911"/>
      <c r="CO22" s="3911"/>
      <c r="CP22" s="3911"/>
      <c r="CQ22" s="3911"/>
      <c r="CR22" s="3911"/>
      <c r="CS22" s="3911"/>
      <c r="CT22" s="3911"/>
      <c r="CU22" s="3911"/>
      <c r="CV22" s="3911"/>
      <c r="CW22" s="3911"/>
      <c r="CX22" s="3911"/>
      <c r="CY22" s="3911"/>
      <c r="CZ22" s="3911"/>
      <c r="DA22" s="3911"/>
      <c r="DB22" s="3911"/>
      <c r="DC22" s="3911"/>
      <c r="DD22" s="3911"/>
      <c r="DE22" s="3911"/>
      <c r="DF22" s="3911"/>
      <c r="DG22" s="3911"/>
      <c r="DH22" s="3911"/>
      <c r="DI22" s="3911"/>
      <c r="DJ22" s="3911"/>
      <c r="DK22" s="3911"/>
      <c r="DL22" s="3911"/>
      <c r="DM22" s="3911"/>
      <c r="DN22" s="3911"/>
      <c r="DO22" s="3911"/>
      <c r="DP22" s="3911"/>
      <c r="DQ22" s="3911"/>
      <c r="DR22" s="3911"/>
      <c r="DS22" s="3911"/>
      <c r="DT22" s="3911"/>
      <c r="DU22" s="3911"/>
      <c r="DV22" s="3911"/>
      <c r="DW22" s="3911"/>
      <c r="DX22" s="3911"/>
      <c r="DY22" s="3911"/>
      <c r="DZ22" s="3911"/>
      <c r="EA22" s="3911"/>
      <c r="EB22" s="3911"/>
      <c r="EC22" s="3911"/>
      <c r="ED22" s="3911"/>
      <c r="EE22" s="3911"/>
      <c r="EF22" s="3911"/>
      <c r="EG22" s="3911"/>
      <c r="EH22" s="3911"/>
      <c r="EI22" s="3911"/>
      <c r="EJ22" s="3911"/>
      <c r="EK22" s="3911"/>
      <c r="EL22" s="3911"/>
      <c r="EM22" s="3911"/>
      <c r="EN22" s="3911"/>
      <c r="EO22" s="3911"/>
      <c r="EP22" s="3911"/>
      <c r="EQ22" s="3911"/>
      <c r="ER22" s="3911"/>
      <c r="ES22" s="3911"/>
      <c r="ET22" s="3911"/>
      <c r="EU22" s="3911"/>
      <c r="EV22" s="3911"/>
      <c r="EW22" s="3911"/>
      <c r="EX22" s="3911"/>
      <c r="EY22" s="3911"/>
      <c r="EZ22" s="3911"/>
      <c r="FA22" s="3911"/>
      <c r="FB22" s="3911"/>
      <c r="FC22" s="3911"/>
      <c r="FD22" s="3911"/>
      <c r="FE22" s="3911"/>
      <c r="FF22" s="3911"/>
      <c r="FG22" s="3911"/>
      <c r="FH22" s="3911"/>
      <c r="FI22" s="3911"/>
      <c r="FJ22" s="3911"/>
      <c r="FK22" s="3911"/>
      <c r="FL22" s="3911"/>
      <c r="FM22" s="3911"/>
      <c r="FN22" s="3911"/>
      <c r="FO22" s="3911"/>
      <c r="FP22" s="3911"/>
      <c r="FQ22" s="3911"/>
      <c r="FR22" s="3911"/>
      <c r="FS22" s="3911"/>
      <c r="FT22" s="3911"/>
      <c r="FU22" s="3911"/>
      <c r="FV22" s="3911"/>
      <c r="FW22" s="3911"/>
      <c r="FX22" s="3911"/>
      <c r="FY22" s="3911"/>
      <c r="FZ22" s="3911"/>
      <c r="GA22" s="3911"/>
      <c r="GB22" s="3911"/>
      <c r="GC22" s="3911"/>
      <c r="GD22" s="3911"/>
      <c r="GE22" s="3911"/>
      <c r="GF22" s="3911"/>
      <c r="GG22" s="3911"/>
      <c r="GH22" s="3911"/>
      <c r="GI22" s="3911"/>
      <c r="GJ22" s="3911"/>
      <c r="GK22" s="3911"/>
      <c r="GL22" s="3911"/>
      <c r="GM22" s="3911"/>
      <c r="GN22" s="3911"/>
      <c r="GO22" s="3911"/>
      <c r="GP22" s="3911"/>
      <c r="GQ22" s="3911"/>
      <c r="GR22" s="3911"/>
      <c r="GS22" s="3911"/>
      <c r="GT22" s="3911"/>
      <c r="GU22" s="4385" t="s">
        <v>8983</v>
      </c>
      <c r="GV22" s="3911"/>
      <c r="GW22" s="3911"/>
      <c r="GX22" s="3911"/>
      <c r="GY22" s="3911"/>
      <c r="GZ22" s="3911"/>
      <c r="HA22" s="3911"/>
      <c r="HB22" s="3911"/>
      <c r="HC22" s="3911"/>
      <c r="HD22" s="3911"/>
      <c r="HE22" s="3911"/>
      <c r="HF22" s="3911"/>
      <c r="HG22" s="3911"/>
      <c r="HH22" s="3911"/>
      <c r="HI22" s="3911"/>
      <c r="HJ22" s="3911"/>
      <c r="HK22" s="3911"/>
      <c r="HL22" s="3911"/>
      <c r="HM22" s="3911"/>
      <c r="HN22" s="3911"/>
      <c r="HO22" s="3911"/>
      <c r="HP22" s="3911"/>
      <c r="HQ22" s="3911"/>
      <c r="HR22" s="3911"/>
      <c r="HS22" s="3911"/>
      <c r="HT22" s="3911"/>
      <c r="HU22" s="3911"/>
      <c r="HV22" s="3911"/>
      <c r="HW22" s="3911"/>
      <c r="HX22" s="3911"/>
      <c r="HY22" s="3911"/>
      <c r="HZ22" s="3911"/>
      <c r="IA22" s="3911"/>
      <c r="IB22" s="3911"/>
      <c r="IC22" s="3911"/>
      <c r="ID22" s="3911"/>
      <c r="IE22" s="3911"/>
      <c r="IF22" s="3911"/>
      <c r="IG22" s="3911"/>
      <c r="IH22" s="3911"/>
      <c r="II22" s="3911"/>
      <c r="IJ22" s="3911"/>
      <c r="IK22" s="3911"/>
      <c r="IL22" s="3911"/>
      <c r="IM22" s="3911"/>
      <c r="IN22" s="3911"/>
      <c r="IO22" s="3911"/>
      <c r="IP22" s="3911"/>
      <c r="IQ22" s="3911"/>
      <c r="IR22" s="3911"/>
      <c r="IS22" s="3911"/>
      <c r="IT22" s="3911"/>
      <c r="IU22" s="3911"/>
      <c r="IV22" s="3911"/>
      <c r="IW22" s="3911"/>
      <c r="IX22" s="3911"/>
      <c r="IY22" s="4023" t="s">
        <v>6439</v>
      </c>
      <c r="IZ22" s="3911"/>
      <c r="JA22" s="3911"/>
      <c r="JB22" s="3911"/>
      <c r="JC22" s="3911"/>
      <c r="JD22" s="3911"/>
      <c r="JE22" s="3911"/>
      <c r="JF22" s="3911"/>
      <c r="JG22" s="2088"/>
      <c r="JH22" s="1367"/>
      <c r="JI22" s="1565" t="s">
        <v>5039</v>
      </c>
      <c r="JJ22" s="1566" t="s">
        <v>6109</v>
      </c>
      <c r="JK22" s="1835"/>
      <c r="JL22" s="1835"/>
    </row>
    <row ht="45" r="23" spans="1:272" x14ac:dyDescent="0.2">
      <c r="A23" s="1128">
        <v>22</v>
      </c>
      <c r="B23" s="1656" t="str">
        <f si="0" t="shared"/>
        <v/>
      </c>
      <c r="C23" s="1579" t="s">
        <v>3948</v>
      </c>
      <c r="D23" s="1392" t="str">
        <f>"If, during "&amp;tax_year&amp;",  you  submitted a Real Time Transaction Tax return for the disposal of an asset of this type, put the overall gain or loss  in the box -  include the  individual amounts of gains or losses in the box 17 total for gains and box 19 total for losses"</f>
        <v>If, during 2019-20,  you  submitted a Real Time Transaction Tax return for the disposal of an asset of this type, put the overall gain or loss  in the box -  include the  individual amounts of gains or losses in the box 17 total for gains and box 19 total for losses</v>
      </c>
      <c r="E23" s="1346"/>
      <c r="F23" s="1346"/>
      <c r="G23" s="1346"/>
      <c r="H23" s="1346"/>
      <c r="I23" s="1624"/>
      <c r="J23" s="1624"/>
      <c r="K23" s="1624"/>
      <c r="L23" s="1624"/>
      <c r="M23" s="1624"/>
      <c r="N23" s="1624"/>
      <c r="O23" s="1891"/>
      <c r="P23" s="1624"/>
      <c r="Q23" s="1624">
        <v>13000</v>
      </c>
      <c r="R23" s="1624"/>
      <c r="S23" s="1624"/>
      <c r="T23" s="3912"/>
      <c r="U23" s="3912"/>
      <c r="V23" s="3912"/>
      <c r="W23" s="3912"/>
      <c r="X23" s="3912"/>
      <c r="Y23" s="3912"/>
      <c r="Z23" s="3912"/>
      <c r="AA23" s="3912"/>
      <c r="AB23" s="3912"/>
      <c r="AC23" s="3912"/>
      <c r="AD23" s="3912"/>
      <c r="AE23" s="3912"/>
      <c r="AF23" s="3912"/>
      <c r="AG23" s="3912"/>
      <c r="AH23" s="3912"/>
      <c r="AI23" s="3912"/>
      <c r="AJ23" s="3912"/>
      <c r="AK23" s="3912"/>
      <c r="AL23" s="3912"/>
      <c r="AM23" s="3912"/>
      <c r="AN23" s="3912"/>
      <c r="AO23" s="3912"/>
      <c r="AP23" s="3912"/>
      <c r="AQ23" s="3912"/>
      <c r="AR23" s="3912"/>
      <c r="AS23" s="3912"/>
      <c r="AT23" s="3912"/>
      <c r="AU23" s="3912"/>
      <c r="AV23" s="3912"/>
      <c r="AW23" s="3912"/>
      <c r="AX23" s="3912"/>
      <c r="AY23" s="3912"/>
      <c r="AZ23" s="3912"/>
      <c r="BA23" s="3912"/>
      <c r="BB23" s="3912"/>
      <c r="BC23" s="3912"/>
      <c r="BD23" s="3912"/>
      <c r="BE23" s="3912"/>
      <c r="BF23" s="3912"/>
      <c r="BG23" s="1624"/>
      <c r="BH23" s="3912"/>
      <c r="BI23" s="3912"/>
      <c r="BJ23" s="3912"/>
      <c r="BK23" s="3912"/>
      <c r="BL23" s="3912"/>
      <c r="BM23" s="3912"/>
      <c r="BN23" s="3912"/>
      <c r="BO23" s="3912"/>
      <c r="BP23" s="3912"/>
      <c r="BQ23" s="3912"/>
      <c r="BR23" s="3912"/>
      <c r="BS23" s="3912"/>
      <c r="BT23" s="3912"/>
      <c r="BU23" s="3912"/>
      <c r="BV23" s="3912"/>
      <c r="BW23" s="3912"/>
      <c r="BX23" s="3912"/>
      <c r="BY23" s="3912"/>
      <c r="BZ23" s="3912"/>
      <c r="CA23" s="3912"/>
      <c r="CB23" s="3912"/>
      <c r="CC23" s="3912"/>
      <c r="CD23" s="3912"/>
      <c r="CE23" s="3912"/>
      <c r="CF23" s="3912"/>
      <c r="CG23" s="3912"/>
      <c r="CH23" s="3912"/>
      <c r="CI23" s="3912"/>
      <c r="CJ23" s="3912"/>
      <c r="CK23" s="3912"/>
      <c r="CL23" s="3912"/>
      <c r="CM23" s="3912"/>
      <c r="CN23" s="3912"/>
      <c r="CO23" s="3912"/>
      <c r="CP23" s="3912"/>
      <c r="CQ23" s="3912"/>
      <c r="CR23" s="3912"/>
      <c r="CS23" s="3912"/>
      <c r="CT23" s="3912"/>
      <c r="CU23" s="3912"/>
      <c r="CV23" s="3912"/>
      <c r="CW23" s="3912"/>
      <c r="CX23" s="3912"/>
      <c r="CY23" s="3912"/>
      <c r="CZ23" s="3912"/>
      <c r="DA23" s="3912"/>
      <c r="DB23" s="3912"/>
      <c r="DC23" s="3912"/>
      <c r="DD23" s="3912"/>
      <c r="DE23" s="3912"/>
      <c r="DF23" s="3912"/>
      <c r="DG23" s="3912"/>
      <c r="DH23" s="3912"/>
      <c r="DI23" s="3912"/>
      <c r="DJ23" s="3912"/>
      <c r="DK23" s="3912"/>
      <c r="DL23" s="3912"/>
      <c r="DM23" s="3912"/>
      <c r="DN23" s="3912"/>
      <c r="DO23" s="3912"/>
      <c r="DP23" s="3912"/>
      <c r="DQ23" s="3912"/>
      <c r="DR23" s="3912"/>
      <c r="DS23" s="3912"/>
      <c r="DT23" s="3912"/>
      <c r="DU23" s="3912"/>
      <c r="DV23" s="3912"/>
      <c r="DW23" s="3912"/>
      <c r="DX23" s="3912"/>
      <c r="DY23" s="3912"/>
      <c r="DZ23" s="3912"/>
      <c r="EA23" s="3912"/>
      <c r="EB23" s="3912"/>
      <c r="EC23" s="3912"/>
      <c r="ED23" s="3912"/>
      <c r="EE23" s="3912"/>
      <c r="EF23" s="3912"/>
      <c r="EG23" s="3912"/>
      <c r="EH23" s="3912"/>
      <c r="EI23" s="3912"/>
      <c r="EJ23" s="3912"/>
      <c r="EK23" s="3912"/>
      <c r="EL23" s="3912"/>
      <c r="EM23" s="3912"/>
      <c r="EN23" s="3912"/>
      <c r="EO23" s="3912"/>
      <c r="EP23" s="3912"/>
      <c r="EQ23" s="3912"/>
      <c r="ER23" s="3912"/>
      <c r="ES23" s="3912"/>
      <c r="ET23" s="3912"/>
      <c r="EU23" s="3912"/>
      <c r="EV23" s="3912"/>
      <c r="EW23" s="3912"/>
      <c r="EX23" s="3912"/>
      <c r="EY23" s="3912"/>
      <c r="EZ23" s="3912"/>
      <c r="FA23" s="3912"/>
      <c r="FB23" s="3912"/>
      <c r="FC23" s="3912"/>
      <c r="FD23" s="3912"/>
      <c r="FE23" s="3912"/>
      <c r="FF23" s="3912"/>
      <c r="FG23" s="3912"/>
      <c r="FH23" s="3912"/>
      <c r="FI23" s="3912"/>
      <c r="FJ23" s="3912"/>
      <c r="FK23" s="3912"/>
      <c r="FL23" s="3912"/>
      <c r="FM23" s="3912"/>
      <c r="FN23" s="3912"/>
      <c r="FO23" s="3912"/>
      <c r="FP23" s="3912"/>
      <c r="FQ23" s="3912"/>
      <c r="FR23" s="3912"/>
      <c r="FS23" s="3912"/>
      <c r="FT23" s="3912"/>
      <c r="FU23" s="3912"/>
      <c r="FV23" s="3912"/>
      <c r="FW23" s="3912"/>
      <c r="FX23" s="3912"/>
      <c r="FY23" s="3912"/>
      <c r="FZ23" s="3912"/>
      <c r="GA23" s="3912"/>
      <c r="GB23" s="3912"/>
      <c r="GC23" s="3912"/>
      <c r="GD23" s="3912"/>
      <c r="GE23" s="3912"/>
      <c r="GF23" s="3912"/>
      <c r="GG23" s="3912"/>
      <c r="GH23" s="3912"/>
      <c r="GI23" s="3912"/>
      <c r="GJ23" s="3912"/>
      <c r="GK23" s="3912"/>
      <c r="GL23" s="3912"/>
      <c r="GM23" s="3912"/>
      <c r="GN23" s="3912"/>
      <c r="GO23" s="3912"/>
      <c r="GP23" s="3912"/>
      <c r="GQ23" s="3912"/>
      <c r="GR23" s="3912"/>
      <c r="GS23" s="3912"/>
      <c r="GT23" s="3912"/>
      <c r="GU23" s="3912"/>
      <c r="GV23" s="3912"/>
      <c r="GW23" s="3912"/>
      <c r="GX23" s="3912"/>
      <c r="GY23" s="3912"/>
      <c r="GZ23" s="3912"/>
      <c r="HA23" s="3912"/>
      <c r="HB23" s="3912"/>
      <c r="HC23" s="3912"/>
      <c r="HD23" s="3912"/>
      <c r="HE23" s="3912"/>
      <c r="HF23" s="3912"/>
      <c r="HG23" s="3912"/>
      <c r="HH23" s="3912"/>
      <c r="HI23" s="3912"/>
      <c r="HJ23" s="3912"/>
      <c r="HK23" s="3912"/>
      <c r="HL23" s="3912"/>
      <c r="HM23" s="3912"/>
      <c r="HN23" s="3912"/>
      <c r="HO23" s="3912"/>
      <c r="HP23" s="3912"/>
      <c r="HQ23" s="3912"/>
      <c r="HR23" s="3912"/>
      <c r="HS23" s="3912"/>
      <c r="HT23" s="3912"/>
      <c r="HU23" s="3912"/>
      <c r="HV23" s="3912"/>
      <c r="HW23" s="3912"/>
      <c r="HX23" s="3912"/>
      <c r="HY23" s="3912"/>
      <c r="HZ23" s="3912"/>
      <c r="IA23" s="3912"/>
      <c r="IB23" s="3912"/>
      <c r="IC23" s="3912"/>
      <c r="ID23" s="3912"/>
      <c r="IE23" s="3912"/>
      <c r="IF23" s="3912"/>
      <c r="IG23" s="3912"/>
      <c r="IH23" s="3912"/>
      <c r="II23" s="3912"/>
      <c r="IJ23" s="3912"/>
      <c r="IK23" s="3912"/>
      <c r="IL23" s="3912"/>
      <c r="IM23" s="3912"/>
      <c r="IN23" s="3912"/>
      <c r="IO23" s="3912"/>
      <c r="IP23" s="3912"/>
      <c r="IQ23" s="3912"/>
      <c r="IR23" s="3912"/>
      <c r="IS23" s="3912"/>
      <c r="IT23" s="3912"/>
      <c r="IU23" s="4323"/>
      <c r="IV23" s="3912"/>
      <c r="IW23" s="3912"/>
      <c r="IX23" s="3912"/>
      <c r="IY23" s="3912"/>
      <c r="IZ23" s="3912"/>
      <c r="JA23" s="4323"/>
      <c r="JB23" s="4323"/>
      <c r="JC23" s="3912"/>
      <c r="JD23" s="3912"/>
      <c r="JE23" s="3912"/>
      <c r="JF23" s="3912"/>
      <c r="JG23" s="2088"/>
      <c r="JH23" s="1367"/>
      <c r="JI23" s="1566" t="s">
        <v>6093</v>
      </c>
      <c r="JJ23" s="1566" t="s">
        <v>6110</v>
      </c>
      <c r="JK23" s="1835"/>
      <c r="JL23" s="1835"/>
    </row>
    <row ht="22.5" r="24" spans="1:272" x14ac:dyDescent="0.2">
      <c r="A24" s="1128">
        <v>23</v>
      </c>
      <c r="B24" s="1656" t="str">
        <f si="0" t="shared"/>
        <v/>
      </c>
      <c r="C24" s="1828" t="s">
        <v>3949</v>
      </c>
      <c r="D24" s="1392" t="s">
        <v>5305</v>
      </c>
      <c r="E24" s="1529"/>
      <c r="F24" s="1529"/>
      <c r="G24" s="1529"/>
      <c r="H24" s="1529"/>
      <c r="I24" s="1529"/>
      <c r="J24" s="1529"/>
      <c r="K24" s="1529"/>
      <c r="L24" s="1529"/>
      <c r="M24" s="1529"/>
      <c r="N24" s="1529"/>
      <c r="O24" s="1886"/>
      <c r="P24" s="1529"/>
      <c r="Q24" s="1529">
        <v>170</v>
      </c>
      <c r="R24" s="1529"/>
      <c r="S24" s="1529"/>
      <c r="T24" s="3905"/>
      <c r="U24" s="3905"/>
      <c r="V24" s="3905"/>
      <c r="W24" s="3905"/>
      <c r="X24" s="3905"/>
      <c r="Y24" s="3905"/>
      <c r="Z24" s="3905"/>
      <c r="AA24" s="3905"/>
      <c r="AB24" s="3905"/>
      <c r="AC24" s="3905"/>
      <c r="AD24" s="3905"/>
      <c r="AE24" s="3905"/>
      <c r="AF24" s="3905"/>
      <c r="AG24" s="3905"/>
      <c r="AH24" s="3905"/>
      <c r="AI24" s="3905"/>
      <c r="AJ24" s="3905"/>
      <c r="AK24" s="3905"/>
      <c r="AL24" s="3905"/>
      <c r="AM24" s="3905"/>
      <c r="AN24" s="3905"/>
      <c r="AO24" s="3905"/>
      <c r="AP24" s="3905"/>
      <c r="AQ24" s="3905"/>
      <c r="AR24" s="3905"/>
      <c r="AS24" s="3905"/>
      <c r="AT24" s="3905"/>
      <c r="AU24" s="3905"/>
      <c r="AV24" s="3905"/>
      <c r="AW24" s="3905"/>
      <c r="AX24" s="3905"/>
      <c r="AY24" s="3905"/>
      <c r="AZ24" s="3905"/>
      <c r="BA24" s="3905"/>
      <c r="BB24" s="3905"/>
      <c r="BC24" s="3905"/>
      <c r="BD24" s="3905"/>
      <c r="BE24" s="3905"/>
      <c r="BF24" s="3905"/>
      <c r="BG24" s="1529"/>
      <c r="BH24" s="3905"/>
      <c r="BI24" s="3905"/>
      <c r="BJ24" s="3905"/>
      <c r="BK24" s="3905"/>
      <c r="BL24" s="3905"/>
      <c r="BM24" s="3905"/>
      <c r="BN24" s="3905"/>
      <c r="BO24" s="3905"/>
      <c r="BP24" s="3905"/>
      <c r="BQ24" s="3905"/>
      <c r="BR24" s="3905"/>
      <c r="BS24" s="3905"/>
      <c r="BT24" s="3905"/>
      <c r="BU24" s="3905"/>
      <c r="BV24" s="3905"/>
      <c r="BW24" s="3905"/>
      <c r="BX24" s="3905"/>
      <c r="BY24" s="3905"/>
      <c r="BZ24" s="3905"/>
      <c r="CA24" s="3905"/>
      <c r="CB24" s="3905"/>
      <c r="CC24" s="3905"/>
      <c r="CD24" s="3905"/>
      <c r="CE24" s="3905"/>
      <c r="CF24" s="3905"/>
      <c r="CG24" s="3905"/>
      <c r="CH24" s="3905"/>
      <c r="CI24" s="3905"/>
      <c r="CJ24" s="3905"/>
      <c r="CK24" s="3905"/>
      <c r="CL24" s="3905"/>
      <c r="CM24" s="3905"/>
      <c r="CN24" s="3905"/>
      <c r="CO24" s="3905"/>
      <c r="CP24" s="3905"/>
      <c r="CQ24" s="3905"/>
      <c r="CR24" s="3905"/>
      <c r="CS24" s="3905"/>
      <c r="CT24" s="3905"/>
      <c r="CU24" s="3905"/>
      <c r="CV24" s="3905"/>
      <c r="CW24" s="3905"/>
      <c r="CX24" s="3905"/>
      <c r="CY24" s="3905"/>
      <c r="CZ24" s="3905"/>
      <c r="DA24" s="3905"/>
      <c r="DB24" s="3905"/>
      <c r="DC24" s="3905"/>
      <c r="DD24" s="3905"/>
      <c r="DE24" s="3905"/>
      <c r="DF24" s="3905"/>
      <c r="DG24" s="3905"/>
      <c r="DH24" s="3905"/>
      <c r="DI24" s="3905"/>
      <c r="DJ24" s="3905"/>
      <c r="DK24" s="3905"/>
      <c r="DL24" s="3905"/>
      <c r="DM24" s="3905"/>
      <c r="DN24" s="3905"/>
      <c r="DO24" s="3905"/>
      <c r="DP24" s="3905"/>
      <c r="DQ24" s="3905"/>
      <c r="DR24" s="3905"/>
      <c r="DS24" s="3905"/>
      <c r="DT24" s="3905"/>
      <c r="DU24" s="3905"/>
      <c r="DV24" s="3905"/>
      <c r="DW24" s="3905"/>
      <c r="DX24" s="3905"/>
      <c r="DY24" s="3905"/>
      <c r="DZ24" s="3905"/>
      <c r="EA24" s="3905"/>
      <c r="EB24" s="3905"/>
      <c r="EC24" s="3905"/>
      <c r="ED24" s="3905"/>
      <c r="EE24" s="3905"/>
      <c r="EF24" s="3905"/>
      <c r="EG24" s="3905"/>
      <c r="EH24" s="3905"/>
      <c r="EI24" s="3905"/>
      <c r="EJ24" s="3905"/>
      <c r="EK24" s="3905"/>
      <c r="EL24" s="3905"/>
      <c r="EM24" s="3905"/>
      <c r="EN24" s="3905"/>
      <c r="EO24" s="3905"/>
      <c r="EP24" s="3905"/>
      <c r="EQ24" s="3905"/>
      <c r="ER24" s="3905"/>
      <c r="ES24" s="3905"/>
      <c r="ET24" s="3905"/>
      <c r="EU24" s="3905"/>
      <c r="EV24" s="3905"/>
      <c r="EW24" s="3905"/>
      <c r="EX24" s="3905"/>
      <c r="EY24" s="3905"/>
      <c r="EZ24" s="3905"/>
      <c r="FA24" s="3905"/>
      <c r="FB24" s="3905"/>
      <c r="FC24" s="3905"/>
      <c r="FD24" s="3905"/>
      <c r="FE24" s="3905"/>
      <c r="FF24" s="3905"/>
      <c r="FG24" s="3905"/>
      <c r="FH24" s="3905"/>
      <c r="FI24" s="3905"/>
      <c r="FJ24" s="3905"/>
      <c r="FK24" s="3905"/>
      <c r="FL24" s="3905"/>
      <c r="FM24" s="3905"/>
      <c r="FN24" s="3905"/>
      <c r="FO24" s="3905"/>
      <c r="FP24" s="3905"/>
      <c r="FQ24" s="3905"/>
      <c r="FR24" s="3905"/>
      <c r="FS24" s="3905"/>
      <c r="FT24" s="3905"/>
      <c r="FU24" s="3905"/>
      <c r="FV24" s="3905"/>
      <c r="FW24" s="3905"/>
      <c r="FX24" s="3905"/>
      <c r="FY24" s="3905"/>
      <c r="FZ24" s="3905"/>
      <c r="GA24" s="3905"/>
      <c r="GB24" s="3905"/>
      <c r="GC24" s="3905"/>
      <c r="GD24" s="3905"/>
      <c r="GE24" s="3905"/>
      <c r="GF24" s="3905"/>
      <c r="GG24" s="3905"/>
      <c r="GH24" s="3905"/>
      <c r="GI24" s="3905"/>
      <c r="GJ24" s="3905"/>
      <c r="GK24" s="3905"/>
      <c r="GL24" s="3905"/>
      <c r="GM24" s="3905"/>
      <c r="GN24" s="3905"/>
      <c r="GO24" s="3905"/>
      <c r="GP24" s="3905"/>
      <c r="GQ24" s="3905"/>
      <c r="GR24" s="3905"/>
      <c r="GS24" s="3905"/>
      <c r="GT24" s="3905"/>
      <c r="GU24" s="3905"/>
      <c r="GV24" s="3905"/>
      <c r="GW24" s="3905"/>
      <c r="GX24" s="3905"/>
      <c r="GY24" s="3905"/>
      <c r="GZ24" s="3905"/>
      <c r="HA24" s="3905"/>
      <c r="HB24" s="3905"/>
      <c r="HC24" s="3905"/>
      <c r="HD24" s="3905"/>
      <c r="HE24" s="3905"/>
      <c r="HF24" s="3905"/>
      <c r="HG24" s="3905"/>
      <c r="HH24" s="3905"/>
      <c r="HI24" s="3905"/>
      <c r="HJ24" s="3905"/>
      <c r="HK24" s="3905"/>
      <c r="HL24" s="3905"/>
      <c r="HM24" s="3905"/>
      <c r="HN24" s="3905"/>
      <c r="HO24" s="3905"/>
      <c r="HP24" s="3905"/>
      <c r="HQ24" s="3905"/>
      <c r="HR24" s="3905"/>
      <c r="HS24" s="3905"/>
      <c r="HT24" s="3905"/>
      <c r="HU24" s="3905"/>
      <c r="HV24" s="3905"/>
      <c r="HW24" s="3905"/>
      <c r="HX24" s="3905"/>
      <c r="HY24" s="3905"/>
      <c r="HZ24" s="3905"/>
      <c r="IA24" s="3905"/>
      <c r="IB24" s="3905"/>
      <c r="IC24" s="3905"/>
      <c r="ID24" s="3905"/>
      <c r="IE24" s="3905"/>
      <c r="IF24" s="3905"/>
      <c r="IG24" s="3905"/>
      <c r="IH24" s="3905"/>
      <c r="II24" s="3905"/>
      <c r="IJ24" s="3905"/>
      <c r="IK24" s="3905"/>
      <c r="IL24" s="3905"/>
      <c r="IM24" s="3905"/>
      <c r="IN24" s="3905"/>
      <c r="IO24" s="3905"/>
      <c r="IP24" s="3905"/>
      <c r="IQ24" s="3905"/>
      <c r="IR24" s="3905"/>
      <c r="IS24" s="3905"/>
      <c r="IT24" s="3905"/>
      <c r="IU24" s="3905"/>
      <c r="IV24" s="3905"/>
      <c r="IW24" s="3905"/>
      <c r="IX24" s="3905"/>
      <c r="IY24" s="3905"/>
      <c r="IZ24" s="3905"/>
      <c r="JA24" s="3905"/>
      <c r="JB24" s="3905"/>
      <c r="JC24" s="3905"/>
      <c r="JD24" s="3905"/>
      <c r="JE24" s="3905"/>
      <c r="JF24" s="3905"/>
      <c r="JG24" s="2088"/>
      <c r="JH24" s="1367"/>
      <c r="JI24" s="1565"/>
      <c r="JJ24" s="1566" t="s">
        <v>6108</v>
      </c>
      <c r="JK24" s="1566" t="s">
        <v>3948</v>
      </c>
      <c r="JL24" s="1835"/>
    </row>
    <row r="25" spans="1:272" x14ac:dyDescent="0.2">
      <c r="A25" s="1128">
        <v>24</v>
      </c>
      <c r="B25" s="1657" t="str">
        <f si="0" t="shared"/>
        <v/>
      </c>
      <c r="C25" s="1579" t="s">
        <v>3950</v>
      </c>
      <c r="D25" s="1392" t="s">
        <v>4911</v>
      </c>
      <c r="E25" s="1667">
        <v>2</v>
      </c>
      <c r="F25" s="1667"/>
      <c r="G25" s="1667"/>
      <c r="H25" s="1667"/>
      <c r="I25" s="1667">
        <v>3</v>
      </c>
      <c r="J25" s="1667">
        <v>18</v>
      </c>
      <c r="K25" s="1667"/>
      <c r="L25" s="1669"/>
      <c r="M25" s="1669"/>
      <c r="N25" s="1667">
        <v>1</v>
      </c>
      <c r="O25" s="1892"/>
      <c r="P25" s="1667"/>
      <c r="Q25" s="1667"/>
      <c r="R25" s="1667">
        <v>65</v>
      </c>
      <c r="S25" s="1667"/>
      <c r="T25" s="3907"/>
      <c r="U25" s="3907"/>
      <c r="V25" s="3907"/>
      <c r="W25" s="3907"/>
      <c r="X25" s="3907"/>
      <c r="Y25" s="3907"/>
      <c r="Z25" s="3907"/>
      <c r="AA25" s="3907"/>
      <c r="AB25" s="3907"/>
      <c r="AC25" s="3907"/>
      <c r="AD25" s="3907"/>
      <c r="AE25" s="3907"/>
      <c r="AF25" s="3907"/>
      <c r="AG25" s="3907"/>
      <c r="AH25" s="3907"/>
      <c r="AI25" s="3907"/>
      <c r="AJ25" s="3907"/>
      <c r="AK25" s="3907"/>
      <c r="AL25" s="3907"/>
      <c r="AM25" s="3907"/>
      <c r="AN25" s="3907"/>
      <c r="AO25" s="3907"/>
      <c r="AP25" s="3907"/>
      <c r="AQ25" s="3907"/>
      <c r="AR25" s="3907"/>
      <c r="AS25" s="3907"/>
      <c r="AT25" s="3907"/>
      <c r="AU25" s="3907"/>
      <c r="AV25" s="3907"/>
      <c r="AW25" s="3907"/>
      <c r="AX25" s="3907"/>
      <c r="AY25" s="3907"/>
      <c r="AZ25" s="3907"/>
      <c r="BA25" s="3907"/>
      <c r="BB25" s="3907"/>
      <c r="BC25" s="3907"/>
      <c r="BD25" s="3907"/>
      <c r="BE25" s="3907"/>
      <c r="BF25" s="3907"/>
      <c r="BG25" s="1669"/>
      <c r="BH25" s="3907"/>
      <c r="BI25" s="3907"/>
      <c r="BJ25" s="3907"/>
      <c r="BK25" s="3907"/>
      <c r="BL25" s="3907"/>
      <c r="BM25" s="3907"/>
      <c r="BN25" s="3907"/>
      <c r="BO25" s="3907"/>
      <c r="BP25" s="3907"/>
      <c r="BQ25" s="3907"/>
      <c r="BR25" s="3907"/>
      <c r="BS25" s="3907"/>
      <c r="BT25" s="3907"/>
      <c r="BU25" s="3907"/>
      <c r="BV25" s="3907"/>
      <c r="BW25" s="3907"/>
      <c r="BX25" s="3907"/>
      <c r="BY25" s="3907"/>
      <c r="BZ25" s="3907"/>
      <c r="CA25" s="3907"/>
      <c r="CB25" s="3907"/>
      <c r="CC25" s="3907"/>
      <c r="CD25" s="3907"/>
      <c r="CE25" s="3907"/>
      <c r="CF25" s="3907"/>
      <c r="CG25" s="3907"/>
      <c r="CH25" s="3907"/>
      <c r="CI25" s="3907"/>
      <c r="CJ25" s="3907"/>
      <c r="CK25" s="3907"/>
      <c r="CL25" s="3907"/>
      <c r="CM25" s="3907"/>
      <c r="CN25" s="3907"/>
      <c r="CO25" s="3907"/>
      <c r="CP25" s="3907"/>
      <c r="CQ25" s="3907"/>
      <c r="CR25" s="3907"/>
      <c r="CS25" s="3907"/>
      <c r="CT25" s="3907"/>
      <c r="CU25" s="3907"/>
      <c r="CV25" s="3907"/>
      <c r="CW25" s="3907"/>
      <c r="CX25" s="3907"/>
      <c r="CY25" s="3907"/>
      <c r="CZ25" s="3907"/>
      <c r="DA25" s="3907"/>
      <c r="DB25" s="3907"/>
      <c r="DC25" s="3907"/>
      <c r="DD25" s="3907"/>
      <c r="DE25" s="3907"/>
      <c r="DF25" s="3907"/>
      <c r="DG25" s="3907"/>
      <c r="DH25" s="3907"/>
      <c r="DI25" s="3907"/>
      <c r="DJ25" s="3907"/>
      <c r="DK25" s="3907"/>
      <c r="DL25" s="3907"/>
      <c r="DM25" s="3907"/>
      <c r="DN25" s="3907"/>
      <c r="DO25" s="3907"/>
      <c r="DP25" s="3907"/>
      <c r="DQ25" s="3907"/>
      <c r="DR25" s="3907"/>
      <c r="DS25" s="3907"/>
      <c r="DT25" s="3907"/>
      <c r="DU25" s="3907"/>
      <c r="DV25" s="3907"/>
      <c r="DW25" s="3907"/>
      <c r="DX25" s="3907"/>
      <c r="DY25" s="3907"/>
      <c r="DZ25" s="3907"/>
      <c r="EA25" s="3907"/>
      <c r="EB25" s="3907"/>
      <c r="EC25" s="3907"/>
      <c r="ED25" s="3907"/>
      <c r="EE25" s="3907"/>
      <c r="EF25" s="3907"/>
      <c r="EG25" s="3907"/>
      <c r="EH25" s="3907"/>
      <c r="EI25" s="3907"/>
      <c r="EJ25" s="3907"/>
      <c r="EK25" s="3907"/>
      <c r="EL25" s="3907"/>
      <c r="EM25" s="3907"/>
      <c r="EN25" s="3907"/>
      <c r="EO25" s="3907"/>
      <c r="EP25" s="3907"/>
      <c r="EQ25" s="3907"/>
      <c r="ER25" s="3907"/>
      <c r="ES25" s="3907"/>
      <c r="ET25" s="3907"/>
      <c r="EU25" s="3907"/>
      <c r="EV25" s="3907"/>
      <c r="EW25" s="3907"/>
      <c r="EX25" s="3907"/>
      <c r="EY25" s="3907"/>
      <c r="EZ25" s="3907"/>
      <c r="FA25" s="3907"/>
      <c r="FB25" s="3907"/>
      <c r="FC25" s="3907"/>
      <c r="FD25" s="3907"/>
      <c r="FE25" s="3907"/>
      <c r="FF25" s="3907"/>
      <c r="FG25" s="3907"/>
      <c r="FH25" s="3907"/>
      <c r="FI25" s="3907"/>
      <c r="FJ25" s="3907"/>
      <c r="FK25" s="3907"/>
      <c r="FL25" s="3907"/>
      <c r="FM25" s="3907"/>
      <c r="FN25" s="3907"/>
      <c r="FO25" s="3907"/>
      <c r="FP25" s="3907"/>
      <c r="FQ25" s="3907"/>
      <c r="FR25" s="3907"/>
      <c r="FS25" s="3907"/>
      <c r="FT25" s="3907"/>
      <c r="FU25" s="3907"/>
      <c r="FV25" s="3907"/>
      <c r="FW25" s="3907"/>
      <c r="FX25" s="3907"/>
      <c r="FY25" s="3907"/>
      <c r="FZ25" s="3907"/>
      <c r="GA25" s="3907"/>
      <c r="GB25" s="3907"/>
      <c r="GC25" s="3907"/>
      <c r="GD25" s="3907"/>
      <c r="GE25" s="3907"/>
      <c r="GF25" s="3907"/>
      <c r="GG25" s="3907"/>
      <c r="GH25" s="3907"/>
      <c r="GI25" s="3907"/>
      <c r="GJ25" s="3907"/>
      <c r="GK25" s="3907"/>
      <c r="GL25" s="3907"/>
      <c r="GM25" s="3907"/>
      <c r="GN25" s="3907"/>
      <c r="GO25" s="3907"/>
      <c r="GP25" s="3907"/>
      <c r="GQ25" s="3907"/>
      <c r="GR25" s="3907"/>
      <c r="GS25" s="3907"/>
      <c r="GT25" s="3907"/>
      <c r="GU25" s="3907"/>
      <c r="GV25" s="3907"/>
      <c r="GW25" s="3907"/>
      <c r="GX25" s="3907"/>
      <c r="GY25" s="3907"/>
      <c r="GZ25" s="3907"/>
      <c r="HA25" s="3907"/>
      <c r="HB25" s="3907"/>
      <c r="HC25" s="3907"/>
      <c r="HD25" s="3907"/>
      <c r="HE25" s="3907"/>
      <c r="HF25" s="3907"/>
      <c r="HG25" s="3907"/>
      <c r="HH25" s="3907"/>
      <c r="HI25" s="3907"/>
      <c r="HJ25" s="3907"/>
      <c r="HK25" s="3907"/>
      <c r="HL25" s="3907"/>
      <c r="HM25" s="3907"/>
      <c r="HN25" s="3907"/>
      <c r="HO25" s="3907"/>
      <c r="HP25" s="3907"/>
      <c r="HQ25" s="3907"/>
      <c r="HR25" s="3907"/>
      <c r="HS25" s="3907"/>
      <c r="HT25" s="3907"/>
      <c r="HU25" s="3907"/>
      <c r="HV25" s="3907"/>
      <c r="HW25" s="3907"/>
      <c r="HX25" s="3907"/>
      <c r="HY25" s="3907"/>
      <c r="HZ25" s="3907"/>
      <c r="IA25" s="3907"/>
      <c r="IB25" s="3907"/>
      <c r="IC25" s="3907"/>
      <c r="ID25" s="3907"/>
      <c r="IE25" s="3907"/>
      <c r="IF25" s="3907"/>
      <c r="IG25" s="3907"/>
      <c r="IH25" s="3907"/>
      <c r="II25" s="3907"/>
      <c r="IJ25" s="3907"/>
      <c r="IK25" s="3907"/>
      <c r="IL25" s="3907"/>
      <c r="IM25" s="3907"/>
      <c r="IN25" s="3907"/>
      <c r="IO25" s="3907"/>
      <c r="IP25" s="3907"/>
      <c r="IQ25" s="3907"/>
      <c r="IR25" s="3907"/>
      <c r="IS25" s="3907"/>
      <c r="IT25" s="3907"/>
      <c r="IU25" s="4324">
        <v>2</v>
      </c>
      <c r="IV25" s="4020"/>
      <c r="IW25" s="3907"/>
      <c r="IX25" s="3907"/>
      <c r="IY25" s="3907"/>
      <c r="IZ25" s="3907"/>
      <c r="JA25" s="4324">
        <v>1</v>
      </c>
      <c r="JB25" s="4322"/>
      <c r="JC25" s="3907"/>
      <c r="JD25" s="3907"/>
      <c r="JE25" s="3907"/>
      <c r="JF25" s="3907"/>
      <c r="JG25" s="2091"/>
      <c r="JH25" s="1367"/>
      <c r="JI25" s="1565"/>
      <c r="JJ25" s="1566" t="s">
        <v>6107</v>
      </c>
      <c r="JK25" s="1835"/>
      <c r="JL25" s="1835"/>
    </row>
    <row ht="22.5" r="26" spans="1:272" x14ac:dyDescent="0.2">
      <c r="A26" s="1128">
        <v>25</v>
      </c>
      <c r="B26" s="1656" t="str">
        <f si="0" t="shared"/>
        <v/>
      </c>
      <c r="C26" s="1579" t="s">
        <v>3951</v>
      </c>
      <c r="D26" s="1392" t="s">
        <v>4912</v>
      </c>
      <c r="E26" s="1621">
        <v>65000</v>
      </c>
      <c r="F26" s="1621"/>
      <c r="G26" s="1621"/>
      <c r="H26" s="1621"/>
      <c r="I26" s="1621">
        <v>99000</v>
      </c>
      <c r="J26" s="1621">
        <v>30000</v>
      </c>
      <c r="K26" s="1621"/>
      <c r="L26" s="1625"/>
      <c r="M26" s="1625"/>
      <c r="N26" s="1346">
        <v>21000</v>
      </c>
      <c r="O26" s="1884"/>
      <c r="P26" s="1621"/>
      <c r="Q26" s="1621"/>
      <c r="R26" s="1621">
        <v>2453071</v>
      </c>
      <c r="S26" s="1621"/>
      <c r="T26" s="3908"/>
      <c r="U26" s="3908"/>
      <c r="V26" s="3908"/>
      <c r="W26" s="3908"/>
      <c r="X26" s="3908"/>
      <c r="Y26" s="3908"/>
      <c r="Z26" s="3908"/>
      <c r="AA26" s="3908"/>
      <c r="AB26" s="3908"/>
      <c r="AC26" s="3908"/>
      <c r="AD26" s="3908"/>
      <c r="AE26" s="3908"/>
      <c r="AF26" s="3908"/>
      <c r="AG26" s="3908"/>
      <c r="AH26" s="3908"/>
      <c r="AI26" s="3908"/>
      <c r="AJ26" s="3908"/>
      <c r="AK26" s="3908"/>
      <c r="AL26" s="3908"/>
      <c r="AM26" s="3908"/>
      <c r="AN26" s="3908"/>
      <c r="AO26" s="3908"/>
      <c r="AP26" s="3908"/>
      <c r="AQ26" s="3908"/>
      <c r="AR26" s="3908"/>
      <c r="AS26" s="3908"/>
      <c r="AT26" s="3908"/>
      <c r="AU26" s="3908"/>
      <c r="AV26" s="3908"/>
      <c r="AW26" s="3908"/>
      <c r="AX26" s="3908"/>
      <c r="AY26" s="3908"/>
      <c r="AZ26" s="3908"/>
      <c r="BA26" s="3908"/>
      <c r="BB26" s="3908"/>
      <c r="BC26" s="3908"/>
      <c r="BD26" s="3908"/>
      <c r="BE26" s="3908"/>
      <c r="BF26" s="3908"/>
      <c r="BG26" s="1625"/>
      <c r="BH26" s="3908"/>
      <c r="BI26" s="3908"/>
      <c r="BJ26" s="3908"/>
      <c r="BK26" s="3908"/>
      <c r="BL26" s="3908"/>
      <c r="BM26" s="3908"/>
      <c r="BN26" s="3908"/>
      <c r="BO26" s="3908"/>
      <c r="BP26" s="3908"/>
      <c r="BQ26" s="3908"/>
      <c r="BR26" s="3908"/>
      <c r="BS26" s="3908"/>
      <c r="BT26" s="3908"/>
      <c r="BU26" s="3908"/>
      <c r="BV26" s="3908"/>
      <c r="BW26" s="3908"/>
      <c r="BX26" s="3908"/>
      <c r="BY26" s="3908"/>
      <c r="BZ26" s="3908"/>
      <c r="CA26" s="3908"/>
      <c r="CB26" s="3908"/>
      <c r="CC26" s="3908"/>
      <c r="CD26" s="3908"/>
      <c r="CE26" s="3908"/>
      <c r="CF26" s="3908"/>
      <c r="CG26" s="3908"/>
      <c r="CH26" s="3908"/>
      <c r="CI26" s="3908"/>
      <c r="CJ26" s="3908"/>
      <c r="CK26" s="3908"/>
      <c r="CL26" s="3908"/>
      <c r="CM26" s="3908"/>
      <c r="CN26" s="3908"/>
      <c r="CO26" s="3908"/>
      <c r="CP26" s="3908"/>
      <c r="CQ26" s="3908"/>
      <c r="CR26" s="3908"/>
      <c r="CS26" s="3908"/>
      <c r="CT26" s="3908"/>
      <c r="CU26" s="3908"/>
      <c r="CV26" s="3908"/>
      <c r="CW26" s="3908"/>
      <c r="CX26" s="3908"/>
      <c r="CY26" s="3908"/>
      <c r="CZ26" s="3908"/>
      <c r="DA26" s="3908"/>
      <c r="DB26" s="3908"/>
      <c r="DC26" s="3908"/>
      <c r="DD26" s="3908"/>
      <c r="DE26" s="3908"/>
      <c r="DF26" s="3908"/>
      <c r="DG26" s="3908"/>
      <c r="DH26" s="3908"/>
      <c r="DI26" s="3908"/>
      <c r="DJ26" s="3908"/>
      <c r="DK26" s="3908"/>
      <c r="DL26" s="3908"/>
      <c r="DM26" s="3908"/>
      <c r="DN26" s="3908"/>
      <c r="DO26" s="3908"/>
      <c r="DP26" s="3908"/>
      <c r="DQ26" s="3908"/>
      <c r="DR26" s="3908"/>
      <c r="DS26" s="3908"/>
      <c r="DT26" s="3908"/>
      <c r="DU26" s="3908"/>
      <c r="DV26" s="3908"/>
      <c r="DW26" s="3908"/>
      <c r="DX26" s="3908"/>
      <c r="DY26" s="3908"/>
      <c r="DZ26" s="3908"/>
      <c r="EA26" s="3908"/>
      <c r="EB26" s="3908"/>
      <c r="EC26" s="3908"/>
      <c r="ED26" s="3908"/>
      <c r="EE26" s="3908"/>
      <c r="EF26" s="3908"/>
      <c r="EG26" s="3908"/>
      <c r="EH26" s="3908"/>
      <c r="EI26" s="3908"/>
      <c r="EJ26" s="3908"/>
      <c r="EK26" s="3908"/>
      <c r="EL26" s="3908"/>
      <c r="EM26" s="3908"/>
      <c r="EN26" s="3908"/>
      <c r="EO26" s="3908"/>
      <c r="EP26" s="3908"/>
      <c r="EQ26" s="3908"/>
      <c r="ER26" s="3908"/>
      <c r="ES26" s="3908"/>
      <c r="ET26" s="3908"/>
      <c r="EU26" s="3908"/>
      <c r="EV26" s="3908"/>
      <c r="EW26" s="3908"/>
      <c r="EX26" s="3908"/>
      <c r="EY26" s="3908"/>
      <c r="EZ26" s="3908"/>
      <c r="FA26" s="3908"/>
      <c r="FB26" s="3908"/>
      <c r="FC26" s="3908"/>
      <c r="FD26" s="3908"/>
      <c r="FE26" s="3908"/>
      <c r="FF26" s="3908"/>
      <c r="FG26" s="3908"/>
      <c r="FH26" s="3908"/>
      <c r="FI26" s="3908"/>
      <c r="FJ26" s="3908"/>
      <c r="FK26" s="3908"/>
      <c r="FL26" s="3908"/>
      <c r="FM26" s="3908"/>
      <c r="FN26" s="3908"/>
      <c r="FO26" s="3908"/>
      <c r="FP26" s="3908"/>
      <c r="FQ26" s="3908"/>
      <c r="FR26" s="3908"/>
      <c r="FS26" s="3908"/>
      <c r="FT26" s="3908"/>
      <c r="FU26" s="3908"/>
      <c r="FV26" s="3908"/>
      <c r="FW26" s="3908"/>
      <c r="FX26" s="3908"/>
      <c r="FY26" s="3908"/>
      <c r="FZ26" s="3908"/>
      <c r="GA26" s="3908"/>
      <c r="GB26" s="3908"/>
      <c r="GC26" s="3908"/>
      <c r="GD26" s="3908"/>
      <c r="GE26" s="3908"/>
      <c r="GF26" s="3908"/>
      <c r="GG26" s="3908"/>
      <c r="GH26" s="3908"/>
      <c r="GI26" s="3908"/>
      <c r="GJ26" s="3908"/>
      <c r="GK26" s="3908"/>
      <c r="GL26" s="3908"/>
      <c r="GM26" s="3908"/>
      <c r="GN26" s="3908"/>
      <c r="GO26" s="3908"/>
      <c r="GP26" s="3908"/>
      <c r="GQ26" s="3908"/>
      <c r="GR26" s="3908"/>
      <c r="GS26" s="3908"/>
      <c r="GT26" s="3908"/>
      <c r="GU26" s="3908"/>
      <c r="GV26" s="3908"/>
      <c r="GW26" s="3908"/>
      <c r="GX26" s="3908"/>
      <c r="GY26" s="3908"/>
      <c r="GZ26" s="3908"/>
      <c r="HA26" s="3908"/>
      <c r="HB26" s="3908"/>
      <c r="HC26" s="3908"/>
      <c r="HD26" s="3908"/>
      <c r="HE26" s="3908"/>
      <c r="HF26" s="3908"/>
      <c r="HG26" s="3908"/>
      <c r="HH26" s="3908"/>
      <c r="HI26" s="3908"/>
      <c r="HJ26" s="3908"/>
      <c r="HK26" s="3908"/>
      <c r="HL26" s="3908"/>
      <c r="HM26" s="3908"/>
      <c r="HN26" s="3908"/>
      <c r="HO26" s="3908"/>
      <c r="HP26" s="3908"/>
      <c r="HQ26" s="3908"/>
      <c r="HR26" s="3908"/>
      <c r="HS26" s="3908"/>
      <c r="HT26" s="3908"/>
      <c r="HU26" s="3908"/>
      <c r="HV26" s="3908"/>
      <c r="HW26" s="3908"/>
      <c r="HX26" s="3908"/>
      <c r="HY26" s="3908"/>
      <c r="HZ26" s="3908"/>
      <c r="IA26" s="3908"/>
      <c r="IB26" s="3908"/>
      <c r="IC26" s="3908"/>
      <c r="ID26" s="3908"/>
      <c r="IE26" s="3908"/>
      <c r="IF26" s="3908"/>
      <c r="IG26" s="3908"/>
      <c r="IH26" s="3908"/>
      <c r="II26" s="3908"/>
      <c r="IJ26" s="3908"/>
      <c r="IK26" s="3908"/>
      <c r="IL26" s="3908"/>
      <c r="IM26" s="3908"/>
      <c r="IN26" s="3908"/>
      <c r="IO26" s="3908"/>
      <c r="IP26" s="3908"/>
      <c r="IQ26" s="3908"/>
      <c r="IR26" s="3908"/>
      <c r="IS26" s="3908"/>
      <c r="IT26" s="3908"/>
      <c r="IU26" s="3982"/>
      <c r="IV26" s="4021"/>
      <c r="IW26" s="3908"/>
      <c r="IX26" s="3908"/>
      <c r="IY26" s="3908"/>
      <c r="IZ26" s="3908"/>
      <c r="JA26" s="3982">
        <v>1700</v>
      </c>
      <c r="JB26" s="3906"/>
      <c r="JC26" s="3908"/>
      <c r="JD26" s="3908"/>
      <c r="JE26" s="3908"/>
      <c r="JF26" s="3908"/>
      <c r="JG26" s="2085"/>
      <c r="JH26" s="1367"/>
      <c r="JI26" s="1565"/>
      <c r="JJ26" s="1566" t="s">
        <v>6108</v>
      </c>
      <c r="JK26" s="1566" t="s">
        <v>3950</v>
      </c>
      <c r="JL26" s="1835"/>
    </row>
    <row ht="22.5" r="27" spans="1:272" x14ac:dyDescent="0.2">
      <c r="A27" s="1128">
        <v>26</v>
      </c>
      <c r="B27" s="1656" t="str">
        <f si="0" t="shared"/>
        <v/>
      </c>
      <c r="C27" s="1579" t="s">
        <v>3952</v>
      </c>
      <c r="D27" s="1392" t="s">
        <v>4913</v>
      </c>
      <c r="E27" s="1621">
        <v>25000</v>
      </c>
      <c r="F27" s="1621"/>
      <c r="G27" s="1621"/>
      <c r="H27" s="1621"/>
      <c r="I27" s="1621">
        <v>9000</v>
      </c>
      <c r="J27" s="1621">
        <v>40000</v>
      </c>
      <c r="K27" s="1621"/>
      <c r="L27" s="1625"/>
      <c r="M27" s="1625"/>
      <c r="N27" s="1346">
        <v>4500</v>
      </c>
      <c r="O27" s="1884"/>
      <c r="P27" s="1621"/>
      <c r="Q27" s="1621"/>
      <c r="R27" s="1621">
        <v>2074877</v>
      </c>
      <c r="S27" s="1621"/>
      <c r="T27" s="3908"/>
      <c r="U27" s="3908"/>
      <c r="V27" s="3908"/>
      <c r="W27" s="3908"/>
      <c r="X27" s="3908"/>
      <c r="Y27" s="3908"/>
      <c r="Z27" s="3908"/>
      <c r="AA27" s="3908"/>
      <c r="AB27" s="3908"/>
      <c r="AC27" s="3908"/>
      <c r="AD27" s="3908"/>
      <c r="AE27" s="3908"/>
      <c r="AF27" s="3908"/>
      <c r="AG27" s="3908"/>
      <c r="AH27" s="3908"/>
      <c r="AI27" s="3908"/>
      <c r="AJ27" s="3908"/>
      <c r="AK27" s="3908"/>
      <c r="AL27" s="3908"/>
      <c r="AM27" s="3908"/>
      <c r="AN27" s="3908"/>
      <c r="AO27" s="3908"/>
      <c r="AP27" s="3908"/>
      <c r="AQ27" s="3908"/>
      <c r="AR27" s="3908"/>
      <c r="AS27" s="3908"/>
      <c r="AT27" s="3908"/>
      <c r="AU27" s="3908"/>
      <c r="AV27" s="3908"/>
      <c r="AW27" s="3908"/>
      <c r="AX27" s="3908"/>
      <c r="AY27" s="3908"/>
      <c r="AZ27" s="3908"/>
      <c r="BA27" s="3908"/>
      <c r="BB27" s="3908"/>
      <c r="BC27" s="3908"/>
      <c r="BD27" s="3908"/>
      <c r="BE27" s="3908"/>
      <c r="BF27" s="3908"/>
      <c r="BG27" s="1625"/>
      <c r="BH27" s="3908"/>
      <c r="BI27" s="3908"/>
      <c r="BJ27" s="3908"/>
      <c r="BK27" s="3908"/>
      <c r="BL27" s="3908"/>
      <c r="BM27" s="3908"/>
      <c r="BN27" s="3908"/>
      <c r="BO27" s="3908"/>
      <c r="BP27" s="3908"/>
      <c r="BQ27" s="3908"/>
      <c r="BR27" s="3908"/>
      <c r="BS27" s="3908"/>
      <c r="BT27" s="3908"/>
      <c r="BU27" s="3908"/>
      <c r="BV27" s="3908"/>
      <c r="BW27" s="3908"/>
      <c r="BX27" s="3908"/>
      <c r="BY27" s="3908"/>
      <c r="BZ27" s="3908"/>
      <c r="CA27" s="3908"/>
      <c r="CB27" s="3908"/>
      <c r="CC27" s="3908"/>
      <c r="CD27" s="3908"/>
      <c r="CE27" s="3908"/>
      <c r="CF27" s="3908"/>
      <c r="CG27" s="3908"/>
      <c r="CH27" s="3908"/>
      <c r="CI27" s="3908"/>
      <c r="CJ27" s="3908"/>
      <c r="CK27" s="3908"/>
      <c r="CL27" s="3908"/>
      <c r="CM27" s="3908"/>
      <c r="CN27" s="3908"/>
      <c r="CO27" s="3908"/>
      <c r="CP27" s="3908"/>
      <c r="CQ27" s="3908"/>
      <c r="CR27" s="3908"/>
      <c r="CS27" s="3908"/>
      <c r="CT27" s="3908"/>
      <c r="CU27" s="3908"/>
      <c r="CV27" s="3908"/>
      <c r="CW27" s="3908"/>
      <c r="CX27" s="3908"/>
      <c r="CY27" s="3908"/>
      <c r="CZ27" s="3908"/>
      <c r="DA27" s="3908"/>
      <c r="DB27" s="3908"/>
      <c r="DC27" s="3908"/>
      <c r="DD27" s="3908"/>
      <c r="DE27" s="3908"/>
      <c r="DF27" s="3908"/>
      <c r="DG27" s="3908"/>
      <c r="DH27" s="3908"/>
      <c r="DI27" s="3908"/>
      <c r="DJ27" s="3908"/>
      <c r="DK27" s="3908"/>
      <c r="DL27" s="3908"/>
      <c r="DM27" s="3908"/>
      <c r="DN27" s="3908"/>
      <c r="DO27" s="3908"/>
      <c r="DP27" s="3908"/>
      <c r="DQ27" s="3908"/>
      <c r="DR27" s="3908"/>
      <c r="DS27" s="3908"/>
      <c r="DT27" s="3908"/>
      <c r="DU27" s="3908"/>
      <c r="DV27" s="3908"/>
      <c r="DW27" s="3908"/>
      <c r="DX27" s="3908"/>
      <c r="DY27" s="3908"/>
      <c r="DZ27" s="3908"/>
      <c r="EA27" s="3908"/>
      <c r="EB27" s="3908"/>
      <c r="EC27" s="3908"/>
      <c r="ED27" s="3908"/>
      <c r="EE27" s="3908"/>
      <c r="EF27" s="3908"/>
      <c r="EG27" s="3908"/>
      <c r="EH27" s="3908"/>
      <c r="EI27" s="3908"/>
      <c r="EJ27" s="3908"/>
      <c r="EK27" s="3908"/>
      <c r="EL27" s="3908"/>
      <c r="EM27" s="3908"/>
      <c r="EN27" s="3908"/>
      <c r="EO27" s="3908"/>
      <c r="EP27" s="3908"/>
      <c r="EQ27" s="3908"/>
      <c r="ER27" s="3908"/>
      <c r="ES27" s="3908"/>
      <c r="ET27" s="3908"/>
      <c r="EU27" s="3908"/>
      <c r="EV27" s="3908"/>
      <c r="EW27" s="3908"/>
      <c r="EX27" s="3908"/>
      <c r="EY27" s="3908"/>
      <c r="EZ27" s="3908"/>
      <c r="FA27" s="3908"/>
      <c r="FB27" s="3908"/>
      <c r="FC27" s="3908"/>
      <c r="FD27" s="3908"/>
      <c r="FE27" s="3908"/>
      <c r="FF27" s="3908"/>
      <c r="FG27" s="3908"/>
      <c r="FH27" s="3908"/>
      <c r="FI27" s="3908"/>
      <c r="FJ27" s="3908"/>
      <c r="FK27" s="3908"/>
      <c r="FL27" s="3908"/>
      <c r="FM27" s="3908"/>
      <c r="FN27" s="3908"/>
      <c r="FO27" s="3908"/>
      <c r="FP27" s="3908"/>
      <c r="FQ27" s="3908"/>
      <c r="FR27" s="3908"/>
      <c r="FS27" s="3908"/>
      <c r="FT27" s="3908"/>
      <c r="FU27" s="3908"/>
      <c r="FV27" s="3908"/>
      <c r="FW27" s="3908"/>
      <c r="FX27" s="3908"/>
      <c r="FY27" s="3908"/>
      <c r="FZ27" s="3908"/>
      <c r="GA27" s="3908"/>
      <c r="GB27" s="3908"/>
      <c r="GC27" s="3908"/>
      <c r="GD27" s="3908"/>
      <c r="GE27" s="3908"/>
      <c r="GF27" s="3908"/>
      <c r="GG27" s="3908"/>
      <c r="GH27" s="3908"/>
      <c r="GI27" s="3908"/>
      <c r="GJ27" s="3908"/>
      <c r="GK27" s="3908"/>
      <c r="GL27" s="3908"/>
      <c r="GM27" s="3908"/>
      <c r="GN27" s="3908"/>
      <c r="GO27" s="3908"/>
      <c r="GP27" s="3908"/>
      <c r="GQ27" s="3908"/>
      <c r="GR27" s="3908"/>
      <c r="GS27" s="3908"/>
      <c r="GT27" s="3908"/>
      <c r="GU27" s="3908"/>
      <c r="GV27" s="3908"/>
      <c r="GW27" s="3908"/>
      <c r="GX27" s="3908"/>
      <c r="GY27" s="3908"/>
      <c r="GZ27" s="3908"/>
      <c r="HA27" s="3908"/>
      <c r="HB27" s="3908"/>
      <c r="HC27" s="3908"/>
      <c r="HD27" s="3908"/>
      <c r="HE27" s="3908"/>
      <c r="HF27" s="3908"/>
      <c r="HG27" s="3908"/>
      <c r="HH27" s="3908"/>
      <c r="HI27" s="3908"/>
      <c r="HJ27" s="3908"/>
      <c r="HK27" s="3908"/>
      <c r="HL27" s="3908"/>
      <c r="HM27" s="3908"/>
      <c r="HN27" s="3908"/>
      <c r="HO27" s="3908"/>
      <c r="HP27" s="3908"/>
      <c r="HQ27" s="3908"/>
      <c r="HR27" s="3908"/>
      <c r="HS27" s="3908"/>
      <c r="HT27" s="3908"/>
      <c r="HU27" s="3908"/>
      <c r="HV27" s="3908"/>
      <c r="HW27" s="3908"/>
      <c r="HX27" s="3908"/>
      <c r="HY27" s="3908"/>
      <c r="HZ27" s="3908"/>
      <c r="IA27" s="3908"/>
      <c r="IB27" s="3908"/>
      <c r="IC27" s="3908"/>
      <c r="ID27" s="3908"/>
      <c r="IE27" s="3908"/>
      <c r="IF27" s="3908"/>
      <c r="IG27" s="3908"/>
      <c r="IH27" s="3908"/>
      <c r="II27" s="3908"/>
      <c r="IJ27" s="3908"/>
      <c r="IK27" s="3908"/>
      <c r="IL27" s="3908"/>
      <c r="IM27" s="3908"/>
      <c r="IN27" s="3908"/>
      <c r="IO27" s="3908"/>
      <c r="IP27" s="3908"/>
      <c r="IQ27" s="3908"/>
      <c r="IR27" s="3908"/>
      <c r="IS27" s="3908"/>
      <c r="IT27" s="3908"/>
      <c r="IU27" s="3982">
        <v>22000</v>
      </c>
      <c r="IV27" s="4021"/>
      <c r="IW27" s="3908"/>
      <c r="IX27" s="3908"/>
      <c r="IY27" s="3908"/>
      <c r="IZ27" s="3908"/>
      <c r="JA27" s="3982">
        <v>821</v>
      </c>
      <c r="JB27" s="3906"/>
      <c r="JC27" s="3908"/>
      <c r="JD27" s="3908"/>
      <c r="JE27" s="3908"/>
      <c r="JF27" s="3908"/>
      <c r="JG27" s="2085"/>
      <c r="JH27" s="1367"/>
      <c r="JI27" s="1565"/>
      <c r="JJ27" s="1566" t="s">
        <v>6108</v>
      </c>
      <c r="JK27" s="1835"/>
      <c r="JL27" s="1835"/>
    </row>
    <row ht="22.5" r="28" spans="1:272" x14ac:dyDescent="0.2">
      <c r="A28" s="1128">
        <v>27</v>
      </c>
      <c r="B28" s="1656" t="str">
        <f si="0" t="shared"/>
        <v/>
      </c>
      <c r="C28" s="1828" t="s">
        <v>3953</v>
      </c>
      <c r="D28" s="1392" t="s">
        <v>4914</v>
      </c>
      <c r="E28" s="1617">
        <f>MAX(0,E26-E27)</f>
        <v>40000</v>
      </c>
      <c r="F28" s="1618"/>
      <c r="G28" s="1618"/>
      <c r="H28" s="1618"/>
      <c r="I28" s="1617">
        <f>MAX(0,I26-I27)</f>
        <v>90000</v>
      </c>
      <c r="J28" s="1618"/>
      <c r="K28" s="1618"/>
      <c r="L28" s="1618"/>
      <c r="M28" s="1618"/>
      <c r="N28" s="1617">
        <f>MAX(0,N26-N27)</f>
        <v>16500</v>
      </c>
      <c r="O28" s="1885"/>
      <c r="P28" s="1618"/>
      <c r="Q28" s="1618"/>
      <c r="R28" s="1618">
        <v>487030</v>
      </c>
      <c r="S28" s="1618"/>
      <c r="T28" s="3904"/>
      <c r="U28" s="3904"/>
      <c r="V28" s="3904"/>
      <c r="W28" s="3904"/>
      <c r="X28" s="3904"/>
      <c r="Y28" s="3904"/>
      <c r="Z28" s="3904"/>
      <c r="AA28" s="3904"/>
      <c r="AB28" s="3904"/>
      <c r="AC28" s="3904"/>
      <c r="AD28" s="3904"/>
      <c r="AE28" s="3904"/>
      <c r="AF28" s="3904"/>
      <c r="AG28" s="3904"/>
      <c r="AH28" s="3904"/>
      <c r="AI28" s="3904"/>
      <c r="AJ28" s="3904"/>
      <c r="AK28" s="3904"/>
      <c r="AL28" s="3904"/>
      <c r="AM28" s="3904"/>
      <c r="AN28" s="3904"/>
      <c r="AO28" s="3904"/>
      <c r="AP28" s="3904"/>
      <c r="AQ28" s="3904"/>
      <c r="AR28" s="3904"/>
      <c r="AS28" s="3904"/>
      <c r="AT28" s="3904"/>
      <c r="AU28" s="3904"/>
      <c r="AV28" s="3904"/>
      <c r="AW28" s="3904"/>
      <c r="AX28" s="3904"/>
      <c r="AY28" s="3904"/>
      <c r="AZ28" s="3904"/>
      <c r="BA28" s="3904"/>
      <c r="BB28" s="3904"/>
      <c r="BC28" s="3904"/>
      <c r="BD28" s="3904"/>
      <c r="BE28" s="3904"/>
      <c r="BF28" s="3904"/>
      <c r="BG28" s="1618"/>
      <c r="BH28" s="3904"/>
      <c r="BI28" s="3904"/>
      <c r="BJ28" s="3904"/>
      <c r="BK28" s="3904"/>
      <c r="BL28" s="3904"/>
      <c r="BM28" s="3904"/>
      <c r="BN28" s="3904"/>
      <c r="BO28" s="3904"/>
      <c r="BP28" s="3904"/>
      <c r="BQ28" s="3904"/>
      <c r="BR28" s="3904"/>
      <c r="BS28" s="3904"/>
      <c r="BT28" s="3904"/>
      <c r="BU28" s="3904"/>
      <c r="BV28" s="3904"/>
      <c r="BW28" s="3904"/>
      <c r="BX28" s="3904"/>
      <c r="BY28" s="3904"/>
      <c r="BZ28" s="3904"/>
      <c r="CA28" s="3904"/>
      <c r="CB28" s="3904"/>
      <c r="CC28" s="3904"/>
      <c r="CD28" s="3904"/>
      <c r="CE28" s="3904"/>
      <c r="CF28" s="3904"/>
      <c r="CG28" s="3904"/>
      <c r="CH28" s="3904"/>
      <c r="CI28" s="3904"/>
      <c r="CJ28" s="3904"/>
      <c r="CK28" s="3904"/>
      <c r="CL28" s="3904"/>
      <c r="CM28" s="3904"/>
      <c r="CN28" s="3904"/>
      <c r="CO28" s="3904"/>
      <c r="CP28" s="3904"/>
      <c r="CQ28" s="3904"/>
      <c r="CR28" s="3904"/>
      <c r="CS28" s="3904"/>
      <c r="CT28" s="3904"/>
      <c r="CU28" s="3904"/>
      <c r="CV28" s="3904"/>
      <c r="CW28" s="3904"/>
      <c r="CX28" s="3904"/>
      <c r="CY28" s="3904"/>
      <c r="CZ28" s="3904"/>
      <c r="DA28" s="3904"/>
      <c r="DB28" s="3904"/>
      <c r="DC28" s="3904"/>
      <c r="DD28" s="3904"/>
      <c r="DE28" s="3904"/>
      <c r="DF28" s="3904"/>
      <c r="DG28" s="3904"/>
      <c r="DH28" s="3904"/>
      <c r="DI28" s="3904"/>
      <c r="DJ28" s="3904"/>
      <c r="DK28" s="3904"/>
      <c r="DL28" s="3904"/>
      <c r="DM28" s="3904"/>
      <c r="DN28" s="3904"/>
      <c r="DO28" s="3904"/>
      <c r="DP28" s="3904"/>
      <c r="DQ28" s="3904"/>
      <c r="DR28" s="3904"/>
      <c r="DS28" s="3904"/>
      <c r="DT28" s="3904"/>
      <c r="DU28" s="3904"/>
      <c r="DV28" s="3904"/>
      <c r="DW28" s="3904"/>
      <c r="DX28" s="3904"/>
      <c r="DY28" s="3904"/>
      <c r="DZ28" s="3904"/>
      <c r="EA28" s="3904"/>
      <c r="EB28" s="3904"/>
      <c r="EC28" s="3904"/>
      <c r="ED28" s="3904"/>
      <c r="EE28" s="3904"/>
      <c r="EF28" s="3904"/>
      <c r="EG28" s="3904"/>
      <c r="EH28" s="3904"/>
      <c r="EI28" s="3904"/>
      <c r="EJ28" s="3904"/>
      <c r="EK28" s="3904"/>
      <c r="EL28" s="3904"/>
      <c r="EM28" s="3904"/>
      <c r="EN28" s="3904"/>
      <c r="EO28" s="3904"/>
      <c r="EP28" s="3904"/>
      <c r="EQ28" s="3904"/>
      <c r="ER28" s="3904"/>
      <c r="ES28" s="3904"/>
      <c r="ET28" s="3904"/>
      <c r="EU28" s="3904"/>
      <c r="EV28" s="3904"/>
      <c r="EW28" s="3904"/>
      <c r="EX28" s="3904"/>
      <c r="EY28" s="3904"/>
      <c r="EZ28" s="3904"/>
      <c r="FA28" s="3904"/>
      <c r="FB28" s="3904"/>
      <c r="FC28" s="3904"/>
      <c r="FD28" s="3904"/>
      <c r="FE28" s="3904"/>
      <c r="FF28" s="3904"/>
      <c r="FG28" s="3904"/>
      <c r="FH28" s="3904"/>
      <c r="FI28" s="3904"/>
      <c r="FJ28" s="3904"/>
      <c r="FK28" s="3904"/>
      <c r="FL28" s="3904"/>
      <c r="FM28" s="3904"/>
      <c r="FN28" s="3904"/>
      <c r="FO28" s="3904"/>
      <c r="FP28" s="3904"/>
      <c r="FQ28" s="3904"/>
      <c r="FR28" s="3904"/>
      <c r="FS28" s="3904"/>
      <c r="FT28" s="3904"/>
      <c r="FU28" s="3904"/>
      <c r="FV28" s="3904"/>
      <c r="FW28" s="3904"/>
      <c r="FX28" s="3904"/>
      <c r="FY28" s="3904"/>
      <c r="FZ28" s="3904"/>
      <c r="GA28" s="3904"/>
      <c r="GB28" s="3904"/>
      <c r="GC28" s="3904"/>
      <c r="GD28" s="3904"/>
      <c r="GE28" s="3904"/>
      <c r="GF28" s="3904"/>
      <c r="GG28" s="3904"/>
      <c r="GH28" s="3904"/>
      <c r="GI28" s="3904"/>
      <c r="GJ28" s="3904"/>
      <c r="GK28" s="3904"/>
      <c r="GL28" s="3904"/>
      <c r="GM28" s="3904"/>
      <c r="GN28" s="3904"/>
      <c r="GO28" s="3904"/>
      <c r="GP28" s="3904"/>
      <c r="GQ28" s="3904"/>
      <c r="GR28" s="3904"/>
      <c r="GS28" s="3904"/>
      <c r="GT28" s="3904"/>
      <c r="GU28" s="3904"/>
      <c r="GV28" s="3904"/>
      <c r="GW28" s="3904"/>
      <c r="GX28" s="3904"/>
      <c r="GY28" s="3904"/>
      <c r="GZ28" s="3904"/>
      <c r="HA28" s="3904"/>
      <c r="HB28" s="3904"/>
      <c r="HC28" s="3904"/>
      <c r="HD28" s="3904"/>
      <c r="HE28" s="3904"/>
      <c r="HF28" s="3904"/>
      <c r="HG28" s="3904"/>
      <c r="HH28" s="3904"/>
      <c r="HI28" s="3904"/>
      <c r="HJ28" s="3904"/>
      <c r="HK28" s="3904"/>
      <c r="HL28" s="3904"/>
      <c r="HM28" s="3904"/>
      <c r="HN28" s="3904"/>
      <c r="HO28" s="3904"/>
      <c r="HP28" s="3904"/>
      <c r="HQ28" s="3904"/>
      <c r="HR28" s="3904"/>
      <c r="HS28" s="3904"/>
      <c r="HT28" s="3904"/>
      <c r="HU28" s="3904"/>
      <c r="HV28" s="3904"/>
      <c r="HW28" s="3904"/>
      <c r="HX28" s="3904"/>
      <c r="HY28" s="3904"/>
      <c r="HZ28" s="3904"/>
      <c r="IA28" s="3904"/>
      <c r="IB28" s="3904"/>
      <c r="IC28" s="3904"/>
      <c r="ID28" s="3904"/>
      <c r="IE28" s="3904"/>
      <c r="IF28" s="3904"/>
      <c r="IG28" s="3904"/>
      <c r="IH28" s="3904"/>
      <c r="II28" s="3904"/>
      <c r="IJ28" s="3904"/>
      <c r="IK28" s="3904"/>
      <c r="IL28" s="3904"/>
      <c r="IM28" s="3904"/>
      <c r="IN28" s="3904"/>
      <c r="IO28" s="3904"/>
      <c r="IP28" s="3904"/>
      <c r="IQ28" s="3904"/>
      <c r="IR28" s="3904"/>
      <c r="IS28" s="3904"/>
      <c r="IT28" s="3985">
        <v>0</v>
      </c>
      <c r="IU28" s="3985">
        <v>0</v>
      </c>
      <c r="IV28" s="3985">
        <v>0</v>
      </c>
      <c r="IW28" s="3985">
        <v>0</v>
      </c>
      <c r="IX28" s="3985">
        <v>0</v>
      </c>
      <c r="IY28" s="3984">
        <v>0</v>
      </c>
      <c r="IZ28" s="3984">
        <v>0</v>
      </c>
      <c r="JA28" s="3985">
        <v>879</v>
      </c>
      <c r="JB28" s="3904"/>
      <c r="JC28" s="3904"/>
      <c r="JD28" s="3904"/>
      <c r="JE28" s="3904"/>
      <c r="JF28" s="3904"/>
      <c r="JG28" s="2087"/>
      <c r="JH28" s="1367"/>
      <c r="JI28" s="1565"/>
      <c r="JJ28" s="1566" t="s">
        <v>6108</v>
      </c>
      <c r="JK28" s="1566" t="s">
        <v>6097</v>
      </c>
      <c r="JL28" s="1835"/>
    </row>
    <row ht="22.5" r="29" spans="1:272" x14ac:dyDescent="0.2">
      <c r="A29" s="1128">
        <v>28</v>
      </c>
      <c r="B29" s="1656" t="str">
        <f si="0" t="shared"/>
        <v/>
      </c>
      <c r="C29" s="1828" t="s">
        <v>3954</v>
      </c>
      <c r="D29" s="1392" t="s">
        <v>5204</v>
      </c>
      <c r="E29" s="1623"/>
      <c r="F29" s="1623"/>
      <c r="G29" s="1623"/>
      <c r="H29" s="1623"/>
      <c r="I29" s="1623"/>
      <c r="J29" s="1623">
        <f>MAX(0,J27-J26)</f>
        <v>10000</v>
      </c>
      <c r="K29" s="1623"/>
      <c r="L29" s="1623"/>
      <c r="M29" s="1623"/>
      <c r="N29" s="1623"/>
      <c r="O29" s="1889"/>
      <c r="P29" s="1623"/>
      <c r="Q29" s="1623"/>
      <c r="R29" s="1623">
        <v>108836</v>
      </c>
      <c r="S29" s="1623"/>
      <c r="T29" s="3910"/>
      <c r="U29" s="3910"/>
      <c r="V29" s="3910"/>
      <c r="W29" s="3910"/>
      <c r="X29" s="3910"/>
      <c r="Y29" s="3910"/>
      <c r="Z29" s="3910"/>
      <c r="AA29" s="3910"/>
      <c r="AB29" s="3910"/>
      <c r="AC29" s="3910"/>
      <c r="AD29" s="3910"/>
      <c r="AE29" s="3910"/>
      <c r="AF29" s="3910"/>
      <c r="AG29" s="3910"/>
      <c r="AH29" s="3910"/>
      <c r="AI29" s="3910"/>
      <c r="AJ29" s="3910"/>
      <c r="AK29" s="3910"/>
      <c r="AL29" s="3910"/>
      <c r="AM29" s="3910"/>
      <c r="AN29" s="3910"/>
      <c r="AO29" s="3910"/>
      <c r="AP29" s="3910"/>
      <c r="AQ29" s="3910"/>
      <c r="AR29" s="3910"/>
      <c r="AS29" s="3910"/>
      <c r="AT29" s="3910"/>
      <c r="AU29" s="3910"/>
      <c r="AV29" s="3910"/>
      <c r="AW29" s="3910"/>
      <c r="AX29" s="3910"/>
      <c r="AY29" s="3910"/>
      <c r="AZ29" s="3910"/>
      <c r="BA29" s="3910"/>
      <c r="BB29" s="3910"/>
      <c r="BC29" s="3910"/>
      <c r="BD29" s="3910"/>
      <c r="BE29" s="3910"/>
      <c r="BF29" s="3910"/>
      <c r="BG29" s="1623"/>
      <c r="BH29" s="3910"/>
      <c r="BI29" s="3910"/>
      <c r="BJ29" s="3910"/>
      <c r="BK29" s="3910"/>
      <c r="BL29" s="3910"/>
      <c r="BM29" s="3910"/>
      <c r="BN29" s="3910"/>
      <c r="BO29" s="3910"/>
      <c r="BP29" s="3910"/>
      <c r="BQ29" s="3910"/>
      <c r="BR29" s="3910"/>
      <c r="BS29" s="3910"/>
      <c r="BT29" s="3910"/>
      <c r="BU29" s="3910"/>
      <c r="BV29" s="3910"/>
      <c r="BW29" s="3910"/>
      <c r="BX29" s="3910"/>
      <c r="BY29" s="3910"/>
      <c r="BZ29" s="3910"/>
      <c r="CA29" s="3910"/>
      <c r="CB29" s="3910"/>
      <c r="CC29" s="3910"/>
      <c r="CD29" s="3910"/>
      <c r="CE29" s="3910"/>
      <c r="CF29" s="3910"/>
      <c r="CG29" s="3910"/>
      <c r="CH29" s="3910"/>
      <c r="CI29" s="3910"/>
      <c r="CJ29" s="3910"/>
      <c r="CK29" s="3910"/>
      <c r="CL29" s="3910"/>
      <c r="CM29" s="3910"/>
      <c r="CN29" s="3910"/>
      <c r="CO29" s="3910"/>
      <c r="CP29" s="3910"/>
      <c r="CQ29" s="3910"/>
      <c r="CR29" s="3910"/>
      <c r="CS29" s="3910"/>
      <c r="CT29" s="3910"/>
      <c r="CU29" s="3910"/>
      <c r="CV29" s="3910"/>
      <c r="CW29" s="3910"/>
      <c r="CX29" s="3910"/>
      <c r="CY29" s="3910"/>
      <c r="CZ29" s="3910"/>
      <c r="DA29" s="3910"/>
      <c r="DB29" s="3910"/>
      <c r="DC29" s="3910"/>
      <c r="DD29" s="3910"/>
      <c r="DE29" s="3910"/>
      <c r="DF29" s="3910"/>
      <c r="DG29" s="3910"/>
      <c r="DH29" s="3910"/>
      <c r="DI29" s="3910"/>
      <c r="DJ29" s="3910"/>
      <c r="DK29" s="3910"/>
      <c r="DL29" s="3910"/>
      <c r="DM29" s="3910"/>
      <c r="DN29" s="3910"/>
      <c r="DO29" s="3910"/>
      <c r="DP29" s="3910"/>
      <c r="DQ29" s="3910"/>
      <c r="DR29" s="3910"/>
      <c r="DS29" s="3910"/>
      <c r="DT29" s="3910"/>
      <c r="DU29" s="3910"/>
      <c r="DV29" s="3910"/>
      <c r="DW29" s="3910"/>
      <c r="DX29" s="3910"/>
      <c r="DY29" s="3910"/>
      <c r="DZ29" s="3910"/>
      <c r="EA29" s="3910"/>
      <c r="EB29" s="3910"/>
      <c r="EC29" s="3910"/>
      <c r="ED29" s="3910"/>
      <c r="EE29" s="3910"/>
      <c r="EF29" s="3910"/>
      <c r="EG29" s="3910"/>
      <c r="EH29" s="3910"/>
      <c r="EI29" s="3910"/>
      <c r="EJ29" s="3910"/>
      <c r="EK29" s="3910"/>
      <c r="EL29" s="3910"/>
      <c r="EM29" s="3910"/>
      <c r="EN29" s="3910"/>
      <c r="EO29" s="3910"/>
      <c r="EP29" s="3910"/>
      <c r="EQ29" s="3910"/>
      <c r="ER29" s="3910"/>
      <c r="ES29" s="3910"/>
      <c r="ET29" s="3910"/>
      <c r="EU29" s="3910"/>
      <c r="EV29" s="3910"/>
      <c r="EW29" s="3910"/>
      <c r="EX29" s="3910"/>
      <c r="EY29" s="3910"/>
      <c r="EZ29" s="3910"/>
      <c r="FA29" s="3910"/>
      <c r="FB29" s="3910"/>
      <c r="FC29" s="3910"/>
      <c r="FD29" s="3910"/>
      <c r="FE29" s="3910"/>
      <c r="FF29" s="3910"/>
      <c r="FG29" s="3910"/>
      <c r="FH29" s="3910"/>
      <c r="FI29" s="3910"/>
      <c r="FJ29" s="3910"/>
      <c r="FK29" s="3910"/>
      <c r="FL29" s="3910"/>
      <c r="FM29" s="3910"/>
      <c r="FN29" s="3910"/>
      <c r="FO29" s="3910"/>
      <c r="FP29" s="3910"/>
      <c r="FQ29" s="3910"/>
      <c r="FR29" s="3910"/>
      <c r="FS29" s="3910"/>
      <c r="FT29" s="3910"/>
      <c r="FU29" s="3910"/>
      <c r="FV29" s="3910"/>
      <c r="FW29" s="3910"/>
      <c r="FX29" s="3910"/>
      <c r="FY29" s="3910"/>
      <c r="FZ29" s="3910"/>
      <c r="GA29" s="3910"/>
      <c r="GB29" s="3910"/>
      <c r="GC29" s="3910"/>
      <c r="GD29" s="3910"/>
      <c r="GE29" s="3910"/>
      <c r="GF29" s="3910"/>
      <c r="GG29" s="3910"/>
      <c r="GH29" s="3910"/>
      <c r="GI29" s="3910"/>
      <c r="GJ29" s="3910"/>
      <c r="GK29" s="3910"/>
      <c r="GL29" s="3910"/>
      <c r="GM29" s="3910"/>
      <c r="GN29" s="3910"/>
      <c r="GO29" s="3910"/>
      <c r="GP29" s="3910"/>
      <c r="GQ29" s="3910"/>
      <c r="GR29" s="3910"/>
      <c r="GS29" s="3910"/>
      <c r="GT29" s="3910"/>
      <c r="GU29" s="3910"/>
      <c r="GV29" s="3910"/>
      <c r="GW29" s="3910"/>
      <c r="GX29" s="3910"/>
      <c r="GY29" s="3910"/>
      <c r="GZ29" s="3910"/>
      <c r="HA29" s="3910"/>
      <c r="HB29" s="3910"/>
      <c r="HC29" s="3910"/>
      <c r="HD29" s="3910"/>
      <c r="HE29" s="3910"/>
      <c r="HF29" s="3910"/>
      <c r="HG29" s="3910"/>
      <c r="HH29" s="3910"/>
      <c r="HI29" s="3910"/>
      <c r="HJ29" s="3910"/>
      <c r="HK29" s="3910"/>
      <c r="HL29" s="3910"/>
      <c r="HM29" s="3910"/>
      <c r="HN29" s="3910"/>
      <c r="HO29" s="3910"/>
      <c r="HP29" s="3910"/>
      <c r="HQ29" s="3910"/>
      <c r="HR29" s="3910"/>
      <c r="HS29" s="3910"/>
      <c r="HT29" s="3910"/>
      <c r="HU29" s="3910"/>
      <c r="HV29" s="3910"/>
      <c r="HW29" s="3910"/>
      <c r="HX29" s="3910"/>
      <c r="HY29" s="3910"/>
      <c r="HZ29" s="3910"/>
      <c r="IA29" s="3910"/>
      <c r="IB29" s="3910"/>
      <c r="IC29" s="3910"/>
      <c r="ID29" s="3910"/>
      <c r="IE29" s="3910"/>
      <c r="IF29" s="3910"/>
      <c r="IG29" s="3910"/>
      <c r="IH29" s="3910"/>
      <c r="II29" s="3910"/>
      <c r="IJ29" s="3910"/>
      <c r="IK29" s="3910"/>
      <c r="IL29" s="3910"/>
      <c r="IM29" s="3910"/>
      <c r="IN29" s="3910"/>
      <c r="IO29" s="3910"/>
      <c r="IP29" s="3910"/>
      <c r="IQ29" s="3910"/>
      <c r="IR29" s="3910"/>
      <c r="IS29" s="3910"/>
      <c r="IT29" s="3910"/>
      <c r="IU29" s="4022">
        <v>22000</v>
      </c>
      <c r="IV29" s="4022"/>
      <c r="IW29" s="3910"/>
      <c r="IX29" s="3910"/>
      <c r="IY29" s="3910"/>
      <c r="IZ29" s="3910"/>
      <c r="JA29" s="3910"/>
      <c r="JB29" s="3910"/>
      <c r="JC29" s="3910"/>
      <c r="JD29" s="3910"/>
      <c r="JE29" s="3910"/>
      <c r="JF29" s="3910"/>
      <c r="JG29" s="2092"/>
      <c r="JH29" s="1367"/>
      <c r="JI29" s="1566" t="s">
        <v>6094</v>
      </c>
      <c r="JJ29" s="1566" t="s">
        <v>6108</v>
      </c>
      <c r="JK29" s="1566" t="s">
        <v>3950</v>
      </c>
      <c r="JL29" s="1835"/>
    </row>
    <row ht="22.5" r="30" spans="1:272" x14ac:dyDescent="0.2">
      <c r="A30" s="1128">
        <v>29</v>
      </c>
      <c r="B30" s="1658" t="str">
        <f si="0" t="shared"/>
        <v/>
      </c>
      <c r="C30" s="1579" t="s">
        <v>3955</v>
      </c>
      <c r="D30" s="1392" t="s">
        <v>4915</v>
      </c>
      <c r="E30" s="1670" t="s">
        <v>4945</v>
      </c>
      <c r="F30" s="1673"/>
      <c r="G30" s="1673"/>
      <c r="H30" s="1673"/>
      <c r="I30" s="1674"/>
      <c r="J30" s="1674"/>
      <c r="K30" s="1674"/>
      <c r="L30" s="1675"/>
      <c r="M30" s="1675"/>
      <c r="N30" s="1675"/>
      <c r="O30" s="1893"/>
      <c r="P30" s="2038"/>
      <c r="Q30" s="2093"/>
      <c r="R30" s="2093"/>
      <c r="S30" s="2093"/>
      <c r="T30" s="3913"/>
      <c r="U30" s="3913"/>
      <c r="V30" s="3913"/>
      <c r="W30" s="3913"/>
      <c r="X30" s="3913"/>
      <c r="Y30" s="3913"/>
      <c r="Z30" s="3913"/>
      <c r="AA30" s="3913"/>
      <c r="AB30" s="3913"/>
      <c r="AC30" s="3913"/>
      <c r="AD30" s="3913"/>
      <c r="AE30" s="3913"/>
      <c r="AF30" s="3913"/>
      <c r="AG30" s="3913"/>
      <c r="AH30" s="3913"/>
      <c r="AI30" s="3913"/>
      <c r="AJ30" s="3913"/>
      <c r="AK30" s="3913"/>
      <c r="AL30" s="3913"/>
      <c r="AM30" s="3913"/>
      <c r="AN30" s="3913"/>
      <c r="AO30" s="3913"/>
      <c r="AP30" s="3913"/>
      <c r="AQ30" s="3913"/>
      <c r="AR30" s="3913"/>
      <c r="AS30" s="3913"/>
      <c r="AT30" s="3913"/>
      <c r="AU30" s="3913"/>
      <c r="AV30" s="3913"/>
      <c r="AW30" s="3913"/>
      <c r="AX30" s="3913"/>
      <c r="AY30" s="3913"/>
      <c r="AZ30" s="3913"/>
      <c r="BA30" s="3913"/>
      <c r="BB30" s="3913"/>
      <c r="BC30" s="3913"/>
      <c r="BD30" s="3913"/>
      <c r="BE30" s="3913"/>
      <c r="BF30" s="3913"/>
      <c r="BG30" s="1675"/>
      <c r="BH30" s="3913"/>
      <c r="BI30" s="3913"/>
      <c r="BJ30" s="3913"/>
      <c r="BK30" s="3913"/>
      <c r="BL30" s="3913"/>
      <c r="BM30" s="3913"/>
      <c r="BN30" s="3913"/>
      <c r="BO30" s="3913"/>
      <c r="BP30" s="3913"/>
      <c r="BQ30" s="3913"/>
      <c r="BR30" s="3913"/>
      <c r="BS30" s="3913"/>
      <c r="BT30" s="3913"/>
      <c r="BU30" s="3913"/>
      <c r="BV30" s="3913"/>
      <c r="BW30" s="3913"/>
      <c r="BX30" s="3913"/>
      <c r="BY30" s="3913"/>
      <c r="BZ30" s="3913"/>
      <c r="CA30" s="3913"/>
      <c r="CB30" s="3913"/>
      <c r="CC30" s="3913"/>
      <c r="CD30" s="3913"/>
      <c r="CE30" s="3913"/>
      <c r="CF30" s="3913"/>
      <c r="CG30" s="3913"/>
      <c r="CH30" s="3913"/>
      <c r="CI30" s="3913"/>
      <c r="CJ30" s="3913"/>
      <c r="CK30" s="3913"/>
      <c r="CL30" s="3913"/>
      <c r="CM30" s="3913"/>
      <c r="CN30" s="3913"/>
      <c r="CO30" s="3913"/>
      <c r="CP30" s="3913"/>
      <c r="CQ30" s="3913"/>
      <c r="CR30" s="3913"/>
      <c r="CS30" s="3913"/>
      <c r="CT30" s="3913"/>
      <c r="CU30" s="3913"/>
      <c r="CV30" s="3913"/>
      <c r="CW30" s="3913"/>
      <c r="CX30" s="3913"/>
      <c r="CY30" s="3913"/>
      <c r="CZ30" s="3913"/>
      <c r="DA30" s="3913"/>
      <c r="DB30" s="3913"/>
      <c r="DC30" s="3913"/>
      <c r="DD30" s="3913"/>
      <c r="DE30" s="3913"/>
      <c r="DF30" s="3913"/>
      <c r="DG30" s="3913"/>
      <c r="DH30" s="3913"/>
      <c r="DI30" s="3913"/>
      <c r="DJ30" s="3913"/>
      <c r="DK30" s="3913"/>
      <c r="DL30" s="3913"/>
      <c r="DM30" s="3913"/>
      <c r="DN30" s="3913"/>
      <c r="DO30" s="3913"/>
      <c r="DP30" s="3913"/>
      <c r="DQ30" s="3913"/>
      <c r="DR30" s="3913"/>
      <c r="DS30" s="3913"/>
      <c r="DT30" s="3913"/>
      <c r="DU30" s="3913"/>
      <c r="DV30" s="3913"/>
      <c r="DW30" s="3913"/>
      <c r="DX30" s="3913"/>
      <c r="DY30" s="3913"/>
      <c r="DZ30" s="3913"/>
      <c r="EA30" s="3913"/>
      <c r="EB30" s="3913"/>
      <c r="EC30" s="3913"/>
      <c r="ED30" s="3913"/>
      <c r="EE30" s="3913"/>
      <c r="EF30" s="3913"/>
      <c r="EG30" s="3913"/>
      <c r="EH30" s="3913"/>
      <c r="EI30" s="3913"/>
      <c r="EJ30" s="3913"/>
      <c r="EK30" s="3913"/>
      <c r="EL30" s="3913"/>
      <c r="EM30" s="3913"/>
      <c r="EN30" s="3913"/>
      <c r="EO30" s="3913"/>
      <c r="EP30" s="3913"/>
      <c r="EQ30" s="3913"/>
      <c r="ER30" s="3913"/>
      <c r="ES30" s="3913"/>
      <c r="ET30" s="3913"/>
      <c r="EU30" s="3913"/>
      <c r="EV30" s="3913"/>
      <c r="EW30" s="3913"/>
      <c r="EX30" s="3913"/>
      <c r="EY30" s="3913"/>
      <c r="EZ30" s="3913"/>
      <c r="FA30" s="3913"/>
      <c r="FB30" s="3913"/>
      <c r="FC30" s="3913"/>
      <c r="FD30" s="3913"/>
      <c r="FE30" s="3913"/>
      <c r="FF30" s="3913"/>
      <c r="FG30" s="3913"/>
      <c r="FH30" s="3913"/>
      <c r="FI30" s="3913"/>
      <c r="FJ30" s="3913"/>
      <c r="FK30" s="3913"/>
      <c r="FL30" s="3913"/>
      <c r="FM30" s="3913"/>
      <c r="FN30" s="3913"/>
      <c r="FO30" s="3913"/>
      <c r="FP30" s="3913"/>
      <c r="FQ30" s="3913"/>
      <c r="FR30" s="3913"/>
      <c r="FS30" s="3913"/>
      <c r="FT30" s="3913"/>
      <c r="FU30" s="3913"/>
      <c r="FV30" s="3913"/>
      <c r="FW30" s="3913"/>
      <c r="FX30" s="3913"/>
      <c r="FY30" s="3913"/>
      <c r="FZ30" s="3913"/>
      <c r="GA30" s="3913"/>
      <c r="GB30" s="3913"/>
      <c r="GC30" s="3913"/>
      <c r="GD30" s="3913"/>
      <c r="GE30" s="3913"/>
      <c r="GF30" s="3913"/>
      <c r="GG30" s="3913"/>
      <c r="GH30" s="3913"/>
      <c r="GI30" s="3913"/>
      <c r="GJ30" s="3913"/>
      <c r="GK30" s="3913"/>
      <c r="GL30" s="3913"/>
      <c r="GM30" s="3913"/>
      <c r="GN30" s="3913"/>
      <c r="GO30" s="3913"/>
      <c r="GP30" s="3913"/>
      <c r="GQ30" s="3913"/>
      <c r="GR30" s="3913"/>
      <c r="GS30" s="3913"/>
      <c r="GT30" s="3913"/>
      <c r="GU30" s="3913"/>
      <c r="GV30" s="3913"/>
      <c r="GW30" s="3913"/>
      <c r="GX30" s="3913"/>
      <c r="GY30" s="3913"/>
      <c r="GZ30" s="3913"/>
      <c r="HA30" s="3913"/>
      <c r="HB30" s="3913"/>
      <c r="HC30" s="3913"/>
      <c r="HD30" s="3913"/>
      <c r="HE30" s="3913"/>
      <c r="HF30" s="3913"/>
      <c r="HG30" s="3913"/>
      <c r="HH30" s="3913"/>
      <c r="HI30" s="3913"/>
      <c r="HJ30" s="3913"/>
      <c r="HK30" s="3913"/>
      <c r="HL30" s="3913"/>
      <c r="HM30" s="3913"/>
      <c r="HN30" s="3913"/>
      <c r="HO30" s="3913"/>
      <c r="HP30" s="3913"/>
      <c r="HQ30" s="3913"/>
      <c r="HR30" s="3913"/>
      <c r="HS30" s="3913"/>
      <c r="HT30" s="3913"/>
      <c r="HU30" s="3913"/>
      <c r="HV30" s="3913"/>
      <c r="HW30" s="3913"/>
      <c r="HX30" s="3913"/>
      <c r="HY30" s="3913"/>
      <c r="HZ30" s="3913"/>
      <c r="IA30" s="3913"/>
      <c r="IB30" s="3913"/>
      <c r="IC30" s="3913"/>
      <c r="ID30" s="3913"/>
      <c r="IE30" s="3913"/>
      <c r="IF30" s="3913"/>
      <c r="IG30" s="3913"/>
      <c r="IH30" s="3913"/>
      <c r="II30" s="3913"/>
      <c r="IJ30" s="3913"/>
      <c r="IK30" s="3913"/>
      <c r="IL30" s="3913"/>
      <c r="IM30" s="3913"/>
      <c r="IN30" s="3913"/>
      <c r="IO30" s="3913"/>
      <c r="IP30" s="3913"/>
      <c r="IQ30" s="3913"/>
      <c r="IR30" s="3913"/>
      <c r="IS30" s="3913"/>
      <c r="IT30" s="3913"/>
      <c r="IU30" s="4023" t="s">
        <v>8483</v>
      </c>
      <c r="IV30" s="4023"/>
      <c r="IW30" s="3913"/>
      <c r="IX30" s="3913"/>
      <c r="IY30" s="3913"/>
      <c r="IZ30" s="3913"/>
      <c r="JA30" s="3913"/>
      <c r="JB30" s="3913"/>
      <c r="JC30" s="3913"/>
      <c r="JD30" s="3913"/>
      <c r="JE30" s="3913"/>
      <c r="JF30" s="3913"/>
      <c r="JG30" s="2094"/>
      <c r="JH30" s="1367"/>
      <c r="JI30" s="1565" t="s">
        <v>5039</v>
      </c>
      <c r="JJ30" s="1566" t="s">
        <v>6109</v>
      </c>
      <c r="JK30" s="1835"/>
      <c r="JL30" s="1835"/>
    </row>
    <row ht="90" r="31" spans="1:272" x14ac:dyDescent="0.2">
      <c r="A31" s="1128">
        <v>30</v>
      </c>
      <c r="B31" s="1656" t="str">
        <f si="0" t="shared"/>
        <v/>
      </c>
      <c r="C31" s="1579" t="s">
        <v>3956</v>
      </c>
      <c r="D31" s="1392" t="str">
        <f>"If, during "&amp;tax_year&amp;", you  submitted a Real Time Transaction Tax return for the disposal of listed shares or securities, put the overall gain or loss in the box -  include the  individual amounts of gains or losses in  box 26 and losses in box 27"</f>
        <v>If, during 2019-20, you  submitted a Real Time Transaction Tax return for the disposal of listed shares or securities, put the overall gain or loss in the box -  include the  individual amounts of gains or losses in  box 26 and losses in box 27</v>
      </c>
      <c r="E31" s="1346"/>
      <c r="F31" s="1346"/>
      <c r="G31" s="1346"/>
      <c r="H31" s="1346"/>
      <c r="I31" s="1346"/>
      <c r="J31" s="1346"/>
      <c r="K31" s="1346"/>
      <c r="L31" s="1346"/>
      <c r="M31" s="1346"/>
      <c r="N31" s="1346"/>
      <c r="O31" s="1884"/>
      <c r="P31" s="2033"/>
      <c r="Q31" s="2073"/>
      <c r="R31" s="2073"/>
      <c r="S31" s="2073"/>
      <c r="T31" s="2348"/>
      <c r="U31" s="2348"/>
      <c r="V31" s="2348"/>
      <c r="W31" s="2348"/>
      <c r="X31" s="2348"/>
      <c r="Y31" s="2348"/>
      <c r="Z31" s="2348"/>
      <c r="AA31" s="2348"/>
      <c r="AB31" s="2348"/>
      <c r="AC31" s="2348"/>
      <c r="AD31" s="2348"/>
      <c r="AE31" s="2348"/>
      <c r="AF31" s="2348"/>
      <c r="AG31" s="2348"/>
      <c r="AH31" s="2348"/>
      <c r="AI31" s="2348"/>
      <c r="AJ31" s="2348"/>
      <c r="AK31" s="2348"/>
      <c r="AL31" s="2348"/>
      <c r="AM31" s="2348"/>
      <c r="AN31" s="2348"/>
      <c r="AO31" s="2348"/>
      <c r="AP31" s="2348"/>
      <c r="AQ31" s="2348"/>
      <c r="AR31" s="2348"/>
      <c r="AS31" s="2348"/>
      <c r="AT31" s="2348"/>
      <c r="AU31" s="2348"/>
      <c r="AV31" s="2348"/>
      <c r="AW31" s="2348"/>
      <c r="AX31" s="2348"/>
      <c r="AY31" s="2348"/>
      <c r="AZ31" s="2348"/>
      <c r="BA31" s="2348"/>
      <c r="BB31" s="2348"/>
      <c r="BC31" s="2348"/>
      <c r="BD31" s="2348"/>
      <c r="BE31" s="2348"/>
      <c r="BF31" s="2348"/>
      <c r="BG31" s="1346"/>
      <c r="BH31" s="2348"/>
      <c r="BI31" s="2348"/>
      <c r="BJ31" s="2348"/>
      <c r="BK31" s="2348"/>
      <c r="BL31" s="2348"/>
      <c r="BM31" s="2348"/>
      <c r="BN31" s="2348"/>
      <c r="BO31" s="2348"/>
      <c r="BP31" s="2348"/>
      <c r="BQ31" s="2348"/>
      <c r="BR31" s="2348"/>
      <c r="BS31" s="2348"/>
      <c r="BT31" s="2348"/>
      <c r="BU31" s="2348"/>
      <c r="BV31" s="2348"/>
      <c r="BW31" s="2348"/>
      <c r="BX31" s="2348"/>
      <c r="BY31" s="2348"/>
      <c r="BZ31" s="2348"/>
      <c r="CA31" s="2348"/>
      <c r="CB31" s="2348"/>
      <c r="CC31" s="2348"/>
      <c r="CD31" s="2348"/>
      <c r="CE31" s="2348"/>
      <c r="CF31" s="2348"/>
      <c r="CG31" s="2348"/>
      <c r="CH31" s="2348"/>
      <c r="CI31" s="2348"/>
      <c r="CJ31" s="2348"/>
      <c r="CK31" s="2348"/>
      <c r="CL31" s="2348"/>
      <c r="CM31" s="2348"/>
      <c r="CN31" s="2348"/>
      <c r="CO31" s="2348"/>
      <c r="CP31" s="2348"/>
      <c r="CQ31" s="2348"/>
      <c r="CR31" s="2348"/>
      <c r="CS31" s="2348"/>
      <c r="CT31" s="2348"/>
      <c r="CU31" s="2348"/>
      <c r="CV31" s="2348"/>
      <c r="CW31" s="2348"/>
      <c r="CX31" s="2348"/>
      <c r="CY31" s="2348"/>
      <c r="CZ31" s="2348"/>
      <c r="DA31" s="2348"/>
      <c r="DB31" s="2348"/>
      <c r="DC31" s="2348"/>
      <c r="DD31" s="2348"/>
      <c r="DE31" s="2348"/>
      <c r="DF31" s="2348"/>
      <c r="DG31" s="2348"/>
      <c r="DH31" s="2348"/>
      <c r="DI31" s="2348"/>
      <c r="DJ31" s="2348"/>
      <c r="DK31" s="2348"/>
      <c r="DL31" s="2348"/>
      <c r="DM31" s="2348"/>
      <c r="DN31" s="2348"/>
      <c r="DO31" s="2348"/>
      <c r="DP31" s="2348"/>
      <c r="DQ31" s="2348"/>
      <c r="DR31" s="2348"/>
      <c r="DS31" s="2348"/>
      <c r="DT31" s="2348"/>
      <c r="DU31" s="2348"/>
      <c r="DV31" s="2348"/>
      <c r="DW31" s="2348"/>
      <c r="DX31" s="2348"/>
      <c r="DY31" s="2348"/>
      <c r="DZ31" s="2348"/>
      <c r="EA31" s="2348"/>
      <c r="EB31" s="2348"/>
      <c r="EC31" s="2348"/>
      <c r="ED31" s="2348"/>
      <c r="EE31" s="2348"/>
      <c r="EF31" s="2348"/>
      <c r="EG31" s="2348"/>
      <c r="EH31" s="2348"/>
      <c r="EI31" s="2348"/>
      <c r="EJ31" s="2348"/>
      <c r="EK31" s="2348"/>
      <c r="EL31" s="2348"/>
      <c r="EM31" s="2348"/>
      <c r="EN31" s="2348"/>
      <c r="EO31" s="2348"/>
      <c r="EP31" s="2348"/>
      <c r="EQ31" s="2348"/>
      <c r="ER31" s="2348"/>
      <c r="ES31" s="2348"/>
      <c r="ET31" s="2348"/>
      <c r="EU31" s="2348"/>
      <c r="EV31" s="2348"/>
      <c r="EW31" s="2348"/>
      <c r="EX31" s="2348"/>
      <c r="EY31" s="2348"/>
      <c r="EZ31" s="2348"/>
      <c r="FA31" s="2348"/>
      <c r="FB31" s="2348"/>
      <c r="FC31" s="2348"/>
      <c r="FD31" s="2348"/>
      <c r="FE31" s="2348"/>
      <c r="FF31" s="2348"/>
      <c r="FG31" s="2348"/>
      <c r="FH31" s="2348"/>
      <c r="FI31" s="2348"/>
      <c r="FJ31" s="2348"/>
      <c r="FK31" s="2348"/>
      <c r="FL31" s="2348"/>
      <c r="FM31" s="2348"/>
      <c r="FN31" s="2348"/>
      <c r="FO31" s="2348"/>
      <c r="FP31" s="2348"/>
      <c r="FQ31" s="2348"/>
      <c r="FR31" s="2348"/>
      <c r="FS31" s="2348"/>
      <c r="FT31" s="2348"/>
      <c r="FU31" s="2348"/>
      <c r="FV31" s="2348"/>
      <c r="FW31" s="2348"/>
      <c r="FX31" s="2348"/>
      <c r="FY31" s="2348"/>
      <c r="FZ31" s="2348"/>
      <c r="GA31" s="2348"/>
      <c r="GB31" s="2348"/>
      <c r="GC31" s="2348"/>
      <c r="GD31" s="2348"/>
      <c r="GE31" s="2348"/>
      <c r="GF31" s="2348"/>
      <c r="GG31" s="2348"/>
      <c r="GH31" s="2348"/>
      <c r="GI31" s="2348"/>
      <c r="GJ31" s="2348"/>
      <c r="GK31" s="2348"/>
      <c r="GL31" s="2348"/>
      <c r="GM31" s="2348"/>
      <c r="GN31" s="2348"/>
      <c r="GO31" s="2348"/>
      <c r="GP31" s="2348"/>
      <c r="GQ31" s="2348"/>
      <c r="GR31" s="2348"/>
      <c r="GS31" s="2348"/>
      <c r="GT31" s="2348"/>
      <c r="GU31" s="2348"/>
      <c r="GV31" s="2348"/>
      <c r="GW31" s="2348"/>
      <c r="GX31" s="2348"/>
      <c r="GY31" s="2348"/>
      <c r="GZ31" s="2348"/>
      <c r="HA31" s="2348"/>
      <c r="HB31" s="2348"/>
      <c r="HC31" s="2348"/>
      <c r="HD31" s="2348"/>
      <c r="HE31" s="2348"/>
      <c r="HF31" s="2348"/>
      <c r="HG31" s="2348"/>
      <c r="HH31" s="2348"/>
      <c r="HI31" s="2348"/>
      <c r="HJ31" s="2348"/>
      <c r="HK31" s="2348"/>
      <c r="HL31" s="2348"/>
      <c r="HM31" s="2348"/>
      <c r="HN31" s="2348"/>
      <c r="HO31" s="2348"/>
      <c r="HP31" s="2348"/>
      <c r="HQ31" s="2348"/>
      <c r="HR31" s="2348"/>
      <c r="HS31" s="2348"/>
      <c r="HT31" s="2348"/>
      <c r="HU31" s="2348"/>
      <c r="HV31" s="2348"/>
      <c r="HW31" s="2348"/>
      <c r="HX31" s="2348"/>
      <c r="HY31" s="2348"/>
      <c r="HZ31" s="2348"/>
      <c r="IA31" s="2348"/>
      <c r="IB31" s="2348"/>
      <c r="IC31" s="2348"/>
      <c r="ID31" s="2348"/>
      <c r="IE31" s="2348"/>
      <c r="IF31" s="2348"/>
      <c r="IG31" s="2348"/>
      <c r="IH31" s="2348"/>
      <c r="II31" s="2348"/>
      <c r="IJ31" s="2348"/>
      <c r="IK31" s="2348"/>
      <c r="IL31" s="2348"/>
      <c r="IM31" s="2348"/>
      <c r="IN31" s="2348"/>
      <c r="IO31" s="2348"/>
      <c r="IP31" s="2348"/>
      <c r="IQ31" s="2348"/>
      <c r="IR31" s="2348"/>
      <c r="IS31" s="2348"/>
      <c r="IT31" s="2348"/>
      <c r="IU31" s="2348"/>
      <c r="IV31" s="2348"/>
      <c r="IW31" s="2348"/>
      <c r="IX31" s="2348"/>
      <c r="IY31" s="2348"/>
      <c r="IZ31" s="2348"/>
      <c r="JA31" s="2348"/>
      <c r="JB31" s="2348"/>
      <c r="JC31" s="2348"/>
      <c r="JD31" s="2348"/>
      <c r="JE31" s="2348"/>
      <c r="JF31" s="2348"/>
      <c r="JG31" s="2085"/>
      <c r="JH31" s="1368"/>
      <c r="JI31" s="1566" t="s">
        <v>7298</v>
      </c>
      <c r="JJ31" s="1566" t="s">
        <v>6110</v>
      </c>
      <c r="JK31" s="1835"/>
      <c r="JL31" s="1835"/>
    </row>
    <row ht="22.5" r="32" spans="1:272" x14ac:dyDescent="0.2">
      <c r="A32" s="1128">
        <v>31</v>
      </c>
      <c r="B32" s="1656" t="str">
        <f si="0" t="shared"/>
        <v/>
      </c>
      <c r="C32" s="1828" t="s">
        <v>580</v>
      </c>
      <c r="D32" s="1392" t="s">
        <v>5306</v>
      </c>
      <c r="E32" s="1529"/>
      <c r="F32" s="1529"/>
      <c r="G32" s="1529"/>
      <c r="H32" s="1529"/>
      <c r="I32" s="1529"/>
      <c r="J32" s="1529"/>
      <c r="K32" s="1529"/>
      <c r="L32" s="1529"/>
      <c r="M32" s="1529"/>
      <c r="N32" s="1529"/>
      <c r="O32" s="1886"/>
      <c r="P32" s="2035"/>
      <c r="Q32" s="2035"/>
      <c r="R32" s="2035"/>
      <c r="S32" s="2035"/>
      <c r="T32" s="3905"/>
      <c r="U32" s="3905"/>
      <c r="V32" s="3905"/>
      <c r="W32" s="3905"/>
      <c r="X32" s="3905"/>
      <c r="Y32" s="3905"/>
      <c r="Z32" s="3905"/>
      <c r="AA32" s="3905"/>
      <c r="AB32" s="3905"/>
      <c r="AC32" s="3905"/>
      <c r="AD32" s="3905"/>
      <c r="AE32" s="3905"/>
      <c r="AF32" s="3905"/>
      <c r="AG32" s="3905"/>
      <c r="AH32" s="3905"/>
      <c r="AI32" s="3905"/>
      <c r="AJ32" s="3905"/>
      <c r="AK32" s="3905"/>
      <c r="AL32" s="3905"/>
      <c r="AM32" s="3905"/>
      <c r="AN32" s="3905"/>
      <c r="AO32" s="3905"/>
      <c r="AP32" s="3905"/>
      <c r="AQ32" s="3905"/>
      <c r="AR32" s="3905"/>
      <c r="AS32" s="3905"/>
      <c r="AT32" s="3905"/>
      <c r="AU32" s="3905"/>
      <c r="AV32" s="3905"/>
      <c r="AW32" s="3905"/>
      <c r="AX32" s="3905"/>
      <c r="AY32" s="3905"/>
      <c r="AZ32" s="3905"/>
      <c r="BA32" s="3905"/>
      <c r="BB32" s="3905"/>
      <c r="BC32" s="3905"/>
      <c r="BD32" s="3905"/>
      <c r="BE32" s="3905"/>
      <c r="BF32" s="3905"/>
      <c r="BG32" s="1529"/>
      <c r="BH32" s="3905"/>
      <c r="BI32" s="3905"/>
      <c r="BJ32" s="3905"/>
      <c r="BK32" s="3905"/>
      <c r="BL32" s="3905"/>
      <c r="BM32" s="3905"/>
      <c r="BN32" s="3905"/>
      <c r="BO32" s="3905"/>
      <c r="BP32" s="3905"/>
      <c r="BQ32" s="3905"/>
      <c r="BR32" s="3905"/>
      <c r="BS32" s="3905"/>
      <c r="BT32" s="3905"/>
      <c r="BU32" s="3905"/>
      <c r="BV32" s="3905"/>
      <c r="BW32" s="3905"/>
      <c r="BX32" s="3905"/>
      <c r="BY32" s="3905"/>
      <c r="BZ32" s="3905"/>
      <c r="CA32" s="3905"/>
      <c r="CB32" s="3905"/>
      <c r="CC32" s="3905"/>
      <c r="CD32" s="3905"/>
      <c r="CE32" s="3905"/>
      <c r="CF32" s="3905"/>
      <c r="CG32" s="3905"/>
      <c r="CH32" s="3905"/>
      <c r="CI32" s="3905"/>
      <c r="CJ32" s="3905"/>
      <c r="CK32" s="3905"/>
      <c r="CL32" s="3905"/>
      <c r="CM32" s="3905"/>
      <c r="CN32" s="3905"/>
      <c r="CO32" s="3905"/>
      <c r="CP32" s="3905"/>
      <c r="CQ32" s="3905"/>
      <c r="CR32" s="3905"/>
      <c r="CS32" s="3905"/>
      <c r="CT32" s="3905"/>
      <c r="CU32" s="3905"/>
      <c r="CV32" s="3905"/>
      <c r="CW32" s="3905"/>
      <c r="CX32" s="3905"/>
      <c r="CY32" s="3905"/>
      <c r="CZ32" s="3905"/>
      <c r="DA32" s="3905"/>
      <c r="DB32" s="3905"/>
      <c r="DC32" s="3905"/>
      <c r="DD32" s="3905"/>
      <c r="DE32" s="3905"/>
      <c r="DF32" s="3905"/>
      <c r="DG32" s="3905"/>
      <c r="DH32" s="3905"/>
      <c r="DI32" s="3905"/>
      <c r="DJ32" s="3905"/>
      <c r="DK32" s="3905"/>
      <c r="DL32" s="3905"/>
      <c r="DM32" s="3905"/>
      <c r="DN32" s="3905"/>
      <c r="DO32" s="3905"/>
      <c r="DP32" s="3905"/>
      <c r="DQ32" s="3905"/>
      <c r="DR32" s="3905"/>
      <c r="DS32" s="3905"/>
      <c r="DT32" s="3905"/>
      <c r="DU32" s="3905"/>
      <c r="DV32" s="3905"/>
      <c r="DW32" s="3905"/>
      <c r="DX32" s="3905"/>
      <c r="DY32" s="3905"/>
      <c r="DZ32" s="3905"/>
      <c r="EA32" s="3905"/>
      <c r="EB32" s="3905"/>
      <c r="EC32" s="3905"/>
      <c r="ED32" s="3905"/>
      <c r="EE32" s="3905"/>
      <c r="EF32" s="3905"/>
      <c r="EG32" s="3905"/>
      <c r="EH32" s="3905"/>
      <c r="EI32" s="3905"/>
      <c r="EJ32" s="3905"/>
      <c r="EK32" s="3905"/>
      <c r="EL32" s="3905"/>
      <c r="EM32" s="3905"/>
      <c r="EN32" s="3905"/>
      <c r="EO32" s="3905"/>
      <c r="EP32" s="3905"/>
      <c r="EQ32" s="3905"/>
      <c r="ER32" s="3905"/>
      <c r="ES32" s="3905"/>
      <c r="ET32" s="3905"/>
      <c r="EU32" s="3905"/>
      <c r="EV32" s="3905"/>
      <c r="EW32" s="3905"/>
      <c r="EX32" s="3905"/>
      <c r="EY32" s="3905"/>
      <c r="EZ32" s="3905"/>
      <c r="FA32" s="3905"/>
      <c r="FB32" s="3905"/>
      <c r="FC32" s="3905"/>
      <c r="FD32" s="3905"/>
      <c r="FE32" s="3905"/>
      <c r="FF32" s="3905"/>
      <c r="FG32" s="3905"/>
      <c r="FH32" s="3905"/>
      <c r="FI32" s="3905"/>
      <c r="FJ32" s="3905"/>
      <c r="FK32" s="3905"/>
      <c r="FL32" s="3905"/>
      <c r="FM32" s="3905"/>
      <c r="FN32" s="3905"/>
      <c r="FO32" s="3905"/>
      <c r="FP32" s="3905"/>
      <c r="FQ32" s="3905"/>
      <c r="FR32" s="3905"/>
      <c r="FS32" s="3905"/>
      <c r="FT32" s="3905"/>
      <c r="FU32" s="3905"/>
      <c r="FV32" s="3905"/>
      <c r="FW32" s="3905"/>
      <c r="FX32" s="3905"/>
      <c r="FY32" s="3905"/>
      <c r="FZ32" s="3905"/>
      <c r="GA32" s="3905"/>
      <c r="GB32" s="3905"/>
      <c r="GC32" s="3905"/>
      <c r="GD32" s="3905"/>
      <c r="GE32" s="3905"/>
      <c r="GF32" s="3905"/>
      <c r="GG32" s="3905"/>
      <c r="GH32" s="3905"/>
      <c r="GI32" s="3905"/>
      <c r="GJ32" s="3905"/>
      <c r="GK32" s="3905"/>
      <c r="GL32" s="3905"/>
      <c r="GM32" s="3905"/>
      <c r="GN32" s="3905"/>
      <c r="GO32" s="3905"/>
      <c r="GP32" s="3905"/>
      <c r="GQ32" s="3905"/>
      <c r="GR32" s="3905"/>
      <c r="GS32" s="3905"/>
      <c r="GT32" s="3905"/>
      <c r="GU32" s="3905"/>
      <c r="GV32" s="3905"/>
      <c r="GW32" s="3905"/>
      <c r="GX32" s="3905"/>
      <c r="GY32" s="3905"/>
      <c r="GZ32" s="3905"/>
      <c r="HA32" s="3905"/>
      <c r="HB32" s="3905"/>
      <c r="HC32" s="3905"/>
      <c r="HD32" s="3905"/>
      <c r="HE32" s="3905"/>
      <c r="HF32" s="3905"/>
      <c r="HG32" s="3905"/>
      <c r="HH32" s="3905"/>
      <c r="HI32" s="3905"/>
      <c r="HJ32" s="3905"/>
      <c r="HK32" s="3905"/>
      <c r="HL32" s="3905"/>
      <c r="HM32" s="3905"/>
      <c r="HN32" s="3905"/>
      <c r="HO32" s="3905"/>
      <c r="HP32" s="3905"/>
      <c r="HQ32" s="3905"/>
      <c r="HR32" s="3905"/>
      <c r="HS32" s="3905"/>
      <c r="HT32" s="3905"/>
      <c r="HU32" s="3905"/>
      <c r="HV32" s="3905"/>
      <c r="HW32" s="3905"/>
      <c r="HX32" s="3905"/>
      <c r="HY32" s="3905"/>
      <c r="HZ32" s="3905"/>
      <c r="IA32" s="3905"/>
      <c r="IB32" s="3905"/>
      <c r="IC32" s="3905"/>
      <c r="ID32" s="3905"/>
      <c r="IE32" s="3905"/>
      <c r="IF32" s="3905"/>
      <c r="IG32" s="3905"/>
      <c r="IH32" s="3905"/>
      <c r="II32" s="3905"/>
      <c r="IJ32" s="3905"/>
      <c r="IK32" s="3905"/>
      <c r="IL32" s="3905"/>
      <c r="IM32" s="3905"/>
      <c r="IN32" s="3905"/>
      <c r="IO32" s="3905"/>
      <c r="IP32" s="3905"/>
      <c r="IQ32" s="3905"/>
      <c r="IR32" s="3905"/>
      <c r="IS32" s="3905"/>
      <c r="IT32" s="3905"/>
      <c r="IU32" s="3905"/>
      <c r="IV32" s="3905"/>
      <c r="IW32" s="3905"/>
      <c r="IX32" s="3905"/>
      <c r="IY32" s="3905"/>
      <c r="IZ32" s="3905"/>
      <c r="JA32" s="3905"/>
      <c r="JB32" s="3905"/>
      <c r="JC32" s="3905"/>
      <c r="JD32" s="3905"/>
      <c r="JE32" s="3905"/>
      <c r="JF32" s="3905"/>
      <c r="JG32" s="2088"/>
      <c r="JH32" s="1367"/>
      <c r="JI32" s="1565"/>
      <c r="JJ32" s="1566" t="s">
        <v>6108</v>
      </c>
      <c r="JK32" s="1835"/>
      <c r="JL32" s="1835"/>
    </row>
    <row r="33" spans="1:272" x14ac:dyDescent="0.2">
      <c r="A33" s="1128">
        <v>32</v>
      </c>
      <c r="B33" s="1657" t="str">
        <f si="0" t="shared"/>
        <v/>
      </c>
      <c r="C33" s="1579" t="s">
        <v>581</v>
      </c>
      <c r="D33" s="1392" t="s">
        <v>4911</v>
      </c>
      <c r="E33" s="1667"/>
      <c r="F33" s="1669">
        <v>1</v>
      </c>
      <c r="G33" s="1669">
        <v>1</v>
      </c>
      <c r="H33" s="1669"/>
      <c r="I33" s="1669"/>
      <c r="J33" s="1836">
        <v>1</v>
      </c>
      <c r="K33" s="1667">
        <v>1</v>
      </c>
      <c r="L33" s="1669">
        <v>1</v>
      </c>
      <c r="M33" s="1669"/>
      <c r="N33" s="1669"/>
      <c r="O33" s="1894"/>
      <c r="P33" s="2039"/>
      <c r="Q33" s="2095"/>
      <c r="R33" s="2095"/>
      <c r="S33" s="2095"/>
      <c r="T33" s="3914"/>
      <c r="U33" s="3914"/>
      <c r="V33" s="3914"/>
      <c r="W33" s="3914"/>
      <c r="X33" s="3914"/>
      <c r="Y33" s="3914"/>
      <c r="Z33" s="3914"/>
      <c r="AA33" s="3914"/>
      <c r="AB33" s="3914"/>
      <c r="AC33" s="3914"/>
      <c r="AD33" s="3914"/>
      <c r="AE33" s="3914"/>
      <c r="AF33" s="3914"/>
      <c r="AG33" s="3914"/>
      <c r="AH33" s="3914"/>
      <c r="AI33" s="3914"/>
      <c r="AJ33" s="3914"/>
      <c r="AK33" s="3914"/>
      <c r="AL33" s="3914"/>
      <c r="AM33" s="3914"/>
      <c r="AN33" s="3914"/>
      <c r="AO33" s="3914"/>
      <c r="AP33" s="3914"/>
      <c r="AQ33" s="3914"/>
      <c r="AR33" s="3914"/>
      <c r="AS33" s="3914"/>
      <c r="AT33" s="3914"/>
      <c r="AU33" s="3914"/>
      <c r="AV33" s="3914"/>
      <c r="AW33" s="3914"/>
      <c r="AX33" s="3914"/>
      <c r="AY33" s="3914"/>
      <c r="AZ33" s="3914"/>
      <c r="BA33" s="3914"/>
      <c r="BB33" s="3914"/>
      <c r="BC33" s="3914"/>
      <c r="BD33" s="3914"/>
      <c r="BE33" s="3914"/>
      <c r="BF33" s="3914"/>
      <c r="BG33" s="3950">
        <v>1</v>
      </c>
      <c r="BH33" s="3914"/>
      <c r="BI33" s="3914"/>
      <c r="BJ33" s="3914"/>
      <c r="BK33" s="3914"/>
      <c r="BL33" s="3914"/>
      <c r="BM33" s="3914"/>
      <c r="BN33" s="3914"/>
      <c r="BO33" s="3914"/>
      <c r="BP33" s="3914"/>
      <c r="BQ33" s="3914"/>
      <c r="BR33" s="3914"/>
      <c r="BS33" s="3914"/>
      <c r="BT33" s="3914"/>
      <c r="BU33" s="3914"/>
      <c r="BV33" s="3914"/>
      <c r="BW33" s="3914"/>
      <c r="BX33" s="3914"/>
      <c r="BY33" s="3914"/>
      <c r="BZ33" s="3914"/>
      <c r="CA33" s="3914"/>
      <c r="CB33" s="3914"/>
      <c r="CC33" s="3914"/>
      <c r="CD33" s="3914"/>
      <c r="CE33" s="3914"/>
      <c r="CF33" s="3914"/>
      <c r="CG33" s="3914"/>
      <c r="CH33" s="3914"/>
      <c r="CI33" s="3914"/>
      <c r="CJ33" s="3914"/>
      <c r="CK33" s="3914"/>
      <c r="CL33" s="3914"/>
      <c r="CM33" s="3914"/>
      <c r="CN33" s="3914"/>
      <c r="CO33" s="3914"/>
      <c r="CP33" s="3914"/>
      <c r="CQ33" s="3914"/>
      <c r="CR33" s="3914"/>
      <c r="CS33" s="3914"/>
      <c r="CT33" s="3914"/>
      <c r="CU33" s="3914"/>
      <c r="CV33" s="3914"/>
      <c r="CW33" s="3914"/>
      <c r="CX33" s="3914"/>
      <c r="CY33" s="3914"/>
      <c r="CZ33" s="3914"/>
      <c r="DA33" s="3914"/>
      <c r="DB33" s="3914"/>
      <c r="DC33" s="3914"/>
      <c r="DD33" s="3914"/>
      <c r="DE33" s="3914"/>
      <c r="DF33" s="3914"/>
      <c r="DG33" s="3914"/>
      <c r="DH33" s="3914"/>
      <c r="DI33" s="3914"/>
      <c r="DJ33" s="3914"/>
      <c r="DK33" s="3914"/>
      <c r="DL33" s="3914"/>
      <c r="DM33" s="3914"/>
      <c r="DN33" s="3914"/>
      <c r="DO33" s="3914"/>
      <c r="DP33" s="3914"/>
      <c r="DQ33" s="3914"/>
      <c r="DR33" s="3914"/>
      <c r="DS33" s="3914"/>
      <c r="DT33" s="3914"/>
      <c r="DU33" s="3914"/>
      <c r="DV33" s="3914"/>
      <c r="DW33" s="3914"/>
      <c r="DX33" s="3914"/>
      <c r="DY33" s="3914"/>
      <c r="DZ33" s="3914"/>
      <c r="EA33" s="3914"/>
      <c r="EB33" s="3914"/>
      <c r="EC33" s="3914"/>
      <c r="ED33" s="3914"/>
      <c r="EE33" s="3914"/>
      <c r="EF33" s="3914"/>
      <c r="EG33" s="3914"/>
      <c r="EH33" s="3914"/>
      <c r="EI33" s="3914"/>
      <c r="EJ33" s="3914"/>
      <c r="EK33" s="3914"/>
      <c r="EL33" s="3914"/>
      <c r="EM33" s="3914"/>
      <c r="EN33" s="3914"/>
      <c r="EO33" s="3914"/>
      <c r="EP33" s="3914"/>
      <c r="EQ33" s="3914"/>
      <c r="ER33" s="3914"/>
      <c r="ES33" s="3914"/>
      <c r="ET33" s="3914"/>
      <c r="EU33" s="3914"/>
      <c r="EV33" s="3914"/>
      <c r="EW33" s="3914"/>
      <c r="EX33" s="3914"/>
      <c r="EY33" s="3914"/>
      <c r="EZ33" s="3914"/>
      <c r="FA33" s="3914"/>
      <c r="FB33" s="3914"/>
      <c r="FC33" s="3914"/>
      <c r="FD33" s="3914"/>
      <c r="FE33" s="3914"/>
      <c r="FF33" s="3914"/>
      <c r="FG33" s="3914"/>
      <c r="FH33" s="3914"/>
      <c r="FI33" s="3914"/>
      <c r="FJ33" s="3914"/>
      <c r="FK33" s="3914"/>
      <c r="FL33" s="3914"/>
      <c r="FM33" s="3914"/>
      <c r="FN33" s="3914"/>
      <c r="FO33" s="3914"/>
      <c r="FP33" s="3914"/>
      <c r="FQ33" s="3914"/>
      <c r="FR33" s="3914"/>
      <c r="FS33" s="3914"/>
      <c r="FT33" s="3914"/>
      <c r="FU33" s="3914"/>
      <c r="FV33" s="3914"/>
      <c r="FW33" s="3914"/>
      <c r="FX33" s="3914"/>
      <c r="FY33" s="3914"/>
      <c r="FZ33" s="3914"/>
      <c r="GA33" s="3914"/>
      <c r="GB33" s="3914"/>
      <c r="GC33" s="3914"/>
      <c r="GD33" s="3914"/>
      <c r="GE33" s="3914"/>
      <c r="GF33" s="3914"/>
      <c r="GG33" s="3914"/>
      <c r="GH33" s="3914"/>
      <c r="GI33" s="3914"/>
      <c r="GJ33" s="3914"/>
      <c r="GK33" s="3914"/>
      <c r="GL33" s="3914"/>
      <c r="GM33" s="3914"/>
      <c r="GN33" s="3914"/>
      <c r="GO33" s="3914"/>
      <c r="GP33" s="3914"/>
      <c r="GQ33" s="3914"/>
      <c r="GR33" s="3914"/>
      <c r="GS33" s="3914"/>
      <c r="GT33" s="3914"/>
      <c r="GU33" s="3950">
        <v>1</v>
      </c>
      <c r="GV33" s="3914"/>
      <c r="GW33" s="3914"/>
      <c r="GX33" s="3914"/>
      <c r="GY33" s="3914"/>
      <c r="GZ33" s="3914"/>
      <c r="HA33" s="3914"/>
      <c r="HB33" s="3914"/>
      <c r="HC33" s="3914"/>
      <c r="HD33" s="3914"/>
      <c r="HE33" s="3914"/>
      <c r="HF33" s="3914"/>
      <c r="HG33" s="3914"/>
      <c r="HH33" s="3914"/>
      <c r="HI33" s="3914"/>
      <c r="HJ33" s="3914"/>
      <c r="HK33" s="3914"/>
      <c r="HL33" s="3914"/>
      <c r="HM33" s="3914"/>
      <c r="HN33" s="3914"/>
      <c r="HO33" s="3914"/>
      <c r="HP33" s="3914"/>
      <c r="HQ33" s="3914"/>
      <c r="HR33" s="3914"/>
      <c r="HS33" s="3914"/>
      <c r="HT33" s="3914"/>
      <c r="HU33" s="3914"/>
      <c r="HV33" s="3914"/>
      <c r="HW33" s="3914"/>
      <c r="HX33" s="3914"/>
      <c r="HY33" s="3914"/>
      <c r="HZ33" s="3914"/>
      <c r="IA33" s="3914"/>
      <c r="IB33" s="3914"/>
      <c r="IC33" s="3914"/>
      <c r="ID33" s="3914"/>
      <c r="IE33" s="3914"/>
      <c r="IF33" s="3914"/>
      <c r="IG33" s="3914"/>
      <c r="IH33" s="3914"/>
      <c r="II33" s="3914"/>
      <c r="IJ33" s="3914"/>
      <c r="IK33" s="3914"/>
      <c r="IL33" s="3914"/>
      <c r="IM33" s="3914"/>
      <c r="IN33" s="3914"/>
      <c r="IO33" s="3914"/>
      <c r="IP33" s="3914"/>
      <c r="IQ33" s="3914"/>
      <c r="IR33" s="3914"/>
      <c r="IS33" s="3914"/>
      <c r="IT33" s="3914"/>
      <c r="IU33" s="3914"/>
      <c r="IV33" s="3914"/>
      <c r="IW33" s="3914"/>
      <c r="IX33" s="3914"/>
      <c r="IY33" s="3914"/>
      <c r="IZ33" s="3914"/>
      <c r="JA33" s="3914"/>
      <c r="JB33" s="3914"/>
      <c r="JC33" s="3914"/>
      <c r="JD33" s="3914"/>
      <c r="JE33" s="3914"/>
      <c r="JF33" s="3914"/>
      <c r="JG33" s="2096"/>
      <c r="JH33" s="1367"/>
      <c r="JI33" s="1565"/>
      <c r="JJ33" s="1566" t="s">
        <v>6107</v>
      </c>
      <c r="JK33" s="1835"/>
      <c r="JL33" s="1835"/>
    </row>
    <row ht="22.5" r="34" spans="1:272" x14ac:dyDescent="0.2">
      <c r="A34" s="1128">
        <v>33</v>
      </c>
      <c r="B34" s="1656" t="str">
        <f si="0" t="shared"/>
        <v/>
      </c>
      <c r="C34" s="1579" t="s">
        <v>582</v>
      </c>
      <c r="D34" s="1392" t="s">
        <v>4912</v>
      </c>
      <c r="E34" s="1621"/>
      <c r="F34" s="1625">
        <v>25000</v>
      </c>
      <c r="G34" s="1625">
        <v>27000</v>
      </c>
      <c r="H34" s="1625"/>
      <c r="I34" s="1625"/>
      <c r="J34" s="1837">
        <v>10000</v>
      </c>
      <c r="K34" s="1621">
        <v>5000</v>
      </c>
      <c r="L34" s="1625">
        <v>20000</v>
      </c>
      <c r="M34" s="1625"/>
      <c r="N34" s="1625"/>
      <c r="O34" s="1895"/>
      <c r="P34" s="2040"/>
      <c r="Q34" s="2097"/>
      <c r="R34" s="2097"/>
      <c r="S34" s="2097"/>
      <c r="T34" s="3915"/>
      <c r="U34" s="3915"/>
      <c r="V34" s="3915"/>
      <c r="W34" s="3915"/>
      <c r="X34" s="3915"/>
      <c r="Y34" s="3915"/>
      <c r="Z34" s="3915"/>
      <c r="AA34" s="3915"/>
      <c r="AB34" s="3915"/>
      <c r="AC34" s="3915"/>
      <c r="AD34" s="3915"/>
      <c r="AE34" s="3915"/>
      <c r="AF34" s="3915"/>
      <c r="AG34" s="3915"/>
      <c r="AH34" s="3915"/>
      <c r="AI34" s="3915"/>
      <c r="AJ34" s="3915"/>
      <c r="AK34" s="3915"/>
      <c r="AL34" s="3915"/>
      <c r="AM34" s="3915"/>
      <c r="AN34" s="3915"/>
      <c r="AO34" s="3915"/>
      <c r="AP34" s="3915"/>
      <c r="AQ34" s="3915"/>
      <c r="AR34" s="3915"/>
      <c r="AS34" s="3915"/>
      <c r="AT34" s="3915"/>
      <c r="AU34" s="3915"/>
      <c r="AV34" s="3915"/>
      <c r="AW34" s="3915"/>
      <c r="AX34" s="3915"/>
      <c r="AY34" s="3915"/>
      <c r="AZ34" s="3915"/>
      <c r="BA34" s="3915"/>
      <c r="BB34" s="3915"/>
      <c r="BC34" s="3915"/>
      <c r="BD34" s="3915"/>
      <c r="BE34" s="3915"/>
      <c r="BF34" s="3915"/>
      <c r="BG34" s="3951">
        <v>33000</v>
      </c>
      <c r="BH34" s="3915"/>
      <c r="BI34" s="3915"/>
      <c r="BJ34" s="3915"/>
      <c r="BK34" s="3915"/>
      <c r="BL34" s="3915"/>
      <c r="BM34" s="3915"/>
      <c r="BN34" s="3915"/>
      <c r="BO34" s="3915"/>
      <c r="BP34" s="3915"/>
      <c r="BQ34" s="3915"/>
      <c r="BR34" s="3915"/>
      <c r="BS34" s="3915"/>
      <c r="BT34" s="3915"/>
      <c r="BU34" s="3915"/>
      <c r="BV34" s="3915"/>
      <c r="BW34" s="3915"/>
      <c r="BX34" s="3915"/>
      <c r="BY34" s="3915"/>
      <c r="BZ34" s="3915"/>
      <c r="CA34" s="3915"/>
      <c r="CB34" s="3915"/>
      <c r="CC34" s="3915"/>
      <c r="CD34" s="3915"/>
      <c r="CE34" s="3915"/>
      <c r="CF34" s="3915"/>
      <c r="CG34" s="3915"/>
      <c r="CH34" s="3915"/>
      <c r="CI34" s="3915"/>
      <c r="CJ34" s="3915"/>
      <c r="CK34" s="3915"/>
      <c r="CL34" s="3915"/>
      <c r="CM34" s="3915"/>
      <c r="CN34" s="3915"/>
      <c r="CO34" s="3915"/>
      <c r="CP34" s="3915"/>
      <c r="CQ34" s="3915"/>
      <c r="CR34" s="3915"/>
      <c r="CS34" s="3915"/>
      <c r="CT34" s="3915"/>
      <c r="CU34" s="3915"/>
      <c r="CV34" s="3915"/>
      <c r="CW34" s="3915"/>
      <c r="CX34" s="3915"/>
      <c r="CY34" s="3915"/>
      <c r="CZ34" s="3915"/>
      <c r="DA34" s="3915"/>
      <c r="DB34" s="3915"/>
      <c r="DC34" s="3915"/>
      <c r="DD34" s="3915"/>
      <c r="DE34" s="3915"/>
      <c r="DF34" s="3915"/>
      <c r="DG34" s="3915"/>
      <c r="DH34" s="3915"/>
      <c r="DI34" s="3915"/>
      <c r="DJ34" s="3915"/>
      <c r="DK34" s="3915"/>
      <c r="DL34" s="3915"/>
      <c r="DM34" s="3915"/>
      <c r="DN34" s="3915"/>
      <c r="DO34" s="3915"/>
      <c r="DP34" s="3915"/>
      <c r="DQ34" s="3915"/>
      <c r="DR34" s="3915"/>
      <c r="DS34" s="3915"/>
      <c r="DT34" s="3915"/>
      <c r="DU34" s="3915"/>
      <c r="DV34" s="3915"/>
      <c r="DW34" s="3915"/>
      <c r="DX34" s="3915"/>
      <c r="DY34" s="3915"/>
      <c r="DZ34" s="3915"/>
      <c r="EA34" s="3915"/>
      <c r="EB34" s="3915"/>
      <c r="EC34" s="3915"/>
      <c r="ED34" s="3915"/>
      <c r="EE34" s="3915"/>
      <c r="EF34" s="3915"/>
      <c r="EG34" s="3915"/>
      <c r="EH34" s="3915"/>
      <c r="EI34" s="3915"/>
      <c r="EJ34" s="3915"/>
      <c r="EK34" s="3915"/>
      <c r="EL34" s="3915"/>
      <c r="EM34" s="3915"/>
      <c r="EN34" s="3915"/>
      <c r="EO34" s="3915"/>
      <c r="EP34" s="3915"/>
      <c r="EQ34" s="3915"/>
      <c r="ER34" s="3915"/>
      <c r="ES34" s="3915"/>
      <c r="ET34" s="3915"/>
      <c r="EU34" s="3915"/>
      <c r="EV34" s="3915"/>
      <c r="EW34" s="3915"/>
      <c r="EX34" s="3915"/>
      <c r="EY34" s="3915"/>
      <c r="EZ34" s="3915"/>
      <c r="FA34" s="3915"/>
      <c r="FB34" s="3915"/>
      <c r="FC34" s="3915"/>
      <c r="FD34" s="3915"/>
      <c r="FE34" s="3915"/>
      <c r="FF34" s="3915"/>
      <c r="FG34" s="3915"/>
      <c r="FH34" s="3915"/>
      <c r="FI34" s="3915"/>
      <c r="FJ34" s="3915"/>
      <c r="FK34" s="3915"/>
      <c r="FL34" s="3915"/>
      <c r="FM34" s="3915"/>
      <c r="FN34" s="3915"/>
      <c r="FO34" s="3915"/>
      <c r="FP34" s="3915"/>
      <c r="FQ34" s="3915"/>
      <c r="FR34" s="3915"/>
      <c r="FS34" s="3915"/>
      <c r="FT34" s="3915"/>
      <c r="FU34" s="3915"/>
      <c r="FV34" s="3915"/>
      <c r="FW34" s="3915"/>
      <c r="FX34" s="3915"/>
      <c r="FY34" s="3915"/>
      <c r="FZ34" s="3915"/>
      <c r="GA34" s="3915"/>
      <c r="GB34" s="3915"/>
      <c r="GC34" s="3915"/>
      <c r="GD34" s="3915"/>
      <c r="GE34" s="3915"/>
      <c r="GF34" s="3915"/>
      <c r="GG34" s="3915"/>
      <c r="GH34" s="3915"/>
      <c r="GI34" s="3915"/>
      <c r="GJ34" s="3915"/>
      <c r="GK34" s="3915"/>
      <c r="GL34" s="3915"/>
      <c r="GM34" s="3915"/>
      <c r="GN34" s="3915"/>
      <c r="GO34" s="3915"/>
      <c r="GP34" s="3915"/>
      <c r="GQ34" s="3915"/>
      <c r="GR34" s="3915"/>
      <c r="GS34" s="3915"/>
      <c r="GT34" s="3915"/>
      <c r="GU34" s="3951">
        <v>20000</v>
      </c>
      <c r="GV34" s="3915"/>
      <c r="GW34" s="3915"/>
      <c r="GX34" s="3915"/>
      <c r="GY34" s="3915"/>
      <c r="GZ34" s="3915"/>
      <c r="HA34" s="3915"/>
      <c r="HB34" s="3915"/>
      <c r="HC34" s="3915"/>
      <c r="HD34" s="3915"/>
      <c r="HE34" s="3915"/>
      <c r="HF34" s="3915"/>
      <c r="HG34" s="3915"/>
      <c r="HH34" s="3915"/>
      <c r="HI34" s="3915"/>
      <c r="HJ34" s="3915"/>
      <c r="HK34" s="3915"/>
      <c r="HL34" s="3915"/>
      <c r="HM34" s="3915"/>
      <c r="HN34" s="3915"/>
      <c r="HO34" s="3915"/>
      <c r="HP34" s="3915"/>
      <c r="HQ34" s="3915"/>
      <c r="HR34" s="3915"/>
      <c r="HS34" s="3915"/>
      <c r="HT34" s="3915"/>
      <c r="HU34" s="3915"/>
      <c r="HV34" s="3915"/>
      <c r="HW34" s="3915"/>
      <c r="HX34" s="3915"/>
      <c r="HY34" s="3915"/>
      <c r="HZ34" s="3915"/>
      <c r="IA34" s="3915"/>
      <c r="IB34" s="3915"/>
      <c r="IC34" s="3915"/>
      <c r="ID34" s="3915"/>
      <c r="IE34" s="3915"/>
      <c r="IF34" s="3915"/>
      <c r="IG34" s="3915"/>
      <c r="IH34" s="3915"/>
      <c r="II34" s="3915"/>
      <c r="IJ34" s="3915"/>
      <c r="IK34" s="3915"/>
      <c r="IL34" s="3915"/>
      <c r="IM34" s="3915"/>
      <c r="IN34" s="3915"/>
      <c r="IO34" s="3915"/>
      <c r="IP34" s="3915"/>
      <c r="IQ34" s="3915"/>
      <c r="IR34" s="3915"/>
      <c r="IS34" s="3915"/>
      <c r="IT34" s="3915"/>
      <c r="IU34" s="3915"/>
      <c r="IV34" s="3915"/>
      <c r="IW34" s="3915"/>
      <c r="IX34" s="3915"/>
      <c r="IY34" s="3915"/>
      <c r="IZ34" s="3915"/>
      <c r="JA34" s="3915"/>
      <c r="JB34" s="3915"/>
      <c r="JC34" s="3915"/>
      <c r="JD34" s="3915"/>
      <c r="JE34" s="3915"/>
      <c r="JF34" s="3915"/>
      <c r="JG34" s="2098"/>
      <c r="JH34" s="1367"/>
      <c r="JI34" s="1565"/>
      <c r="JJ34" s="1566" t="s">
        <v>6108</v>
      </c>
      <c r="JK34" s="1835"/>
      <c r="JL34" s="1835"/>
    </row>
    <row ht="22.5" r="35" spans="1:272" x14ac:dyDescent="0.2">
      <c r="A35" s="1128">
        <v>34</v>
      </c>
      <c r="B35" s="1656" t="str">
        <f si="0" t="shared"/>
        <v/>
      </c>
      <c r="C35" s="1579" t="s">
        <v>583</v>
      </c>
      <c r="D35" s="1392" t="s">
        <v>4913</v>
      </c>
      <c r="E35" s="1621"/>
      <c r="F35" s="1621"/>
      <c r="G35" s="1621"/>
      <c r="H35" s="1625"/>
      <c r="I35" s="1625"/>
      <c r="J35" s="1837">
        <v>15000</v>
      </c>
      <c r="K35" s="1621">
        <v>6000</v>
      </c>
      <c r="L35" s="1625">
        <v>1000</v>
      </c>
      <c r="M35" s="1625"/>
      <c r="N35" s="1625"/>
      <c r="O35" s="1895"/>
      <c r="P35" s="2040"/>
      <c r="Q35" s="2097"/>
      <c r="R35" s="2097"/>
      <c r="S35" s="2097"/>
      <c r="T35" s="3915"/>
      <c r="U35" s="3915"/>
      <c r="V35" s="3915"/>
      <c r="W35" s="3915"/>
      <c r="X35" s="3915"/>
      <c r="Y35" s="3915"/>
      <c r="Z35" s="3915"/>
      <c r="AA35" s="3915"/>
      <c r="AB35" s="3915"/>
      <c r="AC35" s="3915"/>
      <c r="AD35" s="3915"/>
      <c r="AE35" s="3915"/>
      <c r="AF35" s="3915"/>
      <c r="AG35" s="3915"/>
      <c r="AH35" s="3915"/>
      <c r="AI35" s="3915"/>
      <c r="AJ35" s="3915"/>
      <c r="AK35" s="3915"/>
      <c r="AL35" s="3915"/>
      <c r="AM35" s="3915"/>
      <c r="AN35" s="3915"/>
      <c r="AO35" s="3915"/>
      <c r="AP35" s="3915"/>
      <c r="AQ35" s="3915"/>
      <c r="AR35" s="3915"/>
      <c r="AS35" s="3915"/>
      <c r="AT35" s="3915"/>
      <c r="AU35" s="3915"/>
      <c r="AV35" s="3915"/>
      <c r="AW35" s="3915"/>
      <c r="AX35" s="3915"/>
      <c r="AY35" s="3915"/>
      <c r="AZ35" s="3915"/>
      <c r="BA35" s="3915"/>
      <c r="BB35" s="3915"/>
      <c r="BC35" s="3915"/>
      <c r="BD35" s="3915"/>
      <c r="BE35" s="3915"/>
      <c r="BF35" s="3915"/>
      <c r="BG35" s="3951">
        <v>3000</v>
      </c>
      <c r="BH35" s="3915"/>
      <c r="BI35" s="3915"/>
      <c r="BJ35" s="3915"/>
      <c r="BK35" s="3915"/>
      <c r="BL35" s="3915"/>
      <c r="BM35" s="3915"/>
      <c r="BN35" s="3915"/>
      <c r="BO35" s="3915"/>
      <c r="BP35" s="3915"/>
      <c r="BQ35" s="3915"/>
      <c r="BR35" s="3915"/>
      <c r="BS35" s="3915"/>
      <c r="BT35" s="3915"/>
      <c r="BU35" s="3915"/>
      <c r="BV35" s="3915"/>
      <c r="BW35" s="3915"/>
      <c r="BX35" s="3915"/>
      <c r="BY35" s="3915"/>
      <c r="BZ35" s="3915"/>
      <c r="CA35" s="3915"/>
      <c r="CB35" s="3915"/>
      <c r="CC35" s="3915"/>
      <c r="CD35" s="3915"/>
      <c r="CE35" s="3915"/>
      <c r="CF35" s="3915"/>
      <c r="CG35" s="3915"/>
      <c r="CH35" s="3915"/>
      <c r="CI35" s="3915"/>
      <c r="CJ35" s="3915"/>
      <c r="CK35" s="3915"/>
      <c r="CL35" s="3915"/>
      <c r="CM35" s="3915"/>
      <c r="CN35" s="3915"/>
      <c r="CO35" s="3915"/>
      <c r="CP35" s="3915"/>
      <c r="CQ35" s="3915"/>
      <c r="CR35" s="3915"/>
      <c r="CS35" s="3915"/>
      <c r="CT35" s="3915"/>
      <c r="CU35" s="3915"/>
      <c r="CV35" s="3915"/>
      <c r="CW35" s="3915"/>
      <c r="CX35" s="3915"/>
      <c r="CY35" s="3915"/>
      <c r="CZ35" s="3915"/>
      <c r="DA35" s="3915"/>
      <c r="DB35" s="3915"/>
      <c r="DC35" s="3915"/>
      <c r="DD35" s="3915"/>
      <c r="DE35" s="3915"/>
      <c r="DF35" s="3915"/>
      <c r="DG35" s="3915"/>
      <c r="DH35" s="3915"/>
      <c r="DI35" s="3915"/>
      <c r="DJ35" s="3915"/>
      <c r="DK35" s="3915"/>
      <c r="DL35" s="3915"/>
      <c r="DM35" s="3915"/>
      <c r="DN35" s="3915"/>
      <c r="DO35" s="3915"/>
      <c r="DP35" s="3915"/>
      <c r="DQ35" s="3915"/>
      <c r="DR35" s="3915"/>
      <c r="DS35" s="3915"/>
      <c r="DT35" s="3915"/>
      <c r="DU35" s="3915"/>
      <c r="DV35" s="3915"/>
      <c r="DW35" s="3915"/>
      <c r="DX35" s="3915"/>
      <c r="DY35" s="3915"/>
      <c r="DZ35" s="3915"/>
      <c r="EA35" s="3915"/>
      <c r="EB35" s="3915"/>
      <c r="EC35" s="3915"/>
      <c r="ED35" s="3915"/>
      <c r="EE35" s="3915"/>
      <c r="EF35" s="3915"/>
      <c r="EG35" s="3915"/>
      <c r="EH35" s="3915"/>
      <c r="EI35" s="3915"/>
      <c r="EJ35" s="3915"/>
      <c r="EK35" s="3915"/>
      <c r="EL35" s="3915"/>
      <c r="EM35" s="3915"/>
      <c r="EN35" s="3915"/>
      <c r="EO35" s="3915"/>
      <c r="EP35" s="3915"/>
      <c r="EQ35" s="3915"/>
      <c r="ER35" s="3915"/>
      <c r="ES35" s="3915"/>
      <c r="ET35" s="3915"/>
      <c r="EU35" s="3915"/>
      <c r="EV35" s="3915"/>
      <c r="EW35" s="3915"/>
      <c r="EX35" s="3915"/>
      <c r="EY35" s="3915"/>
      <c r="EZ35" s="3915"/>
      <c r="FA35" s="3915"/>
      <c r="FB35" s="3915"/>
      <c r="FC35" s="3915"/>
      <c r="FD35" s="3915"/>
      <c r="FE35" s="3915"/>
      <c r="FF35" s="3915"/>
      <c r="FG35" s="3915"/>
      <c r="FH35" s="3915"/>
      <c r="FI35" s="3915"/>
      <c r="FJ35" s="3915"/>
      <c r="FK35" s="3915"/>
      <c r="FL35" s="3915"/>
      <c r="FM35" s="3915"/>
      <c r="FN35" s="3915"/>
      <c r="FO35" s="3915"/>
      <c r="FP35" s="3915"/>
      <c r="FQ35" s="3915"/>
      <c r="FR35" s="3915"/>
      <c r="FS35" s="3915"/>
      <c r="FT35" s="3915"/>
      <c r="FU35" s="3915"/>
      <c r="FV35" s="3915"/>
      <c r="FW35" s="3915"/>
      <c r="FX35" s="3915"/>
      <c r="FY35" s="3915"/>
      <c r="FZ35" s="3915"/>
      <c r="GA35" s="3915"/>
      <c r="GB35" s="3915"/>
      <c r="GC35" s="3915"/>
      <c r="GD35" s="3915"/>
      <c r="GE35" s="3915"/>
      <c r="GF35" s="3915"/>
      <c r="GG35" s="3915"/>
      <c r="GH35" s="3915"/>
      <c r="GI35" s="3915"/>
      <c r="GJ35" s="3915"/>
      <c r="GK35" s="3915"/>
      <c r="GL35" s="3915"/>
      <c r="GM35" s="3915"/>
      <c r="GN35" s="3915"/>
      <c r="GO35" s="3915"/>
      <c r="GP35" s="3915"/>
      <c r="GQ35" s="3915"/>
      <c r="GR35" s="3915"/>
      <c r="GS35" s="3915"/>
      <c r="GT35" s="3915"/>
      <c r="GU35" s="3951">
        <v>1000</v>
      </c>
      <c r="GV35" s="3915"/>
      <c r="GW35" s="3915"/>
      <c r="GX35" s="3915"/>
      <c r="GY35" s="3915"/>
      <c r="GZ35" s="3915"/>
      <c r="HA35" s="3915"/>
      <c r="HB35" s="3915"/>
      <c r="HC35" s="3915"/>
      <c r="HD35" s="3915"/>
      <c r="HE35" s="3915"/>
      <c r="HF35" s="3915"/>
      <c r="HG35" s="3915"/>
      <c r="HH35" s="3915"/>
      <c r="HI35" s="3915"/>
      <c r="HJ35" s="3915"/>
      <c r="HK35" s="3915"/>
      <c r="HL35" s="3915"/>
      <c r="HM35" s="3915"/>
      <c r="HN35" s="3915"/>
      <c r="HO35" s="3915"/>
      <c r="HP35" s="3915"/>
      <c r="HQ35" s="3915"/>
      <c r="HR35" s="3915"/>
      <c r="HS35" s="3915"/>
      <c r="HT35" s="3915"/>
      <c r="HU35" s="3915"/>
      <c r="HV35" s="3915"/>
      <c r="HW35" s="3915"/>
      <c r="HX35" s="3915"/>
      <c r="HY35" s="3915"/>
      <c r="HZ35" s="3915"/>
      <c r="IA35" s="3915"/>
      <c r="IB35" s="3915"/>
      <c r="IC35" s="3915"/>
      <c r="ID35" s="3915"/>
      <c r="IE35" s="3915"/>
      <c r="IF35" s="3915"/>
      <c r="IG35" s="3915"/>
      <c r="IH35" s="3915"/>
      <c r="II35" s="3915"/>
      <c r="IJ35" s="3915"/>
      <c r="IK35" s="3915"/>
      <c r="IL35" s="3915"/>
      <c r="IM35" s="3915"/>
      <c r="IN35" s="3915"/>
      <c r="IO35" s="3915"/>
      <c r="IP35" s="3915"/>
      <c r="IQ35" s="3915"/>
      <c r="IR35" s="3915"/>
      <c r="IS35" s="3915"/>
      <c r="IT35" s="3915"/>
      <c r="IU35" s="3915"/>
      <c r="IV35" s="3915"/>
      <c r="IW35" s="3915"/>
      <c r="IX35" s="3915"/>
      <c r="IY35" s="3915"/>
      <c r="IZ35" s="3915"/>
      <c r="JA35" s="3915"/>
      <c r="JB35" s="3915"/>
      <c r="JC35" s="3915"/>
      <c r="JD35" s="3915"/>
      <c r="JE35" s="3915"/>
      <c r="JF35" s="3915"/>
      <c r="JG35" s="2098"/>
      <c r="JH35" s="1367"/>
      <c r="JI35" s="1565" t="s">
        <v>5038</v>
      </c>
      <c r="JJ35" s="1566" t="s">
        <v>6108</v>
      </c>
      <c r="JK35" s="1835"/>
      <c r="JL35" s="1835"/>
    </row>
    <row ht="22.5" r="36" spans="1:272" x14ac:dyDescent="0.2">
      <c r="A36" s="1128">
        <v>35</v>
      </c>
      <c r="B36" s="1656" t="str">
        <f si="0" t="shared"/>
        <v/>
      </c>
      <c r="C36" s="1828" t="s">
        <v>584</v>
      </c>
      <c r="D36" s="1392" t="s">
        <v>4914</v>
      </c>
      <c r="E36" s="1618"/>
      <c r="F36" s="1617">
        <f>MAX(0,F34-F35)</f>
        <v>25000</v>
      </c>
      <c r="G36" s="1617">
        <f>MAX(0,G34-G35)</f>
        <v>27000</v>
      </c>
      <c r="H36" s="1618"/>
      <c r="I36" s="1618"/>
      <c r="J36" s="1618"/>
      <c r="K36" s="1618"/>
      <c r="L36" s="1617">
        <f>MAX(0,L34-L35)</f>
        <v>19000</v>
      </c>
      <c r="M36" s="1618"/>
      <c r="N36" s="1618"/>
      <c r="O36" s="1885"/>
      <c r="P36" s="2034"/>
      <c r="Q36" s="2034"/>
      <c r="R36" s="2034"/>
      <c r="S36" s="2034"/>
      <c r="T36" s="3904"/>
      <c r="U36" s="3904"/>
      <c r="V36" s="3904"/>
      <c r="W36" s="3904"/>
      <c r="X36" s="3904"/>
      <c r="Y36" s="3904"/>
      <c r="Z36" s="3904"/>
      <c r="AA36" s="3904"/>
      <c r="AB36" s="3904"/>
      <c r="AC36" s="3904"/>
      <c r="AD36" s="3904"/>
      <c r="AE36" s="3904"/>
      <c r="AF36" s="3904"/>
      <c r="AG36" s="3904"/>
      <c r="AH36" s="3904"/>
      <c r="AI36" s="3904"/>
      <c r="AJ36" s="3904"/>
      <c r="AK36" s="3904"/>
      <c r="AL36" s="3904"/>
      <c r="AM36" s="3904"/>
      <c r="AN36" s="3904"/>
      <c r="AO36" s="3904"/>
      <c r="AP36" s="3904"/>
      <c r="AQ36" s="3904"/>
      <c r="AR36" s="3904"/>
      <c r="AS36" s="3904"/>
      <c r="AT36" s="3904"/>
      <c r="AU36" s="3904"/>
      <c r="AV36" s="3904"/>
      <c r="AW36" s="3904"/>
      <c r="AX36" s="3904"/>
      <c r="AY36" s="3904"/>
      <c r="AZ36" s="3904"/>
      <c r="BA36" s="3904"/>
      <c r="BB36" s="3904"/>
      <c r="BC36" s="3904"/>
      <c r="BD36" s="3904"/>
      <c r="BE36" s="3904"/>
      <c r="BF36" s="3904"/>
      <c r="BG36" s="3949">
        <f>MAX(0,BG34-BG35)</f>
        <v>30000</v>
      </c>
      <c r="BH36" s="3904"/>
      <c r="BI36" s="3904"/>
      <c r="BJ36" s="3904"/>
      <c r="BK36" s="3904"/>
      <c r="BL36" s="3904"/>
      <c r="BM36" s="3904"/>
      <c r="BN36" s="3904"/>
      <c r="BO36" s="3904"/>
      <c r="BP36" s="3904"/>
      <c r="BQ36" s="3904"/>
      <c r="BR36" s="3904"/>
      <c r="BS36" s="3904"/>
      <c r="BT36" s="3904"/>
      <c r="BU36" s="3904"/>
      <c r="BV36" s="3904"/>
      <c r="BW36" s="3904"/>
      <c r="BX36" s="3904"/>
      <c r="BY36" s="3904"/>
      <c r="BZ36" s="3904"/>
      <c r="CA36" s="3904"/>
      <c r="CB36" s="3904"/>
      <c r="CC36" s="3904"/>
      <c r="CD36" s="3904"/>
      <c r="CE36" s="3904"/>
      <c r="CF36" s="3904"/>
      <c r="CG36" s="3904"/>
      <c r="CH36" s="3904"/>
      <c r="CI36" s="3904"/>
      <c r="CJ36" s="3904"/>
      <c r="CK36" s="3904"/>
      <c r="CL36" s="3904"/>
      <c r="CM36" s="3904"/>
      <c r="CN36" s="3904"/>
      <c r="CO36" s="3904"/>
      <c r="CP36" s="3904"/>
      <c r="CQ36" s="3904"/>
      <c r="CR36" s="3904"/>
      <c r="CS36" s="3904"/>
      <c r="CT36" s="3904"/>
      <c r="CU36" s="3904"/>
      <c r="CV36" s="3904"/>
      <c r="CW36" s="3904"/>
      <c r="CX36" s="3904"/>
      <c r="CY36" s="3904"/>
      <c r="CZ36" s="3904"/>
      <c r="DA36" s="3904"/>
      <c r="DB36" s="3904"/>
      <c r="DC36" s="3904"/>
      <c r="DD36" s="3904"/>
      <c r="DE36" s="3904"/>
      <c r="DF36" s="3904"/>
      <c r="DG36" s="3904"/>
      <c r="DH36" s="3904"/>
      <c r="DI36" s="3904"/>
      <c r="DJ36" s="3904"/>
      <c r="DK36" s="3904"/>
      <c r="DL36" s="3904"/>
      <c r="DM36" s="3904"/>
      <c r="DN36" s="3904"/>
      <c r="DO36" s="3904"/>
      <c r="DP36" s="3904"/>
      <c r="DQ36" s="3904"/>
      <c r="DR36" s="3904"/>
      <c r="DS36" s="3904"/>
      <c r="DT36" s="3904"/>
      <c r="DU36" s="3904"/>
      <c r="DV36" s="3904"/>
      <c r="DW36" s="3904"/>
      <c r="DX36" s="3904"/>
      <c r="DY36" s="3904"/>
      <c r="DZ36" s="3904"/>
      <c r="EA36" s="3904"/>
      <c r="EB36" s="3904"/>
      <c r="EC36" s="3904"/>
      <c r="ED36" s="3904"/>
      <c r="EE36" s="3904"/>
      <c r="EF36" s="3904"/>
      <c r="EG36" s="3904"/>
      <c r="EH36" s="3904"/>
      <c r="EI36" s="3904"/>
      <c r="EJ36" s="3904"/>
      <c r="EK36" s="3904"/>
      <c r="EL36" s="3904"/>
      <c r="EM36" s="3904"/>
      <c r="EN36" s="3904"/>
      <c r="EO36" s="3904"/>
      <c r="EP36" s="3904"/>
      <c r="EQ36" s="3904"/>
      <c r="ER36" s="3904"/>
      <c r="ES36" s="3904"/>
      <c r="ET36" s="3904"/>
      <c r="EU36" s="3904"/>
      <c r="EV36" s="3904"/>
      <c r="EW36" s="3904"/>
      <c r="EX36" s="3904"/>
      <c r="EY36" s="3904"/>
      <c r="EZ36" s="3904"/>
      <c r="FA36" s="3904"/>
      <c r="FB36" s="3904"/>
      <c r="FC36" s="3904"/>
      <c r="FD36" s="3904"/>
      <c r="FE36" s="3904"/>
      <c r="FF36" s="3904"/>
      <c r="FG36" s="3904"/>
      <c r="FH36" s="3904"/>
      <c r="FI36" s="3904"/>
      <c r="FJ36" s="3904"/>
      <c r="FK36" s="3904"/>
      <c r="FL36" s="3904"/>
      <c r="FM36" s="3904"/>
      <c r="FN36" s="3904"/>
      <c r="FO36" s="3904"/>
      <c r="FP36" s="3904"/>
      <c r="FQ36" s="3904"/>
      <c r="FR36" s="3904"/>
      <c r="FS36" s="3904"/>
      <c r="FT36" s="3904"/>
      <c r="FU36" s="3904"/>
      <c r="FV36" s="3904"/>
      <c r="FW36" s="3904"/>
      <c r="FX36" s="3904"/>
      <c r="FY36" s="3904"/>
      <c r="FZ36" s="3904"/>
      <c r="GA36" s="3904"/>
      <c r="GB36" s="3904"/>
      <c r="GC36" s="3904"/>
      <c r="GD36" s="3904"/>
      <c r="GE36" s="3904"/>
      <c r="GF36" s="3904"/>
      <c r="GG36" s="3904"/>
      <c r="GH36" s="3904"/>
      <c r="GI36" s="3904"/>
      <c r="GJ36" s="3904"/>
      <c r="GK36" s="3904"/>
      <c r="GL36" s="3904"/>
      <c r="GM36" s="3904"/>
      <c r="GN36" s="3904"/>
      <c r="GO36" s="3904"/>
      <c r="GP36" s="3904"/>
      <c r="GQ36" s="3904"/>
      <c r="GR36" s="3904"/>
      <c r="GS36" s="3904"/>
      <c r="GT36" s="3904"/>
      <c r="GU36" s="3949">
        <f>MAX(0,GU34-GU35)</f>
        <v>19000</v>
      </c>
      <c r="GV36" s="3904"/>
      <c r="GW36" s="3904"/>
      <c r="GX36" s="3904"/>
      <c r="GY36" s="3904"/>
      <c r="GZ36" s="3904"/>
      <c r="HA36" s="3904"/>
      <c r="HB36" s="3904"/>
      <c r="HC36" s="3904"/>
      <c r="HD36" s="3904"/>
      <c r="HE36" s="3904"/>
      <c r="HF36" s="3904"/>
      <c r="HG36" s="3904"/>
      <c r="HH36" s="3904"/>
      <c r="HI36" s="3904"/>
      <c r="HJ36" s="3904"/>
      <c r="HK36" s="3904"/>
      <c r="HL36" s="3904"/>
      <c r="HM36" s="3904"/>
      <c r="HN36" s="3904"/>
      <c r="HO36" s="3904"/>
      <c r="HP36" s="3904"/>
      <c r="HQ36" s="3904"/>
      <c r="HR36" s="3904"/>
      <c r="HS36" s="3904"/>
      <c r="HT36" s="3904"/>
      <c r="HU36" s="3904"/>
      <c r="HV36" s="3904"/>
      <c r="HW36" s="3904"/>
      <c r="HX36" s="3904"/>
      <c r="HY36" s="3904"/>
      <c r="HZ36" s="3904"/>
      <c r="IA36" s="3904"/>
      <c r="IB36" s="3904"/>
      <c r="IC36" s="3904"/>
      <c r="ID36" s="3904"/>
      <c r="IE36" s="3904"/>
      <c r="IF36" s="3904"/>
      <c r="IG36" s="3904"/>
      <c r="IH36" s="3904"/>
      <c r="II36" s="3904"/>
      <c r="IJ36" s="3904"/>
      <c r="IK36" s="3904"/>
      <c r="IL36" s="3904"/>
      <c r="IM36" s="3904"/>
      <c r="IN36" s="3904"/>
      <c r="IO36" s="3904"/>
      <c r="IP36" s="3904"/>
      <c r="IQ36" s="3904"/>
      <c r="IR36" s="4024"/>
      <c r="IS36" s="4024"/>
      <c r="IT36" s="4025">
        <v>0</v>
      </c>
      <c r="IU36" s="4025">
        <v>0</v>
      </c>
      <c r="IV36" s="4025">
        <v>0</v>
      </c>
      <c r="IW36" s="4025">
        <v>0</v>
      </c>
      <c r="IX36" s="4025">
        <v>0</v>
      </c>
      <c r="IY36" s="4025">
        <v>0</v>
      </c>
      <c r="IZ36" s="3984">
        <v>0</v>
      </c>
      <c r="JA36" s="3984">
        <v>0</v>
      </c>
      <c r="JB36" s="3984">
        <v>0</v>
      </c>
      <c r="JC36" s="4024"/>
      <c r="JD36" s="3909"/>
      <c r="JE36" s="3909"/>
      <c r="JF36" s="3909"/>
      <c r="JG36" s="4026"/>
      <c r="JH36" s="1367"/>
      <c r="JI36" s="1565" t="s">
        <v>5366</v>
      </c>
      <c r="JJ36" s="1566" t="s">
        <v>6108</v>
      </c>
      <c r="JK36" s="1835"/>
      <c r="JL36" s="1835"/>
    </row>
    <row ht="22.5" r="37" spans="1:272" x14ac:dyDescent="0.2">
      <c r="A37" s="1128">
        <v>36</v>
      </c>
      <c r="B37" s="1656" t="str">
        <f si="0" t="shared"/>
        <v/>
      </c>
      <c r="C37" s="1828" t="s">
        <v>585</v>
      </c>
      <c r="D37" s="1392" t="s">
        <v>5204</v>
      </c>
      <c r="E37" s="1623"/>
      <c r="F37" s="1623"/>
      <c r="G37" s="1623"/>
      <c r="H37" s="1623"/>
      <c r="I37" s="1623"/>
      <c r="J37" s="1623">
        <f>MAX(0,J35-J34)</f>
        <v>5000</v>
      </c>
      <c r="K37" s="1623">
        <f>MAX(0,K35-K34)</f>
        <v>1000</v>
      </c>
      <c r="L37" s="1623"/>
      <c r="M37" s="1623"/>
      <c r="N37" s="1623"/>
      <c r="O37" s="1889"/>
      <c r="P37" s="2037"/>
      <c r="Q37" s="2037"/>
      <c r="R37" s="2037"/>
      <c r="S37" s="2037"/>
      <c r="T37" s="3910"/>
      <c r="U37" s="3910"/>
      <c r="V37" s="3910"/>
      <c r="W37" s="3910"/>
      <c r="X37" s="3910"/>
      <c r="Y37" s="3910"/>
      <c r="Z37" s="3910"/>
      <c r="AA37" s="3910"/>
      <c r="AB37" s="3910"/>
      <c r="AC37" s="3910"/>
      <c r="AD37" s="3910"/>
      <c r="AE37" s="3910"/>
      <c r="AF37" s="3910"/>
      <c r="AG37" s="3910"/>
      <c r="AH37" s="3910"/>
      <c r="AI37" s="3910"/>
      <c r="AJ37" s="3910"/>
      <c r="AK37" s="3910"/>
      <c r="AL37" s="3910"/>
      <c r="AM37" s="3910"/>
      <c r="AN37" s="3910"/>
      <c r="AO37" s="3910"/>
      <c r="AP37" s="3910"/>
      <c r="AQ37" s="3910"/>
      <c r="AR37" s="3910"/>
      <c r="AS37" s="3910"/>
      <c r="AT37" s="3910"/>
      <c r="AU37" s="3910"/>
      <c r="AV37" s="3910"/>
      <c r="AW37" s="3910"/>
      <c r="AX37" s="3910"/>
      <c r="AY37" s="3910"/>
      <c r="AZ37" s="3910"/>
      <c r="BA37" s="3910"/>
      <c r="BB37" s="3910"/>
      <c r="BC37" s="3910"/>
      <c r="BD37" s="3910"/>
      <c r="BE37" s="3910"/>
      <c r="BF37" s="3910"/>
      <c r="BG37" s="1623"/>
      <c r="BH37" s="3910"/>
      <c r="BI37" s="3910"/>
      <c r="BJ37" s="3910"/>
      <c r="BK37" s="3910"/>
      <c r="BL37" s="3910"/>
      <c r="BM37" s="3910"/>
      <c r="BN37" s="3910"/>
      <c r="BO37" s="3910"/>
      <c r="BP37" s="3910"/>
      <c r="BQ37" s="3910"/>
      <c r="BR37" s="3910"/>
      <c r="BS37" s="3910"/>
      <c r="BT37" s="3910"/>
      <c r="BU37" s="3910"/>
      <c r="BV37" s="3910"/>
      <c r="BW37" s="3910"/>
      <c r="BX37" s="3910"/>
      <c r="BY37" s="3910"/>
      <c r="BZ37" s="3910"/>
      <c r="CA37" s="3910"/>
      <c r="CB37" s="3910"/>
      <c r="CC37" s="3910"/>
      <c r="CD37" s="3910"/>
      <c r="CE37" s="3910"/>
      <c r="CF37" s="3910"/>
      <c r="CG37" s="3910"/>
      <c r="CH37" s="3910"/>
      <c r="CI37" s="3910"/>
      <c r="CJ37" s="3910"/>
      <c r="CK37" s="3910"/>
      <c r="CL37" s="3910"/>
      <c r="CM37" s="3910"/>
      <c r="CN37" s="3910"/>
      <c r="CO37" s="3910"/>
      <c r="CP37" s="3910"/>
      <c r="CQ37" s="3910"/>
      <c r="CR37" s="3910"/>
      <c r="CS37" s="3910"/>
      <c r="CT37" s="3910"/>
      <c r="CU37" s="3910"/>
      <c r="CV37" s="3910"/>
      <c r="CW37" s="3910"/>
      <c r="CX37" s="3910"/>
      <c r="CY37" s="3910"/>
      <c r="CZ37" s="3910"/>
      <c r="DA37" s="3910"/>
      <c r="DB37" s="3910"/>
      <c r="DC37" s="3910"/>
      <c r="DD37" s="3910"/>
      <c r="DE37" s="3910"/>
      <c r="DF37" s="3910"/>
      <c r="DG37" s="3910"/>
      <c r="DH37" s="3910"/>
      <c r="DI37" s="3910"/>
      <c r="DJ37" s="3910"/>
      <c r="DK37" s="3910"/>
      <c r="DL37" s="3910"/>
      <c r="DM37" s="3910"/>
      <c r="DN37" s="3910"/>
      <c r="DO37" s="3910"/>
      <c r="DP37" s="3910"/>
      <c r="DQ37" s="3910"/>
      <c r="DR37" s="3910"/>
      <c r="DS37" s="3910"/>
      <c r="DT37" s="3910"/>
      <c r="DU37" s="3910"/>
      <c r="DV37" s="3910"/>
      <c r="DW37" s="3910"/>
      <c r="DX37" s="3910"/>
      <c r="DY37" s="3910"/>
      <c r="DZ37" s="3910"/>
      <c r="EA37" s="3910"/>
      <c r="EB37" s="3910"/>
      <c r="EC37" s="3910"/>
      <c r="ED37" s="3910"/>
      <c r="EE37" s="3910"/>
      <c r="EF37" s="3910"/>
      <c r="EG37" s="3910"/>
      <c r="EH37" s="3910"/>
      <c r="EI37" s="3910"/>
      <c r="EJ37" s="3910"/>
      <c r="EK37" s="3910"/>
      <c r="EL37" s="3910"/>
      <c r="EM37" s="3910"/>
      <c r="EN37" s="3910"/>
      <c r="EO37" s="3910"/>
      <c r="EP37" s="3910"/>
      <c r="EQ37" s="3910"/>
      <c r="ER37" s="3910"/>
      <c r="ES37" s="3910"/>
      <c r="ET37" s="3910"/>
      <c r="EU37" s="3910"/>
      <c r="EV37" s="3910"/>
      <c r="EW37" s="3910"/>
      <c r="EX37" s="3910"/>
      <c r="EY37" s="3910"/>
      <c r="EZ37" s="3910"/>
      <c r="FA37" s="3910"/>
      <c r="FB37" s="3910"/>
      <c r="FC37" s="3910"/>
      <c r="FD37" s="3910"/>
      <c r="FE37" s="3910"/>
      <c r="FF37" s="3910"/>
      <c r="FG37" s="3910"/>
      <c r="FH37" s="3910"/>
      <c r="FI37" s="3910"/>
      <c r="FJ37" s="3910"/>
      <c r="FK37" s="3910"/>
      <c r="FL37" s="3910"/>
      <c r="FM37" s="3910"/>
      <c r="FN37" s="3910"/>
      <c r="FO37" s="3910"/>
      <c r="FP37" s="3910"/>
      <c r="FQ37" s="3910"/>
      <c r="FR37" s="3910"/>
      <c r="FS37" s="3910"/>
      <c r="FT37" s="3910"/>
      <c r="FU37" s="3910"/>
      <c r="FV37" s="3910"/>
      <c r="FW37" s="3910"/>
      <c r="FX37" s="3910"/>
      <c r="FY37" s="3910"/>
      <c r="FZ37" s="3910"/>
      <c r="GA37" s="3910"/>
      <c r="GB37" s="3910"/>
      <c r="GC37" s="3910"/>
      <c r="GD37" s="3910"/>
      <c r="GE37" s="3910"/>
      <c r="GF37" s="3910"/>
      <c r="GG37" s="3910"/>
      <c r="GH37" s="3910"/>
      <c r="GI37" s="3910"/>
      <c r="GJ37" s="3910"/>
      <c r="GK37" s="3910"/>
      <c r="GL37" s="3910"/>
      <c r="GM37" s="3910"/>
      <c r="GN37" s="3910"/>
      <c r="GO37" s="3910"/>
      <c r="GP37" s="3910"/>
      <c r="GQ37" s="3910"/>
      <c r="GR37" s="3910"/>
      <c r="GS37" s="3910"/>
      <c r="GT37" s="3910"/>
      <c r="GU37" s="1623"/>
      <c r="GV37" s="3910"/>
      <c r="GW37" s="3910"/>
      <c r="GX37" s="3910"/>
      <c r="GY37" s="3910"/>
      <c r="GZ37" s="3910"/>
      <c r="HA37" s="3910"/>
      <c r="HB37" s="3910"/>
      <c r="HC37" s="3910"/>
      <c r="HD37" s="3910"/>
      <c r="HE37" s="3910"/>
      <c r="HF37" s="3910"/>
      <c r="HG37" s="3910"/>
      <c r="HH37" s="3910"/>
      <c r="HI37" s="3910"/>
      <c r="HJ37" s="3910"/>
      <c r="HK37" s="3910"/>
      <c r="HL37" s="3910"/>
      <c r="HM37" s="3910"/>
      <c r="HN37" s="3910"/>
      <c r="HO37" s="3910"/>
      <c r="HP37" s="3910"/>
      <c r="HQ37" s="3910"/>
      <c r="HR37" s="3910"/>
      <c r="HS37" s="3910"/>
      <c r="HT37" s="3910"/>
      <c r="HU37" s="3910"/>
      <c r="HV37" s="3910"/>
      <c r="HW37" s="3910"/>
      <c r="HX37" s="3910"/>
      <c r="HY37" s="3910"/>
      <c r="HZ37" s="3910"/>
      <c r="IA37" s="3910"/>
      <c r="IB37" s="3910"/>
      <c r="IC37" s="3910"/>
      <c r="ID37" s="3910"/>
      <c r="IE37" s="3910"/>
      <c r="IF37" s="3910"/>
      <c r="IG37" s="3910"/>
      <c r="IH37" s="3910"/>
      <c r="II37" s="3910"/>
      <c r="IJ37" s="3910"/>
      <c r="IK37" s="3910"/>
      <c r="IL37" s="3910"/>
      <c r="IM37" s="3910"/>
      <c r="IN37" s="3910"/>
      <c r="IO37" s="3910"/>
      <c r="IP37" s="3910"/>
      <c r="IQ37" s="3910"/>
      <c r="IR37" s="4027"/>
      <c r="IS37" s="4027"/>
      <c r="IT37" s="4027"/>
      <c r="IU37" s="4027"/>
      <c r="IV37" s="4027"/>
      <c r="IW37" s="4027"/>
      <c r="IX37" s="4027"/>
      <c r="IY37" s="4027"/>
      <c r="IZ37" s="4027"/>
      <c r="JA37" s="4027"/>
      <c r="JB37" s="4027"/>
      <c r="JC37" s="4027"/>
      <c r="JD37" s="4224"/>
      <c r="JE37" s="4224"/>
      <c r="JF37" s="4224"/>
      <c r="JG37" s="4028"/>
      <c r="JH37" s="1367"/>
      <c r="JI37" s="1566" t="s">
        <v>6095</v>
      </c>
      <c r="JJ37" s="1566" t="s">
        <v>6108</v>
      </c>
      <c r="JK37" s="1835"/>
      <c r="JL37" s="1835"/>
    </row>
    <row ht="22.5" r="38" spans="1:272" x14ac:dyDescent="0.2">
      <c r="A38" s="1128">
        <v>37</v>
      </c>
      <c r="B38" s="1658" t="str">
        <f si="0" t="shared"/>
        <v/>
      </c>
      <c r="C38" s="1579" t="s">
        <v>2414</v>
      </c>
      <c r="D38" s="1392" t="s">
        <v>4915</v>
      </c>
      <c r="E38" s="1619"/>
      <c r="F38" s="1619"/>
      <c r="G38" s="1619"/>
      <c r="H38" s="1619"/>
      <c r="I38" s="1620"/>
      <c r="J38" s="1620"/>
      <c r="K38" s="1620"/>
      <c r="L38" s="1620"/>
      <c r="M38" s="1620"/>
      <c r="N38" s="1620"/>
      <c r="O38" s="1882"/>
      <c r="P38" s="2031"/>
      <c r="Q38" s="2081"/>
      <c r="R38" s="2081"/>
      <c r="S38" s="2081"/>
      <c r="T38" s="3902"/>
      <c r="U38" s="3902"/>
      <c r="V38" s="3902"/>
      <c r="W38" s="3902"/>
      <c r="X38" s="3902"/>
      <c r="Y38" s="3902"/>
      <c r="Z38" s="3902"/>
      <c r="AA38" s="3902"/>
      <c r="AB38" s="3902"/>
      <c r="AC38" s="3902"/>
      <c r="AD38" s="3902"/>
      <c r="AE38" s="3902"/>
      <c r="AF38" s="3902"/>
      <c r="AG38" s="3902"/>
      <c r="AH38" s="3902"/>
      <c r="AI38" s="3902"/>
      <c r="AJ38" s="3902"/>
      <c r="AK38" s="3902"/>
      <c r="AL38" s="3902"/>
      <c r="AM38" s="3902"/>
      <c r="AN38" s="3902"/>
      <c r="AO38" s="3902"/>
      <c r="AP38" s="3902"/>
      <c r="AQ38" s="3902"/>
      <c r="AR38" s="3902"/>
      <c r="AS38" s="3902"/>
      <c r="AT38" s="3902"/>
      <c r="AU38" s="3902"/>
      <c r="AV38" s="3902"/>
      <c r="AW38" s="3902"/>
      <c r="AX38" s="3902"/>
      <c r="AY38" s="3902"/>
      <c r="AZ38" s="3902"/>
      <c r="BA38" s="3902"/>
      <c r="BB38" s="3902"/>
      <c r="BC38" s="3902"/>
      <c r="BD38" s="3902"/>
      <c r="BE38" s="3902"/>
      <c r="BF38" s="3902"/>
      <c r="BG38" s="1620"/>
      <c r="BH38" s="3902"/>
      <c r="BI38" s="3902"/>
      <c r="BJ38" s="3902"/>
      <c r="BK38" s="3902"/>
      <c r="BL38" s="3902"/>
      <c r="BM38" s="3902"/>
      <c r="BN38" s="3902"/>
      <c r="BO38" s="3902"/>
      <c r="BP38" s="3902"/>
      <c r="BQ38" s="3902"/>
      <c r="BR38" s="3902"/>
      <c r="BS38" s="3902"/>
      <c r="BT38" s="3902"/>
      <c r="BU38" s="3902"/>
      <c r="BV38" s="3902"/>
      <c r="BW38" s="3902"/>
      <c r="BX38" s="3902"/>
      <c r="BY38" s="3902"/>
      <c r="BZ38" s="3902"/>
      <c r="CA38" s="3902"/>
      <c r="CB38" s="3902"/>
      <c r="CC38" s="3902"/>
      <c r="CD38" s="3902"/>
      <c r="CE38" s="3902"/>
      <c r="CF38" s="3902"/>
      <c r="CG38" s="3902"/>
      <c r="CH38" s="3902"/>
      <c r="CI38" s="3902"/>
      <c r="CJ38" s="3902"/>
      <c r="CK38" s="3902"/>
      <c r="CL38" s="3902"/>
      <c r="CM38" s="3902"/>
      <c r="CN38" s="3902"/>
      <c r="CO38" s="3902"/>
      <c r="CP38" s="3902"/>
      <c r="CQ38" s="3902"/>
      <c r="CR38" s="3902"/>
      <c r="CS38" s="3902"/>
      <c r="CT38" s="3902"/>
      <c r="CU38" s="3902"/>
      <c r="CV38" s="3902"/>
      <c r="CW38" s="3902"/>
      <c r="CX38" s="3902"/>
      <c r="CY38" s="3902"/>
      <c r="CZ38" s="3902"/>
      <c r="DA38" s="3902"/>
      <c r="DB38" s="3902"/>
      <c r="DC38" s="3902"/>
      <c r="DD38" s="3902"/>
      <c r="DE38" s="3902"/>
      <c r="DF38" s="3902"/>
      <c r="DG38" s="3902"/>
      <c r="DH38" s="3902"/>
      <c r="DI38" s="3902"/>
      <c r="DJ38" s="3902"/>
      <c r="DK38" s="3902"/>
      <c r="DL38" s="3902"/>
      <c r="DM38" s="3902"/>
      <c r="DN38" s="3902"/>
      <c r="DO38" s="3902"/>
      <c r="DP38" s="3902"/>
      <c r="DQ38" s="3902"/>
      <c r="DR38" s="3902"/>
      <c r="DS38" s="3902"/>
      <c r="DT38" s="3902"/>
      <c r="DU38" s="3902"/>
      <c r="DV38" s="3902"/>
      <c r="DW38" s="3902"/>
      <c r="DX38" s="3902"/>
      <c r="DY38" s="3902"/>
      <c r="DZ38" s="3902"/>
      <c r="EA38" s="3902"/>
      <c r="EB38" s="3902"/>
      <c r="EC38" s="3902"/>
      <c r="ED38" s="3902"/>
      <c r="EE38" s="3902"/>
      <c r="EF38" s="3902"/>
      <c r="EG38" s="3902"/>
      <c r="EH38" s="3902"/>
      <c r="EI38" s="3902"/>
      <c r="EJ38" s="3902"/>
      <c r="EK38" s="3902"/>
      <c r="EL38" s="3902"/>
      <c r="EM38" s="3902"/>
      <c r="EN38" s="3902"/>
      <c r="EO38" s="3902"/>
      <c r="EP38" s="3902"/>
      <c r="EQ38" s="3902"/>
      <c r="ER38" s="3902"/>
      <c r="ES38" s="3902"/>
      <c r="ET38" s="3902"/>
      <c r="EU38" s="3902"/>
      <c r="EV38" s="3902"/>
      <c r="EW38" s="3902"/>
      <c r="EX38" s="3902"/>
      <c r="EY38" s="3902"/>
      <c r="EZ38" s="3902"/>
      <c r="FA38" s="3902"/>
      <c r="FB38" s="3902"/>
      <c r="FC38" s="3902"/>
      <c r="FD38" s="3902"/>
      <c r="FE38" s="3902"/>
      <c r="FF38" s="3902"/>
      <c r="FG38" s="3902"/>
      <c r="FH38" s="3902"/>
      <c r="FI38" s="3902"/>
      <c r="FJ38" s="3902"/>
      <c r="FK38" s="3902"/>
      <c r="FL38" s="3902"/>
      <c r="FM38" s="3902"/>
      <c r="FN38" s="3902"/>
      <c r="FO38" s="3902"/>
      <c r="FP38" s="3902"/>
      <c r="FQ38" s="3902"/>
      <c r="FR38" s="3902"/>
      <c r="FS38" s="3902"/>
      <c r="FT38" s="3902"/>
      <c r="FU38" s="3902"/>
      <c r="FV38" s="3902"/>
      <c r="FW38" s="3902"/>
      <c r="FX38" s="3902"/>
      <c r="FY38" s="3902"/>
      <c r="FZ38" s="3902"/>
      <c r="GA38" s="3902"/>
      <c r="GB38" s="3902"/>
      <c r="GC38" s="3902"/>
      <c r="GD38" s="3902"/>
      <c r="GE38" s="3902"/>
      <c r="GF38" s="3902"/>
      <c r="GG38" s="3902"/>
      <c r="GH38" s="3902"/>
      <c r="GI38" s="3902"/>
      <c r="GJ38" s="3902"/>
      <c r="GK38" s="3902"/>
      <c r="GL38" s="3902"/>
      <c r="GM38" s="3902"/>
      <c r="GN38" s="3902"/>
      <c r="GO38" s="3902"/>
      <c r="GP38" s="3902"/>
      <c r="GQ38" s="3902"/>
      <c r="GR38" s="3902"/>
      <c r="GS38" s="3902"/>
      <c r="GT38" s="3902"/>
      <c r="GU38" s="1620"/>
      <c r="GV38" s="3902"/>
      <c r="GW38" s="3902"/>
      <c r="GX38" s="3902"/>
      <c r="GY38" s="3902"/>
      <c r="GZ38" s="3902"/>
      <c r="HA38" s="3902"/>
      <c r="HB38" s="3902"/>
      <c r="HC38" s="3902"/>
      <c r="HD38" s="3902"/>
      <c r="HE38" s="3902"/>
      <c r="HF38" s="3902"/>
      <c r="HG38" s="3902"/>
      <c r="HH38" s="3902"/>
      <c r="HI38" s="3902"/>
      <c r="HJ38" s="3902"/>
      <c r="HK38" s="3902"/>
      <c r="HL38" s="3902"/>
      <c r="HM38" s="3902"/>
      <c r="HN38" s="3902"/>
      <c r="HO38" s="3902"/>
      <c r="HP38" s="3902"/>
      <c r="HQ38" s="3902"/>
      <c r="HR38" s="3902"/>
      <c r="HS38" s="3902"/>
      <c r="HT38" s="3902"/>
      <c r="HU38" s="3902"/>
      <c r="HV38" s="3902"/>
      <c r="HW38" s="3902"/>
      <c r="HX38" s="3902"/>
      <c r="HY38" s="3902"/>
      <c r="HZ38" s="3902"/>
      <c r="IA38" s="3902"/>
      <c r="IB38" s="3902"/>
      <c r="IC38" s="3902"/>
      <c r="ID38" s="3902"/>
      <c r="IE38" s="3902"/>
      <c r="IF38" s="3902"/>
      <c r="IG38" s="3902"/>
      <c r="IH38" s="3902"/>
      <c r="II38" s="3902"/>
      <c r="IJ38" s="3902"/>
      <c r="IK38" s="3902"/>
      <c r="IL38" s="3902"/>
      <c r="IM38" s="3902"/>
      <c r="IN38" s="3902"/>
      <c r="IO38" s="3902"/>
      <c r="IP38" s="3902"/>
      <c r="IQ38" s="3902"/>
      <c r="IR38" s="3902"/>
      <c r="IS38" s="3902"/>
      <c r="IT38" s="3902"/>
      <c r="IU38" s="3902"/>
      <c r="IV38" s="3902"/>
      <c r="IW38" s="3902"/>
      <c r="IX38" s="3902"/>
      <c r="IY38" s="3902"/>
      <c r="IZ38" s="3902"/>
      <c r="JA38" s="3902"/>
      <c r="JB38" s="3902"/>
      <c r="JC38" s="3902"/>
      <c r="JD38" s="3902"/>
      <c r="JE38" s="3902"/>
      <c r="JF38" s="3902"/>
      <c r="JG38" s="2082"/>
      <c r="JH38" s="1367"/>
      <c r="JI38" s="1565" t="s">
        <v>5039</v>
      </c>
      <c r="JJ38" s="1566" t="s">
        <v>6109</v>
      </c>
      <c r="JK38" s="1835"/>
      <c r="JL38" s="1835"/>
    </row>
    <row ht="90" r="39" spans="1:272" x14ac:dyDescent="0.2">
      <c r="A39" s="1128">
        <v>38</v>
      </c>
      <c r="B39" s="1656" t="str">
        <f si="0" t="shared"/>
        <v/>
      </c>
      <c r="C39" s="1579" t="s">
        <v>2415</v>
      </c>
      <c r="D39" s="1392" t="str">
        <f>"If, during "&amp;tax_year&amp;", you  submitted a Real Time Transaction Tax return for the disposal of listed shares or securities, put the overall gain or loss in the box -  include the  individual amounts of gains or losses in  box 34 and losses in box 35"</f>
        <v>If, during 2019-20, you  submitted a Real Time Transaction Tax return for the disposal of listed shares or securities, put the overall gain or loss in the box -  include the  individual amounts of gains or losses in  box 34 and losses in box 35</v>
      </c>
      <c r="E39" s="1621"/>
      <c r="F39" s="1621"/>
      <c r="G39" s="1621"/>
      <c r="H39" s="1621"/>
      <c r="I39" s="1621"/>
      <c r="J39" s="1621"/>
      <c r="K39" s="1621"/>
      <c r="L39" s="1621"/>
      <c r="M39" s="1621"/>
      <c r="N39" s="1621"/>
      <c r="O39" s="1888"/>
      <c r="P39" s="2036"/>
      <c r="Q39" s="2089"/>
      <c r="R39" s="2089"/>
      <c r="S39" s="2089"/>
      <c r="T39" s="3906"/>
      <c r="U39" s="3906"/>
      <c r="V39" s="3906"/>
      <c r="W39" s="3906"/>
      <c r="X39" s="3906"/>
      <c r="Y39" s="3906"/>
      <c r="Z39" s="3906"/>
      <c r="AA39" s="3906"/>
      <c r="AB39" s="3906"/>
      <c r="AC39" s="3906"/>
      <c r="AD39" s="3906"/>
      <c r="AE39" s="3906"/>
      <c r="AF39" s="3906"/>
      <c r="AG39" s="3906"/>
      <c r="AH39" s="3906"/>
      <c r="AI39" s="3906"/>
      <c r="AJ39" s="3906"/>
      <c r="AK39" s="3906"/>
      <c r="AL39" s="3906"/>
      <c r="AM39" s="3906"/>
      <c r="AN39" s="3906"/>
      <c r="AO39" s="3906"/>
      <c r="AP39" s="3906"/>
      <c r="AQ39" s="3906"/>
      <c r="AR39" s="3906"/>
      <c r="AS39" s="3906"/>
      <c r="AT39" s="3906"/>
      <c r="AU39" s="3906"/>
      <c r="AV39" s="3906"/>
      <c r="AW39" s="3906"/>
      <c r="AX39" s="3906"/>
      <c r="AY39" s="3906"/>
      <c r="AZ39" s="3906"/>
      <c r="BA39" s="3906"/>
      <c r="BB39" s="3906"/>
      <c r="BC39" s="3906"/>
      <c r="BD39" s="3906"/>
      <c r="BE39" s="3906"/>
      <c r="BF39" s="3906"/>
      <c r="BG39" s="1621"/>
      <c r="BH39" s="3906"/>
      <c r="BI39" s="3906"/>
      <c r="BJ39" s="3906"/>
      <c r="BK39" s="3906"/>
      <c r="BL39" s="3906"/>
      <c r="BM39" s="3906"/>
      <c r="BN39" s="3906"/>
      <c r="BO39" s="3906"/>
      <c r="BP39" s="3906"/>
      <c r="BQ39" s="3906"/>
      <c r="BR39" s="3906"/>
      <c r="BS39" s="3906"/>
      <c r="BT39" s="3906"/>
      <c r="BU39" s="3906"/>
      <c r="BV39" s="3906"/>
      <c r="BW39" s="3906"/>
      <c r="BX39" s="3906"/>
      <c r="BY39" s="3906"/>
      <c r="BZ39" s="3906"/>
      <c r="CA39" s="3906"/>
      <c r="CB39" s="3906"/>
      <c r="CC39" s="3906"/>
      <c r="CD39" s="3906"/>
      <c r="CE39" s="3906"/>
      <c r="CF39" s="3906"/>
      <c r="CG39" s="3906"/>
      <c r="CH39" s="3906"/>
      <c r="CI39" s="3906"/>
      <c r="CJ39" s="3906"/>
      <c r="CK39" s="3906"/>
      <c r="CL39" s="3906"/>
      <c r="CM39" s="3906"/>
      <c r="CN39" s="3906"/>
      <c r="CO39" s="3906"/>
      <c r="CP39" s="3906"/>
      <c r="CQ39" s="3906"/>
      <c r="CR39" s="3906"/>
      <c r="CS39" s="3906"/>
      <c r="CT39" s="3906"/>
      <c r="CU39" s="3906"/>
      <c r="CV39" s="3906"/>
      <c r="CW39" s="3906"/>
      <c r="CX39" s="3906"/>
      <c r="CY39" s="3906"/>
      <c r="CZ39" s="3906"/>
      <c r="DA39" s="3906"/>
      <c r="DB39" s="3906"/>
      <c r="DC39" s="3906"/>
      <c r="DD39" s="3906"/>
      <c r="DE39" s="3906"/>
      <c r="DF39" s="3906"/>
      <c r="DG39" s="3906"/>
      <c r="DH39" s="3906"/>
      <c r="DI39" s="3906"/>
      <c r="DJ39" s="3906"/>
      <c r="DK39" s="3906"/>
      <c r="DL39" s="3906"/>
      <c r="DM39" s="3906"/>
      <c r="DN39" s="3906"/>
      <c r="DO39" s="3906"/>
      <c r="DP39" s="3906"/>
      <c r="DQ39" s="3906"/>
      <c r="DR39" s="3906"/>
      <c r="DS39" s="3906"/>
      <c r="DT39" s="3906"/>
      <c r="DU39" s="3906"/>
      <c r="DV39" s="3906"/>
      <c r="DW39" s="3906"/>
      <c r="DX39" s="3906"/>
      <c r="DY39" s="3906"/>
      <c r="DZ39" s="3906"/>
      <c r="EA39" s="3906"/>
      <c r="EB39" s="3906"/>
      <c r="EC39" s="3906"/>
      <c r="ED39" s="3906"/>
      <c r="EE39" s="3906"/>
      <c r="EF39" s="3906"/>
      <c r="EG39" s="3906"/>
      <c r="EH39" s="3906"/>
      <c r="EI39" s="3906"/>
      <c r="EJ39" s="3906"/>
      <c r="EK39" s="3906"/>
      <c r="EL39" s="3906"/>
      <c r="EM39" s="3906"/>
      <c r="EN39" s="3906"/>
      <c r="EO39" s="3906"/>
      <c r="EP39" s="3906"/>
      <c r="EQ39" s="3906"/>
      <c r="ER39" s="3906"/>
      <c r="ES39" s="3906"/>
      <c r="ET39" s="3906"/>
      <c r="EU39" s="3906"/>
      <c r="EV39" s="3906"/>
      <c r="EW39" s="3906"/>
      <c r="EX39" s="3906"/>
      <c r="EY39" s="3906"/>
      <c r="EZ39" s="3906"/>
      <c r="FA39" s="3906"/>
      <c r="FB39" s="3906"/>
      <c r="FC39" s="3906"/>
      <c r="FD39" s="3906"/>
      <c r="FE39" s="3906"/>
      <c r="FF39" s="3906"/>
      <c r="FG39" s="3906"/>
      <c r="FH39" s="3906"/>
      <c r="FI39" s="3906"/>
      <c r="FJ39" s="3906"/>
      <c r="FK39" s="3906"/>
      <c r="FL39" s="3906"/>
      <c r="FM39" s="3906"/>
      <c r="FN39" s="3906"/>
      <c r="FO39" s="3906"/>
      <c r="FP39" s="3906"/>
      <c r="FQ39" s="3906"/>
      <c r="FR39" s="3906"/>
      <c r="FS39" s="3906"/>
      <c r="FT39" s="3906"/>
      <c r="FU39" s="3906"/>
      <c r="FV39" s="3906"/>
      <c r="FW39" s="3906"/>
      <c r="FX39" s="3906"/>
      <c r="FY39" s="3906"/>
      <c r="FZ39" s="3906"/>
      <c r="GA39" s="3906"/>
      <c r="GB39" s="3906"/>
      <c r="GC39" s="3906"/>
      <c r="GD39" s="3906"/>
      <c r="GE39" s="3906"/>
      <c r="GF39" s="3906"/>
      <c r="GG39" s="3906"/>
      <c r="GH39" s="3906"/>
      <c r="GI39" s="3906"/>
      <c r="GJ39" s="3906"/>
      <c r="GK39" s="3906"/>
      <c r="GL39" s="3906"/>
      <c r="GM39" s="3906"/>
      <c r="GN39" s="3906"/>
      <c r="GO39" s="3906"/>
      <c r="GP39" s="3906"/>
      <c r="GQ39" s="3906"/>
      <c r="GR39" s="3906"/>
      <c r="GS39" s="3906"/>
      <c r="GT39" s="3906"/>
      <c r="GU39" s="1621"/>
      <c r="GV39" s="3906"/>
      <c r="GW39" s="3906"/>
      <c r="GX39" s="3906"/>
      <c r="GY39" s="3906"/>
      <c r="GZ39" s="3906"/>
      <c r="HA39" s="3906"/>
      <c r="HB39" s="3906"/>
      <c r="HC39" s="3906"/>
      <c r="HD39" s="3906"/>
      <c r="HE39" s="3906"/>
      <c r="HF39" s="3906"/>
      <c r="HG39" s="3906"/>
      <c r="HH39" s="3906"/>
      <c r="HI39" s="3906"/>
      <c r="HJ39" s="3906"/>
      <c r="HK39" s="3906"/>
      <c r="HL39" s="3906"/>
      <c r="HM39" s="3906"/>
      <c r="HN39" s="3906"/>
      <c r="HO39" s="3906"/>
      <c r="HP39" s="3906"/>
      <c r="HQ39" s="3906"/>
      <c r="HR39" s="3906"/>
      <c r="HS39" s="3906"/>
      <c r="HT39" s="3906"/>
      <c r="HU39" s="3906"/>
      <c r="HV39" s="3906"/>
      <c r="HW39" s="3906"/>
      <c r="HX39" s="3906"/>
      <c r="HY39" s="3906"/>
      <c r="HZ39" s="3906"/>
      <c r="IA39" s="3906"/>
      <c r="IB39" s="3906"/>
      <c r="IC39" s="3906"/>
      <c r="ID39" s="3906"/>
      <c r="IE39" s="3906"/>
      <c r="IF39" s="3906"/>
      <c r="IG39" s="3906"/>
      <c r="IH39" s="3906"/>
      <c r="II39" s="3906"/>
      <c r="IJ39" s="3906"/>
      <c r="IK39" s="3906"/>
      <c r="IL39" s="3906"/>
      <c r="IM39" s="3906"/>
      <c r="IN39" s="3906"/>
      <c r="IO39" s="3906"/>
      <c r="IP39" s="3906"/>
      <c r="IQ39" s="3906"/>
      <c r="IR39" s="3906"/>
      <c r="IS39" s="3906"/>
      <c r="IT39" s="3906"/>
      <c r="IU39" s="3906"/>
      <c r="IV39" s="3906"/>
      <c r="IW39" s="3906"/>
      <c r="IX39" s="3906"/>
      <c r="IY39" s="3906"/>
      <c r="IZ39" s="3906"/>
      <c r="JA39" s="3906"/>
      <c r="JB39" s="3906"/>
      <c r="JC39" s="3906"/>
      <c r="JD39" s="3906"/>
      <c r="JE39" s="3906"/>
      <c r="JF39" s="3906"/>
      <c r="JG39" s="2099"/>
      <c r="JH39" s="1367"/>
      <c r="JI39" s="3128" t="s">
        <v>7299</v>
      </c>
      <c r="JJ39" s="1566" t="s">
        <v>6110</v>
      </c>
      <c r="JK39" s="1835"/>
      <c r="JL39" s="1835"/>
    </row>
    <row ht="22.5" r="40" spans="1:272" x14ac:dyDescent="0.2">
      <c r="A40" s="1128">
        <v>39</v>
      </c>
      <c r="B40" s="1656" t="str">
        <f si="0" t="shared"/>
        <v/>
      </c>
      <c r="C40" s="1828" t="s">
        <v>4600</v>
      </c>
      <c r="D40" s="1392" t="s">
        <v>5307</v>
      </c>
      <c r="E40" s="1619"/>
      <c r="F40" s="1619"/>
      <c r="G40" s="1619"/>
      <c r="H40" s="1619"/>
      <c r="I40" s="1620"/>
      <c r="J40" s="1620"/>
      <c r="K40" s="1620"/>
      <c r="L40" s="1620"/>
      <c r="M40" s="1620"/>
      <c r="N40" s="1620"/>
      <c r="O40" s="1882"/>
      <c r="P40" s="2031"/>
      <c r="Q40" s="2081"/>
      <c r="R40" s="2081"/>
      <c r="S40" s="2081"/>
      <c r="T40" s="3902"/>
      <c r="U40" s="3902"/>
      <c r="V40" s="3902"/>
      <c r="W40" s="3902"/>
      <c r="X40" s="3902"/>
      <c r="Y40" s="3902"/>
      <c r="Z40" s="3902"/>
      <c r="AA40" s="3902"/>
      <c r="AB40" s="3902"/>
      <c r="AC40" s="3902"/>
      <c r="AD40" s="3902"/>
      <c r="AE40" s="3902"/>
      <c r="AF40" s="3902"/>
      <c r="AG40" s="3902"/>
      <c r="AH40" s="3902"/>
      <c r="AI40" s="3902"/>
      <c r="AJ40" s="3902"/>
      <c r="AK40" s="3902"/>
      <c r="AL40" s="3902"/>
      <c r="AM40" s="3902"/>
      <c r="AN40" s="3902"/>
      <c r="AO40" s="3902"/>
      <c r="AP40" s="3902"/>
      <c r="AQ40" s="3902"/>
      <c r="AR40" s="3902"/>
      <c r="AS40" s="3902"/>
      <c r="AT40" s="3902"/>
      <c r="AU40" s="3902"/>
      <c r="AV40" s="3902"/>
      <c r="AW40" s="3902"/>
      <c r="AX40" s="3902"/>
      <c r="AY40" s="3902"/>
      <c r="AZ40" s="3902"/>
      <c r="BA40" s="3902"/>
      <c r="BB40" s="3902"/>
      <c r="BC40" s="3902"/>
      <c r="BD40" s="3902"/>
      <c r="BE40" s="3902"/>
      <c r="BF40" s="3902"/>
      <c r="BG40" s="1620"/>
      <c r="BH40" s="3902"/>
      <c r="BI40" s="3902"/>
      <c r="BJ40" s="3902"/>
      <c r="BK40" s="3902"/>
      <c r="BL40" s="3902"/>
      <c r="BM40" s="3902"/>
      <c r="BN40" s="3902"/>
      <c r="BO40" s="3902"/>
      <c r="BP40" s="3902"/>
      <c r="BQ40" s="3902"/>
      <c r="BR40" s="3902"/>
      <c r="BS40" s="3902"/>
      <c r="BT40" s="3902"/>
      <c r="BU40" s="3902"/>
      <c r="BV40" s="3902"/>
      <c r="BW40" s="3902"/>
      <c r="BX40" s="3902"/>
      <c r="BY40" s="3902"/>
      <c r="BZ40" s="3902"/>
      <c r="CA40" s="3902"/>
      <c r="CB40" s="3902"/>
      <c r="CC40" s="3902"/>
      <c r="CD40" s="3902"/>
      <c r="CE40" s="3902"/>
      <c r="CF40" s="3902"/>
      <c r="CG40" s="3902"/>
      <c r="CH40" s="3902"/>
      <c r="CI40" s="3902"/>
      <c r="CJ40" s="3902"/>
      <c r="CK40" s="3902"/>
      <c r="CL40" s="3902"/>
      <c r="CM40" s="3902"/>
      <c r="CN40" s="3902"/>
      <c r="CO40" s="3902"/>
      <c r="CP40" s="3902"/>
      <c r="CQ40" s="3902"/>
      <c r="CR40" s="3902"/>
      <c r="CS40" s="3902"/>
      <c r="CT40" s="3902"/>
      <c r="CU40" s="3902"/>
      <c r="CV40" s="3902"/>
      <c r="CW40" s="3902"/>
      <c r="CX40" s="3902"/>
      <c r="CY40" s="3902"/>
      <c r="CZ40" s="3902"/>
      <c r="DA40" s="3902"/>
      <c r="DB40" s="3902"/>
      <c r="DC40" s="3902"/>
      <c r="DD40" s="3902"/>
      <c r="DE40" s="3902"/>
      <c r="DF40" s="3902"/>
      <c r="DG40" s="3902"/>
      <c r="DH40" s="3902"/>
      <c r="DI40" s="3902"/>
      <c r="DJ40" s="3902"/>
      <c r="DK40" s="3902"/>
      <c r="DL40" s="3902"/>
      <c r="DM40" s="3902"/>
      <c r="DN40" s="3902"/>
      <c r="DO40" s="3902"/>
      <c r="DP40" s="3902"/>
      <c r="DQ40" s="3902"/>
      <c r="DR40" s="3902"/>
      <c r="DS40" s="3902"/>
      <c r="DT40" s="3902"/>
      <c r="DU40" s="3902"/>
      <c r="DV40" s="3902"/>
      <c r="DW40" s="3902"/>
      <c r="DX40" s="3902"/>
      <c r="DY40" s="3902"/>
      <c r="DZ40" s="3902"/>
      <c r="EA40" s="3902"/>
      <c r="EB40" s="3902"/>
      <c r="EC40" s="3902"/>
      <c r="ED40" s="3902"/>
      <c r="EE40" s="3902"/>
      <c r="EF40" s="3902"/>
      <c r="EG40" s="3902"/>
      <c r="EH40" s="3902"/>
      <c r="EI40" s="3902"/>
      <c r="EJ40" s="3902"/>
      <c r="EK40" s="3902"/>
      <c r="EL40" s="3902"/>
      <c r="EM40" s="3902"/>
      <c r="EN40" s="3902"/>
      <c r="EO40" s="3902"/>
      <c r="EP40" s="3902"/>
      <c r="EQ40" s="3902"/>
      <c r="ER40" s="3902"/>
      <c r="ES40" s="3902"/>
      <c r="ET40" s="3902"/>
      <c r="EU40" s="3902"/>
      <c r="EV40" s="3902"/>
      <c r="EW40" s="3902"/>
      <c r="EX40" s="3902"/>
      <c r="EY40" s="3902"/>
      <c r="EZ40" s="3902"/>
      <c r="FA40" s="3902"/>
      <c r="FB40" s="3902"/>
      <c r="FC40" s="3902"/>
      <c r="FD40" s="3902"/>
      <c r="FE40" s="3902"/>
      <c r="FF40" s="3902"/>
      <c r="FG40" s="3902"/>
      <c r="FH40" s="3902"/>
      <c r="FI40" s="3902"/>
      <c r="FJ40" s="3902"/>
      <c r="FK40" s="3902"/>
      <c r="FL40" s="3902"/>
      <c r="FM40" s="3902"/>
      <c r="FN40" s="3902"/>
      <c r="FO40" s="3902"/>
      <c r="FP40" s="3902"/>
      <c r="FQ40" s="3902"/>
      <c r="FR40" s="3902"/>
      <c r="FS40" s="3902"/>
      <c r="FT40" s="3902"/>
      <c r="FU40" s="3902"/>
      <c r="FV40" s="3902"/>
      <c r="FW40" s="3902"/>
      <c r="FX40" s="3902"/>
      <c r="FY40" s="3902"/>
      <c r="FZ40" s="3902"/>
      <c r="GA40" s="3902"/>
      <c r="GB40" s="3902"/>
      <c r="GC40" s="3902"/>
      <c r="GD40" s="3902"/>
      <c r="GE40" s="3902"/>
      <c r="GF40" s="3902"/>
      <c r="GG40" s="3902"/>
      <c r="GH40" s="3902"/>
      <c r="GI40" s="3902"/>
      <c r="GJ40" s="3902"/>
      <c r="GK40" s="3902"/>
      <c r="GL40" s="3902"/>
      <c r="GM40" s="3902"/>
      <c r="GN40" s="3902"/>
      <c r="GO40" s="3902"/>
      <c r="GP40" s="3902"/>
      <c r="GQ40" s="3902"/>
      <c r="GR40" s="3902"/>
      <c r="GS40" s="3902"/>
      <c r="GT40" s="3902"/>
      <c r="GU40" s="1620"/>
      <c r="GV40" s="3902"/>
      <c r="GW40" s="3902"/>
      <c r="GX40" s="3902"/>
      <c r="GY40" s="3902"/>
      <c r="GZ40" s="3902"/>
      <c r="HA40" s="3902"/>
      <c r="HB40" s="3902"/>
      <c r="HC40" s="3902"/>
      <c r="HD40" s="3902"/>
      <c r="HE40" s="3902"/>
      <c r="HF40" s="3902"/>
      <c r="HG40" s="3902"/>
      <c r="HH40" s="3902"/>
      <c r="HI40" s="3902"/>
      <c r="HJ40" s="3902"/>
      <c r="HK40" s="3902"/>
      <c r="HL40" s="3902"/>
      <c r="HM40" s="3902"/>
      <c r="HN40" s="3902"/>
      <c r="HO40" s="3902"/>
      <c r="HP40" s="3902"/>
      <c r="HQ40" s="3902"/>
      <c r="HR40" s="3902"/>
      <c r="HS40" s="3902"/>
      <c r="HT40" s="3902"/>
      <c r="HU40" s="3902"/>
      <c r="HV40" s="3902"/>
      <c r="HW40" s="3902"/>
      <c r="HX40" s="3902"/>
      <c r="HY40" s="3902"/>
      <c r="HZ40" s="3902"/>
      <c r="IA40" s="3902"/>
      <c r="IB40" s="3902"/>
      <c r="IC40" s="3902"/>
      <c r="ID40" s="3902"/>
      <c r="IE40" s="3902"/>
      <c r="IF40" s="3902"/>
      <c r="IG40" s="3902"/>
      <c r="IH40" s="3902"/>
      <c r="II40" s="3902"/>
      <c r="IJ40" s="3902"/>
      <c r="IK40" s="3902"/>
      <c r="IL40" s="3902"/>
      <c r="IM40" s="3902"/>
      <c r="IN40" s="3902"/>
      <c r="IO40" s="3902"/>
      <c r="IP40" s="3902"/>
      <c r="IQ40" s="3902"/>
      <c r="IR40" s="3902"/>
      <c r="IS40" s="3902"/>
      <c r="IT40" s="3902"/>
      <c r="IU40" s="3902"/>
      <c r="IV40" s="3902"/>
      <c r="IW40" s="3902"/>
      <c r="IX40" s="3902"/>
      <c r="IY40" s="3902"/>
      <c r="IZ40" s="3902"/>
      <c r="JA40" s="3902"/>
      <c r="JB40" s="3902"/>
      <c r="JC40" s="3902"/>
      <c r="JD40" s="3902"/>
      <c r="JE40" s="3902"/>
      <c r="JF40" s="3902"/>
      <c r="JG40" s="2082"/>
      <c r="JH40" s="1367"/>
      <c r="JI40" s="1565" t="s">
        <v>7300</v>
      </c>
      <c r="JJ40" s="1566" t="s">
        <v>6108</v>
      </c>
      <c r="JK40" s="1566" t="s">
        <v>2415</v>
      </c>
      <c r="JL40" s="1835"/>
    </row>
    <row ht="22.5" r="41" spans="1:272" x14ac:dyDescent="0.2">
      <c r="A41" s="1128">
        <v>40</v>
      </c>
      <c r="B41" s="1656" t="str">
        <f ref="B41:B50" si="2" t="shared">IF(CGT_IND&gt;1,IF(HLOOKUP(CGT_IND-1,CGT_RANGE,A41)="","",HLOOKUP(CGT_IND-1,CGT_RANGE,A41)),"")</f>
        <v/>
      </c>
      <c r="C41" s="1579" t="s">
        <v>5139</v>
      </c>
      <c r="D41" s="1392" t="s">
        <v>5308</v>
      </c>
      <c r="E41" s="1346"/>
      <c r="F41" s="1346"/>
      <c r="G41" s="1346"/>
      <c r="H41" s="1346"/>
      <c r="I41" s="1346"/>
      <c r="J41" s="1346"/>
      <c r="K41" s="1346"/>
      <c r="L41" s="1346"/>
      <c r="M41" s="1346"/>
      <c r="N41" s="1346"/>
      <c r="O41" s="1884"/>
      <c r="P41" s="2033"/>
      <c r="Q41" s="2073"/>
      <c r="R41" s="2073"/>
      <c r="S41" s="2073"/>
      <c r="T41" s="2348"/>
      <c r="U41" s="2348"/>
      <c r="V41" s="2348"/>
      <c r="W41" s="2348"/>
      <c r="X41" s="2348"/>
      <c r="Y41" s="2348"/>
      <c r="Z41" s="2348"/>
      <c r="AA41" s="2348"/>
      <c r="AB41" s="2348"/>
      <c r="AC41" s="2348"/>
      <c r="AD41" s="2348"/>
      <c r="AE41" s="2348"/>
      <c r="AF41" s="2348"/>
      <c r="AG41" s="2348"/>
      <c r="AH41" s="2348"/>
      <c r="AI41" s="2348"/>
      <c r="AJ41" s="2348"/>
      <c r="AK41" s="2348"/>
      <c r="AL41" s="2348"/>
      <c r="AM41" s="2348"/>
      <c r="AN41" s="2348"/>
      <c r="AO41" s="2348"/>
      <c r="AP41" s="2348"/>
      <c r="AQ41" s="2348"/>
      <c r="AR41" s="2348"/>
      <c r="AS41" s="2348"/>
      <c r="AT41" s="2348"/>
      <c r="AU41" s="2348"/>
      <c r="AV41" s="2348"/>
      <c r="AW41" s="2348"/>
      <c r="AX41" s="2348"/>
      <c r="AY41" s="2348"/>
      <c r="AZ41" s="2348"/>
      <c r="BA41" s="2348"/>
      <c r="BB41" s="2348"/>
      <c r="BC41" s="2348"/>
      <c r="BD41" s="2348"/>
      <c r="BE41" s="2348"/>
      <c r="BF41" s="2348"/>
      <c r="BG41" s="1346"/>
      <c r="BH41" s="2348"/>
      <c r="BI41" s="2348"/>
      <c r="BJ41" s="2348"/>
      <c r="BK41" s="2348"/>
      <c r="BL41" s="2348"/>
      <c r="BM41" s="2348"/>
      <c r="BN41" s="2348"/>
      <c r="BO41" s="2348"/>
      <c r="BP41" s="2348"/>
      <c r="BQ41" s="2348"/>
      <c r="BR41" s="2348"/>
      <c r="BS41" s="2348"/>
      <c r="BT41" s="2348"/>
      <c r="BU41" s="2348"/>
      <c r="BV41" s="2348"/>
      <c r="BW41" s="2348"/>
      <c r="BX41" s="2348"/>
      <c r="BY41" s="2348"/>
      <c r="BZ41" s="2348"/>
      <c r="CA41" s="2348"/>
      <c r="CB41" s="2348"/>
      <c r="CC41" s="2348"/>
      <c r="CD41" s="2348"/>
      <c r="CE41" s="2348"/>
      <c r="CF41" s="2348"/>
      <c r="CG41" s="2348"/>
      <c r="CH41" s="2348"/>
      <c r="CI41" s="2348"/>
      <c r="CJ41" s="2348"/>
      <c r="CK41" s="2348"/>
      <c r="CL41" s="2348"/>
      <c r="CM41" s="2348"/>
      <c r="CN41" s="2348"/>
      <c r="CO41" s="2348"/>
      <c r="CP41" s="2348"/>
      <c r="CQ41" s="2348"/>
      <c r="CR41" s="2348"/>
      <c r="CS41" s="2348"/>
      <c r="CT41" s="2348"/>
      <c r="CU41" s="2348"/>
      <c r="CV41" s="2348"/>
      <c r="CW41" s="2348"/>
      <c r="CX41" s="2348"/>
      <c r="CY41" s="2348"/>
      <c r="CZ41" s="2348"/>
      <c r="DA41" s="2348"/>
      <c r="DB41" s="2348"/>
      <c r="DC41" s="2348"/>
      <c r="DD41" s="2348"/>
      <c r="DE41" s="2348"/>
      <c r="DF41" s="2348"/>
      <c r="DG41" s="2348"/>
      <c r="DH41" s="2348"/>
      <c r="DI41" s="2348"/>
      <c r="DJ41" s="2348"/>
      <c r="DK41" s="2348"/>
      <c r="DL41" s="2348"/>
      <c r="DM41" s="2348"/>
      <c r="DN41" s="2348"/>
      <c r="DO41" s="2348"/>
      <c r="DP41" s="2348"/>
      <c r="DQ41" s="2348"/>
      <c r="DR41" s="2348"/>
      <c r="DS41" s="2348"/>
      <c r="DT41" s="2348"/>
      <c r="DU41" s="2348"/>
      <c r="DV41" s="2348"/>
      <c r="DW41" s="2348"/>
      <c r="DX41" s="2348"/>
      <c r="DY41" s="2348"/>
      <c r="DZ41" s="2348"/>
      <c r="EA41" s="2348"/>
      <c r="EB41" s="2348"/>
      <c r="EC41" s="2348"/>
      <c r="ED41" s="2348"/>
      <c r="EE41" s="2348"/>
      <c r="EF41" s="2348"/>
      <c r="EG41" s="2348"/>
      <c r="EH41" s="2348"/>
      <c r="EI41" s="2348"/>
      <c r="EJ41" s="2348"/>
      <c r="EK41" s="2348"/>
      <c r="EL41" s="2348"/>
      <c r="EM41" s="2348"/>
      <c r="EN41" s="2348"/>
      <c r="EO41" s="2348"/>
      <c r="EP41" s="2348"/>
      <c r="EQ41" s="2348"/>
      <c r="ER41" s="2348"/>
      <c r="ES41" s="2348"/>
      <c r="ET41" s="2348"/>
      <c r="EU41" s="2348"/>
      <c r="EV41" s="2348"/>
      <c r="EW41" s="2348"/>
      <c r="EX41" s="2348"/>
      <c r="EY41" s="2348"/>
      <c r="EZ41" s="2348"/>
      <c r="FA41" s="2348"/>
      <c r="FB41" s="2348"/>
      <c r="FC41" s="2348"/>
      <c r="FD41" s="2348"/>
      <c r="FE41" s="2348"/>
      <c r="FF41" s="2348"/>
      <c r="FG41" s="2348"/>
      <c r="FH41" s="2348"/>
      <c r="FI41" s="2348"/>
      <c r="FJ41" s="2348"/>
      <c r="FK41" s="2348"/>
      <c r="FL41" s="2348"/>
      <c r="FM41" s="2348"/>
      <c r="FN41" s="2348"/>
      <c r="FO41" s="2348"/>
      <c r="FP41" s="2348"/>
      <c r="FQ41" s="2348"/>
      <c r="FR41" s="2348"/>
      <c r="FS41" s="2348"/>
      <c r="FT41" s="2348"/>
      <c r="FU41" s="2348"/>
      <c r="FV41" s="2348"/>
      <c r="FW41" s="2348"/>
      <c r="FX41" s="2348"/>
      <c r="FY41" s="2348"/>
      <c r="FZ41" s="2348"/>
      <c r="GA41" s="2348"/>
      <c r="GB41" s="2348"/>
      <c r="GC41" s="2348"/>
      <c r="GD41" s="2348"/>
      <c r="GE41" s="2348"/>
      <c r="GF41" s="2348"/>
      <c r="GG41" s="2348"/>
      <c r="GH41" s="2348"/>
      <c r="GI41" s="2348"/>
      <c r="GJ41" s="2348"/>
      <c r="GK41" s="2348"/>
      <c r="GL41" s="2348"/>
      <c r="GM41" s="2348"/>
      <c r="GN41" s="2348"/>
      <c r="GO41" s="2348"/>
      <c r="GP41" s="2348"/>
      <c r="GQ41" s="2348"/>
      <c r="GR41" s="2348"/>
      <c r="GS41" s="2348"/>
      <c r="GT41" s="2348"/>
      <c r="GU41" s="1346"/>
      <c r="GV41" s="2348"/>
      <c r="GW41" s="2348"/>
      <c r="GX41" s="2348"/>
      <c r="GY41" s="2348"/>
      <c r="GZ41" s="2348"/>
      <c r="HA41" s="2348"/>
      <c r="HB41" s="2348"/>
      <c r="HC41" s="2348"/>
      <c r="HD41" s="2348"/>
      <c r="HE41" s="2348"/>
      <c r="HF41" s="2348"/>
      <c r="HG41" s="2348"/>
      <c r="HH41" s="2348"/>
      <c r="HI41" s="2348"/>
      <c r="HJ41" s="2348"/>
      <c r="HK41" s="2348"/>
      <c r="HL41" s="2348"/>
      <c r="HM41" s="2348"/>
      <c r="HN41" s="2348"/>
      <c r="HO41" s="2348"/>
      <c r="HP41" s="2348"/>
      <c r="HQ41" s="2348"/>
      <c r="HR41" s="2348"/>
      <c r="HS41" s="2348"/>
      <c r="HT41" s="2348"/>
      <c r="HU41" s="2348"/>
      <c r="HV41" s="2348"/>
      <c r="HW41" s="2348"/>
      <c r="HX41" s="2348"/>
      <c r="HY41" s="2348"/>
      <c r="HZ41" s="2348"/>
      <c r="IA41" s="2348"/>
      <c r="IB41" s="2348"/>
      <c r="IC41" s="2348"/>
      <c r="ID41" s="2348"/>
      <c r="IE41" s="2348"/>
      <c r="IF41" s="2348"/>
      <c r="IG41" s="2348"/>
      <c r="IH41" s="2348"/>
      <c r="II41" s="2348"/>
      <c r="IJ41" s="2348"/>
      <c r="IK41" s="2348"/>
      <c r="IL41" s="2348"/>
      <c r="IM41" s="2348"/>
      <c r="IN41" s="2348"/>
      <c r="IO41" s="2348"/>
      <c r="IP41" s="2348"/>
      <c r="IQ41" s="2348"/>
      <c r="IR41" s="2348"/>
      <c r="IS41" s="2348"/>
      <c r="IT41" s="2348"/>
      <c r="IU41" s="2348"/>
      <c r="IV41" s="2348"/>
      <c r="IW41" s="2348"/>
      <c r="IX41" s="2348"/>
      <c r="IY41" s="2348"/>
      <c r="IZ41" s="2348"/>
      <c r="JA41" s="2348"/>
      <c r="JB41" s="2348"/>
      <c r="JC41" s="2348"/>
      <c r="JD41" s="2348"/>
      <c r="JE41" s="2348"/>
      <c r="JF41" s="2348"/>
      <c r="JG41" s="2085"/>
      <c r="JH41" s="1367"/>
      <c r="JI41" s="1565"/>
      <c r="JJ41" s="1566" t="s">
        <v>6108</v>
      </c>
      <c r="JK41" s="1835"/>
      <c r="JL41" s="1835"/>
    </row>
    <row ht="22.5" r="42" spans="1:272" x14ac:dyDescent="0.2">
      <c r="A42" s="1128">
        <v>41</v>
      </c>
      <c r="B42" s="1656" t="str">
        <f si="2" t="shared"/>
        <v/>
      </c>
      <c r="C42" s="1579" t="s">
        <v>5140</v>
      </c>
      <c r="D42" s="1392" t="s">
        <v>4907</v>
      </c>
      <c r="E42" s="1621"/>
      <c r="F42" s="1626"/>
      <c r="G42" s="1626"/>
      <c r="H42" s="1626"/>
      <c r="I42" s="1626"/>
      <c r="J42" s="1626"/>
      <c r="K42" s="1626"/>
      <c r="L42" s="1626"/>
      <c r="M42" s="1626"/>
      <c r="N42" s="1626"/>
      <c r="O42" s="1896"/>
      <c r="P42" s="2041"/>
      <c r="Q42" s="2100"/>
      <c r="R42" s="2100"/>
      <c r="S42" s="2100"/>
      <c r="T42" s="3916"/>
      <c r="U42" s="3916"/>
      <c r="V42" s="3916"/>
      <c r="W42" s="3916"/>
      <c r="X42" s="3916"/>
      <c r="Y42" s="3916"/>
      <c r="Z42" s="3916"/>
      <c r="AA42" s="3916"/>
      <c r="AB42" s="3916"/>
      <c r="AC42" s="3916"/>
      <c r="AD42" s="3916"/>
      <c r="AE42" s="3916"/>
      <c r="AF42" s="3916"/>
      <c r="AG42" s="3916"/>
      <c r="AH42" s="3916"/>
      <c r="AI42" s="3916"/>
      <c r="AJ42" s="3916"/>
      <c r="AK42" s="3916"/>
      <c r="AL42" s="3916"/>
      <c r="AM42" s="3916"/>
      <c r="AN42" s="3916"/>
      <c r="AO42" s="3916"/>
      <c r="AP42" s="3916"/>
      <c r="AQ42" s="3916"/>
      <c r="AR42" s="3916"/>
      <c r="AS42" s="3916"/>
      <c r="AT42" s="3916"/>
      <c r="AU42" s="3916"/>
      <c r="AV42" s="3916"/>
      <c r="AW42" s="3916"/>
      <c r="AX42" s="3916"/>
      <c r="AY42" s="3916"/>
      <c r="AZ42" s="3916"/>
      <c r="BA42" s="3916"/>
      <c r="BB42" s="3916"/>
      <c r="BC42" s="3916"/>
      <c r="BD42" s="3916"/>
      <c r="BE42" s="3916"/>
      <c r="BF42" s="3916"/>
      <c r="BG42" s="1626"/>
      <c r="BH42" s="3916"/>
      <c r="BI42" s="3916"/>
      <c r="BJ42" s="3916"/>
      <c r="BK42" s="3916"/>
      <c r="BL42" s="3916"/>
      <c r="BM42" s="3916"/>
      <c r="BN42" s="3916"/>
      <c r="BO42" s="3916"/>
      <c r="BP42" s="3916"/>
      <c r="BQ42" s="3916"/>
      <c r="BR42" s="3916"/>
      <c r="BS42" s="3916"/>
      <c r="BT42" s="3916"/>
      <c r="BU42" s="3916"/>
      <c r="BV42" s="3916"/>
      <c r="BW42" s="3916"/>
      <c r="BX42" s="3916"/>
      <c r="BY42" s="3916"/>
      <c r="BZ42" s="3916"/>
      <c r="CA42" s="3916"/>
      <c r="CB42" s="3916"/>
      <c r="CC42" s="3916"/>
      <c r="CD42" s="3916"/>
      <c r="CE42" s="3916"/>
      <c r="CF42" s="3916"/>
      <c r="CG42" s="3916"/>
      <c r="CH42" s="3916"/>
      <c r="CI42" s="3916"/>
      <c r="CJ42" s="3916"/>
      <c r="CK42" s="3916"/>
      <c r="CL42" s="3916"/>
      <c r="CM42" s="3916"/>
      <c r="CN42" s="3916"/>
      <c r="CO42" s="3916"/>
      <c r="CP42" s="3916"/>
      <c r="CQ42" s="3916"/>
      <c r="CR42" s="3916"/>
      <c r="CS42" s="3916"/>
      <c r="CT42" s="3916"/>
      <c r="CU42" s="3916"/>
      <c r="CV42" s="3916"/>
      <c r="CW42" s="3916"/>
      <c r="CX42" s="3916"/>
      <c r="CY42" s="3916"/>
      <c r="CZ42" s="3916"/>
      <c r="DA42" s="3916"/>
      <c r="DB42" s="3916"/>
      <c r="DC42" s="3916"/>
      <c r="DD42" s="3916"/>
      <c r="DE42" s="3916"/>
      <c r="DF42" s="3916"/>
      <c r="DG42" s="3916"/>
      <c r="DH42" s="3916"/>
      <c r="DI42" s="3916"/>
      <c r="DJ42" s="3916"/>
      <c r="DK42" s="3916"/>
      <c r="DL42" s="3916"/>
      <c r="DM42" s="3916"/>
      <c r="DN42" s="3916"/>
      <c r="DO42" s="3916"/>
      <c r="DP42" s="3916"/>
      <c r="DQ42" s="3916"/>
      <c r="DR42" s="3916"/>
      <c r="DS42" s="3916"/>
      <c r="DT42" s="3916"/>
      <c r="DU42" s="3916"/>
      <c r="DV42" s="3916"/>
      <c r="DW42" s="3916"/>
      <c r="DX42" s="3916"/>
      <c r="DY42" s="3916"/>
      <c r="DZ42" s="3916"/>
      <c r="EA42" s="3916"/>
      <c r="EB42" s="3916"/>
      <c r="EC42" s="3916"/>
      <c r="ED42" s="3916"/>
      <c r="EE42" s="3916"/>
      <c r="EF42" s="3916"/>
      <c r="EG42" s="3916"/>
      <c r="EH42" s="3916"/>
      <c r="EI42" s="3916"/>
      <c r="EJ42" s="3916"/>
      <c r="EK42" s="3916"/>
      <c r="EL42" s="3916"/>
      <c r="EM42" s="3916"/>
      <c r="EN42" s="3916"/>
      <c r="EO42" s="3916"/>
      <c r="EP42" s="3916"/>
      <c r="EQ42" s="3916"/>
      <c r="ER42" s="3916"/>
      <c r="ES42" s="3916"/>
      <c r="ET42" s="3916"/>
      <c r="EU42" s="3916"/>
      <c r="EV42" s="3916"/>
      <c r="EW42" s="3916"/>
      <c r="EX42" s="3916"/>
      <c r="EY42" s="3916"/>
      <c r="EZ42" s="3916"/>
      <c r="FA42" s="3916"/>
      <c r="FB42" s="3916"/>
      <c r="FC42" s="3916"/>
      <c r="FD42" s="3916"/>
      <c r="FE42" s="3916"/>
      <c r="FF42" s="3916"/>
      <c r="FG42" s="3916"/>
      <c r="FH42" s="3916"/>
      <c r="FI42" s="3916"/>
      <c r="FJ42" s="3916"/>
      <c r="FK42" s="3916"/>
      <c r="FL42" s="3916"/>
      <c r="FM42" s="3916"/>
      <c r="FN42" s="3916"/>
      <c r="FO42" s="3916"/>
      <c r="FP42" s="3916"/>
      <c r="FQ42" s="3916"/>
      <c r="FR42" s="3916"/>
      <c r="FS42" s="3916"/>
      <c r="FT42" s="3916"/>
      <c r="FU42" s="3916"/>
      <c r="FV42" s="3916"/>
      <c r="FW42" s="3916"/>
      <c r="FX42" s="3916"/>
      <c r="FY42" s="3916"/>
      <c r="FZ42" s="3916"/>
      <c r="GA42" s="3916"/>
      <c r="GB42" s="3916"/>
      <c r="GC42" s="3916"/>
      <c r="GD42" s="3916"/>
      <c r="GE42" s="3916"/>
      <c r="GF42" s="3916"/>
      <c r="GG42" s="3916"/>
      <c r="GH42" s="3916"/>
      <c r="GI42" s="3916"/>
      <c r="GJ42" s="3916"/>
      <c r="GK42" s="3916"/>
      <c r="GL42" s="3916"/>
      <c r="GM42" s="3916"/>
      <c r="GN42" s="3916"/>
      <c r="GO42" s="3916"/>
      <c r="GP42" s="3916"/>
      <c r="GQ42" s="3916"/>
      <c r="GR42" s="3916"/>
      <c r="GS42" s="3916"/>
      <c r="GT42" s="3916"/>
      <c r="GU42" s="1626"/>
      <c r="GV42" s="3916"/>
      <c r="GW42" s="3916"/>
      <c r="GX42" s="3916"/>
      <c r="GY42" s="3916"/>
      <c r="GZ42" s="3916"/>
      <c r="HA42" s="3916"/>
      <c r="HB42" s="3916"/>
      <c r="HC42" s="3916"/>
      <c r="HD42" s="3916"/>
      <c r="HE42" s="3916"/>
      <c r="HF42" s="3916"/>
      <c r="HG42" s="3916"/>
      <c r="HH42" s="3916"/>
      <c r="HI42" s="3916"/>
      <c r="HJ42" s="3916"/>
      <c r="HK42" s="3916"/>
      <c r="HL42" s="3916"/>
      <c r="HM42" s="3916"/>
      <c r="HN42" s="3916"/>
      <c r="HO42" s="3916"/>
      <c r="HP42" s="3916"/>
      <c r="HQ42" s="3916"/>
      <c r="HR42" s="3916"/>
      <c r="HS42" s="3916"/>
      <c r="HT42" s="3916"/>
      <c r="HU42" s="3916"/>
      <c r="HV42" s="3916"/>
      <c r="HW42" s="3916"/>
      <c r="HX42" s="3916"/>
      <c r="HY42" s="3916"/>
      <c r="HZ42" s="3916"/>
      <c r="IA42" s="3916"/>
      <c r="IB42" s="3916"/>
      <c r="IC42" s="3916"/>
      <c r="ID42" s="3916"/>
      <c r="IE42" s="3916"/>
      <c r="IF42" s="3916"/>
      <c r="IG42" s="3916"/>
      <c r="IH42" s="3916"/>
      <c r="II42" s="3916"/>
      <c r="IJ42" s="3916"/>
      <c r="IK42" s="3916"/>
      <c r="IL42" s="3916"/>
      <c r="IM42" s="3916"/>
      <c r="IN42" s="3916"/>
      <c r="IO42" s="3916"/>
      <c r="IP42" s="3916"/>
      <c r="IQ42" s="3916"/>
      <c r="IR42" s="3916"/>
      <c r="IS42" s="3916"/>
      <c r="IT42" s="3916"/>
      <c r="IU42" s="3916"/>
      <c r="IV42" s="3916"/>
      <c r="IW42" s="3916"/>
      <c r="IX42" s="3916"/>
      <c r="IY42" s="3916"/>
      <c r="IZ42" s="3916"/>
      <c r="JA42" s="3916"/>
      <c r="JB42" s="3916"/>
      <c r="JC42" s="3916"/>
      <c r="JD42" s="3916"/>
      <c r="JE42" s="3916"/>
      <c r="JF42" s="3916"/>
      <c r="JG42" s="2101"/>
      <c r="JH42" s="1367"/>
      <c r="JI42" s="1565" t="s">
        <v>7301</v>
      </c>
      <c r="JJ42" s="1566" t="s">
        <v>6108</v>
      </c>
      <c r="JK42" s="1835"/>
      <c r="JL42" s="1570" t="s">
        <v>6098</v>
      </c>
    </row>
    <row ht="22.5" r="43" spans="1:272" x14ac:dyDescent="0.2">
      <c r="A43" s="1128">
        <v>42</v>
      </c>
      <c r="B43" s="1656" t="str">
        <f si="2" t="shared"/>
        <v/>
      </c>
      <c r="C43" s="1828" t="s">
        <v>5141</v>
      </c>
      <c r="D43" s="1392" t="str">
        <f>"Losses used against income – amount claimed against "&amp;tax_year&amp;" income"</f>
        <v>Losses used against income – amount claimed against 2019-20 income</v>
      </c>
      <c r="E43" s="1618"/>
      <c r="F43" s="1627"/>
      <c r="G43" s="1627"/>
      <c r="H43" s="1627"/>
      <c r="I43" s="1627"/>
      <c r="J43" s="1618">
        <v>5000</v>
      </c>
      <c r="K43" s="1618">
        <v>1000</v>
      </c>
      <c r="L43" s="1627"/>
      <c r="M43" s="1627"/>
      <c r="N43" s="1627"/>
      <c r="O43" s="1897"/>
      <c r="P43" s="2042"/>
      <c r="Q43" s="2042"/>
      <c r="R43" s="2042"/>
      <c r="S43" s="2042"/>
      <c r="T43" s="3917"/>
      <c r="U43" s="3917"/>
      <c r="V43" s="3917"/>
      <c r="W43" s="3917"/>
      <c r="X43" s="3917"/>
      <c r="Y43" s="3917"/>
      <c r="Z43" s="3917"/>
      <c r="AA43" s="3917"/>
      <c r="AB43" s="3917"/>
      <c r="AC43" s="3917"/>
      <c r="AD43" s="3917"/>
      <c r="AE43" s="3917"/>
      <c r="AF43" s="3917"/>
      <c r="AG43" s="3917"/>
      <c r="AH43" s="3917"/>
      <c r="AI43" s="3917"/>
      <c r="AJ43" s="3917"/>
      <c r="AK43" s="3917"/>
      <c r="AL43" s="3917"/>
      <c r="AM43" s="3917"/>
      <c r="AN43" s="3917"/>
      <c r="AO43" s="3917"/>
      <c r="AP43" s="3917"/>
      <c r="AQ43" s="3917"/>
      <c r="AR43" s="3917"/>
      <c r="AS43" s="3917"/>
      <c r="AT43" s="3917"/>
      <c r="AU43" s="3917"/>
      <c r="AV43" s="3917"/>
      <c r="AW43" s="3917"/>
      <c r="AX43" s="3917"/>
      <c r="AY43" s="3917"/>
      <c r="AZ43" s="3917"/>
      <c r="BA43" s="3917"/>
      <c r="BB43" s="3917"/>
      <c r="BC43" s="3917"/>
      <c r="BD43" s="3917"/>
      <c r="BE43" s="3917"/>
      <c r="BF43" s="3917"/>
      <c r="BG43" s="1627"/>
      <c r="BH43" s="3917"/>
      <c r="BI43" s="3917"/>
      <c r="BJ43" s="3917"/>
      <c r="BK43" s="3917"/>
      <c r="BL43" s="3917"/>
      <c r="BM43" s="3917"/>
      <c r="BN43" s="3917"/>
      <c r="BO43" s="3917"/>
      <c r="BP43" s="3917"/>
      <c r="BQ43" s="3917"/>
      <c r="BR43" s="3917"/>
      <c r="BS43" s="3917"/>
      <c r="BT43" s="3917"/>
      <c r="BU43" s="3917"/>
      <c r="BV43" s="3917"/>
      <c r="BW43" s="3917"/>
      <c r="BX43" s="3917"/>
      <c r="BY43" s="3917"/>
      <c r="BZ43" s="3917"/>
      <c r="CA43" s="3917"/>
      <c r="CB43" s="3917"/>
      <c r="CC43" s="3917"/>
      <c r="CD43" s="3917"/>
      <c r="CE43" s="3917"/>
      <c r="CF43" s="3917"/>
      <c r="CG43" s="3917"/>
      <c r="CH43" s="3917"/>
      <c r="CI43" s="3917"/>
      <c r="CJ43" s="3917"/>
      <c r="CK43" s="3917"/>
      <c r="CL43" s="3917"/>
      <c r="CM43" s="3917"/>
      <c r="CN43" s="3917"/>
      <c r="CO43" s="3917"/>
      <c r="CP43" s="3917"/>
      <c r="CQ43" s="3917"/>
      <c r="CR43" s="3917"/>
      <c r="CS43" s="3917"/>
      <c r="CT43" s="3917"/>
      <c r="CU43" s="3917"/>
      <c r="CV43" s="3917"/>
      <c r="CW43" s="3917"/>
      <c r="CX43" s="3917"/>
      <c r="CY43" s="3917"/>
      <c r="CZ43" s="3917"/>
      <c r="DA43" s="3917"/>
      <c r="DB43" s="3917"/>
      <c r="DC43" s="3917"/>
      <c r="DD43" s="3917"/>
      <c r="DE43" s="3917"/>
      <c r="DF43" s="3917"/>
      <c r="DG43" s="3917"/>
      <c r="DH43" s="3917"/>
      <c r="DI43" s="3917"/>
      <c r="DJ43" s="3917"/>
      <c r="DK43" s="3917"/>
      <c r="DL43" s="3917"/>
      <c r="DM43" s="3917"/>
      <c r="DN43" s="3917"/>
      <c r="DO43" s="3917"/>
      <c r="DP43" s="3917"/>
      <c r="DQ43" s="3917"/>
      <c r="DR43" s="3917"/>
      <c r="DS43" s="3917"/>
      <c r="DT43" s="3917"/>
      <c r="DU43" s="3917"/>
      <c r="DV43" s="3917"/>
      <c r="DW43" s="3917"/>
      <c r="DX43" s="3917"/>
      <c r="DY43" s="3917"/>
      <c r="DZ43" s="3917"/>
      <c r="EA43" s="3917"/>
      <c r="EB43" s="3917"/>
      <c r="EC43" s="3917"/>
      <c r="ED43" s="3917"/>
      <c r="EE43" s="3917"/>
      <c r="EF43" s="3917"/>
      <c r="EG43" s="3917"/>
      <c r="EH43" s="3917"/>
      <c r="EI43" s="3917"/>
      <c r="EJ43" s="3917"/>
      <c r="EK43" s="3917"/>
      <c r="EL43" s="3917"/>
      <c r="EM43" s="3917"/>
      <c r="EN43" s="3917"/>
      <c r="EO43" s="3917"/>
      <c r="EP43" s="3917"/>
      <c r="EQ43" s="3917"/>
      <c r="ER43" s="3917"/>
      <c r="ES43" s="3917"/>
      <c r="ET43" s="3917"/>
      <c r="EU43" s="3917"/>
      <c r="EV43" s="3917"/>
      <c r="EW43" s="3917"/>
      <c r="EX43" s="3917"/>
      <c r="EY43" s="3917"/>
      <c r="EZ43" s="3917"/>
      <c r="FA43" s="3917"/>
      <c r="FB43" s="3917"/>
      <c r="FC43" s="3917"/>
      <c r="FD43" s="3917"/>
      <c r="FE43" s="3917"/>
      <c r="FF43" s="3917"/>
      <c r="FG43" s="3917"/>
      <c r="FH43" s="3917"/>
      <c r="FI43" s="3917"/>
      <c r="FJ43" s="3917"/>
      <c r="FK43" s="3917"/>
      <c r="FL43" s="3917"/>
      <c r="FM43" s="3917"/>
      <c r="FN43" s="3917"/>
      <c r="FO43" s="3917"/>
      <c r="FP43" s="3917"/>
      <c r="FQ43" s="3917"/>
      <c r="FR43" s="3917"/>
      <c r="FS43" s="3917"/>
      <c r="FT43" s="3917"/>
      <c r="FU43" s="3917"/>
      <c r="FV43" s="3917"/>
      <c r="FW43" s="3917"/>
      <c r="FX43" s="3917"/>
      <c r="FY43" s="3917"/>
      <c r="FZ43" s="3917"/>
      <c r="GA43" s="3917"/>
      <c r="GB43" s="3917"/>
      <c r="GC43" s="3917"/>
      <c r="GD43" s="3917"/>
      <c r="GE43" s="3917"/>
      <c r="GF43" s="3917"/>
      <c r="GG43" s="3917"/>
      <c r="GH43" s="3917"/>
      <c r="GI43" s="3917"/>
      <c r="GJ43" s="3917"/>
      <c r="GK43" s="3917"/>
      <c r="GL43" s="3917"/>
      <c r="GM43" s="3917"/>
      <c r="GN43" s="3917"/>
      <c r="GO43" s="3917"/>
      <c r="GP43" s="3917"/>
      <c r="GQ43" s="3917"/>
      <c r="GR43" s="3917"/>
      <c r="GS43" s="3917"/>
      <c r="GT43" s="3917"/>
      <c r="GU43" s="1627"/>
      <c r="GV43" s="3917"/>
      <c r="GW43" s="3917"/>
      <c r="GX43" s="3917"/>
      <c r="GY43" s="3917"/>
      <c r="GZ43" s="3917"/>
      <c r="HA43" s="3917"/>
      <c r="HB43" s="3917"/>
      <c r="HC43" s="3917"/>
      <c r="HD43" s="3917"/>
      <c r="HE43" s="3917"/>
      <c r="HF43" s="3917"/>
      <c r="HG43" s="3917"/>
      <c r="HH43" s="3917"/>
      <c r="HI43" s="3917"/>
      <c r="HJ43" s="3917"/>
      <c r="HK43" s="3917"/>
      <c r="HL43" s="3917"/>
      <c r="HM43" s="3917"/>
      <c r="HN43" s="3917"/>
      <c r="HO43" s="3917"/>
      <c r="HP43" s="3917"/>
      <c r="HQ43" s="3917"/>
      <c r="HR43" s="3917"/>
      <c r="HS43" s="3917"/>
      <c r="HT43" s="3917"/>
      <c r="HU43" s="3917"/>
      <c r="HV43" s="3917"/>
      <c r="HW43" s="3917"/>
      <c r="HX43" s="3917"/>
      <c r="HY43" s="3917"/>
      <c r="HZ43" s="3917"/>
      <c r="IA43" s="3917"/>
      <c r="IB43" s="3917"/>
      <c r="IC43" s="3917"/>
      <c r="ID43" s="3917"/>
      <c r="IE43" s="3917"/>
      <c r="IF43" s="3917"/>
      <c r="IG43" s="3917"/>
      <c r="IH43" s="3917"/>
      <c r="II43" s="3917"/>
      <c r="IJ43" s="3917"/>
      <c r="IK43" s="3917"/>
      <c r="IL43" s="3917"/>
      <c r="IM43" s="3917"/>
      <c r="IN43" s="3917"/>
      <c r="IO43" s="3917"/>
      <c r="IP43" s="3917"/>
      <c r="IQ43" s="3917"/>
      <c r="IR43" s="3917"/>
      <c r="IS43" s="3917"/>
      <c r="IT43" s="3917"/>
      <c r="IU43" s="3917"/>
      <c r="IV43" s="3917"/>
      <c r="IW43" s="3917"/>
      <c r="IX43" s="3917"/>
      <c r="IY43" s="3917"/>
      <c r="IZ43" s="3917"/>
      <c r="JA43" s="3917"/>
      <c r="JB43" s="3917"/>
      <c r="JC43" s="3917"/>
      <c r="JD43" s="3917"/>
      <c r="JE43" s="3917"/>
      <c r="JF43" s="3917"/>
      <c r="JG43" s="2102"/>
      <c r="JH43" s="1367"/>
      <c r="JI43" s="1565" t="s">
        <v>7302</v>
      </c>
      <c r="JJ43" s="1566" t="s">
        <v>6108</v>
      </c>
      <c r="JK43" s="1566" t="s">
        <v>585</v>
      </c>
      <c r="JL43" s="1835"/>
    </row>
    <row ht="22.5" r="44" spans="1:272" x14ac:dyDescent="0.2">
      <c r="A44" s="1128">
        <v>43</v>
      </c>
      <c r="B44" s="1656" t="str">
        <f si="2" t="shared"/>
        <v/>
      </c>
      <c r="C44" s="1828" t="s">
        <v>5142</v>
      </c>
      <c r="D44" s="1392" t="s">
        <v>5362</v>
      </c>
      <c r="E44" s="1618"/>
      <c r="F44" s="1627"/>
      <c r="G44" s="1627"/>
      <c r="H44" s="1627"/>
      <c r="I44" s="1627"/>
      <c r="J44" s="1627"/>
      <c r="K44" s="1627"/>
      <c r="L44" s="1627"/>
      <c r="M44" s="1627"/>
      <c r="N44" s="1627"/>
      <c r="O44" s="1897"/>
      <c r="P44" s="2042"/>
      <c r="Q44" s="2042"/>
      <c r="R44" s="2042"/>
      <c r="S44" s="2042"/>
      <c r="T44" s="3917"/>
      <c r="U44" s="3917"/>
      <c r="V44" s="3917"/>
      <c r="W44" s="3917"/>
      <c r="X44" s="3917"/>
      <c r="Y44" s="3917"/>
      <c r="Z44" s="3917"/>
      <c r="AA44" s="3917"/>
      <c r="AB44" s="3917"/>
      <c r="AC44" s="3917"/>
      <c r="AD44" s="3917"/>
      <c r="AE44" s="3917"/>
      <c r="AF44" s="3917"/>
      <c r="AG44" s="3917"/>
      <c r="AH44" s="3917"/>
      <c r="AI44" s="3917"/>
      <c r="AJ44" s="3917"/>
      <c r="AK44" s="3917"/>
      <c r="AL44" s="3917"/>
      <c r="AM44" s="3917"/>
      <c r="AN44" s="3917"/>
      <c r="AO44" s="3917"/>
      <c r="AP44" s="3917"/>
      <c r="AQ44" s="3917"/>
      <c r="AR44" s="3917"/>
      <c r="AS44" s="3917"/>
      <c r="AT44" s="3917"/>
      <c r="AU44" s="3917"/>
      <c r="AV44" s="3917"/>
      <c r="AW44" s="3917"/>
      <c r="AX44" s="3917"/>
      <c r="AY44" s="3917"/>
      <c r="AZ44" s="3917"/>
      <c r="BA44" s="3917"/>
      <c r="BB44" s="3917"/>
      <c r="BC44" s="3917"/>
      <c r="BD44" s="3917"/>
      <c r="BE44" s="3917"/>
      <c r="BF44" s="3917"/>
      <c r="BG44" s="1627"/>
      <c r="BH44" s="3917"/>
      <c r="BI44" s="3917"/>
      <c r="BJ44" s="3917"/>
      <c r="BK44" s="3917"/>
      <c r="BL44" s="3917"/>
      <c r="BM44" s="3917"/>
      <c r="BN44" s="3917"/>
      <c r="BO44" s="3917"/>
      <c r="BP44" s="3917"/>
      <c r="BQ44" s="3917"/>
      <c r="BR44" s="3917"/>
      <c r="BS44" s="3917"/>
      <c r="BT44" s="3917"/>
      <c r="BU44" s="3917"/>
      <c r="BV44" s="3917"/>
      <c r="BW44" s="3917"/>
      <c r="BX44" s="3917"/>
      <c r="BY44" s="3917"/>
      <c r="BZ44" s="3917"/>
      <c r="CA44" s="3917"/>
      <c r="CB44" s="3917"/>
      <c r="CC44" s="3917"/>
      <c r="CD44" s="3917"/>
      <c r="CE44" s="3917"/>
      <c r="CF44" s="3917"/>
      <c r="CG44" s="3917"/>
      <c r="CH44" s="3917"/>
      <c r="CI44" s="3917"/>
      <c r="CJ44" s="3917"/>
      <c r="CK44" s="3917"/>
      <c r="CL44" s="3917"/>
      <c r="CM44" s="3917"/>
      <c r="CN44" s="3917"/>
      <c r="CO44" s="3917"/>
      <c r="CP44" s="3917"/>
      <c r="CQ44" s="3917"/>
      <c r="CR44" s="3917"/>
      <c r="CS44" s="3917"/>
      <c r="CT44" s="3917"/>
      <c r="CU44" s="3917"/>
      <c r="CV44" s="3917"/>
      <c r="CW44" s="3917"/>
      <c r="CX44" s="3917"/>
      <c r="CY44" s="3917"/>
      <c r="CZ44" s="3917"/>
      <c r="DA44" s="3917"/>
      <c r="DB44" s="3917"/>
      <c r="DC44" s="3917"/>
      <c r="DD44" s="3917"/>
      <c r="DE44" s="3917"/>
      <c r="DF44" s="3917"/>
      <c r="DG44" s="3917"/>
      <c r="DH44" s="3917"/>
      <c r="DI44" s="3917"/>
      <c r="DJ44" s="3917"/>
      <c r="DK44" s="3917"/>
      <c r="DL44" s="3917"/>
      <c r="DM44" s="3917"/>
      <c r="DN44" s="3917"/>
      <c r="DO44" s="3917"/>
      <c r="DP44" s="3917"/>
      <c r="DQ44" s="3917"/>
      <c r="DR44" s="3917"/>
      <c r="DS44" s="3917"/>
      <c r="DT44" s="3917"/>
      <c r="DU44" s="3917"/>
      <c r="DV44" s="3917"/>
      <c r="DW44" s="3917"/>
      <c r="DX44" s="3917"/>
      <c r="DY44" s="3917"/>
      <c r="DZ44" s="3917"/>
      <c r="EA44" s="3917"/>
      <c r="EB44" s="3917"/>
      <c r="EC44" s="3917"/>
      <c r="ED44" s="3917"/>
      <c r="EE44" s="3917"/>
      <c r="EF44" s="3917"/>
      <c r="EG44" s="3917"/>
      <c r="EH44" s="3917"/>
      <c r="EI44" s="3917"/>
      <c r="EJ44" s="3917"/>
      <c r="EK44" s="3917"/>
      <c r="EL44" s="3917"/>
      <c r="EM44" s="3917"/>
      <c r="EN44" s="3917"/>
      <c r="EO44" s="3917"/>
      <c r="EP44" s="3917"/>
      <c r="EQ44" s="3917"/>
      <c r="ER44" s="3917"/>
      <c r="ES44" s="3917"/>
      <c r="ET44" s="3917"/>
      <c r="EU44" s="3917"/>
      <c r="EV44" s="3917"/>
      <c r="EW44" s="3917"/>
      <c r="EX44" s="3917"/>
      <c r="EY44" s="3917"/>
      <c r="EZ44" s="3917"/>
      <c r="FA44" s="3917"/>
      <c r="FB44" s="3917"/>
      <c r="FC44" s="3917"/>
      <c r="FD44" s="3917"/>
      <c r="FE44" s="3917"/>
      <c r="FF44" s="3917"/>
      <c r="FG44" s="3917"/>
      <c r="FH44" s="3917"/>
      <c r="FI44" s="3917"/>
      <c r="FJ44" s="3917"/>
      <c r="FK44" s="3917"/>
      <c r="FL44" s="3917"/>
      <c r="FM44" s="3917"/>
      <c r="FN44" s="3917"/>
      <c r="FO44" s="3917"/>
      <c r="FP44" s="3917"/>
      <c r="FQ44" s="3917"/>
      <c r="FR44" s="3917"/>
      <c r="FS44" s="3917"/>
      <c r="FT44" s="3917"/>
      <c r="FU44" s="3917"/>
      <c r="FV44" s="3917"/>
      <c r="FW44" s="3917"/>
      <c r="FX44" s="3917"/>
      <c r="FY44" s="3917"/>
      <c r="FZ44" s="3917"/>
      <c r="GA44" s="3917"/>
      <c r="GB44" s="3917"/>
      <c r="GC44" s="3917"/>
      <c r="GD44" s="3917"/>
      <c r="GE44" s="3917"/>
      <c r="GF44" s="3917"/>
      <c r="GG44" s="3917"/>
      <c r="GH44" s="3917"/>
      <c r="GI44" s="3917"/>
      <c r="GJ44" s="3917"/>
      <c r="GK44" s="3917"/>
      <c r="GL44" s="3917"/>
      <c r="GM44" s="3917"/>
      <c r="GN44" s="3917"/>
      <c r="GO44" s="3917"/>
      <c r="GP44" s="3917"/>
      <c r="GQ44" s="3917"/>
      <c r="GR44" s="3917"/>
      <c r="GS44" s="3917"/>
      <c r="GT44" s="3917"/>
      <c r="GU44" s="1627"/>
      <c r="GV44" s="3917"/>
      <c r="GW44" s="3917"/>
      <c r="GX44" s="3917"/>
      <c r="GY44" s="3917"/>
      <c r="GZ44" s="3917"/>
      <c r="HA44" s="3917"/>
      <c r="HB44" s="3917"/>
      <c r="HC44" s="3917"/>
      <c r="HD44" s="3917"/>
      <c r="HE44" s="3917"/>
      <c r="HF44" s="3917"/>
      <c r="HG44" s="3917"/>
      <c r="HH44" s="3917"/>
      <c r="HI44" s="3917"/>
      <c r="HJ44" s="3917"/>
      <c r="HK44" s="3917"/>
      <c r="HL44" s="3917"/>
      <c r="HM44" s="3917"/>
      <c r="HN44" s="3917"/>
      <c r="HO44" s="3917"/>
      <c r="HP44" s="3917"/>
      <c r="HQ44" s="3917"/>
      <c r="HR44" s="3917"/>
      <c r="HS44" s="3917"/>
      <c r="HT44" s="3917"/>
      <c r="HU44" s="3917"/>
      <c r="HV44" s="3917"/>
      <c r="HW44" s="3917"/>
      <c r="HX44" s="3917"/>
      <c r="HY44" s="3917"/>
      <c r="HZ44" s="3917"/>
      <c r="IA44" s="3917"/>
      <c r="IB44" s="3917"/>
      <c r="IC44" s="3917"/>
      <c r="ID44" s="3917"/>
      <c r="IE44" s="3917"/>
      <c r="IF44" s="3917"/>
      <c r="IG44" s="3917"/>
      <c r="IH44" s="3917"/>
      <c r="II44" s="3917"/>
      <c r="IJ44" s="3917"/>
      <c r="IK44" s="3917"/>
      <c r="IL44" s="3917"/>
      <c r="IM44" s="3917"/>
      <c r="IN44" s="3917"/>
      <c r="IO44" s="3917"/>
      <c r="IP44" s="3917"/>
      <c r="IQ44" s="3917"/>
      <c r="IR44" s="3917"/>
      <c r="IS44" s="3917"/>
      <c r="IT44" s="3917"/>
      <c r="IU44" s="3917"/>
      <c r="IV44" s="3917"/>
      <c r="IW44" s="3917"/>
      <c r="IX44" s="3917"/>
      <c r="IY44" s="3917"/>
      <c r="IZ44" s="3917"/>
      <c r="JA44" s="3917"/>
      <c r="JB44" s="3917"/>
      <c r="JC44" s="3917"/>
      <c r="JD44" s="3917"/>
      <c r="JE44" s="3917"/>
      <c r="JF44" s="3917"/>
      <c r="JG44" s="2102"/>
      <c r="JH44" s="1367"/>
      <c r="JI44" s="1565" t="s">
        <v>5363</v>
      </c>
      <c r="JJ44" s="1566" t="s">
        <v>6108</v>
      </c>
      <c r="JK44" s="1835"/>
      <c r="JL44" s="1566" t="s">
        <v>6100</v>
      </c>
    </row>
    <row ht="22.5" r="45" spans="1:272" x14ac:dyDescent="0.2">
      <c r="A45" s="1128">
        <v>44</v>
      </c>
      <c r="B45" s="1656" t="str">
        <f si="2" t="shared"/>
        <v/>
      </c>
      <c r="C45" s="1828" t="s">
        <v>5143</v>
      </c>
      <c r="D45" s="1392" t="str">
        <f>"Losses used against income – amount claimed against "&amp;last_year&amp;" income"</f>
        <v>Losses used against income – amount claimed against 2018-19 income</v>
      </c>
      <c r="E45" s="1618"/>
      <c r="F45" s="1618"/>
      <c r="G45" s="1618"/>
      <c r="H45" s="1627"/>
      <c r="I45" s="1618"/>
      <c r="J45" s="1618"/>
      <c r="K45" s="1618"/>
      <c r="L45" s="1618"/>
      <c r="M45" s="1618"/>
      <c r="N45" s="1618"/>
      <c r="O45" s="1885"/>
      <c r="P45" s="2034"/>
      <c r="Q45" s="2034"/>
      <c r="R45" s="2034"/>
      <c r="S45" s="2034"/>
      <c r="T45" s="3904"/>
      <c r="U45" s="3904"/>
      <c r="V45" s="3904"/>
      <c r="W45" s="3904"/>
      <c r="X45" s="3904"/>
      <c r="Y45" s="3904"/>
      <c r="Z45" s="3904"/>
      <c r="AA45" s="3904"/>
      <c r="AB45" s="3904"/>
      <c r="AC45" s="3904"/>
      <c r="AD45" s="3904"/>
      <c r="AE45" s="3904"/>
      <c r="AF45" s="3904"/>
      <c r="AG45" s="3904"/>
      <c r="AH45" s="3904"/>
      <c r="AI45" s="3904"/>
      <c r="AJ45" s="3904"/>
      <c r="AK45" s="3904"/>
      <c r="AL45" s="3904"/>
      <c r="AM45" s="3904"/>
      <c r="AN45" s="3904"/>
      <c r="AO45" s="3904"/>
      <c r="AP45" s="3904"/>
      <c r="AQ45" s="3904"/>
      <c r="AR45" s="3904"/>
      <c r="AS45" s="3904"/>
      <c r="AT45" s="3904"/>
      <c r="AU45" s="3904"/>
      <c r="AV45" s="3904"/>
      <c r="AW45" s="3904"/>
      <c r="AX45" s="3904"/>
      <c r="AY45" s="3904"/>
      <c r="AZ45" s="3904"/>
      <c r="BA45" s="3904"/>
      <c r="BB45" s="3904"/>
      <c r="BC45" s="3904"/>
      <c r="BD45" s="3904"/>
      <c r="BE45" s="3904"/>
      <c r="BF45" s="3904"/>
      <c r="BG45" s="1618"/>
      <c r="BH45" s="3904"/>
      <c r="BI45" s="3904"/>
      <c r="BJ45" s="3904"/>
      <c r="BK45" s="3904"/>
      <c r="BL45" s="3904"/>
      <c r="BM45" s="3904"/>
      <c r="BN45" s="3904"/>
      <c r="BO45" s="3904"/>
      <c r="BP45" s="3904"/>
      <c r="BQ45" s="3904"/>
      <c r="BR45" s="3904"/>
      <c r="BS45" s="3904"/>
      <c r="BT45" s="3904"/>
      <c r="BU45" s="3904"/>
      <c r="BV45" s="3904"/>
      <c r="BW45" s="3904"/>
      <c r="BX45" s="3904"/>
      <c r="BY45" s="3904"/>
      <c r="BZ45" s="3904"/>
      <c r="CA45" s="3904"/>
      <c r="CB45" s="3904"/>
      <c r="CC45" s="3904"/>
      <c r="CD45" s="3904"/>
      <c r="CE45" s="3904"/>
      <c r="CF45" s="3904"/>
      <c r="CG45" s="3904"/>
      <c r="CH45" s="3904"/>
      <c r="CI45" s="3904"/>
      <c r="CJ45" s="3904"/>
      <c r="CK45" s="3904"/>
      <c r="CL45" s="3904"/>
      <c r="CM45" s="3904"/>
      <c r="CN45" s="3904"/>
      <c r="CO45" s="3904"/>
      <c r="CP45" s="3904"/>
      <c r="CQ45" s="3904"/>
      <c r="CR45" s="3904"/>
      <c r="CS45" s="3904"/>
      <c r="CT45" s="3904"/>
      <c r="CU45" s="3904"/>
      <c r="CV45" s="3904"/>
      <c r="CW45" s="3904"/>
      <c r="CX45" s="3904"/>
      <c r="CY45" s="3904"/>
      <c r="CZ45" s="3904"/>
      <c r="DA45" s="3904"/>
      <c r="DB45" s="3904"/>
      <c r="DC45" s="3904"/>
      <c r="DD45" s="3904"/>
      <c r="DE45" s="3904"/>
      <c r="DF45" s="3904"/>
      <c r="DG45" s="3904"/>
      <c r="DH45" s="3904"/>
      <c r="DI45" s="3904"/>
      <c r="DJ45" s="3904"/>
      <c r="DK45" s="3904"/>
      <c r="DL45" s="3904"/>
      <c r="DM45" s="3904"/>
      <c r="DN45" s="3904"/>
      <c r="DO45" s="3904"/>
      <c r="DP45" s="3904"/>
      <c r="DQ45" s="3904"/>
      <c r="DR45" s="3904"/>
      <c r="DS45" s="3904"/>
      <c r="DT45" s="3904"/>
      <c r="DU45" s="3904"/>
      <c r="DV45" s="3904"/>
      <c r="DW45" s="3904"/>
      <c r="DX45" s="3904"/>
      <c r="DY45" s="3904"/>
      <c r="DZ45" s="3904"/>
      <c r="EA45" s="3904"/>
      <c r="EB45" s="3904"/>
      <c r="EC45" s="3904"/>
      <c r="ED45" s="3904"/>
      <c r="EE45" s="3904"/>
      <c r="EF45" s="3904"/>
      <c r="EG45" s="3904"/>
      <c r="EH45" s="3904"/>
      <c r="EI45" s="3904"/>
      <c r="EJ45" s="3904"/>
      <c r="EK45" s="3904"/>
      <c r="EL45" s="3904"/>
      <c r="EM45" s="3904"/>
      <c r="EN45" s="3904"/>
      <c r="EO45" s="3904"/>
      <c r="EP45" s="3904"/>
      <c r="EQ45" s="3904"/>
      <c r="ER45" s="3904"/>
      <c r="ES45" s="3904"/>
      <c r="ET45" s="3904"/>
      <c r="EU45" s="3904"/>
      <c r="EV45" s="3904"/>
      <c r="EW45" s="3904"/>
      <c r="EX45" s="3904"/>
      <c r="EY45" s="3904"/>
      <c r="EZ45" s="3904"/>
      <c r="FA45" s="3904"/>
      <c r="FB45" s="3904"/>
      <c r="FC45" s="3904"/>
      <c r="FD45" s="3904"/>
      <c r="FE45" s="3904"/>
      <c r="FF45" s="3904"/>
      <c r="FG45" s="3904"/>
      <c r="FH45" s="3904"/>
      <c r="FI45" s="3904"/>
      <c r="FJ45" s="3904"/>
      <c r="FK45" s="3904"/>
      <c r="FL45" s="3904"/>
      <c r="FM45" s="3904"/>
      <c r="FN45" s="3904"/>
      <c r="FO45" s="3904"/>
      <c r="FP45" s="3904"/>
      <c r="FQ45" s="3904"/>
      <c r="FR45" s="3904"/>
      <c r="FS45" s="3904"/>
      <c r="FT45" s="3904"/>
      <c r="FU45" s="3904"/>
      <c r="FV45" s="3904"/>
      <c r="FW45" s="3904"/>
      <c r="FX45" s="3904"/>
      <c r="FY45" s="3904"/>
      <c r="FZ45" s="3904"/>
      <c r="GA45" s="3904"/>
      <c r="GB45" s="3904"/>
      <c r="GC45" s="3904"/>
      <c r="GD45" s="3904"/>
      <c r="GE45" s="3904"/>
      <c r="GF45" s="3904"/>
      <c r="GG45" s="3904"/>
      <c r="GH45" s="3904"/>
      <c r="GI45" s="3904"/>
      <c r="GJ45" s="3904"/>
      <c r="GK45" s="3904"/>
      <c r="GL45" s="3904"/>
      <c r="GM45" s="3904"/>
      <c r="GN45" s="3904"/>
      <c r="GO45" s="3904"/>
      <c r="GP45" s="3904"/>
      <c r="GQ45" s="3904"/>
      <c r="GR45" s="3904"/>
      <c r="GS45" s="3904"/>
      <c r="GT45" s="3904"/>
      <c r="GU45" s="1618"/>
      <c r="GV45" s="3904"/>
      <c r="GW45" s="3904"/>
      <c r="GX45" s="3904"/>
      <c r="GY45" s="3904"/>
      <c r="GZ45" s="3904"/>
      <c r="HA45" s="3904"/>
      <c r="HB45" s="3904"/>
      <c r="HC45" s="3904"/>
      <c r="HD45" s="3904"/>
      <c r="HE45" s="3904"/>
      <c r="HF45" s="3904"/>
      <c r="HG45" s="3904"/>
      <c r="HH45" s="3904"/>
      <c r="HI45" s="3904"/>
      <c r="HJ45" s="3904"/>
      <c r="HK45" s="3904"/>
      <c r="HL45" s="3904"/>
      <c r="HM45" s="3904"/>
      <c r="HN45" s="3904"/>
      <c r="HO45" s="3904"/>
      <c r="HP45" s="3904"/>
      <c r="HQ45" s="3904"/>
      <c r="HR45" s="3904"/>
      <c r="HS45" s="3904"/>
      <c r="HT45" s="3904"/>
      <c r="HU45" s="3904"/>
      <c r="HV45" s="3904"/>
      <c r="HW45" s="3904"/>
      <c r="HX45" s="3904"/>
      <c r="HY45" s="3904"/>
      <c r="HZ45" s="3904"/>
      <c r="IA45" s="3904"/>
      <c r="IB45" s="3904"/>
      <c r="IC45" s="3904"/>
      <c r="ID45" s="3904"/>
      <c r="IE45" s="3904"/>
      <c r="IF45" s="3904"/>
      <c r="IG45" s="3904"/>
      <c r="IH45" s="3904"/>
      <c r="II45" s="3904"/>
      <c r="IJ45" s="3904"/>
      <c r="IK45" s="3904"/>
      <c r="IL45" s="3904"/>
      <c r="IM45" s="3904"/>
      <c r="IN45" s="3904"/>
      <c r="IO45" s="3904"/>
      <c r="IP45" s="3904"/>
      <c r="IQ45" s="3904"/>
      <c r="IR45" s="3904"/>
      <c r="IS45" s="3904"/>
      <c r="IT45" s="3904"/>
      <c r="IU45" s="3904"/>
      <c r="IV45" s="3904"/>
      <c r="IW45" s="3904"/>
      <c r="IX45" s="3904"/>
      <c r="IY45" s="3904"/>
      <c r="IZ45" s="3904"/>
      <c r="JA45" s="3904"/>
      <c r="JB45" s="3904"/>
      <c r="JC45" s="3904"/>
      <c r="JD45" s="3904"/>
      <c r="JE45" s="3904"/>
      <c r="JF45" s="3904"/>
      <c r="JG45" s="2087"/>
      <c r="JH45" s="1367"/>
      <c r="JI45" s="1565" t="s">
        <v>7303</v>
      </c>
      <c r="JJ45" s="1566" t="s">
        <v>6108</v>
      </c>
      <c r="JK45" s="1566" t="s">
        <v>585</v>
      </c>
      <c r="JL45" s="1566"/>
    </row>
    <row ht="22.5" r="46" spans="1:272" x14ac:dyDescent="0.2">
      <c r="A46" s="1128">
        <v>45</v>
      </c>
      <c r="B46" s="1656" t="str">
        <f si="2" t="shared"/>
        <v/>
      </c>
      <c r="C46" s="1579" t="s">
        <v>5144</v>
      </c>
      <c r="D46" s="1392" t="s">
        <v>5301</v>
      </c>
      <c r="E46" s="1621"/>
      <c r="F46" s="1621"/>
      <c r="G46" s="1621"/>
      <c r="H46" s="1625"/>
      <c r="I46" s="1621"/>
      <c r="J46" s="1621"/>
      <c r="K46" s="1621"/>
      <c r="L46" s="1621"/>
      <c r="M46" s="1621"/>
      <c r="N46" s="1621"/>
      <c r="O46" s="1888"/>
      <c r="P46" s="2036"/>
      <c r="Q46" s="2089"/>
      <c r="R46" s="2089"/>
      <c r="S46" s="2089"/>
      <c r="T46" s="3906"/>
      <c r="U46" s="3906"/>
      <c r="V46" s="3906"/>
      <c r="W46" s="3906"/>
      <c r="X46" s="3906"/>
      <c r="Y46" s="3906"/>
      <c r="Z46" s="3906"/>
      <c r="AA46" s="3906"/>
      <c r="AB46" s="3906"/>
      <c r="AC46" s="3906"/>
      <c r="AD46" s="3906"/>
      <c r="AE46" s="3906"/>
      <c r="AF46" s="3906"/>
      <c r="AG46" s="3906"/>
      <c r="AH46" s="3906"/>
      <c r="AI46" s="3906"/>
      <c r="AJ46" s="3906"/>
      <c r="AK46" s="3906"/>
      <c r="AL46" s="3906"/>
      <c r="AM46" s="3906"/>
      <c r="AN46" s="3906"/>
      <c r="AO46" s="3906"/>
      <c r="AP46" s="3906"/>
      <c r="AQ46" s="3906"/>
      <c r="AR46" s="3906"/>
      <c r="AS46" s="3906"/>
      <c r="AT46" s="3906"/>
      <c r="AU46" s="3906"/>
      <c r="AV46" s="3906"/>
      <c r="AW46" s="3906"/>
      <c r="AX46" s="3906"/>
      <c r="AY46" s="3906"/>
      <c r="AZ46" s="3906"/>
      <c r="BA46" s="3906"/>
      <c r="BB46" s="3906"/>
      <c r="BC46" s="3906"/>
      <c r="BD46" s="3906"/>
      <c r="BE46" s="3906"/>
      <c r="BF46" s="3906"/>
      <c r="BG46" s="1621"/>
      <c r="BH46" s="3906"/>
      <c r="BI46" s="3906"/>
      <c r="BJ46" s="3906"/>
      <c r="BK46" s="3906"/>
      <c r="BL46" s="3906"/>
      <c r="BM46" s="3906"/>
      <c r="BN46" s="3906"/>
      <c r="BO46" s="3906"/>
      <c r="BP46" s="3906"/>
      <c r="BQ46" s="3906"/>
      <c r="BR46" s="3906"/>
      <c r="BS46" s="3906"/>
      <c r="BT46" s="3906"/>
      <c r="BU46" s="3906"/>
      <c r="BV46" s="3906"/>
      <c r="BW46" s="3906"/>
      <c r="BX46" s="3906"/>
      <c r="BY46" s="3906"/>
      <c r="BZ46" s="3906"/>
      <c r="CA46" s="3906"/>
      <c r="CB46" s="3906"/>
      <c r="CC46" s="3906"/>
      <c r="CD46" s="3906"/>
      <c r="CE46" s="3906"/>
      <c r="CF46" s="3906"/>
      <c r="CG46" s="3906"/>
      <c r="CH46" s="3906"/>
      <c r="CI46" s="3906"/>
      <c r="CJ46" s="3906"/>
      <c r="CK46" s="3906"/>
      <c r="CL46" s="3906"/>
      <c r="CM46" s="3906"/>
      <c r="CN46" s="3906"/>
      <c r="CO46" s="3906"/>
      <c r="CP46" s="3906"/>
      <c r="CQ46" s="3906"/>
      <c r="CR46" s="3906"/>
      <c r="CS46" s="3906"/>
      <c r="CT46" s="3906"/>
      <c r="CU46" s="3906"/>
      <c r="CV46" s="3906"/>
      <c r="CW46" s="3906"/>
      <c r="CX46" s="3906"/>
      <c r="CY46" s="3906"/>
      <c r="CZ46" s="3906"/>
      <c r="DA46" s="3906"/>
      <c r="DB46" s="3906"/>
      <c r="DC46" s="3906"/>
      <c r="DD46" s="3906"/>
      <c r="DE46" s="3906"/>
      <c r="DF46" s="3906"/>
      <c r="DG46" s="3906"/>
      <c r="DH46" s="3906"/>
      <c r="DI46" s="3906"/>
      <c r="DJ46" s="3906"/>
      <c r="DK46" s="3906"/>
      <c r="DL46" s="3906"/>
      <c r="DM46" s="3906"/>
      <c r="DN46" s="3906"/>
      <c r="DO46" s="3906"/>
      <c r="DP46" s="3906"/>
      <c r="DQ46" s="3906"/>
      <c r="DR46" s="3906"/>
      <c r="DS46" s="3906"/>
      <c r="DT46" s="3906"/>
      <c r="DU46" s="3906"/>
      <c r="DV46" s="3906"/>
      <c r="DW46" s="3906"/>
      <c r="DX46" s="3906"/>
      <c r="DY46" s="3906"/>
      <c r="DZ46" s="3906"/>
      <c r="EA46" s="3906"/>
      <c r="EB46" s="3906"/>
      <c r="EC46" s="3906"/>
      <c r="ED46" s="3906"/>
      <c r="EE46" s="3906"/>
      <c r="EF46" s="3906"/>
      <c r="EG46" s="3906"/>
      <c r="EH46" s="3906"/>
      <c r="EI46" s="3906"/>
      <c r="EJ46" s="3906"/>
      <c r="EK46" s="3906"/>
      <c r="EL46" s="3906"/>
      <c r="EM46" s="3906"/>
      <c r="EN46" s="3906"/>
      <c r="EO46" s="3906"/>
      <c r="EP46" s="3906"/>
      <c r="EQ46" s="3906"/>
      <c r="ER46" s="3906"/>
      <c r="ES46" s="3906"/>
      <c r="ET46" s="3906"/>
      <c r="EU46" s="3906"/>
      <c r="EV46" s="3906"/>
      <c r="EW46" s="3906"/>
      <c r="EX46" s="3906"/>
      <c r="EY46" s="3906"/>
      <c r="EZ46" s="3906"/>
      <c r="FA46" s="3906"/>
      <c r="FB46" s="3906"/>
      <c r="FC46" s="3906"/>
      <c r="FD46" s="3906"/>
      <c r="FE46" s="3906"/>
      <c r="FF46" s="3906"/>
      <c r="FG46" s="3906"/>
      <c r="FH46" s="3906"/>
      <c r="FI46" s="3906"/>
      <c r="FJ46" s="3906"/>
      <c r="FK46" s="3906"/>
      <c r="FL46" s="3906"/>
      <c r="FM46" s="3906"/>
      <c r="FN46" s="3906"/>
      <c r="FO46" s="3906"/>
      <c r="FP46" s="3906"/>
      <c r="FQ46" s="3906"/>
      <c r="FR46" s="3906"/>
      <c r="FS46" s="3906"/>
      <c r="FT46" s="3906"/>
      <c r="FU46" s="3906"/>
      <c r="FV46" s="3906"/>
      <c r="FW46" s="3906"/>
      <c r="FX46" s="3906"/>
      <c r="FY46" s="3906"/>
      <c r="FZ46" s="3906"/>
      <c r="GA46" s="3906"/>
      <c r="GB46" s="3906"/>
      <c r="GC46" s="3906"/>
      <c r="GD46" s="3906"/>
      <c r="GE46" s="3906"/>
      <c r="GF46" s="3906"/>
      <c r="GG46" s="3906"/>
      <c r="GH46" s="3906"/>
      <c r="GI46" s="3906"/>
      <c r="GJ46" s="3906"/>
      <c r="GK46" s="3906"/>
      <c r="GL46" s="3906"/>
      <c r="GM46" s="3906"/>
      <c r="GN46" s="3906"/>
      <c r="GO46" s="3906"/>
      <c r="GP46" s="3906"/>
      <c r="GQ46" s="3906"/>
      <c r="GR46" s="3906"/>
      <c r="GS46" s="3906"/>
      <c r="GT46" s="3906"/>
      <c r="GU46" s="1621"/>
      <c r="GV46" s="3906"/>
      <c r="GW46" s="3906"/>
      <c r="GX46" s="3906"/>
      <c r="GY46" s="3906"/>
      <c r="GZ46" s="3906"/>
      <c r="HA46" s="3906"/>
      <c r="HB46" s="3906"/>
      <c r="HC46" s="3906"/>
      <c r="HD46" s="3906"/>
      <c r="HE46" s="3906"/>
      <c r="HF46" s="3906"/>
      <c r="HG46" s="3906"/>
      <c r="HH46" s="3906"/>
      <c r="HI46" s="3906"/>
      <c r="HJ46" s="3906"/>
      <c r="HK46" s="3906"/>
      <c r="HL46" s="3906"/>
      <c r="HM46" s="3906"/>
      <c r="HN46" s="3906"/>
      <c r="HO46" s="3906"/>
      <c r="HP46" s="3906"/>
      <c r="HQ46" s="3906"/>
      <c r="HR46" s="3906"/>
      <c r="HS46" s="3906"/>
      <c r="HT46" s="3906"/>
      <c r="HU46" s="3906"/>
      <c r="HV46" s="3906"/>
      <c r="HW46" s="3906"/>
      <c r="HX46" s="3906"/>
      <c r="HY46" s="3906"/>
      <c r="HZ46" s="3906"/>
      <c r="IA46" s="3906"/>
      <c r="IB46" s="3906"/>
      <c r="IC46" s="3906"/>
      <c r="ID46" s="3906"/>
      <c r="IE46" s="3906"/>
      <c r="IF46" s="3906"/>
      <c r="IG46" s="3906"/>
      <c r="IH46" s="3906"/>
      <c r="II46" s="3906"/>
      <c r="IJ46" s="3906"/>
      <c r="IK46" s="3906"/>
      <c r="IL46" s="3906"/>
      <c r="IM46" s="3906"/>
      <c r="IN46" s="3906"/>
      <c r="IO46" s="3906"/>
      <c r="IP46" s="3906"/>
      <c r="IQ46" s="3906"/>
      <c r="IR46" s="3906"/>
      <c r="IS46" s="3906"/>
      <c r="IT46" s="3906"/>
      <c r="IU46" s="3906"/>
      <c r="IV46" s="3906"/>
      <c r="IW46" s="3906"/>
      <c r="IX46" s="3906"/>
      <c r="IY46" s="3906"/>
      <c r="IZ46" s="3906"/>
      <c r="JA46" s="3906"/>
      <c r="JB46" s="3906"/>
      <c r="JC46" s="3906"/>
      <c r="JD46" s="3906"/>
      <c r="JE46" s="3906"/>
      <c r="JF46" s="3906"/>
      <c r="JG46" s="2099"/>
      <c r="JH46" s="1367"/>
      <c r="JI46" s="1565" t="s">
        <v>5316</v>
      </c>
      <c r="JJ46" s="1566" t="s">
        <v>6108</v>
      </c>
      <c r="JK46" s="1835"/>
      <c r="JL46" s="1566" t="s">
        <v>6101</v>
      </c>
    </row>
    <row ht="22.5" r="47" spans="1:272" x14ac:dyDescent="0.2">
      <c r="A47" s="1128">
        <v>46</v>
      </c>
      <c r="B47" s="1656" t="str">
        <f si="2" t="shared"/>
        <v/>
      </c>
      <c r="C47" s="1828" t="s">
        <v>5145</v>
      </c>
      <c r="D47" s="1392" t="s">
        <v>4908</v>
      </c>
      <c r="E47" s="1618"/>
      <c r="F47" s="1618"/>
      <c r="G47" s="1618">
        <v>9000</v>
      </c>
      <c r="H47" s="1618"/>
      <c r="I47" s="1618"/>
      <c r="J47" s="1618"/>
      <c r="K47" s="1618"/>
      <c r="L47" s="1618"/>
      <c r="M47" s="1618"/>
      <c r="N47" s="1618"/>
      <c r="O47" s="1885"/>
      <c r="P47" s="2034"/>
      <c r="Q47" s="2034"/>
      <c r="R47" s="2034"/>
      <c r="S47" s="2034"/>
      <c r="T47" s="3904"/>
      <c r="U47" s="3904"/>
      <c r="V47" s="3904"/>
      <c r="W47" s="3904"/>
      <c r="X47" s="3904"/>
      <c r="Y47" s="3904"/>
      <c r="Z47" s="3904"/>
      <c r="AA47" s="3904"/>
      <c r="AB47" s="3904"/>
      <c r="AC47" s="3904"/>
      <c r="AD47" s="3904"/>
      <c r="AE47" s="3904"/>
      <c r="AF47" s="3904"/>
      <c r="AG47" s="3904"/>
      <c r="AH47" s="3904"/>
      <c r="AI47" s="3904"/>
      <c r="AJ47" s="3904"/>
      <c r="AK47" s="3904"/>
      <c r="AL47" s="3904"/>
      <c r="AM47" s="3904"/>
      <c r="AN47" s="3904"/>
      <c r="AO47" s="3904"/>
      <c r="AP47" s="3904"/>
      <c r="AQ47" s="3904"/>
      <c r="AR47" s="3904"/>
      <c r="AS47" s="3904"/>
      <c r="AT47" s="3904"/>
      <c r="AU47" s="3904"/>
      <c r="AV47" s="3904"/>
      <c r="AW47" s="3904"/>
      <c r="AX47" s="3904"/>
      <c r="AY47" s="3904"/>
      <c r="AZ47" s="3904"/>
      <c r="BA47" s="3904"/>
      <c r="BB47" s="3904"/>
      <c r="BC47" s="3904"/>
      <c r="BD47" s="3904"/>
      <c r="BE47" s="3904"/>
      <c r="BF47" s="3904"/>
      <c r="BG47" s="1618"/>
      <c r="BH47" s="3904"/>
      <c r="BI47" s="3904"/>
      <c r="BJ47" s="3904"/>
      <c r="BK47" s="3904"/>
      <c r="BL47" s="3904"/>
      <c r="BM47" s="3904"/>
      <c r="BN47" s="3904"/>
      <c r="BO47" s="3904"/>
      <c r="BP47" s="3904"/>
      <c r="BQ47" s="3904"/>
      <c r="BR47" s="3904"/>
      <c r="BS47" s="3904"/>
      <c r="BT47" s="3904"/>
      <c r="BU47" s="3904"/>
      <c r="BV47" s="3904"/>
      <c r="BW47" s="3904"/>
      <c r="BX47" s="3904"/>
      <c r="BY47" s="3904"/>
      <c r="BZ47" s="3904"/>
      <c r="CA47" s="3904"/>
      <c r="CB47" s="3904"/>
      <c r="CC47" s="3904"/>
      <c r="CD47" s="3904"/>
      <c r="CE47" s="3904"/>
      <c r="CF47" s="3904"/>
      <c r="CG47" s="3904"/>
      <c r="CH47" s="3904"/>
      <c r="CI47" s="3904"/>
      <c r="CJ47" s="3904"/>
      <c r="CK47" s="3904"/>
      <c r="CL47" s="3904"/>
      <c r="CM47" s="3904"/>
      <c r="CN47" s="3904"/>
      <c r="CO47" s="3904"/>
      <c r="CP47" s="3904"/>
      <c r="CQ47" s="3904"/>
      <c r="CR47" s="3904"/>
      <c r="CS47" s="3904"/>
      <c r="CT47" s="3904"/>
      <c r="CU47" s="3904"/>
      <c r="CV47" s="3904"/>
      <c r="CW47" s="3904"/>
      <c r="CX47" s="3904"/>
      <c r="CY47" s="3904"/>
      <c r="CZ47" s="3904"/>
      <c r="DA47" s="3904"/>
      <c r="DB47" s="3904"/>
      <c r="DC47" s="3904"/>
      <c r="DD47" s="3904"/>
      <c r="DE47" s="3904"/>
      <c r="DF47" s="3904"/>
      <c r="DG47" s="3904"/>
      <c r="DH47" s="3904"/>
      <c r="DI47" s="3904"/>
      <c r="DJ47" s="3904"/>
      <c r="DK47" s="3904"/>
      <c r="DL47" s="3904"/>
      <c r="DM47" s="3904"/>
      <c r="DN47" s="3904"/>
      <c r="DO47" s="3904"/>
      <c r="DP47" s="3904"/>
      <c r="DQ47" s="3904"/>
      <c r="DR47" s="3904"/>
      <c r="DS47" s="3904"/>
      <c r="DT47" s="3904"/>
      <c r="DU47" s="3904"/>
      <c r="DV47" s="3904"/>
      <c r="DW47" s="3904"/>
      <c r="DX47" s="3904"/>
      <c r="DY47" s="3904"/>
      <c r="DZ47" s="3904"/>
      <c r="EA47" s="3904"/>
      <c r="EB47" s="3904"/>
      <c r="EC47" s="3904"/>
      <c r="ED47" s="3904"/>
      <c r="EE47" s="3904"/>
      <c r="EF47" s="3904"/>
      <c r="EG47" s="3904"/>
      <c r="EH47" s="3904"/>
      <c r="EI47" s="3904"/>
      <c r="EJ47" s="3904"/>
      <c r="EK47" s="3904"/>
      <c r="EL47" s="3904"/>
      <c r="EM47" s="3904"/>
      <c r="EN47" s="3904"/>
      <c r="EO47" s="3904"/>
      <c r="EP47" s="3904"/>
      <c r="EQ47" s="3904"/>
      <c r="ER47" s="3904"/>
      <c r="ES47" s="3904"/>
      <c r="ET47" s="3904"/>
      <c r="EU47" s="3904"/>
      <c r="EV47" s="3904"/>
      <c r="EW47" s="3904"/>
      <c r="EX47" s="3904"/>
      <c r="EY47" s="3904"/>
      <c r="EZ47" s="3904"/>
      <c r="FA47" s="3904"/>
      <c r="FB47" s="3904"/>
      <c r="FC47" s="3904"/>
      <c r="FD47" s="3904"/>
      <c r="FE47" s="3904"/>
      <c r="FF47" s="3904"/>
      <c r="FG47" s="3904"/>
      <c r="FH47" s="3904"/>
      <c r="FI47" s="3904"/>
      <c r="FJ47" s="3904"/>
      <c r="FK47" s="3904"/>
      <c r="FL47" s="3904"/>
      <c r="FM47" s="3904"/>
      <c r="FN47" s="3904"/>
      <c r="FO47" s="3904"/>
      <c r="FP47" s="3904"/>
      <c r="FQ47" s="3904"/>
      <c r="FR47" s="3904"/>
      <c r="FS47" s="3904"/>
      <c r="FT47" s="3904"/>
      <c r="FU47" s="3904"/>
      <c r="FV47" s="3904"/>
      <c r="FW47" s="3904"/>
      <c r="FX47" s="3904"/>
      <c r="FY47" s="3904"/>
      <c r="FZ47" s="3904"/>
      <c r="GA47" s="3904"/>
      <c r="GB47" s="3904"/>
      <c r="GC47" s="3904"/>
      <c r="GD47" s="3904"/>
      <c r="GE47" s="3904"/>
      <c r="GF47" s="3904"/>
      <c r="GG47" s="3904"/>
      <c r="GH47" s="3904"/>
      <c r="GI47" s="3904"/>
      <c r="GJ47" s="3904"/>
      <c r="GK47" s="3904"/>
      <c r="GL47" s="3904"/>
      <c r="GM47" s="3904"/>
      <c r="GN47" s="3904"/>
      <c r="GO47" s="3904"/>
      <c r="GP47" s="3904"/>
      <c r="GQ47" s="3904"/>
      <c r="GR47" s="3904"/>
      <c r="GS47" s="3904"/>
      <c r="GT47" s="3904"/>
      <c r="GU47" s="1618"/>
      <c r="GV47" s="3904"/>
      <c r="GW47" s="3904"/>
      <c r="GX47" s="3904"/>
      <c r="GY47" s="3904"/>
      <c r="GZ47" s="3904"/>
      <c r="HA47" s="3904"/>
      <c r="HB47" s="3904"/>
      <c r="HC47" s="3904"/>
      <c r="HD47" s="3904"/>
      <c r="HE47" s="3904"/>
      <c r="HF47" s="3904"/>
      <c r="HG47" s="3904"/>
      <c r="HH47" s="3904"/>
      <c r="HI47" s="3904"/>
      <c r="HJ47" s="3904"/>
      <c r="HK47" s="3904"/>
      <c r="HL47" s="3904"/>
      <c r="HM47" s="3904"/>
      <c r="HN47" s="3904"/>
      <c r="HO47" s="3904"/>
      <c r="HP47" s="3904"/>
      <c r="HQ47" s="3904"/>
      <c r="HR47" s="3904"/>
      <c r="HS47" s="3904"/>
      <c r="HT47" s="3904"/>
      <c r="HU47" s="3904"/>
      <c r="HV47" s="3904"/>
      <c r="HW47" s="3904"/>
      <c r="HX47" s="3904"/>
      <c r="HY47" s="3904"/>
      <c r="HZ47" s="3904"/>
      <c r="IA47" s="3904"/>
      <c r="IB47" s="3904"/>
      <c r="IC47" s="3904"/>
      <c r="ID47" s="3904"/>
      <c r="IE47" s="3904"/>
      <c r="IF47" s="3904"/>
      <c r="IG47" s="3904"/>
      <c r="IH47" s="3904"/>
      <c r="II47" s="3904"/>
      <c r="IJ47" s="3904"/>
      <c r="IK47" s="3904"/>
      <c r="IL47" s="3904"/>
      <c r="IM47" s="3904"/>
      <c r="IN47" s="3904"/>
      <c r="IO47" s="3904"/>
      <c r="IP47" s="3904"/>
      <c r="IQ47" s="3904"/>
      <c r="IR47" s="3904"/>
      <c r="IS47" s="3904"/>
      <c r="IT47" s="3919">
        <v>57135</v>
      </c>
      <c r="IU47" s="3904"/>
      <c r="IV47" s="3904"/>
      <c r="IW47" s="3904"/>
      <c r="IX47" s="3904"/>
      <c r="IY47" s="3904"/>
      <c r="IZ47" s="3904"/>
      <c r="JA47" s="3904"/>
      <c r="JB47" s="3904"/>
      <c r="JC47" s="3904"/>
      <c r="JD47" s="3904"/>
      <c r="JE47" s="3904"/>
      <c r="JF47" s="3904"/>
      <c r="JG47" s="2087"/>
      <c r="JH47" s="1367"/>
      <c r="JI47" s="1565"/>
      <c r="JJ47" s="1566" t="s">
        <v>6108</v>
      </c>
      <c r="JK47" s="1835"/>
      <c r="JL47" s="1835"/>
    </row>
    <row ht="22.5" r="48" spans="1:272" x14ac:dyDescent="0.2">
      <c r="A48" s="1128">
        <v>47</v>
      </c>
      <c r="B48" s="1656" t="str">
        <f si="2" t="shared"/>
        <v/>
      </c>
      <c r="C48" s="1828" t="s">
        <v>5146</v>
      </c>
      <c r="D48" s="1392" t="str">
        <f>"Income losses of "&amp;tax_year&amp;" set against gains"</f>
        <v>Income losses of 2019-20 set against gains</v>
      </c>
      <c r="E48" s="1618"/>
      <c r="F48" s="1627"/>
      <c r="G48" s="1627"/>
      <c r="H48" s="1627"/>
      <c r="I48" s="1618"/>
      <c r="J48" s="1627"/>
      <c r="K48" s="1627"/>
      <c r="L48" s="1627"/>
      <c r="M48" s="1627"/>
      <c r="N48" s="1618">
        <v>4000</v>
      </c>
      <c r="O48" s="1885"/>
      <c r="P48" s="2034"/>
      <c r="Q48" s="2034"/>
      <c r="R48" s="2034"/>
      <c r="S48" s="2034"/>
      <c r="T48" s="3904"/>
      <c r="U48" s="3904"/>
      <c r="V48" s="3904"/>
      <c r="W48" s="3904"/>
      <c r="X48" s="3904"/>
      <c r="Y48" s="3904"/>
      <c r="Z48" s="3904"/>
      <c r="AA48" s="3904"/>
      <c r="AB48" s="3904"/>
      <c r="AC48" s="3904"/>
      <c r="AD48" s="3904"/>
      <c r="AE48" s="3904"/>
      <c r="AF48" s="3904"/>
      <c r="AG48" s="3904"/>
      <c r="AH48" s="3904"/>
      <c r="AI48" s="3904"/>
      <c r="AJ48" s="3904"/>
      <c r="AK48" s="3904"/>
      <c r="AL48" s="3904"/>
      <c r="AM48" s="3904"/>
      <c r="AN48" s="3904"/>
      <c r="AO48" s="3904"/>
      <c r="AP48" s="3904"/>
      <c r="AQ48" s="3904"/>
      <c r="AR48" s="3904"/>
      <c r="AS48" s="3904"/>
      <c r="AT48" s="3904"/>
      <c r="AU48" s="3904"/>
      <c r="AV48" s="3904"/>
      <c r="AW48" s="3904"/>
      <c r="AX48" s="3904"/>
      <c r="AY48" s="3904"/>
      <c r="AZ48" s="3904"/>
      <c r="BA48" s="3904"/>
      <c r="BB48" s="3904"/>
      <c r="BC48" s="3904"/>
      <c r="BD48" s="3904"/>
      <c r="BE48" s="3904"/>
      <c r="BF48" s="3904"/>
      <c r="BG48" s="1627"/>
      <c r="BH48" s="3904"/>
      <c r="BI48" s="3904"/>
      <c r="BJ48" s="3904"/>
      <c r="BK48" s="3904"/>
      <c r="BL48" s="3904"/>
      <c r="BM48" s="3904"/>
      <c r="BN48" s="3904"/>
      <c r="BO48" s="3904"/>
      <c r="BP48" s="3904"/>
      <c r="BQ48" s="3904"/>
      <c r="BR48" s="3904"/>
      <c r="BS48" s="3904"/>
      <c r="BT48" s="3904"/>
      <c r="BU48" s="3904"/>
      <c r="BV48" s="3904"/>
      <c r="BW48" s="3904"/>
      <c r="BX48" s="3904"/>
      <c r="BY48" s="3904"/>
      <c r="BZ48" s="3904"/>
      <c r="CA48" s="3904"/>
      <c r="CB48" s="3904"/>
      <c r="CC48" s="3904"/>
      <c r="CD48" s="3904"/>
      <c r="CE48" s="3904"/>
      <c r="CF48" s="3904"/>
      <c r="CG48" s="3904"/>
      <c r="CH48" s="3904"/>
      <c r="CI48" s="3904"/>
      <c r="CJ48" s="3904"/>
      <c r="CK48" s="3904"/>
      <c r="CL48" s="3904"/>
      <c r="CM48" s="3904"/>
      <c r="CN48" s="3904"/>
      <c r="CO48" s="3904"/>
      <c r="CP48" s="3904"/>
      <c r="CQ48" s="3904"/>
      <c r="CR48" s="3904"/>
      <c r="CS48" s="3904"/>
      <c r="CT48" s="3904"/>
      <c r="CU48" s="3904"/>
      <c r="CV48" s="3904"/>
      <c r="CW48" s="3904"/>
      <c r="CX48" s="3904"/>
      <c r="CY48" s="3904"/>
      <c r="CZ48" s="3904"/>
      <c r="DA48" s="3904"/>
      <c r="DB48" s="3904"/>
      <c r="DC48" s="3904"/>
      <c r="DD48" s="3904"/>
      <c r="DE48" s="3904"/>
      <c r="DF48" s="3904"/>
      <c r="DG48" s="3904"/>
      <c r="DH48" s="3904"/>
      <c r="DI48" s="3904"/>
      <c r="DJ48" s="3904"/>
      <c r="DK48" s="3904"/>
      <c r="DL48" s="3904"/>
      <c r="DM48" s="3904"/>
      <c r="DN48" s="3904"/>
      <c r="DO48" s="3904"/>
      <c r="DP48" s="3904"/>
      <c r="DQ48" s="3904"/>
      <c r="DR48" s="3904"/>
      <c r="DS48" s="3904"/>
      <c r="DT48" s="3904"/>
      <c r="DU48" s="3904"/>
      <c r="DV48" s="3904"/>
      <c r="DW48" s="3904"/>
      <c r="DX48" s="3904"/>
      <c r="DY48" s="3904"/>
      <c r="DZ48" s="3904"/>
      <c r="EA48" s="3904"/>
      <c r="EB48" s="3904"/>
      <c r="EC48" s="3904"/>
      <c r="ED48" s="3904"/>
      <c r="EE48" s="3904"/>
      <c r="EF48" s="3904"/>
      <c r="EG48" s="3904"/>
      <c r="EH48" s="3904"/>
      <c r="EI48" s="3904"/>
      <c r="EJ48" s="3904"/>
      <c r="EK48" s="3904"/>
      <c r="EL48" s="3904"/>
      <c r="EM48" s="3904"/>
      <c r="EN48" s="3904"/>
      <c r="EO48" s="3904"/>
      <c r="EP48" s="3904"/>
      <c r="EQ48" s="3904"/>
      <c r="ER48" s="3904"/>
      <c r="ES48" s="3904"/>
      <c r="ET48" s="3904"/>
      <c r="EU48" s="3904"/>
      <c r="EV48" s="3904"/>
      <c r="EW48" s="3904"/>
      <c r="EX48" s="3904"/>
      <c r="EY48" s="3904"/>
      <c r="EZ48" s="3904"/>
      <c r="FA48" s="3904"/>
      <c r="FB48" s="3904"/>
      <c r="FC48" s="3904"/>
      <c r="FD48" s="3904"/>
      <c r="FE48" s="3904"/>
      <c r="FF48" s="3904"/>
      <c r="FG48" s="3904"/>
      <c r="FH48" s="3904"/>
      <c r="FI48" s="3904"/>
      <c r="FJ48" s="3904"/>
      <c r="FK48" s="3904"/>
      <c r="FL48" s="3904"/>
      <c r="FM48" s="3904"/>
      <c r="FN48" s="3904"/>
      <c r="FO48" s="3904"/>
      <c r="FP48" s="3904"/>
      <c r="FQ48" s="3904"/>
      <c r="FR48" s="3904"/>
      <c r="FS48" s="3904"/>
      <c r="FT48" s="3904"/>
      <c r="FU48" s="3904"/>
      <c r="FV48" s="3904"/>
      <c r="FW48" s="3904"/>
      <c r="FX48" s="3904"/>
      <c r="FY48" s="3904"/>
      <c r="FZ48" s="3904"/>
      <c r="GA48" s="3904"/>
      <c r="GB48" s="3904"/>
      <c r="GC48" s="3904"/>
      <c r="GD48" s="3904"/>
      <c r="GE48" s="3904"/>
      <c r="GF48" s="3904"/>
      <c r="GG48" s="3904"/>
      <c r="GH48" s="3904"/>
      <c r="GI48" s="3904"/>
      <c r="GJ48" s="3904"/>
      <c r="GK48" s="3904"/>
      <c r="GL48" s="3904"/>
      <c r="GM48" s="3904"/>
      <c r="GN48" s="3904"/>
      <c r="GO48" s="3904"/>
      <c r="GP48" s="3904"/>
      <c r="GQ48" s="3904"/>
      <c r="GR48" s="3904"/>
      <c r="GS48" s="3904"/>
      <c r="GT48" s="3904"/>
      <c r="GU48" s="1627"/>
      <c r="GV48" s="3904"/>
      <c r="GW48" s="3904"/>
      <c r="GX48" s="3904"/>
      <c r="GY48" s="3904"/>
      <c r="GZ48" s="3904"/>
      <c r="HA48" s="3904"/>
      <c r="HB48" s="3904"/>
      <c r="HC48" s="3904"/>
      <c r="HD48" s="3904"/>
      <c r="HE48" s="3904"/>
      <c r="HF48" s="3904"/>
      <c r="HG48" s="3904"/>
      <c r="HH48" s="3904"/>
      <c r="HI48" s="3904"/>
      <c r="HJ48" s="3904"/>
      <c r="HK48" s="3904"/>
      <c r="HL48" s="3904"/>
      <c r="HM48" s="3904"/>
      <c r="HN48" s="3904"/>
      <c r="HO48" s="3904"/>
      <c r="HP48" s="3904"/>
      <c r="HQ48" s="3904"/>
      <c r="HR48" s="3904"/>
      <c r="HS48" s="3904"/>
      <c r="HT48" s="3904"/>
      <c r="HU48" s="3904"/>
      <c r="HV48" s="3904"/>
      <c r="HW48" s="3904"/>
      <c r="HX48" s="3904"/>
      <c r="HY48" s="3904"/>
      <c r="HZ48" s="3904"/>
      <c r="IA48" s="3904"/>
      <c r="IB48" s="3904"/>
      <c r="IC48" s="3904"/>
      <c r="ID48" s="3904"/>
      <c r="IE48" s="3904"/>
      <c r="IF48" s="3904"/>
      <c r="IG48" s="3904"/>
      <c r="IH48" s="3904"/>
      <c r="II48" s="3904"/>
      <c r="IJ48" s="3904"/>
      <c r="IK48" s="3904"/>
      <c r="IL48" s="3904"/>
      <c r="IM48" s="3904"/>
      <c r="IN48" s="3904"/>
      <c r="IO48" s="3904"/>
      <c r="IP48" s="3904"/>
      <c r="IQ48" s="3904"/>
      <c r="IR48" s="3904"/>
      <c r="IS48" s="3904"/>
      <c r="IT48" s="3904"/>
      <c r="IU48" s="3904"/>
      <c r="IV48" s="3904"/>
      <c r="IW48" s="3904"/>
      <c r="IX48" s="3904"/>
      <c r="IY48" s="3904"/>
      <c r="IZ48" s="3904"/>
      <c r="JA48" s="3904"/>
      <c r="JB48" s="3904"/>
      <c r="JC48" s="3904"/>
      <c r="JD48" s="3904"/>
      <c r="JE48" s="3904"/>
      <c r="JF48" s="3904"/>
      <c r="JG48" s="2087"/>
      <c r="JH48" s="1367"/>
      <c r="JI48" s="1565"/>
      <c r="JJ48" s="1566" t="s">
        <v>6108</v>
      </c>
      <c r="JK48" s="1835"/>
      <c r="JL48" s="1835"/>
    </row>
    <row ht="33.75" r="49" spans="1:272" x14ac:dyDescent="0.2">
      <c r="A49" s="1128">
        <v>48</v>
      </c>
      <c r="B49" s="1656" t="str">
        <f si="2" t="shared"/>
        <v/>
      </c>
      <c r="C49" s="1579" t="s">
        <v>5147</v>
      </c>
      <c r="D49" s="1392" t="s">
        <v>5309</v>
      </c>
      <c r="E49" s="1621"/>
      <c r="F49" s="1625"/>
      <c r="G49" s="1625"/>
      <c r="H49" s="1625"/>
      <c r="I49" s="1625"/>
      <c r="J49" s="1625"/>
      <c r="K49" s="1625"/>
      <c r="L49" s="1625"/>
      <c r="M49" s="1625"/>
      <c r="N49" s="1625"/>
      <c r="O49" s="1895"/>
      <c r="P49" s="2040"/>
      <c r="Q49" s="2097"/>
      <c r="R49" s="2097"/>
      <c r="S49" s="2097"/>
      <c r="T49" s="3915"/>
      <c r="U49" s="3915"/>
      <c r="V49" s="3915"/>
      <c r="W49" s="3915"/>
      <c r="X49" s="3915"/>
      <c r="Y49" s="3915"/>
      <c r="Z49" s="3915"/>
      <c r="AA49" s="3915"/>
      <c r="AB49" s="3915"/>
      <c r="AC49" s="3915"/>
      <c r="AD49" s="3915"/>
      <c r="AE49" s="3915"/>
      <c r="AF49" s="3915"/>
      <c r="AG49" s="3915"/>
      <c r="AH49" s="3915"/>
      <c r="AI49" s="3915"/>
      <c r="AJ49" s="3915"/>
      <c r="AK49" s="3915"/>
      <c r="AL49" s="3915"/>
      <c r="AM49" s="3915"/>
      <c r="AN49" s="3915"/>
      <c r="AO49" s="3915"/>
      <c r="AP49" s="3915"/>
      <c r="AQ49" s="3915"/>
      <c r="AR49" s="3915"/>
      <c r="AS49" s="3915"/>
      <c r="AT49" s="3915"/>
      <c r="AU49" s="3915"/>
      <c r="AV49" s="3915"/>
      <c r="AW49" s="3915"/>
      <c r="AX49" s="3915"/>
      <c r="AY49" s="3915"/>
      <c r="AZ49" s="3915"/>
      <c r="BA49" s="3915"/>
      <c r="BB49" s="3915"/>
      <c r="BC49" s="3915"/>
      <c r="BD49" s="3915"/>
      <c r="BE49" s="3915"/>
      <c r="BF49" s="3915"/>
      <c r="BG49" s="1625"/>
      <c r="BH49" s="3915"/>
      <c r="BI49" s="3915"/>
      <c r="BJ49" s="3915"/>
      <c r="BK49" s="3915"/>
      <c r="BL49" s="3915"/>
      <c r="BM49" s="3915"/>
      <c r="BN49" s="3915"/>
      <c r="BO49" s="3915"/>
      <c r="BP49" s="3915"/>
      <c r="BQ49" s="3915"/>
      <c r="BR49" s="3915"/>
      <c r="BS49" s="3915"/>
      <c r="BT49" s="3915"/>
      <c r="BU49" s="3915"/>
      <c r="BV49" s="3915"/>
      <c r="BW49" s="3915"/>
      <c r="BX49" s="3915"/>
      <c r="BY49" s="3915"/>
      <c r="BZ49" s="3915"/>
      <c r="CA49" s="3915"/>
      <c r="CB49" s="3915"/>
      <c r="CC49" s="3915"/>
      <c r="CD49" s="3915"/>
      <c r="CE49" s="3915"/>
      <c r="CF49" s="3915"/>
      <c r="CG49" s="3915"/>
      <c r="CH49" s="3915"/>
      <c r="CI49" s="3915"/>
      <c r="CJ49" s="3915"/>
      <c r="CK49" s="3915"/>
      <c r="CL49" s="3915"/>
      <c r="CM49" s="3915"/>
      <c r="CN49" s="3915"/>
      <c r="CO49" s="3915"/>
      <c r="CP49" s="3915"/>
      <c r="CQ49" s="3915"/>
      <c r="CR49" s="3915"/>
      <c r="CS49" s="3915"/>
      <c r="CT49" s="3915"/>
      <c r="CU49" s="3915"/>
      <c r="CV49" s="3915"/>
      <c r="CW49" s="3915"/>
      <c r="CX49" s="3915"/>
      <c r="CY49" s="3915"/>
      <c r="CZ49" s="3915"/>
      <c r="DA49" s="3915"/>
      <c r="DB49" s="3915"/>
      <c r="DC49" s="3915"/>
      <c r="DD49" s="3915"/>
      <c r="DE49" s="3915"/>
      <c r="DF49" s="3915"/>
      <c r="DG49" s="3915"/>
      <c r="DH49" s="3915"/>
      <c r="DI49" s="3915"/>
      <c r="DJ49" s="3915"/>
      <c r="DK49" s="3915"/>
      <c r="DL49" s="3915"/>
      <c r="DM49" s="3915"/>
      <c r="DN49" s="3915"/>
      <c r="DO49" s="3915"/>
      <c r="DP49" s="3915"/>
      <c r="DQ49" s="3915"/>
      <c r="DR49" s="3915"/>
      <c r="DS49" s="3915"/>
      <c r="DT49" s="3915"/>
      <c r="DU49" s="3915"/>
      <c r="DV49" s="3915"/>
      <c r="DW49" s="3915"/>
      <c r="DX49" s="3915"/>
      <c r="DY49" s="3915"/>
      <c r="DZ49" s="3915"/>
      <c r="EA49" s="3915"/>
      <c r="EB49" s="3915"/>
      <c r="EC49" s="3915"/>
      <c r="ED49" s="3915"/>
      <c r="EE49" s="3915"/>
      <c r="EF49" s="3915"/>
      <c r="EG49" s="3915"/>
      <c r="EH49" s="3915"/>
      <c r="EI49" s="3915"/>
      <c r="EJ49" s="3915"/>
      <c r="EK49" s="3915"/>
      <c r="EL49" s="3915"/>
      <c r="EM49" s="3915"/>
      <c r="EN49" s="3915"/>
      <c r="EO49" s="3915"/>
      <c r="EP49" s="3915"/>
      <c r="EQ49" s="3915"/>
      <c r="ER49" s="3915"/>
      <c r="ES49" s="3915"/>
      <c r="ET49" s="3915"/>
      <c r="EU49" s="3915"/>
      <c r="EV49" s="3915"/>
      <c r="EW49" s="3915"/>
      <c r="EX49" s="3915"/>
      <c r="EY49" s="3915"/>
      <c r="EZ49" s="3915"/>
      <c r="FA49" s="3915"/>
      <c r="FB49" s="3915"/>
      <c r="FC49" s="3915"/>
      <c r="FD49" s="3915"/>
      <c r="FE49" s="3915"/>
      <c r="FF49" s="3915"/>
      <c r="FG49" s="3915"/>
      <c r="FH49" s="3915"/>
      <c r="FI49" s="3915"/>
      <c r="FJ49" s="3915"/>
      <c r="FK49" s="3915"/>
      <c r="FL49" s="3915"/>
      <c r="FM49" s="3915"/>
      <c r="FN49" s="3915"/>
      <c r="FO49" s="3915"/>
      <c r="FP49" s="3915"/>
      <c r="FQ49" s="3915"/>
      <c r="FR49" s="3915"/>
      <c r="FS49" s="3915"/>
      <c r="FT49" s="3915"/>
      <c r="FU49" s="3915"/>
      <c r="FV49" s="3915"/>
      <c r="FW49" s="3915"/>
      <c r="FX49" s="3915"/>
      <c r="FY49" s="3915"/>
      <c r="FZ49" s="3915"/>
      <c r="GA49" s="3915"/>
      <c r="GB49" s="3915"/>
      <c r="GC49" s="3915"/>
      <c r="GD49" s="3915"/>
      <c r="GE49" s="3915"/>
      <c r="GF49" s="3915"/>
      <c r="GG49" s="3915"/>
      <c r="GH49" s="3915"/>
      <c r="GI49" s="3915"/>
      <c r="GJ49" s="3915"/>
      <c r="GK49" s="3915"/>
      <c r="GL49" s="3915"/>
      <c r="GM49" s="3915"/>
      <c r="GN49" s="3915"/>
      <c r="GO49" s="3915"/>
      <c r="GP49" s="3915"/>
      <c r="GQ49" s="3915"/>
      <c r="GR49" s="3915"/>
      <c r="GS49" s="3915"/>
      <c r="GT49" s="3915"/>
      <c r="GU49" s="1625"/>
      <c r="GV49" s="3915"/>
      <c r="GW49" s="3915"/>
      <c r="GX49" s="3915"/>
      <c r="GY49" s="3915"/>
      <c r="GZ49" s="3915"/>
      <c r="HA49" s="3915"/>
      <c r="HB49" s="3915"/>
      <c r="HC49" s="3915"/>
      <c r="HD49" s="3915"/>
      <c r="HE49" s="3915"/>
      <c r="HF49" s="3915"/>
      <c r="HG49" s="3915"/>
      <c r="HH49" s="3915"/>
      <c r="HI49" s="3915"/>
      <c r="HJ49" s="3915"/>
      <c r="HK49" s="3915"/>
      <c r="HL49" s="3915"/>
      <c r="HM49" s="3915"/>
      <c r="HN49" s="3915"/>
      <c r="HO49" s="3915"/>
      <c r="HP49" s="3915"/>
      <c r="HQ49" s="3915"/>
      <c r="HR49" s="3915"/>
      <c r="HS49" s="3915"/>
      <c r="HT49" s="3915"/>
      <c r="HU49" s="3915"/>
      <c r="HV49" s="3915"/>
      <c r="HW49" s="3915"/>
      <c r="HX49" s="3915"/>
      <c r="HY49" s="3915"/>
      <c r="HZ49" s="3915"/>
      <c r="IA49" s="3915"/>
      <c r="IB49" s="3915"/>
      <c r="IC49" s="3915"/>
      <c r="ID49" s="3915"/>
      <c r="IE49" s="3915"/>
      <c r="IF49" s="3915"/>
      <c r="IG49" s="3915"/>
      <c r="IH49" s="3915"/>
      <c r="II49" s="3915"/>
      <c r="IJ49" s="3915"/>
      <c r="IK49" s="3915"/>
      <c r="IL49" s="3915"/>
      <c r="IM49" s="3915"/>
      <c r="IN49" s="3915"/>
      <c r="IO49" s="3915"/>
      <c r="IP49" s="3915"/>
      <c r="IQ49" s="3915"/>
      <c r="IR49" s="3915"/>
      <c r="IS49" s="3915"/>
      <c r="IT49" s="3982">
        <v>14437</v>
      </c>
      <c r="IU49" s="3915"/>
      <c r="IV49" s="3915"/>
      <c r="IW49" s="3915"/>
      <c r="IX49" s="3915"/>
      <c r="IY49" s="3915"/>
      <c r="IZ49" s="3915"/>
      <c r="JA49" s="3915"/>
      <c r="JB49" s="3982">
        <v>27109</v>
      </c>
      <c r="JC49" s="3915"/>
      <c r="JD49" s="3915"/>
      <c r="JE49" s="3915"/>
      <c r="JF49" s="3915"/>
      <c r="JG49" s="2098"/>
      <c r="JH49" s="1367"/>
      <c r="JI49" s="1565" t="s">
        <v>7304</v>
      </c>
      <c r="JJ49" s="1566" t="s">
        <v>6108</v>
      </c>
      <c r="JK49" s="1835"/>
      <c r="JL49" s="1835"/>
    </row>
    <row ht="22.5" r="50" spans="1:272" x14ac:dyDescent="0.2">
      <c r="A50" s="1128">
        <v>49</v>
      </c>
      <c r="B50" s="1656" t="str">
        <f si="2" t="shared"/>
        <v/>
      </c>
      <c r="C50" s="1828" t="s">
        <v>5148</v>
      </c>
      <c r="D50" s="1392" t="s">
        <v>4910</v>
      </c>
      <c r="E50" s="1618"/>
      <c r="F50" s="1627"/>
      <c r="G50" s="1627"/>
      <c r="H50" s="1627"/>
      <c r="I50" s="1627"/>
      <c r="J50" s="1627">
        <v>5000</v>
      </c>
      <c r="K50" s="1627"/>
      <c r="L50" s="1627"/>
      <c r="M50" s="1627"/>
      <c r="N50" s="1627"/>
      <c r="O50" s="1897"/>
      <c r="P50" s="2042"/>
      <c r="Q50" s="2042"/>
      <c r="R50" s="2042"/>
      <c r="S50" s="2042"/>
      <c r="T50" s="3917"/>
      <c r="U50" s="3917"/>
      <c r="V50" s="3917"/>
      <c r="W50" s="3917"/>
      <c r="X50" s="3917"/>
      <c r="Y50" s="3917"/>
      <c r="Z50" s="3917"/>
      <c r="AA50" s="3917"/>
      <c r="AB50" s="3917"/>
      <c r="AC50" s="3917"/>
      <c r="AD50" s="3917"/>
      <c r="AE50" s="3917"/>
      <c r="AF50" s="3917"/>
      <c r="AG50" s="3917"/>
      <c r="AH50" s="3917"/>
      <c r="AI50" s="3917"/>
      <c r="AJ50" s="3917"/>
      <c r="AK50" s="3917"/>
      <c r="AL50" s="3917"/>
      <c r="AM50" s="3917"/>
      <c r="AN50" s="3917"/>
      <c r="AO50" s="3917"/>
      <c r="AP50" s="3917"/>
      <c r="AQ50" s="3917"/>
      <c r="AR50" s="3917"/>
      <c r="AS50" s="3917"/>
      <c r="AT50" s="3917"/>
      <c r="AU50" s="3917"/>
      <c r="AV50" s="3917"/>
      <c r="AW50" s="3917"/>
      <c r="AX50" s="3917"/>
      <c r="AY50" s="3917"/>
      <c r="AZ50" s="3917"/>
      <c r="BA50" s="3917"/>
      <c r="BB50" s="3917"/>
      <c r="BC50" s="3917"/>
      <c r="BD50" s="3917"/>
      <c r="BE50" s="3917"/>
      <c r="BF50" s="3917"/>
      <c r="BG50" s="1627"/>
      <c r="BH50" s="3917"/>
      <c r="BI50" s="3917"/>
      <c r="BJ50" s="3917"/>
      <c r="BK50" s="3917"/>
      <c r="BL50" s="3917"/>
      <c r="BM50" s="3917"/>
      <c r="BN50" s="3917"/>
      <c r="BO50" s="3917"/>
      <c r="BP50" s="3917"/>
      <c r="BQ50" s="3917"/>
      <c r="BR50" s="3917"/>
      <c r="BS50" s="3917"/>
      <c r="BT50" s="3917"/>
      <c r="BU50" s="3917"/>
      <c r="BV50" s="3917"/>
      <c r="BW50" s="3917"/>
      <c r="BX50" s="3917"/>
      <c r="BY50" s="3917"/>
      <c r="BZ50" s="3917"/>
      <c r="CA50" s="3917"/>
      <c r="CB50" s="3917"/>
      <c r="CC50" s="3917"/>
      <c r="CD50" s="3917"/>
      <c r="CE50" s="3917"/>
      <c r="CF50" s="3917"/>
      <c r="CG50" s="3917"/>
      <c r="CH50" s="3917"/>
      <c r="CI50" s="3917"/>
      <c r="CJ50" s="3917"/>
      <c r="CK50" s="3917"/>
      <c r="CL50" s="3917"/>
      <c r="CM50" s="3917"/>
      <c r="CN50" s="3917"/>
      <c r="CO50" s="3917"/>
      <c r="CP50" s="3917"/>
      <c r="CQ50" s="3917"/>
      <c r="CR50" s="3917"/>
      <c r="CS50" s="3917"/>
      <c r="CT50" s="3917"/>
      <c r="CU50" s="3917"/>
      <c r="CV50" s="3917"/>
      <c r="CW50" s="3917"/>
      <c r="CX50" s="3917"/>
      <c r="CY50" s="3917"/>
      <c r="CZ50" s="3917"/>
      <c r="DA50" s="3917"/>
      <c r="DB50" s="3917"/>
      <c r="DC50" s="3917"/>
      <c r="DD50" s="3917"/>
      <c r="DE50" s="3917"/>
      <c r="DF50" s="3917"/>
      <c r="DG50" s="3917"/>
      <c r="DH50" s="3917"/>
      <c r="DI50" s="3917"/>
      <c r="DJ50" s="3917"/>
      <c r="DK50" s="3917"/>
      <c r="DL50" s="3917"/>
      <c r="DM50" s="3917"/>
      <c r="DN50" s="3917"/>
      <c r="DO50" s="3917"/>
      <c r="DP50" s="3917"/>
      <c r="DQ50" s="3917"/>
      <c r="DR50" s="3917"/>
      <c r="DS50" s="3917"/>
      <c r="DT50" s="3917"/>
      <c r="DU50" s="3917"/>
      <c r="DV50" s="3917"/>
      <c r="DW50" s="3917"/>
      <c r="DX50" s="3917"/>
      <c r="DY50" s="3917"/>
      <c r="DZ50" s="3917"/>
      <c r="EA50" s="3917"/>
      <c r="EB50" s="3917"/>
      <c r="EC50" s="3917"/>
      <c r="ED50" s="3917"/>
      <c r="EE50" s="3917"/>
      <c r="EF50" s="3917"/>
      <c r="EG50" s="3917"/>
      <c r="EH50" s="3917"/>
      <c r="EI50" s="3917"/>
      <c r="EJ50" s="3917"/>
      <c r="EK50" s="3917"/>
      <c r="EL50" s="3917"/>
      <c r="EM50" s="3917"/>
      <c r="EN50" s="3917"/>
      <c r="EO50" s="3917"/>
      <c r="EP50" s="3917"/>
      <c r="EQ50" s="3917"/>
      <c r="ER50" s="3917"/>
      <c r="ES50" s="3917"/>
      <c r="ET50" s="3917"/>
      <c r="EU50" s="3917"/>
      <c r="EV50" s="3917"/>
      <c r="EW50" s="3917"/>
      <c r="EX50" s="3917"/>
      <c r="EY50" s="3917"/>
      <c r="EZ50" s="3917"/>
      <c r="FA50" s="3917"/>
      <c r="FB50" s="3917"/>
      <c r="FC50" s="3917"/>
      <c r="FD50" s="3917"/>
      <c r="FE50" s="3917"/>
      <c r="FF50" s="3917"/>
      <c r="FG50" s="3917"/>
      <c r="FH50" s="3917"/>
      <c r="FI50" s="3917"/>
      <c r="FJ50" s="3917"/>
      <c r="FK50" s="3917"/>
      <c r="FL50" s="3917"/>
      <c r="FM50" s="3917"/>
      <c r="FN50" s="3917"/>
      <c r="FO50" s="3917"/>
      <c r="FP50" s="3917"/>
      <c r="FQ50" s="3917"/>
      <c r="FR50" s="3917"/>
      <c r="FS50" s="3917"/>
      <c r="FT50" s="3917"/>
      <c r="FU50" s="3917"/>
      <c r="FV50" s="3917"/>
      <c r="FW50" s="3917"/>
      <c r="FX50" s="3917"/>
      <c r="FY50" s="3917"/>
      <c r="FZ50" s="3917"/>
      <c r="GA50" s="3917"/>
      <c r="GB50" s="3917"/>
      <c r="GC50" s="3917"/>
      <c r="GD50" s="3917"/>
      <c r="GE50" s="3917"/>
      <c r="GF50" s="3917"/>
      <c r="GG50" s="3917"/>
      <c r="GH50" s="3917"/>
      <c r="GI50" s="3917"/>
      <c r="GJ50" s="3917"/>
      <c r="GK50" s="3917"/>
      <c r="GL50" s="3917"/>
      <c r="GM50" s="3917"/>
      <c r="GN50" s="3917"/>
      <c r="GO50" s="3917"/>
      <c r="GP50" s="3917"/>
      <c r="GQ50" s="3917"/>
      <c r="GR50" s="3917"/>
      <c r="GS50" s="3917"/>
      <c r="GT50" s="3917"/>
      <c r="GU50" s="1627"/>
      <c r="GV50" s="3917"/>
      <c r="GW50" s="3917"/>
      <c r="GX50" s="3917"/>
      <c r="GY50" s="3917"/>
      <c r="GZ50" s="3917"/>
      <c r="HA50" s="3917"/>
      <c r="HB50" s="3917"/>
      <c r="HC50" s="3917"/>
      <c r="HD50" s="3917"/>
      <c r="HE50" s="3917"/>
      <c r="HF50" s="3917"/>
      <c r="HG50" s="3917"/>
      <c r="HH50" s="3917"/>
      <c r="HI50" s="3917"/>
      <c r="HJ50" s="3917"/>
      <c r="HK50" s="3917"/>
      <c r="HL50" s="3917"/>
      <c r="HM50" s="3917"/>
      <c r="HN50" s="3917"/>
      <c r="HO50" s="3917"/>
      <c r="HP50" s="3917"/>
      <c r="HQ50" s="3917"/>
      <c r="HR50" s="3917"/>
      <c r="HS50" s="3917"/>
      <c r="HT50" s="3917"/>
      <c r="HU50" s="3917"/>
      <c r="HV50" s="3917"/>
      <c r="HW50" s="3917"/>
      <c r="HX50" s="3917"/>
      <c r="HY50" s="3917"/>
      <c r="HZ50" s="3917"/>
      <c r="IA50" s="3917"/>
      <c r="IB50" s="3917"/>
      <c r="IC50" s="3917"/>
      <c r="ID50" s="3917"/>
      <c r="IE50" s="3917"/>
      <c r="IF50" s="3917"/>
      <c r="IG50" s="3917"/>
      <c r="IH50" s="3917"/>
      <c r="II50" s="3917"/>
      <c r="IJ50" s="3917"/>
      <c r="IK50" s="3917"/>
      <c r="IL50" s="3917"/>
      <c r="IM50" s="3917"/>
      <c r="IN50" s="3917"/>
      <c r="IO50" s="3917"/>
      <c r="IP50" s="3917"/>
      <c r="IQ50" s="3917"/>
      <c r="IR50" s="3917"/>
      <c r="IS50" s="3917"/>
      <c r="IT50" s="3917"/>
      <c r="IU50" s="3917"/>
      <c r="IV50" s="3917"/>
      <c r="IW50" s="3917"/>
      <c r="IX50" s="3917"/>
      <c r="IY50" s="3917"/>
      <c r="IZ50" s="3917"/>
      <c r="JA50" s="3917"/>
      <c r="JB50" s="3917"/>
      <c r="JC50" s="3917"/>
      <c r="JD50" s="3917"/>
      <c r="JE50" s="3917"/>
      <c r="JF50" s="3917"/>
      <c r="JG50" s="2102"/>
      <c r="JH50" s="1367"/>
      <c r="JI50" s="1565" t="s">
        <v>7305</v>
      </c>
      <c r="JJ50" s="1566" t="s">
        <v>6108</v>
      </c>
      <c r="JK50" s="1835"/>
      <c r="JL50" s="1835"/>
    </row>
    <row ht="22.5" r="51" spans="1:272" x14ac:dyDescent="0.2">
      <c r="A51" s="1128">
        <v>50</v>
      </c>
      <c r="B51" s="1656" t="str">
        <f ref="B51:B61" si="3" t="shared">IF(CGT_IND&gt;1,IF(HLOOKUP(CGT_IND-1,CGT_RANGE,A51)="","",HLOOKUP(CGT_IND-1,CGT_RANGE,A51)),"")</f>
        <v/>
      </c>
      <c r="C51" s="3491" t="s">
        <v>5293</v>
      </c>
      <c r="D51" s="3491" t="s">
        <v>8161</v>
      </c>
      <c r="E51" s="4327"/>
      <c r="F51" s="1615"/>
      <c r="G51" s="1615"/>
      <c r="H51" s="1615"/>
      <c r="I51" s="1616"/>
      <c r="J51" s="1616"/>
      <c r="K51" s="1616"/>
      <c r="L51" s="1616"/>
      <c r="M51" s="1616"/>
      <c r="N51" s="1616"/>
      <c r="O51" s="1898"/>
      <c r="P51" s="2043"/>
      <c r="Q51" s="2103"/>
      <c r="R51" s="2103"/>
      <c r="S51" s="2103"/>
      <c r="T51" s="3918"/>
      <c r="U51" s="3918"/>
      <c r="V51" s="3918"/>
      <c r="W51" s="3918"/>
      <c r="X51" s="3918"/>
      <c r="Y51" s="3918"/>
      <c r="Z51" s="3918"/>
      <c r="AA51" s="3918"/>
      <c r="AB51" s="3918"/>
      <c r="AC51" s="3918"/>
      <c r="AD51" s="3918"/>
      <c r="AE51" s="3918"/>
      <c r="AF51" s="3918"/>
      <c r="AG51" s="3918"/>
      <c r="AH51" s="3918"/>
      <c r="AI51" s="3918"/>
      <c r="AJ51" s="3918"/>
      <c r="AK51" s="3918"/>
      <c r="AL51" s="3918"/>
      <c r="AM51" s="3918"/>
      <c r="AN51" s="3918"/>
      <c r="AO51" s="3918"/>
      <c r="AP51" s="3918"/>
      <c r="AQ51" s="3918"/>
      <c r="AR51" s="3918"/>
      <c r="AS51" s="3918"/>
      <c r="AT51" s="3918"/>
      <c r="AU51" s="3918"/>
      <c r="AV51" s="3918"/>
      <c r="AW51" s="3918"/>
      <c r="AX51" s="3918"/>
      <c r="AY51" s="3918"/>
      <c r="AZ51" s="3918"/>
      <c r="BA51" s="3918"/>
      <c r="BB51" s="3918"/>
      <c r="BC51" s="3918"/>
      <c r="BD51" s="3918"/>
      <c r="BE51" s="3918"/>
      <c r="BF51" s="3918"/>
      <c r="BG51" s="3949">
        <v>6700</v>
      </c>
      <c r="BH51" s="3918"/>
      <c r="BI51" s="3918"/>
      <c r="BJ51" s="3918"/>
      <c r="BK51" s="3918"/>
      <c r="BL51" s="3918"/>
      <c r="BM51" s="3918"/>
      <c r="BN51" s="3918"/>
      <c r="BO51" s="3918"/>
      <c r="BP51" s="3918"/>
      <c r="BQ51" s="3918"/>
      <c r="BR51" s="3918"/>
      <c r="BS51" s="3918"/>
      <c r="BT51" s="3918"/>
      <c r="BU51" s="3918"/>
      <c r="BV51" s="3918"/>
      <c r="BW51" s="3918"/>
      <c r="BX51" s="3918"/>
      <c r="BY51" s="3918"/>
      <c r="BZ51" s="3918"/>
      <c r="CA51" s="3918"/>
      <c r="CB51" s="3918"/>
      <c r="CC51" s="3918"/>
      <c r="CD51" s="3918"/>
      <c r="CE51" s="3918"/>
      <c r="CF51" s="3918"/>
      <c r="CG51" s="3918"/>
      <c r="CH51" s="3918"/>
      <c r="CI51" s="3918"/>
      <c r="CJ51" s="3918"/>
      <c r="CK51" s="3918"/>
      <c r="CL51" s="3918"/>
      <c r="CM51" s="3918"/>
      <c r="CN51" s="3918"/>
      <c r="CO51" s="3918"/>
      <c r="CP51" s="3918"/>
      <c r="CQ51" s="3918"/>
      <c r="CR51" s="3918"/>
      <c r="CS51" s="3918"/>
      <c r="CT51" s="3918"/>
      <c r="CU51" s="3918"/>
      <c r="CV51" s="3918"/>
      <c r="CW51" s="3918"/>
      <c r="CX51" s="3918"/>
      <c r="CY51" s="3918"/>
      <c r="CZ51" s="3918"/>
      <c r="DA51" s="3918"/>
      <c r="DB51" s="3918"/>
      <c r="DC51" s="3918"/>
      <c r="DD51" s="3918"/>
      <c r="DE51" s="3918"/>
      <c r="DF51" s="3918"/>
      <c r="DG51" s="3918"/>
      <c r="DH51" s="3918"/>
      <c r="DI51" s="3918"/>
      <c r="DJ51" s="3918"/>
      <c r="DK51" s="3918"/>
      <c r="DL51" s="3918"/>
      <c r="DM51" s="3918"/>
      <c r="DN51" s="3918"/>
      <c r="DO51" s="3918"/>
      <c r="DP51" s="3918"/>
      <c r="DQ51" s="3918"/>
      <c r="DR51" s="3918"/>
      <c r="DS51" s="3918"/>
      <c r="DT51" s="3918"/>
      <c r="DU51" s="3918"/>
      <c r="DV51" s="3918"/>
      <c r="DW51" s="3918"/>
      <c r="DX51" s="3918"/>
      <c r="DY51" s="3918"/>
      <c r="DZ51" s="3918"/>
      <c r="EA51" s="3918"/>
      <c r="EB51" s="3918"/>
      <c r="EC51" s="3918"/>
      <c r="ED51" s="3918"/>
      <c r="EE51" s="3918"/>
      <c r="EF51" s="3918"/>
      <c r="EG51" s="3918"/>
      <c r="EH51" s="3918"/>
      <c r="EI51" s="3918"/>
      <c r="EJ51" s="3918"/>
      <c r="EK51" s="3918"/>
      <c r="EL51" s="3918"/>
      <c r="EM51" s="3918"/>
      <c r="EN51" s="3918"/>
      <c r="EO51" s="3918"/>
      <c r="EP51" s="3918"/>
      <c r="EQ51" s="3918"/>
      <c r="ER51" s="3918"/>
      <c r="ES51" s="3918"/>
      <c r="ET51" s="3918"/>
      <c r="EU51" s="3918"/>
      <c r="EV51" s="3918"/>
      <c r="EW51" s="3918"/>
      <c r="EX51" s="3918"/>
      <c r="EY51" s="3918"/>
      <c r="EZ51" s="3918"/>
      <c r="FA51" s="3918"/>
      <c r="FB51" s="3918"/>
      <c r="FC51" s="3918"/>
      <c r="FD51" s="3918"/>
      <c r="FE51" s="3918"/>
      <c r="FF51" s="3918"/>
      <c r="FG51" s="3918"/>
      <c r="FH51" s="3918"/>
      <c r="FI51" s="3918"/>
      <c r="FJ51" s="3918"/>
      <c r="FK51" s="3918"/>
      <c r="FL51" s="3918"/>
      <c r="FM51" s="3918"/>
      <c r="FN51" s="3918"/>
      <c r="FO51" s="3918"/>
      <c r="FP51" s="3918"/>
      <c r="FQ51" s="3918"/>
      <c r="FR51" s="3918"/>
      <c r="FS51" s="3918"/>
      <c r="FT51" s="3918"/>
      <c r="FU51" s="3918"/>
      <c r="FV51" s="3918"/>
      <c r="FW51" s="3918"/>
      <c r="FX51" s="3918"/>
      <c r="FY51" s="3918"/>
      <c r="FZ51" s="3918"/>
      <c r="GA51" s="3918"/>
      <c r="GB51" s="3918"/>
      <c r="GC51" s="3918"/>
      <c r="GD51" s="3918"/>
      <c r="GE51" s="3918"/>
      <c r="GF51" s="3918"/>
      <c r="GG51" s="3918"/>
      <c r="GH51" s="3918"/>
      <c r="GI51" s="3918"/>
      <c r="GJ51" s="3918"/>
      <c r="GK51" s="3918"/>
      <c r="GL51" s="3918"/>
      <c r="GM51" s="3918"/>
      <c r="GN51" s="3918"/>
      <c r="GO51" s="3918"/>
      <c r="GP51" s="3918"/>
      <c r="GQ51" s="3918"/>
      <c r="GR51" s="3918"/>
      <c r="GS51" s="3918"/>
      <c r="GT51" s="3918"/>
      <c r="GU51" s="3949">
        <v>2000</v>
      </c>
      <c r="GV51" s="3918"/>
      <c r="GW51" s="3918"/>
      <c r="GX51" s="3918"/>
      <c r="GY51" s="3918"/>
      <c r="GZ51" s="3918"/>
      <c r="HA51" s="3918"/>
      <c r="HB51" s="3918"/>
      <c r="HC51" s="3918"/>
      <c r="HD51" s="3918"/>
      <c r="HE51" s="3918"/>
      <c r="HF51" s="3918"/>
      <c r="HG51" s="3918"/>
      <c r="HH51" s="3918"/>
      <c r="HI51" s="3918"/>
      <c r="HJ51" s="3918"/>
      <c r="HK51" s="3918"/>
      <c r="HL51" s="3918"/>
      <c r="HM51" s="3918"/>
      <c r="HN51" s="3918"/>
      <c r="HO51" s="3918"/>
      <c r="HP51" s="3918"/>
      <c r="HQ51" s="3918"/>
      <c r="HR51" s="3918"/>
      <c r="HS51" s="3918"/>
      <c r="HT51" s="3918"/>
      <c r="HU51" s="3918"/>
      <c r="HV51" s="3918"/>
      <c r="HW51" s="3918"/>
      <c r="HX51" s="3918"/>
      <c r="HY51" s="3918"/>
      <c r="HZ51" s="3918"/>
      <c r="IA51" s="3918"/>
      <c r="IB51" s="3918"/>
      <c r="IC51" s="3918"/>
      <c r="ID51" s="3918"/>
      <c r="IE51" s="3918"/>
      <c r="IF51" s="3918"/>
      <c r="IG51" s="3918"/>
      <c r="IH51" s="3918"/>
      <c r="II51" s="3918"/>
      <c r="IJ51" s="3918"/>
      <c r="IK51" s="3918"/>
      <c r="IL51" s="3918"/>
      <c r="IM51" s="3918"/>
      <c r="IN51" s="3918"/>
      <c r="IO51" s="3918"/>
      <c r="IP51" s="3918"/>
      <c r="IQ51" s="3918"/>
      <c r="IR51" s="3918"/>
      <c r="IS51" s="3918"/>
      <c r="IT51" s="3918"/>
      <c r="IU51" s="3918"/>
      <c r="IV51" s="3918"/>
      <c r="IW51" s="3918"/>
      <c r="IX51" s="3918"/>
      <c r="IY51" s="3917"/>
      <c r="IZ51" s="3918"/>
      <c r="JA51" s="3918"/>
      <c r="JB51" s="3918"/>
      <c r="JC51" s="3918"/>
      <c r="JD51" s="3918"/>
      <c r="JE51" s="3918"/>
      <c r="JF51" s="3918"/>
      <c r="JG51" s="2104"/>
      <c r="JH51" s="1367"/>
      <c r="JI51" s="1565" t="s">
        <v>7306</v>
      </c>
      <c r="JJ51" s="1566" t="s">
        <v>6108</v>
      </c>
      <c r="JK51" s="1835"/>
      <c r="JL51" s="1570" t="s">
        <v>6102</v>
      </c>
    </row>
    <row ht="22.5" r="52" spans="1:272" x14ac:dyDescent="0.2">
      <c r="A52" s="1128">
        <v>51</v>
      </c>
      <c r="B52" s="1656" t="str">
        <f si="3" t="shared"/>
        <v/>
      </c>
      <c r="C52" s="1828" t="s">
        <v>5294</v>
      </c>
      <c r="D52" s="1392" t="s">
        <v>5310</v>
      </c>
      <c r="E52" s="1618"/>
      <c r="F52" s="1618">
        <v>20000</v>
      </c>
      <c r="G52" s="1618">
        <v>12000</v>
      </c>
      <c r="H52" s="1618"/>
      <c r="I52" s="1618"/>
      <c r="J52" s="1618"/>
      <c r="K52" s="1618">
        <v>36000</v>
      </c>
      <c r="L52" s="1618"/>
      <c r="M52" s="1618"/>
      <c r="N52" s="1618"/>
      <c r="O52" s="1885"/>
      <c r="P52" s="2034"/>
      <c r="Q52" s="2034"/>
      <c r="R52" s="2034"/>
      <c r="S52" s="2034"/>
      <c r="T52" s="3904"/>
      <c r="U52" s="3904"/>
      <c r="V52" s="3904"/>
      <c r="W52" s="3904"/>
      <c r="X52" s="3904"/>
      <c r="Y52" s="3904"/>
      <c r="Z52" s="3904"/>
      <c r="AA52" s="3904"/>
      <c r="AB52" s="3904"/>
      <c r="AC52" s="3904"/>
      <c r="AD52" s="3904"/>
      <c r="AE52" s="3904"/>
      <c r="AF52" s="3904"/>
      <c r="AG52" s="3904"/>
      <c r="AH52" s="3904"/>
      <c r="AI52" s="3904"/>
      <c r="AJ52" s="3904"/>
      <c r="AK52" s="3904"/>
      <c r="AL52" s="3904"/>
      <c r="AM52" s="3904"/>
      <c r="AN52" s="3904"/>
      <c r="AO52" s="3904"/>
      <c r="AP52" s="3904"/>
      <c r="AQ52" s="3904"/>
      <c r="AR52" s="3904"/>
      <c r="AS52" s="3904"/>
      <c r="AT52" s="3904"/>
      <c r="AU52" s="3904"/>
      <c r="AV52" s="3904"/>
      <c r="AW52" s="3904"/>
      <c r="AX52" s="3904"/>
      <c r="AY52" s="3904"/>
      <c r="AZ52" s="3904"/>
      <c r="BA52" s="3904"/>
      <c r="BB52" s="3904"/>
      <c r="BC52" s="3904"/>
      <c r="BD52" s="3904"/>
      <c r="BE52" s="3904"/>
      <c r="BF52" s="3904"/>
      <c r="BG52" s="1627"/>
      <c r="BH52" s="3904"/>
      <c r="BI52" s="3904"/>
      <c r="BJ52" s="3904"/>
      <c r="BK52" s="3904"/>
      <c r="BL52" s="3904"/>
      <c r="BM52" s="3904"/>
      <c r="BN52" s="3904"/>
      <c r="BO52" s="3904"/>
      <c r="BP52" s="3904"/>
      <c r="BQ52" s="3904"/>
      <c r="BR52" s="3904"/>
      <c r="BS52" s="3904"/>
      <c r="BT52" s="3904"/>
      <c r="BU52" s="3904"/>
      <c r="BV52" s="3904"/>
      <c r="BW52" s="3904"/>
      <c r="BX52" s="3904"/>
      <c r="BY52" s="3904"/>
      <c r="BZ52" s="3904"/>
      <c r="CA52" s="3904"/>
      <c r="CB52" s="3904"/>
      <c r="CC52" s="3904"/>
      <c r="CD52" s="3904"/>
      <c r="CE52" s="3904"/>
      <c r="CF52" s="3904"/>
      <c r="CG52" s="3904"/>
      <c r="CH52" s="3904"/>
      <c r="CI52" s="3904"/>
      <c r="CJ52" s="3904"/>
      <c r="CK52" s="3904"/>
      <c r="CL52" s="3904"/>
      <c r="CM52" s="3904"/>
      <c r="CN52" s="3904"/>
      <c r="CO52" s="3904"/>
      <c r="CP52" s="3904"/>
      <c r="CQ52" s="3904"/>
      <c r="CR52" s="3904"/>
      <c r="CS52" s="3904"/>
      <c r="CT52" s="3904"/>
      <c r="CU52" s="3904"/>
      <c r="CV52" s="3904"/>
      <c r="CW52" s="3904"/>
      <c r="CX52" s="3904"/>
      <c r="CY52" s="3904"/>
      <c r="CZ52" s="3904"/>
      <c r="DA52" s="3904"/>
      <c r="DB52" s="3904"/>
      <c r="DC52" s="3904"/>
      <c r="DD52" s="3904"/>
      <c r="DE52" s="3904"/>
      <c r="DF52" s="3904"/>
      <c r="DG52" s="3904"/>
      <c r="DH52" s="3904"/>
      <c r="DI52" s="3904"/>
      <c r="DJ52" s="3904"/>
      <c r="DK52" s="3904"/>
      <c r="DL52" s="3904"/>
      <c r="DM52" s="3904"/>
      <c r="DN52" s="3904"/>
      <c r="DO52" s="3904"/>
      <c r="DP52" s="3904"/>
      <c r="DQ52" s="3904"/>
      <c r="DR52" s="3904"/>
      <c r="DS52" s="3904"/>
      <c r="DT52" s="3904"/>
      <c r="DU52" s="3904"/>
      <c r="DV52" s="3904"/>
      <c r="DW52" s="3904"/>
      <c r="DX52" s="3904"/>
      <c r="DY52" s="3904"/>
      <c r="DZ52" s="3904"/>
      <c r="EA52" s="3904"/>
      <c r="EB52" s="3904"/>
      <c r="EC52" s="3904"/>
      <c r="ED52" s="3904"/>
      <c r="EE52" s="3904"/>
      <c r="EF52" s="3904"/>
      <c r="EG52" s="3904"/>
      <c r="EH52" s="3904"/>
      <c r="EI52" s="3904"/>
      <c r="EJ52" s="3904"/>
      <c r="EK52" s="3904"/>
      <c r="EL52" s="3904"/>
      <c r="EM52" s="3904"/>
      <c r="EN52" s="3904"/>
      <c r="EO52" s="3904"/>
      <c r="EP52" s="3904"/>
      <c r="EQ52" s="3904"/>
      <c r="ER52" s="3904"/>
      <c r="ES52" s="3904"/>
      <c r="ET52" s="3904"/>
      <c r="EU52" s="3904"/>
      <c r="EV52" s="3904"/>
      <c r="EW52" s="3904"/>
      <c r="EX52" s="3904"/>
      <c r="EY52" s="3904"/>
      <c r="EZ52" s="3904"/>
      <c r="FA52" s="3904"/>
      <c r="FB52" s="3904"/>
      <c r="FC52" s="3904"/>
      <c r="FD52" s="3904"/>
      <c r="FE52" s="3904"/>
      <c r="FF52" s="3904"/>
      <c r="FG52" s="3904"/>
      <c r="FH52" s="3904"/>
      <c r="FI52" s="3904"/>
      <c r="FJ52" s="3904"/>
      <c r="FK52" s="3904"/>
      <c r="FL52" s="3904"/>
      <c r="FM52" s="3904"/>
      <c r="FN52" s="3904"/>
      <c r="FO52" s="3904"/>
      <c r="FP52" s="3904"/>
      <c r="FQ52" s="3904"/>
      <c r="FR52" s="3904"/>
      <c r="FS52" s="3904"/>
      <c r="FT52" s="3904"/>
      <c r="FU52" s="3904"/>
      <c r="FV52" s="3904"/>
      <c r="FW52" s="3904"/>
      <c r="FX52" s="3904"/>
      <c r="FY52" s="3904"/>
      <c r="FZ52" s="3904"/>
      <c r="GA52" s="3904"/>
      <c r="GB52" s="3904"/>
      <c r="GC52" s="3904"/>
      <c r="GD52" s="3904"/>
      <c r="GE52" s="3904"/>
      <c r="GF52" s="3904"/>
      <c r="GG52" s="3904"/>
      <c r="GH52" s="3904"/>
      <c r="GI52" s="3904"/>
      <c r="GJ52" s="3904"/>
      <c r="GK52" s="3904"/>
      <c r="GL52" s="3904"/>
      <c r="GM52" s="3904"/>
      <c r="GN52" s="3904"/>
      <c r="GO52" s="3904"/>
      <c r="GP52" s="3904"/>
      <c r="GQ52" s="3904"/>
      <c r="GR52" s="3904"/>
      <c r="GS52" s="3904"/>
      <c r="GT52" s="3904"/>
      <c r="GU52" s="3904"/>
      <c r="GV52" s="3904"/>
      <c r="GW52" s="3904"/>
      <c r="GX52" s="3904"/>
      <c r="GY52" s="3904"/>
      <c r="GZ52" s="3904"/>
      <c r="HA52" s="3904"/>
      <c r="HB52" s="3904"/>
      <c r="HC52" s="3904"/>
      <c r="HD52" s="3904"/>
      <c r="HE52" s="3904"/>
      <c r="HF52" s="3904"/>
      <c r="HG52" s="3904"/>
      <c r="HH52" s="3904"/>
      <c r="HI52" s="3904"/>
      <c r="HJ52" s="3904"/>
      <c r="HK52" s="3904"/>
      <c r="HL52" s="3904"/>
      <c r="HM52" s="3904"/>
      <c r="HN52" s="3904"/>
      <c r="HO52" s="3904"/>
      <c r="HP52" s="3904"/>
      <c r="HQ52" s="3904"/>
      <c r="HR52" s="3904"/>
      <c r="HS52" s="3904"/>
      <c r="HT52" s="3904"/>
      <c r="HU52" s="3904"/>
      <c r="HV52" s="3904"/>
      <c r="HW52" s="3904"/>
      <c r="HX52" s="3904"/>
      <c r="HY52" s="3904"/>
      <c r="HZ52" s="3904"/>
      <c r="IA52" s="3904"/>
      <c r="IB52" s="3904"/>
      <c r="IC52" s="3904"/>
      <c r="ID52" s="3904"/>
      <c r="IE52" s="3904"/>
      <c r="IF52" s="3904"/>
      <c r="IG52" s="3904"/>
      <c r="IH52" s="3904"/>
      <c r="II52" s="3904"/>
      <c r="IJ52" s="3904"/>
      <c r="IK52" s="3904"/>
      <c r="IL52" s="3904"/>
      <c r="IM52" s="3904"/>
      <c r="IN52" s="3904"/>
      <c r="IO52" s="3904"/>
      <c r="IP52" s="3904"/>
      <c r="IQ52" s="3904"/>
      <c r="IR52" s="3904"/>
      <c r="IS52" s="3904"/>
      <c r="IT52" s="3904"/>
      <c r="IU52" s="3904"/>
      <c r="IV52" s="3904"/>
      <c r="IW52" s="3904"/>
      <c r="IX52" s="3904"/>
      <c r="IY52" s="3919">
        <v>92500</v>
      </c>
      <c r="IZ52" s="3904"/>
      <c r="JA52" s="3904"/>
      <c r="JB52" s="3904"/>
      <c r="JC52" s="3904"/>
      <c r="JD52" s="3904"/>
      <c r="JE52" s="3904"/>
      <c r="JF52" s="3904"/>
      <c r="JG52" s="2087"/>
      <c r="JH52" s="1367"/>
      <c r="JI52" s="1565" t="s">
        <v>7307</v>
      </c>
      <c r="JJ52" s="1566" t="s">
        <v>6108</v>
      </c>
      <c r="JK52" s="1835"/>
      <c r="JL52" s="1570" t="s">
        <v>6103</v>
      </c>
    </row>
    <row r="53" spans="1:272" x14ac:dyDescent="0.2">
      <c r="A53" s="1128">
        <v>52</v>
      </c>
      <c r="B53" s="1656" t="str">
        <f si="3" t="shared"/>
        <v/>
      </c>
      <c r="C53" s="1828" t="s">
        <v>5295</v>
      </c>
      <c r="D53" s="1392" t="s">
        <v>5311</v>
      </c>
      <c r="E53" s="1618"/>
      <c r="F53" s="1618"/>
      <c r="G53" s="1618"/>
      <c r="H53" s="1618"/>
      <c r="I53" s="1618"/>
      <c r="J53" s="1618"/>
      <c r="K53" s="1618"/>
      <c r="L53" s="1618">
        <v>900</v>
      </c>
      <c r="M53" s="1618"/>
      <c r="N53" s="1618"/>
      <c r="O53" s="1885"/>
      <c r="P53" s="2034"/>
      <c r="Q53" s="2034"/>
      <c r="R53" s="2034"/>
      <c r="S53" s="2034"/>
      <c r="T53" s="3904"/>
      <c r="U53" s="3904"/>
      <c r="V53" s="3904"/>
      <c r="W53" s="3904"/>
      <c r="X53" s="3904"/>
      <c r="Y53" s="3904"/>
      <c r="Z53" s="3904"/>
      <c r="AA53" s="3904"/>
      <c r="AB53" s="3904"/>
      <c r="AC53" s="3904"/>
      <c r="AD53" s="3904"/>
      <c r="AE53" s="3904"/>
      <c r="AF53" s="3904"/>
      <c r="AG53" s="3904"/>
      <c r="AH53" s="3904"/>
      <c r="AI53" s="3904"/>
      <c r="AJ53" s="3904"/>
      <c r="AK53" s="3904"/>
      <c r="AL53" s="3904"/>
      <c r="AM53" s="3904"/>
      <c r="AN53" s="3904"/>
      <c r="AO53" s="3904"/>
      <c r="AP53" s="3904"/>
      <c r="AQ53" s="3904"/>
      <c r="AR53" s="3904"/>
      <c r="AS53" s="3904"/>
      <c r="AT53" s="3904"/>
      <c r="AU53" s="3904"/>
      <c r="AV53" s="3904"/>
      <c r="AW53" s="3904"/>
      <c r="AX53" s="3904"/>
      <c r="AY53" s="3904"/>
      <c r="AZ53" s="3904"/>
      <c r="BA53" s="3904"/>
      <c r="BB53" s="3904"/>
      <c r="BC53" s="3904"/>
      <c r="BD53" s="3904"/>
      <c r="BE53" s="3904"/>
      <c r="BF53" s="3904"/>
      <c r="BG53" s="1627"/>
      <c r="BH53" s="3904"/>
      <c r="BI53" s="3904"/>
      <c r="BJ53" s="3904"/>
      <c r="BK53" s="3904"/>
      <c r="BL53" s="3904"/>
      <c r="BM53" s="3904"/>
      <c r="BN53" s="3904"/>
      <c r="BO53" s="3904"/>
      <c r="BP53" s="3904"/>
      <c r="BQ53" s="3904"/>
      <c r="BR53" s="3904"/>
      <c r="BS53" s="3904"/>
      <c r="BT53" s="3904"/>
      <c r="BU53" s="3904"/>
      <c r="BV53" s="3904"/>
      <c r="BW53" s="3904"/>
      <c r="BX53" s="3904"/>
      <c r="BY53" s="3904"/>
      <c r="BZ53" s="3904"/>
      <c r="CA53" s="3904"/>
      <c r="CB53" s="3904"/>
      <c r="CC53" s="3904"/>
      <c r="CD53" s="3904"/>
      <c r="CE53" s="3904"/>
      <c r="CF53" s="3904"/>
      <c r="CG53" s="3904"/>
      <c r="CH53" s="3904"/>
      <c r="CI53" s="3904"/>
      <c r="CJ53" s="3904"/>
      <c r="CK53" s="3904"/>
      <c r="CL53" s="3904"/>
      <c r="CM53" s="3904"/>
      <c r="CN53" s="3904"/>
      <c r="CO53" s="3904"/>
      <c r="CP53" s="3904"/>
      <c r="CQ53" s="3904"/>
      <c r="CR53" s="3904"/>
      <c r="CS53" s="3904"/>
      <c r="CT53" s="3904"/>
      <c r="CU53" s="3904"/>
      <c r="CV53" s="3904"/>
      <c r="CW53" s="3904"/>
      <c r="CX53" s="3904"/>
      <c r="CY53" s="3904"/>
      <c r="CZ53" s="3904"/>
      <c r="DA53" s="3904"/>
      <c r="DB53" s="3904"/>
      <c r="DC53" s="3904"/>
      <c r="DD53" s="3904"/>
      <c r="DE53" s="3904"/>
      <c r="DF53" s="3904"/>
      <c r="DG53" s="3904"/>
      <c r="DH53" s="3904"/>
      <c r="DI53" s="3904"/>
      <c r="DJ53" s="3904"/>
      <c r="DK53" s="3904"/>
      <c r="DL53" s="3904"/>
      <c r="DM53" s="3904"/>
      <c r="DN53" s="3904"/>
      <c r="DO53" s="3904"/>
      <c r="DP53" s="3904"/>
      <c r="DQ53" s="3904"/>
      <c r="DR53" s="3904"/>
      <c r="DS53" s="3904"/>
      <c r="DT53" s="3904"/>
      <c r="DU53" s="3904"/>
      <c r="DV53" s="3904"/>
      <c r="DW53" s="3904"/>
      <c r="DX53" s="3904"/>
      <c r="DY53" s="3904"/>
      <c r="DZ53" s="3904"/>
      <c r="EA53" s="3904"/>
      <c r="EB53" s="3904"/>
      <c r="EC53" s="3904"/>
      <c r="ED53" s="3904"/>
      <c r="EE53" s="3904"/>
      <c r="EF53" s="3904"/>
      <c r="EG53" s="3904"/>
      <c r="EH53" s="3904"/>
      <c r="EI53" s="3904"/>
      <c r="EJ53" s="3904"/>
      <c r="EK53" s="3904"/>
      <c r="EL53" s="3904"/>
      <c r="EM53" s="3904"/>
      <c r="EN53" s="3904"/>
      <c r="EO53" s="3904"/>
      <c r="EP53" s="3904"/>
      <c r="EQ53" s="3904"/>
      <c r="ER53" s="3904"/>
      <c r="ES53" s="3904"/>
      <c r="ET53" s="3904"/>
      <c r="EU53" s="3904"/>
      <c r="EV53" s="3904"/>
      <c r="EW53" s="3904"/>
      <c r="EX53" s="3904"/>
      <c r="EY53" s="3904"/>
      <c r="EZ53" s="3904"/>
      <c r="FA53" s="3904"/>
      <c r="FB53" s="3904"/>
      <c r="FC53" s="3904"/>
      <c r="FD53" s="3904"/>
      <c r="FE53" s="3904"/>
      <c r="FF53" s="3904"/>
      <c r="FG53" s="3904"/>
      <c r="FH53" s="3904"/>
      <c r="FI53" s="3904"/>
      <c r="FJ53" s="3904"/>
      <c r="FK53" s="3904"/>
      <c r="FL53" s="3904"/>
      <c r="FM53" s="3904"/>
      <c r="FN53" s="3904"/>
      <c r="FO53" s="3904"/>
      <c r="FP53" s="3904"/>
      <c r="FQ53" s="3904"/>
      <c r="FR53" s="3904"/>
      <c r="FS53" s="3904"/>
      <c r="FT53" s="3904"/>
      <c r="FU53" s="3904"/>
      <c r="FV53" s="3904"/>
      <c r="FW53" s="3904"/>
      <c r="FX53" s="3904"/>
      <c r="FY53" s="3904"/>
      <c r="FZ53" s="3904"/>
      <c r="GA53" s="3904"/>
      <c r="GB53" s="3904"/>
      <c r="GC53" s="3904"/>
      <c r="GD53" s="3904"/>
      <c r="GE53" s="3904"/>
      <c r="GF53" s="3904"/>
      <c r="GG53" s="3904"/>
      <c r="GH53" s="3904"/>
      <c r="GI53" s="3904"/>
      <c r="GJ53" s="3904"/>
      <c r="GK53" s="3904"/>
      <c r="GL53" s="3904"/>
      <c r="GM53" s="3904"/>
      <c r="GN53" s="3904"/>
      <c r="GO53" s="3904"/>
      <c r="GP53" s="3904"/>
      <c r="GQ53" s="3904"/>
      <c r="GR53" s="3904"/>
      <c r="GS53" s="3904"/>
      <c r="GT53" s="3904"/>
      <c r="GU53" s="3904"/>
      <c r="GV53" s="3904"/>
      <c r="GW53" s="3904"/>
      <c r="GX53" s="3904"/>
      <c r="GY53" s="3904"/>
      <c r="GZ53" s="3904"/>
      <c r="HA53" s="3904"/>
      <c r="HB53" s="3904"/>
      <c r="HC53" s="3904"/>
      <c r="HD53" s="3904"/>
      <c r="HE53" s="3904"/>
      <c r="HF53" s="3904"/>
      <c r="HG53" s="3904"/>
      <c r="HH53" s="3904"/>
      <c r="HI53" s="3904"/>
      <c r="HJ53" s="3904"/>
      <c r="HK53" s="3904"/>
      <c r="HL53" s="3904"/>
      <c r="HM53" s="3904"/>
      <c r="HN53" s="3904"/>
      <c r="HO53" s="3904"/>
      <c r="HP53" s="3904"/>
      <c r="HQ53" s="3904"/>
      <c r="HR53" s="3904"/>
      <c r="HS53" s="3904"/>
      <c r="HT53" s="3904"/>
      <c r="HU53" s="3904"/>
      <c r="HV53" s="3904"/>
      <c r="HW53" s="3904"/>
      <c r="HX53" s="3904"/>
      <c r="HY53" s="3904"/>
      <c r="HZ53" s="3904"/>
      <c r="IA53" s="3904"/>
      <c r="IB53" s="3904"/>
      <c r="IC53" s="3904"/>
      <c r="ID53" s="3904"/>
      <c r="IE53" s="3904"/>
      <c r="IF53" s="3904"/>
      <c r="IG53" s="3904"/>
      <c r="IH53" s="3904"/>
      <c r="II53" s="3904"/>
      <c r="IJ53" s="3904"/>
      <c r="IK53" s="3904"/>
      <c r="IL53" s="3904"/>
      <c r="IM53" s="3904"/>
      <c r="IN53" s="3904"/>
      <c r="IO53" s="3904"/>
      <c r="IP53" s="3904"/>
      <c r="IQ53" s="3904"/>
      <c r="IR53" s="3904"/>
      <c r="IS53" s="3904"/>
      <c r="IT53" s="3904"/>
      <c r="IU53" s="3904"/>
      <c r="IV53" s="3904"/>
      <c r="IW53" s="3904"/>
      <c r="IX53" s="3904"/>
      <c r="IY53" s="3904"/>
      <c r="IZ53" s="3904"/>
      <c r="JA53" s="3904"/>
      <c r="JB53" s="3904"/>
      <c r="JC53" s="3904"/>
      <c r="JD53" s="3904"/>
      <c r="JE53" s="3904"/>
      <c r="JF53" s="3904"/>
      <c r="JG53" s="2087"/>
      <c r="JH53" s="1367"/>
      <c r="JI53" s="1565" t="s">
        <v>5037</v>
      </c>
      <c r="JJ53" s="1566" t="s">
        <v>6110</v>
      </c>
      <c r="JK53" s="1835"/>
      <c r="JL53" s="1835"/>
    </row>
    <row ht="22.5" r="54" spans="1:272" x14ac:dyDescent="0.2">
      <c r="A54" s="1128">
        <v>53</v>
      </c>
      <c r="B54" s="1656" t="str">
        <f si="3" t="shared"/>
        <v/>
      </c>
      <c r="C54" s="1828" t="s">
        <v>5296</v>
      </c>
      <c r="D54" s="1392" t="s">
        <v>4909</v>
      </c>
      <c r="E54" s="1618"/>
      <c r="F54" s="1627"/>
      <c r="G54" s="1627"/>
      <c r="H54" s="1627"/>
      <c r="I54" s="1627"/>
      <c r="J54" s="1627"/>
      <c r="K54" s="1627"/>
      <c r="L54" s="1627">
        <v>2000</v>
      </c>
      <c r="M54" s="1627"/>
      <c r="N54" s="1627"/>
      <c r="O54" s="1897"/>
      <c r="P54" s="2042"/>
      <c r="Q54" s="2042"/>
      <c r="R54" s="2042"/>
      <c r="S54" s="2042"/>
      <c r="T54" s="3917"/>
      <c r="U54" s="3917"/>
      <c r="V54" s="3917"/>
      <c r="W54" s="3917"/>
      <c r="X54" s="3917"/>
      <c r="Y54" s="3917"/>
      <c r="Z54" s="3917"/>
      <c r="AA54" s="3917"/>
      <c r="AB54" s="3917"/>
      <c r="AC54" s="3917"/>
      <c r="AD54" s="3917"/>
      <c r="AE54" s="3917"/>
      <c r="AF54" s="3917"/>
      <c r="AG54" s="3917"/>
      <c r="AH54" s="3917"/>
      <c r="AI54" s="3917"/>
      <c r="AJ54" s="3917"/>
      <c r="AK54" s="3917"/>
      <c r="AL54" s="3917"/>
      <c r="AM54" s="3917"/>
      <c r="AN54" s="3917"/>
      <c r="AO54" s="3917"/>
      <c r="AP54" s="3917"/>
      <c r="AQ54" s="3917"/>
      <c r="AR54" s="3917"/>
      <c r="AS54" s="3917"/>
      <c r="AT54" s="3917"/>
      <c r="AU54" s="3917"/>
      <c r="AV54" s="3917"/>
      <c r="AW54" s="3917"/>
      <c r="AX54" s="3917"/>
      <c r="AY54" s="3917"/>
      <c r="AZ54" s="3917"/>
      <c r="BA54" s="3917"/>
      <c r="BB54" s="3917"/>
      <c r="BC54" s="3917"/>
      <c r="BD54" s="3917"/>
      <c r="BE54" s="3917"/>
      <c r="BF54" s="3917"/>
      <c r="BG54" s="1627"/>
      <c r="BH54" s="3917"/>
      <c r="BI54" s="3917"/>
      <c r="BJ54" s="3917"/>
      <c r="BK54" s="3917"/>
      <c r="BL54" s="3917"/>
      <c r="BM54" s="3917"/>
      <c r="BN54" s="3917"/>
      <c r="BO54" s="3917"/>
      <c r="BP54" s="3917"/>
      <c r="BQ54" s="3917"/>
      <c r="BR54" s="3917"/>
      <c r="BS54" s="3917"/>
      <c r="BT54" s="3917"/>
      <c r="BU54" s="3917"/>
      <c r="BV54" s="3917"/>
      <c r="BW54" s="3917"/>
      <c r="BX54" s="3917"/>
      <c r="BY54" s="3917"/>
      <c r="BZ54" s="3917"/>
      <c r="CA54" s="3917"/>
      <c r="CB54" s="3917"/>
      <c r="CC54" s="3917"/>
      <c r="CD54" s="3917"/>
      <c r="CE54" s="3917"/>
      <c r="CF54" s="3917"/>
      <c r="CG54" s="3917"/>
      <c r="CH54" s="3917"/>
      <c r="CI54" s="3917"/>
      <c r="CJ54" s="3917"/>
      <c r="CK54" s="3917"/>
      <c r="CL54" s="3917"/>
      <c r="CM54" s="3917"/>
      <c r="CN54" s="3917"/>
      <c r="CO54" s="3917"/>
      <c r="CP54" s="3917"/>
      <c r="CQ54" s="3917"/>
      <c r="CR54" s="3917"/>
      <c r="CS54" s="3917"/>
      <c r="CT54" s="3917"/>
      <c r="CU54" s="3917"/>
      <c r="CV54" s="3917"/>
      <c r="CW54" s="3917"/>
      <c r="CX54" s="3917"/>
      <c r="CY54" s="3917"/>
      <c r="CZ54" s="3917"/>
      <c r="DA54" s="3917"/>
      <c r="DB54" s="3917"/>
      <c r="DC54" s="3917"/>
      <c r="DD54" s="3917"/>
      <c r="DE54" s="3917"/>
      <c r="DF54" s="3917"/>
      <c r="DG54" s="3917"/>
      <c r="DH54" s="3917"/>
      <c r="DI54" s="3917"/>
      <c r="DJ54" s="3917"/>
      <c r="DK54" s="3917"/>
      <c r="DL54" s="3917"/>
      <c r="DM54" s="3917"/>
      <c r="DN54" s="3917"/>
      <c r="DO54" s="3917"/>
      <c r="DP54" s="3917"/>
      <c r="DQ54" s="3917"/>
      <c r="DR54" s="3917"/>
      <c r="DS54" s="3917"/>
      <c r="DT54" s="3917"/>
      <c r="DU54" s="3917"/>
      <c r="DV54" s="3917"/>
      <c r="DW54" s="3917"/>
      <c r="DX54" s="3917"/>
      <c r="DY54" s="3917"/>
      <c r="DZ54" s="3917"/>
      <c r="EA54" s="3917"/>
      <c r="EB54" s="3917"/>
      <c r="EC54" s="3917"/>
      <c r="ED54" s="3917"/>
      <c r="EE54" s="3917"/>
      <c r="EF54" s="3917"/>
      <c r="EG54" s="3917"/>
      <c r="EH54" s="3917"/>
      <c r="EI54" s="3917"/>
      <c r="EJ54" s="3917"/>
      <c r="EK54" s="3917"/>
      <c r="EL54" s="3917"/>
      <c r="EM54" s="3917"/>
      <c r="EN54" s="3917"/>
      <c r="EO54" s="3917"/>
      <c r="EP54" s="3917"/>
      <c r="EQ54" s="3917"/>
      <c r="ER54" s="3917"/>
      <c r="ES54" s="3917"/>
      <c r="ET54" s="3917"/>
      <c r="EU54" s="3917"/>
      <c r="EV54" s="3917"/>
      <c r="EW54" s="3917"/>
      <c r="EX54" s="3917"/>
      <c r="EY54" s="3917"/>
      <c r="EZ54" s="3917"/>
      <c r="FA54" s="3917"/>
      <c r="FB54" s="3917"/>
      <c r="FC54" s="3917"/>
      <c r="FD54" s="3917"/>
      <c r="FE54" s="3917"/>
      <c r="FF54" s="3917"/>
      <c r="FG54" s="3917"/>
      <c r="FH54" s="3917"/>
      <c r="FI54" s="3917"/>
      <c r="FJ54" s="3917"/>
      <c r="FK54" s="3917"/>
      <c r="FL54" s="3917"/>
      <c r="FM54" s="3917"/>
      <c r="FN54" s="3917"/>
      <c r="FO54" s="3917"/>
      <c r="FP54" s="3917"/>
      <c r="FQ54" s="3917"/>
      <c r="FR54" s="3917"/>
      <c r="FS54" s="3917"/>
      <c r="FT54" s="3917"/>
      <c r="FU54" s="3917"/>
      <c r="FV54" s="3917"/>
      <c r="FW54" s="3917"/>
      <c r="FX54" s="3917"/>
      <c r="FY54" s="3917"/>
      <c r="FZ54" s="3917"/>
      <c r="GA54" s="3917"/>
      <c r="GB54" s="3917"/>
      <c r="GC54" s="3917"/>
      <c r="GD54" s="3917"/>
      <c r="GE54" s="3917"/>
      <c r="GF54" s="3917"/>
      <c r="GG54" s="3917"/>
      <c r="GH54" s="3917"/>
      <c r="GI54" s="3917"/>
      <c r="GJ54" s="3917"/>
      <c r="GK54" s="3917"/>
      <c r="GL54" s="3917"/>
      <c r="GM54" s="3917"/>
      <c r="GN54" s="3917"/>
      <c r="GO54" s="3917"/>
      <c r="GP54" s="3917"/>
      <c r="GQ54" s="3917"/>
      <c r="GR54" s="3917"/>
      <c r="GS54" s="3917"/>
      <c r="GT54" s="3917"/>
      <c r="GU54" s="3917"/>
      <c r="GV54" s="3917"/>
      <c r="GW54" s="3917"/>
      <c r="GX54" s="3917"/>
      <c r="GY54" s="3917"/>
      <c r="GZ54" s="3917"/>
      <c r="HA54" s="3917"/>
      <c r="HB54" s="3917"/>
      <c r="HC54" s="3917"/>
      <c r="HD54" s="3917"/>
      <c r="HE54" s="3917"/>
      <c r="HF54" s="3917"/>
      <c r="HG54" s="3917"/>
      <c r="HH54" s="3917"/>
      <c r="HI54" s="3917"/>
      <c r="HJ54" s="3917"/>
      <c r="HK54" s="3917"/>
      <c r="HL54" s="3917"/>
      <c r="HM54" s="3917"/>
      <c r="HN54" s="3917"/>
      <c r="HO54" s="3917"/>
      <c r="HP54" s="3917"/>
      <c r="HQ54" s="3917"/>
      <c r="HR54" s="3917"/>
      <c r="HS54" s="3917"/>
      <c r="HT54" s="3917"/>
      <c r="HU54" s="3917"/>
      <c r="HV54" s="3917"/>
      <c r="HW54" s="3917"/>
      <c r="HX54" s="3917"/>
      <c r="HY54" s="3917"/>
      <c r="HZ54" s="3917"/>
      <c r="IA54" s="3917"/>
      <c r="IB54" s="3917"/>
      <c r="IC54" s="3917"/>
      <c r="ID54" s="3917"/>
      <c r="IE54" s="3917"/>
      <c r="IF54" s="3917"/>
      <c r="IG54" s="3917"/>
      <c r="IH54" s="3917"/>
      <c r="II54" s="3917"/>
      <c r="IJ54" s="3917"/>
      <c r="IK54" s="3917"/>
      <c r="IL54" s="3917"/>
      <c r="IM54" s="3917"/>
      <c r="IN54" s="3917"/>
      <c r="IO54" s="3917"/>
      <c r="IP54" s="3917"/>
      <c r="IQ54" s="3917"/>
      <c r="IR54" s="3917"/>
      <c r="IS54" s="3917"/>
      <c r="IT54" s="3917"/>
      <c r="IU54" s="3917"/>
      <c r="IV54" s="3917"/>
      <c r="IW54" s="3917"/>
      <c r="IX54" s="3917"/>
      <c r="IY54" s="3917"/>
      <c r="IZ54" s="3917"/>
      <c r="JA54" s="3917"/>
      <c r="JB54" s="3917"/>
      <c r="JC54" s="3917"/>
      <c r="JD54" s="3917"/>
      <c r="JE54" s="3917"/>
      <c r="JF54" s="3917"/>
      <c r="JG54" s="2102"/>
      <c r="JH54" s="1367"/>
      <c r="JI54" s="2925"/>
      <c r="JJ54" s="1566" t="s">
        <v>6108</v>
      </c>
      <c r="JK54" s="1835"/>
      <c r="JL54" s="1835"/>
    </row>
    <row r="55" spans="1:272" x14ac:dyDescent="0.2">
      <c r="A55" s="3254">
        <v>54</v>
      </c>
      <c r="B55" s="1656" t="str">
        <f si="3" t="shared"/>
        <v/>
      </c>
      <c r="C55" s="3314" t="s">
        <v>7583</v>
      </c>
      <c r="D55" s="3315" t="s">
        <v>7587</v>
      </c>
      <c r="E55" s="3316"/>
      <c r="F55" s="3316"/>
      <c r="G55" s="3316"/>
      <c r="H55" s="3316"/>
      <c r="I55" s="3316"/>
      <c r="J55" s="3316"/>
      <c r="K55" s="3316"/>
      <c r="L55" s="3316"/>
      <c r="M55" s="3316"/>
      <c r="N55" s="3316"/>
      <c r="O55" s="3317"/>
      <c r="P55" s="3317"/>
      <c r="Q55" s="3317"/>
      <c r="R55" s="3317"/>
      <c r="S55" s="3317"/>
      <c r="T55" s="3919"/>
      <c r="U55" s="3919"/>
      <c r="V55" s="3919"/>
      <c r="W55" s="3919"/>
      <c r="X55" s="3919"/>
      <c r="Y55" s="3919"/>
      <c r="Z55" s="3919"/>
      <c r="AA55" s="3919"/>
      <c r="AB55" s="3919"/>
      <c r="AC55" s="3919"/>
      <c r="AD55" s="3919"/>
      <c r="AE55" s="3919"/>
      <c r="AF55" s="3919"/>
      <c r="AG55" s="3919"/>
      <c r="AH55" s="3919"/>
      <c r="AI55" s="3919"/>
      <c r="AJ55" s="3919"/>
      <c r="AK55" s="3919"/>
      <c r="AL55" s="3919"/>
      <c r="AM55" s="3919"/>
      <c r="AN55" s="3919"/>
      <c r="AO55" s="3919"/>
      <c r="AP55" s="3919"/>
      <c r="AQ55" s="3919"/>
      <c r="AR55" s="3919"/>
      <c r="AS55" s="3919"/>
      <c r="AT55" s="3919"/>
      <c r="AU55" s="3919"/>
      <c r="AV55" s="3919"/>
      <c r="AW55" s="3919"/>
      <c r="AX55" s="3919"/>
      <c r="AY55" s="3919"/>
      <c r="AZ55" s="3919"/>
      <c r="BA55" s="3919"/>
      <c r="BB55" s="3919"/>
      <c r="BC55" s="3919"/>
      <c r="BD55" s="3919"/>
      <c r="BE55" s="3919"/>
      <c r="BF55" s="3919"/>
      <c r="BG55" s="3316"/>
      <c r="BH55" s="3919"/>
      <c r="BI55" s="3919"/>
      <c r="BJ55" s="3919"/>
      <c r="BK55" s="3919"/>
      <c r="BL55" s="3919"/>
      <c r="BM55" s="3919"/>
      <c r="BN55" s="3919"/>
      <c r="BO55" s="3919"/>
      <c r="BP55" s="3919"/>
      <c r="BQ55" s="3919"/>
      <c r="BR55" s="3919"/>
      <c r="BS55" s="3919"/>
      <c r="BT55" s="3919"/>
      <c r="BU55" s="3919"/>
      <c r="BV55" s="3919"/>
      <c r="BW55" s="3919"/>
      <c r="BX55" s="3919"/>
      <c r="BY55" s="3919"/>
      <c r="BZ55" s="3919"/>
      <c r="CA55" s="3919"/>
      <c r="CB55" s="3919"/>
      <c r="CC55" s="3919"/>
      <c r="CD55" s="3919"/>
      <c r="CE55" s="3919"/>
      <c r="CF55" s="3919"/>
      <c r="CG55" s="3919"/>
      <c r="CH55" s="3919"/>
      <c r="CI55" s="3919"/>
      <c r="CJ55" s="3919"/>
      <c r="CK55" s="3919"/>
      <c r="CL55" s="3919"/>
      <c r="CM55" s="3919"/>
      <c r="CN55" s="3919"/>
      <c r="CO55" s="3919"/>
      <c r="CP55" s="3919"/>
      <c r="CQ55" s="3919"/>
      <c r="CR55" s="3919"/>
      <c r="CS55" s="3919"/>
      <c r="CT55" s="3919"/>
      <c r="CU55" s="3919"/>
      <c r="CV55" s="3919"/>
      <c r="CW55" s="3919"/>
      <c r="CX55" s="3919"/>
      <c r="CY55" s="3919"/>
      <c r="CZ55" s="3919"/>
      <c r="DA55" s="3919"/>
      <c r="DB55" s="3919"/>
      <c r="DC55" s="3919"/>
      <c r="DD55" s="3919"/>
      <c r="DE55" s="3919"/>
      <c r="DF55" s="3919"/>
      <c r="DG55" s="3919"/>
      <c r="DH55" s="3919"/>
      <c r="DI55" s="3919"/>
      <c r="DJ55" s="3919"/>
      <c r="DK55" s="3919"/>
      <c r="DL55" s="3919"/>
      <c r="DM55" s="3919"/>
      <c r="DN55" s="3919"/>
      <c r="DO55" s="3919"/>
      <c r="DP55" s="3919"/>
      <c r="DQ55" s="3919"/>
      <c r="DR55" s="3919"/>
      <c r="DS55" s="3919"/>
      <c r="DT55" s="3919"/>
      <c r="DU55" s="3919"/>
      <c r="DV55" s="3919"/>
      <c r="DW55" s="3919"/>
      <c r="DX55" s="3919"/>
      <c r="DY55" s="3919"/>
      <c r="DZ55" s="3919"/>
      <c r="EA55" s="3919"/>
      <c r="EB55" s="3919"/>
      <c r="EC55" s="3919"/>
      <c r="ED55" s="3919"/>
      <c r="EE55" s="3919"/>
      <c r="EF55" s="3919"/>
      <c r="EG55" s="3919"/>
      <c r="EH55" s="3919"/>
      <c r="EI55" s="3919"/>
      <c r="EJ55" s="3919"/>
      <c r="EK55" s="3919"/>
      <c r="EL55" s="3919"/>
      <c r="EM55" s="3919"/>
      <c r="EN55" s="3919"/>
      <c r="EO55" s="3919"/>
      <c r="EP55" s="3919"/>
      <c r="EQ55" s="3919"/>
      <c r="ER55" s="3919"/>
      <c r="ES55" s="3919"/>
      <c r="ET55" s="3919"/>
      <c r="EU55" s="3919"/>
      <c r="EV55" s="3919"/>
      <c r="EW55" s="3919"/>
      <c r="EX55" s="3919"/>
      <c r="EY55" s="3919"/>
      <c r="EZ55" s="3919"/>
      <c r="FA55" s="3919"/>
      <c r="FB55" s="3919"/>
      <c r="FC55" s="3919"/>
      <c r="FD55" s="3919"/>
      <c r="FE55" s="3919"/>
      <c r="FF55" s="3919"/>
      <c r="FG55" s="3919"/>
      <c r="FH55" s="3919"/>
      <c r="FI55" s="3919"/>
      <c r="FJ55" s="3919"/>
      <c r="FK55" s="3919"/>
      <c r="FL55" s="3919"/>
      <c r="FM55" s="3919"/>
      <c r="FN55" s="3919"/>
      <c r="FO55" s="3919"/>
      <c r="FP55" s="3919"/>
      <c r="FQ55" s="3919"/>
      <c r="FR55" s="3919"/>
      <c r="FS55" s="3919"/>
      <c r="FT55" s="3919"/>
      <c r="FU55" s="3919"/>
      <c r="FV55" s="3919"/>
      <c r="FW55" s="3919"/>
      <c r="FX55" s="3919"/>
      <c r="FY55" s="3919"/>
      <c r="FZ55" s="3919"/>
      <c r="GA55" s="3919"/>
      <c r="GB55" s="3919"/>
      <c r="GC55" s="3919"/>
      <c r="GD55" s="3919"/>
      <c r="GE55" s="3919"/>
      <c r="GF55" s="3919"/>
      <c r="GG55" s="3919"/>
      <c r="GH55" s="3919"/>
      <c r="GI55" s="3919"/>
      <c r="GJ55" s="3919"/>
      <c r="GK55" s="3919"/>
      <c r="GL55" s="3919"/>
      <c r="GM55" s="3919"/>
      <c r="GN55" s="3919"/>
      <c r="GO55" s="3919"/>
      <c r="GP55" s="3919"/>
      <c r="GQ55" s="3919"/>
      <c r="GR55" s="3919"/>
      <c r="GS55" s="3919"/>
      <c r="GT55" s="3919"/>
      <c r="GU55" s="3919"/>
      <c r="GV55" s="3919"/>
      <c r="GW55" s="3919"/>
      <c r="GX55" s="3919"/>
      <c r="GY55" s="3919"/>
      <c r="GZ55" s="3919"/>
      <c r="HA55" s="3919"/>
      <c r="HB55" s="3919"/>
      <c r="HC55" s="3919"/>
      <c r="HD55" s="3919"/>
      <c r="HE55" s="3919"/>
      <c r="HF55" s="3919"/>
      <c r="HG55" s="3919"/>
      <c r="HH55" s="3919"/>
      <c r="HI55" s="3919"/>
      <c r="HJ55" s="3919"/>
      <c r="HK55" s="3919"/>
      <c r="HL55" s="3919"/>
      <c r="HM55" s="3919"/>
      <c r="HN55" s="3919"/>
      <c r="HO55" s="3919"/>
      <c r="HP55" s="3919"/>
      <c r="HQ55" s="3919"/>
      <c r="HR55" s="3919"/>
      <c r="HS55" s="3919"/>
      <c r="HT55" s="3919"/>
      <c r="HU55" s="3919"/>
      <c r="HV55" s="3919"/>
      <c r="HW55" s="3919"/>
      <c r="HX55" s="3919"/>
      <c r="HY55" s="3919"/>
      <c r="HZ55" s="3919"/>
      <c r="IA55" s="3919"/>
      <c r="IB55" s="3919"/>
      <c r="IC55" s="3919"/>
      <c r="ID55" s="3919"/>
      <c r="IE55" s="3919"/>
      <c r="IF55" s="3919"/>
      <c r="IG55" s="3919"/>
      <c r="IH55" s="3919"/>
      <c r="II55" s="3919"/>
      <c r="IJ55" s="3919"/>
      <c r="IK55" s="3919"/>
      <c r="IL55" s="3919"/>
      <c r="IM55" s="3919"/>
      <c r="IN55" s="3919"/>
      <c r="IO55" s="3919"/>
      <c r="IP55" s="3919"/>
      <c r="IQ55" s="3919"/>
      <c r="IR55" s="3919"/>
      <c r="IS55" s="3919">
        <v>7860</v>
      </c>
      <c r="IT55" s="3919">
        <v>47029</v>
      </c>
      <c r="IU55" s="3919">
        <v>34413</v>
      </c>
      <c r="IV55" s="3919">
        <v>123000</v>
      </c>
      <c r="IW55" s="3919">
        <v>4249</v>
      </c>
      <c r="IX55" s="3919">
        <v>360579</v>
      </c>
      <c r="IY55" s="3919">
        <v>5963</v>
      </c>
      <c r="IZ55" s="3919">
        <v>16032</v>
      </c>
      <c r="JA55" s="3919">
        <v>23579</v>
      </c>
      <c r="JB55" s="3919"/>
      <c r="JC55" s="3919"/>
      <c r="JD55" s="3919"/>
      <c r="JE55" s="3919"/>
      <c r="JF55" s="3919"/>
      <c r="JG55" s="3318"/>
      <c r="JH55" s="1367"/>
      <c r="JI55" s="2925"/>
      <c r="JJ55" s="1566"/>
      <c r="JK55" s="1835"/>
      <c r="JL55" s="1835"/>
    </row>
    <row r="56" spans="1:272" x14ac:dyDescent="0.2">
      <c r="A56" s="3254">
        <v>55</v>
      </c>
      <c r="B56" s="1656" t="str">
        <f si="3" t="shared"/>
        <v/>
      </c>
      <c r="C56" s="3314" t="s">
        <v>7584</v>
      </c>
      <c r="D56" s="3315" t="s">
        <v>7588</v>
      </c>
      <c r="E56" s="3316"/>
      <c r="F56" s="3316"/>
      <c r="G56" s="3316"/>
      <c r="H56" s="3316"/>
      <c r="I56" s="3316"/>
      <c r="J56" s="3316"/>
      <c r="K56" s="3316"/>
      <c r="L56" s="3316"/>
      <c r="M56" s="3316"/>
      <c r="N56" s="3316"/>
      <c r="O56" s="3317"/>
      <c r="P56" s="3317"/>
      <c r="Q56" s="3317"/>
      <c r="R56" s="3317"/>
      <c r="S56" s="3317"/>
      <c r="T56" s="3919"/>
      <c r="U56" s="3919"/>
      <c r="V56" s="3919"/>
      <c r="W56" s="3919"/>
      <c r="X56" s="3919"/>
      <c r="Y56" s="3919"/>
      <c r="Z56" s="3919"/>
      <c r="AA56" s="3919"/>
      <c r="AB56" s="3919"/>
      <c r="AC56" s="3919"/>
      <c r="AD56" s="3919"/>
      <c r="AE56" s="3919"/>
      <c r="AF56" s="3919"/>
      <c r="AG56" s="3919"/>
      <c r="AH56" s="3919"/>
      <c r="AI56" s="3919"/>
      <c r="AJ56" s="3919"/>
      <c r="AK56" s="3919"/>
      <c r="AL56" s="3919"/>
      <c r="AM56" s="3919"/>
      <c r="AN56" s="3919"/>
      <c r="AO56" s="3919"/>
      <c r="AP56" s="3919"/>
      <c r="AQ56" s="3919"/>
      <c r="AR56" s="3919"/>
      <c r="AS56" s="3919"/>
      <c r="AT56" s="3919"/>
      <c r="AU56" s="3919"/>
      <c r="AV56" s="3919"/>
      <c r="AW56" s="3919"/>
      <c r="AX56" s="3919"/>
      <c r="AY56" s="3919"/>
      <c r="AZ56" s="3919"/>
      <c r="BA56" s="3919"/>
      <c r="BB56" s="3919"/>
      <c r="BC56" s="3919"/>
      <c r="BD56" s="3919"/>
      <c r="BE56" s="3919"/>
      <c r="BF56" s="3919"/>
      <c r="BG56" s="3316"/>
      <c r="BH56" s="3919"/>
      <c r="BI56" s="3919"/>
      <c r="BJ56" s="3919"/>
      <c r="BK56" s="3919"/>
      <c r="BL56" s="3919"/>
      <c r="BM56" s="3919"/>
      <c r="BN56" s="3919"/>
      <c r="BO56" s="3919"/>
      <c r="BP56" s="3919"/>
      <c r="BQ56" s="3919"/>
      <c r="BR56" s="3919"/>
      <c r="BS56" s="3919"/>
      <c r="BT56" s="3919"/>
      <c r="BU56" s="3919"/>
      <c r="BV56" s="3919"/>
      <c r="BW56" s="3919"/>
      <c r="BX56" s="3919"/>
      <c r="BY56" s="3919"/>
      <c r="BZ56" s="3919"/>
      <c r="CA56" s="3919"/>
      <c r="CB56" s="3919"/>
      <c r="CC56" s="3919"/>
      <c r="CD56" s="3919"/>
      <c r="CE56" s="3919"/>
      <c r="CF56" s="3919"/>
      <c r="CG56" s="3919"/>
      <c r="CH56" s="3919"/>
      <c r="CI56" s="3919"/>
      <c r="CJ56" s="3919"/>
      <c r="CK56" s="3919"/>
      <c r="CL56" s="3919"/>
      <c r="CM56" s="3919"/>
      <c r="CN56" s="3919"/>
      <c r="CO56" s="3919"/>
      <c r="CP56" s="3919"/>
      <c r="CQ56" s="3919"/>
      <c r="CR56" s="3919"/>
      <c r="CS56" s="3919"/>
      <c r="CT56" s="3919"/>
      <c r="CU56" s="3919"/>
      <c r="CV56" s="3919"/>
      <c r="CW56" s="3919"/>
      <c r="CX56" s="3919"/>
      <c r="CY56" s="3919"/>
      <c r="CZ56" s="3919"/>
      <c r="DA56" s="3919"/>
      <c r="DB56" s="3919"/>
      <c r="DC56" s="3919"/>
      <c r="DD56" s="3919"/>
      <c r="DE56" s="3919"/>
      <c r="DF56" s="3919"/>
      <c r="DG56" s="3919"/>
      <c r="DH56" s="3919"/>
      <c r="DI56" s="3919"/>
      <c r="DJ56" s="3919"/>
      <c r="DK56" s="3919"/>
      <c r="DL56" s="3919"/>
      <c r="DM56" s="3919"/>
      <c r="DN56" s="3919"/>
      <c r="DO56" s="3919"/>
      <c r="DP56" s="3919"/>
      <c r="DQ56" s="3919"/>
      <c r="DR56" s="3919"/>
      <c r="DS56" s="3919"/>
      <c r="DT56" s="3919"/>
      <c r="DU56" s="3919"/>
      <c r="DV56" s="3919"/>
      <c r="DW56" s="3919"/>
      <c r="DX56" s="3919"/>
      <c r="DY56" s="3919"/>
      <c r="DZ56" s="3919"/>
      <c r="EA56" s="3919"/>
      <c r="EB56" s="3919"/>
      <c r="EC56" s="3919"/>
      <c r="ED56" s="3919"/>
      <c r="EE56" s="3919"/>
      <c r="EF56" s="3919"/>
      <c r="EG56" s="3919"/>
      <c r="EH56" s="3919"/>
      <c r="EI56" s="3919"/>
      <c r="EJ56" s="3919"/>
      <c r="EK56" s="3919"/>
      <c r="EL56" s="3919"/>
      <c r="EM56" s="3919"/>
      <c r="EN56" s="3919"/>
      <c r="EO56" s="3919"/>
      <c r="EP56" s="3919"/>
      <c r="EQ56" s="3919"/>
      <c r="ER56" s="3919"/>
      <c r="ES56" s="3919"/>
      <c r="ET56" s="3919"/>
      <c r="EU56" s="3919"/>
      <c r="EV56" s="3919"/>
      <c r="EW56" s="3919"/>
      <c r="EX56" s="3919"/>
      <c r="EY56" s="3919"/>
      <c r="EZ56" s="3919"/>
      <c r="FA56" s="3919"/>
      <c r="FB56" s="3919"/>
      <c r="FC56" s="3919"/>
      <c r="FD56" s="3919"/>
      <c r="FE56" s="3919"/>
      <c r="FF56" s="3919"/>
      <c r="FG56" s="3919"/>
      <c r="FH56" s="3919"/>
      <c r="FI56" s="3919"/>
      <c r="FJ56" s="3919"/>
      <c r="FK56" s="3919"/>
      <c r="FL56" s="3919"/>
      <c r="FM56" s="3919"/>
      <c r="FN56" s="3919"/>
      <c r="FO56" s="3919"/>
      <c r="FP56" s="3919"/>
      <c r="FQ56" s="3919"/>
      <c r="FR56" s="3919"/>
      <c r="FS56" s="3919"/>
      <c r="FT56" s="3919"/>
      <c r="FU56" s="3919"/>
      <c r="FV56" s="3919"/>
      <c r="FW56" s="3919"/>
      <c r="FX56" s="3919"/>
      <c r="FY56" s="3919"/>
      <c r="FZ56" s="3919"/>
      <c r="GA56" s="3919"/>
      <c r="GB56" s="3919"/>
      <c r="GC56" s="3919"/>
      <c r="GD56" s="3919"/>
      <c r="GE56" s="3919"/>
      <c r="GF56" s="3919"/>
      <c r="GG56" s="3919"/>
      <c r="GH56" s="3919"/>
      <c r="GI56" s="3919"/>
      <c r="GJ56" s="3919"/>
      <c r="GK56" s="3919"/>
      <c r="GL56" s="3919"/>
      <c r="GM56" s="3919"/>
      <c r="GN56" s="3919"/>
      <c r="GO56" s="3919"/>
      <c r="GP56" s="3919"/>
      <c r="GQ56" s="3919"/>
      <c r="GR56" s="3919"/>
      <c r="GS56" s="3919"/>
      <c r="GT56" s="3919"/>
      <c r="GU56" s="3919"/>
      <c r="GV56" s="3919"/>
      <c r="GW56" s="3919"/>
      <c r="GX56" s="3919"/>
      <c r="GY56" s="3919"/>
      <c r="GZ56" s="3919"/>
      <c r="HA56" s="3919"/>
      <c r="HB56" s="3919"/>
      <c r="HC56" s="3919"/>
      <c r="HD56" s="3919"/>
      <c r="HE56" s="3919"/>
      <c r="HF56" s="3919"/>
      <c r="HG56" s="3919"/>
      <c r="HH56" s="3919"/>
      <c r="HI56" s="3919"/>
      <c r="HJ56" s="3919"/>
      <c r="HK56" s="3919"/>
      <c r="HL56" s="3919"/>
      <c r="HM56" s="3919"/>
      <c r="HN56" s="3919"/>
      <c r="HO56" s="3919"/>
      <c r="HP56" s="3919"/>
      <c r="HQ56" s="3919"/>
      <c r="HR56" s="3919"/>
      <c r="HS56" s="3919"/>
      <c r="HT56" s="3919"/>
      <c r="HU56" s="3919"/>
      <c r="HV56" s="3919"/>
      <c r="HW56" s="3919"/>
      <c r="HX56" s="3919"/>
      <c r="HY56" s="3919"/>
      <c r="HZ56" s="3919"/>
      <c r="IA56" s="3919"/>
      <c r="IB56" s="3919"/>
      <c r="IC56" s="3919"/>
      <c r="ID56" s="3919"/>
      <c r="IE56" s="3919"/>
      <c r="IF56" s="3919"/>
      <c r="IG56" s="3919"/>
      <c r="IH56" s="3919"/>
      <c r="II56" s="3919"/>
      <c r="IJ56" s="3919"/>
      <c r="IK56" s="3919"/>
      <c r="IL56" s="3919"/>
      <c r="IM56" s="3919"/>
      <c r="IN56" s="3919"/>
      <c r="IO56" s="3919"/>
      <c r="IP56" s="3919"/>
      <c r="IQ56" s="3919"/>
      <c r="IR56" s="3919"/>
      <c r="IS56" s="3919">
        <v>10316</v>
      </c>
      <c r="IT56" s="3919">
        <v>22106</v>
      </c>
      <c r="IU56" s="3919">
        <v>35767</v>
      </c>
      <c r="IV56" s="3919">
        <v>236000</v>
      </c>
      <c r="IW56" s="3919">
        <v>6833</v>
      </c>
      <c r="IX56" s="3919">
        <v>5000</v>
      </c>
      <c r="IY56" s="3919"/>
      <c r="IZ56" s="3919">
        <v>20975</v>
      </c>
      <c r="JA56" s="3919"/>
      <c r="JB56" s="3919">
        <v>27500</v>
      </c>
      <c r="JC56" s="3919"/>
      <c r="JD56" s="3919"/>
      <c r="JE56" s="3919"/>
      <c r="JF56" s="3919"/>
      <c r="JG56" s="3318"/>
      <c r="JH56" s="1367"/>
      <c r="JI56" s="2925"/>
      <c r="JJ56" s="1566"/>
      <c r="JK56" s="1835"/>
      <c r="JL56" s="1835"/>
    </row>
    <row r="57" spans="1:272" x14ac:dyDescent="0.2">
      <c r="A57" s="3254">
        <v>56</v>
      </c>
      <c r="B57" s="1656" t="str">
        <f si="3" t="shared"/>
        <v/>
      </c>
      <c r="C57" s="3314" t="s">
        <v>7585</v>
      </c>
      <c r="D57" s="3315" t="s">
        <v>7589</v>
      </c>
      <c r="E57" s="3316"/>
      <c r="F57" s="3316"/>
      <c r="G57" s="3316"/>
      <c r="H57" s="3316"/>
      <c r="I57" s="3316"/>
      <c r="J57" s="3316"/>
      <c r="K57" s="3316"/>
      <c r="L57" s="3316"/>
      <c r="M57" s="3316"/>
      <c r="N57" s="3316"/>
      <c r="O57" s="3317"/>
      <c r="P57" s="3317"/>
      <c r="Q57" s="3317"/>
      <c r="R57" s="3317"/>
      <c r="S57" s="3317"/>
      <c r="T57" s="3919"/>
      <c r="U57" s="3919"/>
      <c r="V57" s="3919"/>
      <c r="W57" s="3919"/>
      <c r="X57" s="3919"/>
      <c r="Y57" s="3919"/>
      <c r="Z57" s="3919"/>
      <c r="AA57" s="3919"/>
      <c r="AB57" s="3919"/>
      <c r="AC57" s="3919"/>
      <c r="AD57" s="3919"/>
      <c r="AE57" s="3919"/>
      <c r="AF57" s="3919"/>
      <c r="AG57" s="3919"/>
      <c r="AH57" s="3919"/>
      <c r="AI57" s="3919"/>
      <c r="AJ57" s="3919"/>
      <c r="AK57" s="3919"/>
      <c r="AL57" s="3919"/>
      <c r="AM57" s="3919"/>
      <c r="AN57" s="3919"/>
      <c r="AO57" s="3919"/>
      <c r="AP57" s="3919"/>
      <c r="AQ57" s="3919"/>
      <c r="AR57" s="3919"/>
      <c r="AS57" s="3919"/>
      <c r="AT57" s="3919"/>
      <c r="AU57" s="3919"/>
      <c r="AV57" s="3919"/>
      <c r="AW57" s="3919"/>
      <c r="AX57" s="3919"/>
      <c r="AY57" s="3919"/>
      <c r="AZ57" s="3919"/>
      <c r="BA57" s="3919"/>
      <c r="BB57" s="3919"/>
      <c r="BC57" s="3919"/>
      <c r="BD57" s="3919"/>
      <c r="BE57" s="3919"/>
      <c r="BF57" s="3919"/>
      <c r="BG57" s="3316"/>
      <c r="BH57" s="3919"/>
      <c r="BI57" s="3919"/>
      <c r="BJ57" s="3919"/>
      <c r="BK57" s="3919"/>
      <c r="BL57" s="3919"/>
      <c r="BM57" s="3919"/>
      <c r="BN57" s="3919"/>
      <c r="BO57" s="3919"/>
      <c r="BP57" s="3919"/>
      <c r="BQ57" s="3919"/>
      <c r="BR57" s="3919"/>
      <c r="BS57" s="3919"/>
      <c r="BT57" s="3919"/>
      <c r="BU57" s="3919"/>
      <c r="BV57" s="3919"/>
      <c r="BW57" s="3919"/>
      <c r="BX57" s="3919"/>
      <c r="BY57" s="3919"/>
      <c r="BZ57" s="3919"/>
      <c r="CA57" s="3919"/>
      <c r="CB57" s="3919"/>
      <c r="CC57" s="3919"/>
      <c r="CD57" s="3919"/>
      <c r="CE57" s="3919"/>
      <c r="CF57" s="3919"/>
      <c r="CG57" s="3919"/>
      <c r="CH57" s="3919"/>
      <c r="CI57" s="3919"/>
      <c r="CJ57" s="3919"/>
      <c r="CK57" s="3919"/>
      <c r="CL57" s="3919"/>
      <c r="CM57" s="3919"/>
      <c r="CN57" s="3919"/>
      <c r="CO57" s="3919"/>
      <c r="CP57" s="3919"/>
      <c r="CQ57" s="3919"/>
      <c r="CR57" s="3919"/>
      <c r="CS57" s="3919"/>
      <c r="CT57" s="3919"/>
      <c r="CU57" s="3919"/>
      <c r="CV57" s="3919"/>
      <c r="CW57" s="3919"/>
      <c r="CX57" s="3919"/>
      <c r="CY57" s="3919"/>
      <c r="CZ57" s="3919"/>
      <c r="DA57" s="3919"/>
      <c r="DB57" s="3919"/>
      <c r="DC57" s="3919"/>
      <c r="DD57" s="3919"/>
      <c r="DE57" s="3919"/>
      <c r="DF57" s="3919"/>
      <c r="DG57" s="3919"/>
      <c r="DH57" s="3919"/>
      <c r="DI57" s="3919"/>
      <c r="DJ57" s="3919"/>
      <c r="DK57" s="3919"/>
      <c r="DL57" s="3919"/>
      <c r="DM57" s="3919"/>
      <c r="DN57" s="3919"/>
      <c r="DO57" s="3919"/>
      <c r="DP57" s="3919"/>
      <c r="DQ57" s="3919"/>
      <c r="DR57" s="3919"/>
      <c r="DS57" s="3919"/>
      <c r="DT57" s="3919"/>
      <c r="DU57" s="3919"/>
      <c r="DV57" s="3919"/>
      <c r="DW57" s="3919"/>
      <c r="DX57" s="3919"/>
      <c r="DY57" s="3919"/>
      <c r="DZ57" s="3919"/>
      <c r="EA57" s="3919"/>
      <c r="EB57" s="3919"/>
      <c r="EC57" s="3919"/>
      <c r="ED57" s="3919"/>
      <c r="EE57" s="3919"/>
      <c r="EF57" s="3919"/>
      <c r="EG57" s="3919"/>
      <c r="EH57" s="3919"/>
      <c r="EI57" s="3919"/>
      <c r="EJ57" s="3919"/>
      <c r="EK57" s="3919"/>
      <c r="EL57" s="3919"/>
      <c r="EM57" s="3919"/>
      <c r="EN57" s="3919"/>
      <c r="EO57" s="3919"/>
      <c r="EP57" s="3919"/>
      <c r="EQ57" s="3919"/>
      <c r="ER57" s="3919"/>
      <c r="ES57" s="3919"/>
      <c r="ET57" s="3919"/>
      <c r="EU57" s="3919"/>
      <c r="EV57" s="3919"/>
      <c r="EW57" s="3919"/>
      <c r="EX57" s="3919"/>
      <c r="EY57" s="3919"/>
      <c r="EZ57" s="3919"/>
      <c r="FA57" s="3919"/>
      <c r="FB57" s="3919"/>
      <c r="FC57" s="3919"/>
      <c r="FD57" s="3919"/>
      <c r="FE57" s="3919"/>
      <c r="FF57" s="3919"/>
      <c r="FG57" s="3919"/>
      <c r="FH57" s="3919"/>
      <c r="FI57" s="3919"/>
      <c r="FJ57" s="3919"/>
      <c r="FK57" s="3919"/>
      <c r="FL57" s="3919"/>
      <c r="FM57" s="3919"/>
      <c r="FN57" s="3919"/>
      <c r="FO57" s="3919"/>
      <c r="FP57" s="3919"/>
      <c r="FQ57" s="3919"/>
      <c r="FR57" s="3919"/>
      <c r="FS57" s="3919"/>
      <c r="FT57" s="3919"/>
      <c r="FU57" s="3919"/>
      <c r="FV57" s="3919"/>
      <c r="FW57" s="3919"/>
      <c r="FX57" s="3919"/>
      <c r="FY57" s="3919"/>
      <c r="FZ57" s="3919"/>
      <c r="GA57" s="3919"/>
      <c r="GB57" s="3919"/>
      <c r="GC57" s="3919"/>
      <c r="GD57" s="3919"/>
      <c r="GE57" s="3919"/>
      <c r="GF57" s="3919"/>
      <c r="GG57" s="3919"/>
      <c r="GH57" s="3919"/>
      <c r="GI57" s="3919"/>
      <c r="GJ57" s="3919"/>
      <c r="GK57" s="3919"/>
      <c r="GL57" s="3919"/>
      <c r="GM57" s="3919"/>
      <c r="GN57" s="3919"/>
      <c r="GO57" s="3919"/>
      <c r="GP57" s="3919"/>
      <c r="GQ57" s="3919"/>
      <c r="GR57" s="3919"/>
      <c r="GS57" s="3919"/>
      <c r="GT57" s="3919"/>
      <c r="GU57" s="3919"/>
      <c r="GV57" s="3919"/>
      <c r="GW57" s="3919"/>
      <c r="GX57" s="3919"/>
      <c r="GY57" s="3919"/>
      <c r="GZ57" s="3919"/>
      <c r="HA57" s="3919"/>
      <c r="HB57" s="3919"/>
      <c r="HC57" s="3919"/>
      <c r="HD57" s="3919"/>
      <c r="HE57" s="3919"/>
      <c r="HF57" s="3919"/>
      <c r="HG57" s="3919"/>
      <c r="HH57" s="3919"/>
      <c r="HI57" s="3919"/>
      <c r="HJ57" s="3919"/>
      <c r="HK57" s="3919"/>
      <c r="HL57" s="3919"/>
      <c r="HM57" s="3919"/>
      <c r="HN57" s="3919"/>
      <c r="HO57" s="3919"/>
      <c r="HP57" s="3919"/>
      <c r="HQ57" s="3919"/>
      <c r="HR57" s="3919"/>
      <c r="HS57" s="3919"/>
      <c r="HT57" s="3919"/>
      <c r="HU57" s="3919"/>
      <c r="HV57" s="3919"/>
      <c r="HW57" s="3919"/>
      <c r="HX57" s="3919"/>
      <c r="HY57" s="3919"/>
      <c r="HZ57" s="3919"/>
      <c r="IA57" s="3919"/>
      <c r="IB57" s="3919"/>
      <c r="IC57" s="3919"/>
      <c r="ID57" s="3919"/>
      <c r="IE57" s="3919"/>
      <c r="IF57" s="3919"/>
      <c r="IG57" s="3919"/>
      <c r="IH57" s="3919"/>
      <c r="II57" s="3919"/>
      <c r="IJ57" s="3919"/>
      <c r="IK57" s="3919"/>
      <c r="IL57" s="3919"/>
      <c r="IM57" s="3919"/>
      <c r="IN57" s="3919"/>
      <c r="IO57" s="3919"/>
      <c r="IP57" s="3919"/>
      <c r="IQ57" s="3919"/>
      <c r="IR57" s="3919"/>
      <c r="IS57" s="3919"/>
      <c r="IT57" s="3919"/>
      <c r="IU57" s="3919"/>
      <c r="IV57" s="3919" t="s">
        <v>572</v>
      </c>
      <c r="IW57" s="3919"/>
      <c r="IX57" s="3919"/>
      <c r="IY57" s="3919"/>
      <c r="IZ57" s="3919"/>
      <c r="JA57" s="3919"/>
      <c r="JB57" s="3919"/>
      <c r="JC57" s="3919"/>
      <c r="JD57" s="3919"/>
      <c r="JE57" s="3919"/>
      <c r="JF57" s="3919"/>
      <c r="JG57" s="3318"/>
      <c r="JH57" s="1367"/>
      <c r="JI57" s="2925"/>
      <c r="JJ57" s="1566"/>
      <c r="JK57" s="1835"/>
      <c r="JL57" s="1835"/>
    </row>
    <row r="58" spans="1:272" x14ac:dyDescent="0.2">
      <c r="A58" s="3254">
        <v>57</v>
      </c>
      <c r="B58" s="1656" t="str">
        <f si="3" t="shared"/>
        <v/>
      </c>
      <c r="C58" s="3314" t="s">
        <v>7586</v>
      </c>
      <c r="D58" s="3315" t="s">
        <v>7591</v>
      </c>
      <c r="E58" s="3316"/>
      <c r="F58" s="3316"/>
      <c r="G58" s="3316"/>
      <c r="H58" s="3316"/>
      <c r="I58" s="3316"/>
      <c r="J58" s="3316"/>
      <c r="K58" s="3316"/>
      <c r="L58" s="3316"/>
      <c r="M58" s="3316"/>
      <c r="N58" s="3316"/>
      <c r="O58" s="3317"/>
      <c r="P58" s="3317"/>
      <c r="Q58" s="3317"/>
      <c r="R58" s="3317"/>
      <c r="S58" s="3317"/>
      <c r="T58" s="3919"/>
      <c r="U58" s="3919"/>
      <c r="V58" s="3919"/>
      <c r="W58" s="3919"/>
      <c r="X58" s="3919"/>
      <c r="Y58" s="3919"/>
      <c r="Z58" s="3919"/>
      <c r="AA58" s="3919"/>
      <c r="AB58" s="3919"/>
      <c r="AC58" s="3919"/>
      <c r="AD58" s="3919"/>
      <c r="AE58" s="3919"/>
      <c r="AF58" s="3919"/>
      <c r="AG58" s="3919"/>
      <c r="AH58" s="3919"/>
      <c r="AI58" s="3919"/>
      <c r="AJ58" s="3919"/>
      <c r="AK58" s="3919"/>
      <c r="AL58" s="3919"/>
      <c r="AM58" s="3919"/>
      <c r="AN58" s="3919"/>
      <c r="AO58" s="3919"/>
      <c r="AP58" s="3919"/>
      <c r="AQ58" s="3919"/>
      <c r="AR58" s="3919"/>
      <c r="AS58" s="3919"/>
      <c r="AT58" s="3919"/>
      <c r="AU58" s="3919"/>
      <c r="AV58" s="3919"/>
      <c r="AW58" s="3919"/>
      <c r="AX58" s="3919"/>
      <c r="AY58" s="3919"/>
      <c r="AZ58" s="3919"/>
      <c r="BA58" s="3919"/>
      <c r="BB58" s="3919"/>
      <c r="BC58" s="3919"/>
      <c r="BD58" s="3919"/>
      <c r="BE58" s="3919"/>
      <c r="BF58" s="3919"/>
      <c r="BG58" s="3316"/>
      <c r="BH58" s="3919"/>
      <c r="BI58" s="3919"/>
      <c r="BJ58" s="3919"/>
      <c r="BK58" s="3919"/>
      <c r="BL58" s="3919"/>
      <c r="BM58" s="3919"/>
      <c r="BN58" s="3919"/>
      <c r="BO58" s="3919"/>
      <c r="BP58" s="3919"/>
      <c r="BQ58" s="3919"/>
      <c r="BR58" s="3919"/>
      <c r="BS58" s="3919"/>
      <c r="BT58" s="3919"/>
      <c r="BU58" s="3919"/>
      <c r="BV58" s="3919"/>
      <c r="BW58" s="3919"/>
      <c r="BX58" s="3919"/>
      <c r="BY58" s="3919"/>
      <c r="BZ58" s="3919"/>
      <c r="CA58" s="3919"/>
      <c r="CB58" s="3919"/>
      <c r="CC58" s="3919"/>
      <c r="CD58" s="3919"/>
      <c r="CE58" s="3919"/>
      <c r="CF58" s="3919"/>
      <c r="CG58" s="3919"/>
      <c r="CH58" s="3919"/>
      <c r="CI58" s="3919"/>
      <c r="CJ58" s="3919"/>
      <c r="CK58" s="3919"/>
      <c r="CL58" s="3919"/>
      <c r="CM58" s="3919"/>
      <c r="CN58" s="3919"/>
      <c r="CO58" s="3919"/>
      <c r="CP58" s="3919"/>
      <c r="CQ58" s="3919"/>
      <c r="CR58" s="3919"/>
      <c r="CS58" s="3919"/>
      <c r="CT58" s="3919"/>
      <c r="CU58" s="3919"/>
      <c r="CV58" s="3919"/>
      <c r="CW58" s="3919"/>
      <c r="CX58" s="3919"/>
      <c r="CY58" s="3919"/>
      <c r="CZ58" s="3919"/>
      <c r="DA58" s="3919"/>
      <c r="DB58" s="3919"/>
      <c r="DC58" s="3919"/>
      <c r="DD58" s="3919"/>
      <c r="DE58" s="3919"/>
      <c r="DF58" s="3919"/>
      <c r="DG58" s="3919"/>
      <c r="DH58" s="3919"/>
      <c r="DI58" s="3919"/>
      <c r="DJ58" s="3919"/>
      <c r="DK58" s="3919"/>
      <c r="DL58" s="3919"/>
      <c r="DM58" s="3919"/>
      <c r="DN58" s="3919"/>
      <c r="DO58" s="3919"/>
      <c r="DP58" s="3919"/>
      <c r="DQ58" s="3919"/>
      <c r="DR58" s="3919"/>
      <c r="DS58" s="3919"/>
      <c r="DT58" s="3919"/>
      <c r="DU58" s="3919"/>
      <c r="DV58" s="3919"/>
      <c r="DW58" s="3919"/>
      <c r="DX58" s="3919"/>
      <c r="DY58" s="3919"/>
      <c r="DZ58" s="3919"/>
      <c r="EA58" s="3919"/>
      <c r="EB58" s="3919"/>
      <c r="EC58" s="3919"/>
      <c r="ED58" s="3919"/>
      <c r="EE58" s="3919"/>
      <c r="EF58" s="3919"/>
      <c r="EG58" s="3919"/>
      <c r="EH58" s="3919"/>
      <c r="EI58" s="3919"/>
      <c r="EJ58" s="3919"/>
      <c r="EK58" s="3919"/>
      <c r="EL58" s="3919"/>
      <c r="EM58" s="3919"/>
      <c r="EN58" s="3919"/>
      <c r="EO58" s="3919"/>
      <c r="EP58" s="3919"/>
      <c r="EQ58" s="3919"/>
      <c r="ER58" s="3919"/>
      <c r="ES58" s="3919"/>
      <c r="ET58" s="3919"/>
      <c r="EU58" s="3919"/>
      <c r="EV58" s="3919"/>
      <c r="EW58" s="3919"/>
      <c r="EX58" s="3919"/>
      <c r="EY58" s="3919"/>
      <c r="EZ58" s="3919"/>
      <c r="FA58" s="3919"/>
      <c r="FB58" s="3919"/>
      <c r="FC58" s="3919"/>
      <c r="FD58" s="3919"/>
      <c r="FE58" s="3919"/>
      <c r="FF58" s="3919"/>
      <c r="FG58" s="3919"/>
      <c r="FH58" s="3919"/>
      <c r="FI58" s="3919"/>
      <c r="FJ58" s="3919"/>
      <c r="FK58" s="3919"/>
      <c r="FL58" s="3919"/>
      <c r="FM58" s="3919"/>
      <c r="FN58" s="3919"/>
      <c r="FO58" s="3919"/>
      <c r="FP58" s="3919"/>
      <c r="FQ58" s="3919"/>
      <c r="FR58" s="3919"/>
      <c r="FS58" s="3919"/>
      <c r="FT58" s="3919"/>
      <c r="FU58" s="3919"/>
      <c r="FV58" s="3919"/>
      <c r="FW58" s="3919"/>
      <c r="FX58" s="3919"/>
      <c r="FY58" s="3919"/>
      <c r="FZ58" s="3919"/>
      <c r="GA58" s="3919"/>
      <c r="GB58" s="3919"/>
      <c r="GC58" s="3919"/>
      <c r="GD58" s="3919"/>
      <c r="GE58" s="3919"/>
      <c r="GF58" s="3919"/>
      <c r="GG58" s="3919"/>
      <c r="GH58" s="3919"/>
      <c r="GI58" s="3919"/>
      <c r="GJ58" s="3919"/>
      <c r="GK58" s="3919"/>
      <c r="GL58" s="3919"/>
      <c r="GM58" s="3919"/>
      <c r="GN58" s="3919"/>
      <c r="GO58" s="3919"/>
      <c r="GP58" s="3919"/>
      <c r="GQ58" s="3919"/>
      <c r="GR58" s="3919"/>
      <c r="GS58" s="3919"/>
      <c r="GT58" s="3919"/>
      <c r="GU58" s="3919"/>
      <c r="GV58" s="3919"/>
      <c r="GW58" s="3919"/>
      <c r="GX58" s="3919"/>
      <c r="GY58" s="3919"/>
      <c r="GZ58" s="3919"/>
      <c r="HA58" s="3919"/>
      <c r="HB58" s="3919"/>
      <c r="HC58" s="3919"/>
      <c r="HD58" s="3919"/>
      <c r="HE58" s="3919"/>
      <c r="HF58" s="3919"/>
      <c r="HG58" s="3919"/>
      <c r="HH58" s="3919"/>
      <c r="HI58" s="3919"/>
      <c r="HJ58" s="3919"/>
      <c r="HK58" s="3919"/>
      <c r="HL58" s="3919"/>
      <c r="HM58" s="3919"/>
      <c r="HN58" s="3919"/>
      <c r="HO58" s="3919"/>
      <c r="HP58" s="3919"/>
      <c r="HQ58" s="3919"/>
      <c r="HR58" s="3919"/>
      <c r="HS58" s="3919"/>
      <c r="HT58" s="3919"/>
      <c r="HU58" s="3919"/>
      <c r="HV58" s="3919"/>
      <c r="HW58" s="3919"/>
      <c r="HX58" s="3919"/>
      <c r="HY58" s="3919"/>
      <c r="HZ58" s="3919"/>
      <c r="IA58" s="3919"/>
      <c r="IB58" s="3919"/>
      <c r="IC58" s="3919"/>
      <c r="ID58" s="3919"/>
      <c r="IE58" s="3919"/>
      <c r="IF58" s="3919"/>
      <c r="IG58" s="3919"/>
      <c r="IH58" s="3919"/>
      <c r="II58" s="3919"/>
      <c r="IJ58" s="3919"/>
      <c r="IK58" s="3919"/>
      <c r="IL58" s="3919"/>
      <c r="IM58" s="3919"/>
      <c r="IN58" s="3919"/>
      <c r="IO58" s="3919"/>
      <c r="IP58" s="3919"/>
      <c r="IQ58" s="3919"/>
      <c r="IR58" s="3919"/>
      <c r="IS58" s="3919">
        <v>438</v>
      </c>
      <c r="IT58" s="3919"/>
      <c r="IU58" s="3919">
        <v>3057</v>
      </c>
      <c r="IV58" s="3919"/>
      <c r="IW58" s="3919">
        <v>120</v>
      </c>
      <c r="IX58" s="3919"/>
      <c r="IY58" s="3919"/>
      <c r="IZ58" s="3919">
        <v>470</v>
      </c>
      <c r="JA58" s="3919">
        <v>1328</v>
      </c>
      <c r="JB58" s="3919"/>
      <c r="JC58" s="3919"/>
      <c r="JD58" s="3919"/>
      <c r="JE58" s="3919"/>
      <c r="JF58" s="3919"/>
      <c r="JG58" s="3318"/>
      <c r="JH58" s="1367"/>
      <c r="JI58" s="2925"/>
      <c r="JJ58" s="1566"/>
      <c r="JK58" s="1835"/>
      <c r="JL58" s="1835"/>
    </row>
    <row r="59" spans="1:272" x14ac:dyDescent="0.2">
      <c r="A59" s="3254">
        <v>58</v>
      </c>
      <c r="B59" s="1656" t="str">
        <f si="3" t="shared"/>
        <v/>
      </c>
      <c r="C59" s="3314" t="s">
        <v>7590</v>
      </c>
      <c r="D59" s="3315" t="s">
        <v>7592</v>
      </c>
      <c r="E59" s="3316"/>
      <c r="F59" s="3316"/>
      <c r="G59" s="3316"/>
      <c r="H59" s="3316"/>
      <c r="I59" s="3316"/>
      <c r="J59" s="3316"/>
      <c r="K59" s="3316"/>
      <c r="L59" s="3316"/>
      <c r="M59" s="3316"/>
      <c r="N59" s="3316"/>
      <c r="O59" s="3317"/>
      <c r="P59" s="3317"/>
      <c r="Q59" s="3317"/>
      <c r="R59" s="3317"/>
      <c r="S59" s="3317"/>
      <c r="T59" s="3919"/>
      <c r="U59" s="3919"/>
      <c r="V59" s="3919"/>
      <c r="W59" s="3919"/>
      <c r="X59" s="3919"/>
      <c r="Y59" s="3919"/>
      <c r="Z59" s="3919"/>
      <c r="AA59" s="3919"/>
      <c r="AB59" s="3919"/>
      <c r="AC59" s="3919"/>
      <c r="AD59" s="3919"/>
      <c r="AE59" s="3919"/>
      <c r="AF59" s="3919"/>
      <c r="AG59" s="3919"/>
      <c r="AH59" s="3919"/>
      <c r="AI59" s="3919"/>
      <c r="AJ59" s="3919"/>
      <c r="AK59" s="3919"/>
      <c r="AL59" s="3919"/>
      <c r="AM59" s="3919"/>
      <c r="AN59" s="3919"/>
      <c r="AO59" s="3919"/>
      <c r="AP59" s="3919"/>
      <c r="AQ59" s="3919"/>
      <c r="AR59" s="3919"/>
      <c r="AS59" s="3919"/>
      <c r="AT59" s="3919"/>
      <c r="AU59" s="3919"/>
      <c r="AV59" s="3919"/>
      <c r="AW59" s="3919"/>
      <c r="AX59" s="3919"/>
      <c r="AY59" s="3919"/>
      <c r="AZ59" s="3919"/>
      <c r="BA59" s="3919"/>
      <c r="BB59" s="3919"/>
      <c r="BC59" s="3919"/>
      <c r="BD59" s="3919"/>
      <c r="BE59" s="3919"/>
      <c r="BF59" s="3919"/>
      <c r="BG59" s="3316"/>
      <c r="BH59" s="3919"/>
      <c r="BI59" s="3919"/>
      <c r="BJ59" s="3919"/>
      <c r="BK59" s="3919"/>
      <c r="BL59" s="3919"/>
      <c r="BM59" s="3919"/>
      <c r="BN59" s="3919"/>
      <c r="BO59" s="3919"/>
      <c r="BP59" s="3919"/>
      <c r="BQ59" s="3919"/>
      <c r="BR59" s="3919"/>
      <c r="BS59" s="3919"/>
      <c r="BT59" s="3919"/>
      <c r="BU59" s="3919"/>
      <c r="BV59" s="3919"/>
      <c r="BW59" s="3919"/>
      <c r="BX59" s="3919"/>
      <c r="BY59" s="3919"/>
      <c r="BZ59" s="3919"/>
      <c r="CA59" s="3919"/>
      <c r="CB59" s="3919"/>
      <c r="CC59" s="3919"/>
      <c r="CD59" s="3919"/>
      <c r="CE59" s="3919"/>
      <c r="CF59" s="3919"/>
      <c r="CG59" s="3919"/>
      <c r="CH59" s="3919"/>
      <c r="CI59" s="3919"/>
      <c r="CJ59" s="3919"/>
      <c r="CK59" s="3919"/>
      <c r="CL59" s="3919"/>
      <c r="CM59" s="3919"/>
      <c r="CN59" s="3919"/>
      <c r="CO59" s="3919"/>
      <c r="CP59" s="3919"/>
      <c r="CQ59" s="3919"/>
      <c r="CR59" s="3919"/>
      <c r="CS59" s="3919"/>
      <c r="CT59" s="3919"/>
      <c r="CU59" s="3919"/>
      <c r="CV59" s="3919"/>
      <c r="CW59" s="3919"/>
      <c r="CX59" s="3919"/>
      <c r="CY59" s="3919"/>
      <c r="CZ59" s="3919"/>
      <c r="DA59" s="3919"/>
      <c r="DB59" s="3919"/>
      <c r="DC59" s="3919"/>
      <c r="DD59" s="3919"/>
      <c r="DE59" s="3919"/>
      <c r="DF59" s="3919"/>
      <c r="DG59" s="3919"/>
      <c r="DH59" s="3919"/>
      <c r="DI59" s="3919"/>
      <c r="DJ59" s="3919"/>
      <c r="DK59" s="3919"/>
      <c r="DL59" s="3919"/>
      <c r="DM59" s="3919"/>
      <c r="DN59" s="3919"/>
      <c r="DO59" s="3919"/>
      <c r="DP59" s="3919"/>
      <c r="DQ59" s="3919"/>
      <c r="DR59" s="3919"/>
      <c r="DS59" s="3919"/>
      <c r="DT59" s="3919"/>
      <c r="DU59" s="3919"/>
      <c r="DV59" s="3919"/>
      <c r="DW59" s="3919"/>
      <c r="DX59" s="3919"/>
      <c r="DY59" s="3919"/>
      <c r="DZ59" s="3919"/>
      <c r="EA59" s="3919"/>
      <c r="EB59" s="3919"/>
      <c r="EC59" s="3919"/>
      <c r="ED59" s="3919"/>
      <c r="EE59" s="3919"/>
      <c r="EF59" s="3919"/>
      <c r="EG59" s="3919"/>
      <c r="EH59" s="3919"/>
      <c r="EI59" s="3919"/>
      <c r="EJ59" s="3919"/>
      <c r="EK59" s="3919"/>
      <c r="EL59" s="3919"/>
      <c r="EM59" s="3919"/>
      <c r="EN59" s="3919"/>
      <c r="EO59" s="3919"/>
      <c r="EP59" s="3919"/>
      <c r="EQ59" s="3919"/>
      <c r="ER59" s="3919"/>
      <c r="ES59" s="3919"/>
      <c r="ET59" s="3919"/>
      <c r="EU59" s="3919"/>
      <c r="EV59" s="3919"/>
      <c r="EW59" s="3919"/>
      <c r="EX59" s="3919"/>
      <c r="EY59" s="3919"/>
      <c r="EZ59" s="3919"/>
      <c r="FA59" s="3919"/>
      <c r="FB59" s="3919"/>
      <c r="FC59" s="3919"/>
      <c r="FD59" s="3919"/>
      <c r="FE59" s="3919"/>
      <c r="FF59" s="3919"/>
      <c r="FG59" s="3919"/>
      <c r="FH59" s="3919"/>
      <c r="FI59" s="3919"/>
      <c r="FJ59" s="3919"/>
      <c r="FK59" s="3919"/>
      <c r="FL59" s="3919"/>
      <c r="FM59" s="3919"/>
      <c r="FN59" s="3919"/>
      <c r="FO59" s="3919"/>
      <c r="FP59" s="3919"/>
      <c r="FQ59" s="3919"/>
      <c r="FR59" s="3919"/>
      <c r="FS59" s="3919"/>
      <c r="FT59" s="3919"/>
      <c r="FU59" s="3919"/>
      <c r="FV59" s="3919"/>
      <c r="FW59" s="3919"/>
      <c r="FX59" s="3919"/>
      <c r="FY59" s="3919"/>
      <c r="FZ59" s="3919"/>
      <c r="GA59" s="3919"/>
      <c r="GB59" s="3919"/>
      <c r="GC59" s="3919"/>
      <c r="GD59" s="3919"/>
      <c r="GE59" s="3919"/>
      <c r="GF59" s="3919"/>
      <c r="GG59" s="3919"/>
      <c r="GH59" s="3919"/>
      <c r="GI59" s="3919"/>
      <c r="GJ59" s="3919"/>
      <c r="GK59" s="3919"/>
      <c r="GL59" s="3919"/>
      <c r="GM59" s="3919"/>
      <c r="GN59" s="3919"/>
      <c r="GO59" s="3919"/>
      <c r="GP59" s="3919"/>
      <c r="GQ59" s="3919"/>
      <c r="GR59" s="3919"/>
      <c r="GS59" s="3919"/>
      <c r="GT59" s="3919"/>
      <c r="GU59" s="3919"/>
      <c r="GV59" s="3919"/>
      <c r="GW59" s="3919"/>
      <c r="GX59" s="3919"/>
      <c r="GY59" s="3919"/>
      <c r="GZ59" s="3919"/>
      <c r="HA59" s="3919"/>
      <c r="HB59" s="3919"/>
      <c r="HC59" s="3919"/>
      <c r="HD59" s="3919"/>
      <c r="HE59" s="3919"/>
      <c r="HF59" s="3919"/>
      <c r="HG59" s="3919"/>
      <c r="HH59" s="3919"/>
      <c r="HI59" s="3919"/>
      <c r="HJ59" s="3919"/>
      <c r="HK59" s="3919"/>
      <c r="HL59" s="3919"/>
      <c r="HM59" s="3919"/>
      <c r="HN59" s="3919"/>
      <c r="HO59" s="3919"/>
      <c r="HP59" s="3919"/>
      <c r="HQ59" s="3919"/>
      <c r="HR59" s="3919"/>
      <c r="HS59" s="3919"/>
      <c r="HT59" s="3919"/>
      <c r="HU59" s="3919"/>
      <c r="HV59" s="3919"/>
      <c r="HW59" s="3919"/>
      <c r="HX59" s="3919"/>
      <c r="HY59" s="3919"/>
      <c r="HZ59" s="3919"/>
      <c r="IA59" s="3919"/>
      <c r="IB59" s="3919"/>
      <c r="IC59" s="3919"/>
      <c r="ID59" s="3919"/>
      <c r="IE59" s="3919"/>
      <c r="IF59" s="3919"/>
      <c r="IG59" s="3919"/>
      <c r="IH59" s="3919"/>
      <c r="II59" s="3919"/>
      <c r="IJ59" s="3919"/>
      <c r="IK59" s="3919"/>
      <c r="IL59" s="3919"/>
      <c r="IM59" s="3919"/>
      <c r="IN59" s="3919"/>
      <c r="IO59" s="3919"/>
      <c r="IP59" s="3919"/>
      <c r="IQ59" s="3919"/>
      <c r="IR59" s="3919"/>
      <c r="IS59" s="3919"/>
      <c r="IT59" s="3919"/>
      <c r="IU59" s="3919">
        <v>5432</v>
      </c>
      <c r="IV59" s="3919"/>
      <c r="IW59" s="3919"/>
      <c r="IX59" s="3919">
        <v>60000</v>
      </c>
      <c r="IY59" s="3919"/>
      <c r="IZ59" s="3919">
        <v>8321</v>
      </c>
      <c r="JA59" s="3919"/>
      <c r="JB59" s="3919"/>
      <c r="JC59" s="3919"/>
      <c r="JD59" s="3919"/>
      <c r="JE59" s="3919"/>
      <c r="JF59" s="3919"/>
      <c r="JG59" s="3318"/>
      <c r="JH59" s="1367"/>
      <c r="JI59" s="2925"/>
      <c r="JJ59" s="1566"/>
      <c r="JK59" s="1835"/>
      <c r="JL59" s="1835"/>
    </row>
    <row r="60" spans="1:272" x14ac:dyDescent="0.2">
      <c r="A60" s="1128">
        <v>59</v>
      </c>
      <c r="B60" s="1285" t="str">
        <f si="3" t="shared"/>
        <v/>
      </c>
      <c r="C60" s="1579" t="s">
        <v>5297</v>
      </c>
      <c r="D60" s="1392" t="s">
        <v>4916</v>
      </c>
      <c r="E60" s="1619"/>
      <c r="F60" s="1615"/>
      <c r="G60" s="1615"/>
      <c r="H60" s="1615"/>
      <c r="I60" s="1616"/>
      <c r="J60" s="1616"/>
      <c r="K60" s="1616"/>
      <c r="L60" s="1616"/>
      <c r="M60" s="1616"/>
      <c r="N60" s="1616"/>
      <c r="O60" s="1898"/>
      <c r="P60" s="2043"/>
      <c r="Q60" s="2103"/>
      <c r="R60" s="2103"/>
      <c r="S60" s="2103"/>
      <c r="T60" s="3918"/>
      <c r="U60" s="3918"/>
      <c r="V60" s="3918"/>
      <c r="W60" s="3918"/>
      <c r="X60" s="3918"/>
      <c r="Y60" s="3918"/>
      <c r="Z60" s="3918"/>
      <c r="AA60" s="3918"/>
      <c r="AB60" s="3918"/>
      <c r="AC60" s="3918"/>
      <c r="AD60" s="3918"/>
      <c r="AE60" s="3918"/>
      <c r="AF60" s="3918"/>
      <c r="AG60" s="3918"/>
      <c r="AH60" s="3918"/>
      <c r="AI60" s="3918"/>
      <c r="AJ60" s="3918"/>
      <c r="AK60" s="3918"/>
      <c r="AL60" s="3918"/>
      <c r="AM60" s="3918"/>
      <c r="AN60" s="3918"/>
      <c r="AO60" s="3918"/>
      <c r="AP60" s="3918"/>
      <c r="AQ60" s="3918"/>
      <c r="AR60" s="3918"/>
      <c r="AS60" s="3918"/>
      <c r="AT60" s="3918"/>
      <c r="AU60" s="3918"/>
      <c r="AV60" s="3918"/>
      <c r="AW60" s="3918"/>
      <c r="AX60" s="3918"/>
      <c r="AY60" s="3918"/>
      <c r="AZ60" s="3918"/>
      <c r="BA60" s="3918"/>
      <c r="BB60" s="3918"/>
      <c r="BC60" s="3918"/>
      <c r="BD60" s="3918"/>
      <c r="BE60" s="3918"/>
      <c r="BF60" s="3918"/>
      <c r="BG60" s="1616"/>
      <c r="BH60" s="3918"/>
      <c r="BI60" s="3918"/>
      <c r="BJ60" s="3918"/>
      <c r="BK60" s="3918"/>
      <c r="BL60" s="3918"/>
      <c r="BM60" s="3918"/>
      <c r="BN60" s="3918"/>
      <c r="BO60" s="3918"/>
      <c r="BP60" s="3918"/>
      <c r="BQ60" s="3918"/>
      <c r="BR60" s="3918"/>
      <c r="BS60" s="3918"/>
      <c r="BT60" s="3918"/>
      <c r="BU60" s="3918"/>
      <c r="BV60" s="3918"/>
      <c r="BW60" s="3918"/>
      <c r="BX60" s="3918"/>
      <c r="BY60" s="3918"/>
      <c r="BZ60" s="3918"/>
      <c r="CA60" s="3918"/>
      <c r="CB60" s="3918"/>
      <c r="CC60" s="3918"/>
      <c r="CD60" s="3918"/>
      <c r="CE60" s="3918"/>
      <c r="CF60" s="3918"/>
      <c r="CG60" s="3918"/>
      <c r="CH60" s="3918"/>
      <c r="CI60" s="3918"/>
      <c r="CJ60" s="3918"/>
      <c r="CK60" s="3918"/>
      <c r="CL60" s="3918"/>
      <c r="CM60" s="3918"/>
      <c r="CN60" s="3918"/>
      <c r="CO60" s="3918"/>
      <c r="CP60" s="3918"/>
      <c r="CQ60" s="3918"/>
      <c r="CR60" s="3918"/>
      <c r="CS60" s="3918"/>
      <c r="CT60" s="3918"/>
      <c r="CU60" s="3918"/>
      <c r="CV60" s="3918"/>
      <c r="CW60" s="3918"/>
      <c r="CX60" s="3918"/>
      <c r="CY60" s="3918"/>
      <c r="CZ60" s="3918"/>
      <c r="DA60" s="3918"/>
      <c r="DB60" s="3918"/>
      <c r="DC60" s="3918"/>
      <c r="DD60" s="3918"/>
      <c r="DE60" s="3918"/>
      <c r="DF60" s="3918"/>
      <c r="DG60" s="3918"/>
      <c r="DH60" s="3918"/>
      <c r="DI60" s="3918"/>
      <c r="DJ60" s="3918"/>
      <c r="DK60" s="3918"/>
      <c r="DL60" s="3918"/>
      <c r="DM60" s="3918"/>
      <c r="DN60" s="3918"/>
      <c r="DO60" s="3918"/>
      <c r="DP60" s="3918"/>
      <c r="DQ60" s="3918"/>
      <c r="DR60" s="3918"/>
      <c r="DS60" s="3918"/>
      <c r="DT60" s="3918"/>
      <c r="DU60" s="3918"/>
      <c r="DV60" s="3918"/>
      <c r="DW60" s="3918"/>
      <c r="DX60" s="3918"/>
      <c r="DY60" s="3918"/>
      <c r="DZ60" s="3918"/>
      <c r="EA60" s="3918"/>
      <c r="EB60" s="3918"/>
      <c r="EC60" s="3918"/>
      <c r="ED60" s="3918"/>
      <c r="EE60" s="3918"/>
      <c r="EF60" s="3918"/>
      <c r="EG60" s="3918"/>
      <c r="EH60" s="3918"/>
      <c r="EI60" s="3918"/>
      <c r="EJ60" s="3918"/>
      <c r="EK60" s="3918"/>
      <c r="EL60" s="3918"/>
      <c r="EM60" s="3918"/>
      <c r="EN60" s="3918"/>
      <c r="EO60" s="3918"/>
      <c r="EP60" s="3918"/>
      <c r="EQ60" s="3918"/>
      <c r="ER60" s="3918"/>
      <c r="ES60" s="3918"/>
      <c r="ET60" s="3918"/>
      <c r="EU60" s="3918"/>
      <c r="EV60" s="3918"/>
      <c r="EW60" s="3918"/>
      <c r="EX60" s="3918"/>
      <c r="EY60" s="3918"/>
      <c r="EZ60" s="3918"/>
      <c r="FA60" s="3918"/>
      <c r="FB60" s="3918"/>
      <c r="FC60" s="3918"/>
      <c r="FD60" s="3918"/>
      <c r="FE60" s="3918"/>
      <c r="FF60" s="3918"/>
      <c r="FG60" s="3918"/>
      <c r="FH60" s="3918"/>
      <c r="FI60" s="3918"/>
      <c r="FJ60" s="3918"/>
      <c r="FK60" s="3918"/>
      <c r="FL60" s="3918"/>
      <c r="FM60" s="3918"/>
      <c r="FN60" s="3918"/>
      <c r="FO60" s="3918"/>
      <c r="FP60" s="3918"/>
      <c r="FQ60" s="3918"/>
      <c r="FR60" s="3918"/>
      <c r="FS60" s="3918"/>
      <c r="FT60" s="3918"/>
      <c r="FU60" s="3918"/>
      <c r="FV60" s="3918"/>
      <c r="FW60" s="3918"/>
      <c r="FX60" s="3918"/>
      <c r="FY60" s="3918"/>
      <c r="FZ60" s="3918"/>
      <c r="GA60" s="3918"/>
      <c r="GB60" s="3918"/>
      <c r="GC60" s="3918"/>
      <c r="GD60" s="3918"/>
      <c r="GE60" s="3918"/>
      <c r="GF60" s="3918"/>
      <c r="GG60" s="3918"/>
      <c r="GH60" s="3918"/>
      <c r="GI60" s="3918"/>
      <c r="GJ60" s="3918"/>
      <c r="GK60" s="3918"/>
      <c r="GL60" s="3918"/>
      <c r="GM60" s="3918"/>
      <c r="GN60" s="3918"/>
      <c r="GO60" s="3918"/>
      <c r="GP60" s="3918"/>
      <c r="GQ60" s="3918"/>
      <c r="GR60" s="3918"/>
      <c r="GS60" s="3918"/>
      <c r="GT60" s="3918"/>
      <c r="GU60" s="3918"/>
      <c r="GV60" s="3918"/>
      <c r="GW60" s="3918"/>
      <c r="GX60" s="3918"/>
      <c r="GY60" s="3918"/>
      <c r="GZ60" s="3918"/>
      <c r="HA60" s="3918"/>
      <c r="HB60" s="3918"/>
      <c r="HC60" s="3918"/>
      <c r="HD60" s="3918"/>
      <c r="HE60" s="3918"/>
      <c r="HF60" s="3918"/>
      <c r="HG60" s="3918"/>
      <c r="HH60" s="3918"/>
      <c r="HI60" s="3918"/>
      <c r="HJ60" s="3918"/>
      <c r="HK60" s="3918"/>
      <c r="HL60" s="3918"/>
      <c r="HM60" s="3918"/>
      <c r="HN60" s="3918"/>
      <c r="HO60" s="3918"/>
      <c r="HP60" s="3918"/>
      <c r="HQ60" s="3918"/>
      <c r="HR60" s="3918"/>
      <c r="HS60" s="3918"/>
      <c r="HT60" s="3918"/>
      <c r="HU60" s="3918"/>
      <c r="HV60" s="3918"/>
      <c r="HW60" s="3918"/>
      <c r="HX60" s="3918"/>
      <c r="HY60" s="3918"/>
      <c r="HZ60" s="3918"/>
      <c r="IA60" s="3918"/>
      <c r="IB60" s="3918"/>
      <c r="IC60" s="3918"/>
      <c r="ID60" s="3918"/>
      <c r="IE60" s="3918"/>
      <c r="IF60" s="3918"/>
      <c r="IG60" s="3918"/>
      <c r="IH60" s="3918"/>
      <c r="II60" s="3918"/>
      <c r="IJ60" s="3918"/>
      <c r="IK60" s="3918"/>
      <c r="IL60" s="3918"/>
      <c r="IM60" s="3918"/>
      <c r="IN60" s="3918"/>
      <c r="IO60" s="3918"/>
      <c r="IP60" s="3918"/>
      <c r="IQ60" s="3918"/>
      <c r="IR60" s="3918"/>
      <c r="IS60" s="3918"/>
      <c r="IT60" s="3918"/>
      <c r="IU60" s="3918"/>
      <c r="IV60" s="3918"/>
      <c r="IW60" s="3918"/>
      <c r="IX60" s="3918"/>
      <c r="IY60" s="3918"/>
      <c r="IZ60" s="3918"/>
      <c r="JA60" s="3918"/>
      <c r="JB60" s="3918"/>
      <c r="JC60" s="3918"/>
      <c r="JD60" s="3918"/>
      <c r="JE60" s="3918"/>
      <c r="JF60" s="3918"/>
      <c r="JG60" s="2104"/>
      <c r="JH60" s="1367"/>
      <c r="JI60" s="2926"/>
      <c r="JJ60" s="1566" t="s">
        <v>6111</v>
      </c>
      <c r="JK60" s="1835"/>
      <c r="JL60" s="1835"/>
    </row>
    <row ht="12.75" r="61" spans="1:272" thickBot="1" x14ac:dyDescent="0.25">
      <c r="A61" s="1128">
        <v>60</v>
      </c>
      <c r="B61" s="1285" t="str">
        <f si="3" t="shared"/>
        <v/>
      </c>
      <c r="C61" s="1830" t="s">
        <v>5298</v>
      </c>
      <c r="D61" s="1628" t="s">
        <v>4835</v>
      </c>
      <c r="E61" s="1629" t="s">
        <v>74</v>
      </c>
      <c r="F61" s="1629" t="s">
        <v>74</v>
      </c>
      <c r="G61" s="1629" t="s">
        <v>74</v>
      </c>
      <c r="H61" s="1629" t="s">
        <v>74</v>
      </c>
      <c r="I61" s="1629" t="s">
        <v>74</v>
      </c>
      <c r="J61" s="1629" t="s">
        <v>74</v>
      </c>
      <c r="K61" s="1629" t="s">
        <v>74</v>
      </c>
      <c r="L61" s="1630" t="s">
        <v>6089</v>
      </c>
      <c r="M61" s="1629" t="s">
        <v>74</v>
      </c>
      <c r="N61" s="1630" t="s">
        <v>74</v>
      </c>
      <c r="O61" s="1630" t="s">
        <v>74</v>
      </c>
      <c r="P61" s="1899" t="s">
        <v>74</v>
      </c>
      <c r="Q61" s="2076" t="s">
        <v>74</v>
      </c>
      <c r="R61" s="2076" t="s">
        <v>74</v>
      </c>
      <c r="S61" s="2076" t="s">
        <v>74</v>
      </c>
      <c r="T61" s="2076"/>
      <c r="U61" s="2076"/>
      <c r="V61" s="2076"/>
      <c r="W61" s="2076"/>
      <c r="X61" s="2076"/>
      <c r="Y61" s="2076"/>
      <c r="Z61" s="2076"/>
      <c r="AA61" s="2076"/>
      <c r="AB61" s="2076"/>
      <c r="AC61" s="2076"/>
      <c r="AD61" s="2076"/>
      <c r="AE61" s="2076"/>
      <c r="AF61" s="2076"/>
      <c r="AG61" s="2076"/>
      <c r="AH61" s="2076"/>
      <c r="AI61" s="2076"/>
      <c r="AJ61" s="2076"/>
      <c r="AK61" s="2076"/>
      <c r="AL61" s="2076"/>
      <c r="AM61" s="2076"/>
      <c r="AN61" s="2076"/>
      <c r="AO61" s="2076"/>
      <c r="AP61" s="2076"/>
      <c r="AQ61" s="2076"/>
      <c r="AR61" s="2076"/>
      <c r="AS61" s="2076"/>
      <c r="AT61" s="2076"/>
      <c r="AU61" s="2076"/>
      <c r="AV61" s="2076"/>
      <c r="AW61" s="2076"/>
      <c r="AX61" s="2076"/>
      <c r="AY61" s="2076"/>
      <c r="AZ61" s="2076"/>
      <c r="BA61" s="2076"/>
      <c r="BB61" s="2076"/>
      <c r="BC61" s="2076"/>
      <c r="BD61" s="2076"/>
      <c r="BE61" s="2076"/>
      <c r="BF61" s="2076"/>
      <c r="BG61" s="1630" t="s">
        <v>6089</v>
      </c>
      <c r="BH61" s="2076"/>
      <c r="BI61" s="2076"/>
      <c r="BJ61" s="2076"/>
      <c r="BK61" s="2076"/>
      <c r="BL61" s="2076"/>
      <c r="BM61" s="2076"/>
      <c r="BN61" s="2076"/>
      <c r="BO61" s="2076"/>
      <c r="BP61" s="2076"/>
      <c r="BQ61" s="2076"/>
      <c r="BR61" s="2076"/>
      <c r="BS61" s="2076"/>
      <c r="BT61" s="2076"/>
      <c r="BU61" s="2076"/>
      <c r="BV61" s="2076"/>
      <c r="BW61" s="2076"/>
      <c r="BX61" s="2076"/>
      <c r="BY61" s="2076"/>
      <c r="BZ61" s="2076"/>
      <c r="CA61" s="2076"/>
      <c r="CB61" s="2076"/>
      <c r="CC61" s="2076"/>
      <c r="CD61" s="2076"/>
      <c r="CE61" s="2076"/>
      <c r="CF61" s="2076"/>
      <c r="CG61" s="2076"/>
      <c r="CH61" s="2076"/>
      <c r="CI61" s="2076"/>
      <c r="CJ61" s="2076"/>
      <c r="CK61" s="2076"/>
      <c r="CL61" s="2076"/>
      <c r="CM61" s="2076"/>
      <c r="CN61" s="2076"/>
      <c r="CO61" s="2076"/>
      <c r="CP61" s="2076"/>
      <c r="CQ61" s="2076"/>
      <c r="CR61" s="2076"/>
      <c r="CS61" s="2076"/>
      <c r="CT61" s="2076"/>
      <c r="CU61" s="2076"/>
      <c r="CV61" s="2076"/>
      <c r="CW61" s="2076"/>
      <c r="CX61" s="2076"/>
      <c r="CY61" s="2076"/>
      <c r="CZ61" s="2076"/>
      <c r="DA61" s="2076"/>
      <c r="DB61" s="2076"/>
      <c r="DC61" s="2076"/>
      <c r="DD61" s="2076"/>
      <c r="DE61" s="2076"/>
      <c r="DF61" s="2076"/>
      <c r="DG61" s="2076"/>
      <c r="DH61" s="2076"/>
      <c r="DI61" s="2076"/>
      <c r="DJ61" s="2076"/>
      <c r="DK61" s="2076"/>
      <c r="DL61" s="2076"/>
      <c r="DM61" s="2076"/>
      <c r="DN61" s="2076"/>
      <c r="DO61" s="2076"/>
      <c r="DP61" s="2076"/>
      <c r="DQ61" s="2076"/>
      <c r="DR61" s="2076"/>
      <c r="DS61" s="2076"/>
      <c r="DT61" s="2076"/>
      <c r="DU61" s="2076"/>
      <c r="DV61" s="2076"/>
      <c r="DW61" s="2076"/>
      <c r="DX61" s="2076"/>
      <c r="DY61" s="2076"/>
      <c r="DZ61" s="2076"/>
      <c r="EA61" s="2076"/>
      <c r="EB61" s="2076"/>
      <c r="EC61" s="2076"/>
      <c r="ED61" s="2076"/>
      <c r="EE61" s="2076"/>
      <c r="EF61" s="2076"/>
      <c r="EG61" s="2076"/>
      <c r="EH61" s="2076"/>
      <c r="EI61" s="2076"/>
      <c r="EJ61" s="2076"/>
      <c r="EK61" s="2076"/>
      <c r="EL61" s="2076"/>
      <c r="EM61" s="2076"/>
      <c r="EN61" s="2076"/>
      <c r="EO61" s="2076"/>
      <c r="EP61" s="2076"/>
      <c r="EQ61" s="2076"/>
      <c r="ER61" s="2076"/>
      <c r="ES61" s="2076"/>
      <c r="ET61" s="2076"/>
      <c r="EU61" s="2076"/>
      <c r="EV61" s="2076"/>
      <c r="EW61" s="2076"/>
      <c r="EX61" s="2076"/>
      <c r="EY61" s="2076"/>
      <c r="EZ61" s="2076"/>
      <c r="FA61" s="2076"/>
      <c r="FB61" s="2076"/>
      <c r="FC61" s="2076"/>
      <c r="FD61" s="2076"/>
      <c r="FE61" s="2076"/>
      <c r="FF61" s="2076"/>
      <c r="FG61" s="2076"/>
      <c r="FH61" s="2076"/>
      <c r="FI61" s="2076"/>
      <c r="FJ61" s="2076"/>
      <c r="FK61" s="2076"/>
      <c r="FL61" s="2076"/>
      <c r="FM61" s="2076"/>
      <c r="FN61" s="2076"/>
      <c r="FO61" s="2076"/>
      <c r="FP61" s="2076"/>
      <c r="FQ61" s="2076"/>
      <c r="FR61" s="2076"/>
      <c r="FS61" s="2076"/>
      <c r="FT61" s="2076"/>
      <c r="FU61" s="2076"/>
      <c r="FV61" s="2076"/>
      <c r="FW61" s="2076"/>
      <c r="FX61" s="2076"/>
      <c r="FY61" s="2076"/>
      <c r="FZ61" s="2076"/>
      <c r="GA61" s="2076"/>
      <c r="GB61" s="2076"/>
      <c r="GC61" s="2076"/>
      <c r="GD61" s="2076"/>
      <c r="GE61" s="2076"/>
      <c r="GF61" s="2076"/>
      <c r="GG61" s="2076"/>
      <c r="GH61" s="2076"/>
      <c r="GI61" s="2076"/>
      <c r="GJ61" s="2076"/>
      <c r="GK61" s="2076"/>
      <c r="GL61" s="2076"/>
      <c r="GM61" s="2076"/>
      <c r="GN61" s="2076"/>
      <c r="GO61" s="2076"/>
      <c r="GP61" s="2076"/>
      <c r="GQ61" s="2076"/>
      <c r="GR61" s="2076"/>
      <c r="GS61" s="2076"/>
      <c r="GT61" s="2076"/>
      <c r="GU61" s="2076"/>
      <c r="GV61" s="2076"/>
      <c r="GW61" s="2076"/>
      <c r="GX61" s="2076"/>
      <c r="GY61" s="2076"/>
      <c r="GZ61" s="2076"/>
      <c r="HA61" s="2076"/>
      <c r="HB61" s="2076"/>
      <c r="HC61" s="2076"/>
      <c r="HD61" s="2076"/>
      <c r="HE61" s="2076"/>
      <c r="HF61" s="2076"/>
      <c r="HG61" s="2076"/>
      <c r="HH61" s="2076"/>
      <c r="HI61" s="2076"/>
      <c r="HJ61" s="2076"/>
      <c r="HK61" s="2076"/>
      <c r="HL61" s="2076"/>
      <c r="HM61" s="2076"/>
      <c r="HN61" s="2076"/>
      <c r="HO61" s="2076"/>
      <c r="HP61" s="2076"/>
      <c r="HQ61" s="2076"/>
      <c r="HR61" s="2076"/>
      <c r="HS61" s="2076"/>
      <c r="HT61" s="2076"/>
      <c r="HU61" s="2076"/>
      <c r="HV61" s="2076"/>
      <c r="HW61" s="2076"/>
      <c r="HX61" s="2076"/>
      <c r="HY61" s="2076"/>
      <c r="HZ61" s="2076"/>
      <c r="IA61" s="2076"/>
      <c r="IB61" s="2076"/>
      <c r="IC61" s="2076"/>
      <c r="ID61" s="2076"/>
      <c r="IE61" s="2076"/>
      <c r="IF61" s="2076"/>
      <c r="IG61" s="2076"/>
      <c r="IH61" s="2076"/>
      <c r="II61" s="2076"/>
      <c r="IJ61" s="2076"/>
      <c r="IK61" s="2076"/>
      <c r="IL61" s="2076"/>
      <c r="IM61" s="2076"/>
      <c r="IN61" s="2076"/>
      <c r="IO61" s="2076"/>
      <c r="IP61" s="2076"/>
      <c r="IQ61" s="2076"/>
      <c r="IR61" s="2076"/>
      <c r="IS61" s="2076" t="s">
        <v>74</v>
      </c>
      <c r="IT61" s="2076" t="s">
        <v>74</v>
      </c>
      <c r="IU61" s="2076" t="s">
        <v>74</v>
      </c>
      <c r="IV61" s="2076" t="s">
        <v>74</v>
      </c>
      <c r="IW61" s="2076" t="s">
        <v>74</v>
      </c>
      <c r="IX61" s="2076" t="s">
        <v>74</v>
      </c>
      <c r="IY61" s="2076" t="s">
        <v>74</v>
      </c>
      <c r="IZ61" s="2076" t="s">
        <v>74</v>
      </c>
      <c r="JA61" s="2076" t="s">
        <v>74</v>
      </c>
      <c r="JB61" s="2076" t="s">
        <v>74</v>
      </c>
      <c r="JC61" s="2076"/>
      <c r="JD61" s="2076"/>
      <c r="JE61" s="2076"/>
      <c r="JF61" s="2076"/>
      <c r="JG61" s="2105"/>
      <c r="JH61" s="1367"/>
      <c r="JI61" s="1565"/>
      <c r="JJ61" s="1566" t="s">
        <v>6112</v>
      </c>
      <c r="JK61" s="1835"/>
      <c r="JL61" s="1835"/>
    </row>
    <row ht="12.75" r="62" spans="1:272" thickBot="1" x14ac:dyDescent="0.25">
      <c r="C62" s="677"/>
      <c r="D62" s="1140"/>
      <c r="JA62" s="34"/>
      <c r="JB62" s="34"/>
      <c r="JI62" s="386"/>
      <c r="JK62" s="386"/>
      <c r="JL62" s="386"/>
    </row>
    <row ht="12.75" r="63" spans="1:272" x14ac:dyDescent="0.2">
      <c r="A63" s="1128" t="s">
        <v>4479</v>
      </c>
      <c r="B63" s="628" t="s">
        <v>3922</v>
      </c>
      <c r="C63" s="1290" t="s">
        <v>3321</v>
      </c>
      <c r="D63" s="1291"/>
      <c r="E63" s="1292">
        <v>1</v>
      </c>
      <c r="F63" s="1292">
        <v>2</v>
      </c>
      <c r="G63" s="1293">
        <v>3</v>
      </c>
      <c r="H63" s="1293">
        <v>4</v>
      </c>
      <c r="I63" s="1293">
        <v>5</v>
      </c>
      <c r="J63" s="1293">
        <v>6</v>
      </c>
      <c r="K63" s="1293">
        <v>7</v>
      </c>
      <c r="L63" s="1293">
        <v>8</v>
      </c>
      <c r="M63" s="1293">
        <v>9</v>
      </c>
      <c r="N63" s="1293">
        <v>10</v>
      </c>
      <c r="O63" s="1900">
        <v>11</v>
      </c>
      <c r="P63" s="1900">
        <v>12</v>
      </c>
      <c r="Q63" s="1900">
        <v>13</v>
      </c>
      <c r="R63" s="1900">
        <v>14</v>
      </c>
      <c r="S63" s="1900">
        <v>15</v>
      </c>
      <c r="T63" s="1900">
        <v>16</v>
      </c>
      <c r="U63" s="1900">
        <v>17</v>
      </c>
      <c r="V63" s="1900">
        <v>18</v>
      </c>
      <c r="W63" s="1900">
        <v>19</v>
      </c>
      <c r="X63" s="1900">
        <v>20</v>
      </c>
      <c r="Y63" s="1900">
        <v>21</v>
      </c>
      <c r="Z63" s="1900">
        <v>22</v>
      </c>
      <c r="AA63" s="1900">
        <v>23</v>
      </c>
      <c r="AB63" s="1900">
        <v>24</v>
      </c>
      <c r="AC63" s="1900">
        <v>25</v>
      </c>
      <c r="AD63" s="1900">
        <v>26</v>
      </c>
      <c r="AE63" s="1900">
        <v>27</v>
      </c>
      <c r="AF63" s="1900">
        <v>28</v>
      </c>
      <c r="AG63" s="1900">
        <v>29</v>
      </c>
      <c r="AH63" s="1900">
        <v>30</v>
      </c>
      <c r="AI63" s="1900">
        <v>31</v>
      </c>
      <c r="AJ63" s="1900">
        <v>32</v>
      </c>
      <c r="AK63" s="1900">
        <v>33</v>
      </c>
      <c r="AL63" s="1900">
        <v>34</v>
      </c>
      <c r="AM63" s="1900">
        <v>35</v>
      </c>
      <c r="AN63" s="1900">
        <v>36</v>
      </c>
      <c r="AO63" s="1900">
        <v>37</v>
      </c>
      <c r="AP63" s="1900">
        <v>38</v>
      </c>
      <c r="AQ63" s="1900">
        <v>39</v>
      </c>
      <c r="AR63" s="1900">
        <v>40</v>
      </c>
      <c r="AS63" s="1900">
        <v>41</v>
      </c>
      <c r="AT63" s="1900">
        <v>42</v>
      </c>
      <c r="AU63" s="1900">
        <v>43</v>
      </c>
      <c r="AV63" s="1900">
        <v>44</v>
      </c>
      <c r="AW63" s="1900">
        <v>45</v>
      </c>
      <c r="AX63" s="1900">
        <v>46</v>
      </c>
      <c r="AY63" s="1900">
        <v>47</v>
      </c>
      <c r="AZ63" s="1900">
        <v>48</v>
      </c>
      <c r="BA63" s="1900">
        <v>49</v>
      </c>
      <c r="BB63" s="1900">
        <v>50</v>
      </c>
      <c r="BC63" s="1900">
        <v>51</v>
      </c>
      <c r="BD63" s="1900">
        <v>52</v>
      </c>
      <c r="BE63" s="1900">
        <v>53</v>
      </c>
      <c r="BF63" s="1900">
        <v>54</v>
      </c>
      <c r="BG63" s="1900">
        <v>55</v>
      </c>
      <c r="BH63" s="1900">
        <v>56</v>
      </c>
      <c r="BI63" s="1900">
        <v>57</v>
      </c>
      <c r="BJ63" s="1900">
        <v>58</v>
      </c>
      <c r="BK63" s="1900">
        <v>59</v>
      </c>
      <c r="BL63" s="1900">
        <v>60</v>
      </c>
      <c r="BM63" s="1900">
        <v>61</v>
      </c>
      <c r="BN63" s="1900">
        <v>62</v>
      </c>
      <c r="BO63" s="1900">
        <v>63</v>
      </c>
      <c r="BP63" s="1900">
        <v>64</v>
      </c>
      <c r="BQ63" s="1900">
        <v>65</v>
      </c>
      <c r="BR63" s="1900">
        <v>66</v>
      </c>
      <c r="BS63" s="1900">
        <v>67</v>
      </c>
      <c r="BT63" s="1900">
        <v>68</v>
      </c>
      <c r="BU63" s="1900">
        <v>69</v>
      </c>
      <c r="BV63" s="1900">
        <v>70</v>
      </c>
      <c r="BW63" s="1900">
        <v>71</v>
      </c>
      <c r="BX63" s="1900">
        <v>72</v>
      </c>
      <c r="BY63" s="1900">
        <v>73</v>
      </c>
      <c r="BZ63" s="1900">
        <v>74</v>
      </c>
      <c r="CA63" s="1900">
        <v>75</v>
      </c>
      <c r="CB63" s="1900">
        <v>76</v>
      </c>
      <c r="CC63" s="1900">
        <v>77</v>
      </c>
      <c r="CD63" s="1900">
        <v>78</v>
      </c>
      <c r="CE63" s="1900">
        <v>79</v>
      </c>
      <c r="CF63" s="1900">
        <v>80</v>
      </c>
      <c r="CG63" s="1900">
        <v>81</v>
      </c>
      <c r="CH63" s="1900">
        <v>82</v>
      </c>
      <c r="CI63" s="1900">
        <v>83</v>
      </c>
      <c r="CJ63" s="1900">
        <v>84</v>
      </c>
      <c r="CK63" s="1900">
        <v>85</v>
      </c>
      <c r="CL63" s="1900">
        <v>86</v>
      </c>
      <c r="CM63" s="1900">
        <v>87</v>
      </c>
      <c r="CN63" s="1900">
        <v>88</v>
      </c>
      <c r="CO63" s="1900">
        <v>89</v>
      </c>
      <c r="CP63" s="1900">
        <v>90</v>
      </c>
      <c r="CQ63" s="1900">
        <v>91</v>
      </c>
      <c r="CR63" s="1900">
        <v>92</v>
      </c>
      <c r="CS63" s="1900">
        <v>93</v>
      </c>
      <c r="CT63" s="1900">
        <v>94</v>
      </c>
      <c r="CU63" s="1900">
        <v>95</v>
      </c>
      <c r="CV63" s="1900">
        <v>96</v>
      </c>
      <c r="CW63" s="1900">
        <v>97</v>
      </c>
      <c r="CX63" s="1900">
        <v>98</v>
      </c>
      <c r="CY63" s="1900">
        <v>99</v>
      </c>
      <c r="CZ63" s="1900">
        <v>100</v>
      </c>
      <c r="DA63" s="1900">
        <v>101</v>
      </c>
      <c r="DB63" s="1900">
        <v>102</v>
      </c>
      <c r="DC63" s="1900">
        <v>103</v>
      </c>
      <c r="DD63" s="1900">
        <v>104</v>
      </c>
      <c r="DE63" s="1900">
        <v>105</v>
      </c>
      <c r="DF63" s="1900">
        <v>106</v>
      </c>
      <c r="DG63" s="1900">
        <v>107</v>
      </c>
      <c r="DH63" s="1900">
        <v>108</v>
      </c>
      <c r="DI63" s="1900">
        <v>109</v>
      </c>
      <c r="DJ63" s="1900">
        <v>110</v>
      </c>
      <c r="DK63" s="1900">
        <v>111</v>
      </c>
      <c r="DL63" s="1900">
        <v>112</v>
      </c>
      <c r="DM63" s="1900">
        <v>113</v>
      </c>
      <c r="DN63" s="1900">
        <v>114</v>
      </c>
      <c r="DO63" s="1900">
        <v>115</v>
      </c>
      <c r="DP63" s="1900">
        <v>116</v>
      </c>
      <c r="DQ63" s="1900">
        <v>117</v>
      </c>
      <c r="DR63" s="1900">
        <v>118</v>
      </c>
      <c r="DS63" s="1900">
        <v>119</v>
      </c>
      <c r="DT63" s="1900">
        <v>120</v>
      </c>
      <c r="DU63" s="1900">
        <v>121</v>
      </c>
      <c r="DV63" s="1900">
        <v>122</v>
      </c>
      <c r="DW63" s="1900">
        <v>123</v>
      </c>
      <c r="DX63" s="1900">
        <v>124</v>
      </c>
      <c r="DY63" s="1900">
        <v>125</v>
      </c>
      <c r="DZ63" s="1900">
        <v>126</v>
      </c>
      <c r="EA63" s="1900">
        <v>127</v>
      </c>
      <c r="EB63" s="1900">
        <v>128</v>
      </c>
      <c r="EC63" s="1900">
        <v>129</v>
      </c>
      <c r="ED63" s="1900">
        <v>130</v>
      </c>
      <c r="EE63" s="1900">
        <v>131</v>
      </c>
      <c r="EF63" s="1900">
        <v>132</v>
      </c>
      <c r="EG63" s="1900">
        <v>133</v>
      </c>
      <c r="EH63" s="1900">
        <v>134</v>
      </c>
      <c r="EI63" s="1900">
        <v>135</v>
      </c>
      <c r="EJ63" s="1900">
        <v>136</v>
      </c>
      <c r="EK63" s="1900">
        <v>137</v>
      </c>
      <c r="EL63" s="1900">
        <v>138</v>
      </c>
      <c r="EM63" s="1900">
        <v>139</v>
      </c>
      <c r="EN63" s="1900">
        <v>140</v>
      </c>
      <c r="EO63" s="1900">
        <v>141</v>
      </c>
      <c r="EP63" s="1900">
        <v>142</v>
      </c>
      <c r="EQ63" s="1900">
        <v>143</v>
      </c>
      <c r="ER63" s="1900">
        <v>144</v>
      </c>
      <c r="ES63" s="1900">
        <v>145</v>
      </c>
      <c r="ET63" s="1900">
        <v>146</v>
      </c>
      <c r="EU63" s="1900">
        <v>147</v>
      </c>
      <c r="EV63" s="1900">
        <v>148</v>
      </c>
      <c r="EW63" s="1900">
        <v>149</v>
      </c>
      <c r="EX63" s="1900">
        <v>150</v>
      </c>
      <c r="EY63" s="1900">
        <v>151</v>
      </c>
      <c r="EZ63" s="1900">
        <v>152</v>
      </c>
      <c r="FA63" s="1900">
        <v>153</v>
      </c>
      <c r="FB63" s="1900">
        <v>154</v>
      </c>
      <c r="FC63" s="1900">
        <v>155</v>
      </c>
      <c r="FD63" s="1900">
        <v>156</v>
      </c>
      <c r="FE63" s="1900">
        <v>157</v>
      </c>
      <c r="FF63" s="1900">
        <v>158</v>
      </c>
      <c r="FG63" s="1900">
        <v>159</v>
      </c>
      <c r="FH63" s="1900">
        <v>160</v>
      </c>
      <c r="FI63" s="1900">
        <v>161</v>
      </c>
      <c r="FJ63" s="1900">
        <v>162</v>
      </c>
      <c r="FK63" s="1900">
        <v>163</v>
      </c>
      <c r="FL63" s="1900">
        <v>164</v>
      </c>
      <c r="FM63" s="1900">
        <v>165</v>
      </c>
      <c r="FN63" s="1900">
        <v>166</v>
      </c>
      <c r="FO63" s="1900">
        <v>167</v>
      </c>
      <c r="FP63" s="1900">
        <v>168</v>
      </c>
      <c r="FQ63" s="1900">
        <v>169</v>
      </c>
      <c r="FR63" s="1900">
        <v>170</v>
      </c>
      <c r="FS63" s="1900">
        <v>171</v>
      </c>
      <c r="FT63" s="1900">
        <v>172</v>
      </c>
      <c r="FU63" s="1900">
        <v>173</v>
      </c>
      <c r="FV63" s="1900">
        <v>174</v>
      </c>
      <c r="FW63" s="1900">
        <v>175</v>
      </c>
      <c r="FX63" s="1900">
        <v>176</v>
      </c>
      <c r="FY63" s="1900">
        <v>177</v>
      </c>
      <c r="FZ63" s="1900">
        <v>178</v>
      </c>
      <c r="GA63" s="1900">
        <v>179</v>
      </c>
      <c r="GB63" s="1900">
        <v>180</v>
      </c>
      <c r="GC63" s="1900">
        <v>181</v>
      </c>
      <c r="GD63" s="1900">
        <v>182</v>
      </c>
      <c r="GE63" s="1900">
        <v>183</v>
      </c>
      <c r="GF63" s="1900">
        <v>184</v>
      </c>
      <c r="GG63" s="1900">
        <v>185</v>
      </c>
      <c r="GH63" s="1900">
        <v>186</v>
      </c>
      <c r="GI63" s="1900">
        <v>187</v>
      </c>
      <c r="GJ63" s="1900">
        <v>188</v>
      </c>
      <c r="GK63" s="1900">
        <v>189</v>
      </c>
      <c r="GL63" s="1900">
        <v>190</v>
      </c>
      <c r="GM63" s="1900">
        <v>191</v>
      </c>
      <c r="GN63" s="1900">
        <v>192</v>
      </c>
      <c r="GO63" s="1900">
        <v>193</v>
      </c>
      <c r="GP63" s="1900">
        <v>194</v>
      </c>
      <c r="GQ63" s="1900">
        <v>195</v>
      </c>
      <c r="GR63" s="1900">
        <v>196</v>
      </c>
      <c r="GS63" s="1900">
        <v>197</v>
      </c>
      <c r="GT63" s="1900">
        <v>198</v>
      </c>
      <c r="GU63" s="1900">
        <v>199</v>
      </c>
      <c r="GV63" s="1900">
        <v>200</v>
      </c>
      <c r="GW63" s="1900">
        <v>201</v>
      </c>
      <c r="GX63" s="1900">
        <v>202</v>
      </c>
      <c r="GY63" s="1900">
        <v>203</v>
      </c>
      <c r="GZ63" s="1900">
        <v>204</v>
      </c>
      <c r="HA63" s="1900">
        <v>205</v>
      </c>
      <c r="HB63" s="1900">
        <v>206</v>
      </c>
      <c r="HC63" s="1900">
        <v>207</v>
      </c>
      <c r="HD63" s="1900">
        <v>208</v>
      </c>
      <c r="HE63" s="1900">
        <v>209</v>
      </c>
      <c r="HF63" s="1900">
        <v>210</v>
      </c>
      <c r="HG63" s="1900">
        <v>211</v>
      </c>
      <c r="HH63" s="1900">
        <v>212</v>
      </c>
      <c r="HI63" s="1900">
        <v>213</v>
      </c>
      <c r="HJ63" s="1900">
        <v>214</v>
      </c>
      <c r="HK63" s="1900">
        <v>215</v>
      </c>
      <c r="HL63" s="1900">
        <v>216</v>
      </c>
      <c r="HM63" s="1900">
        <v>217</v>
      </c>
      <c r="HN63" s="1900">
        <v>218</v>
      </c>
      <c r="HO63" s="1900">
        <v>219</v>
      </c>
      <c r="HP63" s="1900">
        <v>220</v>
      </c>
      <c r="HQ63" s="1900">
        <v>221</v>
      </c>
      <c r="HR63" s="1900">
        <v>222</v>
      </c>
      <c r="HS63" s="1900">
        <v>223</v>
      </c>
      <c r="HT63" s="1900">
        <v>224</v>
      </c>
      <c r="HU63" s="1900">
        <v>225</v>
      </c>
      <c r="HV63" s="1900">
        <v>226</v>
      </c>
      <c r="HW63" s="1900">
        <v>227</v>
      </c>
      <c r="HX63" s="1900">
        <v>228</v>
      </c>
      <c r="HY63" s="1900">
        <v>229</v>
      </c>
      <c r="HZ63" s="1900">
        <v>230</v>
      </c>
      <c r="IA63" s="1900">
        <v>231</v>
      </c>
      <c r="IB63" s="1900">
        <v>232</v>
      </c>
      <c r="IC63" s="1900">
        <v>233</v>
      </c>
      <c r="ID63" s="1900">
        <v>234</v>
      </c>
      <c r="IE63" s="1900">
        <v>235</v>
      </c>
      <c r="IF63" s="1900">
        <v>236</v>
      </c>
      <c r="IG63" s="1900">
        <v>237</v>
      </c>
      <c r="IH63" s="1900">
        <v>238</v>
      </c>
      <c r="II63" s="1900">
        <v>239</v>
      </c>
      <c r="IJ63" s="1900">
        <v>240</v>
      </c>
      <c r="IK63" s="1900">
        <v>241</v>
      </c>
      <c r="IL63" s="1900">
        <v>242</v>
      </c>
      <c r="IM63" s="1900">
        <v>243</v>
      </c>
      <c r="IN63" s="1900">
        <v>244</v>
      </c>
      <c r="IO63" s="1900">
        <v>245</v>
      </c>
      <c r="IP63" s="1900">
        <v>246</v>
      </c>
      <c r="IQ63" s="1900">
        <v>247</v>
      </c>
      <c r="IR63" s="1900">
        <v>248</v>
      </c>
      <c r="IS63" s="1900">
        <v>249</v>
      </c>
      <c r="IT63" s="1900">
        <v>250</v>
      </c>
      <c r="IU63" s="1900">
        <v>251</v>
      </c>
      <c r="IV63" s="1900">
        <v>252</v>
      </c>
      <c r="IW63" s="1900">
        <v>253</v>
      </c>
      <c r="IX63" s="1900">
        <v>254</v>
      </c>
      <c r="IY63" s="1900">
        <v>255</v>
      </c>
      <c r="IZ63" s="1900">
        <v>256</v>
      </c>
      <c r="JA63" s="4325">
        <v>257</v>
      </c>
      <c r="JB63" s="4325">
        <v>258</v>
      </c>
      <c r="JC63" s="1900">
        <v>259</v>
      </c>
      <c r="JD63" s="1134">
        <v>260</v>
      </c>
      <c r="JE63" s="1134">
        <v>261</v>
      </c>
      <c r="JF63" s="1134">
        <v>262</v>
      </c>
      <c r="JG63" s="2485">
        <v>263</v>
      </c>
      <c r="JH63" s="1360"/>
      <c r="JI63" s="1228" t="s">
        <v>5034</v>
      </c>
      <c r="JJ63" s="1571"/>
      <c r="JK63" s="386"/>
      <c r="JL63" s="386"/>
    </row>
    <row r="64" spans="1:272" x14ac:dyDescent="0.2">
      <c r="A64" s="1128">
        <v>2</v>
      </c>
      <c r="B64" s="1285" t="str">
        <f ref="B64:B87" si="4" t="shared">IF(NRD_IND&gt;1,IF(HLOOKUP(NRD_IND-1,NRD_RANGE,A64)="","",HLOOKUP(NRD_IND-1,NRD_RANGE,A64)),"")</f>
        <v/>
      </c>
      <c r="C64" s="1585" t="s">
        <v>542</v>
      </c>
      <c r="D64" s="1372" t="str">
        <f>"If you were not resident in the UK for "&amp;tax_year&amp;", put ‘X’ in the box"</f>
        <v>If you were not resident in the UK for 2019-20, put ‘X’ in the box</v>
      </c>
      <c r="E64" s="1586" t="s">
        <v>572</v>
      </c>
      <c r="F64" s="1586" t="s">
        <v>572</v>
      </c>
      <c r="G64" s="1586" t="s">
        <v>1189</v>
      </c>
      <c r="H64" s="1586" t="s">
        <v>1189</v>
      </c>
      <c r="I64" s="1586" t="s">
        <v>1189</v>
      </c>
      <c r="J64" s="1586" t="s">
        <v>572</v>
      </c>
      <c r="K64" s="1586" t="s">
        <v>1189</v>
      </c>
      <c r="L64" s="1586" t="s">
        <v>1189</v>
      </c>
      <c r="M64" s="1586" t="s">
        <v>1189</v>
      </c>
      <c r="N64" s="1586" t="s">
        <v>572</v>
      </c>
      <c r="O64" s="1586"/>
      <c r="P64" s="1586"/>
      <c r="Q64" s="1586"/>
      <c r="R64" s="1586"/>
      <c r="S64" s="1586"/>
      <c r="T64" s="2628"/>
      <c r="U64" s="2628"/>
      <c r="V64" s="2628"/>
      <c r="W64" s="2628"/>
      <c r="X64" s="2628"/>
      <c r="Y64" s="2628"/>
      <c r="Z64" s="2628"/>
      <c r="AA64" s="2628"/>
      <c r="AB64" s="2628"/>
      <c r="AC64" s="2628"/>
      <c r="AD64" s="2628"/>
      <c r="AE64" s="2628"/>
      <c r="AF64" s="2628"/>
      <c r="AG64" s="2628"/>
      <c r="AH64" s="2628"/>
      <c r="AI64" s="2628"/>
      <c r="AJ64" s="2628"/>
      <c r="AK64" s="2628"/>
      <c r="AL64" s="2628"/>
      <c r="AM64" s="2628"/>
      <c r="AN64" s="2628"/>
      <c r="AO64" s="2628"/>
      <c r="AP64" s="2628"/>
      <c r="AQ64" s="2628"/>
      <c r="AR64" s="2628"/>
      <c r="AS64" s="2628"/>
      <c r="AT64" s="2628"/>
      <c r="AU64" s="2628"/>
      <c r="AV64" s="2628"/>
      <c r="AW64" s="2628"/>
      <c r="AX64" s="2628"/>
      <c r="AY64" s="2628"/>
      <c r="AZ64" s="2628"/>
      <c r="BA64" s="2628"/>
      <c r="BB64" s="2628"/>
      <c r="BC64" s="2628"/>
      <c r="BD64" s="2628"/>
      <c r="BE64" s="2628"/>
      <c r="BF64" s="2628"/>
      <c r="BG64" s="2628"/>
      <c r="BH64" s="2628"/>
      <c r="BI64" s="2628"/>
      <c r="BJ64" s="2628"/>
      <c r="BK64" s="3829" t="s">
        <v>572</v>
      </c>
      <c r="BL64" s="2628"/>
      <c r="BM64" s="2628"/>
      <c r="BN64" s="2628"/>
      <c r="BO64" s="2628"/>
      <c r="BP64" s="2628"/>
      <c r="BQ64" s="2628"/>
      <c r="BR64" s="2628"/>
      <c r="BS64" s="2628"/>
      <c r="BT64" s="2628"/>
      <c r="BU64" s="2628"/>
      <c r="BV64" s="2628"/>
      <c r="BW64" s="2628"/>
      <c r="BX64" s="2628"/>
      <c r="BY64" s="2628"/>
      <c r="BZ64" s="2628"/>
      <c r="CA64" s="2628"/>
      <c r="CB64" s="2628"/>
      <c r="CC64" s="2628"/>
      <c r="CD64" s="2628"/>
      <c r="CE64" s="2628"/>
      <c r="CF64" s="2628"/>
      <c r="CG64" s="2628"/>
      <c r="CH64" s="2628"/>
      <c r="CI64" s="2628"/>
      <c r="CJ64" s="2628"/>
      <c r="CK64" s="2628"/>
      <c r="CL64" s="2628"/>
      <c r="CM64" s="2628"/>
      <c r="CN64" s="2628"/>
      <c r="CO64" s="2628"/>
      <c r="CP64" s="2628"/>
      <c r="CQ64" s="2628"/>
      <c r="CR64" s="2628"/>
      <c r="CS64" s="2628"/>
      <c r="CT64" s="2628"/>
      <c r="CU64" s="2628"/>
      <c r="CV64" s="2628"/>
      <c r="CW64" s="2628"/>
      <c r="CX64" s="2628"/>
      <c r="CY64" s="2628"/>
      <c r="CZ64" s="2628"/>
      <c r="DA64" s="2628"/>
      <c r="DB64" s="2628"/>
      <c r="DC64" s="2628"/>
      <c r="DD64" s="2628"/>
      <c r="DE64" s="2628"/>
      <c r="DF64" s="2628"/>
      <c r="DG64" s="2628"/>
      <c r="DH64" s="2628"/>
      <c r="DI64" s="2628"/>
      <c r="DJ64" s="2628"/>
      <c r="DK64" s="2628"/>
      <c r="DL64" s="2628"/>
      <c r="DM64" s="2628"/>
      <c r="DN64" s="2628"/>
      <c r="DO64" s="2628"/>
      <c r="DP64" s="2628"/>
      <c r="DQ64" s="2628"/>
      <c r="DR64" s="2628"/>
      <c r="DS64" s="2628"/>
      <c r="DT64" s="2628"/>
      <c r="DU64" s="2628"/>
      <c r="DV64" s="2628"/>
      <c r="DW64" s="2628"/>
      <c r="DX64" s="2628"/>
      <c r="DY64" s="2628"/>
      <c r="DZ64" s="2628"/>
      <c r="EA64" s="2628"/>
      <c r="EB64" s="2628"/>
      <c r="EC64" s="2628"/>
      <c r="ED64" s="2628"/>
      <c r="EE64" s="2628"/>
      <c r="EF64" s="2628"/>
      <c r="EG64" s="2628"/>
      <c r="EH64" s="2628"/>
      <c r="EI64" s="2628"/>
      <c r="EJ64" s="2628"/>
      <c r="EK64" s="2628"/>
      <c r="EL64" s="2628"/>
      <c r="EM64" s="2628"/>
      <c r="EN64" s="2628"/>
      <c r="EO64" s="2628"/>
      <c r="EP64" s="2628"/>
      <c r="EQ64" s="2628"/>
      <c r="ER64" s="2628"/>
      <c r="ES64" s="2628"/>
      <c r="ET64" s="2628"/>
      <c r="EU64" s="2628"/>
      <c r="EV64" s="2628"/>
      <c r="EW64" s="2628"/>
      <c r="EX64" s="2628"/>
      <c r="EY64" s="2628"/>
      <c r="EZ64" s="2628"/>
      <c r="FA64" s="2628"/>
      <c r="FB64" s="2628"/>
      <c r="FC64" s="2628"/>
      <c r="FD64" s="2628"/>
      <c r="FE64" s="2628"/>
      <c r="FF64" s="2628"/>
      <c r="FG64" s="2628"/>
      <c r="FH64" s="2628"/>
      <c r="FI64" s="2628"/>
      <c r="FJ64" s="2628"/>
      <c r="FK64" s="2628"/>
      <c r="FL64" s="2628"/>
      <c r="FM64" s="2628"/>
      <c r="FN64" s="2628"/>
      <c r="FO64" s="2628"/>
      <c r="FP64" s="2628"/>
      <c r="FQ64" s="2628"/>
      <c r="FR64" s="2628"/>
      <c r="FS64" s="2628"/>
      <c r="FT64" s="2628"/>
      <c r="FU64" s="2628"/>
      <c r="FV64" s="2628"/>
      <c r="FW64" s="2628"/>
      <c r="FX64" s="2628"/>
      <c r="FY64" s="2628"/>
      <c r="FZ64" s="2628"/>
      <c r="GA64" s="2628"/>
      <c r="GB64" s="2628"/>
      <c r="GC64" s="2628"/>
      <c r="GD64" s="2628"/>
      <c r="GE64" s="2628"/>
      <c r="GF64" s="2628"/>
      <c r="GG64" s="2628"/>
      <c r="GH64" s="2628"/>
      <c r="GI64" s="2628"/>
      <c r="GJ64" s="2628"/>
      <c r="GK64" s="2628"/>
      <c r="GL64" s="2628"/>
      <c r="GM64" s="2628"/>
      <c r="GN64" s="2628"/>
      <c r="GO64" s="2628"/>
      <c r="GP64" s="2628"/>
      <c r="GQ64" s="2628"/>
      <c r="GR64" s="2628"/>
      <c r="GS64" s="2628"/>
      <c r="GT64" s="2628"/>
      <c r="GU64" s="2628"/>
      <c r="GV64" s="2628"/>
      <c r="GW64" s="2628"/>
      <c r="GX64" s="2628"/>
      <c r="GY64" s="2628"/>
      <c r="GZ64" s="2628"/>
      <c r="HA64" s="2628"/>
      <c r="HB64" s="2628"/>
      <c r="HC64" s="2628"/>
      <c r="HD64" s="2628"/>
      <c r="HE64" s="2628"/>
      <c r="HF64" s="2628"/>
      <c r="HG64" s="2628"/>
      <c r="HH64" s="2628"/>
      <c r="HI64" s="2628"/>
      <c r="HJ64" s="2628"/>
      <c r="HK64" s="2628"/>
      <c r="HL64" s="2628"/>
      <c r="HM64" s="2628"/>
      <c r="HN64" s="2628"/>
      <c r="HO64" s="2628"/>
      <c r="HP64" s="2628"/>
      <c r="HQ64" s="2628"/>
      <c r="HR64" s="2628"/>
      <c r="HS64" s="2628"/>
      <c r="HT64" s="2628"/>
      <c r="HU64" s="2628"/>
      <c r="HV64" s="2628"/>
      <c r="HW64" s="2628"/>
      <c r="HX64" s="2628"/>
      <c r="HY64" s="2628"/>
      <c r="HZ64" s="2628"/>
      <c r="IA64" s="2628"/>
      <c r="IB64" s="2628"/>
      <c r="IC64" s="2628"/>
      <c r="ID64" s="2628"/>
      <c r="IE64" s="2628"/>
      <c r="IF64" s="2628"/>
      <c r="IG64" s="2628"/>
      <c r="IH64" s="2628"/>
      <c r="II64" s="2628"/>
      <c r="IJ64" s="2628"/>
      <c r="IK64" s="2628"/>
      <c r="IL64" s="2628"/>
      <c r="IM64" s="2628"/>
      <c r="IN64" s="2628"/>
      <c r="IO64" s="2628"/>
      <c r="IP64" s="3829" t="s">
        <v>572</v>
      </c>
      <c r="IQ64" s="3829" t="s">
        <v>572</v>
      </c>
      <c r="IR64" s="3829" t="s">
        <v>572</v>
      </c>
      <c r="IS64" s="2628"/>
      <c r="IT64" s="3978" t="s">
        <v>572</v>
      </c>
      <c r="IU64" s="2628"/>
      <c r="IV64" s="2628"/>
      <c r="IW64" s="3978" t="s">
        <v>572</v>
      </c>
      <c r="IX64" s="2628" t="s">
        <v>15</v>
      </c>
      <c r="IY64" s="2628"/>
      <c r="IZ64" s="3978" t="s">
        <v>572</v>
      </c>
      <c r="JA64" s="3978" t="s">
        <v>572</v>
      </c>
      <c r="JB64" s="3978" t="s">
        <v>572</v>
      </c>
      <c r="JC64" s="3639" t="s">
        <v>572</v>
      </c>
      <c r="JD64" s="3639" t="s">
        <v>572</v>
      </c>
      <c r="JE64" s="3556"/>
      <c r="JF64" s="3556"/>
      <c r="JG64" s="3929"/>
      <c r="JH64" s="1361"/>
      <c r="JI64" s="1390"/>
      <c r="JJ64" s="1572" t="s">
        <v>6111</v>
      </c>
      <c r="JK64" s="386"/>
      <c r="JL64" s="386"/>
    </row>
    <row r="65" spans="1:272" x14ac:dyDescent="0.2">
      <c r="A65" s="1128">
        <v>3</v>
      </c>
      <c r="B65" s="1285" t="str">
        <f si="4" t="shared"/>
        <v/>
      </c>
      <c r="C65" s="1587" t="s">
        <v>543</v>
      </c>
      <c r="D65" s="1372" t="str">
        <f>"If you are eligible for overseas workday relief for "&amp;tax_year&amp;", put ‘X’ in the box"</f>
        <v>If you are eligible for overseas workday relief for 2019-20, put ‘X’ in the box</v>
      </c>
      <c r="E65" s="1588" t="s">
        <v>1189</v>
      </c>
      <c r="F65" s="1588" t="s">
        <v>1189</v>
      </c>
      <c r="G65" s="1588" t="s">
        <v>1189</v>
      </c>
      <c r="H65" s="1588" t="s">
        <v>1189</v>
      </c>
      <c r="I65" s="1588" t="s">
        <v>1189</v>
      </c>
      <c r="J65" s="1588" t="s">
        <v>1189</v>
      </c>
      <c r="K65" s="1588" t="s">
        <v>1189</v>
      </c>
      <c r="L65" s="1588" t="s">
        <v>1189</v>
      </c>
      <c r="M65" s="1588" t="s">
        <v>1189</v>
      </c>
      <c r="N65" s="1588" t="s">
        <v>1189</v>
      </c>
      <c r="O65" s="2044"/>
      <c r="P65" s="2044"/>
      <c r="Q65" s="2044"/>
      <c r="R65" s="2044"/>
      <c r="S65" s="2044"/>
      <c r="T65" s="3920"/>
      <c r="U65" s="3920"/>
      <c r="V65" s="3920"/>
      <c r="W65" s="3920"/>
      <c r="X65" s="3920"/>
      <c r="Y65" s="3920"/>
      <c r="Z65" s="3920"/>
      <c r="AA65" s="3920"/>
      <c r="AB65" s="3920"/>
      <c r="AC65" s="3920"/>
      <c r="AD65" s="3920"/>
      <c r="AE65" s="3920"/>
      <c r="AF65" s="3920"/>
      <c r="AG65" s="3920"/>
      <c r="AH65" s="3920"/>
      <c r="AI65" s="3920"/>
      <c r="AJ65" s="3920"/>
      <c r="AK65" s="3920"/>
      <c r="AL65" s="3920"/>
      <c r="AM65" s="3920"/>
      <c r="AN65" s="3920"/>
      <c r="AO65" s="3920"/>
      <c r="AP65" s="3920"/>
      <c r="AQ65" s="3920"/>
      <c r="AR65" s="3920"/>
      <c r="AS65" s="3920"/>
      <c r="AT65" s="3920"/>
      <c r="AU65" s="3920"/>
      <c r="AV65" s="3920"/>
      <c r="AW65" s="3920"/>
      <c r="AX65" s="3920"/>
      <c r="AY65" s="3920"/>
      <c r="AZ65" s="3920"/>
      <c r="BA65" s="3920"/>
      <c r="BB65" s="3920"/>
      <c r="BC65" s="3920"/>
      <c r="BD65" s="3920"/>
      <c r="BE65" s="3920"/>
      <c r="BF65" s="3920"/>
      <c r="BG65" s="3920"/>
      <c r="BH65" s="3920"/>
      <c r="BI65" s="3920"/>
      <c r="BJ65" s="3920"/>
      <c r="BK65" s="3562"/>
      <c r="BL65" s="3920"/>
      <c r="BM65" s="3920"/>
      <c r="BN65" s="3920"/>
      <c r="BO65" s="3920"/>
      <c r="BP65" s="3920"/>
      <c r="BQ65" s="3920"/>
      <c r="BR65" s="3920"/>
      <c r="BS65" s="3920"/>
      <c r="BT65" s="3920"/>
      <c r="BU65" s="3920"/>
      <c r="BV65" s="3920"/>
      <c r="BW65" s="3920"/>
      <c r="BX65" s="3920"/>
      <c r="BY65" s="3920"/>
      <c r="BZ65" s="3920"/>
      <c r="CA65" s="3920"/>
      <c r="CB65" s="3920"/>
      <c r="CC65" s="3920"/>
      <c r="CD65" s="3920"/>
      <c r="CE65" s="3920"/>
      <c r="CF65" s="3920"/>
      <c r="CG65" s="3920"/>
      <c r="CH65" s="3920"/>
      <c r="CI65" s="3920"/>
      <c r="CJ65" s="3920"/>
      <c r="CK65" s="3920"/>
      <c r="CL65" s="3920"/>
      <c r="CM65" s="3920"/>
      <c r="CN65" s="3920"/>
      <c r="CO65" s="3920"/>
      <c r="CP65" s="3920"/>
      <c r="CQ65" s="3920"/>
      <c r="CR65" s="3920"/>
      <c r="CS65" s="3920"/>
      <c r="CT65" s="3920"/>
      <c r="CU65" s="3920"/>
      <c r="CV65" s="3920"/>
      <c r="CW65" s="3920"/>
      <c r="CX65" s="3920"/>
      <c r="CY65" s="3920"/>
      <c r="CZ65" s="3920"/>
      <c r="DA65" s="3920"/>
      <c r="DB65" s="3920"/>
      <c r="DC65" s="3920"/>
      <c r="DD65" s="3920"/>
      <c r="DE65" s="3920"/>
      <c r="DF65" s="3920"/>
      <c r="DG65" s="3920"/>
      <c r="DH65" s="3920"/>
      <c r="DI65" s="3920"/>
      <c r="DJ65" s="3920"/>
      <c r="DK65" s="3920"/>
      <c r="DL65" s="3920"/>
      <c r="DM65" s="3920"/>
      <c r="DN65" s="3920"/>
      <c r="DO65" s="3920"/>
      <c r="DP65" s="3920"/>
      <c r="DQ65" s="3920"/>
      <c r="DR65" s="3920"/>
      <c r="DS65" s="3920"/>
      <c r="DT65" s="3920"/>
      <c r="DU65" s="3920"/>
      <c r="DV65" s="3920"/>
      <c r="DW65" s="3920"/>
      <c r="DX65" s="3920"/>
      <c r="DY65" s="3920"/>
      <c r="DZ65" s="3920"/>
      <c r="EA65" s="3920"/>
      <c r="EB65" s="3920"/>
      <c r="EC65" s="3920"/>
      <c r="ED65" s="3920"/>
      <c r="EE65" s="3920"/>
      <c r="EF65" s="3920"/>
      <c r="EG65" s="3920"/>
      <c r="EH65" s="3920"/>
      <c r="EI65" s="3920"/>
      <c r="EJ65" s="3920"/>
      <c r="EK65" s="3920"/>
      <c r="EL65" s="3920"/>
      <c r="EM65" s="3920"/>
      <c r="EN65" s="3920"/>
      <c r="EO65" s="3920"/>
      <c r="EP65" s="3920"/>
      <c r="EQ65" s="3920"/>
      <c r="ER65" s="3920"/>
      <c r="ES65" s="3920"/>
      <c r="ET65" s="3920"/>
      <c r="EU65" s="3920"/>
      <c r="EV65" s="3920"/>
      <c r="EW65" s="3920"/>
      <c r="EX65" s="3920"/>
      <c r="EY65" s="3920"/>
      <c r="EZ65" s="3920"/>
      <c r="FA65" s="3920"/>
      <c r="FB65" s="3920"/>
      <c r="FC65" s="3920"/>
      <c r="FD65" s="3920"/>
      <c r="FE65" s="3920"/>
      <c r="FF65" s="3920"/>
      <c r="FG65" s="3920"/>
      <c r="FH65" s="3920"/>
      <c r="FI65" s="3920"/>
      <c r="FJ65" s="3920"/>
      <c r="FK65" s="3920"/>
      <c r="FL65" s="3920"/>
      <c r="FM65" s="3920"/>
      <c r="FN65" s="3920"/>
      <c r="FO65" s="3920"/>
      <c r="FP65" s="3920"/>
      <c r="FQ65" s="3920"/>
      <c r="FR65" s="3920"/>
      <c r="FS65" s="3920"/>
      <c r="FT65" s="3920"/>
      <c r="FU65" s="3920"/>
      <c r="FV65" s="3920"/>
      <c r="FW65" s="3920"/>
      <c r="FX65" s="3920"/>
      <c r="FY65" s="3920"/>
      <c r="FZ65" s="3920"/>
      <c r="GA65" s="3920"/>
      <c r="GB65" s="3920"/>
      <c r="GC65" s="3920"/>
      <c r="GD65" s="3920"/>
      <c r="GE65" s="3920"/>
      <c r="GF65" s="3920"/>
      <c r="GG65" s="3920"/>
      <c r="GH65" s="3920"/>
      <c r="GI65" s="3920"/>
      <c r="GJ65" s="3920"/>
      <c r="GK65" s="3920"/>
      <c r="GL65" s="3920"/>
      <c r="GM65" s="3920"/>
      <c r="GN65" s="3920"/>
      <c r="GO65" s="3920"/>
      <c r="GP65" s="3920"/>
      <c r="GQ65" s="3920"/>
      <c r="GR65" s="3920"/>
      <c r="GS65" s="3920"/>
      <c r="GT65" s="3920"/>
      <c r="GU65" s="3920"/>
      <c r="GV65" s="3920"/>
      <c r="GW65" s="3920"/>
      <c r="GX65" s="3920"/>
      <c r="GY65" s="3920"/>
      <c r="GZ65" s="3920"/>
      <c r="HA65" s="3920"/>
      <c r="HB65" s="3920"/>
      <c r="HC65" s="3920"/>
      <c r="HD65" s="3920"/>
      <c r="HE65" s="3920"/>
      <c r="HF65" s="3920"/>
      <c r="HG65" s="3920"/>
      <c r="HH65" s="3920"/>
      <c r="HI65" s="3920"/>
      <c r="HJ65" s="3920"/>
      <c r="HK65" s="3920"/>
      <c r="HL65" s="3920"/>
      <c r="HM65" s="3920"/>
      <c r="HN65" s="3920"/>
      <c r="HO65" s="3920"/>
      <c r="HP65" s="3920"/>
      <c r="HQ65" s="3920"/>
      <c r="HR65" s="3920"/>
      <c r="HS65" s="3920"/>
      <c r="HT65" s="3920"/>
      <c r="HU65" s="3920"/>
      <c r="HV65" s="3920"/>
      <c r="HW65" s="3920"/>
      <c r="HX65" s="3920"/>
      <c r="HY65" s="3920"/>
      <c r="HZ65" s="3920"/>
      <c r="IA65" s="3920"/>
      <c r="IB65" s="3920"/>
      <c r="IC65" s="3920"/>
      <c r="ID65" s="3920"/>
      <c r="IE65" s="3920"/>
      <c r="IF65" s="3920"/>
      <c r="IG65" s="3920"/>
      <c r="IH65" s="3920"/>
      <c r="II65" s="3920"/>
      <c r="IJ65" s="3920"/>
      <c r="IK65" s="3920"/>
      <c r="IL65" s="3920"/>
      <c r="IM65" s="3920"/>
      <c r="IN65" s="3920"/>
      <c r="IO65" s="3920"/>
      <c r="IP65" s="3562"/>
      <c r="IQ65" s="3562"/>
      <c r="IR65" s="3562"/>
      <c r="IS65" s="3920"/>
      <c r="IT65" s="3920"/>
      <c r="IU65" s="3920"/>
      <c r="IV65" s="3920"/>
      <c r="IW65" s="3920"/>
      <c r="IX65" s="3920"/>
      <c r="IY65" s="3920"/>
      <c r="IZ65" s="3920"/>
      <c r="JA65" s="3562"/>
      <c r="JB65" s="3562"/>
      <c r="JC65" s="3920"/>
      <c r="JD65" s="3920"/>
      <c r="JE65" s="3920"/>
      <c r="JF65" s="3920"/>
      <c r="JG65" s="1589"/>
      <c r="JH65" s="1361"/>
      <c r="JI65" s="1390"/>
      <c r="JJ65" s="1572" t="s">
        <v>6111</v>
      </c>
      <c r="JK65" s="386"/>
      <c r="JL65" s="386"/>
    </row>
    <row r="66" spans="1:272" x14ac:dyDescent="0.2">
      <c r="A66" s="1128">
        <v>4</v>
      </c>
      <c r="B66" s="1285" t="str">
        <f si="4" t="shared"/>
        <v/>
      </c>
      <c r="C66" s="1587" t="s">
        <v>544</v>
      </c>
      <c r="D66" s="1372" t="str">
        <f>"If your circumstances meet the criteria for split year treatment for "&amp;tax_year&amp;", put ‘X’ in the box"</f>
        <v>If your circumstances meet the criteria for split year treatment for 2019-20, put ‘X’ in the box</v>
      </c>
      <c r="E66" s="1588" t="s">
        <v>1189</v>
      </c>
      <c r="F66" s="1590" t="s">
        <v>1189</v>
      </c>
      <c r="G66" s="1588" t="s">
        <v>1189</v>
      </c>
      <c r="H66" s="1351" t="s">
        <v>1189</v>
      </c>
      <c r="I66" s="1351" t="s">
        <v>1189</v>
      </c>
      <c r="J66" s="1588" t="s">
        <v>1189</v>
      </c>
      <c r="K66" s="1351" t="s">
        <v>1189</v>
      </c>
      <c r="L66" s="1351" t="s">
        <v>1189</v>
      </c>
      <c r="M66" s="1351" t="s">
        <v>1189</v>
      </c>
      <c r="N66" s="1351" t="s">
        <v>1189</v>
      </c>
      <c r="O66" s="2045"/>
      <c r="P66" s="2045"/>
      <c r="Q66" s="2045"/>
      <c r="R66" s="2045"/>
      <c r="S66" s="2045"/>
      <c r="T66" s="3807"/>
      <c r="U66" s="3807"/>
      <c r="V66" s="3807"/>
      <c r="W66" s="3807"/>
      <c r="X66" s="3807"/>
      <c r="Y66" s="3807"/>
      <c r="Z66" s="3807"/>
      <c r="AA66" s="3807"/>
      <c r="AB66" s="3807"/>
      <c r="AC66" s="3807"/>
      <c r="AD66" s="3807"/>
      <c r="AE66" s="3807"/>
      <c r="AF66" s="3807"/>
      <c r="AG66" s="3807"/>
      <c r="AH66" s="3807"/>
      <c r="AI66" s="3807"/>
      <c r="AJ66" s="3807"/>
      <c r="AK66" s="3807"/>
      <c r="AL66" s="3807"/>
      <c r="AM66" s="3807"/>
      <c r="AN66" s="3807"/>
      <c r="AO66" s="3807"/>
      <c r="AP66" s="3807"/>
      <c r="AQ66" s="3807"/>
      <c r="AR66" s="3807"/>
      <c r="AS66" s="3807"/>
      <c r="AT66" s="3807"/>
      <c r="AU66" s="3807"/>
      <c r="AV66" s="3807"/>
      <c r="AW66" s="3807"/>
      <c r="AX66" s="3807"/>
      <c r="AY66" s="3807"/>
      <c r="AZ66" s="3807"/>
      <c r="BA66" s="3807"/>
      <c r="BB66" s="3807"/>
      <c r="BC66" s="3807"/>
      <c r="BD66" s="3807"/>
      <c r="BE66" s="3807"/>
      <c r="BF66" s="3807"/>
      <c r="BG66" s="3807"/>
      <c r="BH66" s="3807"/>
      <c r="BI66" s="3807"/>
      <c r="BJ66" s="3807"/>
      <c r="BK66" s="2815"/>
      <c r="BL66" s="3807"/>
      <c r="BM66" s="3807"/>
      <c r="BN66" s="3807"/>
      <c r="BO66" s="3807"/>
      <c r="BP66" s="3807"/>
      <c r="BQ66" s="3807"/>
      <c r="BR66" s="3807"/>
      <c r="BS66" s="3807"/>
      <c r="BT66" s="3807"/>
      <c r="BU66" s="3807"/>
      <c r="BV66" s="3807"/>
      <c r="BW66" s="3807"/>
      <c r="BX66" s="3807"/>
      <c r="BY66" s="3807"/>
      <c r="BZ66" s="3807"/>
      <c r="CA66" s="3807"/>
      <c r="CB66" s="3807"/>
      <c r="CC66" s="3807"/>
      <c r="CD66" s="3807"/>
      <c r="CE66" s="3807"/>
      <c r="CF66" s="3807"/>
      <c r="CG66" s="3807"/>
      <c r="CH66" s="3807"/>
      <c r="CI66" s="3807"/>
      <c r="CJ66" s="3807"/>
      <c r="CK66" s="3807"/>
      <c r="CL66" s="3807"/>
      <c r="CM66" s="3807"/>
      <c r="CN66" s="3807"/>
      <c r="CO66" s="3807"/>
      <c r="CP66" s="3807"/>
      <c r="CQ66" s="3807"/>
      <c r="CR66" s="3807"/>
      <c r="CS66" s="3807"/>
      <c r="CT66" s="3807"/>
      <c r="CU66" s="3807"/>
      <c r="CV66" s="3807"/>
      <c r="CW66" s="3807"/>
      <c r="CX66" s="3807"/>
      <c r="CY66" s="3807"/>
      <c r="CZ66" s="3807"/>
      <c r="DA66" s="3807"/>
      <c r="DB66" s="3807"/>
      <c r="DC66" s="3807"/>
      <c r="DD66" s="3807"/>
      <c r="DE66" s="3807"/>
      <c r="DF66" s="3807"/>
      <c r="DG66" s="3807"/>
      <c r="DH66" s="3807"/>
      <c r="DI66" s="3807"/>
      <c r="DJ66" s="3807"/>
      <c r="DK66" s="3807"/>
      <c r="DL66" s="3807"/>
      <c r="DM66" s="3807"/>
      <c r="DN66" s="3807"/>
      <c r="DO66" s="3807"/>
      <c r="DP66" s="3807"/>
      <c r="DQ66" s="3807"/>
      <c r="DR66" s="3807"/>
      <c r="DS66" s="3807"/>
      <c r="DT66" s="3807"/>
      <c r="DU66" s="3807"/>
      <c r="DV66" s="3807"/>
      <c r="DW66" s="3807"/>
      <c r="DX66" s="3807"/>
      <c r="DY66" s="3807"/>
      <c r="DZ66" s="3807"/>
      <c r="EA66" s="3807"/>
      <c r="EB66" s="3807"/>
      <c r="EC66" s="3807"/>
      <c r="ED66" s="3807"/>
      <c r="EE66" s="3807"/>
      <c r="EF66" s="3807"/>
      <c r="EG66" s="3807"/>
      <c r="EH66" s="3807"/>
      <c r="EI66" s="3807"/>
      <c r="EJ66" s="3807"/>
      <c r="EK66" s="3807"/>
      <c r="EL66" s="3807"/>
      <c r="EM66" s="3807"/>
      <c r="EN66" s="3807"/>
      <c r="EO66" s="3807"/>
      <c r="EP66" s="3807"/>
      <c r="EQ66" s="3807"/>
      <c r="ER66" s="3807"/>
      <c r="ES66" s="3807"/>
      <c r="ET66" s="3807"/>
      <c r="EU66" s="3807"/>
      <c r="EV66" s="3807"/>
      <c r="EW66" s="3807"/>
      <c r="EX66" s="3807"/>
      <c r="EY66" s="3807"/>
      <c r="EZ66" s="3807"/>
      <c r="FA66" s="3807"/>
      <c r="FB66" s="3807"/>
      <c r="FC66" s="3807"/>
      <c r="FD66" s="3807"/>
      <c r="FE66" s="3807"/>
      <c r="FF66" s="3807"/>
      <c r="FG66" s="3807"/>
      <c r="FH66" s="3807"/>
      <c r="FI66" s="3807"/>
      <c r="FJ66" s="3807"/>
      <c r="FK66" s="3807"/>
      <c r="FL66" s="3807"/>
      <c r="FM66" s="3807"/>
      <c r="FN66" s="3807"/>
      <c r="FO66" s="3807"/>
      <c r="FP66" s="3807"/>
      <c r="FQ66" s="3807"/>
      <c r="FR66" s="3807"/>
      <c r="FS66" s="3807"/>
      <c r="FT66" s="3807"/>
      <c r="FU66" s="3807"/>
      <c r="FV66" s="3807"/>
      <c r="FW66" s="3807"/>
      <c r="FX66" s="3807"/>
      <c r="FY66" s="3807"/>
      <c r="FZ66" s="3807"/>
      <c r="GA66" s="3807"/>
      <c r="GB66" s="3807"/>
      <c r="GC66" s="3807"/>
      <c r="GD66" s="3807"/>
      <c r="GE66" s="3807"/>
      <c r="GF66" s="3807"/>
      <c r="GG66" s="3807"/>
      <c r="GH66" s="3807"/>
      <c r="GI66" s="3807"/>
      <c r="GJ66" s="3807"/>
      <c r="GK66" s="3807"/>
      <c r="GL66" s="3807"/>
      <c r="GM66" s="3807"/>
      <c r="GN66" s="3807"/>
      <c r="GO66" s="3807"/>
      <c r="GP66" s="3807"/>
      <c r="GQ66" s="3807"/>
      <c r="GR66" s="3807"/>
      <c r="GS66" s="3807"/>
      <c r="GT66" s="3807"/>
      <c r="GU66" s="3807"/>
      <c r="GV66" s="3807"/>
      <c r="GW66" s="3807"/>
      <c r="GX66" s="3807"/>
      <c r="GY66" s="3807"/>
      <c r="GZ66" s="3807"/>
      <c r="HA66" s="3807"/>
      <c r="HB66" s="3807"/>
      <c r="HC66" s="3807"/>
      <c r="HD66" s="3807"/>
      <c r="HE66" s="3807"/>
      <c r="HF66" s="3807"/>
      <c r="HG66" s="3807"/>
      <c r="HH66" s="3807"/>
      <c r="HI66" s="3807"/>
      <c r="HJ66" s="3807"/>
      <c r="HK66" s="3807"/>
      <c r="HL66" s="3807"/>
      <c r="HM66" s="3807"/>
      <c r="HN66" s="3807"/>
      <c r="HO66" s="3807"/>
      <c r="HP66" s="3807"/>
      <c r="HQ66" s="3807"/>
      <c r="HR66" s="3807"/>
      <c r="HS66" s="3807"/>
      <c r="HT66" s="3807"/>
      <c r="HU66" s="3807"/>
      <c r="HV66" s="3807"/>
      <c r="HW66" s="3807"/>
      <c r="HX66" s="3807"/>
      <c r="HY66" s="3807"/>
      <c r="HZ66" s="3807"/>
      <c r="IA66" s="3807"/>
      <c r="IB66" s="3807"/>
      <c r="IC66" s="3807"/>
      <c r="ID66" s="3807"/>
      <c r="IE66" s="3807"/>
      <c r="IF66" s="3807"/>
      <c r="IG66" s="3807"/>
      <c r="IH66" s="3807"/>
      <c r="II66" s="3807"/>
      <c r="IJ66" s="3807"/>
      <c r="IK66" s="3807"/>
      <c r="IL66" s="3807"/>
      <c r="IM66" s="3807"/>
      <c r="IN66" s="3807"/>
      <c r="IO66" s="3807"/>
      <c r="IP66" s="2815"/>
      <c r="IQ66" s="2815"/>
      <c r="IR66" s="2815"/>
      <c r="IS66" s="3807"/>
      <c r="IT66" s="3807"/>
      <c r="IU66" s="3807"/>
      <c r="IV66" s="3807"/>
      <c r="IW66" s="3807"/>
      <c r="IX66" s="3807"/>
      <c r="IY66" s="3807"/>
      <c r="IZ66" s="3807"/>
      <c r="JA66" s="2815"/>
      <c r="JB66" s="2815"/>
      <c r="JC66" s="3807"/>
      <c r="JD66" s="3807"/>
      <c r="JE66" s="3807"/>
      <c r="JF66" s="3807"/>
      <c r="JG66" s="1591"/>
      <c r="JH66" s="1361"/>
      <c r="JI66" s="1390" t="s">
        <v>6210</v>
      </c>
      <c r="JJ66" s="1572" t="s">
        <v>6111</v>
      </c>
      <c r="JK66" s="386"/>
      <c r="JL66" s="386"/>
    </row>
    <row r="67" spans="1:272" x14ac:dyDescent="0.2">
      <c r="A67" s="1128">
        <v>5</v>
      </c>
      <c r="B67" s="1285" t="str">
        <f si="4" t="shared"/>
        <v/>
      </c>
      <c r="C67" s="1587" t="s">
        <v>3480</v>
      </c>
      <c r="D67" s="1372" t="s">
        <v>4988</v>
      </c>
      <c r="E67" s="1588" t="s">
        <v>1189</v>
      </c>
      <c r="F67" s="1588" t="s">
        <v>1189</v>
      </c>
      <c r="G67" s="1588" t="s">
        <v>1189</v>
      </c>
      <c r="H67" s="1351" t="s">
        <v>1189</v>
      </c>
      <c r="I67" s="1351" t="s">
        <v>1189</v>
      </c>
      <c r="J67" s="1588" t="s">
        <v>1189</v>
      </c>
      <c r="K67" s="1351" t="s">
        <v>1189</v>
      </c>
      <c r="L67" s="1351" t="s">
        <v>1189</v>
      </c>
      <c r="M67" s="1351" t="s">
        <v>1189</v>
      </c>
      <c r="N67" s="1351" t="s">
        <v>1189</v>
      </c>
      <c r="O67" s="2045"/>
      <c r="P67" s="2045"/>
      <c r="Q67" s="2045"/>
      <c r="R67" s="2045"/>
      <c r="S67" s="2045"/>
      <c r="T67" s="3807"/>
      <c r="U67" s="3807"/>
      <c r="V67" s="3807"/>
      <c r="W67" s="3807"/>
      <c r="X67" s="3807"/>
      <c r="Y67" s="3807"/>
      <c r="Z67" s="3807"/>
      <c r="AA67" s="3807"/>
      <c r="AB67" s="3807"/>
      <c r="AC67" s="3807"/>
      <c r="AD67" s="3807"/>
      <c r="AE67" s="3807"/>
      <c r="AF67" s="3807"/>
      <c r="AG67" s="3807"/>
      <c r="AH67" s="3807"/>
      <c r="AI67" s="3807"/>
      <c r="AJ67" s="3807"/>
      <c r="AK67" s="3807"/>
      <c r="AL67" s="3807"/>
      <c r="AM67" s="3807"/>
      <c r="AN67" s="3807"/>
      <c r="AO67" s="3807"/>
      <c r="AP67" s="3807"/>
      <c r="AQ67" s="3807"/>
      <c r="AR67" s="3807"/>
      <c r="AS67" s="3807"/>
      <c r="AT67" s="3807"/>
      <c r="AU67" s="3807"/>
      <c r="AV67" s="3807"/>
      <c r="AW67" s="3807"/>
      <c r="AX67" s="3807"/>
      <c r="AY67" s="3807"/>
      <c r="AZ67" s="3807"/>
      <c r="BA67" s="3807"/>
      <c r="BB67" s="3807"/>
      <c r="BC67" s="3807"/>
      <c r="BD67" s="3807"/>
      <c r="BE67" s="3807"/>
      <c r="BF67" s="3807"/>
      <c r="BG67" s="3807"/>
      <c r="BH67" s="3807"/>
      <c r="BI67" s="3807"/>
      <c r="BJ67" s="3807"/>
      <c r="BK67" s="2815"/>
      <c r="BL67" s="3807"/>
      <c r="BM67" s="3807"/>
      <c r="BN67" s="3807"/>
      <c r="BO67" s="3807"/>
      <c r="BP67" s="3807"/>
      <c r="BQ67" s="3807"/>
      <c r="BR67" s="3807"/>
      <c r="BS67" s="3807"/>
      <c r="BT67" s="3807"/>
      <c r="BU67" s="3807"/>
      <c r="BV67" s="3807"/>
      <c r="BW67" s="3807"/>
      <c r="BX67" s="3807"/>
      <c r="BY67" s="3807"/>
      <c r="BZ67" s="3807"/>
      <c r="CA67" s="3807"/>
      <c r="CB67" s="3807"/>
      <c r="CC67" s="3807"/>
      <c r="CD67" s="3807"/>
      <c r="CE67" s="3807"/>
      <c r="CF67" s="3807"/>
      <c r="CG67" s="3807"/>
      <c r="CH67" s="3807"/>
      <c r="CI67" s="3807"/>
      <c r="CJ67" s="3807"/>
      <c r="CK67" s="3807"/>
      <c r="CL67" s="3807"/>
      <c r="CM67" s="3807"/>
      <c r="CN67" s="3807"/>
      <c r="CO67" s="3807"/>
      <c r="CP67" s="3807"/>
      <c r="CQ67" s="3807"/>
      <c r="CR67" s="3807"/>
      <c r="CS67" s="3807"/>
      <c r="CT67" s="3807"/>
      <c r="CU67" s="3807"/>
      <c r="CV67" s="3807"/>
      <c r="CW67" s="3807"/>
      <c r="CX67" s="3807"/>
      <c r="CY67" s="3807"/>
      <c r="CZ67" s="3807"/>
      <c r="DA67" s="3807"/>
      <c r="DB67" s="3807"/>
      <c r="DC67" s="3807"/>
      <c r="DD67" s="3807"/>
      <c r="DE67" s="3807"/>
      <c r="DF67" s="3807"/>
      <c r="DG67" s="3807"/>
      <c r="DH67" s="3807"/>
      <c r="DI67" s="3807"/>
      <c r="DJ67" s="3807"/>
      <c r="DK67" s="3807"/>
      <c r="DL67" s="3807"/>
      <c r="DM67" s="3807"/>
      <c r="DN67" s="3807"/>
      <c r="DO67" s="3807"/>
      <c r="DP67" s="3807"/>
      <c r="DQ67" s="3807"/>
      <c r="DR67" s="3807"/>
      <c r="DS67" s="3807"/>
      <c r="DT67" s="3807"/>
      <c r="DU67" s="3807"/>
      <c r="DV67" s="3807"/>
      <c r="DW67" s="3807"/>
      <c r="DX67" s="3807"/>
      <c r="DY67" s="3807"/>
      <c r="DZ67" s="3807"/>
      <c r="EA67" s="3807"/>
      <c r="EB67" s="3807"/>
      <c r="EC67" s="3807"/>
      <c r="ED67" s="3807"/>
      <c r="EE67" s="3807"/>
      <c r="EF67" s="3807"/>
      <c r="EG67" s="3807"/>
      <c r="EH67" s="3807"/>
      <c r="EI67" s="3807"/>
      <c r="EJ67" s="3807"/>
      <c r="EK67" s="3807"/>
      <c r="EL67" s="3807"/>
      <c r="EM67" s="3807"/>
      <c r="EN67" s="3807"/>
      <c r="EO67" s="3807"/>
      <c r="EP67" s="3807"/>
      <c r="EQ67" s="3807"/>
      <c r="ER67" s="3807"/>
      <c r="ES67" s="3807"/>
      <c r="ET67" s="3807"/>
      <c r="EU67" s="3807"/>
      <c r="EV67" s="3807"/>
      <c r="EW67" s="3807"/>
      <c r="EX67" s="3807"/>
      <c r="EY67" s="3807"/>
      <c r="EZ67" s="3807"/>
      <c r="FA67" s="3807"/>
      <c r="FB67" s="3807"/>
      <c r="FC67" s="3807"/>
      <c r="FD67" s="3807"/>
      <c r="FE67" s="3807"/>
      <c r="FF67" s="3807"/>
      <c r="FG67" s="3807"/>
      <c r="FH67" s="3807"/>
      <c r="FI67" s="3807"/>
      <c r="FJ67" s="3807"/>
      <c r="FK67" s="3807"/>
      <c r="FL67" s="3807"/>
      <c r="FM67" s="3807"/>
      <c r="FN67" s="3807"/>
      <c r="FO67" s="3807"/>
      <c r="FP67" s="3807"/>
      <c r="FQ67" s="3807"/>
      <c r="FR67" s="3807"/>
      <c r="FS67" s="3807"/>
      <c r="FT67" s="3807"/>
      <c r="FU67" s="3807"/>
      <c r="FV67" s="3807"/>
      <c r="FW67" s="3807"/>
      <c r="FX67" s="3807"/>
      <c r="FY67" s="3807"/>
      <c r="FZ67" s="3807"/>
      <c r="GA67" s="3807"/>
      <c r="GB67" s="3807"/>
      <c r="GC67" s="3807"/>
      <c r="GD67" s="3807"/>
      <c r="GE67" s="3807"/>
      <c r="GF67" s="3807"/>
      <c r="GG67" s="3807"/>
      <c r="GH67" s="3807"/>
      <c r="GI67" s="3807"/>
      <c r="GJ67" s="3807"/>
      <c r="GK67" s="3807"/>
      <c r="GL67" s="3807"/>
      <c r="GM67" s="3807"/>
      <c r="GN67" s="3807"/>
      <c r="GO67" s="3807"/>
      <c r="GP67" s="3807"/>
      <c r="GQ67" s="3807"/>
      <c r="GR67" s="3807"/>
      <c r="GS67" s="3807"/>
      <c r="GT67" s="3807"/>
      <c r="GU67" s="3807"/>
      <c r="GV67" s="3807"/>
      <c r="GW67" s="3807"/>
      <c r="GX67" s="3807"/>
      <c r="GY67" s="3807"/>
      <c r="GZ67" s="3807"/>
      <c r="HA67" s="3807"/>
      <c r="HB67" s="3807"/>
      <c r="HC67" s="3807"/>
      <c r="HD67" s="3807"/>
      <c r="HE67" s="3807"/>
      <c r="HF67" s="3807"/>
      <c r="HG67" s="3807"/>
      <c r="HH67" s="3807"/>
      <c r="HI67" s="3807"/>
      <c r="HJ67" s="3807"/>
      <c r="HK67" s="3807"/>
      <c r="HL67" s="3807"/>
      <c r="HM67" s="3807"/>
      <c r="HN67" s="3807"/>
      <c r="HO67" s="3807"/>
      <c r="HP67" s="3807"/>
      <c r="HQ67" s="3807"/>
      <c r="HR67" s="3807"/>
      <c r="HS67" s="3807"/>
      <c r="HT67" s="3807"/>
      <c r="HU67" s="3807"/>
      <c r="HV67" s="3807"/>
      <c r="HW67" s="3807"/>
      <c r="HX67" s="3807"/>
      <c r="HY67" s="3807"/>
      <c r="HZ67" s="3807"/>
      <c r="IA67" s="3807"/>
      <c r="IB67" s="3807"/>
      <c r="IC67" s="3807"/>
      <c r="ID67" s="3807"/>
      <c r="IE67" s="3807"/>
      <c r="IF67" s="3807"/>
      <c r="IG67" s="3807"/>
      <c r="IH67" s="3807"/>
      <c r="II67" s="3807"/>
      <c r="IJ67" s="3807"/>
      <c r="IK67" s="3807"/>
      <c r="IL67" s="3807"/>
      <c r="IM67" s="3807"/>
      <c r="IN67" s="3807"/>
      <c r="IO67" s="3807"/>
      <c r="IP67" s="2815"/>
      <c r="IQ67" s="2815"/>
      <c r="IR67" s="2815"/>
      <c r="IS67" s="3807"/>
      <c r="IT67" s="3807"/>
      <c r="IU67" s="3807"/>
      <c r="IV67" s="3807"/>
      <c r="IW67" s="3807"/>
      <c r="IX67" s="3807"/>
      <c r="IY67" s="3807"/>
      <c r="IZ67" s="3807"/>
      <c r="JA67" s="2815"/>
      <c r="JB67" s="2815"/>
      <c r="JC67" s="3807"/>
      <c r="JD67" s="3807"/>
      <c r="JE67" s="3807"/>
      <c r="JF67" s="3807"/>
      <c r="JG67" s="1591"/>
      <c r="JH67" s="1361"/>
      <c r="JI67" s="1391" t="s">
        <v>5376</v>
      </c>
      <c r="JJ67" s="1572" t="s">
        <v>6111</v>
      </c>
    </row>
    <row r="68" spans="1:272" x14ac:dyDescent="0.2">
      <c r="A68" s="1128">
        <v>6</v>
      </c>
      <c r="B68" s="1285" t="str">
        <f si="4" t="shared"/>
        <v/>
      </c>
      <c r="C68" s="1587" t="s">
        <v>545</v>
      </c>
      <c r="D68" s="1372" t="str">
        <f>"If you were resident in the UK for "&amp;tax_year&amp;", put ‘X’ in the box"</f>
        <v>If you were resident in the UK for 2019-20, put ‘X’ in the box</v>
      </c>
      <c r="E68" s="1588" t="s">
        <v>1189</v>
      </c>
      <c r="F68" s="1590" t="s">
        <v>1189</v>
      </c>
      <c r="G68" s="1588" t="s">
        <v>572</v>
      </c>
      <c r="H68" s="1351" t="s">
        <v>1189</v>
      </c>
      <c r="I68" s="1351" t="s">
        <v>1189</v>
      </c>
      <c r="J68" s="1588" t="s">
        <v>572</v>
      </c>
      <c r="K68" s="1351" t="s">
        <v>1189</v>
      </c>
      <c r="L68" s="1351" t="s">
        <v>1189</v>
      </c>
      <c r="M68" s="1351" t="s">
        <v>1189</v>
      </c>
      <c r="N68" s="1351" t="s">
        <v>1189</v>
      </c>
      <c r="O68" s="2045"/>
      <c r="P68" s="2045"/>
      <c r="Q68" s="2045"/>
      <c r="R68" s="2045"/>
      <c r="S68" s="2045"/>
      <c r="T68" s="3807"/>
      <c r="U68" s="3807"/>
      <c r="V68" s="3807"/>
      <c r="W68" s="3807"/>
      <c r="X68" s="3807"/>
      <c r="Y68" s="3807"/>
      <c r="Z68" s="3807"/>
      <c r="AA68" s="3807"/>
      <c r="AB68" s="3807"/>
      <c r="AC68" s="3807"/>
      <c r="AD68" s="3807"/>
      <c r="AE68" s="3807"/>
      <c r="AF68" s="3807"/>
      <c r="AG68" s="3807"/>
      <c r="AH68" s="3807"/>
      <c r="AI68" s="3807"/>
      <c r="AJ68" s="3807"/>
      <c r="AK68" s="3807"/>
      <c r="AL68" s="3807"/>
      <c r="AM68" s="3807"/>
      <c r="AN68" s="3807"/>
      <c r="AO68" s="3807"/>
      <c r="AP68" s="3807"/>
      <c r="AQ68" s="3807"/>
      <c r="AR68" s="3807"/>
      <c r="AS68" s="3807"/>
      <c r="AT68" s="3807"/>
      <c r="AU68" s="3807"/>
      <c r="AV68" s="3807"/>
      <c r="AW68" s="3807"/>
      <c r="AX68" s="3807"/>
      <c r="AY68" s="3807"/>
      <c r="AZ68" s="3807"/>
      <c r="BA68" s="3807"/>
      <c r="BB68" s="3807"/>
      <c r="BC68" s="3807"/>
      <c r="BD68" s="3807"/>
      <c r="BE68" s="3807"/>
      <c r="BF68" s="3807"/>
      <c r="BG68" s="3807"/>
      <c r="BH68" s="3807"/>
      <c r="BI68" s="3807"/>
      <c r="BJ68" s="3807"/>
      <c r="BK68" s="2815"/>
      <c r="BL68" s="3807"/>
      <c r="BM68" s="3807"/>
      <c r="BN68" s="3807"/>
      <c r="BO68" s="3807"/>
      <c r="BP68" s="3807"/>
      <c r="BQ68" s="3807"/>
      <c r="BR68" s="3807"/>
      <c r="BS68" s="3807"/>
      <c r="BT68" s="3807"/>
      <c r="BU68" s="3807"/>
      <c r="BV68" s="3807"/>
      <c r="BW68" s="3807"/>
      <c r="BX68" s="3807"/>
      <c r="BY68" s="3807"/>
      <c r="BZ68" s="3807"/>
      <c r="CA68" s="3807"/>
      <c r="CB68" s="3807"/>
      <c r="CC68" s="3807"/>
      <c r="CD68" s="3807"/>
      <c r="CE68" s="3807"/>
      <c r="CF68" s="3807"/>
      <c r="CG68" s="3807"/>
      <c r="CH68" s="3807"/>
      <c r="CI68" s="3807"/>
      <c r="CJ68" s="3807"/>
      <c r="CK68" s="3807"/>
      <c r="CL68" s="3807"/>
      <c r="CM68" s="3807"/>
      <c r="CN68" s="3807"/>
      <c r="CO68" s="3807"/>
      <c r="CP68" s="3807"/>
      <c r="CQ68" s="3807"/>
      <c r="CR68" s="3807"/>
      <c r="CS68" s="3807"/>
      <c r="CT68" s="3807"/>
      <c r="CU68" s="3807"/>
      <c r="CV68" s="3807"/>
      <c r="CW68" s="3807"/>
      <c r="CX68" s="3807"/>
      <c r="CY68" s="3807"/>
      <c r="CZ68" s="3807"/>
      <c r="DA68" s="3807"/>
      <c r="DB68" s="3807"/>
      <c r="DC68" s="3807"/>
      <c r="DD68" s="3807"/>
      <c r="DE68" s="3807"/>
      <c r="DF68" s="3807"/>
      <c r="DG68" s="3807"/>
      <c r="DH68" s="3807"/>
      <c r="DI68" s="3807"/>
      <c r="DJ68" s="3807"/>
      <c r="DK68" s="3807"/>
      <c r="DL68" s="3807"/>
      <c r="DM68" s="3807"/>
      <c r="DN68" s="3807"/>
      <c r="DO68" s="3807"/>
      <c r="DP68" s="3807"/>
      <c r="DQ68" s="3807"/>
      <c r="DR68" s="3807"/>
      <c r="DS68" s="3807"/>
      <c r="DT68" s="3807"/>
      <c r="DU68" s="3807"/>
      <c r="DV68" s="3807"/>
      <c r="DW68" s="3807"/>
      <c r="DX68" s="3807"/>
      <c r="DY68" s="3807"/>
      <c r="DZ68" s="3807"/>
      <c r="EA68" s="3807"/>
      <c r="EB68" s="3807"/>
      <c r="EC68" s="3807"/>
      <c r="ED68" s="3807"/>
      <c r="EE68" s="3807"/>
      <c r="EF68" s="3807"/>
      <c r="EG68" s="3807"/>
      <c r="EH68" s="3807"/>
      <c r="EI68" s="3807"/>
      <c r="EJ68" s="3807"/>
      <c r="EK68" s="3807"/>
      <c r="EL68" s="3807"/>
      <c r="EM68" s="3807"/>
      <c r="EN68" s="3807"/>
      <c r="EO68" s="3807"/>
      <c r="EP68" s="3807"/>
      <c r="EQ68" s="3807"/>
      <c r="ER68" s="3807"/>
      <c r="ES68" s="3807"/>
      <c r="ET68" s="3807"/>
      <c r="EU68" s="3807"/>
      <c r="EV68" s="3807"/>
      <c r="EW68" s="3807"/>
      <c r="EX68" s="3807"/>
      <c r="EY68" s="3807"/>
      <c r="EZ68" s="3807"/>
      <c r="FA68" s="3807"/>
      <c r="FB68" s="3807"/>
      <c r="FC68" s="3807"/>
      <c r="FD68" s="3807"/>
      <c r="FE68" s="3807"/>
      <c r="FF68" s="3807"/>
      <c r="FG68" s="3807"/>
      <c r="FH68" s="3807"/>
      <c r="FI68" s="3807"/>
      <c r="FJ68" s="3807"/>
      <c r="FK68" s="3807"/>
      <c r="FL68" s="3807"/>
      <c r="FM68" s="3807"/>
      <c r="FN68" s="3807"/>
      <c r="FO68" s="3807"/>
      <c r="FP68" s="3807"/>
      <c r="FQ68" s="3807"/>
      <c r="FR68" s="3807"/>
      <c r="FS68" s="3807"/>
      <c r="FT68" s="3807"/>
      <c r="FU68" s="3807"/>
      <c r="FV68" s="3807"/>
      <c r="FW68" s="3807"/>
      <c r="FX68" s="3807"/>
      <c r="FY68" s="3807"/>
      <c r="FZ68" s="3807"/>
      <c r="GA68" s="3807"/>
      <c r="GB68" s="3807"/>
      <c r="GC68" s="3807"/>
      <c r="GD68" s="3807"/>
      <c r="GE68" s="3807"/>
      <c r="GF68" s="3807"/>
      <c r="GG68" s="3807"/>
      <c r="GH68" s="3807"/>
      <c r="GI68" s="3807"/>
      <c r="GJ68" s="3807"/>
      <c r="GK68" s="3807"/>
      <c r="GL68" s="3807"/>
      <c r="GM68" s="3807"/>
      <c r="GN68" s="3807"/>
      <c r="GO68" s="3807"/>
      <c r="GP68" s="3807"/>
      <c r="GQ68" s="3807"/>
      <c r="GR68" s="3807"/>
      <c r="GS68" s="3807"/>
      <c r="GT68" s="3807"/>
      <c r="GU68" s="3807"/>
      <c r="GV68" s="3807"/>
      <c r="GW68" s="3807"/>
      <c r="GX68" s="3807"/>
      <c r="GY68" s="3807"/>
      <c r="GZ68" s="3807"/>
      <c r="HA68" s="3807"/>
      <c r="HB68" s="3807"/>
      <c r="HC68" s="3807"/>
      <c r="HD68" s="3807"/>
      <c r="HE68" s="3807"/>
      <c r="HF68" s="3807"/>
      <c r="HG68" s="3807"/>
      <c r="HH68" s="3807"/>
      <c r="HI68" s="3807"/>
      <c r="HJ68" s="3807"/>
      <c r="HK68" s="3807"/>
      <c r="HL68" s="3807"/>
      <c r="HM68" s="3807"/>
      <c r="HN68" s="3807"/>
      <c r="HO68" s="3807"/>
      <c r="HP68" s="3807"/>
      <c r="HQ68" s="3807"/>
      <c r="HR68" s="3807"/>
      <c r="HS68" s="3807"/>
      <c r="HT68" s="3807"/>
      <c r="HU68" s="3807"/>
      <c r="HV68" s="3807"/>
      <c r="HW68" s="3807"/>
      <c r="HX68" s="3807"/>
      <c r="HY68" s="3807"/>
      <c r="HZ68" s="3807"/>
      <c r="IA68" s="3807"/>
      <c r="IB68" s="3807"/>
      <c r="IC68" s="3807"/>
      <c r="ID68" s="3807"/>
      <c r="IE68" s="3807"/>
      <c r="IF68" s="3807"/>
      <c r="IG68" s="3807"/>
      <c r="IH68" s="3807"/>
      <c r="II68" s="3807"/>
      <c r="IJ68" s="3807"/>
      <c r="IK68" s="3807"/>
      <c r="IL68" s="3807"/>
      <c r="IM68" s="3807"/>
      <c r="IN68" s="3807"/>
      <c r="IO68" s="3807"/>
      <c r="IP68" s="2815"/>
      <c r="IQ68" s="2815"/>
      <c r="IR68" s="2815"/>
      <c r="IS68" s="3807"/>
      <c r="IT68" s="3807"/>
      <c r="IU68" s="3807"/>
      <c r="IV68" s="3807"/>
      <c r="IW68" s="3807"/>
      <c r="IX68" s="3807"/>
      <c r="IY68" s="3807"/>
      <c r="IZ68" s="3807"/>
      <c r="JA68" s="2815"/>
      <c r="JB68" s="2815"/>
      <c r="JC68" s="3807"/>
      <c r="JD68" s="3807"/>
      <c r="JE68" s="3807"/>
      <c r="JF68" s="3807"/>
      <c r="JG68" s="1591"/>
      <c r="JH68" s="1361"/>
      <c r="JI68" s="1390"/>
      <c r="JJ68" s="1572" t="s">
        <v>6111</v>
      </c>
    </row>
    <row r="69" spans="1:272" x14ac:dyDescent="0.2">
      <c r="A69" s="1128">
        <v>7</v>
      </c>
      <c r="B69" s="1285" t="str">
        <f si="4" t="shared"/>
        <v/>
      </c>
      <c r="C69" s="1587" t="s">
        <v>3568</v>
      </c>
      <c r="D69" s="1372" t="s">
        <v>4989</v>
      </c>
      <c r="E69" s="1588" t="s">
        <v>1189</v>
      </c>
      <c r="F69" s="1588" t="s">
        <v>1189</v>
      </c>
      <c r="G69" s="1588" t="s">
        <v>1189</v>
      </c>
      <c r="H69" s="1588" t="s">
        <v>1189</v>
      </c>
      <c r="I69" s="1588" t="s">
        <v>1189</v>
      </c>
      <c r="J69" s="1588" t="s">
        <v>1189</v>
      </c>
      <c r="K69" s="1588" t="s">
        <v>1189</v>
      </c>
      <c r="L69" s="1588" t="s">
        <v>1189</v>
      </c>
      <c r="M69" s="1588" t="s">
        <v>1189</v>
      </c>
      <c r="N69" s="1588" t="s">
        <v>1189</v>
      </c>
      <c r="O69" s="2044"/>
      <c r="P69" s="2044"/>
      <c r="Q69" s="2044"/>
      <c r="R69" s="2044"/>
      <c r="S69" s="2044"/>
      <c r="T69" s="3920"/>
      <c r="U69" s="3920"/>
      <c r="V69" s="3920"/>
      <c r="W69" s="3920"/>
      <c r="X69" s="3920"/>
      <c r="Y69" s="3920"/>
      <c r="Z69" s="3920"/>
      <c r="AA69" s="3920"/>
      <c r="AB69" s="3920"/>
      <c r="AC69" s="3920"/>
      <c r="AD69" s="3920"/>
      <c r="AE69" s="3920"/>
      <c r="AF69" s="3920"/>
      <c r="AG69" s="3920"/>
      <c r="AH69" s="3920"/>
      <c r="AI69" s="3920"/>
      <c r="AJ69" s="3920"/>
      <c r="AK69" s="3920"/>
      <c r="AL69" s="3920"/>
      <c r="AM69" s="3920"/>
      <c r="AN69" s="3920"/>
      <c r="AO69" s="3920"/>
      <c r="AP69" s="3920"/>
      <c r="AQ69" s="3920"/>
      <c r="AR69" s="3920"/>
      <c r="AS69" s="3920"/>
      <c r="AT69" s="3920"/>
      <c r="AU69" s="3920"/>
      <c r="AV69" s="3920"/>
      <c r="AW69" s="3920"/>
      <c r="AX69" s="3920"/>
      <c r="AY69" s="3920"/>
      <c r="AZ69" s="3920"/>
      <c r="BA69" s="3920"/>
      <c r="BB69" s="3920"/>
      <c r="BC69" s="3920"/>
      <c r="BD69" s="3920"/>
      <c r="BE69" s="3920"/>
      <c r="BF69" s="3920"/>
      <c r="BG69" s="3920"/>
      <c r="BH69" s="3920"/>
      <c r="BI69" s="3920"/>
      <c r="BJ69" s="3920"/>
      <c r="BK69" s="3562"/>
      <c r="BL69" s="3920"/>
      <c r="BM69" s="3920"/>
      <c r="BN69" s="3920"/>
      <c r="BO69" s="3920"/>
      <c r="BP69" s="3920"/>
      <c r="BQ69" s="3920"/>
      <c r="BR69" s="3920"/>
      <c r="BS69" s="3920"/>
      <c r="BT69" s="3920"/>
      <c r="BU69" s="3920"/>
      <c r="BV69" s="3920"/>
      <c r="BW69" s="3920"/>
      <c r="BX69" s="3920"/>
      <c r="BY69" s="3920"/>
      <c r="BZ69" s="3920"/>
      <c r="CA69" s="3920"/>
      <c r="CB69" s="3920"/>
      <c r="CC69" s="3920"/>
      <c r="CD69" s="3920"/>
      <c r="CE69" s="3920"/>
      <c r="CF69" s="3920"/>
      <c r="CG69" s="3920"/>
      <c r="CH69" s="3920"/>
      <c r="CI69" s="3920"/>
      <c r="CJ69" s="3920"/>
      <c r="CK69" s="3920"/>
      <c r="CL69" s="3920"/>
      <c r="CM69" s="3920"/>
      <c r="CN69" s="3920"/>
      <c r="CO69" s="3920"/>
      <c r="CP69" s="3920"/>
      <c r="CQ69" s="3920"/>
      <c r="CR69" s="3920"/>
      <c r="CS69" s="3920"/>
      <c r="CT69" s="3920"/>
      <c r="CU69" s="3920"/>
      <c r="CV69" s="3920"/>
      <c r="CW69" s="3920"/>
      <c r="CX69" s="3920"/>
      <c r="CY69" s="3920"/>
      <c r="CZ69" s="3920"/>
      <c r="DA69" s="3920"/>
      <c r="DB69" s="3920"/>
      <c r="DC69" s="3920"/>
      <c r="DD69" s="3920"/>
      <c r="DE69" s="3920"/>
      <c r="DF69" s="3920"/>
      <c r="DG69" s="3920"/>
      <c r="DH69" s="3920"/>
      <c r="DI69" s="3920"/>
      <c r="DJ69" s="3920"/>
      <c r="DK69" s="3920"/>
      <c r="DL69" s="3920"/>
      <c r="DM69" s="3920"/>
      <c r="DN69" s="3920"/>
      <c r="DO69" s="3920"/>
      <c r="DP69" s="3920"/>
      <c r="DQ69" s="3920"/>
      <c r="DR69" s="3920"/>
      <c r="DS69" s="3920"/>
      <c r="DT69" s="3920"/>
      <c r="DU69" s="3920"/>
      <c r="DV69" s="3920"/>
      <c r="DW69" s="3920"/>
      <c r="DX69" s="3920"/>
      <c r="DY69" s="3920"/>
      <c r="DZ69" s="3920"/>
      <c r="EA69" s="3920"/>
      <c r="EB69" s="3920"/>
      <c r="EC69" s="3920"/>
      <c r="ED69" s="3920"/>
      <c r="EE69" s="3920"/>
      <c r="EF69" s="3920"/>
      <c r="EG69" s="3920"/>
      <c r="EH69" s="3920"/>
      <c r="EI69" s="3920"/>
      <c r="EJ69" s="3920"/>
      <c r="EK69" s="3920"/>
      <c r="EL69" s="3920"/>
      <c r="EM69" s="3920"/>
      <c r="EN69" s="3920"/>
      <c r="EO69" s="3920"/>
      <c r="EP69" s="3920"/>
      <c r="EQ69" s="3920"/>
      <c r="ER69" s="3920"/>
      <c r="ES69" s="3920"/>
      <c r="ET69" s="3920"/>
      <c r="EU69" s="3920"/>
      <c r="EV69" s="3920"/>
      <c r="EW69" s="3920"/>
      <c r="EX69" s="3920"/>
      <c r="EY69" s="3920"/>
      <c r="EZ69" s="3920"/>
      <c r="FA69" s="3920"/>
      <c r="FB69" s="3920"/>
      <c r="FC69" s="3920"/>
      <c r="FD69" s="3920"/>
      <c r="FE69" s="3920"/>
      <c r="FF69" s="3920"/>
      <c r="FG69" s="3920"/>
      <c r="FH69" s="3920"/>
      <c r="FI69" s="3920"/>
      <c r="FJ69" s="3920"/>
      <c r="FK69" s="3920"/>
      <c r="FL69" s="3920"/>
      <c r="FM69" s="3920"/>
      <c r="FN69" s="3920"/>
      <c r="FO69" s="3920"/>
      <c r="FP69" s="3920"/>
      <c r="FQ69" s="3920"/>
      <c r="FR69" s="3920"/>
      <c r="FS69" s="3920"/>
      <c r="FT69" s="3920"/>
      <c r="FU69" s="3920"/>
      <c r="FV69" s="3920"/>
      <c r="FW69" s="3920"/>
      <c r="FX69" s="3920"/>
      <c r="FY69" s="3920"/>
      <c r="FZ69" s="3920"/>
      <c r="GA69" s="3920"/>
      <c r="GB69" s="3920"/>
      <c r="GC69" s="3920"/>
      <c r="GD69" s="3920"/>
      <c r="GE69" s="3920"/>
      <c r="GF69" s="3920"/>
      <c r="GG69" s="3920"/>
      <c r="GH69" s="3920"/>
      <c r="GI69" s="3920"/>
      <c r="GJ69" s="3920"/>
      <c r="GK69" s="3920"/>
      <c r="GL69" s="3920"/>
      <c r="GM69" s="3920"/>
      <c r="GN69" s="3920"/>
      <c r="GO69" s="3920"/>
      <c r="GP69" s="3920"/>
      <c r="GQ69" s="3920"/>
      <c r="GR69" s="3920"/>
      <c r="GS69" s="3920"/>
      <c r="GT69" s="3920"/>
      <c r="GU69" s="3920"/>
      <c r="GV69" s="3920"/>
      <c r="GW69" s="3920"/>
      <c r="GX69" s="3920"/>
      <c r="GY69" s="3920"/>
      <c r="GZ69" s="3920"/>
      <c r="HA69" s="3920"/>
      <c r="HB69" s="3920"/>
      <c r="HC69" s="3920"/>
      <c r="HD69" s="3920"/>
      <c r="HE69" s="3920"/>
      <c r="HF69" s="3920"/>
      <c r="HG69" s="3920"/>
      <c r="HH69" s="3920"/>
      <c r="HI69" s="3920"/>
      <c r="HJ69" s="3920"/>
      <c r="HK69" s="3920"/>
      <c r="HL69" s="3920"/>
      <c r="HM69" s="3920"/>
      <c r="HN69" s="3920"/>
      <c r="HO69" s="3920"/>
      <c r="HP69" s="3920"/>
      <c r="HQ69" s="3920"/>
      <c r="HR69" s="3920"/>
      <c r="HS69" s="3920"/>
      <c r="HT69" s="3920"/>
      <c r="HU69" s="3920"/>
      <c r="HV69" s="3920"/>
      <c r="HW69" s="3920"/>
      <c r="HX69" s="3920"/>
      <c r="HY69" s="3920"/>
      <c r="HZ69" s="3920"/>
      <c r="IA69" s="3920"/>
      <c r="IB69" s="3920"/>
      <c r="IC69" s="3920"/>
      <c r="ID69" s="3920"/>
      <c r="IE69" s="3920"/>
      <c r="IF69" s="3920"/>
      <c r="IG69" s="3920"/>
      <c r="IH69" s="3920"/>
      <c r="II69" s="3920"/>
      <c r="IJ69" s="3920"/>
      <c r="IK69" s="3920"/>
      <c r="IL69" s="3920"/>
      <c r="IM69" s="3920"/>
      <c r="IN69" s="3920"/>
      <c r="IO69" s="3920"/>
      <c r="IP69" s="3562"/>
      <c r="IQ69" s="3562"/>
      <c r="IR69" s="3562"/>
      <c r="IS69" s="3920"/>
      <c r="IT69" s="3920"/>
      <c r="IU69" s="3920"/>
      <c r="IV69" s="3920"/>
      <c r="IW69" s="3920"/>
      <c r="IX69" s="3920"/>
      <c r="IY69" s="3920"/>
      <c r="IZ69" s="3920"/>
      <c r="JA69" s="3562"/>
      <c r="JB69" s="3562"/>
      <c r="JC69" s="3920"/>
      <c r="JD69" s="3920"/>
      <c r="JE69" s="3920"/>
      <c r="JF69" s="3920"/>
      <c r="JG69" s="1589"/>
      <c r="JH69" s="1361"/>
      <c r="JI69" s="1390"/>
      <c r="JJ69" s="1572" t="s">
        <v>6111</v>
      </c>
    </row>
    <row ht="33.75" r="70" spans="1:272" x14ac:dyDescent="0.2">
      <c r="A70" s="1128">
        <v>8</v>
      </c>
      <c r="B70" s="1285" t="str">
        <f si="4" t="shared"/>
        <v/>
      </c>
      <c r="C70" s="1587" t="s">
        <v>3569</v>
      </c>
      <c r="D70" s="1372" t="s">
        <v>4990</v>
      </c>
      <c r="E70" s="1377"/>
      <c r="F70" s="1592"/>
      <c r="G70" s="1592"/>
      <c r="H70" s="1592"/>
      <c r="I70" s="1374"/>
      <c r="J70" s="1374"/>
      <c r="K70" s="1374"/>
      <c r="L70" s="1592"/>
      <c r="M70" s="1592"/>
      <c r="N70" s="1592"/>
      <c r="O70" s="2046"/>
      <c r="P70" s="2046"/>
      <c r="Q70" s="2046"/>
      <c r="R70" s="2046"/>
      <c r="S70" s="2046"/>
      <c r="T70" s="3921"/>
      <c r="U70" s="3921"/>
      <c r="V70" s="3921"/>
      <c r="W70" s="3921"/>
      <c r="X70" s="3921"/>
      <c r="Y70" s="3921"/>
      <c r="Z70" s="3921"/>
      <c r="AA70" s="3921"/>
      <c r="AB70" s="3921"/>
      <c r="AC70" s="3921"/>
      <c r="AD70" s="3921"/>
      <c r="AE70" s="3921"/>
      <c r="AF70" s="3921"/>
      <c r="AG70" s="3921"/>
      <c r="AH70" s="3921"/>
      <c r="AI70" s="3921"/>
      <c r="AJ70" s="3921"/>
      <c r="AK70" s="3921"/>
      <c r="AL70" s="3921"/>
      <c r="AM70" s="3921"/>
      <c r="AN70" s="3921"/>
      <c r="AO70" s="3921"/>
      <c r="AP70" s="3921"/>
      <c r="AQ70" s="3921"/>
      <c r="AR70" s="3921"/>
      <c r="AS70" s="3921"/>
      <c r="AT70" s="3921"/>
      <c r="AU70" s="3921"/>
      <c r="AV70" s="3921"/>
      <c r="AW70" s="3921"/>
      <c r="AX70" s="3921"/>
      <c r="AY70" s="3921"/>
      <c r="AZ70" s="3921"/>
      <c r="BA70" s="3921"/>
      <c r="BB70" s="3921"/>
      <c r="BC70" s="3921"/>
      <c r="BD70" s="3921"/>
      <c r="BE70" s="3921"/>
      <c r="BF70" s="3921"/>
      <c r="BG70" s="3921"/>
      <c r="BH70" s="3921"/>
      <c r="BI70" s="3921"/>
      <c r="BJ70" s="3921"/>
      <c r="BK70" s="3831"/>
      <c r="BL70" s="3921"/>
      <c r="BM70" s="3921"/>
      <c r="BN70" s="3921"/>
      <c r="BO70" s="3921"/>
      <c r="BP70" s="3921"/>
      <c r="BQ70" s="3921"/>
      <c r="BR70" s="3921"/>
      <c r="BS70" s="3921"/>
      <c r="BT70" s="3921"/>
      <c r="BU70" s="3921"/>
      <c r="BV70" s="3921"/>
      <c r="BW70" s="3921"/>
      <c r="BX70" s="3921"/>
      <c r="BY70" s="3921"/>
      <c r="BZ70" s="3921"/>
      <c r="CA70" s="3921"/>
      <c r="CB70" s="3921"/>
      <c r="CC70" s="3921"/>
      <c r="CD70" s="3921"/>
      <c r="CE70" s="3921"/>
      <c r="CF70" s="3921"/>
      <c r="CG70" s="3921"/>
      <c r="CH70" s="3921"/>
      <c r="CI70" s="3921"/>
      <c r="CJ70" s="3921"/>
      <c r="CK70" s="3921"/>
      <c r="CL70" s="3921"/>
      <c r="CM70" s="3921"/>
      <c r="CN70" s="3921"/>
      <c r="CO70" s="3921"/>
      <c r="CP70" s="3921"/>
      <c r="CQ70" s="3921"/>
      <c r="CR70" s="3921"/>
      <c r="CS70" s="3921"/>
      <c r="CT70" s="3921"/>
      <c r="CU70" s="3921"/>
      <c r="CV70" s="3921"/>
      <c r="CW70" s="3921"/>
      <c r="CX70" s="3921"/>
      <c r="CY70" s="3921"/>
      <c r="CZ70" s="3921"/>
      <c r="DA70" s="3921"/>
      <c r="DB70" s="3921"/>
      <c r="DC70" s="3921"/>
      <c r="DD70" s="3921"/>
      <c r="DE70" s="3921"/>
      <c r="DF70" s="3921"/>
      <c r="DG70" s="3921"/>
      <c r="DH70" s="3921"/>
      <c r="DI70" s="3921"/>
      <c r="DJ70" s="3921"/>
      <c r="DK70" s="3921"/>
      <c r="DL70" s="3921"/>
      <c r="DM70" s="3921"/>
      <c r="DN70" s="3921"/>
      <c r="DO70" s="3921"/>
      <c r="DP70" s="3921"/>
      <c r="DQ70" s="3921"/>
      <c r="DR70" s="3921"/>
      <c r="DS70" s="3921"/>
      <c r="DT70" s="3921"/>
      <c r="DU70" s="3921"/>
      <c r="DV70" s="3921"/>
      <c r="DW70" s="3921"/>
      <c r="DX70" s="3921"/>
      <c r="DY70" s="3921"/>
      <c r="DZ70" s="3921"/>
      <c r="EA70" s="3921"/>
      <c r="EB70" s="3921"/>
      <c r="EC70" s="3921"/>
      <c r="ED70" s="3921"/>
      <c r="EE70" s="3921"/>
      <c r="EF70" s="3921"/>
      <c r="EG70" s="3921"/>
      <c r="EH70" s="3921"/>
      <c r="EI70" s="3921"/>
      <c r="EJ70" s="3921"/>
      <c r="EK70" s="3921"/>
      <c r="EL70" s="3921"/>
      <c r="EM70" s="3921"/>
      <c r="EN70" s="3921"/>
      <c r="EO70" s="3921"/>
      <c r="EP70" s="3921"/>
      <c r="EQ70" s="3921"/>
      <c r="ER70" s="3921"/>
      <c r="ES70" s="3921"/>
      <c r="ET70" s="3921"/>
      <c r="EU70" s="3921"/>
      <c r="EV70" s="3921"/>
      <c r="EW70" s="3921"/>
      <c r="EX70" s="3921"/>
      <c r="EY70" s="3921"/>
      <c r="EZ70" s="3921"/>
      <c r="FA70" s="3921"/>
      <c r="FB70" s="3921"/>
      <c r="FC70" s="3921"/>
      <c r="FD70" s="3921"/>
      <c r="FE70" s="3921"/>
      <c r="FF70" s="3921"/>
      <c r="FG70" s="3921"/>
      <c r="FH70" s="3921"/>
      <c r="FI70" s="3921"/>
      <c r="FJ70" s="3921"/>
      <c r="FK70" s="3921"/>
      <c r="FL70" s="3921"/>
      <c r="FM70" s="3921"/>
      <c r="FN70" s="3921"/>
      <c r="FO70" s="3921"/>
      <c r="FP70" s="3921"/>
      <c r="FQ70" s="3921"/>
      <c r="FR70" s="3921"/>
      <c r="FS70" s="3921"/>
      <c r="FT70" s="3921"/>
      <c r="FU70" s="3921"/>
      <c r="FV70" s="3921"/>
      <c r="FW70" s="3921"/>
      <c r="FX70" s="3921"/>
      <c r="FY70" s="3921"/>
      <c r="FZ70" s="3921"/>
      <c r="GA70" s="3921"/>
      <c r="GB70" s="3921"/>
      <c r="GC70" s="3921"/>
      <c r="GD70" s="3921"/>
      <c r="GE70" s="3921"/>
      <c r="GF70" s="3921"/>
      <c r="GG70" s="3921"/>
      <c r="GH70" s="3921"/>
      <c r="GI70" s="3921"/>
      <c r="GJ70" s="3921"/>
      <c r="GK70" s="3921"/>
      <c r="GL70" s="3921"/>
      <c r="GM70" s="3921"/>
      <c r="GN70" s="3921"/>
      <c r="GO70" s="3921"/>
      <c r="GP70" s="3921"/>
      <c r="GQ70" s="3921"/>
      <c r="GR70" s="3921"/>
      <c r="GS70" s="3921"/>
      <c r="GT70" s="3921"/>
      <c r="GU70" s="3921"/>
      <c r="GV70" s="3921"/>
      <c r="GW70" s="3921"/>
      <c r="GX70" s="3921"/>
      <c r="GY70" s="3921"/>
      <c r="GZ70" s="3921"/>
      <c r="HA70" s="3921"/>
      <c r="HB70" s="3921"/>
      <c r="HC70" s="3921"/>
      <c r="HD70" s="3921"/>
      <c r="HE70" s="3921"/>
      <c r="HF70" s="3921"/>
      <c r="HG70" s="3921"/>
      <c r="HH70" s="3921"/>
      <c r="HI70" s="3921"/>
      <c r="HJ70" s="3921"/>
      <c r="HK70" s="3921"/>
      <c r="HL70" s="3921"/>
      <c r="HM70" s="3921"/>
      <c r="HN70" s="3921"/>
      <c r="HO70" s="3921"/>
      <c r="HP70" s="3921"/>
      <c r="HQ70" s="3921"/>
      <c r="HR70" s="3921"/>
      <c r="HS70" s="3921"/>
      <c r="HT70" s="3921"/>
      <c r="HU70" s="3921"/>
      <c r="HV70" s="3921"/>
      <c r="HW70" s="3921"/>
      <c r="HX70" s="3921"/>
      <c r="HY70" s="3921"/>
      <c r="HZ70" s="3921"/>
      <c r="IA70" s="3921"/>
      <c r="IB70" s="3921"/>
      <c r="IC70" s="3921"/>
      <c r="ID70" s="3921"/>
      <c r="IE70" s="3921"/>
      <c r="IF70" s="3921"/>
      <c r="IG70" s="3921"/>
      <c r="IH70" s="3921"/>
      <c r="II70" s="3921"/>
      <c r="IJ70" s="3921"/>
      <c r="IK70" s="3921"/>
      <c r="IL70" s="3921"/>
      <c r="IM70" s="3921"/>
      <c r="IN70" s="3921"/>
      <c r="IO70" s="3921"/>
      <c r="IP70" s="3831"/>
      <c r="IQ70" s="3831"/>
      <c r="IR70" s="3831"/>
      <c r="IS70" s="3921"/>
      <c r="IT70" s="3921"/>
      <c r="IU70" s="3921"/>
      <c r="IV70" s="3921"/>
      <c r="IW70" s="3921"/>
      <c r="IX70" s="3921"/>
      <c r="IY70" s="3921"/>
      <c r="IZ70" s="3921"/>
      <c r="JA70" s="3831"/>
      <c r="JB70" s="3831"/>
      <c r="JC70" s="3921"/>
      <c r="JD70" s="3921"/>
      <c r="JE70" s="3921"/>
      <c r="JF70" s="3921"/>
      <c r="JG70" s="1593"/>
      <c r="JH70" s="1362"/>
      <c r="JI70" s="1391" t="s">
        <v>5377</v>
      </c>
      <c r="JJ70" s="1740" t="s">
        <v>6126</v>
      </c>
    </row>
    <row r="71" spans="1:272" x14ac:dyDescent="0.2">
      <c r="A71" s="1128">
        <v>9</v>
      </c>
      <c r="B71" s="1285" t="str">
        <f si="4" t="shared"/>
        <v/>
      </c>
      <c r="C71" s="1587" t="s">
        <v>3570</v>
      </c>
      <c r="D71" s="1372" t="s">
        <v>4991</v>
      </c>
      <c r="E71" s="2916" t="s">
        <v>572</v>
      </c>
      <c r="F71" s="2916" t="s">
        <v>572</v>
      </c>
      <c r="G71" s="1588" t="s">
        <v>1189</v>
      </c>
      <c r="H71" s="1351" t="s">
        <v>1189</v>
      </c>
      <c r="I71" s="1351" t="s">
        <v>1189</v>
      </c>
      <c r="J71" s="1588" t="s">
        <v>1189</v>
      </c>
      <c r="K71" s="1351"/>
      <c r="L71" s="1351" t="s">
        <v>1189</v>
      </c>
      <c r="M71" s="1351" t="s">
        <v>1189</v>
      </c>
      <c r="N71" s="1351" t="s">
        <v>1189</v>
      </c>
      <c r="O71" s="2045"/>
      <c r="P71" s="2045"/>
      <c r="Q71" s="2045"/>
      <c r="R71" s="2045"/>
      <c r="S71" s="2045"/>
      <c r="T71" s="3807"/>
      <c r="U71" s="3807"/>
      <c r="V71" s="3807"/>
      <c r="W71" s="3807"/>
      <c r="X71" s="3807"/>
      <c r="Y71" s="3807"/>
      <c r="Z71" s="3807"/>
      <c r="AA71" s="3807"/>
      <c r="AB71" s="3807"/>
      <c r="AC71" s="3807"/>
      <c r="AD71" s="3807"/>
      <c r="AE71" s="3807"/>
      <c r="AF71" s="3807"/>
      <c r="AG71" s="3807"/>
      <c r="AH71" s="3807"/>
      <c r="AI71" s="3807"/>
      <c r="AJ71" s="3807"/>
      <c r="AK71" s="3807"/>
      <c r="AL71" s="3807"/>
      <c r="AM71" s="3807"/>
      <c r="AN71" s="3807"/>
      <c r="AO71" s="3807"/>
      <c r="AP71" s="3807"/>
      <c r="AQ71" s="3807"/>
      <c r="AR71" s="3807"/>
      <c r="AS71" s="3807"/>
      <c r="AT71" s="3807"/>
      <c r="AU71" s="3807"/>
      <c r="AV71" s="3807"/>
      <c r="AW71" s="3807"/>
      <c r="AX71" s="3807"/>
      <c r="AY71" s="3807"/>
      <c r="AZ71" s="3807"/>
      <c r="BA71" s="3807"/>
      <c r="BB71" s="3807"/>
      <c r="BC71" s="3807"/>
      <c r="BD71" s="3807"/>
      <c r="BE71" s="3807"/>
      <c r="BF71" s="3807"/>
      <c r="BG71" s="3807"/>
      <c r="BH71" s="3807"/>
      <c r="BI71" s="3807"/>
      <c r="BJ71" s="3807"/>
      <c r="BK71" s="2815"/>
      <c r="BL71" s="3807"/>
      <c r="BM71" s="3807"/>
      <c r="BN71" s="3807"/>
      <c r="BO71" s="3807"/>
      <c r="BP71" s="3807"/>
      <c r="BQ71" s="3807"/>
      <c r="BR71" s="3807"/>
      <c r="BS71" s="3807"/>
      <c r="BT71" s="3807"/>
      <c r="BU71" s="3807"/>
      <c r="BV71" s="3807"/>
      <c r="BW71" s="3807"/>
      <c r="BX71" s="3807"/>
      <c r="BY71" s="3807"/>
      <c r="BZ71" s="3807"/>
      <c r="CA71" s="3807"/>
      <c r="CB71" s="3807"/>
      <c r="CC71" s="3807"/>
      <c r="CD71" s="3807"/>
      <c r="CE71" s="3807"/>
      <c r="CF71" s="3807"/>
      <c r="CG71" s="3807"/>
      <c r="CH71" s="3807"/>
      <c r="CI71" s="3807"/>
      <c r="CJ71" s="3807"/>
      <c r="CK71" s="3807"/>
      <c r="CL71" s="3807"/>
      <c r="CM71" s="3807"/>
      <c r="CN71" s="3807"/>
      <c r="CO71" s="3807"/>
      <c r="CP71" s="3807"/>
      <c r="CQ71" s="3807"/>
      <c r="CR71" s="3807"/>
      <c r="CS71" s="3807"/>
      <c r="CT71" s="3807"/>
      <c r="CU71" s="3807"/>
      <c r="CV71" s="3807"/>
      <c r="CW71" s="3807"/>
      <c r="CX71" s="3807"/>
      <c r="CY71" s="3807"/>
      <c r="CZ71" s="3807"/>
      <c r="DA71" s="3807"/>
      <c r="DB71" s="3807"/>
      <c r="DC71" s="3807"/>
      <c r="DD71" s="3807"/>
      <c r="DE71" s="3807"/>
      <c r="DF71" s="3807"/>
      <c r="DG71" s="3807"/>
      <c r="DH71" s="3807"/>
      <c r="DI71" s="3807"/>
      <c r="DJ71" s="3807"/>
      <c r="DK71" s="3807"/>
      <c r="DL71" s="3807"/>
      <c r="DM71" s="3807"/>
      <c r="DN71" s="3807"/>
      <c r="DO71" s="3807"/>
      <c r="DP71" s="3807"/>
      <c r="DQ71" s="3807"/>
      <c r="DR71" s="3807"/>
      <c r="DS71" s="3807"/>
      <c r="DT71" s="3807"/>
      <c r="DU71" s="3807"/>
      <c r="DV71" s="3807"/>
      <c r="DW71" s="3807"/>
      <c r="DX71" s="3807"/>
      <c r="DY71" s="3807"/>
      <c r="DZ71" s="3807"/>
      <c r="EA71" s="3807"/>
      <c r="EB71" s="3807"/>
      <c r="EC71" s="3807"/>
      <c r="ED71" s="3807"/>
      <c r="EE71" s="3807"/>
      <c r="EF71" s="3807"/>
      <c r="EG71" s="3807"/>
      <c r="EH71" s="3807"/>
      <c r="EI71" s="3807"/>
      <c r="EJ71" s="3807"/>
      <c r="EK71" s="3807"/>
      <c r="EL71" s="3807"/>
      <c r="EM71" s="3807"/>
      <c r="EN71" s="3807"/>
      <c r="EO71" s="3807"/>
      <c r="EP71" s="3807"/>
      <c r="EQ71" s="3807"/>
      <c r="ER71" s="3807"/>
      <c r="ES71" s="3807"/>
      <c r="ET71" s="3807"/>
      <c r="EU71" s="3807"/>
      <c r="EV71" s="3807"/>
      <c r="EW71" s="3807"/>
      <c r="EX71" s="3807"/>
      <c r="EY71" s="3807"/>
      <c r="EZ71" s="3807"/>
      <c r="FA71" s="3807"/>
      <c r="FB71" s="3807"/>
      <c r="FC71" s="3807"/>
      <c r="FD71" s="3807"/>
      <c r="FE71" s="3807"/>
      <c r="FF71" s="3807"/>
      <c r="FG71" s="3807"/>
      <c r="FH71" s="3807"/>
      <c r="FI71" s="3807"/>
      <c r="FJ71" s="3807"/>
      <c r="FK71" s="3807"/>
      <c r="FL71" s="3807"/>
      <c r="FM71" s="3807"/>
      <c r="FN71" s="3807"/>
      <c r="FO71" s="3807"/>
      <c r="FP71" s="3807"/>
      <c r="FQ71" s="3807"/>
      <c r="FR71" s="3807"/>
      <c r="FS71" s="3807"/>
      <c r="FT71" s="3807"/>
      <c r="FU71" s="3807"/>
      <c r="FV71" s="3807"/>
      <c r="FW71" s="3807"/>
      <c r="FX71" s="3807"/>
      <c r="FY71" s="3807"/>
      <c r="FZ71" s="3807"/>
      <c r="GA71" s="3807"/>
      <c r="GB71" s="3807"/>
      <c r="GC71" s="3807"/>
      <c r="GD71" s="3807"/>
      <c r="GE71" s="3807"/>
      <c r="GF71" s="3807"/>
      <c r="GG71" s="3807"/>
      <c r="GH71" s="3807"/>
      <c r="GI71" s="3807"/>
      <c r="GJ71" s="3807"/>
      <c r="GK71" s="3807"/>
      <c r="GL71" s="3807"/>
      <c r="GM71" s="3807"/>
      <c r="GN71" s="3807"/>
      <c r="GO71" s="3807"/>
      <c r="GP71" s="3807"/>
      <c r="GQ71" s="3807"/>
      <c r="GR71" s="3807"/>
      <c r="GS71" s="3807"/>
      <c r="GT71" s="3807"/>
      <c r="GU71" s="3807"/>
      <c r="GV71" s="3807"/>
      <c r="GW71" s="3807"/>
      <c r="GX71" s="3807"/>
      <c r="GY71" s="3807"/>
      <c r="GZ71" s="3807"/>
      <c r="HA71" s="3807"/>
      <c r="HB71" s="3807"/>
      <c r="HC71" s="3807"/>
      <c r="HD71" s="3807"/>
      <c r="HE71" s="3807"/>
      <c r="HF71" s="3807"/>
      <c r="HG71" s="3807"/>
      <c r="HH71" s="3807"/>
      <c r="HI71" s="3807"/>
      <c r="HJ71" s="3807"/>
      <c r="HK71" s="3807"/>
      <c r="HL71" s="3807"/>
      <c r="HM71" s="3807"/>
      <c r="HN71" s="3807"/>
      <c r="HO71" s="3807"/>
      <c r="HP71" s="3807"/>
      <c r="HQ71" s="3807"/>
      <c r="HR71" s="3807"/>
      <c r="HS71" s="3807"/>
      <c r="HT71" s="3807"/>
      <c r="HU71" s="3807"/>
      <c r="HV71" s="3807"/>
      <c r="HW71" s="3807"/>
      <c r="HX71" s="3807"/>
      <c r="HY71" s="3807"/>
      <c r="HZ71" s="3807"/>
      <c r="IA71" s="3807"/>
      <c r="IB71" s="3807"/>
      <c r="IC71" s="3807"/>
      <c r="ID71" s="3807"/>
      <c r="IE71" s="3807"/>
      <c r="IF71" s="3807"/>
      <c r="IG71" s="3807"/>
      <c r="IH71" s="3807"/>
      <c r="II71" s="3807"/>
      <c r="IJ71" s="3807"/>
      <c r="IK71" s="3807"/>
      <c r="IL71" s="3807"/>
      <c r="IM71" s="3807"/>
      <c r="IN71" s="3807"/>
      <c r="IO71" s="3807"/>
      <c r="IP71" s="2815"/>
      <c r="IQ71" s="3829" t="s">
        <v>572</v>
      </c>
      <c r="IR71" s="2815"/>
      <c r="IS71" s="3807"/>
      <c r="IT71" s="3807"/>
      <c r="IU71" s="3807"/>
      <c r="IV71" s="3807"/>
      <c r="IW71" s="3979" t="s">
        <v>572</v>
      </c>
      <c r="IX71" s="3807"/>
      <c r="IY71" s="3807"/>
      <c r="IZ71" s="3980"/>
      <c r="JA71" s="2815"/>
      <c r="JB71" s="2815"/>
      <c r="JC71" s="4232"/>
      <c r="JD71" s="4232"/>
      <c r="JE71" s="3807"/>
      <c r="JF71" s="3807"/>
      <c r="JG71" s="1591"/>
      <c r="JH71" s="1361"/>
      <c r="JI71" s="1391" t="s">
        <v>5378</v>
      </c>
      <c r="JJ71" s="1572" t="s">
        <v>6111</v>
      </c>
    </row>
    <row r="72" spans="1:272" x14ac:dyDescent="0.2">
      <c r="A72" s="1128">
        <v>10</v>
      </c>
      <c r="B72" s="1285" t="str">
        <f si="4" t="shared"/>
        <v/>
      </c>
      <c r="C72" s="1587" t="s">
        <v>3571</v>
      </c>
      <c r="D72" s="1372" t="str">
        <f>"If you have had a gap between employments in "&amp;tax_year&amp;" put 'X' in box"</f>
        <v>If you have had a gap between employments in 2019-20 put 'X' in box</v>
      </c>
      <c r="E72" s="1588" t="s">
        <v>572</v>
      </c>
      <c r="F72" s="1588" t="s">
        <v>572</v>
      </c>
      <c r="G72" s="1588" t="s">
        <v>1189</v>
      </c>
      <c r="H72" s="1588" t="s">
        <v>1189</v>
      </c>
      <c r="I72" s="1351" t="s">
        <v>1189</v>
      </c>
      <c r="J72" s="1351" t="s">
        <v>1189</v>
      </c>
      <c r="K72" s="1351"/>
      <c r="L72" s="1588" t="s">
        <v>1189</v>
      </c>
      <c r="M72" s="1588" t="s">
        <v>1189</v>
      </c>
      <c r="N72" s="1588" t="s">
        <v>1189</v>
      </c>
      <c r="O72" s="2044"/>
      <c r="P72" s="2044"/>
      <c r="Q72" s="2044"/>
      <c r="R72" s="2044"/>
      <c r="S72" s="2044"/>
      <c r="T72" s="3920"/>
      <c r="U72" s="3920"/>
      <c r="V72" s="3920"/>
      <c r="W72" s="3920"/>
      <c r="X72" s="3920"/>
      <c r="Y72" s="3920"/>
      <c r="Z72" s="3920"/>
      <c r="AA72" s="3920"/>
      <c r="AB72" s="3920"/>
      <c r="AC72" s="3920"/>
      <c r="AD72" s="3920"/>
      <c r="AE72" s="3920"/>
      <c r="AF72" s="3920"/>
      <c r="AG72" s="3920"/>
      <c r="AH72" s="3920"/>
      <c r="AI72" s="3920"/>
      <c r="AJ72" s="3920"/>
      <c r="AK72" s="3920"/>
      <c r="AL72" s="3920"/>
      <c r="AM72" s="3920"/>
      <c r="AN72" s="3920"/>
      <c r="AO72" s="3920"/>
      <c r="AP72" s="3920"/>
      <c r="AQ72" s="3920"/>
      <c r="AR72" s="3920"/>
      <c r="AS72" s="3920"/>
      <c r="AT72" s="3920"/>
      <c r="AU72" s="3920"/>
      <c r="AV72" s="3920"/>
      <c r="AW72" s="3920"/>
      <c r="AX72" s="3920"/>
      <c r="AY72" s="3920"/>
      <c r="AZ72" s="3920"/>
      <c r="BA72" s="3920"/>
      <c r="BB72" s="3920"/>
      <c r="BC72" s="3920"/>
      <c r="BD72" s="3920"/>
      <c r="BE72" s="3920"/>
      <c r="BF72" s="3920"/>
      <c r="BG72" s="3920"/>
      <c r="BH72" s="3920"/>
      <c r="BI72" s="3920"/>
      <c r="BJ72" s="3920"/>
      <c r="BK72" s="3562"/>
      <c r="BL72" s="3920"/>
      <c r="BM72" s="3920"/>
      <c r="BN72" s="3920"/>
      <c r="BO72" s="3920"/>
      <c r="BP72" s="3920"/>
      <c r="BQ72" s="3920"/>
      <c r="BR72" s="3920"/>
      <c r="BS72" s="3920"/>
      <c r="BT72" s="3920"/>
      <c r="BU72" s="3920"/>
      <c r="BV72" s="3920"/>
      <c r="BW72" s="3920"/>
      <c r="BX72" s="3920"/>
      <c r="BY72" s="3920"/>
      <c r="BZ72" s="3920"/>
      <c r="CA72" s="3920"/>
      <c r="CB72" s="3920"/>
      <c r="CC72" s="3920"/>
      <c r="CD72" s="3920"/>
      <c r="CE72" s="3920"/>
      <c r="CF72" s="3920"/>
      <c r="CG72" s="3920"/>
      <c r="CH72" s="3920"/>
      <c r="CI72" s="3920"/>
      <c r="CJ72" s="3920"/>
      <c r="CK72" s="3920"/>
      <c r="CL72" s="3920"/>
      <c r="CM72" s="3920"/>
      <c r="CN72" s="3920"/>
      <c r="CO72" s="3920"/>
      <c r="CP72" s="3920"/>
      <c r="CQ72" s="3920"/>
      <c r="CR72" s="3920"/>
      <c r="CS72" s="3920"/>
      <c r="CT72" s="3920"/>
      <c r="CU72" s="3920"/>
      <c r="CV72" s="3920"/>
      <c r="CW72" s="3920"/>
      <c r="CX72" s="3920"/>
      <c r="CY72" s="3920"/>
      <c r="CZ72" s="3920"/>
      <c r="DA72" s="3920"/>
      <c r="DB72" s="3920"/>
      <c r="DC72" s="3920"/>
      <c r="DD72" s="3920"/>
      <c r="DE72" s="3920"/>
      <c r="DF72" s="3920"/>
      <c r="DG72" s="3920"/>
      <c r="DH72" s="3920"/>
      <c r="DI72" s="3920"/>
      <c r="DJ72" s="3920"/>
      <c r="DK72" s="3920"/>
      <c r="DL72" s="3920"/>
      <c r="DM72" s="3920"/>
      <c r="DN72" s="3920"/>
      <c r="DO72" s="3920"/>
      <c r="DP72" s="3920"/>
      <c r="DQ72" s="3920"/>
      <c r="DR72" s="3920"/>
      <c r="DS72" s="3920"/>
      <c r="DT72" s="3920"/>
      <c r="DU72" s="3920"/>
      <c r="DV72" s="3920"/>
      <c r="DW72" s="3920"/>
      <c r="DX72" s="3920"/>
      <c r="DY72" s="3920"/>
      <c r="DZ72" s="3920"/>
      <c r="EA72" s="3920"/>
      <c r="EB72" s="3920"/>
      <c r="EC72" s="3920"/>
      <c r="ED72" s="3920"/>
      <c r="EE72" s="3920"/>
      <c r="EF72" s="3920"/>
      <c r="EG72" s="3920"/>
      <c r="EH72" s="3920"/>
      <c r="EI72" s="3920"/>
      <c r="EJ72" s="3920"/>
      <c r="EK72" s="3920"/>
      <c r="EL72" s="3920"/>
      <c r="EM72" s="3920"/>
      <c r="EN72" s="3920"/>
      <c r="EO72" s="3920"/>
      <c r="EP72" s="3920"/>
      <c r="EQ72" s="3920"/>
      <c r="ER72" s="3920"/>
      <c r="ES72" s="3920"/>
      <c r="ET72" s="3920"/>
      <c r="EU72" s="3920"/>
      <c r="EV72" s="3920"/>
      <c r="EW72" s="3920"/>
      <c r="EX72" s="3920"/>
      <c r="EY72" s="3920"/>
      <c r="EZ72" s="3920"/>
      <c r="FA72" s="3920"/>
      <c r="FB72" s="3920"/>
      <c r="FC72" s="3920"/>
      <c r="FD72" s="3920"/>
      <c r="FE72" s="3920"/>
      <c r="FF72" s="3920"/>
      <c r="FG72" s="3920"/>
      <c r="FH72" s="3920"/>
      <c r="FI72" s="3920"/>
      <c r="FJ72" s="3920"/>
      <c r="FK72" s="3920"/>
      <c r="FL72" s="3920"/>
      <c r="FM72" s="3920"/>
      <c r="FN72" s="3920"/>
      <c r="FO72" s="3920"/>
      <c r="FP72" s="3920"/>
      <c r="FQ72" s="3920"/>
      <c r="FR72" s="3920"/>
      <c r="FS72" s="3920"/>
      <c r="FT72" s="3920"/>
      <c r="FU72" s="3920"/>
      <c r="FV72" s="3920"/>
      <c r="FW72" s="3920"/>
      <c r="FX72" s="3920"/>
      <c r="FY72" s="3920"/>
      <c r="FZ72" s="3920"/>
      <c r="GA72" s="3920"/>
      <c r="GB72" s="3920"/>
      <c r="GC72" s="3920"/>
      <c r="GD72" s="3920"/>
      <c r="GE72" s="3920"/>
      <c r="GF72" s="3920"/>
      <c r="GG72" s="3920"/>
      <c r="GH72" s="3920"/>
      <c r="GI72" s="3920"/>
      <c r="GJ72" s="3920"/>
      <c r="GK72" s="3920"/>
      <c r="GL72" s="3920"/>
      <c r="GM72" s="3920"/>
      <c r="GN72" s="3920"/>
      <c r="GO72" s="3920"/>
      <c r="GP72" s="3920"/>
      <c r="GQ72" s="3920"/>
      <c r="GR72" s="3920"/>
      <c r="GS72" s="3920"/>
      <c r="GT72" s="3920"/>
      <c r="GU72" s="3920"/>
      <c r="GV72" s="3920"/>
      <c r="GW72" s="3920"/>
      <c r="GX72" s="3920"/>
      <c r="GY72" s="3920"/>
      <c r="GZ72" s="3920"/>
      <c r="HA72" s="3920"/>
      <c r="HB72" s="3920"/>
      <c r="HC72" s="3920"/>
      <c r="HD72" s="3920"/>
      <c r="HE72" s="3920"/>
      <c r="HF72" s="3920"/>
      <c r="HG72" s="3920"/>
      <c r="HH72" s="3920"/>
      <c r="HI72" s="3920"/>
      <c r="HJ72" s="3920"/>
      <c r="HK72" s="3920"/>
      <c r="HL72" s="3920"/>
      <c r="HM72" s="3920"/>
      <c r="HN72" s="3920"/>
      <c r="HO72" s="3920"/>
      <c r="HP72" s="3920"/>
      <c r="HQ72" s="3920"/>
      <c r="HR72" s="3920"/>
      <c r="HS72" s="3920"/>
      <c r="HT72" s="3920"/>
      <c r="HU72" s="3920"/>
      <c r="HV72" s="3920"/>
      <c r="HW72" s="3920"/>
      <c r="HX72" s="3920"/>
      <c r="HY72" s="3920"/>
      <c r="HZ72" s="3920"/>
      <c r="IA72" s="3920"/>
      <c r="IB72" s="3920"/>
      <c r="IC72" s="3920"/>
      <c r="ID72" s="3920"/>
      <c r="IE72" s="3920"/>
      <c r="IF72" s="3920"/>
      <c r="IG72" s="3920"/>
      <c r="IH72" s="3920"/>
      <c r="II72" s="3920"/>
      <c r="IJ72" s="3920"/>
      <c r="IK72" s="3920"/>
      <c r="IL72" s="3920"/>
      <c r="IM72" s="3920"/>
      <c r="IN72" s="3920"/>
      <c r="IO72" s="3920"/>
      <c r="IP72" s="3562"/>
      <c r="IQ72" s="3562"/>
      <c r="IR72" s="3562"/>
      <c r="IS72" s="3920"/>
      <c r="IT72" s="3920"/>
      <c r="IU72" s="3920"/>
      <c r="IV72" s="3920"/>
      <c r="IW72" s="3980"/>
      <c r="IX72" s="3920"/>
      <c r="IY72" s="3920"/>
      <c r="IZ72" s="3980"/>
      <c r="JA72" s="3562"/>
      <c r="JB72" s="3562"/>
      <c r="JC72" s="4232"/>
      <c r="JD72" s="4232"/>
      <c r="JE72" s="3920"/>
      <c r="JF72" s="3920"/>
      <c r="JG72" s="1589"/>
      <c r="JH72" s="1361"/>
      <c r="JI72" s="1390" t="s">
        <v>6560</v>
      </c>
      <c r="JJ72" s="1572" t="s">
        <v>6111</v>
      </c>
    </row>
    <row r="73" spans="1:272" x14ac:dyDescent="0.2">
      <c r="A73" s="1128">
        <v>11</v>
      </c>
      <c r="B73" s="1285" t="str">
        <f si="4" t="shared"/>
        <v/>
      </c>
      <c r="C73" s="1587" t="s">
        <v>3572</v>
      </c>
      <c r="D73" s="1372" t="str">
        <f>"If you had a home overseas in "&amp;tax_year&amp;" put 'X' in box"</f>
        <v>If you had a home overseas in 2019-20 put 'X' in box</v>
      </c>
      <c r="E73" s="1588" t="s">
        <v>572</v>
      </c>
      <c r="F73" s="1588" t="s">
        <v>572</v>
      </c>
      <c r="G73" s="1588" t="s">
        <v>572</v>
      </c>
      <c r="H73" s="1588" t="s">
        <v>572</v>
      </c>
      <c r="I73" s="1588" t="s">
        <v>572</v>
      </c>
      <c r="J73" s="1588" t="s">
        <v>1189</v>
      </c>
      <c r="K73" s="1588"/>
      <c r="L73" s="1588" t="s">
        <v>572</v>
      </c>
      <c r="M73" s="1588" t="s">
        <v>572</v>
      </c>
      <c r="N73" s="1588" t="s">
        <v>572</v>
      </c>
      <c r="O73" s="2044"/>
      <c r="P73" s="2044"/>
      <c r="Q73" s="2044"/>
      <c r="R73" s="2044"/>
      <c r="S73" s="2044"/>
      <c r="T73" s="3920"/>
      <c r="U73" s="3920"/>
      <c r="V73" s="3920"/>
      <c r="W73" s="3920"/>
      <c r="X73" s="3920"/>
      <c r="Y73" s="3920"/>
      <c r="Z73" s="3920"/>
      <c r="AA73" s="3920"/>
      <c r="AB73" s="3920"/>
      <c r="AC73" s="3920"/>
      <c r="AD73" s="3920"/>
      <c r="AE73" s="3920"/>
      <c r="AF73" s="3920"/>
      <c r="AG73" s="3920"/>
      <c r="AH73" s="3920"/>
      <c r="AI73" s="3920"/>
      <c r="AJ73" s="3920"/>
      <c r="AK73" s="3920"/>
      <c r="AL73" s="3920"/>
      <c r="AM73" s="3920"/>
      <c r="AN73" s="3920"/>
      <c r="AO73" s="3920"/>
      <c r="AP73" s="3920"/>
      <c r="AQ73" s="3920"/>
      <c r="AR73" s="3920"/>
      <c r="AS73" s="3920"/>
      <c r="AT73" s="3920"/>
      <c r="AU73" s="3920"/>
      <c r="AV73" s="3920"/>
      <c r="AW73" s="3920"/>
      <c r="AX73" s="3920"/>
      <c r="AY73" s="3920"/>
      <c r="AZ73" s="3920"/>
      <c r="BA73" s="3920"/>
      <c r="BB73" s="3920"/>
      <c r="BC73" s="3920"/>
      <c r="BD73" s="3920"/>
      <c r="BE73" s="3920"/>
      <c r="BF73" s="3920"/>
      <c r="BG73" s="3920"/>
      <c r="BH73" s="3920"/>
      <c r="BI73" s="3920"/>
      <c r="BJ73" s="3920"/>
      <c r="BK73" s="3829" t="s">
        <v>572</v>
      </c>
      <c r="BL73" s="3920"/>
      <c r="BM73" s="3920"/>
      <c r="BN73" s="3920"/>
      <c r="BO73" s="3920"/>
      <c r="BP73" s="3920"/>
      <c r="BQ73" s="3920"/>
      <c r="BR73" s="3920"/>
      <c r="BS73" s="3920"/>
      <c r="BT73" s="3920"/>
      <c r="BU73" s="3920"/>
      <c r="BV73" s="3920"/>
      <c r="BW73" s="3920"/>
      <c r="BX73" s="3920"/>
      <c r="BY73" s="3920"/>
      <c r="BZ73" s="3920"/>
      <c r="CA73" s="3920"/>
      <c r="CB73" s="3920"/>
      <c r="CC73" s="3920"/>
      <c r="CD73" s="3920"/>
      <c r="CE73" s="3920"/>
      <c r="CF73" s="3920"/>
      <c r="CG73" s="3920"/>
      <c r="CH73" s="3920"/>
      <c r="CI73" s="3920"/>
      <c r="CJ73" s="3920"/>
      <c r="CK73" s="3920"/>
      <c r="CL73" s="3920"/>
      <c r="CM73" s="3920"/>
      <c r="CN73" s="3920"/>
      <c r="CO73" s="3920"/>
      <c r="CP73" s="3920"/>
      <c r="CQ73" s="3920"/>
      <c r="CR73" s="3920"/>
      <c r="CS73" s="3920"/>
      <c r="CT73" s="3920"/>
      <c r="CU73" s="3920"/>
      <c r="CV73" s="3920"/>
      <c r="CW73" s="3920"/>
      <c r="CX73" s="3920"/>
      <c r="CY73" s="3920"/>
      <c r="CZ73" s="3920"/>
      <c r="DA73" s="3920"/>
      <c r="DB73" s="3920"/>
      <c r="DC73" s="3920"/>
      <c r="DD73" s="3920"/>
      <c r="DE73" s="3920"/>
      <c r="DF73" s="3920"/>
      <c r="DG73" s="3920"/>
      <c r="DH73" s="3920"/>
      <c r="DI73" s="3920"/>
      <c r="DJ73" s="3920"/>
      <c r="DK73" s="3920"/>
      <c r="DL73" s="3920"/>
      <c r="DM73" s="3920"/>
      <c r="DN73" s="3920"/>
      <c r="DO73" s="3920"/>
      <c r="DP73" s="3920"/>
      <c r="DQ73" s="3920"/>
      <c r="DR73" s="3920"/>
      <c r="DS73" s="3920"/>
      <c r="DT73" s="3920"/>
      <c r="DU73" s="3920"/>
      <c r="DV73" s="3920"/>
      <c r="DW73" s="3920"/>
      <c r="DX73" s="3920"/>
      <c r="DY73" s="3920"/>
      <c r="DZ73" s="3920"/>
      <c r="EA73" s="3920"/>
      <c r="EB73" s="3920"/>
      <c r="EC73" s="3920"/>
      <c r="ED73" s="3920"/>
      <c r="EE73" s="3920"/>
      <c r="EF73" s="3920"/>
      <c r="EG73" s="3920"/>
      <c r="EH73" s="3920"/>
      <c r="EI73" s="3920"/>
      <c r="EJ73" s="3920"/>
      <c r="EK73" s="3920"/>
      <c r="EL73" s="3920"/>
      <c r="EM73" s="3920"/>
      <c r="EN73" s="3920"/>
      <c r="EO73" s="3920"/>
      <c r="EP73" s="3920"/>
      <c r="EQ73" s="3920"/>
      <c r="ER73" s="3920"/>
      <c r="ES73" s="3920"/>
      <c r="ET73" s="3920"/>
      <c r="EU73" s="3920"/>
      <c r="EV73" s="3920"/>
      <c r="EW73" s="3920"/>
      <c r="EX73" s="3920"/>
      <c r="EY73" s="3920"/>
      <c r="EZ73" s="3920"/>
      <c r="FA73" s="3920"/>
      <c r="FB73" s="3920"/>
      <c r="FC73" s="3920"/>
      <c r="FD73" s="3920"/>
      <c r="FE73" s="3920"/>
      <c r="FF73" s="3920"/>
      <c r="FG73" s="3920"/>
      <c r="FH73" s="3920"/>
      <c r="FI73" s="3920"/>
      <c r="FJ73" s="3920"/>
      <c r="FK73" s="3920"/>
      <c r="FL73" s="3920"/>
      <c r="FM73" s="3920"/>
      <c r="FN73" s="3920"/>
      <c r="FO73" s="3920"/>
      <c r="FP73" s="3920"/>
      <c r="FQ73" s="3920"/>
      <c r="FR73" s="3920"/>
      <c r="FS73" s="3920"/>
      <c r="FT73" s="3920"/>
      <c r="FU73" s="3920"/>
      <c r="FV73" s="3920"/>
      <c r="FW73" s="3920"/>
      <c r="FX73" s="3920"/>
      <c r="FY73" s="3920"/>
      <c r="FZ73" s="3920"/>
      <c r="GA73" s="3920"/>
      <c r="GB73" s="3920"/>
      <c r="GC73" s="3920"/>
      <c r="GD73" s="3920"/>
      <c r="GE73" s="3920"/>
      <c r="GF73" s="3920"/>
      <c r="GG73" s="3920"/>
      <c r="GH73" s="3920"/>
      <c r="GI73" s="3920"/>
      <c r="GJ73" s="3920"/>
      <c r="GK73" s="3920"/>
      <c r="GL73" s="3920"/>
      <c r="GM73" s="3920"/>
      <c r="GN73" s="3920"/>
      <c r="GO73" s="3920"/>
      <c r="GP73" s="3920"/>
      <c r="GQ73" s="3920"/>
      <c r="GR73" s="3920"/>
      <c r="GS73" s="3920"/>
      <c r="GT73" s="3920"/>
      <c r="GU73" s="3920"/>
      <c r="GV73" s="3920"/>
      <c r="GW73" s="3920"/>
      <c r="GX73" s="3920"/>
      <c r="GY73" s="3920"/>
      <c r="GZ73" s="3920"/>
      <c r="HA73" s="3920"/>
      <c r="HB73" s="3920"/>
      <c r="HC73" s="3920"/>
      <c r="HD73" s="3920"/>
      <c r="HE73" s="3920"/>
      <c r="HF73" s="3920"/>
      <c r="HG73" s="3920"/>
      <c r="HH73" s="3920"/>
      <c r="HI73" s="3920"/>
      <c r="HJ73" s="3920"/>
      <c r="HK73" s="3920"/>
      <c r="HL73" s="3920"/>
      <c r="HM73" s="3920"/>
      <c r="HN73" s="3920"/>
      <c r="HO73" s="3920"/>
      <c r="HP73" s="3920"/>
      <c r="HQ73" s="3920"/>
      <c r="HR73" s="3920"/>
      <c r="HS73" s="3920"/>
      <c r="HT73" s="3920"/>
      <c r="HU73" s="3920"/>
      <c r="HV73" s="3920"/>
      <c r="HW73" s="3920"/>
      <c r="HX73" s="3920"/>
      <c r="HY73" s="3920"/>
      <c r="HZ73" s="3920"/>
      <c r="IA73" s="3920"/>
      <c r="IB73" s="3920"/>
      <c r="IC73" s="3920"/>
      <c r="ID73" s="3920"/>
      <c r="IE73" s="3920"/>
      <c r="IF73" s="3920"/>
      <c r="IG73" s="3920"/>
      <c r="IH73" s="3920"/>
      <c r="II73" s="3920"/>
      <c r="IJ73" s="3920"/>
      <c r="IK73" s="3920"/>
      <c r="IL73" s="3920"/>
      <c r="IM73" s="3920"/>
      <c r="IN73" s="3920"/>
      <c r="IO73" s="3920"/>
      <c r="IP73" s="3829" t="s">
        <v>572</v>
      </c>
      <c r="IQ73" s="3829" t="s">
        <v>572</v>
      </c>
      <c r="IR73" s="3829" t="s">
        <v>572</v>
      </c>
      <c r="IS73" s="3920"/>
      <c r="IT73" s="3979" t="s">
        <v>572</v>
      </c>
      <c r="IU73" s="3920"/>
      <c r="IV73" s="3920"/>
      <c r="IW73" s="3979" t="s">
        <v>572</v>
      </c>
      <c r="IX73" s="3920"/>
      <c r="IY73" s="3920"/>
      <c r="IZ73" s="3980"/>
      <c r="JA73" s="3979" t="s">
        <v>572</v>
      </c>
      <c r="JB73" s="3562"/>
      <c r="JC73" s="4232"/>
      <c r="JD73" s="4232"/>
      <c r="JE73" s="3920"/>
      <c r="JF73" s="3920"/>
      <c r="JG73" s="1589"/>
      <c r="JH73" s="1361"/>
      <c r="JI73" s="1390"/>
      <c r="JJ73" s="1572" t="s">
        <v>6111</v>
      </c>
    </row>
    <row r="74" spans="1:272" x14ac:dyDescent="0.2">
      <c r="A74" s="1128">
        <v>12</v>
      </c>
      <c r="B74" s="1285" t="str">
        <f si="4" t="shared"/>
        <v/>
      </c>
      <c r="C74" s="1587" t="s">
        <v>3573</v>
      </c>
      <c r="D74" s="1372" t="str">
        <f>"Number of days spent in the UK during "&amp;tax_year</f>
        <v>Number of days spent in the UK during 2019-20</v>
      </c>
      <c r="E74" s="1588">
        <v>99</v>
      </c>
      <c r="F74" s="1588">
        <v>0</v>
      </c>
      <c r="G74" s="1594">
        <v>331</v>
      </c>
      <c r="H74" s="1351">
        <v>316</v>
      </c>
      <c r="I74" s="1351">
        <v>365</v>
      </c>
      <c r="J74" s="1351">
        <v>84</v>
      </c>
      <c r="K74" s="1351"/>
      <c r="L74" s="1351">
        <v>316</v>
      </c>
      <c r="M74" s="1351">
        <v>316</v>
      </c>
      <c r="N74" s="1351">
        <v>316</v>
      </c>
      <c r="O74" s="2045"/>
      <c r="P74" s="2045"/>
      <c r="Q74" s="2045"/>
      <c r="R74" s="2045"/>
      <c r="S74" s="2045"/>
      <c r="T74" s="3807"/>
      <c r="U74" s="3807"/>
      <c r="V74" s="3807"/>
      <c r="W74" s="3807"/>
      <c r="X74" s="3807"/>
      <c r="Y74" s="3807"/>
      <c r="Z74" s="3807"/>
      <c r="AA74" s="3807"/>
      <c r="AB74" s="3807"/>
      <c r="AC74" s="3807"/>
      <c r="AD74" s="3807"/>
      <c r="AE74" s="3807"/>
      <c r="AF74" s="3807"/>
      <c r="AG74" s="3807"/>
      <c r="AH74" s="3807"/>
      <c r="AI74" s="3807"/>
      <c r="AJ74" s="3807"/>
      <c r="AK74" s="3807"/>
      <c r="AL74" s="3807"/>
      <c r="AM74" s="3807"/>
      <c r="AN74" s="3807"/>
      <c r="AO74" s="3807"/>
      <c r="AP74" s="3807"/>
      <c r="AQ74" s="3807"/>
      <c r="AR74" s="3807"/>
      <c r="AS74" s="3807"/>
      <c r="AT74" s="3807"/>
      <c r="AU74" s="3807"/>
      <c r="AV74" s="3807"/>
      <c r="AW74" s="3807"/>
      <c r="AX74" s="3807"/>
      <c r="AY74" s="3807"/>
      <c r="AZ74" s="3807"/>
      <c r="BA74" s="3807"/>
      <c r="BB74" s="3807"/>
      <c r="BC74" s="3807"/>
      <c r="BD74" s="3807"/>
      <c r="BE74" s="3807"/>
      <c r="BF74" s="3807"/>
      <c r="BG74" s="3807"/>
      <c r="BH74" s="3807"/>
      <c r="BI74" s="3807"/>
      <c r="BJ74" s="3807"/>
      <c r="BK74" s="3829">
        <v>10</v>
      </c>
      <c r="BL74" s="3807"/>
      <c r="BM74" s="3807"/>
      <c r="BN74" s="3807"/>
      <c r="BO74" s="3807"/>
      <c r="BP74" s="3807"/>
      <c r="BQ74" s="3807"/>
      <c r="BR74" s="3807"/>
      <c r="BS74" s="3807"/>
      <c r="BT74" s="3807"/>
      <c r="BU74" s="3807"/>
      <c r="BV74" s="3807"/>
      <c r="BW74" s="3807"/>
      <c r="BX74" s="3807"/>
      <c r="BY74" s="3807"/>
      <c r="BZ74" s="3807"/>
      <c r="CA74" s="3807"/>
      <c r="CB74" s="3807"/>
      <c r="CC74" s="3807"/>
      <c r="CD74" s="3807"/>
      <c r="CE74" s="3807"/>
      <c r="CF74" s="3807"/>
      <c r="CG74" s="3807"/>
      <c r="CH74" s="3807"/>
      <c r="CI74" s="3807"/>
      <c r="CJ74" s="3807"/>
      <c r="CK74" s="3807"/>
      <c r="CL74" s="3807"/>
      <c r="CM74" s="3807"/>
      <c r="CN74" s="3807"/>
      <c r="CO74" s="3807"/>
      <c r="CP74" s="3807"/>
      <c r="CQ74" s="3807"/>
      <c r="CR74" s="3807"/>
      <c r="CS74" s="3807"/>
      <c r="CT74" s="3807"/>
      <c r="CU74" s="3807"/>
      <c r="CV74" s="3807"/>
      <c r="CW74" s="3807"/>
      <c r="CX74" s="3807"/>
      <c r="CY74" s="3807"/>
      <c r="CZ74" s="3807"/>
      <c r="DA74" s="3807"/>
      <c r="DB74" s="3807"/>
      <c r="DC74" s="3807"/>
      <c r="DD74" s="3807"/>
      <c r="DE74" s="3807"/>
      <c r="DF74" s="3807"/>
      <c r="DG74" s="3807"/>
      <c r="DH74" s="3807"/>
      <c r="DI74" s="3807"/>
      <c r="DJ74" s="3807"/>
      <c r="DK74" s="3807"/>
      <c r="DL74" s="3807"/>
      <c r="DM74" s="3807"/>
      <c r="DN74" s="3807"/>
      <c r="DO74" s="3807"/>
      <c r="DP74" s="3807"/>
      <c r="DQ74" s="3807"/>
      <c r="DR74" s="3807"/>
      <c r="DS74" s="3807"/>
      <c r="DT74" s="3807"/>
      <c r="DU74" s="3807"/>
      <c r="DV74" s="3807"/>
      <c r="DW74" s="3807"/>
      <c r="DX74" s="3807"/>
      <c r="DY74" s="3807"/>
      <c r="DZ74" s="3807"/>
      <c r="EA74" s="3807"/>
      <c r="EB74" s="3807"/>
      <c r="EC74" s="3807"/>
      <c r="ED74" s="3807"/>
      <c r="EE74" s="3807"/>
      <c r="EF74" s="3807"/>
      <c r="EG74" s="3807"/>
      <c r="EH74" s="3807"/>
      <c r="EI74" s="3807"/>
      <c r="EJ74" s="3807"/>
      <c r="EK74" s="3807"/>
      <c r="EL74" s="3807"/>
      <c r="EM74" s="3807"/>
      <c r="EN74" s="3807"/>
      <c r="EO74" s="3807"/>
      <c r="EP74" s="3807"/>
      <c r="EQ74" s="3807"/>
      <c r="ER74" s="3807"/>
      <c r="ES74" s="3807"/>
      <c r="ET74" s="3807"/>
      <c r="EU74" s="3807"/>
      <c r="EV74" s="3807"/>
      <c r="EW74" s="3807"/>
      <c r="EX74" s="3807"/>
      <c r="EY74" s="3807"/>
      <c r="EZ74" s="3807"/>
      <c r="FA74" s="3807"/>
      <c r="FB74" s="3807"/>
      <c r="FC74" s="3807"/>
      <c r="FD74" s="3807"/>
      <c r="FE74" s="3807"/>
      <c r="FF74" s="3807"/>
      <c r="FG74" s="3807"/>
      <c r="FH74" s="3807"/>
      <c r="FI74" s="3807"/>
      <c r="FJ74" s="3807"/>
      <c r="FK74" s="3807"/>
      <c r="FL74" s="3807"/>
      <c r="FM74" s="3807"/>
      <c r="FN74" s="3807"/>
      <c r="FO74" s="3807"/>
      <c r="FP74" s="3807"/>
      <c r="FQ74" s="3807"/>
      <c r="FR74" s="3807"/>
      <c r="FS74" s="3807"/>
      <c r="FT74" s="3807"/>
      <c r="FU74" s="3807"/>
      <c r="FV74" s="3807"/>
      <c r="FW74" s="3807"/>
      <c r="FX74" s="3807"/>
      <c r="FY74" s="3807"/>
      <c r="FZ74" s="3807"/>
      <c r="GA74" s="3807"/>
      <c r="GB74" s="3807"/>
      <c r="GC74" s="3807"/>
      <c r="GD74" s="3807"/>
      <c r="GE74" s="3807"/>
      <c r="GF74" s="3807"/>
      <c r="GG74" s="3807"/>
      <c r="GH74" s="3807"/>
      <c r="GI74" s="3807"/>
      <c r="GJ74" s="3807"/>
      <c r="GK74" s="3807"/>
      <c r="GL74" s="3807"/>
      <c r="GM74" s="3807"/>
      <c r="GN74" s="3807"/>
      <c r="GO74" s="3807"/>
      <c r="GP74" s="3807"/>
      <c r="GQ74" s="3807"/>
      <c r="GR74" s="3807"/>
      <c r="GS74" s="3807"/>
      <c r="GT74" s="3807"/>
      <c r="GU74" s="3807"/>
      <c r="GV74" s="3807"/>
      <c r="GW74" s="3807"/>
      <c r="GX74" s="3807"/>
      <c r="GY74" s="3807"/>
      <c r="GZ74" s="3807"/>
      <c r="HA74" s="3807"/>
      <c r="HB74" s="3807"/>
      <c r="HC74" s="3807"/>
      <c r="HD74" s="3807"/>
      <c r="HE74" s="3807"/>
      <c r="HF74" s="3807"/>
      <c r="HG74" s="3807"/>
      <c r="HH74" s="3807"/>
      <c r="HI74" s="3807"/>
      <c r="HJ74" s="3807"/>
      <c r="HK74" s="3807"/>
      <c r="HL74" s="3807"/>
      <c r="HM74" s="3807"/>
      <c r="HN74" s="3807"/>
      <c r="HO74" s="3807"/>
      <c r="HP74" s="3807"/>
      <c r="HQ74" s="3807"/>
      <c r="HR74" s="3807"/>
      <c r="HS74" s="3807"/>
      <c r="HT74" s="3807"/>
      <c r="HU74" s="3807"/>
      <c r="HV74" s="3807"/>
      <c r="HW74" s="3807"/>
      <c r="HX74" s="3807"/>
      <c r="HY74" s="3807"/>
      <c r="HZ74" s="3807"/>
      <c r="IA74" s="3807"/>
      <c r="IB74" s="3807"/>
      <c r="IC74" s="3807"/>
      <c r="ID74" s="3807"/>
      <c r="IE74" s="3807"/>
      <c r="IF74" s="3807"/>
      <c r="IG74" s="3807"/>
      <c r="IH74" s="3807"/>
      <c r="II74" s="3807"/>
      <c r="IJ74" s="3807"/>
      <c r="IK74" s="3807"/>
      <c r="IL74" s="3807"/>
      <c r="IM74" s="3807"/>
      <c r="IN74" s="3807"/>
      <c r="IO74" s="3807"/>
      <c r="IP74" s="3829">
        <v>0</v>
      </c>
      <c r="IQ74" s="3829">
        <v>4</v>
      </c>
      <c r="IR74" s="3829">
        <v>10</v>
      </c>
      <c r="IS74" s="3807"/>
      <c r="IT74" s="3980">
        <v>87</v>
      </c>
      <c r="IU74" s="3807"/>
      <c r="IV74" s="3807"/>
      <c r="IW74" s="3980">
        <v>14</v>
      </c>
      <c r="IX74" s="3807"/>
      <c r="IY74" s="3807"/>
      <c r="IZ74" s="3980">
        <v>25</v>
      </c>
      <c r="JA74" s="3979">
        <v>31</v>
      </c>
      <c r="JB74" s="3979">
        <v>0</v>
      </c>
      <c r="JC74" s="4232">
        <v>15</v>
      </c>
      <c r="JD74" s="4232">
        <v>21</v>
      </c>
      <c r="JE74" s="3807"/>
      <c r="JF74" s="3807"/>
      <c r="JG74" s="1591"/>
      <c r="JH74" s="1361"/>
      <c r="JI74" s="1390" t="s">
        <v>5379</v>
      </c>
      <c r="JJ74" s="1572" t="s">
        <v>6132</v>
      </c>
    </row>
    <row ht="22.5" r="75" spans="1:272" x14ac:dyDescent="0.2">
      <c r="A75" s="1128">
        <v>13</v>
      </c>
      <c r="B75" s="1285" t="str">
        <f si="4" t="shared"/>
        <v/>
      </c>
      <c r="C75" s="1587" t="s">
        <v>3574</v>
      </c>
      <c r="D75" s="1372" t="s">
        <v>4992</v>
      </c>
      <c r="E75" s="1702">
        <v>0</v>
      </c>
      <c r="F75" s="1702">
        <v>0</v>
      </c>
      <c r="G75" s="1702">
        <v>0</v>
      </c>
      <c r="H75" s="1702">
        <v>0</v>
      </c>
      <c r="I75" s="1702">
        <v>0</v>
      </c>
      <c r="J75" s="1703">
        <v>0</v>
      </c>
      <c r="K75" s="1703"/>
      <c r="L75" s="1702">
        <v>0</v>
      </c>
      <c r="M75" s="1702">
        <v>0</v>
      </c>
      <c r="N75" s="1702">
        <v>0</v>
      </c>
      <c r="O75" s="2047"/>
      <c r="P75" s="2047"/>
      <c r="Q75" s="2047"/>
      <c r="R75" s="2047"/>
      <c r="S75" s="2047"/>
      <c r="T75" s="3562"/>
      <c r="U75" s="3562"/>
      <c r="V75" s="3562"/>
      <c r="W75" s="3562"/>
      <c r="X75" s="3562"/>
      <c r="Y75" s="3562"/>
      <c r="Z75" s="3562"/>
      <c r="AA75" s="3562"/>
      <c r="AB75" s="3562"/>
      <c r="AC75" s="3562"/>
      <c r="AD75" s="3562"/>
      <c r="AE75" s="3562"/>
      <c r="AF75" s="3562"/>
      <c r="AG75" s="3562"/>
      <c r="AH75" s="3562"/>
      <c r="AI75" s="3562"/>
      <c r="AJ75" s="3562"/>
      <c r="AK75" s="3562"/>
      <c r="AL75" s="3562"/>
      <c r="AM75" s="3562"/>
      <c r="AN75" s="3562"/>
      <c r="AO75" s="3562"/>
      <c r="AP75" s="3562"/>
      <c r="AQ75" s="3562"/>
      <c r="AR75" s="3562"/>
      <c r="AS75" s="3562"/>
      <c r="AT75" s="3562"/>
      <c r="AU75" s="3562"/>
      <c r="AV75" s="3562"/>
      <c r="AW75" s="3562"/>
      <c r="AX75" s="3562"/>
      <c r="AY75" s="3562"/>
      <c r="AZ75" s="3562"/>
      <c r="BA75" s="3562"/>
      <c r="BB75" s="3562"/>
      <c r="BC75" s="3562"/>
      <c r="BD75" s="3562"/>
      <c r="BE75" s="3562"/>
      <c r="BF75" s="3562"/>
      <c r="BG75" s="3562"/>
      <c r="BH75" s="3562"/>
      <c r="BI75" s="3562"/>
      <c r="BJ75" s="3562"/>
      <c r="BK75" s="3562"/>
      <c r="BL75" s="3562"/>
      <c r="BM75" s="3562"/>
      <c r="BN75" s="3562"/>
      <c r="BO75" s="3562"/>
      <c r="BP75" s="3562"/>
      <c r="BQ75" s="3562"/>
      <c r="BR75" s="3562"/>
      <c r="BS75" s="3562"/>
      <c r="BT75" s="3562"/>
      <c r="BU75" s="3562"/>
      <c r="BV75" s="3562"/>
      <c r="BW75" s="3562"/>
      <c r="BX75" s="3562"/>
      <c r="BY75" s="3562"/>
      <c r="BZ75" s="3562"/>
      <c r="CA75" s="3562"/>
      <c r="CB75" s="3562"/>
      <c r="CC75" s="3562"/>
      <c r="CD75" s="3562"/>
      <c r="CE75" s="3562"/>
      <c r="CF75" s="3562"/>
      <c r="CG75" s="3562"/>
      <c r="CH75" s="3562"/>
      <c r="CI75" s="3562"/>
      <c r="CJ75" s="3562"/>
      <c r="CK75" s="3562"/>
      <c r="CL75" s="3562"/>
      <c r="CM75" s="3562"/>
      <c r="CN75" s="3562"/>
      <c r="CO75" s="3562"/>
      <c r="CP75" s="3562"/>
      <c r="CQ75" s="3562"/>
      <c r="CR75" s="3562"/>
      <c r="CS75" s="3562"/>
      <c r="CT75" s="3562"/>
      <c r="CU75" s="3562"/>
      <c r="CV75" s="3562"/>
      <c r="CW75" s="3562"/>
      <c r="CX75" s="3562"/>
      <c r="CY75" s="3562"/>
      <c r="CZ75" s="3562"/>
      <c r="DA75" s="3562"/>
      <c r="DB75" s="3562"/>
      <c r="DC75" s="3562"/>
      <c r="DD75" s="3562"/>
      <c r="DE75" s="3562"/>
      <c r="DF75" s="3562"/>
      <c r="DG75" s="3562"/>
      <c r="DH75" s="3562"/>
      <c r="DI75" s="3562"/>
      <c r="DJ75" s="3562"/>
      <c r="DK75" s="3562"/>
      <c r="DL75" s="3562"/>
      <c r="DM75" s="3562"/>
      <c r="DN75" s="3562"/>
      <c r="DO75" s="3562"/>
      <c r="DP75" s="3562"/>
      <c r="DQ75" s="3562"/>
      <c r="DR75" s="3562"/>
      <c r="DS75" s="3562"/>
      <c r="DT75" s="3562"/>
      <c r="DU75" s="3562"/>
      <c r="DV75" s="3562"/>
      <c r="DW75" s="3562"/>
      <c r="DX75" s="3562"/>
      <c r="DY75" s="3562"/>
      <c r="DZ75" s="3562"/>
      <c r="EA75" s="3562"/>
      <c r="EB75" s="3562"/>
      <c r="EC75" s="3562"/>
      <c r="ED75" s="3562"/>
      <c r="EE75" s="3562"/>
      <c r="EF75" s="3562"/>
      <c r="EG75" s="3562"/>
      <c r="EH75" s="3562"/>
      <c r="EI75" s="3562"/>
      <c r="EJ75" s="3562"/>
      <c r="EK75" s="3562"/>
      <c r="EL75" s="3562"/>
      <c r="EM75" s="3562"/>
      <c r="EN75" s="3562"/>
      <c r="EO75" s="3562"/>
      <c r="EP75" s="3562"/>
      <c r="EQ75" s="3562"/>
      <c r="ER75" s="3562"/>
      <c r="ES75" s="3562"/>
      <c r="ET75" s="3562"/>
      <c r="EU75" s="3562"/>
      <c r="EV75" s="3562"/>
      <c r="EW75" s="3562"/>
      <c r="EX75" s="3562"/>
      <c r="EY75" s="3562"/>
      <c r="EZ75" s="3562"/>
      <c r="FA75" s="3562"/>
      <c r="FB75" s="3562"/>
      <c r="FC75" s="3562"/>
      <c r="FD75" s="3562"/>
      <c r="FE75" s="3562"/>
      <c r="FF75" s="3562"/>
      <c r="FG75" s="3562"/>
      <c r="FH75" s="3562"/>
      <c r="FI75" s="3562"/>
      <c r="FJ75" s="3562"/>
      <c r="FK75" s="3562"/>
      <c r="FL75" s="3562"/>
      <c r="FM75" s="3562"/>
      <c r="FN75" s="3562"/>
      <c r="FO75" s="3562"/>
      <c r="FP75" s="3562"/>
      <c r="FQ75" s="3562"/>
      <c r="FR75" s="3562"/>
      <c r="FS75" s="3562"/>
      <c r="FT75" s="3562"/>
      <c r="FU75" s="3562"/>
      <c r="FV75" s="3562"/>
      <c r="FW75" s="3562"/>
      <c r="FX75" s="3562"/>
      <c r="FY75" s="3562"/>
      <c r="FZ75" s="3562"/>
      <c r="GA75" s="3562"/>
      <c r="GB75" s="3562"/>
      <c r="GC75" s="3562"/>
      <c r="GD75" s="3562"/>
      <c r="GE75" s="3562"/>
      <c r="GF75" s="3562"/>
      <c r="GG75" s="3562"/>
      <c r="GH75" s="3562"/>
      <c r="GI75" s="3562"/>
      <c r="GJ75" s="3562"/>
      <c r="GK75" s="3562"/>
      <c r="GL75" s="3562"/>
      <c r="GM75" s="3562"/>
      <c r="GN75" s="3562"/>
      <c r="GO75" s="3562"/>
      <c r="GP75" s="3562"/>
      <c r="GQ75" s="3562"/>
      <c r="GR75" s="3562"/>
      <c r="GS75" s="3562"/>
      <c r="GT75" s="3562"/>
      <c r="GU75" s="3562"/>
      <c r="GV75" s="3562"/>
      <c r="GW75" s="3562"/>
      <c r="GX75" s="3562"/>
      <c r="GY75" s="3562"/>
      <c r="GZ75" s="3562"/>
      <c r="HA75" s="3562"/>
      <c r="HB75" s="3562"/>
      <c r="HC75" s="3562"/>
      <c r="HD75" s="3562"/>
      <c r="HE75" s="3562"/>
      <c r="HF75" s="3562"/>
      <c r="HG75" s="3562"/>
      <c r="HH75" s="3562"/>
      <c r="HI75" s="3562"/>
      <c r="HJ75" s="3562"/>
      <c r="HK75" s="3562"/>
      <c r="HL75" s="3562"/>
      <c r="HM75" s="3562"/>
      <c r="HN75" s="3562"/>
      <c r="HO75" s="3562"/>
      <c r="HP75" s="3562"/>
      <c r="HQ75" s="3562"/>
      <c r="HR75" s="3562"/>
      <c r="HS75" s="3562"/>
      <c r="HT75" s="3562"/>
      <c r="HU75" s="3562"/>
      <c r="HV75" s="3562"/>
      <c r="HW75" s="3562"/>
      <c r="HX75" s="3562"/>
      <c r="HY75" s="3562"/>
      <c r="HZ75" s="3562"/>
      <c r="IA75" s="3562"/>
      <c r="IB75" s="3562"/>
      <c r="IC75" s="3562"/>
      <c r="ID75" s="3562"/>
      <c r="IE75" s="3562"/>
      <c r="IF75" s="3562"/>
      <c r="IG75" s="3562"/>
      <c r="IH75" s="3562"/>
      <c r="II75" s="3562"/>
      <c r="IJ75" s="3562"/>
      <c r="IK75" s="3562"/>
      <c r="IL75" s="3562"/>
      <c r="IM75" s="3562"/>
      <c r="IN75" s="3562"/>
      <c r="IO75" s="3562"/>
      <c r="IP75" s="3562"/>
      <c r="IQ75" s="3562"/>
      <c r="IR75" s="3562"/>
      <c r="IS75" s="3562"/>
      <c r="IT75" s="3979">
        <v>0</v>
      </c>
      <c r="IU75" s="3562"/>
      <c r="IV75" s="3562"/>
      <c r="IW75" s="3979">
        <v>0</v>
      </c>
      <c r="IX75" s="3562"/>
      <c r="IY75" s="3562"/>
      <c r="IZ75" s="3979"/>
      <c r="JA75" s="3562"/>
      <c r="JB75" s="3562"/>
      <c r="JC75" s="3952"/>
      <c r="JD75" s="3952"/>
      <c r="JE75" s="3562"/>
      <c r="JF75" s="3562"/>
      <c r="JG75" s="1589"/>
      <c r="JH75" s="1361"/>
      <c r="JI75" s="1390" t="s">
        <v>5380</v>
      </c>
      <c r="JJ75" s="1572" t="s">
        <v>6132</v>
      </c>
    </row>
    <row r="76" spans="1:272" x14ac:dyDescent="0.2">
      <c r="A76" s="1128">
        <v>14</v>
      </c>
      <c r="B76" s="1285" t="str">
        <f si="4" t="shared"/>
        <v/>
      </c>
      <c r="C76" s="1587" t="s">
        <v>3575</v>
      </c>
      <c r="D76" s="1372" t="str">
        <f>"How many ties to the UK did you have in "&amp;tax_year&amp;"?"</f>
        <v>How many ties to the UK did you have in 2019-20?</v>
      </c>
      <c r="E76" s="1588">
        <v>1</v>
      </c>
      <c r="F76" s="1588">
        <v>0</v>
      </c>
      <c r="G76" s="1594">
        <v>4</v>
      </c>
      <c r="H76" s="1351">
        <v>3</v>
      </c>
      <c r="I76" s="1351">
        <v>3</v>
      </c>
      <c r="J76" s="1351">
        <v>0</v>
      </c>
      <c r="K76" s="1351"/>
      <c r="L76" s="1351">
        <v>3</v>
      </c>
      <c r="M76" s="1351">
        <v>3</v>
      </c>
      <c r="N76" s="1351">
        <v>3</v>
      </c>
      <c r="O76" s="2045"/>
      <c r="P76" s="2045"/>
      <c r="Q76" s="2045"/>
      <c r="R76" s="2045"/>
      <c r="S76" s="2045"/>
      <c r="T76" s="3807"/>
      <c r="U76" s="3807"/>
      <c r="V76" s="3807"/>
      <c r="W76" s="3807"/>
      <c r="X76" s="3807"/>
      <c r="Y76" s="3807"/>
      <c r="Z76" s="3807"/>
      <c r="AA76" s="3807"/>
      <c r="AB76" s="3807"/>
      <c r="AC76" s="3807"/>
      <c r="AD76" s="3807"/>
      <c r="AE76" s="3807"/>
      <c r="AF76" s="3807"/>
      <c r="AG76" s="3807"/>
      <c r="AH76" s="3807"/>
      <c r="AI76" s="3807"/>
      <c r="AJ76" s="3807"/>
      <c r="AK76" s="3807"/>
      <c r="AL76" s="3807"/>
      <c r="AM76" s="3807"/>
      <c r="AN76" s="3807"/>
      <c r="AO76" s="3807"/>
      <c r="AP76" s="3807"/>
      <c r="AQ76" s="3807"/>
      <c r="AR76" s="3807"/>
      <c r="AS76" s="3807"/>
      <c r="AT76" s="3807"/>
      <c r="AU76" s="3807"/>
      <c r="AV76" s="3807"/>
      <c r="AW76" s="3807"/>
      <c r="AX76" s="3807"/>
      <c r="AY76" s="3807"/>
      <c r="AZ76" s="3807"/>
      <c r="BA76" s="3807"/>
      <c r="BB76" s="3807"/>
      <c r="BC76" s="3807"/>
      <c r="BD76" s="3807"/>
      <c r="BE76" s="3807"/>
      <c r="BF76" s="3807"/>
      <c r="BG76" s="3807"/>
      <c r="BH76" s="3807"/>
      <c r="BI76" s="3807"/>
      <c r="BJ76" s="3807"/>
      <c r="BK76" s="3807"/>
      <c r="BL76" s="3807"/>
      <c r="BM76" s="3807"/>
      <c r="BN76" s="3807"/>
      <c r="BO76" s="3807"/>
      <c r="BP76" s="3807"/>
      <c r="BQ76" s="3807"/>
      <c r="BR76" s="3807"/>
      <c r="BS76" s="3807"/>
      <c r="BT76" s="3807"/>
      <c r="BU76" s="3807"/>
      <c r="BV76" s="3807"/>
      <c r="BW76" s="3807"/>
      <c r="BX76" s="3807"/>
      <c r="BY76" s="3807"/>
      <c r="BZ76" s="3807"/>
      <c r="CA76" s="3807"/>
      <c r="CB76" s="3807"/>
      <c r="CC76" s="3807"/>
      <c r="CD76" s="3807"/>
      <c r="CE76" s="3807"/>
      <c r="CF76" s="3807"/>
      <c r="CG76" s="3807"/>
      <c r="CH76" s="3807"/>
      <c r="CI76" s="3807"/>
      <c r="CJ76" s="3807"/>
      <c r="CK76" s="3807"/>
      <c r="CL76" s="3807"/>
      <c r="CM76" s="3807"/>
      <c r="CN76" s="3807"/>
      <c r="CO76" s="3807"/>
      <c r="CP76" s="3807"/>
      <c r="CQ76" s="3807"/>
      <c r="CR76" s="3807"/>
      <c r="CS76" s="3807"/>
      <c r="CT76" s="3807"/>
      <c r="CU76" s="3807"/>
      <c r="CV76" s="3807"/>
      <c r="CW76" s="3807"/>
      <c r="CX76" s="3807"/>
      <c r="CY76" s="3807"/>
      <c r="CZ76" s="3807"/>
      <c r="DA76" s="3807"/>
      <c r="DB76" s="3807"/>
      <c r="DC76" s="3807"/>
      <c r="DD76" s="3807"/>
      <c r="DE76" s="3807"/>
      <c r="DF76" s="3807"/>
      <c r="DG76" s="3807"/>
      <c r="DH76" s="3807"/>
      <c r="DI76" s="3807"/>
      <c r="DJ76" s="3807"/>
      <c r="DK76" s="3807"/>
      <c r="DL76" s="3807"/>
      <c r="DM76" s="3807"/>
      <c r="DN76" s="3807"/>
      <c r="DO76" s="3807"/>
      <c r="DP76" s="3807"/>
      <c r="DQ76" s="3807"/>
      <c r="DR76" s="3807"/>
      <c r="DS76" s="3807"/>
      <c r="DT76" s="3807"/>
      <c r="DU76" s="3807"/>
      <c r="DV76" s="3807"/>
      <c r="DW76" s="3807"/>
      <c r="DX76" s="3807"/>
      <c r="DY76" s="3807"/>
      <c r="DZ76" s="3807"/>
      <c r="EA76" s="3807"/>
      <c r="EB76" s="3807"/>
      <c r="EC76" s="3807"/>
      <c r="ED76" s="3807"/>
      <c r="EE76" s="3807"/>
      <c r="EF76" s="3807"/>
      <c r="EG76" s="3807"/>
      <c r="EH76" s="3807"/>
      <c r="EI76" s="3807"/>
      <c r="EJ76" s="3807"/>
      <c r="EK76" s="3807"/>
      <c r="EL76" s="3807"/>
      <c r="EM76" s="3807"/>
      <c r="EN76" s="3807"/>
      <c r="EO76" s="3807"/>
      <c r="EP76" s="3807"/>
      <c r="EQ76" s="3807"/>
      <c r="ER76" s="3807"/>
      <c r="ES76" s="3807"/>
      <c r="ET76" s="3807"/>
      <c r="EU76" s="3807"/>
      <c r="EV76" s="3807"/>
      <c r="EW76" s="3807"/>
      <c r="EX76" s="3807"/>
      <c r="EY76" s="3807"/>
      <c r="EZ76" s="3807"/>
      <c r="FA76" s="3807"/>
      <c r="FB76" s="3807"/>
      <c r="FC76" s="3807"/>
      <c r="FD76" s="3807"/>
      <c r="FE76" s="3807"/>
      <c r="FF76" s="3807"/>
      <c r="FG76" s="3807"/>
      <c r="FH76" s="3807"/>
      <c r="FI76" s="3807"/>
      <c r="FJ76" s="3807"/>
      <c r="FK76" s="3807"/>
      <c r="FL76" s="3807"/>
      <c r="FM76" s="3807"/>
      <c r="FN76" s="3807"/>
      <c r="FO76" s="3807"/>
      <c r="FP76" s="3807"/>
      <c r="FQ76" s="3807"/>
      <c r="FR76" s="3807"/>
      <c r="FS76" s="3807"/>
      <c r="FT76" s="3807"/>
      <c r="FU76" s="3807"/>
      <c r="FV76" s="3807"/>
      <c r="FW76" s="3807"/>
      <c r="FX76" s="3807"/>
      <c r="FY76" s="3807"/>
      <c r="FZ76" s="3807"/>
      <c r="GA76" s="3807"/>
      <c r="GB76" s="3807"/>
      <c r="GC76" s="3807"/>
      <c r="GD76" s="3807"/>
      <c r="GE76" s="3807"/>
      <c r="GF76" s="3807"/>
      <c r="GG76" s="3807"/>
      <c r="GH76" s="3807"/>
      <c r="GI76" s="3807"/>
      <c r="GJ76" s="3807"/>
      <c r="GK76" s="3807"/>
      <c r="GL76" s="3807"/>
      <c r="GM76" s="3807"/>
      <c r="GN76" s="3807"/>
      <c r="GO76" s="3807"/>
      <c r="GP76" s="3807"/>
      <c r="GQ76" s="3807"/>
      <c r="GR76" s="3807"/>
      <c r="GS76" s="3807"/>
      <c r="GT76" s="3807"/>
      <c r="GU76" s="3807"/>
      <c r="GV76" s="3807"/>
      <c r="GW76" s="3807"/>
      <c r="GX76" s="3807"/>
      <c r="GY76" s="3807"/>
      <c r="GZ76" s="3807"/>
      <c r="HA76" s="3807"/>
      <c r="HB76" s="3807"/>
      <c r="HC76" s="3807"/>
      <c r="HD76" s="3807"/>
      <c r="HE76" s="3807"/>
      <c r="HF76" s="3807"/>
      <c r="HG76" s="3807"/>
      <c r="HH76" s="3807"/>
      <c r="HI76" s="3807"/>
      <c r="HJ76" s="3807"/>
      <c r="HK76" s="3807"/>
      <c r="HL76" s="3807"/>
      <c r="HM76" s="3807"/>
      <c r="HN76" s="3807"/>
      <c r="HO76" s="3807"/>
      <c r="HP76" s="3807"/>
      <c r="HQ76" s="3807"/>
      <c r="HR76" s="3807"/>
      <c r="HS76" s="3807"/>
      <c r="HT76" s="3807"/>
      <c r="HU76" s="3807"/>
      <c r="HV76" s="3807"/>
      <c r="HW76" s="3807"/>
      <c r="HX76" s="3807"/>
      <c r="HY76" s="3807"/>
      <c r="HZ76" s="3807"/>
      <c r="IA76" s="3807"/>
      <c r="IB76" s="3807"/>
      <c r="IC76" s="3807"/>
      <c r="ID76" s="3807"/>
      <c r="IE76" s="3807"/>
      <c r="IF76" s="3807"/>
      <c r="IG76" s="3807"/>
      <c r="IH76" s="3807"/>
      <c r="II76" s="3807"/>
      <c r="IJ76" s="3807"/>
      <c r="IK76" s="3807"/>
      <c r="IL76" s="3807"/>
      <c r="IM76" s="3807"/>
      <c r="IN76" s="3807"/>
      <c r="IO76" s="3807"/>
      <c r="IP76" s="2815"/>
      <c r="IQ76" s="2815"/>
      <c r="IR76" s="3807"/>
      <c r="IS76" s="3807"/>
      <c r="IT76" s="3980">
        <v>3</v>
      </c>
      <c r="IU76" s="3807"/>
      <c r="IV76" s="3807"/>
      <c r="IW76" s="3980"/>
      <c r="IX76" s="3807"/>
      <c r="IY76" s="3807"/>
      <c r="IZ76" s="3980"/>
      <c r="JA76" s="2815"/>
      <c r="JB76" s="2815"/>
      <c r="JC76" s="4232"/>
      <c r="JD76" s="4232"/>
      <c r="JE76" s="3807"/>
      <c r="JF76" s="3807"/>
      <c r="JG76" s="1591"/>
      <c r="JH76" s="1361"/>
      <c r="JI76" s="1390"/>
      <c r="JJ76" s="1572" t="s">
        <v>6132</v>
      </c>
    </row>
    <row r="77" spans="1:272" x14ac:dyDescent="0.2">
      <c r="A77" s="1128">
        <v>15</v>
      </c>
      <c r="B77" s="1285" t="str">
        <f si="4" t="shared"/>
        <v/>
      </c>
      <c r="C77" s="1587" t="s">
        <v>3576</v>
      </c>
      <c r="D77" s="1372" t="str">
        <f>"Number of days you worked for more than 3 hours in the UK in "&amp;tax_year</f>
        <v>Number of days you worked for more than 3 hours in the UK in 2019-20</v>
      </c>
      <c r="E77" s="1588">
        <v>80</v>
      </c>
      <c r="F77" s="1588">
        <v>0</v>
      </c>
      <c r="G77" s="1594">
        <v>286</v>
      </c>
      <c r="H77" s="1351">
        <v>294</v>
      </c>
      <c r="I77" s="1351">
        <v>340</v>
      </c>
      <c r="J77" s="1351">
        <v>0</v>
      </c>
      <c r="K77" s="1351"/>
      <c r="L77" s="1351">
        <v>294</v>
      </c>
      <c r="M77" s="1351">
        <v>294</v>
      </c>
      <c r="N77" s="1351">
        <v>294</v>
      </c>
      <c r="O77" s="2045"/>
      <c r="P77" s="2045"/>
      <c r="Q77" s="2045"/>
      <c r="R77" s="2045"/>
      <c r="S77" s="2045"/>
      <c r="T77" s="3807"/>
      <c r="U77" s="3807"/>
      <c r="V77" s="3807"/>
      <c r="W77" s="3807"/>
      <c r="X77" s="3807"/>
      <c r="Y77" s="3807"/>
      <c r="Z77" s="3807"/>
      <c r="AA77" s="3807"/>
      <c r="AB77" s="3807"/>
      <c r="AC77" s="3807"/>
      <c r="AD77" s="3807"/>
      <c r="AE77" s="3807"/>
      <c r="AF77" s="3807"/>
      <c r="AG77" s="3807"/>
      <c r="AH77" s="3807"/>
      <c r="AI77" s="3807"/>
      <c r="AJ77" s="3807"/>
      <c r="AK77" s="3807"/>
      <c r="AL77" s="3807"/>
      <c r="AM77" s="3807"/>
      <c r="AN77" s="3807"/>
      <c r="AO77" s="3807"/>
      <c r="AP77" s="3807"/>
      <c r="AQ77" s="3807"/>
      <c r="AR77" s="3807"/>
      <c r="AS77" s="3807"/>
      <c r="AT77" s="3807"/>
      <c r="AU77" s="3807"/>
      <c r="AV77" s="3807"/>
      <c r="AW77" s="3807"/>
      <c r="AX77" s="3807"/>
      <c r="AY77" s="3807"/>
      <c r="AZ77" s="3807"/>
      <c r="BA77" s="3807"/>
      <c r="BB77" s="3807"/>
      <c r="BC77" s="3807"/>
      <c r="BD77" s="3807"/>
      <c r="BE77" s="3807"/>
      <c r="BF77" s="3807"/>
      <c r="BG77" s="3807"/>
      <c r="BH77" s="3807"/>
      <c r="BI77" s="3807"/>
      <c r="BJ77" s="3807"/>
      <c r="BK77" s="3807"/>
      <c r="BL77" s="3807"/>
      <c r="BM77" s="3807"/>
      <c r="BN77" s="3807"/>
      <c r="BO77" s="3807"/>
      <c r="BP77" s="3807"/>
      <c r="BQ77" s="3807"/>
      <c r="BR77" s="3807"/>
      <c r="BS77" s="3807"/>
      <c r="BT77" s="3807"/>
      <c r="BU77" s="3807"/>
      <c r="BV77" s="3807"/>
      <c r="BW77" s="3807"/>
      <c r="BX77" s="3807"/>
      <c r="BY77" s="3807"/>
      <c r="BZ77" s="3807"/>
      <c r="CA77" s="3807"/>
      <c r="CB77" s="3807"/>
      <c r="CC77" s="3807"/>
      <c r="CD77" s="3807"/>
      <c r="CE77" s="3807"/>
      <c r="CF77" s="3807"/>
      <c r="CG77" s="3807"/>
      <c r="CH77" s="3807"/>
      <c r="CI77" s="3807"/>
      <c r="CJ77" s="3807"/>
      <c r="CK77" s="3807"/>
      <c r="CL77" s="3807"/>
      <c r="CM77" s="3807"/>
      <c r="CN77" s="3807"/>
      <c r="CO77" s="3807"/>
      <c r="CP77" s="3807"/>
      <c r="CQ77" s="3807"/>
      <c r="CR77" s="3807"/>
      <c r="CS77" s="3807"/>
      <c r="CT77" s="3807"/>
      <c r="CU77" s="3807"/>
      <c r="CV77" s="3807"/>
      <c r="CW77" s="3807"/>
      <c r="CX77" s="3807"/>
      <c r="CY77" s="3807"/>
      <c r="CZ77" s="3807"/>
      <c r="DA77" s="3807"/>
      <c r="DB77" s="3807"/>
      <c r="DC77" s="3807"/>
      <c r="DD77" s="3807"/>
      <c r="DE77" s="3807"/>
      <c r="DF77" s="3807"/>
      <c r="DG77" s="3807"/>
      <c r="DH77" s="3807"/>
      <c r="DI77" s="3807"/>
      <c r="DJ77" s="3807"/>
      <c r="DK77" s="3807"/>
      <c r="DL77" s="3807"/>
      <c r="DM77" s="3807"/>
      <c r="DN77" s="3807"/>
      <c r="DO77" s="3807"/>
      <c r="DP77" s="3807"/>
      <c r="DQ77" s="3807"/>
      <c r="DR77" s="3807"/>
      <c r="DS77" s="3807"/>
      <c r="DT77" s="3807"/>
      <c r="DU77" s="3807"/>
      <c r="DV77" s="3807"/>
      <c r="DW77" s="3807"/>
      <c r="DX77" s="3807"/>
      <c r="DY77" s="3807"/>
      <c r="DZ77" s="3807"/>
      <c r="EA77" s="3807"/>
      <c r="EB77" s="3807"/>
      <c r="EC77" s="3807"/>
      <c r="ED77" s="3807"/>
      <c r="EE77" s="3807"/>
      <c r="EF77" s="3807"/>
      <c r="EG77" s="3807"/>
      <c r="EH77" s="3807"/>
      <c r="EI77" s="3807"/>
      <c r="EJ77" s="3807"/>
      <c r="EK77" s="3807"/>
      <c r="EL77" s="3807"/>
      <c r="EM77" s="3807"/>
      <c r="EN77" s="3807"/>
      <c r="EO77" s="3807"/>
      <c r="EP77" s="3807"/>
      <c r="EQ77" s="3807"/>
      <c r="ER77" s="3807"/>
      <c r="ES77" s="3807"/>
      <c r="ET77" s="3807"/>
      <c r="EU77" s="3807"/>
      <c r="EV77" s="3807"/>
      <c r="EW77" s="3807"/>
      <c r="EX77" s="3807"/>
      <c r="EY77" s="3807"/>
      <c r="EZ77" s="3807"/>
      <c r="FA77" s="3807"/>
      <c r="FB77" s="3807"/>
      <c r="FC77" s="3807"/>
      <c r="FD77" s="3807"/>
      <c r="FE77" s="3807"/>
      <c r="FF77" s="3807"/>
      <c r="FG77" s="3807"/>
      <c r="FH77" s="3807"/>
      <c r="FI77" s="3807"/>
      <c r="FJ77" s="3807"/>
      <c r="FK77" s="3807"/>
      <c r="FL77" s="3807"/>
      <c r="FM77" s="3807"/>
      <c r="FN77" s="3807"/>
      <c r="FO77" s="3807"/>
      <c r="FP77" s="3807"/>
      <c r="FQ77" s="3807"/>
      <c r="FR77" s="3807"/>
      <c r="FS77" s="3807"/>
      <c r="FT77" s="3807"/>
      <c r="FU77" s="3807"/>
      <c r="FV77" s="3807"/>
      <c r="FW77" s="3807"/>
      <c r="FX77" s="3807"/>
      <c r="FY77" s="3807"/>
      <c r="FZ77" s="3807"/>
      <c r="GA77" s="3807"/>
      <c r="GB77" s="3807"/>
      <c r="GC77" s="3807"/>
      <c r="GD77" s="3807"/>
      <c r="GE77" s="3807"/>
      <c r="GF77" s="3807"/>
      <c r="GG77" s="3807"/>
      <c r="GH77" s="3807"/>
      <c r="GI77" s="3807"/>
      <c r="GJ77" s="3807"/>
      <c r="GK77" s="3807"/>
      <c r="GL77" s="3807"/>
      <c r="GM77" s="3807"/>
      <c r="GN77" s="3807"/>
      <c r="GO77" s="3807"/>
      <c r="GP77" s="3807"/>
      <c r="GQ77" s="3807"/>
      <c r="GR77" s="3807"/>
      <c r="GS77" s="3807"/>
      <c r="GT77" s="3807"/>
      <c r="GU77" s="3807"/>
      <c r="GV77" s="3807"/>
      <c r="GW77" s="3807"/>
      <c r="GX77" s="3807"/>
      <c r="GY77" s="3807"/>
      <c r="GZ77" s="3807"/>
      <c r="HA77" s="3807"/>
      <c r="HB77" s="3807"/>
      <c r="HC77" s="3807"/>
      <c r="HD77" s="3807"/>
      <c r="HE77" s="3807"/>
      <c r="HF77" s="3807"/>
      <c r="HG77" s="3807"/>
      <c r="HH77" s="3807"/>
      <c r="HI77" s="3807"/>
      <c r="HJ77" s="3807"/>
      <c r="HK77" s="3807"/>
      <c r="HL77" s="3807"/>
      <c r="HM77" s="3807"/>
      <c r="HN77" s="3807"/>
      <c r="HO77" s="3807"/>
      <c r="HP77" s="3807"/>
      <c r="HQ77" s="3807"/>
      <c r="HR77" s="3807"/>
      <c r="HS77" s="3807"/>
      <c r="HT77" s="3807"/>
      <c r="HU77" s="3807"/>
      <c r="HV77" s="3807"/>
      <c r="HW77" s="3807"/>
      <c r="HX77" s="3807"/>
      <c r="HY77" s="3807"/>
      <c r="HZ77" s="3807"/>
      <c r="IA77" s="3807"/>
      <c r="IB77" s="3807"/>
      <c r="IC77" s="3807"/>
      <c r="ID77" s="3807"/>
      <c r="IE77" s="3807"/>
      <c r="IF77" s="3807"/>
      <c r="IG77" s="3807"/>
      <c r="IH77" s="3807"/>
      <c r="II77" s="3807"/>
      <c r="IJ77" s="3807"/>
      <c r="IK77" s="3807"/>
      <c r="IL77" s="3807"/>
      <c r="IM77" s="3807"/>
      <c r="IN77" s="3807"/>
      <c r="IO77" s="3807"/>
      <c r="IP77" s="2815"/>
      <c r="IQ77" s="3829">
        <v>2</v>
      </c>
      <c r="IR77" s="3807"/>
      <c r="IS77" s="3807"/>
      <c r="IT77" s="3980">
        <v>51</v>
      </c>
      <c r="IU77" s="3807"/>
      <c r="IV77" s="3807"/>
      <c r="IW77" s="3980">
        <v>11</v>
      </c>
      <c r="IX77" s="3807"/>
      <c r="IY77" s="3807"/>
      <c r="IZ77" s="3980"/>
      <c r="JA77" s="2815"/>
      <c r="JB77" s="2815"/>
      <c r="JC77" s="4232"/>
      <c r="JD77" s="4232"/>
      <c r="JE77" s="3807"/>
      <c r="JF77" s="3807"/>
      <c r="JG77" s="1591"/>
      <c r="JH77" s="1361"/>
      <c r="JI77" s="1390"/>
      <c r="JJ77" s="1572" t="s">
        <v>6132</v>
      </c>
    </row>
    <row r="78" spans="1:272" x14ac:dyDescent="0.2">
      <c r="A78" s="1128">
        <v>16</v>
      </c>
      <c r="B78" s="1285" t="str">
        <f si="4" t="shared"/>
        <v/>
      </c>
      <c r="C78" s="1587" t="s">
        <v>3577</v>
      </c>
      <c r="D78" s="1372" t="str">
        <f>"Number of days you worked for more than 3 hours overseas in "&amp;tax_year</f>
        <v>Number of days you worked for more than 3 hours overseas in 2019-20</v>
      </c>
      <c r="E78" s="1588">
        <v>160</v>
      </c>
      <c r="F78" s="1588"/>
      <c r="G78" s="1594"/>
      <c r="H78" s="1594"/>
      <c r="I78" s="1594"/>
      <c r="J78" s="1351"/>
      <c r="K78" s="1351"/>
      <c r="L78" s="1594"/>
      <c r="M78" s="1594"/>
      <c r="N78" s="1594"/>
      <c r="O78" s="2048"/>
      <c r="P78" s="2048"/>
      <c r="Q78" s="2048"/>
      <c r="R78" s="2048"/>
      <c r="S78" s="2048"/>
      <c r="T78" s="3922"/>
      <c r="U78" s="3922"/>
      <c r="V78" s="3922"/>
      <c r="W78" s="3922"/>
      <c r="X78" s="3922"/>
      <c r="Y78" s="3922"/>
      <c r="Z78" s="3922"/>
      <c r="AA78" s="3922"/>
      <c r="AB78" s="3922"/>
      <c r="AC78" s="3922"/>
      <c r="AD78" s="3922"/>
      <c r="AE78" s="3922"/>
      <c r="AF78" s="3922"/>
      <c r="AG78" s="3922"/>
      <c r="AH78" s="3922"/>
      <c r="AI78" s="3922"/>
      <c r="AJ78" s="3922"/>
      <c r="AK78" s="3922"/>
      <c r="AL78" s="3922"/>
      <c r="AM78" s="3922"/>
      <c r="AN78" s="3922"/>
      <c r="AO78" s="3922"/>
      <c r="AP78" s="3922"/>
      <c r="AQ78" s="3922"/>
      <c r="AR78" s="3922"/>
      <c r="AS78" s="3922"/>
      <c r="AT78" s="3922"/>
      <c r="AU78" s="3922"/>
      <c r="AV78" s="3922"/>
      <c r="AW78" s="3922"/>
      <c r="AX78" s="3922"/>
      <c r="AY78" s="3922"/>
      <c r="AZ78" s="3922"/>
      <c r="BA78" s="3922"/>
      <c r="BB78" s="3922"/>
      <c r="BC78" s="3922"/>
      <c r="BD78" s="3922"/>
      <c r="BE78" s="3922"/>
      <c r="BF78" s="3922"/>
      <c r="BG78" s="3922"/>
      <c r="BH78" s="3922"/>
      <c r="BI78" s="3922"/>
      <c r="BJ78" s="3922"/>
      <c r="BK78" s="3922"/>
      <c r="BL78" s="3922"/>
      <c r="BM78" s="3922"/>
      <c r="BN78" s="3922"/>
      <c r="BO78" s="3922"/>
      <c r="BP78" s="3922"/>
      <c r="BQ78" s="3922"/>
      <c r="BR78" s="3922"/>
      <c r="BS78" s="3922"/>
      <c r="BT78" s="3922"/>
      <c r="BU78" s="3922"/>
      <c r="BV78" s="3922"/>
      <c r="BW78" s="3922"/>
      <c r="BX78" s="3922"/>
      <c r="BY78" s="3922"/>
      <c r="BZ78" s="3922"/>
      <c r="CA78" s="3922"/>
      <c r="CB78" s="3922"/>
      <c r="CC78" s="3922"/>
      <c r="CD78" s="3922"/>
      <c r="CE78" s="3922"/>
      <c r="CF78" s="3922"/>
      <c r="CG78" s="3922"/>
      <c r="CH78" s="3922"/>
      <c r="CI78" s="3922"/>
      <c r="CJ78" s="3922"/>
      <c r="CK78" s="3922"/>
      <c r="CL78" s="3922"/>
      <c r="CM78" s="3922"/>
      <c r="CN78" s="3922"/>
      <c r="CO78" s="3922"/>
      <c r="CP78" s="3922"/>
      <c r="CQ78" s="3922"/>
      <c r="CR78" s="3922"/>
      <c r="CS78" s="3922"/>
      <c r="CT78" s="3922"/>
      <c r="CU78" s="3922"/>
      <c r="CV78" s="3922"/>
      <c r="CW78" s="3922"/>
      <c r="CX78" s="3922"/>
      <c r="CY78" s="3922"/>
      <c r="CZ78" s="3922"/>
      <c r="DA78" s="3922"/>
      <c r="DB78" s="3922"/>
      <c r="DC78" s="3922"/>
      <c r="DD78" s="3922"/>
      <c r="DE78" s="3922"/>
      <c r="DF78" s="3922"/>
      <c r="DG78" s="3922"/>
      <c r="DH78" s="3922"/>
      <c r="DI78" s="3922"/>
      <c r="DJ78" s="3922"/>
      <c r="DK78" s="3922"/>
      <c r="DL78" s="3922"/>
      <c r="DM78" s="3922"/>
      <c r="DN78" s="3922"/>
      <c r="DO78" s="3922"/>
      <c r="DP78" s="3922"/>
      <c r="DQ78" s="3922"/>
      <c r="DR78" s="3922"/>
      <c r="DS78" s="3922"/>
      <c r="DT78" s="3922"/>
      <c r="DU78" s="3922"/>
      <c r="DV78" s="3922"/>
      <c r="DW78" s="3922"/>
      <c r="DX78" s="3922"/>
      <c r="DY78" s="3922"/>
      <c r="DZ78" s="3922"/>
      <c r="EA78" s="3922"/>
      <c r="EB78" s="3922"/>
      <c r="EC78" s="3922"/>
      <c r="ED78" s="3922"/>
      <c r="EE78" s="3922"/>
      <c r="EF78" s="3922"/>
      <c r="EG78" s="3922"/>
      <c r="EH78" s="3922"/>
      <c r="EI78" s="3922"/>
      <c r="EJ78" s="3922"/>
      <c r="EK78" s="3922"/>
      <c r="EL78" s="3922"/>
      <c r="EM78" s="3922"/>
      <c r="EN78" s="3922"/>
      <c r="EO78" s="3922"/>
      <c r="EP78" s="3922"/>
      <c r="EQ78" s="3922"/>
      <c r="ER78" s="3922"/>
      <c r="ES78" s="3922"/>
      <c r="ET78" s="3922"/>
      <c r="EU78" s="3922"/>
      <c r="EV78" s="3922"/>
      <c r="EW78" s="3922"/>
      <c r="EX78" s="3922"/>
      <c r="EY78" s="3922"/>
      <c r="EZ78" s="3922"/>
      <c r="FA78" s="3922"/>
      <c r="FB78" s="3922"/>
      <c r="FC78" s="3922"/>
      <c r="FD78" s="3922"/>
      <c r="FE78" s="3922"/>
      <c r="FF78" s="3922"/>
      <c r="FG78" s="3922"/>
      <c r="FH78" s="3922"/>
      <c r="FI78" s="3922"/>
      <c r="FJ78" s="3922"/>
      <c r="FK78" s="3922"/>
      <c r="FL78" s="3922"/>
      <c r="FM78" s="3922"/>
      <c r="FN78" s="3922"/>
      <c r="FO78" s="3922"/>
      <c r="FP78" s="3922"/>
      <c r="FQ78" s="3922"/>
      <c r="FR78" s="3922"/>
      <c r="FS78" s="3922"/>
      <c r="FT78" s="3922"/>
      <c r="FU78" s="3922"/>
      <c r="FV78" s="3922"/>
      <c r="FW78" s="3922"/>
      <c r="FX78" s="3922"/>
      <c r="FY78" s="3922"/>
      <c r="FZ78" s="3922"/>
      <c r="GA78" s="3922"/>
      <c r="GB78" s="3922"/>
      <c r="GC78" s="3922"/>
      <c r="GD78" s="3922"/>
      <c r="GE78" s="3922"/>
      <c r="GF78" s="3922"/>
      <c r="GG78" s="3922"/>
      <c r="GH78" s="3922"/>
      <c r="GI78" s="3922"/>
      <c r="GJ78" s="3922"/>
      <c r="GK78" s="3922"/>
      <c r="GL78" s="3922"/>
      <c r="GM78" s="3922"/>
      <c r="GN78" s="3922"/>
      <c r="GO78" s="3922"/>
      <c r="GP78" s="3922"/>
      <c r="GQ78" s="3922"/>
      <c r="GR78" s="3922"/>
      <c r="GS78" s="3922"/>
      <c r="GT78" s="3922"/>
      <c r="GU78" s="3922"/>
      <c r="GV78" s="3922"/>
      <c r="GW78" s="3922"/>
      <c r="GX78" s="3922"/>
      <c r="GY78" s="3922"/>
      <c r="GZ78" s="3922"/>
      <c r="HA78" s="3922"/>
      <c r="HB78" s="3922"/>
      <c r="HC78" s="3922"/>
      <c r="HD78" s="3922"/>
      <c r="HE78" s="3922"/>
      <c r="HF78" s="3922"/>
      <c r="HG78" s="3922"/>
      <c r="HH78" s="3922"/>
      <c r="HI78" s="3922"/>
      <c r="HJ78" s="3922"/>
      <c r="HK78" s="3922"/>
      <c r="HL78" s="3922"/>
      <c r="HM78" s="3922"/>
      <c r="HN78" s="3922"/>
      <c r="HO78" s="3922"/>
      <c r="HP78" s="3922"/>
      <c r="HQ78" s="3922"/>
      <c r="HR78" s="3922"/>
      <c r="HS78" s="3922"/>
      <c r="HT78" s="3922"/>
      <c r="HU78" s="3922"/>
      <c r="HV78" s="3922"/>
      <c r="HW78" s="3922"/>
      <c r="HX78" s="3922"/>
      <c r="HY78" s="3922"/>
      <c r="HZ78" s="3922"/>
      <c r="IA78" s="3922"/>
      <c r="IB78" s="3922"/>
      <c r="IC78" s="3922"/>
      <c r="ID78" s="3922"/>
      <c r="IE78" s="3922"/>
      <c r="IF78" s="3922"/>
      <c r="IG78" s="3922"/>
      <c r="IH78" s="3922"/>
      <c r="II78" s="3922"/>
      <c r="IJ78" s="3922"/>
      <c r="IK78" s="3922"/>
      <c r="IL78" s="3922"/>
      <c r="IM78" s="3922"/>
      <c r="IN78" s="3922"/>
      <c r="IO78" s="3922"/>
      <c r="IP78" s="3832"/>
      <c r="IQ78" s="3832"/>
      <c r="IR78" s="3922"/>
      <c r="IS78" s="3922"/>
      <c r="IT78" s="3981">
        <v>117</v>
      </c>
      <c r="IU78" s="3922"/>
      <c r="IV78" s="3922"/>
      <c r="IW78" s="3981">
        <v>214</v>
      </c>
      <c r="IX78" s="3922"/>
      <c r="IY78" s="3922"/>
      <c r="IZ78" s="3981"/>
      <c r="JA78" s="3832"/>
      <c r="JB78" s="3832"/>
      <c r="JC78" s="4233"/>
      <c r="JD78" s="4233"/>
      <c r="JE78" s="3922"/>
      <c r="JF78" s="3922"/>
      <c r="JG78" s="1595"/>
      <c r="JH78" s="1363"/>
      <c r="JI78" s="1390"/>
      <c r="JJ78" s="1741" t="s">
        <v>6211</v>
      </c>
    </row>
    <row r="79" spans="1:272" x14ac:dyDescent="0.2">
      <c r="A79" s="1128">
        <v>17</v>
      </c>
      <c r="B79" s="1285" t="str">
        <f si="4" t="shared"/>
        <v/>
      </c>
      <c r="C79" s="1596" t="s">
        <v>3578</v>
      </c>
      <c r="D79" s="1372" t="s">
        <v>4987</v>
      </c>
      <c r="E79" s="1588" t="s">
        <v>1189</v>
      </c>
      <c r="F79" s="1597" t="s">
        <v>572</v>
      </c>
      <c r="G79" s="1588" t="s">
        <v>1189</v>
      </c>
      <c r="H79" s="1351" t="s">
        <v>1189</v>
      </c>
      <c r="I79" s="1351" t="s">
        <v>1189</v>
      </c>
      <c r="J79" s="1588" t="s">
        <v>1189</v>
      </c>
      <c r="K79" s="1351"/>
      <c r="L79" s="1351" t="s">
        <v>1189</v>
      </c>
      <c r="M79" s="1351" t="s">
        <v>1189</v>
      </c>
      <c r="N79" s="1351" t="s">
        <v>1189</v>
      </c>
      <c r="O79" s="2045"/>
      <c r="P79" s="2045"/>
      <c r="Q79" s="2045"/>
      <c r="R79" s="2045"/>
      <c r="S79" s="2045"/>
      <c r="T79" s="3807"/>
      <c r="U79" s="3807"/>
      <c r="V79" s="3807"/>
      <c r="W79" s="3807"/>
      <c r="X79" s="3807"/>
      <c r="Y79" s="3807"/>
      <c r="Z79" s="3807"/>
      <c r="AA79" s="3807"/>
      <c r="AB79" s="3807"/>
      <c r="AC79" s="3807"/>
      <c r="AD79" s="3807"/>
      <c r="AE79" s="3807"/>
      <c r="AF79" s="3807"/>
      <c r="AG79" s="3807"/>
      <c r="AH79" s="3807"/>
      <c r="AI79" s="3807"/>
      <c r="AJ79" s="3807"/>
      <c r="AK79" s="3807"/>
      <c r="AL79" s="3807"/>
      <c r="AM79" s="3807"/>
      <c r="AN79" s="3807"/>
      <c r="AO79" s="3807"/>
      <c r="AP79" s="3807"/>
      <c r="AQ79" s="3807"/>
      <c r="AR79" s="3807"/>
      <c r="AS79" s="3807"/>
      <c r="AT79" s="3807"/>
      <c r="AU79" s="3807"/>
      <c r="AV79" s="3807"/>
      <c r="AW79" s="3807"/>
      <c r="AX79" s="3807"/>
      <c r="AY79" s="3807"/>
      <c r="AZ79" s="3807"/>
      <c r="BA79" s="3807"/>
      <c r="BB79" s="3807"/>
      <c r="BC79" s="3807"/>
      <c r="BD79" s="3807"/>
      <c r="BE79" s="3807"/>
      <c r="BF79" s="3807"/>
      <c r="BG79" s="3807"/>
      <c r="BH79" s="3807"/>
      <c r="BI79" s="3807"/>
      <c r="BJ79" s="3807"/>
      <c r="BK79" s="3807"/>
      <c r="BL79" s="3807"/>
      <c r="BM79" s="3807"/>
      <c r="BN79" s="3807"/>
      <c r="BO79" s="3807"/>
      <c r="BP79" s="3807"/>
      <c r="BQ79" s="3807"/>
      <c r="BR79" s="3807"/>
      <c r="BS79" s="3807"/>
      <c r="BT79" s="3807"/>
      <c r="BU79" s="3807"/>
      <c r="BV79" s="3807"/>
      <c r="BW79" s="3807"/>
      <c r="BX79" s="3807"/>
      <c r="BY79" s="3807"/>
      <c r="BZ79" s="3807"/>
      <c r="CA79" s="3807"/>
      <c r="CB79" s="3807"/>
      <c r="CC79" s="3807"/>
      <c r="CD79" s="3807"/>
      <c r="CE79" s="3807"/>
      <c r="CF79" s="3807"/>
      <c r="CG79" s="3807"/>
      <c r="CH79" s="3807"/>
      <c r="CI79" s="3807"/>
      <c r="CJ79" s="3807"/>
      <c r="CK79" s="3807"/>
      <c r="CL79" s="3807"/>
      <c r="CM79" s="3807"/>
      <c r="CN79" s="3807"/>
      <c r="CO79" s="3807"/>
      <c r="CP79" s="3807"/>
      <c r="CQ79" s="3807"/>
      <c r="CR79" s="3807"/>
      <c r="CS79" s="3807"/>
      <c r="CT79" s="3807"/>
      <c r="CU79" s="3807"/>
      <c r="CV79" s="3807"/>
      <c r="CW79" s="3807"/>
      <c r="CX79" s="3807"/>
      <c r="CY79" s="3807"/>
      <c r="CZ79" s="3807"/>
      <c r="DA79" s="3807"/>
      <c r="DB79" s="3807"/>
      <c r="DC79" s="3807"/>
      <c r="DD79" s="3807"/>
      <c r="DE79" s="3807"/>
      <c r="DF79" s="3807"/>
      <c r="DG79" s="3807"/>
      <c r="DH79" s="3807"/>
      <c r="DI79" s="3807"/>
      <c r="DJ79" s="3807"/>
      <c r="DK79" s="3807"/>
      <c r="DL79" s="3807"/>
      <c r="DM79" s="3807"/>
      <c r="DN79" s="3807"/>
      <c r="DO79" s="3807"/>
      <c r="DP79" s="3807"/>
      <c r="DQ79" s="3807"/>
      <c r="DR79" s="3807"/>
      <c r="DS79" s="3807"/>
      <c r="DT79" s="3807"/>
      <c r="DU79" s="3807"/>
      <c r="DV79" s="3807"/>
      <c r="DW79" s="3807"/>
      <c r="DX79" s="3807"/>
      <c r="DY79" s="3807"/>
      <c r="DZ79" s="3807"/>
      <c r="EA79" s="3807"/>
      <c r="EB79" s="3807"/>
      <c r="EC79" s="3807"/>
      <c r="ED79" s="3807"/>
      <c r="EE79" s="3807"/>
      <c r="EF79" s="3807"/>
      <c r="EG79" s="3807"/>
      <c r="EH79" s="3807"/>
      <c r="EI79" s="3807"/>
      <c r="EJ79" s="3807"/>
      <c r="EK79" s="3807"/>
      <c r="EL79" s="3807"/>
      <c r="EM79" s="3807"/>
      <c r="EN79" s="3807"/>
      <c r="EO79" s="3807"/>
      <c r="EP79" s="3807"/>
      <c r="EQ79" s="3807"/>
      <c r="ER79" s="3807"/>
      <c r="ES79" s="3807"/>
      <c r="ET79" s="3807"/>
      <c r="EU79" s="3807"/>
      <c r="EV79" s="3807"/>
      <c r="EW79" s="3807"/>
      <c r="EX79" s="3807"/>
      <c r="EY79" s="3807"/>
      <c r="EZ79" s="3807"/>
      <c r="FA79" s="3807"/>
      <c r="FB79" s="3807"/>
      <c r="FC79" s="3807"/>
      <c r="FD79" s="3807"/>
      <c r="FE79" s="3807"/>
      <c r="FF79" s="3807"/>
      <c r="FG79" s="3807"/>
      <c r="FH79" s="3807"/>
      <c r="FI79" s="3807"/>
      <c r="FJ79" s="3807"/>
      <c r="FK79" s="3807"/>
      <c r="FL79" s="3807"/>
      <c r="FM79" s="3807"/>
      <c r="FN79" s="3807"/>
      <c r="FO79" s="3807"/>
      <c r="FP79" s="3807"/>
      <c r="FQ79" s="3807"/>
      <c r="FR79" s="3807"/>
      <c r="FS79" s="3807"/>
      <c r="FT79" s="3807"/>
      <c r="FU79" s="3807"/>
      <c r="FV79" s="3807"/>
      <c r="FW79" s="3807"/>
      <c r="FX79" s="3807"/>
      <c r="FY79" s="3807"/>
      <c r="FZ79" s="3807"/>
      <c r="GA79" s="3807"/>
      <c r="GB79" s="3807"/>
      <c r="GC79" s="3807"/>
      <c r="GD79" s="3807"/>
      <c r="GE79" s="3807"/>
      <c r="GF79" s="3807"/>
      <c r="GG79" s="3807"/>
      <c r="GH79" s="3807"/>
      <c r="GI79" s="3807"/>
      <c r="GJ79" s="3807"/>
      <c r="GK79" s="3807"/>
      <c r="GL79" s="3807"/>
      <c r="GM79" s="3807"/>
      <c r="GN79" s="3807"/>
      <c r="GO79" s="3807"/>
      <c r="GP79" s="3807"/>
      <c r="GQ79" s="3807"/>
      <c r="GR79" s="3807"/>
      <c r="GS79" s="3807"/>
      <c r="GT79" s="3807"/>
      <c r="GU79" s="3807"/>
      <c r="GV79" s="3807"/>
      <c r="GW79" s="3807"/>
      <c r="GX79" s="3807"/>
      <c r="GY79" s="3807"/>
      <c r="GZ79" s="3807"/>
      <c r="HA79" s="3807"/>
      <c r="HB79" s="3807"/>
      <c r="HC79" s="3807"/>
      <c r="HD79" s="3807"/>
      <c r="HE79" s="3807"/>
      <c r="HF79" s="3807"/>
      <c r="HG79" s="3807"/>
      <c r="HH79" s="3807"/>
      <c r="HI79" s="3807"/>
      <c r="HJ79" s="3807"/>
      <c r="HK79" s="3807"/>
      <c r="HL79" s="3807"/>
      <c r="HM79" s="3807"/>
      <c r="HN79" s="3807"/>
      <c r="HO79" s="3807"/>
      <c r="HP79" s="3807"/>
      <c r="HQ79" s="3807"/>
      <c r="HR79" s="3807"/>
      <c r="HS79" s="3807"/>
      <c r="HT79" s="3807"/>
      <c r="HU79" s="3807"/>
      <c r="HV79" s="3807"/>
      <c r="HW79" s="3807"/>
      <c r="HX79" s="3807"/>
      <c r="HY79" s="3807"/>
      <c r="HZ79" s="3807"/>
      <c r="IA79" s="3807"/>
      <c r="IB79" s="3807"/>
      <c r="IC79" s="3807"/>
      <c r="ID79" s="3807"/>
      <c r="IE79" s="3807"/>
      <c r="IF79" s="3807"/>
      <c r="IG79" s="3807"/>
      <c r="IH79" s="3807"/>
      <c r="II79" s="3807"/>
      <c r="IJ79" s="3807"/>
      <c r="IK79" s="3807"/>
      <c r="IL79" s="3807"/>
      <c r="IM79" s="3807"/>
      <c r="IN79" s="3807"/>
      <c r="IO79" s="3807"/>
      <c r="IP79" s="3829" t="s">
        <v>572</v>
      </c>
      <c r="IQ79" s="3829" t="s">
        <v>572</v>
      </c>
      <c r="IR79" s="3807"/>
      <c r="IS79" s="3807"/>
      <c r="IT79" s="3807"/>
      <c r="IU79" s="3807"/>
      <c r="IV79" s="3807"/>
      <c r="IW79" s="3979" t="s">
        <v>572</v>
      </c>
      <c r="IX79" s="3807"/>
      <c r="IY79" s="3807"/>
      <c r="IZ79" s="3980"/>
      <c r="JA79" s="2815"/>
      <c r="JB79" s="2815"/>
      <c r="JC79" s="4232"/>
      <c r="JD79" s="4232"/>
      <c r="JE79" s="3807"/>
      <c r="JF79" s="3807"/>
      <c r="JG79" s="1591"/>
      <c r="JH79" s="1361"/>
      <c r="JI79" s="1390"/>
      <c r="JJ79" s="1572" t="s">
        <v>6111</v>
      </c>
    </row>
    <row r="80" spans="1:272" x14ac:dyDescent="0.2">
      <c r="A80" s="1128">
        <v>18</v>
      </c>
      <c r="B80" s="1285" t="str">
        <f si="4" t="shared"/>
        <v/>
      </c>
      <c r="C80" s="1596" t="s">
        <v>3579</v>
      </c>
      <c r="D80" s="1372" t="s">
        <v>4993</v>
      </c>
      <c r="E80" s="1597" t="s">
        <v>572</v>
      </c>
      <c r="F80" s="1588" t="s">
        <v>1189</v>
      </c>
      <c r="G80" s="1588" t="s">
        <v>1189</v>
      </c>
      <c r="H80" s="1351" t="s">
        <v>1189</v>
      </c>
      <c r="I80" s="1351" t="s">
        <v>1189</v>
      </c>
      <c r="J80" s="1351" t="s">
        <v>1189</v>
      </c>
      <c r="K80" s="1351"/>
      <c r="L80" s="1351" t="s">
        <v>1189</v>
      </c>
      <c r="M80" s="1351" t="s">
        <v>1189</v>
      </c>
      <c r="N80" s="1351" t="s">
        <v>1189</v>
      </c>
      <c r="O80" s="2045"/>
      <c r="P80" s="2045"/>
      <c r="Q80" s="2045"/>
      <c r="R80" s="2045"/>
      <c r="S80" s="2045"/>
      <c r="T80" s="3807"/>
      <c r="U80" s="3807"/>
      <c r="V80" s="3807"/>
      <c r="W80" s="3807"/>
      <c r="X80" s="3807"/>
      <c r="Y80" s="3807"/>
      <c r="Z80" s="3807"/>
      <c r="AA80" s="3807"/>
      <c r="AB80" s="3807"/>
      <c r="AC80" s="3807"/>
      <c r="AD80" s="3807"/>
      <c r="AE80" s="3807"/>
      <c r="AF80" s="3807"/>
      <c r="AG80" s="3807"/>
      <c r="AH80" s="3807"/>
      <c r="AI80" s="3807"/>
      <c r="AJ80" s="3807"/>
      <c r="AK80" s="3807"/>
      <c r="AL80" s="3807"/>
      <c r="AM80" s="3807"/>
      <c r="AN80" s="3807"/>
      <c r="AO80" s="3807"/>
      <c r="AP80" s="3807"/>
      <c r="AQ80" s="3807"/>
      <c r="AR80" s="3807"/>
      <c r="AS80" s="3807"/>
      <c r="AT80" s="3807"/>
      <c r="AU80" s="3807"/>
      <c r="AV80" s="3807"/>
      <c r="AW80" s="3807"/>
      <c r="AX80" s="3807"/>
      <c r="AY80" s="3807"/>
      <c r="AZ80" s="3807"/>
      <c r="BA80" s="3807"/>
      <c r="BB80" s="3807"/>
      <c r="BC80" s="3807"/>
      <c r="BD80" s="3807"/>
      <c r="BE80" s="3807"/>
      <c r="BF80" s="3807"/>
      <c r="BG80" s="3807"/>
      <c r="BH80" s="3807"/>
      <c r="BI80" s="3807"/>
      <c r="BJ80" s="3807"/>
      <c r="BK80" s="3829" t="s">
        <v>572</v>
      </c>
      <c r="BL80" s="3807"/>
      <c r="BM80" s="3807"/>
      <c r="BN80" s="3807"/>
      <c r="BO80" s="3807"/>
      <c r="BP80" s="3807"/>
      <c r="BQ80" s="3807"/>
      <c r="BR80" s="3807"/>
      <c r="BS80" s="3807"/>
      <c r="BT80" s="3807"/>
      <c r="BU80" s="3807"/>
      <c r="BV80" s="3807"/>
      <c r="BW80" s="3807"/>
      <c r="BX80" s="3807"/>
      <c r="BY80" s="3807"/>
      <c r="BZ80" s="3807"/>
      <c r="CA80" s="3807"/>
      <c r="CB80" s="3807"/>
      <c r="CC80" s="3807"/>
      <c r="CD80" s="3807"/>
      <c r="CE80" s="3807"/>
      <c r="CF80" s="3807"/>
      <c r="CG80" s="3807"/>
      <c r="CH80" s="3807"/>
      <c r="CI80" s="3807"/>
      <c r="CJ80" s="3807"/>
      <c r="CK80" s="3807"/>
      <c r="CL80" s="3807"/>
      <c r="CM80" s="3807"/>
      <c r="CN80" s="3807"/>
      <c r="CO80" s="3807"/>
      <c r="CP80" s="3807"/>
      <c r="CQ80" s="3807"/>
      <c r="CR80" s="3807"/>
      <c r="CS80" s="3807"/>
      <c r="CT80" s="3807"/>
      <c r="CU80" s="3807"/>
      <c r="CV80" s="3807"/>
      <c r="CW80" s="3807"/>
      <c r="CX80" s="3807"/>
      <c r="CY80" s="3807"/>
      <c r="CZ80" s="3807"/>
      <c r="DA80" s="3807"/>
      <c r="DB80" s="3807"/>
      <c r="DC80" s="3807"/>
      <c r="DD80" s="3807"/>
      <c r="DE80" s="3807"/>
      <c r="DF80" s="3807"/>
      <c r="DG80" s="3807"/>
      <c r="DH80" s="3807"/>
      <c r="DI80" s="3807"/>
      <c r="DJ80" s="3807"/>
      <c r="DK80" s="3807"/>
      <c r="DL80" s="3807"/>
      <c r="DM80" s="3807"/>
      <c r="DN80" s="3807"/>
      <c r="DO80" s="3807"/>
      <c r="DP80" s="3807"/>
      <c r="DQ80" s="3807"/>
      <c r="DR80" s="3807"/>
      <c r="DS80" s="3807"/>
      <c r="DT80" s="3807"/>
      <c r="DU80" s="3807"/>
      <c r="DV80" s="3807"/>
      <c r="DW80" s="3807"/>
      <c r="DX80" s="3807"/>
      <c r="DY80" s="3807"/>
      <c r="DZ80" s="3807"/>
      <c r="EA80" s="3807"/>
      <c r="EB80" s="3807"/>
      <c r="EC80" s="3807"/>
      <c r="ED80" s="3807"/>
      <c r="EE80" s="3807"/>
      <c r="EF80" s="3807"/>
      <c r="EG80" s="3807"/>
      <c r="EH80" s="3807"/>
      <c r="EI80" s="3807"/>
      <c r="EJ80" s="3807"/>
      <c r="EK80" s="3807"/>
      <c r="EL80" s="3807"/>
      <c r="EM80" s="3807"/>
      <c r="EN80" s="3807"/>
      <c r="EO80" s="3807"/>
      <c r="EP80" s="3807"/>
      <c r="EQ80" s="3807"/>
      <c r="ER80" s="3807"/>
      <c r="ES80" s="3807"/>
      <c r="ET80" s="3807"/>
      <c r="EU80" s="3807"/>
      <c r="EV80" s="3807"/>
      <c r="EW80" s="3807"/>
      <c r="EX80" s="3807"/>
      <c r="EY80" s="3807"/>
      <c r="EZ80" s="3807"/>
      <c r="FA80" s="3807"/>
      <c r="FB80" s="3807"/>
      <c r="FC80" s="3807"/>
      <c r="FD80" s="3807"/>
      <c r="FE80" s="3807"/>
      <c r="FF80" s="3807"/>
      <c r="FG80" s="3807"/>
      <c r="FH80" s="3807"/>
      <c r="FI80" s="3807"/>
      <c r="FJ80" s="3807"/>
      <c r="FK80" s="3807"/>
      <c r="FL80" s="3807"/>
      <c r="FM80" s="3807"/>
      <c r="FN80" s="3807"/>
      <c r="FO80" s="3807"/>
      <c r="FP80" s="3807"/>
      <c r="FQ80" s="3807"/>
      <c r="FR80" s="3807"/>
      <c r="FS80" s="3807"/>
      <c r="FT80" s="3807"/>
      <c r="FU80" s="3807"/>
      <c r="FV80" s="3807"/>
      <c r="FW80" s="3807"/>
      <c r="FX80" s="3807"/>
      <c r="FY80" s="3807"/>
      <c r="FZ80" s="3807"/>
      <c r="GA80" s="3807"/>
      <c r="GB80" s="3807"/>
      <c r="GC80" s="3807"/>
      <c r="GD80" s="3807"/>
      <c r="GE80" s="3807"/>
      <c r="GF80" s="3807"/>
      <c r="GG80" s="3807"/>
      <c r="GH80" s="3807"/>
      <c r="GI80" s="3807"/>
      <c r="GJ80" s="3807"/>
      <c r="GK80" s="3807"/>
      <c r="GL80" s="3807"/>
      <c r="GM80" s="3807"/>
      <c r="GN80" s="3807"/>
      <c r="GO80" s="3807"/>
      <c r="GP80" s="3807"/>
      <c r="GQ80" s="3807"/>
      <c r="GR80" s="3807"/>
      <c r="GS80" s="3807"/>
      <c r="GT80" s="3807"/>
      <c r="GU80" s="3807"/>
      <c r="GV80" s="3807"/>
      <c r="GW80" s="3807"/>
      <c r="GX80" s="3807"/>
      <c r="GY80" s="3807"/>
      <c r="GZ80" s="3807"/>
      <c r="HA80" s="3807"/>
      <c r="HB80" s="3807"/>
      <c r="HC80" s="3807"/>
      <c r="HD80" s="3807"/>
      <c r="HE80" s="3807"/>
      <c r="HF80" s="3807"/>
      <c r="HG80" s="3807"/>
      <c r="HH80" s="3807"/>
      <c r="HI80" s="3807"/>
      <c r="HJ80" s="3807"/>
      <c r="HK80" s="3807"/>
      <c r="HL80" s="3807"/>
      <c r="HM80" s="3807"/>
      <c r="HN80" s="3807"/>
      <c r="HO80" s="3807"/>
      <c r="HP80" s="3807"/>
      <c r="HQ80" s="3807"/>
      <c r="HR80" s="3807"/>
      <c r="HS80" s="3807"/>
      <c r="HT80" s="3807"/>
      <c r="HU80" s="3807"/>
      <c r="HV80" s="3807"/>
      <c r="HW80" s="3807"/>
      <c r="HX80" s="3807"/>
      <c r="HY80" s="3807"/>
      <c r="HZ80" s="3807"/>
      <c r="IA80" s="3807"/>
      <c r="IB80" s="3807"/>
      <c r="IC80" s="3807"/>
      <c r="ID80" s="3807"/>
      <c r="IE80" s="3807"/>
      <c r="IF80" s="3807"/>
      <c r="IG80" s="3807"/>
      <c r="IH80" s="3807"/>
      <c r="II80" s="3807"/>
      <c r="IJ80" s="3807"/>
      <c r="IK80" s="3807"/>
      <c r="IL80" s="3807"/>
      <c r="IM80" s="3807"/>
      <c r="IN80" s="3807"/>
      <c r="IO80" s="3807"/>
      <c r="IP80" s="2815"/>
      <c r="IQ80" s="2815"/>
      <c r="IR80" s="3829" t="s">
        <v>572</v>
      </c>
      <c r="IS80" s="3807"/>
      <c r="IT80" s="3807"/>
      <c r="IU80" s="3807"/>
      <c r="IV80" s="3807"/>
      <c r="IW80" s="3979" t="s">
        <v>572</v>
      </c>
      <c r="IX80" s="3807"/>
      <c r="IY80" s="3807"/>
      <c r="IZ80" s="3980" t="s">
        <v>572</v>
      </c>
      <c r="JA80" s="3979" t="s">
        <v>572</v>
      </c>
      <c r="JB80" s="3979" t="s">
        <v>572</v>
      </c>
      <c r="JC80" s="4232" t="s">
        <v>572</v>
      </c>
      <c r="JD80" s="4232" t="s">
        <v>572</v>
      </c>
      <c r="JE80" s="3807"/>
      <c r="JF80" s="3807"/>
      <c r="JG80" s="1591"/>
      <c r="JH80" s="1361"/>
      <c r="JI80" s="1390"/>
      <c r="JJ80" s="1572" t="s">
        <v>6111</v>
      </c>
    </row>
    <row r="81" spans="1:270" x14ac:dyDescent="0.2">
      <c r="A81" s="1128">
        <v>19</v>
      </c>
      <c r="B81" s="1285" t="str">
        <f si="4" t="shared"/>
        <v/>
      </c>
      <c r="C81" s="1587" t="s">
        <v>3580</v>
      </c>
      <c r="D81" s="1372" t="s">
        <v>4994</v>
      </c>
      <c r="E81" s="1598" t="s">
        <v>813</v>
      </c>
      <c r="F81" s="1599" t="s">
        <v>1966</v>
      </c>
      <c r="G81" s="1598" t="s">
        <v>2543</v>
      </c>
      <c r="H81" s="1598"/>
      <c r="I81" s="1351" t="s">
        <v>1563</v>
      </c>
      <c r="J81" s="1351" t="s">
        <v>3647</v>
      </c>
      <c r="K81" s="1351"/>
      <c r="L81" s="1351" t="s">
        <v>1563</v>
      </c>
      <c r="M81" s="1351" t="s">
        <v>1563</v>
      </c>
      <c r="N81" s="1351" t="s">
        <v>1563</v>
      </c>
      <c r="O81" s="2049"/>
      <c r="P81" s="2049"/>
      <c r="Q81" s="2049"/>
      <c r="R81" s="2049"/>
      <c r="S81" s="2049"/>
      <c r="T81" s="3923"/>
      <c r="U81" s="3923"/>
      <c r="V81" s="3923"/>
      <c r="W81" s="3923"/>
      <c r="X81" s="3923"/>
      <c r="Y81" s="3923"/>
      <c r="Z81" s="3923"/>
      <c r="AA81" s="3923"/>
      <c r="AB81" s="3923"/>
      <c r="AC81" s="3923"/>
      <c r="AD81" s="3923"/>
      <c r="AE81" s="3923"/>
      <c r="AF81" s="3923"/>
      <c r="AG81" s="3923"/>
      <c r="AH81" s="3923"/>
      <c r="AI81" s="3923"/>
      <c r="AJ81" s="3923"/>
      <c r="AK81" s="3923"/>
      <c r="AL81" s="3923"/>
      <c r="AM81" s="3923"/>
      <c r="AN81" s="3923"/>
      <c r="AO81" s="3923"/>
      <c r="AP81" s="3923"/>
      <c r="AQ81" s="3923"/>
      <c r="AR81" s="3923"/>
      <c r="AS81" s="3923"/>
      <c r="AT81" s="3923"/>
      <c r="AU81" s="3923"/>
      <c r="AV81" s="3923"/>
      <c r="AW81" s="3923"/>
      <c r="AX81" s="3923"/>
      <c r="AY81" s="3923"/>
      <c r="AZ81" s="3923"/>
      <c r="BA81" s="3923"/>
      <c r="BB81" s="3923"/>
      <c r="BC81" s="3923"/>
      <c r="BD81" s="3923"/>
      <c r="BE81" s="3923"/>
      <c r="BF81" s="3923"/>
      <c r="BG81" s="3923"/>
      <c r="BH81" s="3923"/>
      <c r="BI81" s="3923"/>
      <c r="BJ81" s="3923"/>
      <c r="BK81" s="3829" t="s">
        <v>2789</v>
      </c>
      <c r="BL81" s="3923"/>
      <c r="BM81" s="3923"/>
      <c r="BN81" s="3923"/>
      <c r="BO81" s="3923"/>
      <c r="BP81" s="3923"/>
      <c r="BQ81" s="3923"/>
      <c r="BR81" s="3923"/>
      <c r="BS81" s="3923"/>
      <c r="BT81" s="3923"/>
      <c r="BU81" s="3923"/>
      <c r="BV81" s="3923"/>
      <c r="BW81" s="3923"/>
      <c r="BX81" s="3923"/>
      <c r="BY81" s="3923"/>
      <c r="BZ81" s="3923"/>
      <c r="CA81" s="3923"/>
      <c r="CB81" s="3923"/>
      <c r="CC81" s="3923"/>
      <c r="CD81" s="3923"/>
      <c r="CE81" s="3923"/>
      <c r="CF81" s="3923"/>
      <c r="CG81" s="3923"/>
      <c r="CH81" s="3923"/>
      <c r="CI81" s="3923"/>
      <c r="CJ81" s="3923"/>
      <c r="CK81" s="3923"/>
      <c r="CL81" s="3923"/>
      <c r="CM81" s="3923"/>
      <c r="CN81" s="3923"/>
      <c r="CO81" s="3923"/>
      <c r="CP81" s="3923"/>
      <c r="CQ81" s="3923"/>
      <c r="CR81" s="3923"/>
      <c r="CS81" s="3923"/>
      <c r="CT81" s="3923"/>
      <c r="CU81" s="3923"/>
      <c r="CV81" s="3923"/>
      <c r="CW81" s="3923"/>
      <c r="CX81" s="3923"/>
      <c r="CY81" s="3923"/>
      <c r="CZ81" s="3923"/>
      <c r="DA81" s="3923"/>
      <c r="DB81" s="3923"/>
      <c r="DC81" s="3923"/>
      <c r="DD81" s="3923"/>
      <c r="DE81" s="3923"/>
      <c r="DF81" s="3923"/>
      <c r="DG81" s="3923"/>
      <c r="DH81" s="3923"/>
      <c r="DI81" s="3923"/>
      <c r="DJ81" s="3923"/>
      <c r="DK81" s="3923"/>
      <c r="DL81" s="3923"/>
      <c r="DM81" s="3923"/>
      <c r="DN81" s="3923"/>
      <c r="DO81" s="3923"/>
      <c r="DP81" s="3923"/>
      <c r="DQ81" s="3923"/>
      <c r="DR81" s="3923"/>
      <c r="DS81" s="3923"/>
      <c r="DT81" s="3923"/>
      <c r="DU81" s="3923"/>
      <c r="DV81" s="3923"/>
      <c r="DW81" s="3923"/>
      <c r="DX81" s="3923"/>
      <c r="DY81" s="3923"/>
      <c r="DZ81" s="3923"/>
      <c r="EA81" s="3923"/>
      <c r="EB81" s="3923"/>
      <c r="EC81" s="3923"/>
      <c r="ED81" s="3923"/>
      <c r="EE81" s="3923"/>
      <c r="EF81" s="3923"/>
      <c r="EG81" s="3923"/>
      <c r="EH81" s="3923"/>
      <c r="EI81" s="3923"/>
      <c r="EJ81" s="3923"/>
      <c r="EK81" s="3923"/>
      <c r="EL81" s="3923"/>
      <c r="EM81" s="3923"/>
      <c r="EN81" s="3923"/>
      <c r="EO81" s="3923"/>
      <c r="EP81" s="3923"/>
      <c r="EQ81" s="3923"/>
      <c r="ER81" s="3923"/>
      <c r="ES81" s="3923"/>
      <c r="ET81" s="3923"/>
      <c r="EU81" s="3923"/>
      <c r="EV81" s="3923"/>
      <c r="EW81" s="3923"/>
      <c r="EX81" s="3923"/>
      <c r="EY81" s="3923"/>
      <c r="EZ81" s="3923"/>
      <c r="FA81" s="3923"/>
      <c r="FB81" s="3923"/>
      <c r="FC81" s="3923"/>
      <c r="FD81" s="3923"/>
      <c r="FE81" s="3923"/>
      <c r="FF81" s="3923"/>
      <c r="FG81" s="3923"/>
      <c r="FH81" s="3923"/>
      <c r="FI81" s="3923"/>
      <c r="FJ81" s="3923"/>
      <c r="FK81" s="3923"/>
      <c r="FL81" s="3923"/>
      <c r="FM81" s="3923"/>
      <c r="FN81" s="3923"/>
      <c r="FO81" s="3923"/>
      <c r="FP81" s="3923"/>
      <c r="FQ81" s="3923"/>
      <c r="FR81" s="3923"/>
      <c r="FS81" s="3923"/>
      <c r="FT81" s="3923"/>
      <c r="FU81" s="3923"/>
      <c r="FV81" s="3923"/>
      <c r="FW81" s="3923"/>
      <c r="FX81" s="3923"/>
      <c r="FY81" s="3923"/>
      <c r="FZ81" s="3923"/>
      <c r="GA81" s="3923"/>
      <c r="GB81" s="3923"/>
      <c r="GC81" s="3923"/>
      <c r="GD81" s="3923"/>
      <c r="GE81" s="3923"/>
      <c r="GF81" s="3923"/>
      <c r="GG81" s="3923"/>
      <c r="GH81" s="3923"/>
      <c r="GI81" s="3923"/>
      <c r="GJ81" s="3923"/>
      <c r="GK81" s="3923"/>
      <c r="GL81" s="3923"/>
      <c r="GM81" s="3923"/>
      <c r="GN81" s="3923"/>
      <c r="GO81" s="3923"/>
      <c r="GP81" s="3923"/>
      <c r="GQ81" s="3923"/>
      <c r="GR81" s="3923"/>
      <c r="GS81" s="3923"/>
      <c r="GT81" s="3923"/>
      <c r="GU81" s="3923"/>
      <c r="GV81" s="3923"/>
      <c r="GW81" s="3923"/>
      <c r="GX81" s="3923"/>
      <c r="GY81" s="3923"/>
      <c r="GZ81" s="3923"/>
      <c r="HA81" s="3923"/>
      <c r="HB81" s="3923"/>
      <c r="HC81" s="3923"/>
      <c r="HD81" s="3923"/>
      <c r="HE81" s="3923"/>
      <c r="HF81" s="3923"/>
      <c r="HG81" s="3923"/>
      <c r="HH81" s="3923"/>
      <c r="HI81" s="3923"/>
      <c r="HJ81" s="3923"/>
      <c r="HK81" s="3923"/>
      <c r="HL81" s="3923"/>
      <c r="HM81" s="3923"/>
      <c r="HN81" s="3923"/>
      <c r="HO81" s="3923"/>
      <c r="HP81" s="3923"/>
      <c r="HQ81" s="3923"/>
      <c r="HR81" s="3923"/>
      <c r="HS81" s="3923"/>
      <c r="HT81" s="3923"/>
      <c r="HU81" s="3923"/>
      <c r="HV81" s="3923"/>
      <c r="HW81" s="3923"/>
      <c r="HX81" s="3923"/>
      <c r="HY81" s="3923"/>
      <c r="HZ81" s="3923"/>
      <c r="IA81" s="3923"/>
      <c r="IB81" s="3923"/>
      <c r="IC81" s="3923"/>
      <c r="ID81" s="3923"/>
      <c r="IE81" s="3923"/>
      <c r="IF81" s="3923"/>
      <c r="IG81" s="3923"/>
      <c r="IH81" s="3923"/>
      <c r="II81" s="3923"/>
      <c r="IJ81" s="3923"/>
      <c r="IK81" s="3923"/>
      <c r="IL81" s="3923"/>
      <c r="IM81" s="3923"/>
      <c r="IN81" s="3923"/>
      <c r="IO81" s="3923"/>
      <c r="IP81" s="3829" t="s">
        <v>1925</v>
      </c>
      <c r="IQ81" s="3829" t="s">
        <v>1885</v>
      </c>
      <c r="IR81" s="3829" t="s">
        <v>2789</v>
      </c>
      <c r="IS81" s="3923"/>
      <c r="IT81" s="3923"/>
      <c r="IU81" s="3923"/>
      <c r="IV81" s="3923"/>
      <c r="IW81" s="4326" t="s">
        <v>1563</v>
      </c>
      <c r="IX81" s="3923"/>
      <c r="IY81" s="3923"/>
      <c r="IZ81" s="4326" t="s">
        <v>1149</v>
      </c>
      <c r="JA81" s="4326" t="s">
        <v>1563</v>
      </c>
      <c r="JB81" s="4326" t="s">
        <v>1208</v>
      </c>
      <c r="JC81" s="4234" t="s">
        <v>1229</v>
      </c>
      <c r="JD81" s="4234" t="s">
        <v>1971</v>
      </c>
      <c r="JE81" s="3923"/>
      <c r="JF81" s="3923"/>
      <c r="JG81" s="1600"/>
      <c r="JH81" s="1364"/>
      <c r="JI81" s="1390" t="s">
        <v>5381</v>
      </c>
      <c r="JJ81" s="1741" t="s">
        <v>6212</v>
      </c>
    </row>
    <row r="82" spans="1:270" x14ac:dyDescent="0.2">
      <c r="A82" s="1128">
        <v>20</v>
      </c>
      <c r="B82" s="1285" t="str">
        <f si="4" t="shared"/>
        <v/>
      </c>
      <c r="C82" s="1587" t="s">
        <v>3581</v>
      </c>
      <c r="D82" s="1372" t="str">
        <f>"Enter the code(s) for the country or countries, other than the UK, in which you were resident for tax purposes for "&amp;tax_year</f>
        <v>Enter the code(s) for the country or countries, other than the UK, in which you were resident for tax purposes for 2019-20</v>
      </c>
      <c r="E82" s="1601"/>
      <c r="F82" s="1602" t="s">
        <v>1966</v>
      </c>
      <c r="G82" s="1598" t="s">
        <v>2543</v>
      </c>
      <c r="H82" s="1351" t="s">
        <v>1563</v>
      </c>
      <c r="I82" s="1351" t="s">
        <v>1563</v>
      </c>
      <c r="J82" s="1351" t="s">
        <v>3647</v>
      </c>
      <c r="K82" s="1351"/>
      <c r="L82" s="1351" t="s">
        <v>1563</v>
      </c>
      <c r="M82" s="1351" t="s">
        <v>1563</v>
      </c>
      <c r="N82" s="1351" t="s">
        <v>1563</v>
      </c>
      <c r="O82" s="2045"/>
      <c r="P82" s="2045"/>
      <c r="Q82" s="2045"/>
      <c r="R82" s="2045"/>
      <c r="S82" s="2045"/>
      <c r="T82" s="3807"/>
      <c r="U82" s="3807"/>
      <c r="V82" s="3807"/>
      <c r="W82" s="3807"/>
      <c r="X82" s="3807"/>
      <c r="Y82" s="3807"/>
      <c r="Z82" s="3807"/>
      <c r="AA82" s="3807"/>
      <c r="AB82" s="3807"/>
      <c r="AC82" s="3807"/>
      <c r="AD82" s="3807"/>
      <c r="AE82" s="3807"/>
      <c r="AF82" s="3807"/>
      <c r="AG82" s="3807"/>
      <c r="AH82" s="3807"/>
      <c r="AI82" s="3807"/>
      <c r="AJ82" s="3807"/>
      <c r="AK82" s="3807"/>
      <c r="AL82" s="3807"/>
      <c r="AM82" s="3807"/>
      <c r="AN82" s="3807"/>
      <c r="AO82" s="3807"/>
      <c r="AP82" s="3807"/>
      <c r="AQ82" s="3807"/>
      <c r="AR82" s="3807"/>
      <c r="AS82" s="3807"/>
      <c r="AT82" s="3807"/>
      <c r="AU82" s="3807"/>
      <c r="AV82" s="3807"/>
      <c r="AW82" s="3807"/>
      <c r="AX82" s="3807"/>
      <c r="AY82" s="3807"/>
      <c r="AZ82" s="3807"/>
      <c r="BA82" s="3807"/>
      <c r="BB82" s="3807"/>
      <c r="BC82" s="3807"/>
      <c r="BD82" s="3807"/>
      <c r="BE82" s="3807"/>
      <c r="BF82" s="3807"/>
      <c r="BG82" s="3807"/>
      <c r="BH82" s="3807"/>
      <c r="BI82" s="3807"/>
      <c r="BJ82" s="3807"/>
      <c r="BK82" s="3829" t="s">
        <v>2789</v>
      </c>
      <c r="BL82" s="3807"/>
      <c r="BM82" s="3807"/>
      <c r="BN82" s="3807"/>
      <c r="BO82" s="3807"/>
      <c r="BP82" s="3807"/>
      <c r="BQ82" s="3807"/>
      <c r="BR82" s="3807"/>
      <c r="BS82" s="3807"/>
      <c r="BT82" s="3807"/>
      <c r="BU82" s="3807"/>
      <c r="BV82" s="3807"/>
      <c r="BW82" s="3807"/>
      <c r="BX82" s="3807"/>
      <c r="BY82" s="3807"/>
      <c r="BZ82" s="3807"/>
      <c r="CA82" s="3807"/>
      <c r="CB82" s="3807"/>
      <c r="CC82" s="3807"/>
      <c r="CD82" s="3807"/>
      <c r="CE82" s="3807"/>
      <c r="CF82" s="3807"/>
      <c r="CG82" s="3807"/>
      <c r="CH82" s="3807"/>
      <c r="CI82" s="3807"/>
      <c r="CJ82" s="3807"/>
      <c r="CK82" s="3807"/>
      <c r="CL82" s="3807"/>
      <c r="CM82" s="3807"/>
      <c r="CN82" s="3807"/>
      <c r="CO82" s="3807"/>
      <c r="CP82" s="3807"/>
      <c r="CQ82" s="3807"/>
      <c r="CR82" s="3807"/>
      <c r="CS82" s="3807"/>
      <c r="CT82" s="3807"/>
      <c r="CU82" s="3807"/>
      <c r="CV82" s="3807"/>
      <c r="CW82" s="3807"/>
      <c r="CX82" s="3807"/>
      <c r="CY82" s="3807"/>
      <c r="CZ82" s="3807"/>
      <c r="DA82" s="3807"/>
      <c r="DB82" s="3807"/>
      <c r="DC82" s="3807"/>
      <c r="DD82" s="3807"/>
      <c r="DE82" s="3807"/>
      <c r="DF82" s="3807"/>
      <c r="DG82" s="3807"/>
      <c r="DH82" s="3807"/>
      <c r="DI82" s="3807"/>
      <c r="DJ82" s="3807"/>
      <c r="DK82" s="3807"/>
      <c r="DL82" s="3807"/>
      <c r="DM82" s="3807"/>
      <c r="DN82" s="3807"/>
      <c r="DO82" s="3807"/>
      <c r="DP82" s="3807"/>
      <c r="DQ82" s="3807"/>
      <c r="DR82" s="3807"/>
      <c r="DS82" s="3807"/>
      <c r="DT82" s="3807"/>
      <c r="DU82" s="3807"/>
      <c r="DV82" s="3807"/>
      <c r="DW82" s="3807"/>
      <c r="DX82" s="3807"/>
      <c r="DY82" s="3807"/>
      <c r="DZ82" s="3807"/>
      <c r="EA82" s="3807"/>
      <c r="EB82" s="3807"/>
      <c r="EC82" s="3807"/>
      <c r="ED82" s="3807"/>
      <c r="EE82" s="3807"/>
      <c r="EF82" s="3807"/>
      <c r="EG82" s="3807"/>
      <c r="EH82" s="3807"/>
      <c r="EI82" s="3807"/>
      <c r="EJ82" s="3807"/>
      <c r="EK82" s="3807"/>
      <c r="EL82" s="3807"/>
      <c r="EM82" s="3807"/>
      <c r="EN82" s="3807"/>
      <c r="EO82" s="3807"/>
      <c r="EP82" s="3807"/>
      <c r="EQ82" s="3807"/>
      <c r="ER82" s="3807"/>
      <c r="ES82" s="3807"/>
      <c r="ET82" s="3807"/>
      <c r="EU82" s="3807"/>
      <c r="EV82" s="3807"/>
      <c r="EW82" s="3807"/>
      <c r="EX82" s="3807"/>
      <c r="EY82" s="3807"/>
      <c r="EZ82" s="3807"/>
      <c r="FA82" s="3807"/>
      <c r="FB82" s="3807"/>
      <c r="FC82" s="3807"/>
      <c r="FD82" s="3807"/>
      <c r="FE82" s="3807"/>
      <c r="FF82" s="3807"/>
      <c r="FG82" s="3807"/>
      <c r="FH82" s="3807"/>
      <c r="FI82" s="3807"/>
      <c r="FJ82" s="3807"/>
      <c r="FK82" s="3807"/>
      <c r="FL82" s="3807"/>
      <c r="FM82" s="3807"/>
      <c r="FN82" s="3807"/>
      <c r="FO82" s="3807"/>
      <c r="FP82" s="3807"/>
      <c r="FQ82" s="3807"/>
      <c r="FR82" s="3807"/>
      <c r="FS82" s="3807"/>
      <c r="FT82" s="3807"/>
      <c r="FU82" s="3807"/>
      <c r="FV82" s="3807"/>
      <c r="FW82" s="3807"/>
      <c r="FX82" s="3807"/>
      <c r="FY82" s="3807"/>
      <c r="FZ82" s="3807"/>
      <c r="GA82" s="3807"/>
      <c r="GB82" s="3807"/>
      <c r="GC82" s="3807"/>
      <c r="GD82" s="3807"/>
      <c r="GE82" s="3807"/>
      <c r="GF82" s="3807"/>
      <c r="GG82" s="3807"/>
      <c r="GH82" s="3807"/>
      <c r="GI82" s="3807"/>
      <c r="GJ82" s="3807"/>
      <c r="GK82" s="3807"/>
      <c r="GL82" s="3807"/>
      <c r="GM82" s="3807"/>
      <c r="GN82" s="3807"/>
      <c r="GO82" s="3807"/>
      <c r="GP82" s="3807"/>
      <c r="GQ82" s="3807"/>
      <c r="GR82" s="3807"/>
      <c r="GS82" s="3807"/>
      <c r="GT82" s="3807"/>
      <c r="GU82" s="3807"/>
      <c r="GV82" s="3807"/>
      <c r="GW82" s="3807"/>
      <c r="GX82" s="3807"/>
      <c r="GY82" s="3807"/>
      <c r="GZ82" s="3807"/>
      <c r="HA82" s="3807"/>
      <c r="HB82" s="3807"/>
      <c r="HC82" s="3807"/>
      <c r="HD82" s="3807"/>
      <c r="HE82" s="3807"/>
      <c r="HF82" s="3807"/>
      <c r="HG82" s="3807"/>
      <c r="HH82" s="3807"/>
      <c r="HI82" s="3807"/>
      <c r="HJ82" s="3807"/>
      <c r="HK82" s="3807"/>
      <c r="HL82" s="3807"/>
      <c r="HM82" s="3807"/>
      <c r="HN82" s="3807"/>
      <c r="HO82" s="3807"/>
      <c r="HP82" s="3807"/>
      <c r="HQ82" s="3807"/>
      <c r="HR82" s="3807"/>
      <c r="HS82" s="3807"/>
      <c r="HT82" s="3807"/>
      <c r="HU82" s="3807"/>
      <c r="HV82" s="3807"/>
      <c r="HW82" s="3807"/>
      <c r="HX82" s="3807"/>
      <c r="HY82" s="3807"/>
      <c r="HZ82" s="3807"/>
      <c r="IA82" s="3807"/>
      <c r="IB82" s="3807"/>
      <c r="IC82" s="3807"/>
      <c r="ID82" s="3807"/>
      <c r="IE82" s="3807"/>
      <c r="IF82" s="3807"/>
      <c r="IG82" s="3807"/>
      <c r="IH82" s="3807"/>
      <c r="II82" s="3807"/>
      <c r="IJ82" s="3807"/>
      <c r="IK82" s="3807"/>
      <c r="IL82" s="3807"/>
      <c r="IM82" s="3807"/>
      <c r="IN82" s="3807"/>
      <c r="IO82" s="3807"/>
      <c r="IP82" s="3829" t="s">
        <v>1925</v>
      </c>
      <c r="IQ82" s="3829" t="s">
        <v>1885</v>
      </c>
      <c r="IR82" s="3829" t="s">
        <v>2789</v>
      </c>
      <c r="IS82" s="3807"/>
      <c r="IT82" s="3807"/>
      <c r="IU82" s="3807"/>
      <c r="IV82" s="3807"/>
      <c r="IW82" s="3807"/>
      <c r="IX82" s="3807"/>
      <c r="IY82" s="3807"/>
      <c r="IZ82" s="3807"/>
      <c r="JA82" s="2815"/>
      <c r="JB82" s="2815"/>
      <c r="JC82" s="3807"/>
      <c r="JD82" s="3807"/>
      <c r="JE82" s="3807"/>
      <c r="JF82" s="3807"/>
      <c r="JG82" s="1591"/>
      <c r="JH82" s="1361"/>
      <c r="JI82" s="1390" t="s">
        <v>5382</v>
      </c>
      <c r="JJ82" s="1572" t="s">
        <v>6212</v>
      </c>
    </row>
    <row r="83" spans="1:270" x14ac:dyDescent="0.2">
      <c r="A83" s="1128">
        <v>21</v>
      </c>
      <c r="B83" s="1285" t="str">
        <f si="4" t="shared"/>
        <v/>
      </c>
      <c r="C83" s="1587" t="s">
        <v>3582</v>
      </c>
      <c r="D83" s="1372" t="str">
        <f>"If you were also resident in either or both of the countries above for "&amp;tax_year&amp;", enter the appropriate code(s)"</f>
        <v>If you were also resident in either or both of the countries above for 2019-20, enter the appropriate code(s)</v>
      </c>
      <c r="E83" s="1601"/>
      <c r="F83" s="1601"/>
      <c r="G83" s="1598"/>
      <c r="H83" s="1351" t="s">
        <v>1563</v>
      </c>
      <c r="I83" s="1351" t="s">
        <v>1563</v>
      </c>
      <c r="J83" s="1351" t="s">
        <v>3647</v>
      </c>
      <c r="K83" s="1351"/>
      <c r="L83" s="1351" t="s">
        <v>1563</v>
      </c>
      <c r="M83" s="1351" t="s">
        <v>1563</v>
      </c>
      <c r="N83" s="1351" t="s">
        <v>1563</v>
      </c>
      <c r="O83" s="2045"/>
      <c r="P83" s="2045"/>
      <c r="Q83" s="2045"/>
      <c r="R83" s="2045"/>
      <c r="S83" s="2045"/>
      <c r="T83" s="3807"/>
      <c r="U83" s="3807"/>
      <c r="V83" s="3807"/>
      <c r="W83" s="3807"/>
      <c r="X83" s="3807"/>
      <c r="Y83" s="3807"/>
      <c r="Z83" s="3807"/>
      <c r="AA83" s="3807"/>
      <c r="AB83" s="3807"/>
      <c r="AC83" s="3807"/>
      <c r="AD83" s="3807"/>
      <c r="AE83" s="3807"/>
      <c r="AF83" s="3807"/>
      <c r="AG83" s="3807"/>
      <c r="AH83" s="3807"/>
      <c r="AI83" s="3807"/>
      <c r="AJ83" s="3807"/>
      <c r="AK83" s="3807"/>
      <c r="AL83" s="3807"/>
      <c r="AM83" s="3807"/>
      <c r="AN83" s="3807"/>
      <c r="AO83" s="3807"/>
      <c r="AP83" s="3807"/>
      <c r="AQ83" s="3807"/>
      <c r="AR83" s="3807"/>
      <c r="AS83" s="3807"/>
      <c r="AT83" s="3807"/>
      <c r="AU83" s="3807"/>
      <c r="AV83" s="3807"/>
      <c r="AW83" s="3807"/>
      <c r="AX83" s="3807"/>
      <c r="AY83" s="3807"/>
      <c r="AZ83" s="3807"/>
      <c r="BA83" s="3807"/>
      <c r="BB83" s="3807"/>
      <c r="BC83" s="3807"/>
      <c r="BD83" s="3807"/>
      <c r="BE83" s="3807"/>
      <c r="BF83" s="3807"/>
      <c r="BG83" s="3807"/>
      <c r="BH83" s="3807"/>
      <c r="BI83" s="3807"/>
      <c r="BJ83" s="3807"/>
      <c r="BK83" s="3829" t="s">
        <v>2789</v>
      </c>
      <c r="BL83" s="3807"/>
      <c r="BM83" s="3807"/>
      <c r="BN83" s="3807"/>
      <c r="BO83" s="3807"/>
      <c r="BP83" s="3807"/>
      <c r="BQ83" s="3807"/>
      <c r="BR83" s="3807"/>
      <c r="BS83" s="3807"/>
      <c r="BT83" s="3807"/>
      <c r="BU83" s="3807"/>
      <c r="BV83" s="3807"/>
      <c r="BW83" s="3807"/>
      <c r="BX83" s="3807"/>
      <c r="BY83" s="3807"/>
      <c r="BZ83" s="3807"/>
      <c r="CA83" s="3807"/>
      <c r="CB83" s="3807"/>
      <c r="CC83" s="3807"/>
      <c r="CD83" s="3807"/>
      <c r="CE83" s="3807"/>
      <c r="CF83" s="3807"/>
      <c r="CG83" s="3807"/>
      <c r="CH83" s="3807"/>
      <c r="CI83" s="3807"/>
      <c r="CJ83" s="3807"/>
      <c r="CK83" s="3807"/>
      <c r="CL83" s="3807"/>
      <c r="CM83" s="3807"/>
      <c r="CN83" s="3807"/>
      <c r="CO83" s="3807"/>
      <c r="CP83" s="3807"/>
      <c r="CQ83" s="3807"/>
      <c r="CR83" s="3807"/>
      <c r="CS83" s="3807"/>
      <c r="CT83" s="3807"/>
      <c r="CU83" s="3807"/>
      <c r="CV83" s="3807"/>
      <c r="CW83" s="3807"/>
      <c r="CX83" s="3807"/>
      <c r="CY83" s="3807"/>
      <c r="CZ83" s="3807"/>
      <c r="DA83" s="3807"/>
      <c r="DB83" s="3807"/>
      <c r="DC83" s="3807"/>
      <c r="DD83" s="3807"/>
      <c r="DE83" s="3807"/>
      <c r="DF83" s="3807"/>
      <c r="DG83" s="3807"/>
      <c r="DH83" s="3807"/>
      <c r="DI83" s="3807"/>
      <c r="DJ83" s="3807"/>
      <c r="DK83" s="3807"/>
      <c r="DL83" s="3807"/>
      <c r="DM83" s="3807"/>
      <c r="DN83" s="3807"/>
      <c r="DO83" s="3807"/>
      <c r="DP83" s="3807"/>
      <c r="DQ83" s="3807"/>
      <c r="DR83" s="3807"/>
      <c r="DS83" s="3807"/>
      <c r="DT83" s="3807"/>
      <c r="DU83" s="3807"/>
      <c r="DV83" s="3807"/>
      <c r="DW83" s="3807"/>
      <c r="DX83" s="3807"/>
      <c r="DY83" s="3807"/>
      <c r="DZ83" s="3807"/>
      <c r="EA83" s="3807"/>
      <c r="EB83" s="3807"/>
      <c r="EC83" s="3807"/>
      <c r="ED83" s="3807"/>
      <c r="EE83" s="3807"/>
      <c r="EF83" s="3807"/>
      <c r="EG83" s="3807"/>
      <c r="EH83" s="3807"/>
      <c r="EI83" s="3807"/>
      <c r="EJ83" s="3807"/>
      <c r="EK83" s="3807"/>
      <c r="EL83" s="3807"/>
      <c r="EM83" s="3807"/>
      <c r="EN83" s="3807"/>
      <c r="EO83" s="3807"/>
      <c r="EP83" s="3807"/>
      <c r="EQ83" s="3807"/>
      <c r="ER83" s="3807"/>
      <c r="ES83" s="3807"/>
      <c r="ET83" s="3807"/>
      <c r="EU83" s="3807"/>
      <c r="EV83" s="3807"/>
      <c r="EW83" s="3807"/>
      <c r="EX83" s="3807"/>
      <c r="EY83" s="3807"/>
      <c r="EZ83" s="3807"/>
      <c r="FA83" s="3807"/>
      <c r="FB83" s="3807"/>
      <c r="FC83" s="3807"/>
      <c r="FD83" s="3807"/>
      <c r="FE83" s="3807"/>
      <c r="FF83" s="3807"/>
      <c r="FG83" s="3807"/>
      <c r="FH83" s="3807"/>
      <c r="FI83" s="3807"/>
      <c r="FJ83" s="3807"/>
      <c r="FK83" s="3807"/>
      <c r="FL83" s="3807"/>
      <c r="FM83" s="3807"/>
      <c r="FN83" s="3807"/>
      <c r="FO83" s="3807"/>
      <c r="FP83" s="3807"/>
      <c r="FQ83" s="3807"/>
      <c r="FR83" s="3807"/>
      <c r="FS83" s="3807"/>
      <c r="FT83" s="3807"/>
      <c r="FU83" s="3807"/>
      <c r="FV83" s="3807"/>
      <c r="FW83" s="3807"/>
      <c r="FX83" s="3807"/>
      <c r="FY83" s="3807"/>
      <c r="FZ83" s="3807"/>
      <c r="GA83" s="3807"/>
      <c r="GB83" s="3807"/>
      <c r="GC83" s="3807"/>
      <c r="GD83" s="3807"/>
      <c r="GE83" s="3807"/>
      <c r="GF83" s="3807"/>
      <c r="GG83" s="3807"/>
      <c r="GH83" s="3807"/>
      <c r="GI83" s="3807"/>
      <c r="GJ83" s="3807"/>
      <c r="GK83" s="3807"/>
      <c r="GL83" s="3807"/>
      <c r="GM83" s="3807"/>
      <c r="GN83" s="3807"/>
      <c r="GO83" s="3807"/>
      <c r="GP83" s="3807"/>
      <c r="GQ83" s="3807"/>
      <c r="GR83" s="3807"/>
      <c r="GS83" s="3807"/>
      <c r="GT83" s="3807"/>
      <c r="GU83" s="3807"/>
      <c r="GV83" s="3807"/>
      <c r="GW83" s="3807"/>
      <c r="GX83" s="3807"/>
      <c r="GY83" s="3807"/>
      <c r="GZ83" s="3807"/>
      <c r="HA83" s="3807"/>
      <c r="HB83" s="3807"/>
      <c r="HC83" s="3807"/>
      <c r="HD83" s="3807"/>
      <c r="HE83" s="3807"/>
      <c r="HF83" s="3807"/>
      <c r="HG83" s="3807"/>
      <c r="HH83" s="3807"/>
      <c r="HI83" s="3807"/>
      <c r="HJ83" s="3807"/>
      <c r="HK83" s="3807"/>
      <c r="HL83" s="3807"/>
      <c r="HM83" s="3807"/>
      <c r="HN83" s="3807"/>
      <c r="HO83" s="3807"/>
      <c r="HP83" s="3807"/>
      <c r="HQ83" s="3807"/>
      <c r="HR83" s="3807"/>
      <c r="HS83" s="3807"/>
      <c r="HT83" s="3807"/>
      <c r="HU83" s="3807"/>
      <c r="HV83" s="3807"/>
      <c r="HW83" s="3807"/>
      <c r="HX83" s="3807"/>
      <c r="HY83" s="3807"/>
      <c r="HZ83" s="3807"/>
      <c r="IA83" s="3807"/>
      <c r="IB83" s="3807"/>
      <c r="IC83" s="3807"/>
      <c r="ID83" s="3807"/>
      <c r="IE83" s="3807"/>
      <c r="IF83" s="3807"/>
      <c r="IG83" s="3807"/>
      <c r="IH83" s="3807"/>
      <c r="II83" s="3807"/>
      <c r="IJ83" s="3807"/>
      <c r="IK83" s="3807"/>
      <c r="IL83" s="3807"/>
      <c r="IM83" s="3807"/>
      <c r="IN83" s="3807"/>
      <c r="IO83" s="3807"/>
      <c r="IP83" s="3829" t="s">
        <v>1925</v>
      </c>
      <c r="IQ83" s="3829" t="s">
        <v>1885</v>
      </c>
      <c r="IR83" s="3829" t="s">
        <v>2789</v>
      </c>
      <c r="IS83" s="3807"/>
      <c r="IT83" s="3807"/>
      <c r="IU83" s="3807"/>
      <c r="IV83" s="3807"/>
      <c r="IW83" s="3807"/>
      <c r="IX83" s="3807"/>
      <c r="IY83" s="3807"/>
      <c r="IZ83" s="3807"/>
      <c r="JA83" s="2815"/>
      <c r="JB83" s="2815"/>
      <c r="JC83" s="3807"/>
      <c r="JD83" s="3807"/>
      <c r="JE83" s="3807"/>
      <c r="JF83" s="3807"/>
      <c r="JG83" s="1591"/>
      <c r="JH83" s="1361"/>
      <c r="JI83" s="1390" t="s">
        <v>5383</v>
      </c>
      <c r="JJ83" s="1572" t="s">
        <v>6212</v>
      </c>
    </row>
    <row r="84" spans="1:270" x14ac:dyDescent="0.2">
      <c r="A84" s="1128">
        <v>22</v>
      </c>
      <c r="B84" s="1285" t="str">
        <f si="4" t="shared"/>
        <v/>
      </c>
      <c r="C84" s="1585" t="s">
        <v>3583</v>
      </c>
      <c r="D84" s="1372" t="s">
        <v>4995</v>
      </c>
      <c r="E84" s="1704"/>
      <c r="F84" s="1704"/>
      <c r="G84" s="1705"/>
      <c r="H84" s="1706"/>
      <c r="I84" s="1706">
        <v>2400</v>
      </c>
      <c r="J84" s="1706"/>
      <c r="K84" s="1706"/>
      <c r="L84" s="1706">
        <v>131762</v>
      </c>
      <c r="M84" s="1706">
        <v>131762</v>
      </c>
      <c r="N84" s="1706">
        <v>131762</v>
      </c>
      <c r="O84" s="1904"/>
      <c r="P84" s="2050"/>
      <c r="Q84" s="2050"/>
      <c r="R84" s="2050"/>
      <c r="S84" s="2050"/>
      <c r="T84" s="3924"/>
      <c r="U84" s="3924"/>
      <c r="V84" s="3924"/>
      <c r="W84" s="3924"/>
      <c r="X84" s="3924"/>
      <c r="Y84" s="3924"/>
      <c r="Z84" s="3924"/>
      <c r="AA84" s="3924"/>
      <c r="AB84" s="3924"/>
      <c r="AC84" s="3924"/>
      <c r="AD84" s="3924"/>
      <c r="AE84" s="3924"/>
      <c r="AF84" s="3924"/>
      <c r="AG84" s="3924"/>
      <c r="AH84" s="3924"/>
      <c r="AI84" s="3924"/>
      <c r="AJ84" s="3924"/>
      <c r="AK84" s="3924"/>
      <c r="AL84" s="3924"/>
      <c r="AM84" s="3924"/>
      <c r="AN84" s="3924"/>
      <c r="AO84" s="3924"/>
      <c r="AP84" s="3924"/>
      <c r="AQ84" s="3924"/>
      <c r="AR84" s="3924"/>
      <c r="AS84" s="3924"/>
      <c r="AT84" s="3924"/>
      <c r="AU84" s="3924"/>
      <c r="AV84" s="3924"/>
      <c r="AW84" s="3924"/>
      <c r="AX84" s="3924"/>
      <c r="AY84" s="3924"/>
      <c r="AZ84" s="3924"/>
      <c r="BA84" s="3924"/>
      <c r="BB84" s="3924"/>
      <c r="BC84" s="3924"/>
      <c r="BD84" s="3924"/>
      <c r="BE84" s="3924"/>
      <c r="BF84" s="3924"/>
      <c r="BG84" s="3924"/>
      <c r="BH84" s="3924"/>
      <c r="BI84" s="3924"/>
      <c r="BJ84" s="3924"/>
      <c r="BK84" s="3924"/>
      <c r="BL84" s="3924"/>
      <c r="BM84" s="3924"/>
      <c r="BN84" s="3924"/>
      <c r="BO84" s="3924"/>
      <c r="BP84" s="3924"/>
      <c r="BQ84" s="3924"/>
      <c r="BR84" s="3924"/>
      <c r="BS84" s="3924"/>
      <c r="BT84" s="3924"/>
      <c r="BU84" s="3924"/>
      <c r="BV84" s="3924"/>
      <c r="BW84" s="3924"/>
      <c r="BX84" s="3924"/>
      <c r="BY84" s="3924"/>
      <c r="BZ84" s="3924"/>
      <c r="CA84" s="3924"/>
      <c r="CB84" s="3924"/>
      <c r="CC84" s="3924"/>
      <c r="CD84" s="3924"/>
      <c r="CE84" s="3924"/>
      <c r="CF84" s="3924"/>
      <c r="CG84" s="3924"/>
      <c r="CH84" s="3924"/>
      <c r="CI84" s="3924"/>
      <c r="CJ84" s="3924"/>
      <c r="CK84" s="3924"/>
      <c r="CL84" s="3924"/>
      <c r="CM84" s="3924"/>
      <c r="CN84" s="3924"/>
      <c r="CO84" s="3924"/>
      <c r="CP84" s="3924"/>
      <c r="CQ84" s="3924"/>
      <c r="CR84" s="3924"/>
      <c r="CS84" s="3924"/>
      <c r="CT84" s="3924"/>
      <c r="CU84" s="3924"/>
      <c r="CV84" s="3924"/>
      <c r="CW84" s="3924"/>
      <c r="CX84" s="3924"/>
      <c r="CY84" s="3924"/>
      <c r="CZ84" s="3924"/>
      <c r="DA84" s="3924"/>
      <c r="DB84" s="3924"/>
      <c r="DC84" s="3924"/>
      <c r="DD84" s="3924"/>
      <c r="DE84" s="3924"/>
      <c r="DF84" s="3924"/>
      <c r="DG84" s="3924"/>
      <c r="DH84" s="3924"/>
      <c r="DI84" s="3924"/>
      <c r="DJ84" s="3924"/>
      <c r="DK84" s="3924"/>
      <c r="DL84" s="3924"/>
      <c r="DM84" s="3924"/>
      <c r="DN84" s="3924"/>
      <c r="DO84" s="3924"/>
      <c r="DP84" s="3924"/>
      <c r="DQ84" s="3924"/>
      <c r="DR84" s="3924"/>
      <c r="DS84" s="3924"/>
      <c r="DT84" s="3924"/>
      <c r="DU84" s="3924"/>
      <c r="DV84" s="3924"/>
      <c r="DW84" s="3924"/>
      <c r="DX84" s="3924"/>
      <c r="DY84" s="3924"/>
      <c r="DZ84" s="3924"/>
      <c r="EA84" s="3924"/>
      <c r="EB84" s="3924"/>
      <c r="EC84" s="3924"/>
      <c r="ED84" s="3924"/>
      <c r="EE84" s="3924"/>
      <c r="EF84" s="3924"/>
      <c r="EG84" s="3924"/>
      <c r="EH84" s="3924"/>
      <c r="EI84" s="3924"/>
      <c r="EJ84" s="3924"/>
      <c r="EK84" s="3924"/>
      <c r="EL84" s="3924"/>
      <c r="EM84" s="3924"/>
      <c r="EN84" s="3924"/>
      <c r="EO84" s="3924"/>
      <c r="EP84" s="3924"/>
      <c r="EQ84" s="3924"/>
      <c r="ER84" s="3924"/>
      <c r="ES84" s="3924"/>
      <c r="ET84" s="3924"/>
      <c r="EU84" s="3924"/>
      <c r="EV84" s="3924"/>
      <c r="EW84" s="3924"/>
      <c r="EX84" s="3924"/>
      <c r="EY84" s="3924"/>
      <c r="EZ84" s="3924"/>
      <c r="FA84" s="3924"/>
      <c r="FB84" s="3924"/>
      <c r="FC84" s="3924"/>
      <c r="FD84" s="3924"/>
      <c r="FE84" s="3924"/>
      <c r="FF84" s="3924"/>
      <c r="FG84" s="3924"/>
      <c r="FH84" s="3924"/>
      <c r="FI84" s="3924"/>
      <c r="FJ84" s="3924"/>
      <c r="FK84" s="3924"/>
      <c r="FL84" s="3924"/>
      <c r="FM84" s="3924"/>
      <c r="FN84" s="3924"/>
      <c r="FO84" s="3924"/>
      <c r="FP84" s="3924"/>
      <c r="FQ84" s="3924"/>
      <c r="FR84" s="3924"/>
      <c r="FS84" s="3924"/>
      <c r="FT84" s="3924"/>
      <c r="FU84" s="3924"/>
      <c r="FV84" s="3924"/>
      <c r="FW84" s="3924"/>
      <c r="FX84" s="3924"/>
      <c r="FY84" s="3924"/>
      <c r="FZ84" s="3924"/>
      <c r="GA84" s="3924"/>
      <c r="GB84" s="3924"/>
      <c r="GC84" s="3924"/>
      <c r="GD84" s="3924"/>
      <c r="GE84" s="3924"/>
      <c r="GF84" s="3924"/>
      <c r="GG84" s="3924"/>
      <c r="GH84" s="3924"/>
      <c r="GI84" s="3924"/>
      <c r="GJ84" s="3924"/>
      <c r="GK84" s="3924"/>
      <c r="GL84" s="3924"/>
      <c r="GM84" s="3924"/>
      <c r="GN84" s="3924"/>
      <c r="GO84" s="3924"/>
      <c r="GP84" s="3924"/>
      <c r="GQ84" s="3924"/>
      <c r="GR84" s="3924"/>
      <c r="GS84" s="3924"/>
      <c r="GT84" s="3924"/>
      <c r="GU84" s="3924"/>
      <c r="GV84" s="3924"/>
      <c r="GW84" s="3924"/>
      <c r="GX84" s="3924"/>
      <c r="GY84" s="3924"/>
      <c r="GZ84" s="3924"/>
      <c r="HA84" s="3924"/>
      <c r="HB84" s="3924"/>
      <c r="HC84" s="3924"/>
      <c r="HD84" s="3924"/>
      <c r="HE84" s="3924"/>
      <c r="HF84" s="3924"/>
      <c r="HG84" s="3924"/>
      <c r="HH84" s="3924"/>
      <c r="HI84" s="3924"/>
      <c r="HJ84" s="3924"/>
      <c r="HK84" s="3924"/>
      <c r="HL84" s="3924"/>
      <c r="HM84" s="3924"/>
      <c r="HN84" s="3924"/>
      <c r="HO84" s="3924"/>
      <c r="HP84" s="3924"/>
      <c r="HQ84" s="3924"/>
      <c r="HR84" s="3924"/>
      <c r="HS84" s="3924"/>
      <c r="HT84" s="3924"/>
      <c r="HU84" s="3924"/>
      <c r="HV84" s="3924"/>
      <c r="HW84" s="3924"/>
      <c r="HX84" s="3924"/>
      <c r="HY84" s="3924"/>
      <c r="HZ84" s="3924"/>
      <c r="IA84" s="3924"/>
      <c r="IB84" s="3924"/>
      <c r="IC84" s="3924"/>
      <c r="ID84" s="3924"/>
      <c r="IE84" s="3924"/>
      <c r="IF84" s="3924"/>
      <c r="IG84" s="3924"/>
      <c r="IH84" s="3924"/>
      <c r="II84" s="3924"/>
      <c r="IJ84" s="3924"/>
      <c r="IK84" s="3924"/>
      <c r="IL84" s="3924"/>
      <c r="IM84" s="3924"/>
      <c r="IN84" s="3924"/>
      <c r="IO84" s="3924"/>
      <c r="IP84" s="3924"/>
      <c r="IQ84" s="3924"/>
      <c r="IR84" s="3924"/>
      <c r="IS84" s="3924"/>
      <c r="IT84" s="3924"/>
      <c r="IU84" s="3924"/>
      <c r="IV84" s="3924"/>
      <c r="IW84" s="3924"/>
      <c r="IX84" s="3924"/>
      <c r="IY84" s="3924"/>
      <c r="IZ84" s="3924"/>
      <c r="JA84" s="3924"/>
      <c r="JB84" s="3924"/>
      <c r="JC84" s="3924"/>
      <c r="JD84" s="3924"/>
      <c r="JE84" s="3924"/>
      <c r="JF84" s="3924"/>
      <c r="JG84" s="1707"/>
      <c r="JH84" s="1361"/>
      <c r="JI84" s="1390"/>
      <c r="JJ84" s="1572" t="s">
        <v>6108</v>
      </c>
    </row>
    <row r="85" spans="1:270" x14ac:dyDescent="0.2">
      <c r="A85" s="1128">
        <v>23</v>
      </c>
      <c r="B85" s="1285" t="str">
        <f si="4" t="shared"/>
        <v/>
      </c>
      <c r="C85" s="1596" t="s">
        <v>3315</v>
      </c>
      <c r="D85" s="1372" t="s">
        <v>4996</v>
      </c>
      <c r="E85" s="1704"/>
      <c r="F85" s="1704"/>
      <c r="G85" s="1704"/>
      <c r="H85" s="1706"/>
      <c r="I85" s="1706">
        <v>0</v>
      </c>
      <c r="J85" s="1706"/>
      <c r="K85" s="1706"/>
      <c r="L85" s="1706"/>
      <c r="M85" s="1706"/>
      <c r="N85" s="1706"/>
      <c r="O85" s="1904"/>
      <c r="P85" s="2050"/>
      <c r="Q85" s="2050"/>
      <c r="R85" s="2050"/>
      <c r="S85" s="2050"/>
      <c r="T85" s="3924"/>
      <c r="U85" s="3924"/>
      <c r="V85" s="3924"/>
      <c r="W85" s="3924"/>
      <c r="X85" s="3924"/>
      <c r="Y85" s="3924"/>
      <c r="Z85" s="3924"/>
      <c r="AA85" s="3924"/>
      <c r="AB85" s="3924"/>
      <c r="AC85" s="3924"/>
      <c r="AD85" s="3924"/>
      <c r="AE85" s="3924"/>
      <c r="AF85" s="3924"/>
      <c r="AG85" s="3924"/>
      <c r="AH85" s="3924"/>
      <c r="AI85" s="3924"/>
      <c r="AJ85" s="3924"/>
      <c r="AK85" s="3924"/>
      <c r="AL85" s="3924"/>
      <c r="AM85" s="3924"/>
      <c r="AN85" s="3924"/>
      <c r="AO85" s="3924"/>
      <c r="AP85" s="3924"/>
      <c r="AQ85" s="3924"/>
      <c r="AR85" s="3924"/>
      <c r="AS85" s="3924"/>
      <c r="AT85" s="3924"/>
      <c r="AU85" s="3924"/>
      <c r="AV85" s="3924"/>
      <c r="AW85" s="3924"/>
      <c r="AX85" s="3924"/>
      <c r="AY85" s="3924"/>
      <c r="AZ85" s="3924"/>
      <c r="BA85" s="3924"/>
      <c r="BB85" s="3924"/>
      <c r="BC85" s="3924"/>
      <c r="BD85" s="3924"/>
      <c r="BE85" s="3924"/>
      <c r="BF85" s="3924"/>
      <c r="BG85" s="3924"/>
      <c r="BH85" s="3924"/>
      <c r="BI85" s="3924"/>
      <c r="BJ85" s="3924"/>
      <c r="BK85" s="3924"/>
      <c r="BL85" s="3924"/>
      <c r="BM85" s="3924"/>
      <c r="BN85" s="3924"/>
      <c r="BO85" s="3924"/>
      <c r="BP85" s="3924"/>
      <c r="BQ85" s="3924"/>
      <c r="BR85" s="3924"/>
      <c r="BS85" s="3924"/>
      <c r="BT85" s="3924"/>
      <c r="BU85" s="3924"/>
      <c r="BV85" s="3924"/>
      <c r="BW85" s="3924"/>
      <c r="BX85" s="3924"/>
      <c r="BY85" s="3924"/>
      <c r="BZ85" s="3924"/>
      <c r="CA85" s="3924"/>
      <c r="CB85" s="3924"/>
      <c r="CC85" s="3924"/>
      <c r="CD85" s="3924"/>
      <c r="CE85" s="3924"/>
      <c r="CF85" s="3924"/>
      <c r="CG85" s="3924"/>
      <c r="CH85" s="3924"/>
      <c r="CI85" s="3924"/>
      <c r="CJ85" s="3924"/>
      <c r="CK85" s="3924"/>
      <c r="CL85" s="3924"/>
      <c r="CM85" s="3924"/>
      <c r="CN85" s="3924"/>
      <c r="CO85" s="3924"/>
      <c r="CP85" s="3924"/>
      <c r="CQ85" s="3924"/>
      <c r="CR85" s="3924"/>
      <c r="CS85" s="3924"/>
      <c r="CT85" s="3924"/>
      <c r="CU85" s="3924"/>
      <c r="CV85" s="3924"/>
      <c r="CW85" s="3924"/>
      <c r="CX85" s="3924"/>
      <c r="CY85" s="3924"/>
      <c r="CZ85" s="3924"/>
      <c r="DA85" s="3924"/>
      <c r="DB85" s="3924"/>
      <c r="DC85" s="3924"/>
      <c r="DD85" s="3924"/>
      <c r="DE85" s="3924"/>
      <c r="DF85" s="3924"/>
      <c r="DG85" s="3924"/>
      <c r="DH85" s="3924"/>
      <c r="DI85" s="3924"/>
      <c r="DJ85" s="3924"/>
      <c r="DK85" s="3924"/>
      <c r="DL85" s="3924"/>
      <c r="DM85" s="3924"/>
      <c r="DN85" s="3924"/>
      <c r="DO85" s="3924"/>
      <c r="DP85" s="3924"/>
      <c r="DQ85" s="3924"/>
      <c r="DR85" s="3924"/>
      <c r="DS85" s="3924"/>
      <c r="DT85" s="3924"/>
      <c r="DU85" s="3924"/>
      <c r="DV85" s="3924"/>
      <c r="DW85" s="3924"/>
      <c r="DX85" s="3924"/>
      <c r="DY85" s="3924"/>
      <c r="DZ85" s="3924"/>
      <c r="EA85" s="3924"/>
      <c r="EB85" s="3924"/>
      <c r="EC85" s="3924"/>
      <c r="ED85" s="3924"/>
      <c r="EE85" s="3924"/>
      <c r="EF85" s="3924"/>
      <c r="EG85" s="3924"/>
      <c r="EH85" s="3924"/>
      <c r="EI85" s="3924"/>
      <c r="EJ85" s="3924"/>
      <c r="EK85" s="3924"/>
      <c r="EL85" s="3924"/>
      <c r="EM85" s="3924"/>
      <c r="EN85" s="3924"/>
      <c r="EO85" s="3924"/>
      <c r="EP85" s="3924"/>
      <c r="EQ85" s="3924"/>
      <c r="ER85" s="3924"/>
      <c r="ES85" s="3924"/>
      <c r="ET85" s="3924"/>
      <c r="EU85" s="3924"/>
      <c r="EV85" s="3924"/>
      <c r="EW85" s="3924"/>
      <c r="EX85" s="3924"/>
      <c r="EY85" s="3924"/>
      <c r="EZ85" s="3924"/>
      <c r="FA85" s="3924"/>
      <c r="FB85" s="3924"/>
      <c r="FC85" s="3924"/>
      <c r="FD85" s="3924"/>
      <c r="FE85" s="3924"/>
      <c r="FF85" s="3924"/>
      <c r="FG85" s="3924"/>
      <c r="FH85" s="3924"/>
      <c r="FI85" s="3924"/>
      <c r="FJ85" s="3924"/>
      <c r="FK85" s="3924"/>
      <c r="FL85" s="3924"/>
      <c r="FM85" s="3924"/>
      <c r="FN85" s="3924"/>
      <c r="FO85" s="3924"/>
      <c r="FP85" s="3924"/>
      <c r="FQ85" s="3924"/>
      <c r="FR85" s="3924"/>
      <c r="FS85" s="3924"/>
      <c r="FT85" s="3924"/>
      <c r="FU85" s="3924"/>
      <c r="FV85" s="3924"/>
      <c r="FW85" s="3924"/>
      <c r="FX85" s="3924"/>
      <c r="FY85" s="3924"/>
      <c r="FZ85" s="3924"/>
      <c r="GA85" s="3924"/>
      <c r="GB85" s="3924"/>
      <c r="GC85" s="3924"/>
      <c r="GD85" s="3924"/>
      <c r="GE85" s="3924"/>
      <c r="GF85" s="3924"/>
      <c r="GG85" s="3924"/>
      <c r="GH85" s="3924"/>
      <c r="GI85" s="3924"/>
      <c r="GJ85" s="3924"/>
      <c r="GK85" s="3924"/>
      <c r="GL85" s="3924"/>
      <c r="GM85" s="3924"/>
      <c r="GN85" s="3924"/>
      <c r="GO85" s="3924"/>
      <c r="GP85" s="3924"/>
      <c r="GQ85" s="3924"/>
      <c r="GR85" s="3924"/>
      <c r="GS85" s="3924"/>
      <c r="GT85" s="3924"/>
      <c r="GU85" s="3924"/>
      <c r="GV85" s="3924"/>
      <c r="GW85" s="3924"/>
      <c r="GX85" s="3924"/>
      <c r="GY85" s="3924"/>
      <c r="GZ85" s="3924"/>
      <c r="HA85" s="3924"/>
      <c r="HB85" s="3924"/>
      <c r="HC85" s="3924"/>
      <c r="HD85" s="3924"/>
      <c r="HE85" s="3924"/>
      <c r="HF85" s="3924"/>
      <c r="HG85" s="3924"/>
      <c r="HH85" s="3924"/>
      <c r="HI85" s="3924"/>
      <c r="HJ85" s="3924"/>
      <c r="HK85" s="3924"/>
      <c r="HL85" s="3924"/>
      <c r="HM85" s="3924"/>
      <c r="HN85" s="3924"/>
      <c r="HO85" s="3924"/>
      <c r="HP85" s="3924"/>
      <c r="HQ85" s="3924"/>
      <c r="HR85" s="3924"/>
      <c r="HS85" s="3924"/>
      <c r="HT85" s="3924"/>
      <c r="HU85" s="3924"/>
      <c r="HV85" s="3924"/>
      <c r="HW85" s="3924"/>
      <c r="HX85" s="3924"/>
      <c r="HY85" s="3924"/>
      <c r="HZ85" s="3924"/>
      <c r="IA85" s="3924"/>
      <c r="IB85" s="3924"/>
      <c r="IC85" s="3924"/>
      <c r="ID85" s="3924"/>
      <c r="IE85" s="3924"/>
      <c r="IF85" s="3924"/>
      <c r="IG85" s="3924"/>
      <c r="IH85" s="3924"/>
      <c r="II85" s="3924"/>
      <c r="IJ85" s="3924"/>
      <c r="IK85" s="3924"/>
      <c r="IL85" s="3924"/>
      <c r="IM85" s="3924"/>
      <c r="IN85" s="3924"/>
      <c r="IO85" s="3924"/>
      <c r="IP85" s="3924"/>
      <c r="IQ85" s="3924"/>
      <c r="IR85" s="3924"/>
      <c r="IS85" s="3924"/>
      <c r="IT85" s="3924"/>
      <c r="IU85" s="3924"/>
      <c r="IV85" s="3924"/>
      <c r="IW85" s="3924"/>
      <c r="IX85" s="3924"/>
      <c r="IY85" s="3924"/>
      <c r="IZ85" s="3924"/>
      <c r="JA85" s="3924"/>
      <c r="JB85" s="3924"/>
      <c r="JC85" s="3924"/>
      <c r="JD85" s="3924"/>
      <c r="JE85" s="3924"/>
      <c r="JF85" s="3924"/>
      <c r="JG85" s="1707"/>
      <c r="JH85" s="1361"/>
      <c r="JI85" s="1390"/>
      <c r="JJ85" s="1572" t="s">
        <v>6108</v>
      </c>
    </row>
    <row r="86" spans="1:270" x14ac:dyDescent="0.2">
      <c r="A86" s="1128">
        <v>24</v>
      </c>
      <c r="B86" s="1285" t="str">
        <f si="4" t="shared"/>
        <v/>
      </c>
      <c r="C86" s="1596" t="s">
        <v>4019</v>
      </c>
      <c r="D86" s="1372" t="s">
        <v>4997</v>
      </c>
      <c r="E86" s="1704"/>
      <c r="F86" s="1704"/>
      <c r="G86" s="1704"/>
      <c r="H86" s="1706"/>
      <c r="I86" s="1706">
        <v>120</v>
      </c>
      <c r="J86" s="1706"/>
      <c r="K86" s="1706"/>
      <c r="L86" s="1706"/>
      <c r="M86" s="1706"/>
      <c r="N86" s="1706"/>
      <c r="O86" s="1904"/>
      <c r="P86" s="2050"/>
      <c r="Q86" s="2050"/>
      <c r="R86" s="2050"/>
      <c r="S86" s="2050"/>
      <c r="T86" s="3924"/>
      <c r="U86" s="3924"/>
      <c r="V86" s="3924"/>
      <c r="W86" s="3924"/>
      <c r="X86" s="3924"/>
      <c r="Y86" s="3924"/>
      <c r="Z86" s="3924"/>
      <c r="AA86" s="3924"/>
      <c r="AB86" s="3924"/>
      <c r="AC86" s="3924"/>
      <c r="AD86" s="3924"/>
      <c r="AE86" s="3924"/>
      <c r="AF86" s="3924"/>
      <c r="AG86" s="3924"/>
      <c r="AH86" s="3924"/>
      <c r="AI86" s="3924"/>
      <c r="AJ86" s="3924"/>
      <c r="AK86" s="3924"/>
      <c r="AL86" s="3924"/>
      <c r="AM86" s="3924"/>
      <c r="AN86" s="3924"/>
      <c r="AO86" s="3924"/>
      <c r="AP86" s="3924"/>
      <c r="AQ86" s="3924"/>
      <c r="AR86" s="3924"/>
      <c r="AS86" s="3924"/>
      <c r="AT86" s="3924"/>
      <c r="AU86" s="3924"/>
      <c r="AV86" s="3924"/>
      <c r="AW86" s="3924"/>
      <c r="AX86" s="3924"/>
      <c r="AY86" s="3924"/>
      <c r="AZ86" s="3924"/>
      <c r="BA86" s="3924"/>
      <c r="BB86" s="3924"/>
      <c r="BC86" s="3924"/>
      <c r="BD86" s="3924"/>
      <c r="BE86" s="3924"/>
      <c r="BF86" s="3924"/>
      <c r="BG86" s="3924"/>
      <c r="BH86" s="3924"/>
      <c r="BI86" s="3924"/>
      <c r="BJ86" s="3924"/>
      <c r="BK86" s="3924"/>
      <c r="BL86" s="3924"/>
      <c r="BM86" s="3924"/>
      <c r="BN86" s="3924"/>
      <c r="BO86" s="3924"/>
      <c r="BP86" s="3924"/>
      <c r="BQ86" s="3924"/>
      <c r="BR86" s="3924"/>
      <c r="BS86" s="3924"/>
      <c r="BT86" s="3924"/>
      <c r="BU86" s="3924"/>
      <c r="BV86" s="3924"/>
      <c r="BW86" s="3924"/>
      <c r="BX86" s="3924"/>
      <c r="BY86" s="3924"/>
      <c r="BZ86" s="3924"/>
      <c r="CA86" s="3924"/>
      <c r="CB86" s="3924"/>
      <c r="CC86" s="3924"/>
      <c r="CD86" s="3924"/>
      <c r="CE86" s="3924"/>
      <c r="CF86" s="3924"/>
      <c r="CG86" s="3924"/>
      <c r="CH86" s="3924"/>
      <c r="CI86" s="3924"/>
      <c r="CJ86" s="3924"/>
      <c r="CK86" s="3924"/>
      <c r="CL86" s="3924"/>
      <c r="CM86" s="3924"/>
      <c r="CN86" s="3924"/>
      <c r="CO86" s="3924"/>
      <c r="CP86" s="3924"/>
      <c r="CQ86" s="3924"/>
      <c r="CR86" s="3924"/>
      <c r="CS86" s="3924"/>
      <c r="CT86" s="3924"/>
      <c r="CU86" s="3924"/>
      <c r="CV86" s="3924"/>
      <c r="CW86" s="3924"/>
      <c r="CX86" s="3924"/>
      <c r="CY86" s="3924"/>
      <c r="CZ86" s="3924"/>
      <c r="DA86" s="3924"/>
      <c r="DB86" s="3924"/>
      <c r="DC86" s="3924"/>
      <c r="DD86" s="3924"/>
      <c r="DE86" s="3924"/>
      <c r="DF86" s="3924"/>
      <c r="DG86" s="3924"/>
      <c r="DH86" s="3924"/>
      <c r="DI86" s="3924"/>
      <c r="DJ86" s="3924"/>
      <c r="DK86" s="3924"/>
      <c r="DL86" s="3924"/>
      <c r="DM86" s="3924"/>
      <c r="DN86" s="3924"/>
      <c r="DO86" s="3924"/>
      <c r="DP86" s="3924"/>
      <c r="DQ86" s="3924"/>
      <c r="DR86" s="3924"/>
      <c r="DS86" s="3924"/>
      <c r="DT86" s="3924"/>
      <c r="DU86" s="3924"/>
      <c r="DV86" s="3924"/>
      <c r="DW86" s="3924"/>
      <c r="DX86" s="3924"/>
      <c r="DY86" s="3924"/>
      <c r="DZ86" s="3924"/>
      <c r="EA86" s="3924"/>
      <c r="EB86" s="3924"/>
      <c r="EC86" s="3924"/>
      <c r="ED86" s="3924"/>
      <c r="EE86" s="3924"/>
      <c r="EF86" s="3924"/>
      <c r="EG86" s="3924"/>
      <c r="EH86" s="3924"/>
      <c r="EI86" s="3924"/>
      <c r="EJ86" s="3924"/>
      <c r="EK86" s="3924"/>
      <c r="EL86" s="3924"/>
      <c r="EM86" s="3924"/>
      <c r="EN86" s="3924"/>
      <c r="EO86" s="3924"/>
      <c r="EP86" s="3924"/>
      <c r="EQ86" s="3924"/>
      <c r="ER86" s="3924"/>
      <c r="ES86" s="3924"/>
      <c r="ET86" s="3924"/>
      <c r="EU86" s="3924"/>
      <c r="EV86" s="3924"/>
      <c r="EW86" s="3924"/>
      <c r="EX86" s="3924"/>
      <c r="EY86" s="3924"/>
      <c r="EZ86" s="3924"/>
      <c r="FA86" s="3924"/>
      <c r="FB86" s="3924"/>
      <c r="FC86" s="3924"/>
      <c r="FD86" s="3924"/>
      <c r="FE86" s="3924"/>
      <c r="FF86" s="3924"/>
      <c r="FG86" s="3924"/>
      <c r="FH86" s="3924"/>
      <c r="FI86" s="3924"/>
      <c r="FJ86" s="3924"/>
      <c r="FK86" s="3924"/>
      <c r="FL86" s="3924"/>
      <c r="FM86" s="3924"/>
      <c r="FN86" s="3924"/>
      <c r="FO86" s="3924"/>
      <c r="FP86" s="3924"/>
      <c r="FQ86" s="3924"/>
      <c r="FR86" s="3924"/>
      <c r="FS86" s="3924"/>
      <c r="FT86" s="3924"/>
      <c r="FU86" s="3924"/>
      <c r="FV86" s="3924"/>
      <c r="FW86" s="3924"/>
      <c r="FX86" s="3924"/>
      <c r="FY86" s="3924"/>
      <c r="FZ86" s="3924"/>
      <c r="GA86" s="3924"/>
      <c r="GB86" s="3924"/>
      <c r="GC86" s="3924"/>
      <c r="GD86" s="3924"/>
      <c r="GE86" s="3924"/>
      <c r="GF86" s="3924"/>
      <c r="GG86" s="3924"/>
      <c r="GH86" s="3924"/>
      <c r="GI86" s="3924"/>
      <c r="GJ86" s="3924"/>
      <c r="GK86" s="3924"/>
      <c r="GL86" s="3924"/>
      <c r="GM86" s="3924"/>
      <c r="GN86" s="3924"/>
      <c r="GO86" s="3924"/>
      <c r="GP86" s="3924"/>
      <c r="GQ86" s="3924"/>
      <c r="GR86" s="3924"/>
      <c r="GS86" s="3924"/>
      <c r="GT86" s="3924"/>
      <c r="GU86" s="3924"/>
      <c r="GV86" s="3924"/>
      <c r="GW86" s="3924"/>
      <c r="GX86" s="3924"/>
      <c r="GY86" s="3924"/>
      <c r="GZ86" s="3924"/>
      <c r="HA86" s="3924"/>
      <c r="HB86" s="3924"/>
      <c r="HC86" s="3924"/>
      <c r="HD86" s="3924"/>
      <c r="HE86" s="3924"/>
      <c r="HF86" s="3924"/>
      <c r="HG86" s="3924"/>
      <c r="HH86" s="3924"/>
      <c r="HI86" s="3924"/>
      <c r="HJ86" s="3924"/>
      <c r="HK86" s="3924"/>
      <c r="HL86" s="3924"/>
      <c r="HM86" s="3924"/>
      <c r="HN86" s="3924"/>
      <c r="HO86" s="3924"/>
      <c r="HP86" s="3924"/>
      <c r="HQ86" s="3924"/>
      <c r="HR86" s="3924"/>
      <c r="HS86" s="3924"/>
      <c r="HT86" s="3924"/>
      <c r="HU86" s="3924"/>
      <c r="HV86" s="3924"/>
      <c r="HW86" s="3924"/>
      <c r="HX86" s="3924"/>
      <c r="HY86" s="3924"/>
      <c r="HZ86" s="3924"/>
      <c r="IA86" s="3924"/>
      <c r="IB86" s="3924"/>
      <c r="IC86" s="3924"/>
      <c r="ID86" s="3924"/>
      <c r="IE86" s="3924"/>
      <c r="IF86" s="3924"/>
      <c r="IG86" s="3924"/>
      <c r="IH86" s="3924"/>
      <c r="II86" s="3924"/>
      <c r="IJ86" s="3924"/>
      <c r="IK86" s="3924"/>
      <c r="IL86" s="3924"/>
      <c r="IM86" s="3924"/>
      <c r="IN86" s="3924"/>
      <c r="IO86" s="3924"/>
      <c r="IP86" s="3924"/>
      <c r="IQ86" s="3924"/>
      <c r="IR86" s="3924"/>
      <c r="IS86" s="3924"/>
      <c r="IT86" s="3924"/>
      <c r="IU86" s="3924"/>
      <c r="IV86" s="3924"/>
      <c r="IW86" s="3924"/>
      <c r="IX86" s="3924"/>
      <c r="IY86" s="3924"/>
      <c r="IZ86" s="3924"/>
      <c r="JA86" s="3924"/>
      <c r="JB86" s="3924"/>
      <c r="JC86" s="3924"/>
      <c r="JD86" s="3924"/>
      <c r="JE86" s="3924"/>
      <c r="JF86" s="3924"/>
      <c r="JG86" s="1707"/>
      <c r="JH86" s="1361"/>
      <c r="JI86" s="1390"/>
      <c r="JJ86" s="1572" t="s">
        <v>6108</v>
      </c>
    </row>
    <row r="87" spans="1:270" x14ac:dyDescent="0.2">
      <c r="A87" s="1128">
        <v>25</v>
      </c>
      <c r="B87" s="1285" t="str">
        <f si="4" t="shared"/>
        <v/>
      </c>
      <c r="C87" s="1604" t="s">
        <v>4020</v>
      </c>
      <c r="D87" s="1372" t="str">
        <f>"If you are domiciled outside the UK and it is relevant to your Income Tax or Capital Gains Tax liability for "&amp;tax_year&amp;", put ‘X’ in the box. Please explain in Box 40…"</f>
        <v>If you are domiciled outside the UK and it is relevant to your Income Tax or Capital Gains Tax liability for 2019-20, put ‘X’ in the box. Please explain in Box 40…</v>
      </c>
      <c r="E87" s="1588" t="s">
        <v>1189</v>
      </c>
      <c r="F87" s="1588" t="s">
        <v>1189</v>
      </c>
      <c r="G87" s="1588" t="s">
        <v>572</v>
      </c>
      <c r="H87" s="1351" t="s">
        <v>572</v>
      </c>
      <c r="I87" s="1351" t="s">
        <v>572</v>
      </c>
      <c r="J87" s="1351" t="s">
        <v>572</v>
      </c>
      <c r="K87" s="1605" t="s">
        <v>572</v>
      </c>
      <c r="L87" s="1351" t="s">
        <v>572</v>
      </c>
      <c r="M87" s="1351" t="s">
        <v>572</v>
      </c>
      <c r="N87" s="1351" t="s">
        <v>572</v>
      </c>
      <c r="O87" s="1902"/>
      <c r="P87" s="2045"/>
      <c r="Q87" s="2045"/>
      <c r="R87" s="2045"/>
      <c r="S87" s="2045"/>
      <c r="T87" s="3807"/>
      <c r="U87" s="3807"/>
      <c r="V87" s="3807"/>
      <c r="W87" s="3807"/>
      <c r="X87" s="3807"/>
      <c r="Y87" s="3807"/>
      <c r="Z87" s="3807"/>
      <c r="AA87" s="3807"/>
      <c r="AB87" s="3807"/>
      <c r="AC87" s="3807"/>
      <c r="AD87" s="3807"/>
      <c r="AE87" s="3807"/>
      <c r="AF87" s="3807"/>
      <c r="AG87" s="3807"/>
      <c r="AH87" s="3807"/>
      <c r="AI87" s="3807"/>
      <c r="AJ87" s="3807"/>
      <c r="AK87" s="3807"/>
      <c r="AL87" s="3807"/>
      <c r="AM87" s="3807"/>
      <c r="AN87" s="3807"/>
      <c r="AO87" s="3807"/>
      <c r="AP87" s="3807"/>
      <c r="AQ87" s="3807"/>
      <c r="AR87" s="3807"/>
      <c r="AS87" s="3807"/>
      <c r="AT87" s="3807"/>
      <c r="AU87" s="3807"/>
      <c r="AV87" s="3807"/>
      <c r="AW87" s="3807"/>
      <c r="AX87" s="3807"/>
      <c r="AY87" s="3807"/>
      <c r="AZ87" s="3807"/>
      <c r="BA87" s="3807"/>
      <c r="BB87" s="3807"/>
      <c r="BC87" s="3807"/>
      <c r="BD87" s="3807"/>
      <c r="BE87" s="3807"/>
      <c r="BF87" s="3807"/>
      <c r="BG87" s="3807"/>
      <c r="BH87" s="3807"/>
      <c r="BI87" s="3807"/>
      <c r="BJ87" s="3807"/>
      <c r="BK87" s="3829" t="s">
        <v>572</v>
      </c>
      <c r="BL87" s="3807"/>
      <c r="BM87" s="3807"/>
      <c r="BN87" s="3807"/>
      <c r="BO87" s="3807"/>
      <c r="BP87" s="3807"/>
      <c r="BQ87" s="3807"/>
      <c r="BR87" s="3807"/>
      <c r="BS87" s="3807"/>
      <c r="BT87" s="3807"/>
      <c r="BU87" s="3807"/>
      <c r="BV87" s="3807"/>
      <c r="BW87" s="3807"/>
      <c r="BX87" s="3807"/>
      <c r="BY87" s="3807"/>
      <c r="BZ87" s="3807"/>
      <c r="CA87" s="3807"/>
      <c r="CB87" s="3807"/>
      <c r="CC87" s="3807"/>
      <c r="CD87" s="3807"/>
      <c r="CE87" s="3807"/>
      <c r="CF87" s="3807"/>
      <c r="CG87" s="3807"/>
      <c r="CH87" s="3807"/>
      <c r="CI87" s="3807"/>
      <c r="CJ87" s="3807"/>
      <c r="CK87" s="3807"/>
      <c r="CL87" s="3807"/>
      <c r="CM87" s="3807"/>
      <c r="CN87" s="3807"/>
      <c r="CO87" s="3807"/>
      <c r="CP87" s="3807"/>
      <c r="CQ87" s="3807"/>
      <c r="CR87" s="3807"/>
      <c r="CS87" s="3807"/>
      <c r="CT87" s="3807"/>
      <c r="CU87" s="3807"/>
      <c r="CV87" s="3807"/>
      <c r="CW87" s="3807"/>
      <c r="CX87" s="3807"/>
      <c r="CY87" s="3807"/>
      <c r="CZ87" s="3807"/>
      <c r="DA87" s="3807"/>
      <c r="DB87" s="3807"/>
      <c r="DC87" s="3807"/>
      <c r="DD87" s="3807"/>
      <c r="DE87" s="3807"/>
      <c r="DF87" s="3807"/>
      <c r="DG87" s="3807"/>
      <c r="DH87" s="3807"/>
      <c r="DI87" s="3807"/>
      <c r="DJ87" s="3807"/>
      <c r="DK87" s="3807"/>
      <c r="DL87" s="3807"/>
      <c r="DM87" s="3807"/>
      <c r="DN87" s="3807"/>
      <c r="DO87" s="3807"/>
      <c r="DP87" s="3807"/>
      <c r="DQ87" s="3807"/>
      <c r="DR87" s="3807"/>
      <c r="DS87" s="3807"/>
      <c r="DT87" s="3807"/>
      <c r="DU87" s="3807"/>
      <c r="DV87" s="3807"/>
      <c r="DW87" s="3807"/>
      <c r="DX87" s="3807"/>
      <c r="DY87" s="3807"/>
      <c r="DZ87" s="3807"/>
      <c r="EA87" s="3807"/>
      <c r="EB87" s="3807"/>
      <c r="EC87" s="3807"/>
      <c r="ED87" s="3807"/>
      <c r="EE87" s="3807"/>
      <c r="EF87" s="3807"/>
      <c r="EG87" s="3807"/>
      <c r="EH87" s="3807"/>
      <c r="EI87" s="3807"/>
      <c r="EJ87" s="3807"/>
      <c r="EK87" s="3807"/>
      <c r="EL87" s="3807"/>
      <c r="EM87" s="3807"/>
      <c r="EN87" s="3807"/>
      <c r="EO87" s="3807"/>
      <c r="EP87" s="3807"/>
      <c r="EQ87" s="3807"/>
      <c r="ER87" s="3807"/>
      <c r="ES87" s="3807"/>
      <c r="ET87" s="3807"/>
      <c r="EU87" s="3807"/>
      <c r="EV87" s="3807"/>
      <c r="EW87" s="3807"/>
      <c r="EX87" s="3807"/>
      <c r="EY87" s="3807"/>
      <c r="EZ87" s="3807"/>
      <c r="FA87" s="3807"/>
      <c r="FB87" s="3807"/>
      <c r="FC87" s="3807"/>
      <c r="FD87" s="3807"/>
      <c r="FE87" s="3807"/>
      <c r="FF87" s="3807"/>
      <c r="FG87" s="3807"/>
      <c r="FH87" s="3807"/>
      <c r="FI87" s="3807"/>
      <c r="FJ87" s="3807"/>
      <c r="FK87" s="3807"/>
      <c r="FL87" s="3807"/>
      <c r="FM87" s="3807"/>
      <c r="FN87" s="3807"/>
      <c r="FO87" s="3807"/>
      <c r="FP87" s="3807"/>
      <c r="FQ87" s="3807"/>
      <c r="FR87" s="3807"/>
      <c r="FS87" s="3807"/>
      <c r="FT87" s="3807"/>
      <c r="FU87" s="3807"/>
      <c r="FV87" s="3807"/>
      <c r="FW87" s="3807"/>
      <c r="FX87" s="3807"/>
      <c r="FY87" s="3807"/>
      <c r="FZ87" s="3807"/>
      <c r="GA87" s="3807"/>
      <c r="GB87" s="3807"/>
      <c r="GC87" s="3807"/>
      <c r="GD87" s="3807"/>
      <c r="GE87" s="3807"/>
      <c r="GF87" s="3807"/>
      <c r="GG87" s="3807"/>
      <c r="GH87" s="3807"/>
      <c r="GI87" s="3807"/>
      <c r="GJ87" s="3807"/>
      <c r="GK87" s="3807"/>
      <c r="GL87" s="3807"/>
      <c r="GM87" s="3807"/>
      <c r="GN87" s="3807"/>
      <c r="GO87" s="3807"/>
      <c r="GP87" s="3807"/>
      <c r="GQ87" s="3807"/>
      <c r="GR87" s="3807"/>
      <c r="GS87" s="3807"/>
      <c r="GT87" s="3807"/>
      <c r="GU87" s="3807"/>
      <c r="GV87" s="3807"/>
      <c r="GW87" s="3807"/>
      <c r="GX87" s="3807"/>
      <c r="GY87" s="3807"/>
      <c r="GZ87" s="3807"/>
      <c r="HA87" s="3807"/>
      <c r="HB87" s="3807"/>
      <c r="HC87" s="3807"/>
      <c r="HD87" s="3807"/>
      <c r="HE87" s="3807"/>
      <c r="HF87" s="3807"/>
      <c r="HG87" s="3807"/>
      <c r="HH87" s="3807"/>
      <c r="HI87" s="3807"/>
      <c r="HJ87" s="3807"/>
      <c r="HK87" s="3807"/>
      <c r="HL87" s="3807"/>
      <c r="HM87" s="3807"/>
      <c r="HN87" s="3807"/>
      <c r="HO87" s="3807"/>
      <c r="HP87" s="3807"/>
      <c r="HQ87" s="3807"/>
      <c r="HR87" s="3807"/>
      <c r="HS87" s="3807"/>
      <c r="HT87" s="3807"/>
      <c r="HU87" s="3807"/>
      <c r="HV87" s="3807"/>
      <c r="HW87" s="3807"/>
      <c r="HX87" s="3807"/>
      <c r="HY87" s="3807"/>
      <c r="HZ87" s="3807"/>
      <c r="IA87" s="3807"/>
      <c r="IB87" s="3807"/>
      <c r="IC87" s="3807"/>
      <c r="ID87" s="3807"/>
      <c r="IE87" s="3807"/>
      <c r="IF87" s="3807"/>
      <c r="IG87" s="3807"/>
      <c r="IH87" s="3807"/>
      <c r="II87" s="3807"/>
      <c r="IJ87" s="3807"/>
      <c r="IK87" s="3807"/>
      <c r="IL87" s="3807"/>
      <c r="IM87" s="3807"/>
      <c r="IN87" s="3807"/>
      <c r="IO87" s="3807"/>
      <c r="IP87" s="3807"/>
      <c r="IQ87" s="3807"/>
      <c r="IR87" s="3829" t="s">
        <v>572</v>
      </c>
      <c r="IS87" s="3807"/>
      <c r="IT87" s="3807"/>
      <c r="IU87" s="3807"/>
      <c r="IV87" s="3807"/>
      <c r="IW87" s="3979" t="s">
        <v>572</v>
      </c>
      <c r="IX87" s="3807"/>
      <c r="IY87" s="3807"/>
      <c r="IZ87" s="3807"/>
      <c r="JA87" s="2815"/>
      <c r="JB87" s="2815"/>
      <c r="JC87" s="3807"/>
      <c r="JD87" s="3807"/>
      <c r="JE87" s="3807"/>
      <c r="JF87" s="3807"/>
      <c r="JG87" s="1591"/>
      <c r="JH87" s="1361"/>
      <c r="JI87" s="2062"/>
      <c r="JJ87" s="2061" t="s">
        <v>6111</v>
      </c>
    </row>
    <row r="88" spans="1:270" x14ac:dyDescent="0.2">
      <c r="A88" s="1128">
        <v>26</v>
      </c>
      <c r="B88" s="1285" t="str">
        <f ref="B88:B107" si="5" t="shared">IF(NRD_IND&gt;1,IF(HLOOKUP(NRD_IND-1,NRD_RANGE,A88)="","",HLOOKUP(NRD_IND-1,NRD_RANGE,A88)),"")</f>
        <v/>
      </c>
      <c r="C88" s="2914" t="s">
        <v>6585</v>
      </c>
      <c r="D88" s="2915" t="s">
        <v>6588</v>
      </c>
      <c r="E88" s="2917"/>
      <c r="F88" s="2917"/>
      <c r="G88" s="2917"/>
      <c r="H88" s="2917"/>
      <c r="I88" s="2917"/>
      <c r="J88" s="2917"/>
      <c r="K88" s="2917"/>
      <c r="L88" s="2917"/>
      <c r="M88" s="2917"/>
      <c r="N88" s="2918"/>
      <c r="O88" s="2919"/>
      <c r="P88" s="2919"/>
      <c r="Q88" s="2920"/>
      <c r="R88" s="2920"/>
      <c r="S88" s="2920"/>
      <c r="T88" s="3925"/>
      <c r="U88" s="3925"/>
      <c r="V88" s="3925"/>
      <c r="W88" s="3925"/>
      <c r="X88" s="3925"/>
      <c r="Y88" s="3925"/>
      <c r="Z88" s="3925"/>
      <c r="AA88" s="3925"/>
      <c r="AB88" s="3925"/>
      <c r="AC88" s="3925"/>
      <c r="AD88" s="3925"/>
      <c r="AE88" s="3925"/>
      <c r="AF88" s="3925"/>
      <c r="AG88" s="3925"/>
      <c r="AH88" s="3925"/>
      <c r="AI88" s="3925"/>
      <c r="AJ88" s="3925"/>
      <c r="AK88" s="3925"/>
      <c r="AL88" s="3925"/>
      <c r="AM88" s="3925"/>
      <c r="AN88" s="3925"/>
      <c r="AO88" s="3925"/>
      <c r="AP88" s="3925"/>
      <c r="AQ88" s="3925"/>
      <c r="AR88" s="3925"/>
      <c r="AS88" s="3925"/>
      <c r="AT88" s="3925"/>
      <c r="AU88" s="3925"/>
      <c r="AV88" s="3925"/>
      <c r="AW88" s="3925"/>
      <c r="AX88" s="3925"/>
      <c r="AY88" s="3925"/>
      <c r="AZ88" s="3925"/>
      <c r="BA88" s="3925"/>
      <c r="BB88" s="3925"/>
      <c r="BC88" s="3925"/>
      <c r="BD88" s="3925"/>
      <c r="BE88" s="3925"/>
      <c r="BF88" s="3925"/>
      <c r="BG88" s="3925"/>
      <c r="BH88" s="3925"/>
      <c r="BI88" s="3925"/>
      <c r="BJ88" s="3925"/>
      <c r="BK88" s="3925"/>
      <c r="BL88" s="3925"/>
      <c r="BM88" s="3925"/>
      <c r="BN88" s="3925"/>
      <c r="BO88" s="3925"/>
      <c r="BP88" s="3925"/>
      <c r="BQ88" s="3925"/>
      <c r="BR88" s="3925"/>
      <c r="BS88" s="3925"/>
      <c r="BT88" s="3925"/>
      <c r="BU88" s="3925"/>
      <c r="BV88" s="3925"/>
      <c r="BW88" s="3925"/>
      <c r="BX88" s="3925"/>
      <c r="BY88" s="3925"/>
      <c r="BZ88" s="3925"/>
      <c r="CA88" s="3925"/>
      <c r="CB88" s="3925"/>
      <c r="CC88" s="3925"/>
      <c r="CD88" s="3925"/>
      <c r="CE88" s="3925"/>
      <c r="CF88" s="3925"/>
      <c r="CG88" s="3925"/>
      <c r="CH88" s="3925"/>
      <c r="CI88" s="3925"/>
      <c r="CJ88" s="3925"/>
      <c r="CK88" s="3925"/>
      <c r="CL88" s="3925"/>
      <c r="CM88" s="3925"/>
      <c r="CN88" s="3925"/>
      <c r="CO88" s="3925"/>
      <c r="CP88" s="3925"/>
      <c r="CQ88" s="3925"/>
      <c r="CR88" s="3925"/>
      <c r="CS88" s="3925"/>
      <c r="CT88" s="3925"/>
      <c r="CU88" s="3925"/>
      <c r="CV88" s="3925"/>
      <c r="CW88" s="3925"/>
      <c r="CX88" s="3925"/>
      <c r="CY88" s="3925"/>
      <c r="CZ88" s="3925"/>
      <c r="DA88" s="3925"/>
      <c r="DB88" s="3925"/>
      <c r="DC88" s="3925"/>
      <c r="DD88" s="3925"/>
      <c r="DE88" s="3925"/>
      <c r="DF88" s="3925"/>
      <c r="DG88" s="3925"/>
      <c r="DH88" s="3925"/>
      <c r="DI88" s="3925"/>
      <c r="DJ88" s="3925"/>
      <c r="DK88" s="3925"/>
      <c r="DL88" s="3925"/>
      <c r="DM88" s="3925"/>
      <c r="DN88" s="3925"/>
      <c r="DO88" s="3925"/>
      <c r="DP88" s="3925"/>
      <c r="DQ88" s="3925"/>
      <c r="DR88" s="3925"/>
      <c r="DS88" s="3925"/>
      <c r="DT88" s="3925"/>
      <c r="DU88" s="3925"/>
      <c r="DV88" s="3925"/>
      <c r="DW88" s="3925"/>
      <c r="DX88" s="3925"/>
      <c r="DY88" s="3925"/>
      <c r="DZ88" s="3925"/>
      <c r="EA88" s="3925"/>
      <c r="EB88" s="3925"/>
      <c r="EC88" s="3925"/>
      <c r="ED88" s="3925"/>
      <c r="EE88" s="3925"/>
      <c r="EF88" s="3925"/>
      <c r="EG88" s="3925"/>
      <c r="EH88" s="3925"/>
      <c r="EI88" s="3925"/>
      <c r="EJ88" s="3925"/>
      <c r="EK88" s="3925"/>
      <c r="EL88" s="3925"/>
      <c r="EM88" s="3925"/>
      <c r="EN88" s="3925"/>
      <c r="EO88" s="3925"/>
      <c r="EP88" s="3925"/>
      <c r="EQ88" s="3925"/>
      <c r="ER88" s="3925"/>
      <c r="ES88" s="3925"/>
      <c r="ET88" s="3925"/>
      <c r="EU88" s="3925"/>
      <c r="EV88" s="3925"/>
      <c r="EW88" s="3925"/>
      <c r="EX88" s="3925"/>
      <c r="EY88" s="3925"/>
      <c r="EZ88" s="3925"/>
      <c r="FA88" s="3925"/>
      <c r="FB88" s="3925"/>
      <c r="FC88" s="3925"/>
      <c r="FD88" s="3925"/>
      <c r="FE88" s="3925"/>
      <c r="FF88" s="3925"/>
      <c r="FG88" s="3925"/>
      <c r="FH88" s="3925"/>
      <c r="FI88" s="3925"/>
      <c r="FJ88" s="3925"/>
      <c r="FK88" s="3925"/>
      <c r="FL88" s="3925"/>
      <c r="FM88" s="3925"/>
      <c r="FN88" s="3925"/>
      <c r="FO88" s="3925"/>
      <c r="FP88" s="3925"/>
      <c r="FQ88" s="3925"/>
      <c r="FR88" s="3925"/>
      <c r="FS88" s="3925"/>
      <c r="FT88" s="3925"/>
      <c r="FU88" s="3925"/>
      <c r="FV88" s="3925"/>
      <c r="FW88" s="3925"/>
      <c r="FX88" s="3925"/>
      <c r="FY88" s="3925"/>
      <c r="FZ88" s="3925"/>
      <c r="GA88" s="3925"/>
      <c r="GB88" s="3925"/>
      <c r="GC88" s="3925"/>
      <c r="GD88" s="3925"/>
      <c r="GE88" s="3925"/>
      <c r="GF88" s="3925"/>
      <c r="GG88" s="3925"/>
      <c r="GH88" s="3925"/>
      <c r="GI88" s="3925"/>
      <c r="GJ88" s="3925"/>
      <c r="GK88" s="3925"/>
      <c r="GL88" s="3925"/>
      <c r="GM88" s="3925"/>
      <c r="GN88" s="3925"/>
      <c r="GO88" s="3925"/>
      <c r="GP88" s="3925"/>
      <c r="GQ88" s="3925"/>
      <c r="GR88" s="3925"/>
      <c r="GS88" s="3925"/>
      <c r="GT88" s="3925"/>
      <c r="GU88" s="3925"/>
      <c r="GV88" s="3925"/>
      <c r="GW88" s="3925"/>
      <c r="GX88" s="3925"/>
      <c r="GY88" s="3925"/>
      <c r="GZ88" s="3925"/>
      <c r="HA88" s="3925"/>
      <c r="HB88" s="3925"/>
      <c r="HC88" s="3925"/>
      <c r="HD88" s="3925"/>
      <c r="HE88" s="3925"/>
      <c r="HF88" s="3925"/>
      <c r="HG88" s="3925"/>
      <c r="HH88" s="3925"/>
      <c r="HI88" s="3925"/>
      <c r="HJ88" s="3925"/>
      <c r="HK88" s="3925"/>
      <c r="HL88" s="3925"/>
      <c r="HM88" s="3925"/>
      <c r="HN88" s="3925"/>
      <c r="HO88" s="3925"/>
      <c r="HP88" s="3925"/>
      <c r="HQ88" s="3925"/>
      <c r="HR88" s="3925"/>
      <c r="HS88" s="3925"/>
      <c r="HT88" s="3925"/>
      <c r="HU88" s="3925"/>
      <c r="HV88" s="3925"/>
      <c r="HW88" s="3925"/>
      <c r="HX88" s="3925"/>
      <c r="HY88" s="3925"/>
      <c r="HZ88" s="3925"/>
      <c r="IA88" s="3925"/>
      <c r="IB88" s="3925"/>
      <c r="IC88" s="3925"/>
      <c r="ID88" s="3925"/>
      <c r="IE88" s="3925"/>
      <c r="IF88" s="3925"/>
      <c r="IG88" s="3925"/>
      <c r="IH88" s="3925"/>
      <c r="II88" s="3925"/>
      <c r="IJ88" s="3925"/>
      <c r="IK88" s="3925"/>
      <c r="IL88" s="3925"/>
      <c r="IM88" s="3925"/>
      <c r="IN88" s="3925"/>
      <c r="IO88" s="3925"/>
      <c r="IP88" s="3925"/>
      <c r="IQ88" s="3925"/>
      <c r="IR88" s="3925"/>
      <c r="IS88" s="3925"/>
      <c r="IT88" s="3925"/>
      <c r="IU88" s="3925"/>
      <c r="IV88" s="3925"/>
      <c r="IW88" s="3925"/>
      <c r="IX88" s="3925"/>
      <c r="IY88" s="3925"/>
      <c r="IZ88" s="3925"/>
      <c r="JA88" s="3925"/>
      <c r="JB88" s="3925"/>
      <c r="JC88" s="3925"/>
      <c r="JD88" s="3925"/>
      <c r="JE88" s="3925"/>
      <c r="JF88" s="3925"/>
      <c r="JG88" s="2921"/>
      <c r="JH88" s="2922"/>
      <c r="JI88" s="2927"/>
      <c r="JJ88" s="2923"/>
    </row>
    <row r="89" spans="1:270" x14ac:dyDescent="0.2">
      <c r="A89" s="1128">
        <v>27</v>
      </c>
      <c r="B89" s="1285" t="str">
        <f si="5" t="shared"/>
        <v/>
      </c>
      <c r="C89" s="2914" t="s">
        <v>6586</v>
      </c>
      <c r="D89" s="2915" t="s">
        <v>6589</v>
      </c>
      <c r="E89" s="2917"/>
      <c r="F89" s="2917"/>
      <c r="G89" s="2917"/>
      <c r="H89" s="2917"/>
      <c r="I89" s="2917"/>
      <c r="J89" s="2917"/>
      <c r="K89" s="2917"/>
      <c r="L89" s="2917"/>
      <c r="M89" s="2917"/>
      <c r="N89" s="2918" t="s">
        <v>572</v>
      </c>
      <c r="O89" s="2919"/>
      <c r="P89" s="2919"/>
      <c r="Q89" s="2920"/>
      <c r="R89" s="2920"/>
      <c r="S89" s="2920"/>
      <c r="T89" s="3925"/>
      <c r="U89" s="3925"/>
      <c r="V89" s="3925"/>
      <c r="W89" s="3925"/>
      <c r="X89" s="3925"/>
      <c r="Y89" s="3925"/>
      <c r="Z89" s="3925"/>
      <c r="AA89" s="3925"/>
      <c r="AB89" s="3925"/>
      <c r="AC89" s="3925"/>
      <c r="AD89" s="3925"/>
      <c r="AE89" s="3925"/>
      <c r="AF89" s="3925"/>
      <c r="AG89" s="3925"/>
      <c r="AH89" s="3925"/>
      <c r="AI89" s="3925"/>
      <c r="AJ89" s="3925"/>
      <c r="AK89" s="3925"/>
      <c r="AL89" s="3925"/>
      <c r="AM89" s="3925"/>
      <c r="AN89" s="3925"/>
      <c r="AO89" s="3925"/>
      <c r="AP89" s="3925"/>
      <c r="AQ89" s="3925"/>
      <c r="AR89" s="3925"/>
      <c r="AS89" s="3925"/>
      <c r="AT89" s="3925"/>
      <c r="AU89" s="3925"/>
      <c r="AV89" s="3925"/>
      <c r="AW89" s="3925"/>
      <c r="AX89" s="3925"/>
      <c r="AY89" s="3925"/>
      <c r="AZ89" s="3925"/>
      <c r="BA89" s="3925"/>
      <c r="BB89" s="3925"/>
      <c r="BC89" s="3925"/>
      <c r="BD89" s="3925"/>
      <c r="BE89" s="3925"/>
      <c r="BF89" s="3925"/>
      <c r="BG89" s="3925"/>
      <c r="BH89" s="3925"/>
      <c r="BI89" s="3925"/>
      <c r="BJ89" s="3925"/>
      <c r="BK89" s="3829" t="s">
        <v>572</v>
      </c>
      <c r="BL89" s="3925"/>
      <c r="BM89" s="3925"/>
      <c r="BN89" s="3925"/>
      <c r="BO89" s="3925"/>
      <c r="BP89" s="3925"/>
      <c r="BQ89" s="3925"/>
      <c r="BR89" s="3925"/>
      <c r="BS89" s="3925"/>
      <c r="BT89" s="3925"/>
      <c r="BU89" s="3925"/>
      <c r="BV89" s="3925"/>
      <c r="BW89" s="3925"/>
      <c r="BX89" s="3925"/>
      <c r="BY89" s="3925"/>
      <c r="BZ89" s="3925"/>
      <c r="CA89" s="3925"/>
      <c r="CB89" s="3925"/>
      <c r="CC89" s="3925"/>
      <c r="CD89" s="3925"/>
      <c r="CE89" s="3925"/>
      <c r="CF89" s="3925"/>
      <c r="CG89" s="3925"/>
      <c r="CH89" s="3925"/>
      <c r="CI89" s="3925"/>
      <c r="CJ89" s="3925"/>
      <c r="CK89" s="3925"/>
      <c r="CL89" s="3925"/>
      <c r="CM89" s="3925"/>
      <c r="CN89" s="3925"/>
      <c r="CO89" s="3925"/>
      <c r="CP89" s="3925"/>
      <c r="CQ89" s="3925"/>
      <c r="CR89" s="3925"/>
      <c r="CS89" s="3925"/>
      <c r="CT89" s="3925"/>
      <c r="CU89" s="3925"/>
      <c r="CV89" s="3925"/>
      <c r="CW89" s="3925"/>
      <c r="CX89" s="3925"/>
      <c r="CY89" s="3925"/>
      <c r="CZ89" s="3925"/>
      <c r="DA89" s="3925"/>
      <c r="DB89" s="3925"/>
      <c r="DC89" s="3925"/>
      <c r="DD89" s="3925"/>
      <c r="DE89" s="3925"/>
      <c r="DF89" s="3925"/>
      <c r="DG89" s="3925"/>
      <c r="DH89" s="3925"/>
      <c r="DI89" s="3925"/>
      <c r="DJ89" s="3925"/>
      <c r="DK89" s="3925"/>
      <c r="DL89" s="3925"/>
      <c r="DM89" s="3925"/>
      <c r="DN89" s="3925"/>
      <c r="DO89" s="3925"/>
      <c r="DP89" s="3925"/>
      <c r="DQ89" s="3925"/>
      <c r="DR89" s="3925"/>
      <c r="DS89" s="3925"/>
      <c r="DT89" s="3925"/>
      <c r="DU89" s="3925"/>
      <c r="DV89" s="3925"/>
      <c r="DW89" s="3925"/>
      <c r="DX89" s="3925"/>
      <c r="DY89" s="3925"/>
      <c r="DZ89" s="3925"/>
      <c r="EA89" s="3925"/>
      <c r="EB89" s="3925"/>
      <c r="EC89" s="3925"/>
      <c r="ED89" s="3925"/>
      <c r="EE89" s="3925"/>
      <c r="EF89" s="3925"/>
      <c r="EG89" s="3925"/>
      <c r="EH89" s="3925"/>
      <c r="EI89" s="3925"/>
      <c r="EJ89" s="3925"/>
      <c r="EK89" s="3925"/>
      <c r="EL89" s="3925"/>
      <c r="EM89" s="3925"/>
      <c r="EN89" s="3925"/>
      <c r="EO89" s="3925"/>
      <c r="EP89" s="3925"/>
      <c r="EQ89" s="3925"/>
      <c r="ER89" s="3925"/>
      <c r="ES89" s="3925"/>
      <c r="ET89" s="3925"/>
      <c r="EU89" s="3925"/>
      <c r="EV89" s="3925"/>
      <c r="EW89" s="3925"/>
      <c r="EX89" s="3925"/>
      <c r="EY89" s="3925"/>
      <c r="EZ89" s="3925"/>
      <c r="FA89" s="3925"/>
      <c r="FB89" s="3925"/>
      <c r="FC89" s="3925"/>
      <c r="FD89" s="3925"/>
      <c r="FE89" s="3925"/>
      <c r="FF89" s="3925"/>
      <c r="FG89" s="3925"/>
      <c r="FH89" s="3925"/>
      <c r="FI89" s="3925"/>
      <c r="FJ89" s="3925"/>
      <c r="FK89" s="3925"/>
      <c r="FL89" s="3925"/>
      <c r="FM89" s="3925"/>
      <c r="FN89" s="3925"/>
      <c r="FO89" s="3925"/>
      <c r="FP89" s="3925"/>
      <c r="FQ89" s="3925"/>
      <c r="FR89" s="3925"/>
      <c r="FS89" s="3925"/>
      <c r="FT89" s="3925"/>
      <c r="FU89" s="3925"/>
      <c r="FV89" s="3925"/>
      <c r="FW89" s="3925"/>
      <c r="FX89" s="3925"/>
      <c r="FY89" s="3925"/>
      <c r="FZ89" s="3925"/>
      <c r="GA89" s="3925"/>
      <c r="GB89" s="3925"/>
      <c r="GC89" s="3925"/>
      <c r="GD89" s="3925"/>
      <c r="GE89" s="3925"/>
      <c r="GF89" s="3925"/>
      <c r="GG89" s="3925"/>
      <c r="GH89" s="3925"/>
      <c r="GI89" s="3925"/>
      <c r="GJ89" s="3925"/>
      <c r="GK89" s="3925"/>
      <c r="GL89" s="3925"/>
      <c r="GM89" s="3925"/>
      <c r="GN89" s="3925"/>
      <c r="GO89" s="3925"/>
      <c r="GP89" s="3925"/>
      <c r="GQ89" s="3925"/>
      <c r="GR89" s="3925"/>
      <c r="GS89" s="3925"/>
      <c r="GT89" s="3925"/>
      <c r="GU89" s="3925"/>
      <c r="GV89" s="3925"/>
      <c r="GW89" s="3925"/>
      <c r="GX89" s="3925"/>
      <c r="GY89" s="3925"/>
      <c r="GZ89" s="3925"/>
      <c r="HA89" s="3925"/>
      <c r="HB89" s="3925"/>
      <c r="HC89" s="3925"/>
      <c r="HD89" s="3925"/>
      <c r="HE89" s="3925"/>
      <c r="HF89" s="3925"/>
      <c r="HG89" s="3925"/>
      <c r="HH89" s="3925"/>
      <c r="HI89" s="3925"/>
      <c r="HJ89" s="3925"/>
      <c r="HK89" s="3925"/>
      <c r="HL89" s="3925"/>
      <c r="HM89" s="3925"/>
      <c r="HN89" s="3925"/>
      <c r="HO89" s="3925"/>
      <c r="HP89" s="3925"/>
      <c r="HQ89" s="3925"/>
      <c r="HR89" s="3925"/>
      <c r="HS89" s="3925"/>
      <c r="HT89" s="3925"/>
      <c r="HU89" s="3925"/>
      <c r="HV89" s="3925"/>
      <c r="HW89" s="3925"/>
      <c r="HX89" s="3925"/>
      <c r="HY89" s="3925"/>
      <c r="HZ89" s="3925"/>
      <c r="IA89" s="3925"/>
      <c r="IB89" s="3925"/>
      <c r="IC89" s="3925"/>
      <c r="ID89" s="3925"/>
      <c r="IE89" s="3925"/>
      <c r="IF89" s="3925"/>
      <c r="IG89" s="3925"/>
      <c r="IH89" s="3925"/>
      <c r="II89" s="3925"/>
      <c r="IJ89" s="3925"/>
      <c r="IK89" s="3925"/>
      <c r="IL89" s="3925"/>
      <c r="IM89" s="3925"/>
      <c r="IN89" s="3925"/>
      <c r="IO89" s="3925"/>
      <c r="IP89" s="3925"/>
      <c r="IQ89" s="3925"/>
      <c r="IR89" s="3829" t="s">
        <v>572</v>
      </c>
      <c r="IS89" s="3925"/>
      <c r="IT89" s="3925"/>
      <c r="IU89" s="3925"/>
      <c r="IV89" s="3925"/>
      <c r="IW89" s="3925"/>
      <c r="IX89" s="3925"/>
      <c r="IY89" s="3925"/>
      <c r="IZ89" s="3925"/>
      <c r="JA89" s="3925"/>
      <c r="JB89" s="3925"/>
      <c r="JC89" s="3925"/>
      <c r="JD89" s="3925"/>
      <c r="JE89" s="3925"/>
      <c r="JF89" s="3925"/>
      <c r="JG89" s="2921"/>
      <c r="JH89" s="2922"/>
      <c r="JI89" s="2927"/>
      <c r="JJ89" s="2923"/>
    </row>
    <row r="90" spans="1:270" x14ac:dyDescent="0.2">
      <c r="A90" s="1128">
        <v>28</v>
      </c>
      <c r="B90" s="1657" t="str">
        <f si="5" t="shared"/>
        <v/>
      </c>
      <c r="C90" s="2914" t="s">
        <v>6587</v>
      </c>
      <c r="D90" s="2915" t="s">
        <v>6600</v>
      </c>
      <c r="E90" s="2917"/>
      <c r="F90" s="2917"/>
      <c r="G90" s="2917"/>
      <c r="H90" s="2917"/>
      <c r="I90" s="2917"/>
      <c r="J90" s="2917"/>
      <c r="K90" s="2917"/>
      <c r="L90" s="2917"/>
      <c r="M90" s="2917"/>
      <c r="N90" s="2924">
        <v>19</v>
      </c>
      <c r="O90" s="2919"/>
      <c r="P90" s="2919"/>
      <c r="Q90" s="2920"/>
      <c r="R90" s="2920"/>
      <c r="S90" s="2920"/>
      <c r="T90" s="3925"/>
      <c r="U90" s="3925"/>
      <c r="V90" s="3925"/>
      <c r="W90" s="3925"/>
      <c r="X90" s="3925"/>
      <c r="Y90" s="3925"/>
      <c r="Z90" s="3925"/>
      <c r="AA90" s="3925"/>
      <c r="AB90" s="3925"/>
      <c r="AC90" s="3925"/>
      <c r="AD90" s="3925"/>
      <c r="AE90" s="3925"/>
      <c r="AF90" s="3925"/>
      <c r="AG90" s="3925"/>
      <c r="AH90" s="3925"/>
      <c r="AI90" s="3925"/>
      <c r="AJ90" s="3925"/>
      <c r="AK90" s="3925"/>
      <c r="AL90" s="3925"/>
      <c r="AM90" s="3925"/>
      <c r="AN90" s="3925"/>
      <c r="AO90" s="3925"/>
      <c r="AP90" s="3925"/>
      <c r="AQ90" s="3925"/>
      <c r="AR90" s="3925"/>
      <c r="AS90" s="3925"/>
      <c r="AT90" s="3925"/>
      <c r="AU90" s="3925"/>
      <c r="AV90" s="3925"/>
      <c r="AW90" s="3925"/>
      <c r="AX90" s="3925"/>
      <c r="AY90" s="3925"/>
      <c r="AZ90" s="3925"/>
      <c r="BA90" s="3925"/>
      <c r="BB90" s="3925"/>
      <c r="BC90" s="3925"/>
      <c r="BD90" s="3925"/>
      <c r="BE90" s="3925"/>
      <c r="BF90" s="3925"/>
      <c r="BG90" s="3925"/>
      <c r="BH90" s="3925"/>
      <c r="BI90" s="3925"/>
      <c r="BJ90" s="3925"/>
      <c r="BK90" s="3829">
        <v>11</v>
      </c>
      <c r="BL90" s="3925"/>
      <c r="BM90" s="3925"/>
      <c r="BN90" s="3925"/>
      <c r="BO90" s="3925"/>
      <c r="BP90" s="3925"/>
      <c r="BQ90" s="3925"/>
      <c r="BR90" s="3925"/>
      <c r="BS90" s="3925"/>
      <c r="BT90" s="3925"/>
      <c r="BU90" s="3925"/>
      <c r="BV90" s="3925"/>
      <c r="BW90" s="3925"/>
      <c r="BX90" s="3925"/>
      <c r="BY90" s="3925"/>
      <c r="BZ90" s="3925"/>
      <c r="CA90" s="3925"/>
      <c r="CB90" s="3925"/>
      <c r="CC90" s="3925"/>
      <c r="CD90" s="3925"/>
      <c r="CE90" s="3925"/>
      <c r="CF90" s="3925"/>
      <c r="CG90" s="3925"/>
      <c r="CH90" s="3925"/>
      <c r="CI90" s="3925"/>
      <c r="CJ90" s="3925"/>
      <c r="CK90" s="3925"/>
      <c r="CL90" s="3925"/>
      <c r="CM90" s="3925"/>
      <c r="CN90" s="3925"/>
      <c r="CO90" s="3925"/>
      <c r="CP90" s="3925"/>
      <c r="CQ90" s="3925"/>
      <c r="CR90" s="3925"/>
      <c r="CS90" s="3925"/>
      <c r="CT90" s="3925"/>
      <c r="CU90" s="3925"/>
      <c r="CV90" s="3925"/>
      <c r="CW90" s="3925"/>
      <c r="CX90" s="3925"/>
      <c r="CY90" s="3925"/>
      <c r="CZ90" s="3925"/>
      <c r="DA90" s="3925"/>
      <c r="DB90" s="3925"/>
      <c r="DC90" s="3925"/>
      <c r="DD90" s="3925"/>
      <c r="DE90" s="3925"/>
      <c r="DF90" s="3925"/>
      <c r="DG90" s="3925"/>
      <c r="DH90" s="3925"/>
      <c r="DI90" s="3925"/>
      <c r="DJ90" s="3925"/>
      <c r="DK90" s="3925"/>
      <c r="DL90" s="3925"/>
      <c r="DM90" s="3925"/>
      <c r="DN90" s="3925"/>
      <c r="DO90" s="3925"/>
      <c r="DP90" s="3925"/>
      <c r="DQ90" s="3925"/>
      <c r="DR90" s="3925"/>
      <c r="DS90" s="3925"/>
      <c r="DT90" s="3925"/>
      <c r="DU90" s="3925"/>
      <c r="DV90" s="3925"/>
      <c r="DW90" s="3925"/>
      <c r="DX90" s="3925"/>
      <c r="DY90" s="3925"/>
      <c r="DZ90" s="3925"/>
      <c r="EA90" s="3925"/>
      <c r="EB90" s="3925"/>
      <c r="EC90" s="3925"/>
      <c r="ED90" s="3925"/>
      <c r="EE90" s="3925"/>
      <c r="EF90" s="3925"/>
      <c r="EG90" s="3925"/>
      <c r="EH90" s="3925"/>
      <c r="EI90" s="3925"/>
      <c r="EJ90" s="3925"/>
      <c r="EK90" s="3925"/>
      <c r="EL90" s="3925"/>
      <c r="EM90" s="3925"/>
      <c r="EN90" s="3925"/>
      <c r="EO90" s="3925"/>
      <c r="EP90" s="3925"/>
      <c r="EQ90" s="3925"/>
      <c r="ER90" s="3925"/>
      <c r="ES90" s="3925"/>
      <c r="ET90" s="3925"/>
      <c r="EU90" s="3925"/>
      <c r="EV90" s="3925"/>
      <c r="EW90" s="3925"/>
      <c r="EX90" s="3925"/>
      <c r="EY90" s="3925"/>
      <c r="EZ90" s="3925"/>
      <c r="FA90" s="3925"/>
      <c r="FB90" s="3925"/>
      <c r="FC90" s="3925"/>
      <c r="FD90" s="3925"/>
      <c r="FE90" s="3925"/>
      <c r="FF90" s="3925"/>
      <c r="FG90" s="3925"/>
      <c r="FH90" s="3925"/>
      <c r="FI90" s="3925"/>
      <c r="FJ90" s="3925"/>
      <c r="FK90" s="3925"/>
      <c r="FL90" s="3925"/>
      <c r="FM90" s="3925"/>
      <c r="FN90" s="3925"/>
      <c r="FO90" s="3925"/>
      <c r="FP90" s="3925"/>
      <c r="FQ90" s="3925"/>
      <c r="FR90" s="3925"/>
      <c r="FS90" s="3925"/>
      <c r="FT90" s="3925"/>
      <c r="FU90" s="3925"/>
      <c r="FV90" s="3925"/>
      <c r="FW90" s="3925"/>
      <c r="FX90" s="3925"/>
      <c r="FY90" s="3925"/>
      <c r="FZ90" s="3925"/>
      <c r="GA90" s="3925"/>
      <c r="GB90" s="3925"/>
      <c r="GC90" s="3925"/>
      <c r="GD90" s="3925"/>
      <c r="GE90" s="3925"/>
      <c r="GF90" s="3925"/>
      <c r="GG90" s="3925"/>
      <c r="GH90" s="3925"/>
      <c r="GI90" s="3925"/>
      <c r="GJ90" s="3925"/>
      <c r="GK90" s="3925"/>
      <c r="GL90" s="3925"/>
      <c r="GM90" s="3925"/>
      <c r="GN90" s="3925"/>
      <c r="GO90" s="3925"/>
      <c r="GP90" s="3925"/>
      <c r="GQ90" s="3925"/>
      <c r="GR90" s="3925"/>
      <c r="GS90" s="3925"/>
      <c r="GT90" s="3925"/>
      <c r="GU90" s="3925"/>
      <c r="GV90" s="3925"/>
      <c r="GW90" s="3925"/>
      <c r="GX90" s="3925"/>
      <c r="GY90" s="3925"/>
      <c r="GZ90" s="3925"/>
      <c r="HA90" s="3925"/>
      <c r="HB90" s="3925"/>
      <c r="HC90" s="3925"/>
      <c r="HD90" s="3925"/>
      <c r="HE90" s="3925"/>
      <c r="HF90" s="3925"/>
      <c r="HG90" s="3925"/>
      <c r="HH90" s="3925"/>
      <c r="HI90" s="3925"/>
      <c r="HJ90" s="3925"/>
      <c r="HK90" s="3925"/>
      <c r="HL90" s="3925"/>
      <c r="HM90" s="3925"/>
      <c r="HN90" s="3925"/>
      <c r="HO90" s="3925"/>
      <c r="HP90" s="3925"/>
      <c r="HQ90" s="3925"/>
      <c r="HR90" s="3925"/>
      <c r="HS90" s="3925"/>
      <c r="HT90" s="3925"/>
      <c r="HU90" s="3925"/>
      <c r="HV90" s="3925"/>
      <c r="HW90" s="3925"/>
      <c r="HX90" s="3925"/>
      <c r="HY90" s="3925"/>
      <c r="HZ90" s="3925"/>
      <c r="IA90" s="3925"/>
      <c r="IB90" s="3925"/>
      <c r="IC90" s="3925"/>
      <c r="ID90" s="3925"/>
      <c r="IE90" s="3925"/>
      <c r="IF90" s="3925"/>
      <c r="IG90" s="3925"/>
      <c r="IH90" s="3925"/>
      <c r="II90" s="3925"/>
      <c r="IJ90" s="3925"/>
      <c r="IK90" s="3925"/>
      <c r="IL90" s="3925"/>
      <c r="IM90" s="3925"/>
      <c r="IN90" s="3925"/>
      <c r="IO90" s="3925"/>
      <c r="IP90" s="3925"/>
      <c r="IQ90" s="3925"/>
      <c r="IR90" s="3829">
        <v>11</v>
      </c>
      <c r="IS90" s="3925"/>
      <c r="IT90" s="3925"/>
      <c r="IU90" s="3925"/>
      <c r="IV90" s="3925"/>
      <c r="IW90" s="4029">
        <v>6</v>
      </c>
      <c r="IX90" s="3925"/>
      <c r="IY90" s="3925"/>
      <c r="IZ90" s="3925"/>
      <c r="JA90" s="3925"/>
      <c r="JB90" s="3925"/>
      <c r="JC90" s="3925"/>
      <c r="JD90" s="3925"/>
      <c r="JE90" s="3925"/>
      <c r="JF90" s="3925"/>
      <c r="JG90" s="2921"/>
      <c r="JH90" s="2922"/>
      <c r="JI90" s="2927"/>
      <c r="JJ90" s="2923"/>
    </row>
    <row r="91" spans="1:270" x14ac:dyDescent="0.2">
      <c r="A91" s="1128">
        <v>29</v>
      </c>
      <c r="B91" s="1285" t="str">
        <f si="5" t="shared"/>
        <v/>
      </c>
      <c r="C91" s="1604" t="s">
        <v>2829</v>
      </c>
      <c r="D91" s="1372" t="str">
        <f>"If "&amp;tax_year&amp;" is the first year you have told us that your domicile is outside the UK, put ‘X’ in the box"</f>
        <v>If 2019-20 is the first year you have told us that your domicile is outside the UK, put ‘X’ in the box</v>
      </c>
      <c r="E91" s="1588" t="s">
        <v>1189</v>
      </c>
      <c r="F91" s="1588" t="s">
        <v>1189</v>
      </c>
      <c r="G91" s="1588" t="s">
        <v>1189</v>
      </c>
      <c r="H91" s="1351" t="s">
        <v>1189</v>
      </c>
      <c r="I91" s="1351" t="s">
        <v>1189</v>
      </c>
      <c r="J91" s="1351" t="s">
        <v>572</v>
      </c>
      <c r="K91" s="1351"/>
      <c r="L91" s="1351" t="s">
        <v>1189</v>
      </c>
      <c r="M91" s="1351" t="s">
        <v>1189</v>
      </c>
      <c r="N91" s="1351" t="s">
        <v>1189</v>
      </c>
      <c r="O91" s="1902"/>
      <c r="P91" s="2045"/>
      <c r="Q91" s="2045"/>
      <c r="R91" s="2045"/>
      <c r="S91" s="2045"/>
      <c r="T91" s="3807"/>
      <c r="U91" s="3807"/>
      <c r="V91" s="3807"/>
      <c r="W91" s="3807"/>
      <c r="X91" s="3807"/>
      <c r="Y91" s="3807"/>
      <c r="Z91" s="3807"/>
      <c r="AA91" s="3807"/>
      <c r="AB91" s="3807"/>
      <c r="AC91" s="3807"/>
      <c r="AD91" s="3807"/>
      <c r="AE91" s="3807"/>
      <c r="AF91" s="3807"/>
      <c r="AG91" s="3807"/>
      <c r="AH91" s="3807"/>
      <c r="AI91" s="3807"/>
      <c r="AJ91" s="3807"/>
      <c r="AK91" s="3807"/>
      <c r="AL91" s="3807"/>
      <c r="AM91" s="3807"/>
      <c r="AN91" s="3807"/>
      <c r="AO91" s="3807"/>
      <c r="AP91" s="3807"/>
      <c r="AQ91" s="3807"/>
      <c r="AR91" s="3807"/>
      <c r="AS91" s="3807"/>
      <c r="AT91" s="3807"/>
      <c r="AU91" s="3807"/>
      <c r="AV91" s="3807"/>
      <c r="AW91" s="3807"/>
      <c r="AX91" s="3807"/>
      <c r="AY91" s="3807"/>
      <c r="AZ91" s="3807"/>
      <c r="BA91" s="3807"/>
      <c r="BB91" s="3807"/>
      <c r="BC91" s="3807"/>
      <c r="BD91" s="3807"/>
      <c r="BE91" s="3807"/>
      <c r="BF91" s="3807"/>
      <c r="BG91" s="3807"/>
      <c r="BH91" s="3807"/>
      <c r="BI91" s="3807"/>
      <c r="BJ91" s="3807"/>
      <c r="BK91" s="3807"/>
      <c r="BL91" s="3807"/>
      <c r="BM91" s="3807"/>
      <c r="BN91" s="3807"/>
      <c r="BO91" s="3807"/>
      <c r="BP91" s="3807"/>
      <c r="BQ91" s="3807"/>
      <c r="BR91" s="3807"/>
      <c r="BS91" s="3807"/>
      <c r="BT91" s="3807"/>
      <c r="BU91" s="3807"/>
      <c r="BV91" s="3807"/>
      <c r="BW91" s="3807"/>
      <c r="BX91" s="3807"/>
      <c r="BY91" s="3807"/>
      <c r="BZ91" s="3807"/>
      <c r="CA91" s="3807"/>
      <c r="CB91" s="3807"/>
      <c r="CC91" s="3807"/>
      <c r="CD91" s="3807"/>
      <c r="CE91" s="3807"/>
      <c r="CF91" s="3807"/>
      <c r="CG91" s="3807"/>
      <c r="CH91" s="3807"/>
      <c r="CI91" s="3807"/>
      <c r="CJ91" s="3807"/>
      <c r="CK91" s="3807"/>
      <c r="CL91" s="3807"/>
      <c r="CM91" s="3807"/>
      <c r="CN91" s="3807"/>
      <c r="CO91" s="3807"/>
      <c r="CP91" s="3807"/>
      <c r="CQ91" s="3807"/>
      <c r="CR91" s="3807"/>
      <c r="CS91" s="3807"/>
      <c r="CT91" s="3807"/>
      <c r="CU91" s="3807"/>
      <c r="CV91" s="3807"/>
      <c r="CW91" s="3807"/>
      <c r="CX91" s="3807"/>
      <c r="CY91" s="3807"/>
      <c r="CZ91" s="3807"/>
      <c r="DA91" s="3807"/>
      <c r="DB91" s="3807"/>
      <c r="DC91" s="3807"/>
      <c r="DD91" s="3807"/>
      <c r="DE91" s="3807"/>
      <c r="DF91" s="3807"/>
      <c r="DG91" s="3807"/>
      <c r="DH91" s="3807"/>
      <c r="DI91" s="3807"/>
      <c r="DJ91" s="3807"/>
      <c r="DK91" s="3807"/>
      <c r="DL91" s="3807"/>
      <c r="DM91" s="3807"/>
      <c r="DN91" s="3807"/>
      <c r="DO91" s="3807"/>
      <c r="DP91" s="3807"/>
      <c r="DQ91" s="3807"/>
      <c r="DR91" s="3807"/>
      <c r="DS91" s="3807"/>
      <c r="DT91" s="3807"/>
      <c r="DU91" s="3807"/>
      <c r="DV91" s="3807"/>
      <c r="DW91" s="3807"/>
      <c r="DX91" s="3807"/>
      <c r="DY91" s="3807"/>
      <c r="DZ91" s="3807"/>
      <c r="EA91" s="3807"/>
      <c r="EB91" s="3807"/>
      <c r="EC91" s="3807"/>
      <c r="ED91" s="3807"/>
      <c r="EE91" s="3807"/>
      <c r="EF91" s="3807"/>
      <c r="EG91" s="3807"/>
      <c r="EH91" s="3807"/>
      <c r="EI91" s="3807"/>
      <c r="EJ91" s="3807"/>
      <c r="EK91" s="3807"/>
      <c r="EL91" s="3807"/>
      <c r="EM91" s="3807"/>
      <c r="EN91" s="3807"/>
      <c r="EO91" s="3807"/>
      <c r="EP91" s="3807"/>
      <c r="EQ91" s="3807"/>
      <c r="ER91" s="3807"/>
      <c r="ES91" s="3807"/>
      <c r="ET91" s="3807"/>
      <c r="EU91" s="3807"/>
      <c r="EV91" s="3807"/>
      <c r="EW91" s="3807"/>
      <c r="EX91" s="3807"/>
      <c r="EY91" s="3807"/>
      <c r="EZ91" s="3807"/>
      <c r="FA91" s="3807"/>
      <c r="FB91" s="3807"/>
      <c r="FC91" s="3807"/>
      <c r="FD91" s="3807"/>
      <c r="FE91" s="3807"/>
      <c r="FF91" s="3807"/>
      <c r="FG91" s="3807"/>
      <c r="FH91" s="3807"/>
      <c r="FI91" s="3807"/>
      <c r="FJ91" s="3807"/>
      <c r="FK91" s="3807"/>
      <c r="FL91" s="3807"/>
      <c r="FM91" s="3807"/>
      <c r="FN91" s="3807"/>
      <c r="FO91" s="3807"/>
      <c r="FP91" s="3807"/>
      <c r="FQ91" s="3807"/>
      <c r="FR91" s="3807"/>
      <c r="FS91" s="3807"/>
      <c r="FT91" s="3807"/>
      <c r="FU91" s="3807"/>
      <c r="FV91" s="3807"/>
      <c r="FW91" s="3807"/>
      <c r="FX91" s="3807"/>
      <c r="FY91" s="3807"/>
      <c r="FZ91" s="3807"/>
      <c r="GA91" s="3807"/>
      <c r="GB91" s="3807"/>
      <c r="GC91" s="3807"/>
      <c r="GD91" s="3807"/>
      <c r="GE91" s="3807"/>
      <c r="GF91" s="3807"/>
      <c r="GG91" s="3807"/>
      <c r="GH91" s="3807"/>
      <c r="GI91" s="3807"/>
      <c r="GJ91" s="3807"/>
      <c r="GK91" s="3807"/>
      <c r="GL91" s="3807"/>
      <c r="GM91" s="3807"/>
      <c r="GN91" s="3807"/>
      <c r="GO91" s="3807"/>
      <c r="GP91" s="3807"/>
      <c r="GQ91" s="3807"/>
      <c r="GR91" s="3807"/>
      <c r="GS91" s="3807"/>
      <c r="GT91" s="3807"/>
      <c r="GU91" s="3807"/>
      <c r="GV91" s="3807"/>
      <c r="GW91" s="3807"/>
      <c r="GX91" s="3807"/>
      <c r="GY91" s="3807"/>
      <c r="GZ91" s="3807"/>
      <c r="HA91" s="3807"/>
      <c r="HB91" s="3807"/>
      <c r="HC91" s="3807"/>
      <c r="HD91" s="3807"/>
      <c r="HE91" s="3807"/>
      <c r="HF91" s="3807"/>
      <c r="HG91" s="3807"/>
      <c r="HH91" s="3807"/>
      <c r="HI91" s="3807"/>
      <c r="HJ91" s="3807"/>
      <c r="HK91" s="3807"/>
      <c r="HL91" s="3807"/>
      <c r="HM91" s="3807"/>
      <c r="HN91" s="3807"/>
      <c r="HO91" s="3807"/>
      <c r="HP91" s="3807"/>
      <c r="HQ91" s="3807"/>
      <c r="HR91" s="3807"/>
      <c r="HS91" s="3807"/>
      <c r="HT91" s="3807"/>
      <c r="HU91" s="3807"/>
      <c r="HV91" s="3807"/>
      <c r="HW91" s="3807"/>
      <c r="HX91" s="3807"/>
      <c r="HY91" s="3807"/>
      <c r="HZ91" s="3807"/>
      <c r="IA91" s="3807"/>
      <c r="IB91" s="3807"/>
      <c r="IC91" s="3807"/>
      <c r="ID91" s="3807"/>
      <c r="IE91" s="3807"/>
      <c r="IF91" s="3807"/>
      <c r="IG91" s="3807"/>
      <c r="IH91" s="3807"/>
      <c r="II91" s="3807"/>
      <c r="IJ91" s="3807"/>
      <c r="IK91" s="3807"/>
      <c r="IL91" s="3807"/>
      <c r="IM91" s="3807"/>
      <c r="IN91" s="3807"/>
      <c r="IO91" s="3807"/>
      <c r="IP91" s="3807"/>
      <c r="IQ91" s="3807"/>
      <c r="IR91" s="3807"/>
      <c r="IS91" s="3807"/>
      <c r="IT91" s="3807"/>
      <c r="IU91" s="3807"/>
      <c r="IV91" s="3807"/>
      <c r="IW91" s="3807"/>
      <c r="IX91" s="3807"/>
      <c r="IY91" s="3807"/>
      <c r="IZ91" s="3807"/>
      <c r="JA91" s="2815"/>
      <c r="JB91" s="2815"/>
      <c r="JC91" s="3807"/>
      <c r="JD91" s="3807"/>
      <c r="JE91" s="3807"/>
      <c r="JF91" s="3807"/>
      <c r="JG91" s="1591"/>
      <c r="JH91" s="1361"/>
      <c r="JI91" s="2062" t="s">
        <v>5384</v>
      </c>
      <c r="JJ91" s="2061" t="s">
        <v>6111</v>
      </c>
    </row>
    <row r="92" spans="1:270" x14ac:dyDescent="0.2">
      <c r="A92" s="1128">
        <v>30</v>
      </c>
      <c r="B92" s="1285" t="str">
        <f si="5" t="shared"/>
        <v/>
      </c>
      <c r="C92" s="1604" t="s">
        <v>2830</v>
      </c>
      <c r="D92" s="1606" t="s">
        <v>4998</v>
      </c>
      <c r="E92" s="1588"/>
      <c r="F92" s="1588"/>
      <c r="G92" s="1588"/>
      <c r="H92" s="1351"/>
      <c r="I92" s="1351"/>
      <c r="J92" s="1351"/>
      <c r="K92" s="1351"/>
      <c r="L92" s="1351"/>
      <c r="M92" s="1351"/>
      <c r="N92" s="1351"/>
      <c r="O92" s="1902"/>
      <c r="P92" s="2045"/>
      <c r="Q92" s="2045"/>
      <c r="R92" s="2045"/>
      <c r="S92" s="2045"/>
      <c r="T92" s="3807"/>
      <c r="U92" s="3807"/>
      <c r="V92" s="3807"/>
      <c r="W92" s="3807"/>
      <c r="X92" s="3807"/>
      <c r="Y92" s="3807"/>
      <c r="Z92" s="3807"/>
      <c r="AA92" s="3807"/>
      <c r="AB92" s="3807"/>
      <c r="AC92" s="3807"/>
      <c r="AD92" s="3807"/>
      <c r="AE92" s="3807"/>
      <c r="AF92" s="3807"/>
      <c r="AG92" s="3807"/>
      <c r="AH92" s="3807"/>
      <c r="AI92" s="3807"/>
      <c r="AJ92" s="3807"/>
      <c r="AK92" s="3807"/>
      <c r="AL92" s="3807"/>
      <c r="AM92" s="3807"/>
      <c r="AN92" s="3807"/>
      <c r="AO92" s="3807"/>
      <c r="AP92" s="3807"/>
      <c r="AQ92" s="3807"/>
      <c r="AR92" s="3807"/>
      <c r="AS92" s="3807"/>
      <c r="AT92" s="3807"/>
      <c r="AU92" s="3807"/>
      <c r="AV92" s="3807"/>
      <c r="AW92" s="3807"/>
      <c r="AX92" s="3807"/>
      <c r="AY92" s="3807"/>
      <c r="AZ92" s="3807"/>
      <c r="BA92" s="3807"/>
      <c r="BB92" s="3807"/>
      <c r="BC92" s="3807"/>
      <c r="BD92" s="3807"/>
      <c r="BE92" s="3807"/>
      <c r="BF92" s="3807"/>
      <c r="BG92" s="3807"/>
      <c r="BH92" s="3807"/>
      <c r="BI92" s="3807"/>
      <c r="BJ92" s="3807"/>
      <c r="BK92" s="3807" t="str">
        <f>"06/10/"&amp;Tax_year_start-7</f>
        <v>06/10/2012</v>
      </c>
      <c r="BL92" s="3807"/>
      <c r="BM92" s="3807"/>
      <c r="BN92" s="3807"/>
      <c r="BO92" s="3807"/>
      <c r="BP92" s="3807"/>
      <c r="BQ92" s="3807"/>
      <c r="BR92" s="3807"/>
      <c r="BS92" s="3807"/>
      <c r="BT92" s="3807"/>
      <c r="BU92" s="3807"/>
      <c r="BV92" s="3807"/>
      <c r="BW92" s="3807"/>
      <c r="BX92" s="3807"/>
      <c r="BY92" s="3807"/>
      <c r="BZ92" s="3807"/>
      <c r="CA92" s="3807"/>
      <c r="CB92" s="3807"/>
      <c r="CC92" s="3807"/>
      <c r="CD92" s="3807"/>
      <c r="CE92" s="3807"/>
      <c r="CF92" s="3807"/>
      <c r="CG92" s="3807"/>
      <c r="CH92" s="3807"/>
      <c r="CI92" s="3807"/>
      <c r="CJ92" s="3807"/>
      <c r="CK92" s="3807"/>
      <c r="CL92" s="3807"/>
      <c r="CM92" s="3807"/>
      <c r="CN92" s="3807"/>
      <c r="CO92" s="3807"/>
      <c r="CP92" s="3807"/>
      <c r="CQ92" s="3807"/>
      <c r="CR92" s="3807"/>
      <c r="CS92" s="3807"/>
      <c r="CT92" s="3807"/>
      <c r="CU92" s="3807"/>
      <c r="CV92" s="3807"/>
      <c r="CW92" s="3807"/>
      <c r="CX92" s="3807"/>
      <c r="CY92" s="3807"/>
      <c r="CZ92" s="3807"/>
      <c r="DA92" s="3807"/>
      <c r="DB92" s="3807"/>
      <c r="DC92" s="3807"/>
      <c r="DD92" s="3807"/>
      <c r="DE92" s="3807"/>
      <c r="DF92" s="3807"/>
      <c r="DG92" s="3807"/>
      <c r="DH92" s="3807"/>
      <c r="DI92" s="3807"/>
      <c r="DJ92" s="3807"/>
      <c r="DK92" s="3807"/>
      <c r="DL92" s="3807"/>
      <c r="DM92" s="3807"/>
      <c r="DN92" s="3807"/>
      <c r="DO92" s="3807"/>
      <c r="DP92" s="3807"/>
      <c r="DQ92" s="3807"/>
      <c r="DR92" s="3807"/>
      <c r="DS92" s="3807"/>
      <c r="DT92" s="3807"/>
      <c r="DU92" s="3807"/>
      <c r="DV92" s="3807"/>
      <c r="DW92" s="3807"/>
      <c r="DX92" s="3807"/>
      <c r="DY92" s="3807"/>
      <c r="DZ92" s="3807"/>
      <c r="EA92" s="3807"/>
      <c r="EB92" s="3807"/>
      <c r="EC92" s="3807"/>
      <c r="ED92" s="3807"/>
      <c r="EE92" s="3807"/>
      <c r="EF92" s="3807"/>
      <c r="EG92" s="3807"/>
      <c r="EH92" s="3807"/>
      <c r="EI92" s="3807"/>
      <c r="EJ92" s="3807"/>
      <c r="EK92" s="3807"/>
      <c r="EL92" s="3807"/>
      <c r="EM92" s="3807"/>
      <c r="EN92" s="3807"/>
      <c r="EO92" s="3807"/>
      <c r="EP92" s="3807"/>
      <c r="EQ92" s="3807"/>
      <c r="ER92" s="3807"/>
      <c r="ES92" s="3807"/>
      <c r="ET92" s="3807"/>
      <c r="EU92" s="3807"/>
      <c r="EV92" s="3807"/>
      <c r="EW92" s="3807"/>
      <c r="EX92" s="3807"/>
      <c r="EY92" s="3807"/>
      <c r="EZ92" s="3807"/>
      <c r="FA92" s="3807"/>
      <c r="FB92" s="3807"/>
      <c r="FC92" s="3807"/>
      <c r="FD92" s="3807"/>
      <c r="FE92" s="3807"/>
      <c r="FF92" s="3807"/>
      <c r="FG92" s="3807"/>
      <c r="FH92" s="3807"/>
      <c r="FI92" s="3807"/>
      <c r="FJ92" s="3807"/>
      <c r="FK92" s="3807"/>
      <c r="FL92" s="3807"/>
      <c r="FM92" s="3807"/>
      <c r="FN92" s="3807"/>
      <c r="FO92" s="3807"/>
      <c r="FP92" s="3807"/>
      <c r="FQ92" s="3807"/>
      <c r="FR92" s="3807"/>
      <c r="FS92" s="3807"/>
      <c r="FT92" s="3807"/>
      <c r="FU92" s="3807"/>
      <c r="FV92" s="3807"/>
      <c r="FW92" s="3807"/>
      <c r="FX92" s="3807"/>
      <c r="FY92" s="3807"/>
      <c r="FZ92" s="3807"/>
      <c r="GA92" s="3807"/>
      <c r="GB92" s="3807"/>
      <c r="GC92" s="3807"/>
      <c r="GD92" s="3807"/>
      <c r="GE92" s="3807"/>
      <c r="GF92" s="3807"/>
      <c r="GG92" s="3807"/>
      <c r="GH92" s="3807"/>
      <c r="GI92" s="3807"/>
      <c r="GJ92" s="3807"/>
      <c r="GK92" s="3807"/>
      <c r="GL92" s="3807"/>
      <c r="GM92" s="3807"/>
      <c r="GN92" s="3807"/>
      <c r="GO92" s="3807"/>
      <c r="GP92" s="3807"/>
      <c r="GQ92" s="3807"/>
      <c r="GR92" s="3807"/>
      <c r="GS92" s="3807"/>
      <c r="GT92" s="3807"/>
      <c r="GU92" s="3807"/>
      <c r="GV92" s="3807"/>
      <c r="GW92" s="3807"/>
      <c r="GX92" s="3807"/>
      <c r="GY92" s="3807"/>
      <c r="GZ92" s="3807"/>
      <c r="HA92" s="3807"/>
      <c r="HB92" s="3807"/>
      <c r="HC92" s="3807"/>
      <c r="HD92" s="3807"/>
      <c r="HE92" s="3807"/>
      <c r="HF92" s="3807"/>
      <c r="HG92" s="3807"/>
      <c r="HH92" s="3807"/>
      <c r="HI92" s="3807"/>
      <c r="HJ92" s="3807"/>
      <c r="HK92" s="3807"/>
      <c r="HL92" s="3807"/>
      <c r="HM92" s="3807"/>
      <c r="HN92" s="3807"/>
      <c r="HO92" s="3807"/>
      <c r="HP92" s="3807"/>
      <c r="HQ92" s="3807"/>
      <c r="HR92" s="3807"/>
      <c r="HS92" s="3807"/>
      <c r="HT92" s="3807"/>
      <c r="HU92" s="3807"/>
      <c r="HV92" s="3807"/>
      <c r="HW92" s="3807"/>
      <c r="HX92" s="3807"/>
      <c r="HY92" s="3807"/>
      <c r="HZ92" s="3807"/>
      <c r="IA92" s="3807"/>
      <c r="IB92" s="3807"/>
      <c r="IC92" s="3807"/>
      <c r="ID92" s="3807"/>
      <c r="IE92" s="3807"/>
      <c r="IF92" s="3807"/>
      <c r="IG92" s="3807"/>
      <c r="IH92" s="3807"/>
      <c r="II92" s="3807"/>
      <c r="IJ92" s="3807"/>
      <c r="IK92" s="3807"/>
      <c r="IL92" s="3807"/>
      <c r="IM92" s="3807"/>
      <c r="IN92" s="3807"/>
      <c r="IO92" s="3807"/>
      <c r="IP92" s="3807"/>
      <c r="IQ92" s="3807"/>
      <c r="IR92" s="3807" t="str">
        <f>"06/10/"&amp;Tax_year_start-7</f>
        <v>06/10/2012</v>
      </c>
      <c r="IS92" s="3807"/>
      <c r="IT92" s="3807"/>
      <c r="IU92" s="3807"/>
      <c r="IV92" s="3807"/>
      <c r="IW92" s="3980" t="str">
        <f>"06/10/"&amp;Tax_year_start-45</f>
        <v>06/10/1974</v>
      </c>
      <c r="IX92" s="3807"/>
      <c r="IY92" s="3807"/>
      <c r="IZ92" s="3807"/>
      <c r="JA92" s="2815"/>
      <c r="JB92" s="2815"/>
      <c r="JC92" s="3807"/>
      <c r="JD92" s="3807"/>
      <c r="JE92" s="3807"/>
      <c r="JF92" s="3807"/>
      <c r="JG92" s="1591"/>
      <c r="JH92" s="1361"/>
      <c r="JI92" s="2062" t="s">
        <v>5385</v>
      </c>
      <c r="JJ92" s="2061" t="s">
        <v>6126</v>
      </c>
    </row>
    <row ht="22.5" r="93" spans="1:270" x14ac:dyDescent="0.2">
      <c r="A93" s="1128">
        <v>31</v>
      </c>
      <c r="B93" s="1285" t="str">
        <f si="5" t="shared"/>
        <v/>
      </c>
      <c r="C93" s="1604" t="s">
        <v>2831</v>
      </c>
      <c r="D93" s="1606" t="s">
        <v>4999</v>
      </c>
      <c r="E93" s="1588" t="s">
        <v>1189</v>
      </c>
      <c r="F93" s="1588" t="s">
        <v>1189</v>
      </c>
      <c r="G93" s="1588" t="s">
        <v>1189</v>
      </c>
      <c r="H93" s="1351" t="s">
        <v>1189</v>
      </c>
      <c r="I93" s="1351" t="s">
        <v>1189</v>
      </c>
      <c r="J93" s="1351" t="s">
        <v>1189</v>
      </c>
      <c r="K93" s="1605" t="s">
        <v>572</v>
      </c>
      <c r="L93" s="1351" t="s">
        <v>1189</v>
      </c>
      <c r="M93" s="1351" t="s">
        <v>1189</v>
      </c>
      <c r="N93" s="1351" t="s">
        <v>1189</v>
      </c>
      <c r="O93" s="1902"/>
      <c r="P93" s="2045"/>
      <c r="Q93" s="2045"/>
      <c r="R93" s="2045"/>
      <c r="S93" s="2045"/>
      <c r="T93" s="3807"/>
      <c r="U93" s="3807"/>
      <c r="V93" s="3807"/>
      <c r="W93" s="3807"/>
      <c r="X93" s="3807"/>
      <c r="Y93" s="3807"/>
      <c r="Z93" s="3807"/>
      <c r="AA93" s="3807"/>
      <c r="AB93" s="3807"/>
      <c r="AC93" s="3807"/>
      <c r="AD93" s="3807"/>
      <c r="AE93" s="3807"/>
      <c r="AF93" s="3807"/>
      <c r="AG93" s="3807"/>
      <c r="AH93" s="3807"/>
      <c r="AI93" s="3807"/>
      <c r="AJ93" s="3807"/>
      <c r="AK93" s="3807"/>
      <c r="AL93" s="3807"/>
      <c r="AM93" s="3807"/>
      <c r="AN93" s="3807"/>
      <c r="AO93" s="3807"/>
      <c r="AP93" s="3807"/>
      <c r="AQ93" s="3807"/>
      <c r="AR93" s="3807"/>
      <c r="AS93" s="3807"/>
      <c r="AT93" s="3807"/>
      <c r="AU93" s="3807"/>
      <c r="AV93" s="3807"/>
      <c r="AW93" s="3807"/>
      <c r="AX93" s="3807"/>
      <c r="AY93" s="3807"/>
      <c r="AZ93" s="3807"/>
      <c r="BA93" s="3807"/>
      <c r="BB93" s="3807"/>
      <c r="BC93" s="3807"/>
      <c r="BD93" s="3807"/>
      <c r="BE93" s="3807"/>
      <c r="BF93" s="3807"/>
      <c r="BG93" s="3807"/>
      <c r="BH93" s="3807"/>
      <c r="BI93" s="3807"/>
      <c r="BJ93" s="3807"/>
      <c r="BK93" s="3829" t="s">
        <v>1189</v>
      </c>
      <c r="BL93" s="3807"/>
      <c r="BM93" s="3807"/>
      <c r="BN93" s="3807"/>
      <c r="BO93" s="3807"/>
      <c r="BP93" s="3807"/>
      <c r="BQ93" s="3807"/>
      <c r="BR93" s="3807"/>
      <c r="BS93" s="3807"/>
      <c r="BT93" s="3807"/>
      <c r="BU93" s="3807"/>
      <c r="BV93" s="3807"/>
      <c r="BW93" s="3807"/>
      <c r="BX93" s="3807"/>
      <c r="BY93" s="3807"/>
      <c r="BZ93" s="3807"/>
      <c r="CA93" s="3807"/>
      <c r="CB93" s="3807"/>
      <c r="CC93" s="3807"/>
      <c r="CD93" s="3807"/>
      <c r="CE93" s="3807"/>
      <c r="CF93" s="3807"/>
      <c r="CG93" s="3807"/>
      <c r="CH93" s="3807"/>
      <c r="CI93" s="3807"/>
      <c r="CJ93" s="3807"/>
      <c r="CK93" s="3807"/>
      <c r="CL93" s="3807"/>
      <c r="CM93" s="3807"/>
      <c r="CN93" s="3807"/>
      <c r="CO93" s="3807"/>
      <c r="CP93" s="3807"/>
      <c r="CQ93" s="3807"/>
      <c r="CR93" s="3807"/>
      <c r="CS93" s="3807"/>
      <c r="CT93" s="3807"/>
      <c r="CU93" s="3807"/>
      <c r="CV93" s="3807"/>
      <c r="CW93" s="3807"/>
      <c r="CX93" s="3807"/>
      <c r="CY93" s="3807"/>
      <c r="CZ93" s="3807"/>
      <c r="DA93" s="3807"/>
      <c r="DB93" s="3807"/>
      <c r="DC93" s="3807"/>
      <c r="DD93" s="3807"/>
      <c r="DE93" s="3807"/>
      <c r="DF93" s="3807"/>
      <c r="DG93" s="3807"/>
      <c r="DH93" s="3807"/>
      <c r="DI93" s="3807"/>
      <c r="DJ93" s="3807"/>
      <c r="DK93" s="3807"/>
      <c r="DL93" s="3807"/>
      <c r="DM93" s="3807"/>
      <c r="DN93" s="3807"/>
      <c r="DO93" s="3807"/>
      <c r="DP93" s="3807"/>
      <c r="DQ93" s="3807"/>
      <c r="DR93" s="3807"/>
      <c r="DS93" s="3807"/>
      <c r="DT93" s="3807"/>
      <c r="DU93" s="3807"/>
      <c r="DV93" s="3807"/>
      <c r="DW93" s="3807"/>
      <c r="DX93" s="3807"/>
      <c r="DY93" s="3807"/>
      <c r="DZ93" s="3807"/>
      <c r="EA93" s="3807"/>
      <c r="EB93" s="3807"/>
      <c r="EC93" s="3807"/>
      <c r="ED93" s="3807"/>
      <c r="EE93" s="3807"/>
      <c r="EF93" s="3807"/>
      <c r="EG93" s="3807"/>
      <c r="EH93" s="3807"/>
      <c r="EI93" s="3807"/>
      <c r="EJ93" s="3807"/>
      <c r="EK93" s="3807"/>
      <c r="EL93" s="3807"/>
      <c r="EM93" s="3807"/>
      <c r="EN93" s="3807"/>
      <c r="EO93" s="3807"/>
      <c r="EP93" s="3807"/>
      <c r="EQ93" s="3807"/>
      <c r="ER93" s="3807"/>
      <c r="ES93" s="3807"/>
      <c r="ET93" s="3807"/>
      <c r="EU93" s="3807"/>
      <c r="EV93" s="3807"/>
      <c r="EW93" s="3807"/>
      <c r="EX93" s="3807"/>
      <c r="EY93" s="3807"/>
      <c r="EZ93" s="3807"/>
      <c r="FA93" s="3807"/>
      <c r="FB93" s="3807"/>
      <c r="FC93" s="3807"/>
      <c r="FD93" s="3807"/>
      <c r="FE93" s="3807"/>
      <c r="FF93" s="3807"/>
      <c r="FG93" s="3807"/>
      <c r="FH93" s="3807"/>
      <c r="FI93" s="3807"/>
      <c r="FJ93" s="3807"/>
      <c r="FK93" s="3807"/>
      <c r="FL93" s="3807"/>
      <c r="FM93" s="3807"/>
      <c r="FN93" s="3807"/>
      <c r="FO93" s="3807"/>
      <c r="FP93" s="3807"/>
      <c r="FQ93" s="3807"/>
      <c r="FR93" s="3807"/>
      <c r="FS93" s="3807"/>
      <c r="FT93" s="3807"/>
      <c r="FU93" s="3807"/>
      <c r="FV93" s="3807"/>
      <c r="FW93" s="3807"/>
      <c r="FX93" s="3807"/>
      <c r="FY93" s="3807"/>
      <c r="FZ93" s="3807"/>
      <c r="GA93" s="3807"/>
      <c r="GB93" s="3807"/>
      <c r="GC93" s="3807"/>
      <c r="GD93" s="3807"/>
      <c r="GE93" s="3807"/>
      <c r="GF93" s="3807"/>
      <c r="GG93" s="3807"/>
      <c r="GH93" s="3807"/>
      <c r="GI93" s="3807"/>
      <c r="GJ93" s="3807"/>
      <c r="GK93" s="3807"/>
      <c r="GL93" s="3807"/>
      <c r="GM93" s="3807"/>
      <c r="GN93" s="3807"/>
      <c r="GO93" s="3807"/>
      <c r="GP93" s="3807"/>
      <c r="GQ93" s="3807"/>
      <c r="GR93" s="3807"/>
      <c r="GS93" s="3807"/>
      <c r="GT93" s="3807"/>
      <c r="GU93" s="3807"/>
      <c r="GV93" s="3807"/>
      <c r="GW93" s="3807"/>
      <c r="GX93" s="3807"/>
      <c r="GY93" s="3807"/>
      <c r="GZ93" s="3807"/>
      <c r="HA93" s="3807"/>
      <c r="HB93" s="3807"/>
      <c r="HC93" s="3807"/>
      <c r="HD93" s="3807"/>
      <c r="HE93" s="3807"/>
      <c r="HF93" s="3807"/>
      <c r="HG93" s="3807"/>
      <c r="HH93" s="3807"/>
      <c r="HI93" s="3807"/>
      <c r="HJ93" s="3807"/>
      <c r="HK93" s="3807"/>
      <c r="HL93" s="3807"/>
      <c r="HM93" s="3807"/>
      <c r="HN93" s="3807"/>
      <c r="HO93" s="3807"/>
      <c r="HP93" s="3807"/>
      <c r="HQ93" s="3807"/>
      <c r="HR93" s="3807"/>
      <c r="HS93" s="3807"/>
      <c r="HT93" s="3807"/>
      <c r="HU93" s="3807"/>
      <c r="HV93" s="3807"/>
      <c r="HW93" s="3807"/>
      <c r="HX93" s="3807"/>
      <c r="HY93" s="3807"/>
      <c r="HZ93" s="3807"/>
      <c r="IA93" s="3807"/>
      <c r="IB93" s="3807"/>
      <c r="IC93" s="3807"/>
      <c r="ID93" s="3807"/>
      <c r="IE93" s="3807"/>
      <c r="IF93" s="3807"/>
      <c r="IG93" s="3807"/>
      <c r="IH93" s="3807"/>
      <c r="II93" s="3807"/>
      <c r="IJ93" s="3807"/>
      <c r="IK93" s="3807"/>
      <c r="IL93" s="3807"/>
      <c r="IM93" s="3807"/>
      <c r="IN93" s="3807"/>
      <c r="IO93" s="3807"/>
      <c r="IP93" s="3807"/>
      <c r="IQ93" s="3807"/>
      <c r="IR93" s="3829" t="s">
        <v>1189</v>
      </c>
      <c r="IS93" s="3807"/>
      <c r="IT93" s="3807"/>
      <c r="IU93" s="3807"/>
      <c r="IV93" s="3807"/>
      <c r="IW93" s="3807"/>
      <c r="IX93" s="3807"/>
      <c r="IY93" s="3807"/>
      <c r="IZ93" s="3807"/>
      <c r="JA93" s="2815"/>
      <c r="JB93" s="2815"/>
      <c r="JC93" s="3807"/>
      <c r="JD93" s="3807"/>
      <c r="JE93" s="3807"/>
      <c r="JF93" s="3807"/>
      <c r="JG93" s="1591"/>
      <c r="JH93" s="1361"/>
      <c r="JI93" s="2062" t="s">
        <v>5386</v>
      </c>
      <c r="JJ93" s="2061" t="s">
        <v>6111</v>
      </c>
    </row>
    <row ht="22.5" r="94" spans="1:270" x14ac:dyDescent="0.2">
      <c r="A94" s="1128">
        <v>32</v>
      </c>
      <c r="B94" s="1285" t="str">
        <f si="5" t="shared"/>
        <v/>
      </c>
      <c r="C94" s="1604" t="s">
        <v>1033</v>
      </c>
      <c r="D94" s="1606" t="s">
        <v>4944</v>
      </c>
      <c r="E94" s="1377"/>
      <c r="F94" s="1377"/>
      <c r="G94" s="1592" t="str">
        <f>"22/12/"&amp;Tax_year_start-6</f>
        <v>22/12/2013</v>
      </c>
      <c r="H94" s="1592" t="str">
        <f>"12/04/"&amp;Tax_year_start-6</f>
        <v>12/04/2013</v>
      </c>
      <c r="I94" s="1592" t="str">
        <f>"17/06/"&amp;Tax_year_start-13</f>
        <v>17/06/2006</v>
      </c>
      <c r="J94" s="1607" t="str">
        <f>"02/02/"&amp;Tax_year_start-3</f>
        <v>02/02/2016</v>
      </c>
      <c r="K94" s="1374"/>
      <c r="L94" s="1592" t="str">
        <f>"12/04/"&amp;Tax_year_start-10</f>
        <v>12/04/2009</v>
      </c>
      <c r="M94" s="1592" t="str">
        <f>"12/04/"&amp;Tax_year_start-15</f>
        <v>12/04/2004</v>
      </c>
      <c r="N94" s="1592" t="str">
        <f>"12/04/"&amp;Tax_year_start-21</f>
        <v>12/04/1998</v>
      </c>
      <c r="O94" s="1903"/>
      <c r="P94" s="2046"/>
      <c r="Q94" s="2046"/>
      <c r="R94" s="2046"/>
      <c r="S94" s="2046"/>
      <c r="T94" s="3921"/>
      <c r="U94" s="3921"/>
      <c r="V94" s="3921"/>
      <c r="W94" s="3921"/>
      <c r="X94" s="3921"/>
      <c r="Y94" s="3921"/>
      <c r="Z94" s="3921"/>
      <c r="AA94" s="3921"/>
      <c r="AB94" s="3921"/>
      <c r="AC94" s="3921"/>
      <c r="AD94" s="3921"/>
      <c r="AE94" s="3921"/>
      <c r="AF94" s="3921"/>
      <c r="AG94" s="3921"/>
      <c r="AH94" s="3921"/>
      <c r="AI94" s="3921"/>
      <c r="AJ94" s="3921"/>
      <c r="AK94" s="3921"/>
      <c r="AL94" s="3921"/>
      <c r="AM94" s="3921"/>
      <c r="AN94" s="3921"/>
      <c r="AO94" s="3921"/>
      <c r="AP94" s="3921"/>
      <c r="AQ94" s="3921"/>
      <c r="AR94" s="3921"/>
      <c r="AS94" s="3921"/>
      <c r="AT94" s="3921"/>
      <c r="AU94" s="3921"/>
      <c r="AV94" s="3921"/>
      <c r="AW94" s="3921"/>
      <c r="AX94" s="3921"/>
      <c r="AY94" s="3921"/>
      <c r="AZ94" s="3921"/>
      <c r="BA94" s="3921"/>
      <c r="BB94" s="3921"/>
      <c r="BC94" s="3921"/>
      <c r="BD94" s="3921"/>
      <c r="BE94" s="3921"/>
      <c r="BF94" s="3921"/>
      <c r="BG94" s="3921"/>
      <c r="BH94" s="3921"/>
      <c r="BI94" s="3921"/>
      <c r="BJ94" s="3921"/>
      <c r="BK94" s="3921"/>
      <c r="BL94" s="3921"/>
      <c r="BM94" s="3921"/>
      <c r="BN94" s="3921"/>
      <c r="BO94" s="3921"/>
      <c r="BP94" s="3921"/>
      <c r="BQ94" s="3921"/>
      <c r="BR94" s="3921"/>
      <c r="BS94" s="3921"/>
      <c r="BT94" s="3921"/>
      <c r="BU94" s="3921"/>
      <c r="BV94" s="3921"/>
      <c r="BW94" s="3921"/>
      <c r="BX94" s="3921"/>
      <c r="BY94" s="3921"/>
      <c r="BZ94" s="3921"/>
      <c r="CA94" s="3921"/>
      <c r="CB94" s="3921"/>
      <c r="CC94" s="3921"/>
      <c r="CD94" s="3921"/>
      <c r="CE94" s="3921"/>
      <c r="CF94" s="3921"/>
      <c r="CG94" s="3921"/>
      <c r="CH94" s="3921"/>
      <c r="CI94" s="3921"/>
      <c r="CJ94" s="3921"/>
      <c r="CK94" s="3921"/>
      <c r="CL94" s="3921"/>
      <c r="CM94" s="3921"/>
      <c r="CN94" s="3921"/>
      <c r="CO94" s="3921"/>
      <c r="CP94" s="3921"/>
      <c r="CQ94" s="3921"/>
      <c r="CR94" s="3921"/>
      <c r="CS94" s="3921"/>
      <c r="CT94" s="3921"/>
      <c r="CU94" s="3921"/>
      <c r="CV94" s="3921"/>
      <c r="CW94" s="3921"/>
      <c r="CX94" s="3921"/>
      <c r="CY94" s="3921"/>
      <c r="CZ94" s="3921"/>
      <c r="DA94" s="3921"/>
      <c r="DB94" s="3921"/>
      <c r="DC94" s="3921"/>
      <c r="DD94" s="3921"/>
      <c r="DE94" s="3921"/>
      <c r="DF94" s="3921"/>
      <c r="DG94" s="3921"/>
      <c r="DH94" s="3921"/>
      <c r="DI94" s="3921"/>
      <c r="DJ94" s="3921"/>
      <c r="DK94" s="3921"/>
      <c r="DL94" s="3921"/>
      <c r="DM94" s="3921"/>
      <c r="DN94" s="3921"/>
      <c r="DO94" s="3921"/>
      <c r="DP94" s="3921"/>
      <c r="DQ94" s="3921"/>
      <c r="DR94" s="3921"/>
      <c r="DS94" s="3921"/>
      <c r="DT94" s="3921"/>
      <c r="DU94" s="3921"/>
      <c r="DV94" s="3921"/>
      <c r="DW94" s="3921"/>
      <c r="DX94" s="3921"/>
      <c r="DY94" s="3921"/>
      <c r="DZ94" s="3921"/>
      <c r="EA94" s="3921"/>
      <c r="EB94" s="3921"/>
      <c r="EC94" s="3921"/>
      <c r="ED94" s="3921"/>
      <c r="EE94" s="3921"/>
      <c r="EF94" s="3921"/>
      <c r="EG94" s="3921"/>
      <c r="EH94" s="3921"/>
      <c r="EI94" s="3921"/>
      <c r="EJ94" s="3921"/>
      <c r="EK94" s="3921"/>
      <c r="EL94" s="3921"/>
      <c r="EM94" s="3921"/>
      <c r="EN94" s="3921"/>
      <c r="EO94" s="3921"/>
      <c r="EP94" s="3921"/>
      <c r="EQ94" s="3921"/>
      <c r="ER94" s="3921"/>
      <c r="ES94" s="3921"/>
      <c r="ET94" s="3921"/>
      <c r="EU94" s="3921"/>
      <c r="EV94" s="3921"/>
      <c r="EW94" s="3921"/>
      <c r="EX94" s="3921"/>
      <c r="EY94" s="3921"/>
      <c r="EZ94" s="3921"/>
      <c r="FA94" s="3921"/>
      <c r="FB94" s="3921"/>
      <c r="FC94" s="3921"/>
      <c r="FD94" s="3921"/>
      <c r="FE94" s="3921"/>
      <c r="FF94" s="3921"/>
      <c r="FG94" s="3921"/>
      <c r="FH94" s="3921"/>
      <c r="FI94" s="3921"/>
      <c r="FJ94" s="3921"/>
      <c r="FK94" s="3921"/>
      <c r="FL94" s="3921"/>
      <c r="FM94" s="3921"/>
      <c r="FN94" s="3921"/>
      <c r="FO94" s="3921"/>
      <c r="FP94" s="3921"/>
      <c r="FQ94" s="3921"/>
      <c r="FR94" s="3921"/>
      <c r="FS94" s="3921"/>
      <c r="FT94" s="3921"/>
      <c r="FU94" s="3921"/>
      <c r="FV94" s="3921"/>
      <c r="FW94" s="3921"/>
      <c r="FX94" s="3921"/>
      <c r="FY94" s="3921"/>
      <c r="FZ94" s="3921"/>
      <c r="GA94" s="3921"/>
      <c r="GB94" s="3921"/>
      <c r="GC94" s="3921"/>
      <c r="GD94" s="3921"/>
      <c r="GE94" s="3921"/>
      <c r="GF94" s="3921"/>
      <c r="GG94" s="3921"/>
      <c r="GH94" s="3921"/>
      <c r="GI94" s="3921"/>
      <c r="GJ94" s="3921"/>
      <c r="GK94" s="3921"/>
      <c r="GL94" s="3921"/>
      <c r="GM94" s="3921"/>
      <c r="GN94" s="3921"/>
      <c r="GO94" s="3921"/>
      <c r="GP94" s="3921"/>
      <c r="GQ94" s="3921"/>
      <c r="GR94" s="3921"/>
      <c r="GS94" s="3921"/>
      <c r="GT94" s="3921"/>
      <c r="GU94" s="3921"/>
      <c r="GV94" s="3921"/>
      <c r="GW94" s="3921"/>
      <c r="GX94" s="3921"/>
      <c r="GY94" s="3921"/>
      <c r="GZ94" s="3921"/>
      <c r="HA94" s="3921"/>
      <c r="HB94" s="3921"/>
      <c r="HC94" s="3921"/>
      <c r="HD94" s="3921"/>
      <c r="HE94" s="3921"/>
      <c r="HF94" s="3921"/>
      <c r="HG94" s="3921"/>
      <c r="HH94" s="3921"/>
      <c r="HI94" s="3921"/>
      <c r="HJ94" s="3921"/>
      <c r="HK94" s="3921"/>
      <c r="HL94" s="3921"/>
      <c r="HM94" s="3921"/>
      <c r="HN94" s="3921"/>
      <c r="HO94" s="3921"/>
      <c r="HP94" s="3921"/>
      <c r="HQ94" s="3921"/>
      <c r="HR94" s="3921"/>
      <c r="HS94" s="3921"/>
      <c r="HT94" s="3921"/>
      <c r="HU94" s="3921"/>
      <c r="HV94" s="3921"/>
      <c r="HW94" s="3921"/>
      <c r="HX94" s="3921"/>
      <c r="HY94" s="3921"/>
      <c r="HZ94" s="3921"/>
      <c r="IA94" s="3921"/>
      <c r="IB94" s="3921"/>
      <c r="IC94" s="3921"/>
      <c r="ID94" s="3921"/>
      <c r="IE94" s="3921"/>
      <c r="IF94" s="3921"/>
      <c r="IG94" s="3921"/>
      <c r="IH94" s="3921"/>
      <c r="II94" s="3921"/>
      <c r="IJ94" s="3921"/>
      <c r="IK94" s="3921"/>
      <c r="IL94" s="3921"/>
      <c r="IM94" s="3921"/>
      <c r="IN94" s="3921"/>
      <c r="IO94" s="3921"/>
      <c r="IP94" s="3921"/>
      <c r="IQ94" s="3921"/>
      <c r="IR94" s="3921"/>
      <c r="IS94" s="3921"/>
      <c r="IT94" s="3921"/>
      <c r="IU94" s="3921"/>
      <c r="IV94" s="3921"/>
      <c r="IW94" s="3921"/>
      <c r="IX94" s="3921"/>
      <c r="IY94" s="3921"/>
      <c r="IZ94" s="3921"/>
      <c r="JA94" s="3831"/>
      <c r="JB94" s="3831"/>
      <c r="JC94" s="3921"/>
      <c r="JD94" s="3921"/>
      <c r="JE94" s="3921"/>
      <c r="JF94" s="3921"/>
      <c r="JG94" s="1593"/>
      <c r="JH94" s="1362"/>
      <c r="JI94" s="2062" t="s">
        <v>5387</v>
      </c>
      <c r="JJ94" s="2063" t="s">
        <v>6126</v>
      </c>
    </row>
    <row ht="22.5" r="95" spans="1:270" x14ac:dyDescent="0.2">
      <c r="A95" s="1128">
        <v>33</v>
      </c>
      <c r="B95" s="1285" t="str">
        <f si="5" t="shared"/>
        <v/>
      </c>
      <c r="C95" s="1585" t="s">
        <v>1034</v>
      </c>
      <c r="D95" s="1372" t="str">
        <f>"If you are making a claim for the remittance basis for "&amp;tax_year&amp;", put ‘X’ in the box"</f>
        <v>If you are making a claim for the remittance basis for 2019-20, put ‘X’ in the box</v>
      </c>
      <c r="E95" s="1588" t="s">
        <v>1189</v>
      </c>
      <c r="F95" s="1588" t="s">
        <v>1189</v>
      </c>
      <c r="G95" s="1597" t="s">
        <v>572</v>
      </c>
      <c r="H95" s="1533" t="s">
        <v>572</v>
      </c>
      <c r="I95" s="1533" t="s">
        <v>572</v>
      </c>
      <c r="J95" s="1588" t="s">
        <v>1189</v>
      </c>
      <c r="K95" s="1605" t="s">
        <v>572</v>
      </c>
      <c r="L95" s="1533" t="s">
        <v>572</v>
      </c>
      <c r="M95" s="1533" t="s">
        <v>572</v>
      </c>
      <c r="N95" s="2918" t="s">
        <v>1189</v>
      </c>
      <c r="O95" s="1905"/>
      <c r="P95" s="2010"/>
      <c r="Q95" s="2010"/>
      <c r="R95" s="2010"/>
      <c r="S95" s="2010"/>
      <c r="T95" s="2384"/>
      <c r="U95" s="2384"/>
      <c r="V95" s="2384"/>
      <c r="W95" s="2384"/>
      <c r="X95" s="2384"/>
      <c r="Y95" s="2384"/>
      <c r="Z95" s="2384"/>
      <c r="AA95" s="2384"/>
      <c r="AB95" s="2384"/>
      <c r="AC95" s="2384"/>
      <c r="AD95" s="2384"/>
      <c r="AE95" s="2384"/>
      <c r="AF95" s="2384"/>
      <c r="AG95" s="2384"/>
      <c r="AH95" s="2384"/>
      <c r="AI95" s="2384"/>
      <c r="AJ95" s="2384"/>
      <c r="AK95" s="2384"/>
      <c r="AL95" s="2384"/>
      <c r="AM95" s="2384"/>
      <c r="AN95" s="2384"/>
      <c r="AO95" s="2384"/>
      <c r="AP95" s="2384"/>
      <c r="AQ95" s="2384"/>
      <c r="AR95" s="2384"/>
      <c r="AS95" s="2384"/>
      <c r="AT95" s="2384"/>
      <c r="AU95" s="2384"/>
      <c r="AV95" s="2384"/>
      <c r="AW95" s="2384"/>
      <c r="AX95" s="2384"/>
      <c r="AY95" s="2384"/>
      <c r="AZ95" s="2384"/>
      <c r="BA95" s="2384"/>
      <c r="BB95" s="2384"/>
      <c r="BC95" s="2384"/>
      <c r="BD95" s="2384"/>
      <c r="BE95" s="2384"/>
      <c r="BF95" s="2384"/>
      <c r="BG95" s="2384"/>
      <c r="BH95" s="2384"/>
      <c r="BI95" s="2384"/>
      <c r="BJ95" s="2384"/>
      <c r="BK95" s="2384"/>
      <c r="BL95" s="2384"/>
      <c r="BM95" s="2384"/>
      <c r="BN95" s="2384"/>
      <c r="BO95" s="2384"/>
      <c r="BP95" s="2384"/>
      <c r="BQ95" s="2384"/>
      <c r="BR95" s="2384"/>
      <c r="BS95" s="2384"/>
      <c r="BT95" s="2384"/>
      <c r="BU95" s="2384"/>
      <c r="BV95" s="2384"/>
      <c r="BW95" s="2384"/>
      <c r="BX95" s="2384"/>
      <c r="BY95" s="2384"/>
      <c r="BZ95" s="2384"/>
      <c r="CA95" s="2384"/>
      <c r="CB95" s="2384"/>
      <c r="CC95" s="2384"/>
      <c r="CD95" s="2384"/>
      <c r="CE95" s="2384"/>
      <c r="CF95" s="2384"/>
      <c r="CG95" s="2384"/>
      <c r="CH95" s="2384"/>
      <c r="CI95" s="2384"/>
      <c r="CJ95" s="2384"/>
      <c r="CK95" s="2384"/>
      <c r="CL95" s="2384"/>
      <c r="CM95" s="2384"/>
      <c r="CN95" s="2384"/>
      <c r="CO95" s="2384"/>
      <c r="CP95" s="2384"/>
      <c r="CQ95" s="2384"/>
      <c r="CR95" s="2384"/>
      <c r="CS95" s="2384"/>
      <c r="CT95" s="2384"/>
      <c r="CU95" s="2384"/>
      <c r="CV95" s="2384"/>
      <c r="CW95" s="2384"/>
      <c r="CX95" s="2384"/>
      <c r="CY95" s="2384"/>
      <c r="CZ95" s="2384"/>
      <c r="DA95" s="2384"/>
      <c r="DB95" s="2384"/>
      <c r="DC95" s="2384"/>
      <c r="DD95" s="2384"/>
      <c r="DE95" s="2384"/>
      <c r="DF95" s="2384"/>
      <c r="DG95" s="2384"/>
      <c r="DH95" s="2384"/>
      <c r="DI95" s="2384"/>
      <c r="DJ95" s="2384"/>
      <c r="DK95" s="2384"/>
      <c r="DL95" s="2384"/>
      <c r="DM95" s="2384"/>
      <c r="DN95" s="2384"/>
      <c r="DO95" s="2384"/>
      <c r="DP95" s="2384"/>
      <c r="DQ95" s="2384"/>
      <c r="DR95" s="2384"/>
      <c r="DS95" s="2384"/>
      <c r="DT95" s="2384"/>
      <c r="DU95" s="2384"/>
      <c r="DV95" s="2384"/>
      <c r="DW95" s="2384"/>
      <c r="DX95" s="2384"/>
      <c r="DY95" s="2384"/>
      <c r="DZ95" s="2384"/>
      <c r="EA95" s="2384"/>
      <c r="EB95" s="2384"/>
      <c r="EC95" s="2384"/>
      <c r="ED95" s="2384"/>
      <c r="EE95" s="2384"/>
      <c r="EF95" s="2384"/>
      <c r="EG95" s="2384"/>
      <c r="EH95" s="2384"/>
      <c r="EI95" s="2384"/>
      <c r="EJ95" s="2384"/>
      <c r="EK95" s="2384"/>
      <c r="EL95" s="2384"/>
      <c r="EM95" s="2384"/>
      <c r="EN95" s="2384"/>
      <c r="EO95" s="2384"/>
      <c r="EP95" s="2384"/>
      <c r="EQ95" s="2384"/>
      <c r="ER95" s="2384"/>
      <c r="ES95" s="2384"/>
      <c r="ET95" s="2384"/>
      <c r="EU95" s="2384"/>
      <c r="EV95" s="2384"/>
      <c r="EW95" s="2384"/>
      <c r="EX95" s="2384"/>
      <c r="EY95" s="2384"/>
      <c r="EZ95" s="2384"/>
      <c r="FA95" s="2384"/>
      <c r="FB95" s="2384"/>
      <c r="FC95" s="2384"/>
      <c r="FD95" s="2384"/>
      <c r="FE95" s="2384"/>
      <c r="FF95" s="2384"/>
      <c r="FG95" s="2384"/>
      <c r="FH95" s="2384"/>
      <c r="FI95" s="2384"/>
      <c r="FJ95" s="2384"/>
      <c r="FK95" s="2384"/>
      <c r="FL95" s="2384"/>
      <c r="FM95" s="2384"/>
      <c r="FN95" s="2384"/>
      <c r="FO95" s="2384"/>
      <c r="FP95" s="2384"/>
      <c r="FQ95" s="2384"/>
      <c r="FR95" s="2384"/>
      <c r="FS95" s="2384"/>
      <c r="FT95" s="2384"/>
      <c r="FU95" s="2384"/>
      <c r="FV95" s="2384"/>
      <c r="FW95" s="2384"/>
      <c r="FX95" s="2384"/>
      <c r="FY95" s="2384"/>
      <c r="FZ95" s="2384"/>
      <c r="GA95" s="2384"/>
      <c r="GB95" s="2384"/>
      <c r="GC95" s="2384"/>
      <c r="GD95" s="2384"/>
      <c r="GE95" s="2384"/>
      <c r="GF95" s="2384"/>
      <c r="GG95" s="2384"/>
      <c r="GH95" s="2384"/>
      <c r="GI95" s="2384"/>
      <c r="GJ95" s="2384"/>
      <c r="GK95" s="2384"/>
      <c r="GL95" s="2384"/>
      <c r="GM95" s="2384"/>
      <c r="GN95" s="2384"/>
      <c r="GO95" s="2384"/>
      <c r="GP95" s="2384"/>
      <c r="GQ95" s="2384"/>
      <c r="GR95" s="2384"/>
      <c r="GS95" s="2384"/>
      <c r="GT95" s="2384"/>
      <c r="GU95" s="2384"/>
      <c r="GV95" s="2384"/>
      <c r="GW95" s="2384"/>
      <c r="GX95" s="2384"/>
      <c r="GY95" s="2384"/>
      <c r="GZ95" s="2384"/>
      <c r="HA95" s="2384"/>
      <c r="HB95" s="2384"/>
      <c r="HC95" s="2384"/>
      <c r="HD95" s="2384"/>
      <c r="HE95" s="2384"/>
      <c r="HF95" s="2384"/>
      <c r="HG95" s="2384"/>
      <c r="HH95" s="2384"/>
      <c r="HI95" s="2384"/>
      <c r="HJ95" s="2384"/>
      <c r="HK95" s="2384"/>
      <c r="HL95" s="2384"/>
      <c r="HM95" s="2384"/>
      <c r="HN95" s="2384"/>
      <c r="HO95" s="2384"/>
      <c r="HP95" s="2384"/>
      <c r="HQ95" s="2384"/>
      <c r="HR95" s="2384"/>
      <c r="HS95" s="2384"/>
      <c r="HT95" s="2384"/>
      <c r="HU95" s="2384"/>
      <c r="HV95" s="2384"/>
      <c r="HW95" s="2384"/>
      <c r="HX95" s="2384"/>
      <c r="HY95" s="2384"/>
      <c r="HZ95" s="2384"/>
      <c r="IA95" s="2384"/>
      <c r="IB95" s="2384"/>
      <c r="IC95" s="2384"/>
      <c r="ID95" s="2384"/>
      <c r="IE95" s="2384"/>
      <c r="IF95" s="2384"/>
      <c r="IG95" s="2384"/>
      <c r="IH95" s="2384"/>
      <c r="II95" s="2384"/>
      <c r="IJ95" s="2384"/>
      <c r="IK95" s="2384"/>
      <c r="IL95" s="2384"/>
      <c r="IM95" s="2384"/>
      <c r="IN95" s="2384"/>
      <c r="IO95" s="2384"/>
      <c r="IP95" s="2384"/>
      <c r="IQ95" s="2384"/>
      <c r="IR95" s="2384"/>
      <c r="IS95" s="2384"/>
      <c r="IT95" s="3947" t="s">
        <v>1189</v>
      </c>
      <c r="IU95" s="2384"/>
      <c r="IV95" s="2384"/>
      <c r="IW95" s="3947" t="s">
        <v>1189</v>
      </c>
      <c r="IX95" s="2384"/>
      <c r="IY95" s="2384"/>
      <c r="IZ95" s="3947" t="s">
        <v>1189</v>
      </c>
      <c r="JA95" s="3947" t="s">
        <v>1189</v>
      </c>
      <c r="JB95" s="3947" t="s">
        <v>1189</v>
      </c>
      <c r="JC95" s="3946" t="s">
        <v>1189</v>
      </c>
      <c r="JD95" s="3946" t="s">
        <v>1189</v>
      </c>
      <c r="JE95" s="2384"/>
      <c r="JF95" s="2384"/>
      <c r="JG95" s="1603" t="s">
        <v>1189</v>
      </c>
      <c r="JH95" s="1365"/>
      <c r="JI95" s="2927" t="s">
        <v>6581</v>
      </c>
      <c r="JJ95" s="2064" t="s">
        <v>6111</v>
      </c>
    </row>
    <row ht="33.75" r="96" spans="1:270" x14ac:dyDescent="0.2">
      <c r="A96" s="1128">
        <v>34</v>
      </c>
      <c r="B96" s="1285" t="str">
        <f si="5" t="shared"/>
        <v/>
      </c>
      <c r="C96" s="1585" t="s">
        <v>1035</v>
      </c>
      <c r="D96" s="1372" t="str">
        <f>"If your unremitted income and capital gains for "&amp;tax_year&amp;" is less than £2,000, put ‘X’ in the box"</f>
        <v>If your unremitted income and capital gains for 2019-20 is less than £2,000, put ‘X’ in the box</v>
      </c>
      <c r="E96" s="1588" t="s">
        <v>1189</v>
      </c>
      <c r="F96" s="1588" t="s">
        <v>1189</v>
      </c>
      <c r="G96" s="1588" t="s">
        <v>1189</v>
      </c>
      <c r="H96" s="1605" t="s">
        <v>572</v>
      </c>
      <c r="I96" s="1533" t="s">
        <v>572</v>
      </c>
      <c r="J96" s="1588" t="s">
        <v>1189</v>
      </c>
      <c r="K96" s="1590" t="s">
        <v>1189</v>
      </c>
      <c r="L96" s="1351" t="s">
        <v>1189</v>
      </c>
      <c r="M96" s="1351" t="s">
        <v>1189</v>
      </c>
      <c r="N96" s="1351" t="s">
        <v>1189</v>
      </c>
      <c r="O96" s="1902"/>
      <c r="P96" s="2045"/>
      <c r="Q96" s="2045"/>
      <c r="R96" s="2045"/>
      <c r="S96" s="2045"/>
      <c r="T96" s="3807"/>
      <c r="U96" s="3807"/>
      <c r="V96" s="3807"/>
      <c r="W96" s="3807"/>
      <c r="X96" s="3807"/>
      <c r="Y96" s="3807"/>
      <c r="Z96" s="3807"/>
      <c r="AA96" s="3807"/>
      <c r="AB96" s="3807"/>
      <c r="AC96" s="3807"/>
      <c r="AD96" s="3807"/>
      <c r="AE96" s="3807"/>
      <c r="AF96" s="3807"/>
      <c r="AG96" s="3807"/>
      <c r="AH96" s="3807"/>
      <c r="AI96" s="3807"/>
      <c r="AJ96" s="3807"/>
      <c r="AK96" s="3807"/>
      <c r="AL96" s="3807"/>
      <c r="AM96" s="3807"/>
      <c r="AN96" s="3807"/>
      <c r="AO96" s="3807"/>
      <c r="AP96" s="3807"/>
      <c r="AQ96" s="3807"/>
      <c r="AR96" s="3807"/>
      <c r="AS96" s="3807"/>
      <c r="AT96" s="3807"/>
      <c r="AU96" s="3807"/>
      <c r="AV96" s="3807"/>
      <c r="AW96" s="3807"/>
      <c r="AX96" s="3807"/>
      <c r="AY96" s="3807"/>
      <c r="AZ96" s="3807"/>
      <c r="BA96" s="3807"/>
      <c r="BB96" s="3807"/>
      <c r="BC96" s="3807"/>
      <c r="BD96" s="3807"/>
      <c r="BE96" s="3807"/>
      <c r="BF96" s="3807"/>
      <c r="BG96" s="3807"/>
      <c r="BH96" s="3807"/>
      <c r="BI96" s="3807"/>
      <c r="BJ96" s="3807"/>
      <c r="BK96" s="3807"/>
      <c r="BL96" s="3807"/>
      <c r="BM96" s="3807"/>
      <c r="BN96" s="3807"/>
      <c r="BO96" s="3807"/>
      <c r="BP96" s="3807"/>
      <c r="BQ96" s="3807"/>
      <c r="BR96" s="3807"/>
      <c r="BS96" s="3807"/>
      <c r="BT96" s="3807"/>
      <c r="BU96" s="3807"/>
      <c r="BV96" s="3807"/>
      <c r="BW96" s="3807"/>
      <c r="BX96" s="3807"/>
      <c r="BY96" s="3807"/>
      <c r="BZ96" s="3807"/>
      <c r="CA96" s="3807"/>
      <c r="CB96" s="3807"/>
      <c r="CC96" s="3807"/>
      <c r="CD96" s="3807"/>
      <c r="CE96" s="3807"/>
      <c r="CF96" s="3807"/>
      <c r="CG96" s="3807"/>
      <c r="CH96" s="3807"/>
      <c r="CI96" s="3807"/>
      <c r="CJ96" s="3807"/>
      <c r="CK96" s="3807"/>
      <c r="CL96" s="3807"/>
      <c r="CM96" s="3807"/>
      <c r="CN96" s="3807"/>
      <c r="CO96" s="3807"/>
      <c r="CP96" s="3807"/>
      <c r="CQ96" s="3807"/>
      <c r="CR96" s="3807"/>
      <c r="CS96" s="3807"/>
      <c r="CT96" s="3807"/>
      <c r="CU96" s="3807"/>
      <c r="CV96" s="3807"/>
      <c r="CW96" s="3807"/>
      <c r="CX96" s="3807"/>
      <c r="CY96" s="3807"/>
      <c r="CZ96" s="3807"/>
      <c r="DA96" s="3807"/>
      <c r="DB96" s="3807"/>
      <c r="DC96" s="3807"/>
      <c r="DD96" s="3807"/>
      <c r="DE96" s="3807"/>
      <c r="DF96" s="3807"/>
      <c r="DG96" s="3807"/>
      <c r="DH96" s="3807"/>
      <c r="DI96" s="3807"/>
      <c r="DJ96" s="3807"/>
      <c r="DK96" s="3807"/>
      <c r="DL96" s="3807"/>
      <c r="DM96" s="3807"/>
      <c r="DN96" s="3807"/>
      <c r="DO96" s="3807"/>
      <c r="DP96" s="3807"/>
      <c r="DQ96" s="3807"/>
      <c r="DR96" s="3807"/>
      <c r="DS96" s="3807"/>
      <c r="DT96" s="3807"/>
      <c r="DU96" s="3807"/>
      <c r="DV96" s="3807"/>
      <c r="DW96" s="3807"/>
      <c r="DX96" s="3807"/>
      <c r="DY96" s="3807"/>
      <c r="DZ96" s="3807"/>
      <c r="EA96" s="3807"/>
      <c r="EB96" s="3807"/>
      <c r="EC96" s="3807"/>
      <c r="ED96" s="3807"/>
      <c r="EE96" s="3807"/>
      <c r="EF96" s="3807"/>
      <c r="EG96" s="3807"/>
      <c r="EH96" s="3807"/>
      <c r="EI96" s="3807"/>
      <c r="EJ96" s="3807"/>
      <c r="EK96" s="3807"/>
      <c r="EL96" s="3807"/>
      <c r="EM96" s="3807"/>
      <c r="EN96" s="3807"/>
      <c r="EO96" s="3807"/>
      <c r="EP96" s="3807"/>
      <c r="EQ96" s="3807"/>
      <c r="ER96" s="3807"/>
      <c r="ES96" s="3807"/>
      <c r="ET96" s="3807"/>
      <c r="EU96" s="3807"/>
      <c r="EV96" s="3807"/>
      <c r="EW96" s="3807"/>
      <c r="EX96" s="3807"/>
      <c r="EY96" s="3807"/>
      <c r="EZ96" s="3807"/>
      <c r="FA96" s="3807"/>
      <c r="FB96" s="3807"/>
      <c r="FC96" s="3807"/>
      <c r="FD96" s="3807"/>
      <c r="FE96" s="3807"/>
      <c r="FF96" s="3807"/>
      <c r="FG96" s="3807"/>
      <c r="FH96" s="3807"/>
      <c r="FI96" s="3807"/>
      <c r="FJ96" s="3807"/>
      <c r="FK96" s="3807"/>
      <c r="FL96" s="3807"/>
      <c r="FM96" s="3807"/>
      <c r="FN96" s="3807"/>
      <c r="FO96" s="3807"/>
      <c r="FP96" s="3807"/>
      <c r="FQ96" s="3807"/>
      <c r="FR96" s="3807"/>
      <c r="FS96" s="3807"/>
      <c r="FT96" s="3807"/>
      <c r="FU96" s="3807"/>
      <c r="FV96" s="3807"/>
      <c r="FW96" s="3807"/>
      <c r="FX96" s="3807"/>
      <c r="FY96" s="3807"/>
      <c r="FZ96" s="3807"/>
      <c r="GA96" s="3807"/>
      <c r="GB96" s="3807"/>
      <c r="GC96" s="3807"/>
      <c r="GD96" s="3807"/>
      <c r="GE96" s="3807"/>
      <c r="GF96" s="3807"/>
      <c r="GG96" s="3807"/>
      <c r="GH96" s="3807"/>
      <c r="GI96" s="3807"/>
      <c r="GJ96" s="3807"/>
      <c r="GK96" s="3807"/>
      <c r="GL96" s="3807"/>
      <c r="GM96" s="3807"/>
      <c r="GN96" s="3807"/>
      <c r="GO96" s="3807"/>
      <c r="GP96" s="3807"/>
      <c r="GQ96" s="3807"/>
      <c r="GR96" s="3807"/>
      <c r="GS96" s="3807"/>
      <c r="GT96" s="3807"/>
      <c r="GU96" s="3807"/>
      <c r="GV96" s="3807"/>
      <c r="GW96" s="3807"/>
      <c r="GX96" s="3807"/>
      <c r="GY96" s="3807"/>
      <c r="GZ96" s="3807"/>
      <c r="HA96" s="3807"/>
      <c r="HB96" s="3807"/>
      <c r="HC96" s="3807"/>
      <c r="HD96" s="3807"/>
      <c r="HE96" s="3807"/>
      <c r="HF96" s="3807"/>
      <c r="HG96" s="3807"/>
      <c r="HH96" s="3807"/>
      <c r="HI96" s="3807"/>
      <c r="HJ96" s="3807"/>
      <c r="HK96" s="3807"/>
      <c r="HL96" s="3807"/>
      <c r="HM96" s="3807"/>
      <c r="HN96" s="3807"/>
      <c r="HO96" s="3807"/>
      <c r="HP96" s="3807"/>
      <c r="HQ96" s="3807"/>
      <c r="HR96" s="3807"/>
      <c r="HS96" s="3807"/>
      <c r="HT96" s="3807"/>
      <c r="HU96" s="3807"/>
      <c r="HV96" s="3807"/>
      <c r="HW96" s="3807"/>
      <c r="HX96" s="3807"/>
      <c r="HY96" s="3807"/>
      <c r="HZ96" s="3807"/>
      <c r="IA96" s="3807"/>
      <c r="IB96" s="3807"/>
      <c r="IC96" s="3807"/>
      <c r="ID96" s="3807"/>
      <c r="IE96" s="3807"/>
      <c r="IF96" s="3807"/>
      <c r="IG96" s="3807"/>
      <c r="IH96" s="3807"/>
      <c r="II96" s="3807"/>
      <c r="IJ96" s="3807"/>
      <c r="IK96" s="3807"/>
      <c r="IL96" s="3807"/>
      <c r="IM96" s="3807"/>
      <c r="IN96" s="3807"/>
      <c r="IO96" s="3807"/>
      <c r="IP96" s="3807"/>
      <c r="IQ96" s="3807"/>
      <c r="IR96" s="3807"/>
      <c r="IS96" s="3807"/>
      <c r="IT96" s="3807"/>
      <c r="IU96" s="3807"/>
      <c r="IV96" s="3807"/>
      <c r="IW96" s="3807"/>
      <c r="IX96" s="3807"/>
      <c r="IY96" s="3807"/>
      <c r="IZ96" s="3807"/>
      <c r="JA96" s="3807"/>
      <c r="JB96" s="3807"/>
      <c r="JC96" s="3807"/>
      <c r="JD96" s="3807"/>
      <c r="JE96" s="3807"/>
      <c r="JF96" s="3807"/>
      <c r="JG96" s="1591"/>
      <c r="JH96" s="1361"/>
      <c r="JI96" s="2062" t="s">
        <v>7308</v>
      </c>
      <c r="JJ96" s="2061" t="s">
        <v>6111</v>
      </c>
    </row>
    <row ht="22.5" r="97" spans="1:270" x14ac:dyDescent="0.2">
      <c r="A97" s="1128">
        <v>35</v>
      </c>
      <c r="B97" s="1285" t="str">
        <f si="5" t="shared"/>
        <v/>
      </c>
      <c r="C97" s="1585" t="s">
        <v>1036</v>
      </c>
      <c r="D97" s="2915" t="s">
        <v>6590</v>
      </c>
      <c r="E97" s="1588" t="s">
        <v>1189</v>
      </c>
      <c r="F97" s="1588" t="s">
        <v>1189</v>
      </c>
      <c r="G97" s="1588" t="s">
        <v>1189</v>
      </c>
      <c r="H97" s="1351" t="s">
        <v>1189</v>
      </c>
      <c r="I97" s="1605" t="s">
        <v>1189</v>
      </c>
      <c r="J97" s="1588" t="s">
        <v>1189</v>
      </c>
      <c r="K97" s="1588" t="s">
        <v>1189</v>
      </c>
      <c r="L97" s="1351" t="s">
        <v>1189</v>
      </c>
      <c r="M97" s="1351" t="s">
        <v>1189</v>
      </c>
      <c r="N97" s="1533" t="s">
        <v>572</v>
      </c>
      <c r="O97" s="1905"/>
      <c r="P97" s="2010"/>
      <c r="Q97" s="2010"/>
      <c r="R97" s="2010"/>
      <c r="S97" s="2010"/>
      <c r="T97" s="2384"/>
      <c r="U97" s="2384"/>
      <c r="V97" s="2384"/>
      <c r="W97" s="2384"/>
      <c r="X97" s="2384"/>
      <c r="Y97" s="2384"/>
      <c r="Z97" s="2384"/>
      <c r="AA97" s="2384"/>
      <c r="AB97" s="2384"/>
      <c r="AC97" s="2384"/>
      <c r="AD97" s="2384"/>
      <c r="AE97" s="2384"/>
      <c r="AF97" s="2384"/>
      <c r="AG97" s="2384"/>
      <c r="AH97" s="2384"/>
      <c r="AI97" s="2384"/>
      <c r="AJ97" s="2384"/>
      <c r="AK97" s="2384"/>
      <c r="AL97" s="2384"/>
      <c r="AM97" s="2384"/>
      <c r="AN97" s="2384"/>
      <c r="AO97" s="2384"/>
      <c r="AP97" s="2384"/>
      <c r="AQ97" s="2384"/>
      <c r="AR97" s="2384"/>
      <c r="AS97" s="2384"/>
      <c r="AT97" s="2384"/>
      <c r="AU97" s="2384"/>
      <c r="AV97" s="2384"/>
      <c r="AW97" s="2384"/>
      <c r="AX97" s="2384"/>
      <c r="AY97" s="2384"/>
      <c r="AZ97" s="2384"/>
      <c r="BA97" s="2384"/>
      <c r="BB97" s="2384"/>
      <c r="BC97" s="2384"/>
      <c r="BD97" s="2384"/>
      <c r="BE97" s="2384"/>
      <c r="BF97" s="2384"/>
      <c r="BG97" s="2384"/>
      <c r="BH97" s="2384"/>
      <c r="BI97" s="2384"/>
      <c r="BJ97" s="2384"/>
      <c r="BK97" s="2384"/>
      <c r="BL97" s="2384"/>
      <c r="BM97" s="2384"/>
      <c r="BN97" s="2384"/>
      <c r="BO97" s="2384"/>
      <c r="BP97" s="2384"/>
      <c r="BQ97" s="2384"/>
      <c r="BR97" s="2384"/>
      <c r="BS97" s="2384"/>
      <c r="BT97" s="2384"/>
      <c r="BU97" s="2384"/>
      <c r="BV97" s="2384"/>
      <c r="BW97" s="2384"/>
      <c r="BX97" s="2384"/>
      <c r="BY97" s="2384"/>
      <c r="BZ97" s="2384"/>
      <c r="CA97" s="2384"/>
      <c r="CB97" s="2384"/>
      <c r="CC97" s="2384"/>
      <c r="CD97" s="2384"/>
      <c r="CE97" s="2384"/>
      <c r="CF97" s="2384"/>
      <c r="CG97" s="2384"/>
      <c r="CH97" s="2384"/>
      <c r="CI97" s="2384"/>
      <c r="CJ97" s="2384"/>
      <c r="CK97" s="2384"/>
      <c r="CL97" s="2384"/>
      <c r="CM97" s="2384"/>
      <c r="CN97" s="2384"/>
      <c r="CO97" s="2384"/>
      <c r="CP97" s="2384"/>
      <c r="CQ97" s="2384"/>
      <c r="CR97" s="2384"/>
      <c r="CS97" s="2384"/>
      <c r="CT97" s="2384"/>
      <c r="CU97" s="2384"/>
      <c r="CV97" s="2384"/>
      <c r="CW97" s="2384"/>
      <c r="CX97" s="2384"/>
      <c r="CY97" s="2384"/>
      <c r="CZ97" s="2384"/>
      <c r="DA97" s="2384"/>
      <c r="DB97" s="2384"/>
      <c r="DC97" s="2384"/>
      <c r="DD97" s="2384"/>
      <c r="DE97" s="2384"/>
      <c r="DF97" s="2384"/>
      <c r="DG97" s="2384"/>
      <c r="DH97" s="2384"/>
      <c r="DI97" s="2384"/>
      <c r="DJ97" s="2384"/>
      <c r="DK97" s="2384"/>
      <c r="DL97" s="2384"/>
      <c r="DM97" s="2384"/>
      <c r="DN97" s="2384"/>
      <c r="DO97" s="2384"/>
      <c r="DP97" s="2384"/>
      <c r="DQ97" s="2384"/>
      <c r="DR97" s="2384"/>
      <c r="DS97" s="2384"/>
      <c r="DT97" s="2384"/>
      <c r="DU97" s="2384"/>
      <c r="DV97" s="2384"/>
      <c r="DW97" s="2384"/>
      <c r="DX97" s="2384"/>
      <c r="DY97" s="2384"/>
      <c r="DZ97" s="2384"/>
      <c r="EA97" s="2384"/>
      <c r="EB97" s="2384"/>
      <c r="EC97" s="2384"/>
      <c r="ED97" s="2384"/>
      <c r="EE97" s="2384"/>
      <c r="EF97" s="2384"/>
      <c r="EG97" s="2384"/>
      <c r="EH97" s="2384"/>
      <c r="EI97" s="2384"/>
      <c r="EJ97" s="2384"/>
      <c r="EK97" s="2384"/>
      <c r="EL97" s="2384"/>
      <c r="EM97" s="2384"/>
      <c r="EN97" s="2384"/>
      <c r="EO97" s="2384"/>
      <c r="EP97" s="2384"/>
      <c r="EQ97" s="2384"/>
      <c r="ER97" s="2384"/>
      <c r="ES97" s="2384"/>
      <c r="ET97" s="2384"/>
      <c r="EU97" s="2384"/>
      <c r="EV97" s="2384"/>
      <c r="EW97" s="2384"/>
      <c r="EX97" s="2384"/>
      <c r="EY97" s="2384"/>
      <c r="EZ97" s="2384"/>
      <c r="FA97" s="2384"/>
      <c r="FB97" s="2384"/>
      <c r="FC97" s="2384"/>
      <c r="FD97" s="2384"/>
      <c r="FE97" s="2384"/>
      <c r="FF97" s="2384"/>
      <c r="FG97" s="2384"/>
      <c r="FH97" s="2384"/>
      <c r="FI97" s="2384"/>
      <c r="FJ97" s="2384"/>
      <c r="FK97" s="2384"/>
      <c r="FL97" s="2384"/>
      <c r="FM97" s="2384"/>
      <c r="FN97" s="2384"/>
      <c r="FO97" s="2384"/>
      <c r="FP97" s="2384"/>
      <c r="FQ97" s="2384"/>
      <c r="FR97" s="2384"/>
      <c r="FS97" s="2384"/>
      <c r="FT97" s="2384"/>
      <c r="FU97" s="2384"/>
      <c r="FV97" s="2384"/>
      <c r="FW97" s="2384"/>
      <c r="FX97" s="2384"/>
      <c r="FY97" s="2384"/>
      <c r="FZ97" s="2384"/>
      <c r="GA97" s="2384"/>
      <c r="GB97" s="2384"/>
      <c r="GC97" s="2384"/>
      <c r="GD97" s="2384"/>
      <c r="GE97" s="2384"/>
      <c r="GF97" s="2384"/>
      <c r="GG97" s="2384"/>
      <c r="GH97" s="2384"/>
      <c r="GI97" s="2384"/>
      <c r="GJ97" s="2384"/>
      <c r="GK97" s="2384"/>
      <c r="GL97" s="2384"/>
      <c r="GM97" s="2384"/>
      <c r="GN97" s="2384"/>
      <c r="GO97" s="2384"/>
      <c r="GP97" s="2384"/>
      <c r="GQ97" s="2384"/>
      <c r="GR97" s="2384"/>
      <c r="GS97" s="2384"/>
      <c r="GT97" s="2384"/>
      <c r="GU97" s="2384"/>
      <c r="GV97" s="2384"/>
      <c r="GW97" s="2384"/>
      <c r="GX97" s="2384"/>
      <c r="GY97" s="2384"/>
      <c r="GZ97" s="2384"/>
      <c r="HA97" s="2384"/>
      <c r="HB97" s="2384"/>
      <c r="HC97" s="2384"/>
      <c r="HD97" s="2384"/>
      <c r="HE97" s="2384"/>
      <c r="HF97" s="2384"/>
      <c r="HG97" s="2384"/>
      <c r="HH97" s="2384"/>
      <c r="HI97" s="2384"/>
      <c r="HJ97" s="2384"/>
      <c r="HK97" s="2384"/>
      <c r="HL97" s="2384"/>
      <c r="HM97" s="2384"/>
      <c r="HN97" s="2384"/>
      <c r="HO97" s="2384"/>
      <c r="HP97" s="2384"/>
      <c r="HQ97" s="2384"/>
      <c r="HR97" s="2384"/>
      <c r="HS97" s="2384"/>
      <c r="HT97" s="2384"/>
      <c r="HU97" s="2384"/>
      <c r="HV97" s="2384"/>
      <c r="HW97" s="2384"/>
      <c r="HX97" s="2384"/>
      <c r="HY97" s="2384"/>
      <c r="HZ97" s="2384"/>
      <c r="IA97" s="2384"/>
      <c r="IB97" s="2384"/>
      <c r="IC97" s="2384"/>
      <c r="ID97" s="2384"/>
      <c r="IE97" s="2384"/>
      <c r="IF97" s="2384"/>
      <c r="IG97" s="2384"/>
      <c r="IH97" s="2384"/>
      <c r="II97" s="2384"/>
      <c r="IJ97" s="2384"/>
      <c r="IK97" s="2384"/>
      <c r="IL97" s="2384"/>
      <c r="IM97" s="2384"/>
      <c r="IN97" s="2384"/>
      <c r="IO97" s="2384"/>
      <c r="IP97" s="2384"/>
      <c r="IQ97" s="2384"/>
      <c r="IR97" s="2384"/>
      <c r="IS97" s="2384"/>
      <c r="IT97" s="2384"/>
      <c r="IU97" s="2384"/>
      <c r="IV97" s="2384"/>
      <c r="IW97" s="2384"/>
      <c r="IX97" s="2384"/>
      <c r="IY97" s="2384"/>
      <c r="IZ97" s="2384"/>
      <c r="JA97" s="2384"/>
      <c r="JB97" s="2384"/>
      <c r="JC97" s="2384"/>
      <c r="JD97" s="2384"/>
      <c r="JE97" s="2384"/>
      <c r="JF97" s="2384"/>
      <c r="JG97" s="1603"/>
      <c r="JH97" s="1365"/>
      <c r="JI97" s="2927" t="s">
        <v>6580</v>
      </c>
      <c r="JJ97" s="2064" t="s">
        <v>6111</v>
      </c>
    </row>
    <row ht="22.5" r="98" spans="1:270" x14ac:dyDescent="0.2">
      <c r="A98" s="1128">
        <v>36</v>
      </c>
      <c r="B98" s="1285" t="str">
        <f si="5" t="shared"/>
        <v/>
      </c>
      <c r="C98" s="1585" t="s">
        <v>1037</v>
      </c>
      <c r="D98" s="1372" t="str">
        <f>"If you were UK resident for "&amp;tax_year&amp;" and for 12 or more of the preceding 14 tax years, put ‘X’ in the box"</f>
        <v>If you were UK resident for 2019-20 and for 12 or more of the preceding 14 tax years, put ‘X’ in the box</v>
      </c>
      <c r="E98" s="1588" t="s">
        <v>1189</v>
      </c>
      <c r="F98" s="1588" t="s">
        <v>1189</v>
      </c>
      <c r="G98" s="1597" t="s">
        <v>572</v>
      </c>
      <c r="H98" s="1588" t="s">
        <v>1189</v>
      </c>
      <c r="I98" s="1588" t="s">
        <v>1189</v>
      </c>
      <c r="J98" s="1588" t="s">
        <v>1189</v>
      </c>
      <c r="K98" s="1605" t="s">
        <v>572</v>
      </c>
      <c r="L98" s="1588" t="s">
        <v>1189</v>
      </c>
      <c r="M98" s="1597" t="s">
        <v>572</v>
      </c>
      <c r="N98" s="1588" t="s">
        <v>1189</v>
      </c>
      <c r="O98" s="1901"/>
      <c r="P98" s="2044"/>
      <c r="Q98" s="2044"/>
      <c r="R98" s="2044"/>
      <c r="S98" s="2044"/>
      <c r="T98" s="3920"/>
      <c r="U98" s="3920"/>
      <c r="V98" s="3920"/>
      <c r="W98" s="3920"/>
      <c r="X98" s="3920"/>
      <c r="Y98" s="3920"/>
      <c r="Z98" s="3920"/>
      <c r="AA98" s="3920"/>
      <c r="AB98" s="3920"/>
      <c r="AC98" s="3920"/>
      <c r="AD98" s="3920"/>
      <c r="AE98" s="3920"/>
      <c r="AF98" s="3920"/>
      <c r="AG98" s="3920"/>
      <c r="AH98" s="3920"/>
      <c r="AI98" s="3920"/>
      <c r="AJ98" s="3920"/>
      <c r="AK98" s="3920"/>
      <c r="AL98" s="3920"/>
      <c r="AM98" s="3920"/>
      <c r="AN98" s="3920"/>
      <c r="AO98" s="3920"/>
      <c r="AP98" s="3920"/>
      <c r="AQ98" s="3920"/>
      <c r="AR98" s="3920"/>
      <c r="AS98" s="3920"/>
      <c r="AT98" s="3920"/>
      <c r="AU98" s="3920"/>
      <c r="AV98" s="3920"/>
      <c r="AW98" s="3920"/>
      <c r="AX98" s="3920"/>
      <c r="AY98" s="3920"/>
      <c r="AZ98" s="3920"/>
      <c r="BA98" s="3920"/>
      <c r="BB98" s="3920"/>
      <c r="BC98" s="3920"/>
      <c r="BD98" s="3920"/>
      <c r="BE98" s="3920"/>
      <c r="BF98" s="3920"/>
      <c r="BG98" s="3920"/>
      <c r="BH98" s="3920"/>
      <c r="BI98" s="3920"/>
      <c r="BJ98" s="3920"/>
      <c r="BK98" s="3920"/>
      <c r="BL98" s="3920"/>
      <c r="BM98" s="3920"/>
      <c r="BN98" s="3920"/>
      <c r="BO98" s="3920"/>
      <c r="BP98" s="3920"/>
      <c r="BQ98" s="3920"/>
      <c r="BR98" s="3920"/>
      <c r="BS98" s="3920"/>
      <c r="BT98" s="3920"/>
      <c r="BU98" s="3920"/>
      <c r="BV98" s="3920"/>
      <c r="BW98" s="3920"/>
      <c r="BX98" s="3920"/>
      <c r="BY98" s="3920"/>
      <c r="BZ98" s="3920"/>
      <c r="CA98" s="3920"/>
      <c r="CB98" s="3920"/>
      <c r="CC98" s="3920"/>
      <c r="CD98" s="3920"/>
      <c r="CE98" s="3920"/>
      <c r="CF98" s="3920"/>
      <c r="CG98" s="3920"/>
      <c r="CH98" s="3920"/>
      <c r="CI98" s="3920"/>
      <c r="CJ98" s="3920"/>
      <c r="CK98" s="3920"/>
      <c r="CL98" s="3920"/>
      <c r="CM98" s="3920"/>
      <c r="CN98" s="3920"/>
      <c r="CO98" s="3920"/>
      <c r="CP98" s="3920"/>
      <c r="CQ98" s="3920"/>
      <c r="CR98" s="3920"/>
      <c r="CS98" s="3920"/>
      <c r="CT98" s="3920"/>
      <c r="CU98" s="3920"/>
      <c r="CV98" s="3920"/>
      <c r="CW98" s="3920"/>
      <c r="CX98" s="3920"/>
      <c r="CY98" s="3920"/>
      <c r="CZ98" s="3920"/>
      <c r="DA98" s="3920"/>
      <c r="DB98" s="3920"/>
      <c r="DC98" s="3920"/>
      <c r="DD98" s="3920"/>
      <c r="DE98" s="3920"/>
      <c r="DF98" s="3920"/>
      <c r="DG98" s="3920"/>
      <c r="DH98" s="3920"/>
      <c r="DI98" s="3920"/>
      <c r="DJ98" s="3920"/>
      <c r="DK98" s="3920"/>
      <c r="DL98" s="3920"/>
      <c r="DM98" s="3920"/>
      <c r="DN98" s="3920"/>
      <c r="DO98" s="3920"/>
      <c r="DP98" s="3920"/>
      <c r="DQ98" s="3920"/>
      <c r="DR98" s="3920"/>
      <c r="DS98" s="3920"/>
      <c r="DT98" s="3920"/>
      <c r="DU98" s="3920"/>
      <c r="DV98" s="3920"/>
      <c r="DW98" s="3920"/>
      <c r="DX98" s="3920"/>
      <c r="DY98" s="3920"/>
      <c r="DZ98" s="3920"/>
      <c r="EA98" s="3920"/>
      <c r="EB98" s="3920"/>
      <c r="EC98" s="3920"/>
      <c r="ED98" s="3920"/>
      <c r="EE98" s="3920"/>
      <c r="EF98" s="3920"/>
      <c r="EG98" s="3920"/>
      <c r="EH98" s="3920"/>
      <c r="EI98" s="3920"/>
      <c r="EJ98" s="3920"/>
      <c r="EK98" s="3920"/>
      <c r="EL98" s="3920"/>
      <c r="EM98" s="3920"/>
      <c r="EN98" s="3920"/>
      <c r="EO98" s="3920"/>
      <c r="EP98" s="3920"/>
      <c r="EQ98" s="3920"/>
      <c r="ER98" s="3920"/>
      <c r="ES98" s="3920"/>
      <c r="ET98" s="3920"/>
      <c r="EU98" s="3920"/>
      <c r="EV98" s="3920"/>
      <c r="EW98" s="3920"/>
      <c r="EX98" s="3920"/>
      <c r="EY98" s="3920"/>
      <c r="EZ98" s="3920"/>
      <c r="FA98" s="3920"/>
      <c r="FB98" s="3920"/>
      <c r="FC98" s="3920"/>
      <c r="FD98" s="3920"/>
      <c r="FE98" s="3920"/>
      <c r="FF98" s="3920"/>
      <c r="FG98" s="3920"/>
      <c r="FH98" s="3920"/>
      <c r="FI98" s="3920"/>
      <c r="FJ98" s="3920"/>
      <c r="FK98" s="3920"/>
      <c r="FL98" s="3920"/>
      <c r="FM98" s="3920"/>
      <c r="FN98" s="3920"/>
      <c r="FO98" s="3920"/>
      <c r="FP98" s="3920"/>
      <c r="FQ98" s="3920"/>
      <c r="FR98" s="3920"/>
      <c r="FS98" s="3920"/>
      <c r="FT98" s="3920"/>
      <c r="FU98" s="3920"/>
      <c r="FV98" s="3920"/>
      <c r="FW98" s="3920"/>
      <c r="FX98" s="3920"/>
      <c r="FY98" s="3920"/>
      <c r="FZ98" s="3920"/>
      <c r="GA98" s="3920"/>
      <c r="GB98" s="3920"/>
      <c r="GC98" s="3920"/>
      <c r="GD98" s="3920"/>
      <c r="GE98" s="3920"/>
      <c r="GF98" s="3920"/>
      <c r="GG98" s="3920"/>
      <c r="GH98" s="3920"/>
      <c r="GI98" s="3920"/>
      <c r="GJ98" s="3920"/>
      <c r="GK98" s="3920"/>
      <c r="GL98" s="3920"/>
      <c r="GM98" s="3920"/>
      <c r="GN98" s="3920"/>
      <c r="GO98" s="3920"/>
      <c r="GP98" s="3920"/>
      <c r="GQ98" s="3920"/>
      <c r="GR98" s="3920"/>
      <c r="GS98" s="3920"/>
      <c r="GT98" s="3920"/>
      <c r="GU98" s="3920"/>
      <c r="GV98" s="3920"/>
      <c r="GW98" s="3920"/>
      <c r="GX98" s="3920"/>
      <c r="GY98" s="3920"/>
      <c r="GZ98" s="3920"/>
      <c r="HA98" s="3920"/>
      <c r="HB98" s="3920"/>
      <c r="HC98" s="3920"/>
      <c r="HD98" s="3920"/>
      <c r="HE98" s="3920"/>
      <c r="HF98" s="3920"/>
      <c r="HG98" s="3920"/>
      <c r="HH98" s="3920"/>
      <c r="HI98" s="3920"/>
      <c r="HJ98" s="3920"/>
      <c r="HK98" s="3920"/>
      <c r="HL98" s="3920"/>
      <c r="HM98" s="3920"/>
      <c r="HN98" s="3920"/>
      <c r="HO98" s="3920"/>
      <c r="HP98" s="3920"/>
      <c r="HQ98" s="3920"/>
      <c r="HR98" s="3920"/>
      <c r="HS98" s="3920"/>
      <c r="HT98" s="3920"/>
      <c r="HU98" s="3920"/>
      <c r="HV98" s="3920"/>
      <c r="HW98" s="3920"/>
      <c r="HX98" s="3920"/>
      <c r="HY98" s="3920"/>
      <c r="HZ98" s="3920"/>
      <c r="IA98" s="3920"/>
      <c r="IB98" s="3920"/>
      <c r="IC98" s="3920"/>
      <c r="ID98" s="3920"/>
      <c r="IE98" s="3920"/>
      <c r="IF98" s="3920"/>
      <c r="IG98" s="3920"/>
      <c r="IH98" s="3920"/>
      <c r="II98" s="3920"/>
      <c r="IJ98" s="3920"/>
      <c r="IK98" s="3920"/>
      <c r="IL98" s="3920"/>
      <c r="IM98" s="3920"/>
      <c r="IN98" s="3920"/>
      <c r="IO98" s="3920"/>
      <c r="IP98" s="3920"/>
      <c r="IQ98" s="3920"/>
      <c r="IR98" s="3920"/>
      <c r="IS98" s="3920"/>
      <c r="IT98" s="3920"/>
      <c r="IU98" s="3920"/>
      <c r="IV98" s="3920"/>
      <c r="IW98" s="3920"/>
      <c r="IX98" s="3920"/>
      <c r="IY98" s="3920"/>
      <c r="IZ98" s="3920"/>
      <c r="JA98" s="3920"/>
      <c r="JB98" s="3920"/>
      <c r="JC98" s="3920"/>
      <c r="JD98" s="3920"/>
      <c r="JE98" s="3920"/>
      <c r="JF98" s="3920"/>
      <c r="JG98" s="1589"/>
      <c r="JH98" s="1361"/>
      <c r="JI98" s="2927" t="s">
        <v>6583</v>
      </c>
      <c r="JJ98" s="2061" t="s">
        <v>6111</v>
      </c>
    </row>
    <row ht="22.5" r="99" spans="1:270" x14ac:dyDescent="0.2">
      <c r="A99" s="1128">
        <v>37</v>
      </c>
      <c r="B99" s="1285" t="str">
        <f si="5" t="shared"/>
        <v/>
      </c>
      <c r="C99" s="1585" t="s">
        <v>1038</v>
      </c>
      <c r="D99" s="1372" t="str">
        <f>"If you were UK resident for "&amp;tax_year&amp;" and for 7 or more of the preceding 9 tax years, put ‘X’ in the box"</f>
        <v>If you were UK resident for 2019-20 and for 7 or more of the preceding 9 tax years, put ‘X’ in the box</v>
      </c>
      <c r="E99" s="1588" t="s">
        <v>1189</v>
      </c>
      <c r="F99" s="1588" t="s">
        <v>1189</v>
      </c>
      <c r="G99" s="1588" t="s">
        <v>1189</v>
      </c>
      <c r="H99" s="1590" t="s">
        <v>572</v>
      </c>
      <c r="I99" s="1533" t="s">
        <v>572</v>
      </c>
      <c r="J99" s="1588" t="s">
        <v>1189</v>
      </c>
      <c r="K99" s="1605" t="s">
        <v>1189</v>
      </c>
      <c r="L99" s="1533" t="s">
        <v>572</v>
      </c>
      <c r="M99" s="1605" t="s">
        <v>1189</v>
      </c>
      <c r="N99" s="1605" t="s">
        <v>1189</v>
      </c>
      <c r="O99" s="1906"/>
      <c r="P99" s="2028"/>
      <c r="Q99" s="2028"/>
      <c r="R99" s="2028"/>
      <c r="S99" s="2028"/>
      <c r="T99" s="2815"/>
      <c r="U99" s="2815"/>
      <c r="V99" s="2815"/>
      <c r="W99" s="2815"/>
      <c r="X99" s="2815"/>
      <c r="Y99" s="2815"/>
      <c r="Z99" s="2815"/>
      <c r="AA99" s="2815"/>
      <c r="AB99" s="2815"/>
      <c r="AC99" s="2815"/>
      <c r="AD99" s="2815"/>
      <c r="AE99" s="2815"/>
      <c r="AF99" s="2815"/>
      <c r="AG99" s="2815"/>
      <c r="AH99" s="2815"/>
      <c r="AI99" s="2815"/>
      <c r="AJ99" s="2815"/>
      <c r="AK99" s="2815"/>
      <c r="AL99" s="2815"/>
      <c r="AM99" s="2815"/>
      <c r="AN99" s="2815"/>
      <c r="AO99" s="2815"/>
      <c r="AP99" s="2815"/>
      <c r="AQ99" s="2815"/>
      <c r="AR99" s="2815"/>
      <c r="AS99" s="2815"/>
      <c r="AT99" s="2815"/>
      <c r="AU99" s="2815"/>
      <c r="AV99" s="2815"/>
      <c r="AW99" s="2815"/>
      <c r="AX99" s="2815"/>
      <c r="AY99" s="2815"/>
      <c r="AZ99" s="2815"/>
      <c r="BA99" s="2815"/>
      <c r="BB99" s="2815"/>
      <c r="BC99" s="2815"/>
      <c r="BD99" s="2815"/>
      <c r="BE99" s="2815"/>
      <c r="BF99" s="2815"/>
      <c r="BG99" s="2815"/>
      <c r="BH99" s="2815"/>
      <c r="BI99" s="2815"/>
      <c r="BJ99" s="2815"/>
      <c r="BK99" s="2815"/>
      <c r="BL99" s="2815"/>
      <c r="BM99" s="2815"/>
      <c r="BN99" s="2815"/>
      <c r="BO99" s="2815"/>
      <c r="BP99" s="2815"/>
      <c r="BQ99" s="2815"/>
      <c r="BR99" s="2815"/>
      <c r="BS99" s="2815"/>
      <c r="BT99" s="2815"/>
      <c r="BU99" s="2815"/>
      <c r="BV99" s="2815"/>
      <c r="BW99" s="2815"/>
      <c r="BX99" s="2815"/>
      <c r="BY99" s="2815"/>
      <c r="BZ99" s="2815"/>
      <c r="CA99" s="2815"/>
      <c r="CB99" s="2815"/>
      <c r="CC99" s="2815"/>
      <c r="CD99" s="2815"/>
      <c r="CE99" s="2815"/>
      <c r="CF99" s="2815"/>
      <c r="CG99" s="2815"/>
      <c r="CH99" s="2815"/>
      <c r="CI99" s="2815"/>
      <c r="CJ99" s="2815"/>
      <c r="CK99" s="2815"/>
      <c r="CL99" s="2815"/>
      <c r="CM99" s="2815"/>
      <c r="CN99" s="2815"/>
      <c r="CO99" s="2815"/>
      <c r="CP99" s="2815"/>
      <c r="CQ99" s="2815"/>
      <c r="CR99" s="2815"/>
      <c r="CS99" s="2815"/>
      <c r="CT99" s="2815"/>
      <c r="CU99" s="2815"/>
      <c r="CV99" s="2815"/>
      <c r="CW99" s="2815"/>
      <c r="CX99" s="2815"/>
      <c r="CY99" s="2815"/>
      <c r="CZ99" s="2815"/>
      <c r="DA99" s="2815"/>
      <c r="DB99" s="2815"/>
      <c r="DC99" s="2815"/>
      <c r="DD99" s="2815"/>
      <c r="DE99" s="2815"/>
      <c r="DF99" s="2815"/>
      <c r="DG99" s="2815"/>
      <c r="DH99" s="2815"/>
      <c r="DI99" s="2815"/>
      <c r="DJ99" s="2815"/>
      <c r="DK99" s="2815"/>
      <c r="DL99" s="2815"/>
      <c r="DM99" s="2815"/>
      <c r="DN99" s="2815"/>
      <c r="DO99" s="2815"/>
      <c r="DP99" s="2815"/>
      <c r="DQ99" s="2815"/>
      <c r="DR99" s="2815"/>
      <c r="DS99" s="2815"/>
      <c r="DT99" s="2815"/>
      <c r="DU99" s="2815"/>
      <c r="DV99" s="2815"/>
      <c r="DW99" s="2815"/>
      <c r="DX99" s="2815"/>
      <c r="DY99" s="2815"/>
      <c r="DZ99" s="2815"/>
      <c r="EA99" s="2815"/>
      <c r="EB99" s="2815"/>
      <c r="EC99" s="2815"/>
      <c r="ED99" s="2815"/>
      <c r="EE99" s="2815"/>
      <c r="EF99" s="2815"/>
      <c r="EG99" s="2815"/>
      <c r="EH99" s="2815"/>
      <c r="EI99" s="2815"/>
      <c r="EJ99" s="2815"/>
      <c r="EK99" s="2815"/>
      <c r="EL99" s="2815"/>
      <c r="EM99" s="2815"/>
      <c r="EN99" s="2815"/>
      <c r="EO99" s="2815"/>
      <c r="EP99" s="2815"/>
      <c r="EQ99" s="2815"/>
      <c r="ER99" s="2815"/>
      <c r="ES99" s="2815"/>
      <c r="ET99" s="2815"/>
      <c r="EU99" s="2815"/>
      <c r="EV99" s="2815"/>
      <c r="EW99" s="2815"/>
      <c r="EX99" s="2815"/>
      <c r="EY99" s="2815"/>
      <c r="EZ99" s="2815"/>
      <c r="FA99" s="2815"/>
      <c r="FB99" s="2815"/>
      <c r="FC99" s="2815"/>
      <c r="FD99" s="2815"/>
      <c r="FE99" s="2815"/>
      <c r="FF99" s="2815"/>
      <c r="FG99" s="2815"/>
      <c r="FH99" s="2815"/>
      <c r="FI99" s="2815"/>
      <c r="FJ99" s="2815"/>
      <c r="FK99" s="2815"/>
      <c r="FL99" s="2815"/>
      <c r="FM99" s="2815"/>
      <c r="FN99" s="2815"/>
      <c r="FO99" s="2815"/>
      <c r="FP99" s="2815"/>
      <c r="FQ99" s="2815"/>
      <c r="FR99" s="2815"/>
      <c r="FS99" s="2815"/>
      <c r="FT99" s="2815"/>
      <c r="FU99" s="2815"/>
      <c r="FV99" s="2815"/>
      <c r="FW99" s="2815"/>
      <c r="FX99" s="2815"/>
      <c r="FY99" s="2815"/>
      <c r="FZ99" s="2815"/>
      <c r="GA99" s="2815"/>
      <c r="GB99" s="2815"/>
      <c r="GC99" s="2815"/>
      <c r="GD99" s="2815"/>
      <c r="GE99" s="2815"/>
      <c r="GF99" s="2815"/>
      <c r="GG99" s="2815"/>
      <c r="GH99" s="2815"/>
      <c r="GI99" s="2815"/>
      <c r="GJ99" s="2815"/>
      <c r="GK99" s="2815"/>
      <c r="GL99" s="2815"/>
      <c r="GM99" s="2815"/>
      <c r="GN99" s="2815"/>
      <c r="GO99" s="2815"/>
      <c r="GP99" s="2815"/>
      <c r="GQ99" s="2815"/>
      <c r="GR99" s="2815"/>
      <c r="GS99" s="2815"/>
      <c r="GT99" s="2815"/>
      <c r="GU99" s="2815"/>
      <c r="GV99" s="2815"/>
      <c r="GW99" s="2815"/>
      <c r="GX99" s="2815"/>
      <c r="GY99" s="2815"/>
      <c r="GZ99" s="2815"/>
      <c r="HA99" s="2815"/>
      <c r="HB99" s="2815"/>
      <c r="HC99" s="2815"/>
      <c r="HD99" s="2815"/>
      <c r="HE99" s="2815"/>
      <c r="HF99" s="2815"/>
      <c r="HG99" s="2815"/>
      <c r="HH99" s="2815"/>
      <c r="HI99" s="2815"/>
      <c r="HJ99" s="2815"/>
      <c r="HK99" s="2815"/>
      <c r="HL99" s="2815"/>
      <c r="HM99" s="2815"/>
      <c r="HN99" s="2815"/>
      <c r="HO99" s="2815"/>
      <c r="HP99" s="2815"/>
      <c r="HQ99" s="2815"/>
      <c r="HR99" s="2815"/>
      <c r="HS99" s="2815"/>
      <c r="HT99" s="2815"/>
      <c r="HU99" s="2815"/>
      <c r="HV99" s="2815"/>
      <c r="HW99" s="2815"/>
      <c r="HX99" s="2815"/>
      <c r="HY99" s="2815"/>
      <c r="HZ99" s="2815"/>
      <c r="IA99" s="2815"/>
      <c r="IB99" s="2815"/>
      <c r="IC99" s="2815"/>
      <c r="ID99" s="2815"/>
      <c r="IE99" s="2815"/>
      <c r="IF99" s="2815"/>
      <c r="IG99" s="2815"/>
      <c r="IH99" s="2815"/>
      <c r="II99" s="2815"/>
      <c r="IJ99" s="2815"/>
      <c r="IK99" s="2815"/>
      <c r="IL99" s="2815"/>
      <c r="IM99" s="2815"/>
      <c r="IN99" s="2815"/>
      <c r="IO99" s="2815"/>
      <c r="IP99" s="2815"/>
      <c r="IQ99" s="2815"/>
      <c r="IR99" s="2815"/>
      <c r="IS99" s="2815"/>
      <c r="IT99" s="2815"/>
      <c r="IU99" s="2815"/>
      <c r="IV99" s="2815"/>
      <c r="IW99" s="2815"/>
      <c r="IX99" s="2815"/>
      <c r="IY99" s="2815"/>
      <c r="IZ99" s="2815"/>
      <c r="JA99" s="2815"/>
      <c r="JB99" s="2815"/>
      <c r="JC99" s="2815"/>
      <c r="JD99" s="2815"/>
      <c r="JE99" s="2815"/>
      <c r="JF99" s="2815"/>
      <c r="JG99" s="1608"/>
      <c r="JH99" s="1366"/>
      <c r="JI99" s="2927" t="s">
        <v>6584</v>
      </c>
      <c r="JJ99" s="2061" t="s">
        <v>6111</v>
      </c>
    </row>
    <row r="100" spans="1:270" x14ac:dyDescent="0.2">
      <c r="A100" s="1128">
        <v>38</v>
      </c>
      <c r="B100" s="1285" t="str">
        <f si="5" t="shared"/>
        <v/>
      </c>
      <c r="C100" s="1585" t="s">
        <v>1039</v>
      </c>
      <c r="D100" s="1372" t="str">
        <f>"If you were under 18 on 5 April "&amp;Tax_year_end&amp;", put ‘X’ in the box"</f>
        <v>If you were under 18 on 5 April 2020, put ‘X’ in the box</v>
      </c>
      <c r="E100" s="1588" t="s">
        <v>1189</v>
      </c>
      <c r="F100" s="1588" t="s">
        <v>1189</v>
      </c>
      <c r="G100" s="1588" t="s">
        <v>1189</v>
      </c>
      <c r="H100" s="1351" t="s">
        <v>1189</v>
      </c>
      <c r="I100" s="1351" t="s">
        <v>1189</v>
      </c>
      <c r="J100" s="1588" t="s">
        <v>1189</v>
      </c>
      <c r="K100" s="1605" t="s">
        <v>572</v>
      </c>
      <c r="L100" s="1351" t="s">
        <v>1189</v>
      </c>
      <c r="M100" s="1351" t="s">
        <v>1189</v>
      </c>
      <c r="N100" s="1351" t="s">
        <v>1189</v>
      </c>
      <c r="O100" s="1902"/>
      <c r="P100" s="2045"/>
      <c r="Q100" s="2045"/>
      <c r="R100" s="2045"/>
      <c r="S100" s="2045"/>
      <c r="T100" s="3807"/>
      <c r="U100" s="3807"/>
      <c r="V100" s="3807"/>
      <c r="W100" s="3807"/>
      <c r="X100" s="3807"/>
      <c r="Y100" s="3807"/>
      <c r="Z100" s="3807"/>
      <c r="AA100" s="3807"/>
      <c r="AB100" s="3807"/>
      <c r="AC100" s="3807"/>
      <c r="AD100" s="3807"/>
      <c r="AE100" s="3807"/>
      <c r="AF100" s="3807"/>
      <c r="AG100" s="3807"/>
      <c r="AH100" s="3807"/>
      <c r="AI100" s="3807"/>
      <c r="AJ100" s="3807"/>
      <c r="AK100" s="3807"/>
      <c r="AL100" s="3807"/>
      <c r="AM100" s="3807"/>
      <c r="AN100" s="3807"/>
      <c r="AO100" s="3807"/>
      <c r="AP100" s="3807"/>
      <c r="AQ100" s="3807"/>
      <c r="AR100" s="3807"/>
      <c r="AS100" s="3807"/>
      <c r="AT100" s="3807"/>
      <c r="AU100" s="3807"/>
      <c r="AV100" s="3807"/>
      <c r="AW100" s="3807"/>
      <c r="AX100" s="3807"/>
      <c r="AY100" s="3807"/>
      <c r="AZ100" s="3807"/>
      <c r="BA100" s="3807"/>
      <c r="BB100" s="3807"/>
      <c r="BC100" s="3807"/>
      <c r="BD100" s="3807"/>
      <c r="BE100" s="3807"/>
      <c r="BF100" s="3807"/>
      <c r="BG100" s="3807"/>
      <c r="BH100" s="3807"/>
      <c r="BI100" s="3807"/>
      <c r="BJ100" s="3807"/>
      <c r="BK100" s="3807"/>
      <c r="BL100" s="3807"/>
      <c r="BM100" s="3807"/>
      <c r="BN100" s="3807"/>
      <c r="BO100" s="3807"/>
      <c r="BP100" s="3807"/>
      <c r="BQ100" s="3807"/>
      <c r="BR100" s="3807"/>
      <c r="BS100" s="3807"/>
      <c r="BT100" s="3807"/>
      <c r="BU100" s="3807"/>
      <c r="BV100" s="3807"/>
      <c r="BW100" s="3807"/>
      <c r="BX100" s="3807"/>
      <c r="BY100" s="3807"/>
      <c r="BZ100" s="3807"/>
      <c r="CA100" s="3807"/>
      <c r="CB100" s="3807"/>
      <c r="CC100" s="3807"/>
      <c r="CD100" s="3807"/>
      <c r="CE100" s="3807"/>
      <c r="CF100" s="3807"/>
      <c r="CG100" s="3807"/>
      <c r="CH100" s="3807"/>
      <c r="CI100" s="3807"/>
      <c r="CJ100" s="3807"/>
      <c r="CK100" s="3807"/>
      <c r="CL100" s="3807"/>
      <c r="CM100" s="3807"/>
      <c r="CN100" s="3807"/>
      <c r="CO100" s="3807"/>
      <c r="CP100" s="3807"/>
      <c r="CQ100" s="3807"/>
      <c r="CR100" s="3807"/>
      <c r="CS100" s="3807"/>
      <c r="CT100" s="3807"/>
      <c r="CU100" s="3807"/>
      <c r="CV100" s="3807"/>
      <c r="CW100" s="3807"/>
      <c r="CX100" s="3807"/>
      <c r="CY100" s="3807"/>
      <c r="CZ100" s="3807"/>
      <c r="DA100" s="3807"/>
      <c r="DB100" s="3807"/>
      <c r="DC100" s="3807"/>
      <c r="DD100" s="3807"/>
      <c r="DE100" s="3807"/>
      <c r="DF100" s="3807"/>
      <c r="DG100" s="3807"/>
      <c r="DH100" s="3807"/>
      <c r="DI100" s="3807"/>
      <c r="DJ100" s="3807"/>
      <c r="DK100" s="3807"/>
      <c r="DL100" s="3807"/>
      <c r="DM100" s="3807"/>
      <c r="DN100" s="3807"/>
      <c r="DO100" s="3807"/>
      <c r="DP100" s="3807"/>
      <c r="DQ100" s="3807"/>
      <c r="DR100" s="3807"/>
      <c r="DS100" s="3807"/>
      <c r="DT100" s="3807"/>
      <c r="DU100" s="3807"/>
      <c r="DV100" s="3807"/>
      <c r="DW100" s="3807"/>
      <c r="DX100" s="3807"/>
      <c r="DY100" s="3807"/>
      <c r="DZ100" s="3807"/>
      <c r="EA100" s="3807"/>
      <c r="EB100" s="3807"/>
      <c r="EC100" s="3807"/>
      <c r="ED100" s="3807"/>
      <c r="EE100" s="3807"/>
      <c r="EF100" s="3807"/>
      <c r="EG100" s="3807"/>
      <c r="EH100" s="3807"/>
      <c r="EI100" s="3807"/>
      <c r="EJ100" s="3807"/>
      <c r="EK100" s="3807"/>
      <c r="EL100" s="3807"/>
      <c r="EM100" s="3807"/>
      <c r="EN100" s="3807"/>
      <c r="EO100" s="3807"/>
      <c r="EP100" s="3807"/>
      <c r="EQ100" s="3807"/>
      <c r="ER100" s="3807"/>
      <c r="ES100" s="3807"/>
      <c r="ET100" s="3807"/>
      <c r="EU100" s="3807"/>
      <c r="EV100" s="3807"/>
      <c r="EW100" s="3807"/>
      <c r="EX100" s="3807"/>
      <c r="EY100" s="3807"/>
      <c r="EZ100" s="3807"/>
      <c r="FA100" s="3807"/>
      <c r="FB100" s="3807"/>
      <c r="FC100" s="3807"/>
      <c r="FD100" s="3807"/>
      <c r="FE100" s="3807"/>
      <c r="FF100" s="3807"/>
      <c r="FG100" s="3807"/>
      <c r="FH100" s="3807"/>
      <c r="FI100" s="3807"/>
      <c r="FJ100" s="3807"/>
      <c r="FK100" s="3807"/>
      <c r="FL100" s="3807"/>
      <c r="FM100" s="3807"/>
      <c r="FN100" s="3807"/>
      <c r="FO100" s="3807"/>
      <c r="FP100" s="3807"/>
      <c r="FQ100" s="3807"/>
      <c r="FR100" s="3807"/>
      <c r="FS100" s="3807"/>
      <c r="FT100" s="3807"/>
      <c r="FU100" s="3807"/>
      <c r="FV100" s="3807"/>
      <c r="FW100" s="3807"/>
      <c r="FX100" s="3807"/>
      <c r="FY100" s="3807"/>
      <c r="FZ100" s="3807"/>
      <c r="GA100" s="3807"/>
      <c r="GB100" s="3807"/>
      <c r="GC100" s="3807"/>
      <c r="GD100" s="3807"/>
      <c r="GE100" s="3807"/>
      <c r="GF100" s="3807"/>
      <c r="GG100" s="3807"/>
      <c r="GH100" s="3807"/>
      <c r="GI100" s="3807"/>
      <c r="GJ100" s="3807"/>
      <c r="GK100" s="3807"/>
      <c r="GL100" s="3807"/>
      <c r="GM100" s="3807"/>
      <c r="GN100" s="3807"/>
      <c r="GO100" s="3807"/>
      <c r="GP100" s="3807"/>
      <c r="GQ100" s="3807"/>
      <c r="GR100" s="3807"/>
      <c r="GS100" s="3807"/>
      <c r="GT100" s="3807"/>
      <c r="GU100" s="3807"/>
      <c r="GV100" s="3807"/>
      <c r="GW100" s="3807"/>
      <c r="GX100" s="3807"/>
      <c r="GY100" s="3807"/>
      <c r="GZ100" s="3807"/>
      <c r="HA100" s="3807"/>
      <c r="HB100" s="3807"/>
      <c r="HC100" s="3807"/>
      <c r="HD100" s="3807"/>
      <c r="HE100" s="3807"/>
      <c r="HF100" s="3807"/>
      <c r="HG100" s="3807"/>
      <c r="HH100" s="3807"/>
      <c r="HI100" s="3807"/>
      <c r="HJ100" s="3807"/>
      <c r="HK100" s="3807"/>
      <c r="HL100" s="3807"/>
      <c r="HM100" s="3807"/>
      <c r="HN100" s="3807"/>
      <c r="HO100" s="3807"/>
      <c r="HP100" s="3807"/>
      <c r="HQ100" s="3807"/>
      <c r="HR100" s="3807"/>
      <c r="HS100" s="3807"/>
      <c r="HT100" s="3807"/>
      <c r="HU100" s="3807"/>
      <c r="HV100" s="3807"/>
      <c r="HW100" s="3807"/>
      <c r="HX100" s="3807"/>
      <c r="HY100" s="3807"/>
      <c r="HZ100" s="3807"/>
      <c r="IA100" s="3807"/>
      <c r="IB100" s="3807"/>
      <c r="IC100" s="3807"/>
      <c r="ID100" s="3807"/>
      <c r="IE100" s="3807"/>
      <c r="IF100" s="3807"/>
      <c r="IG100" s="3807"/>
      <c r="IH100" s="3807"/>
      <c r="II100" s="3807"/>
      <c r="IJ100" s="3807"/>
      <c r="IK100" s="3807"/>
      <c r="IL100" s="3807"/>
      <c r="IM100" s="3807"/>
      <c r="IN100" s="3807"/>
      <c r="IO100" s="3807"/>
      <c r="IP100" s="3807"/>
      <c r="IQ100" s="3807"/>
      <c r="IR100" s="3807"/>
      <c r="IS100" s="3807"/>
      <c r="IT100" s="3807"/>
      <c r="IU100" s="3807"/>
      <c r="IV100" s="3807"/>
      <c r="IW100" s="3807"/>
      <c r="IX100" s="3807"/>
      <c r="IY100" s="3807"/>
      <c r="IZ100" s="3807"/>
      <c r="JA100" s="3807"/>
      <c r="JB100" s="3807"/>
      <c r="JC100" s="3807"/>
      <c r="JD100" s="3807"/>
      <c r="JE100" s="3807"/>
      <c r="JF100" s="3807"/>
      <c r="JG100" s="1591"/>
      <c r="JH100" s="1361"/>
      <c r="JI100" s="1390"/>
      <c r="JJ100" s="1572" t="s">
        <v>6111</v>
      </c>
    </row>
    <row r="101" spans="1:270" x14ac:dyDescent="0.2">
      <c r="A101" s="1128">
        <v>39</v>
      </c>
      <c r="B101" s="1285" t="str">
        <f si="5" t="shared"/>
        <v/>
      </c>
      <c r="C101" s="1585" t="s">
        <v>1040</v>
      </c>
      <c r="D101" s="1372" t="s">
        <v>4942</v>
      </c>
      <c r="E101" s="1704"/>
      <c r="F101" s="1704"/>
      <c r="G101" s="1704">
        <v>200000</v>
      </c>
      <c r="H101" s="1706">
        <v>0</v>
      </c>
      <c r="I101" s="1706">
        <v>1</v>
      </c>
      <c r="J101" s="1704"/>
      <c r="K101" s="1706"/>
      <c r="L101" s="1706">
        <v>131762</v>
      </c>
      <c r="M101" s="1706">
        <v>131762</v>
      </c>
      <c r="N101" s="1704"/>
      <c r="O101" s="1904"/>
      <c r="P101" s="2050"/>
      <c r="Q101" s="2050"/>
      <c r="R101" s="2050"/>
      <c r="S101" s="2050"/>
      <c r="T101" s="3924"/>
      <c r="U101" s="3924"/>
      <c r="V101" s="3924"/>
      <c r="W101" s="3924"/>
      <c r="X101" s="3924"/>
      <c r="Y101" s="3924"/>
      <c r="Z101" s="3924"/>
      <c r="AA101" s="3924"/>
      <c r="AB101" s="3924"/>
      <c r="AC101" s="3924"/>
      <c r="AD101" s="3924"/>
      <c r="AE101" s="3924"/>
      <c r="AF101" s="3924"/>
      <c r="AG101" s="3924"/>
      <c r="AH101" s="3924"/>
      <c r="AI101" s="3924"/>
      <c r="AJ101" s="3924"/>
      <c r="AK101" s="3924"/>
      <c r="AL101" s="3924"/>
      <c r="AM101" s="3924"/>
      <c r="AN101" s="3924"/>
      <c r="AO101" s="3924"/>
      <c r="AP101" s="3924"/>
      <c r="AQ101" s="3924"/>
      <c r="AR101" s="3924"/>
      <c r="AS101" s="3924"/>
      <c r="AT101" s="3924"/>
      <c r="AU101" s="3924"/>
      <c r="AV101" s="3924"/>
      <c r="AW101" s="3924"/>
      <c r="AX101" s="3924"/>
      <c r="AY101" s="3924"/>
      <c r="AZ101" s="3924"/>
      <c r="BA101" s="3924"/>
      <c r="BB101" s="3924"/>
      <c r="BC101" s="3924"/>
      <c r="BD101" s="3924"/>
      <c r="BE101" s="3924"/>
      <c r="BF101" s="3924"/>
      <c r="BG101" s="3924"/>
      <c r="BH101" s="3924"/>
      <c r="BI101" s="3924"/>
      <c r="BJ101" s="3924"/>
      <c r="BK101" s="3924"/>
      <c r="BL101" s="3924"/>
      <c r="BM101" s="3924"/>
      <c r="BN101" s="3924"/>
      <c r="BO101" s="3924"/>
      <c r="BP101" s="3924"/>
      <c r="BQ101" s="3924"/>
      <c r="BR101" s="3924"/>
      <c r="BS101" s="3924"/>
      <c r="BT101" s="3924"/>
      <c r="BU101" s="3924"/>
      <c r="BV101" s="3924"/>
      <c r="BW101" s="3924"/>
      <c r="BX101" s="3924"/>
      <c r="BY101" s="3924"/>
      <c r="BZ101" s="3924"/>
      <c r="CA101" s="3924"/>
      <c r="CB101" s="3924"/>
      <c r="CC101" s="3924"/>
      <c r="CD101" s="3924"/>
      <c r="CE101" s="3924"/>
      <c r="CF101" s="3924"/>
      <c r="CG101" s="3924"/>
      <c r="CH101" s="3924"/>
      <c r="CI101" s="3924"/>
      <c r="CJ101" s="3924"/>
      <c r="CK101" s="3924"/>
      <c r="CL101" s="3924"/>
      <c r="CM101" s="3924"/>
      <c r="CN101" s="3924"/>
      <c r="CO101" s="3924"/>
      <c r="CP101" s="3924"/>
      <c r="CQ101" s="3924"/>
      <c r="CR101" s="3924"/>
      <c r="CS101" s="3924"/>
      <c r="CT101" s="3924"/>
      <c r="CU101" s="3924"/>
      <c r="CV101" s="3924"/>
      <c r="CW101" s="3924"/>
      <c r="CX101" s="3924"/>
      <c r="CY101" s="3924"/>
      <c r="CZ101" s="3924"/>
      <c r="DA101" s="3924"/>
      <c r="DB101" s="3924"/>
      <c r="DC101" s="3924"/>
      <c r="DD101" s="3924"/>
      <c r="DE101" s="3924"/>
      <c r="DF101" s="3924"/>
      <c r="DG101" s="3924"/>
      <c r="DH101" s="3924"/>
      <c r="DI101" s="3924"/>
      <c r="DJ101" s="3924"/>
      <c r="DK101" s="3924"/>
      <c r="DL101" s="3924"/>
      <c r="DM101" s="3924"/>
      <c r="DN101" s="3924"/>
      <c r="DO101" s="3924"/>
      <c r="DP101" s="3924"/>
      <c r="DQ101" s="3924"/>
      <c r="DR101" s="3924"/>
      <c r="DS101" s="3924"/>
      <c r="DT101" s="3924"/>
      <c r="DU101" s="3924"/>
      <c r="DV101" s="3924"/>
      <c r="DW101" s="3924"/>
      <c r="DX101" s="3924"/>
      <c r="DY101" s="3924"/>
      <c r="DZ101" s="3924"/>
      <c r="EA101" s="3924"/>
      <c r="EB101" s="3924"/>
      <c r="EC101" s="3924"/>
      <c r="ED101" s="3924"/>
      <c r="EE101" s="3924"/>
      <c r="EF101" s="3924"/>
      <c r="EG101" s="3924"/>
      <c r="EH101" s="3924"/>
      <c r="EI101" s="3924"/>
      <c r="EJ101" s="3924"/>
      <c r="EK101" s="3924"/>
      <c r="EL101" s="3924"/>
      <c r="EM101" s="3924"/>
      <c r="EN101" s="3924"/>
      <c r="EO101" s="3924"/>
      <c r="EP101" s="3924"/>
      <c r="EQ101" s="3924"/>
      <c r="ER101" s="3924"/>
      <c r="ES101" s="3924"/>
      <c r="ET101" s="3924"/>
      <c r="EU101" s="3924"/>
      <c r="EV101" s="3924"/>
      <c r="EW101" s="3924"/>
      <c r="EX101" s="3924"/>
      <c r="EY101" s="3924"/>
      <c r="EZ101" s="3924"/>
      <c r="FA101" s="3924"/>
      <c r="FB101" s="3924"/>
      <c r="FC101" s="3924"/>
      <c r="FD101" s="3924"/>
      <c r="FE101" s="3924"/>
      <c r="FF101" s="3924"/>
      <c r="FG101" s="3924"/>
      <c r="FH101" s="3924"/>
      <c r="FI101" s="3924"/>
      <c r="FJ101" s="3924"/>
      <c r="FK101" s="3924"/>
      <c r="FL101" s="3924"/>
      <c r="FM101" s="3924"/>
      <c r="FN101" s="3924"/>
      <c r="FO101" s="3924"/>
      <c r="FP101" s="3924"/>
      <c r="FQ101" s="3924"/>
      <c r="FR101" s="3924"/>
      <c r="FS101" s="3924"/>
      <c r="FT101" s="3924"/>
      <c r="FU101" s="3924"/>
      <c r="FV101" s="3924"/>
      <c r="FW101" s="3924"/>
      <c r="FX101" s="3924"/>
      <c r="FY101" s="3924"/>
      <c r="FZ101" s="3924"/>
      <c r="GA101" s="3924"/>
      <c r="GB101" s="3924"/>
      <c r="GC101" s="3924"/>
      <c r="GD101" s="3924"/>
      <c r="GE101" s="3924"/>
      <c r="GF101" s="3924"/>
      <c r="GG101" s="3924"/>
      <c r="GH101" s="3924"/>
      <c r="GI101" s="3924"/>
      <c r="GJ101" s="3924"/>
      <c r="GK101" s="3924"/>
      <c r="GL101" s="3924"/>
      <c r="GM101" s="3924"/>
      <c r="GN101" s="3924"/>
      <c r="GO101" s="3924"/>
      <c r="GP101" s="3924"/>
      <c r="GQ101" s="3924"/>
      <c r="GR101" s="3924"/>
      <c r="GS101" s="3924"/>
      <c r="GT101" s="3924"/>
      <c r="GU101" s="3924"/>
      <c r="GV101" s="3924"/>
      <c r="GW101" s="3924"/>
      <c r="GX101" s="3924"/>
      <c r="GY101" s="3924"/>
      <c r="GZ101" s="3924"/>
      <c r="HA101" s="3924"/>
      <c r="HB101" s="3924"/>
      <c r="HC101" s="3924"/>
      <c r="HD101" s="3924"/>
      <c r="HE101" s="3924"/>
      <c r="HF101" s="3924"/>
      <c r="HG101" s="3924"/>
      <c r="HH101" s="3924"/>
      <c r="HI101" s="3924"/>
      <c r="HJ101" s="3924"/>
      <c r="HK101" s="3924"/>
      <c r="HL101" s="3924"/>
      <c r="HM101" s="3924"/>
      <c r="HN101" s="3924"/>
      <c r="HO101" s="3924"/>
      <c r="HP101" s="3924"/>
      <c r="HQ101" s="3924"/>
      <c r="HR101" s="3924"/>
      <c r="HS101" s="3924"/>
      <c r="HT101" s="3924"/>
      <c r="HU101" s="3924"/>
      <c r="HV101" s="3924"/>
      <c r="HW101" s="3924"/>
      <c r="HX101" s="3924"/>
      <c r="HY101" s="3924"/>
      <c r="HZ101" s="3924"/>
      <c r="IA101" s="3924"/>
      <c r="IB101" s="3924"/>
      <c r="IC101" s="3924"/>
      <c r="ID101" s="3924"/>
      <c r="IE101" s="3924"/>
      <c r="IF101" s="3924"/>
      <c r="IG101" s="3924"/>
      <c r="IH101" s="3924"/>
      <c r="II101" s="3924"/>
      <c r="IJ101" s="3924"/>
      <c r="IK101" s="3924"/>
      <c r="IL101" s="3924"/>
      <c r="IM101" s="3924"/>
      <c r="IN101" s="3924"/>
      <c r="IO101" s="3924"/>
      <c r="IP101" s="3924"/>
      <c r="IQ101" s="3924"/>
      <c r="IR101" s="3924"/>
      <c r="IS101" s="3924"/>
      <c r="IT101" s="3924"/>
      <c r="IU101" s="3924"/>
      <c r="IV101" s="3924"/>
      <c r="IW101" s="3924"/>
      <c r="IX101" s="3924"/>
      <c r="IY101" s="3924"/>
      <c r="IZ101" s="3924"/>
      <c r="JA101" s="3924"/>
      <c r="JB101" s="3924"/>
      <c r="JC101" s="3924"/>
      <c r="JD101" s="3924"/>
      <c r="JE101" s="3924"/>
      <c r="JF101" s="3924"/>
      <c r="JG101" s="1707"/>
      <c r="JH101" s="1361"/>
      <c r="JI101" s="1390"/>
      <c r="JJ101" s="1572" t="s">
        <v>6108</v>
      </c>
    </row>
    <row ht="33.75" r="102" spans="1:270" x14ac:dyDescent="0.2">
      <c r="A102" s="1128">
        <v>40</v>
      </c>
      <c r="B102" s="1285" t="str">
        <f si="5" t="shared"/>
        <v/>
      </c>
      <c r="C102" s="1585" t="s">
        <v>3648</v>
      </c>
      <c r="D102" s="1372" t="s">
        <v>4943</v>
      </c>
      <c r="E102" s="1704"/>
      <c r="F102" s="1704"/>
      <c r="G102" s="1704"/>
      <c r="H102" s="2932"/>
      <c r="I102" s="2957"/>
      <c r="J102" s="2932"/>
      <c r="K102" s="2957"/>
      <c r="L102" s="2957">
        <v>49140</v>
      </c>
      <c r="M102" s="2957">
        <v>49140</v>
      </c>
      <c r="N102" s="2932"/>
      <c r="O102" s="1904"/>
      <c r="P102" s="2050"/>
      <c r="Q102" s="2050"/>
      <c r="R102" s="2050"/>
      <c r="S102" s="2050"/>
      <c r="T102" s="3924"/>
      <c r="U102" s="3924"/>
      <c r="V102" s="3924"/>
      <c r="W102" s="3924"/>
      <c r="X102" s="3924"/>
      <c r="Y102" s="3924"/>
      <c r="Z102" s="3924"/>
      <c r="AA102" s="3924"/>
      <c r="AB102" s="3924"/>
      <c r="AC102" s="3924"/>
      <c r="AD102" s="3924"/>
      <c r="AE102" s="3924"/>
      <c r="AF102" s="3924"/>
      <c r="AG102" s="3924"/>
      <c r="AH102" s="3924"/>
      <c r="AI102" s="3924"/>
      <c r="AJ102" s="3924"/>
      <c r="AK102" s="3924"/>
      <c r="AL102" s="3924"/>
      <c r="AM102" s="3924"/>
      <c r="AN102" s="3924"/>
      <c r="AO102" s="3924"/>
      <c r="AP102" s="3924"/>
      <c r="AQ102" s="3924"/>
      <c r="AR102" s="3924"/>
      <c r="AS102" s="3924"/>
      <c r="AT102" s="3924"/>
      <c r="AU102" s="3924"/>
      <c r="AV102" s="3924"/>
      <c r="AW102" s="3924"/>
      <c r="AX102" s="3924"/>
      <c r="AY102" s="3924"/>
      <c r="AZ102" s="3924"/>
      <c r="BA102" s="3924"/>
      <c r="BB102" s="3924"/>
      <c r="BC102" s="3924"/>
      <c r="BD102" s="3924"/>
      <c r="BE102" s="3924"/>
      <c r="BF102" s="3924"/>
      <c r="BG102" s="3924"/>
      <c r="BH102" s="3924"/>
      <c r="BI102" s="3924"/>
      <c r="BJ102" s="3924"/>
      <c r="BK102" s="3924"/>
      <c r="BL102" s="3924"/>
      <c r="BM102" s="3924"/>
      <c r="BN102" s="3924"/>
      <c r="BO102" s="3924"/>
      <c r="BP102" s="3924"/>
      <c r="BQ102" s="3924"/>
      <c r="BR102" s="3924"/>
      <c r="BS102" s="3924"/>
      <c r="BT102" s="3924"/>
      <c r="BU102" s="3924"/>
      <c r="BV102" s="3924"/>
      <c r="BW102" s="3924"/>
      <c r="BX102" s="3924"/>
      <c r="BY102" s="3924"/>
      <c r="BZ102" s="3924"/>
      <c r="CA102" s="3924"/>
      <c r="CB102" s="3924"/>
      <c r="CC102" s="3924"/>
      <c r="CD102" s="3924"/>
      <c r="CE102" s="3924"/>
      <c r="CF102" s="3924"/>
      <c r="CG102" s="3924"/>
      <c r="CH102" s="3924"/>
      <c r="CI102" s="3924"/>
      <c r="CJ102" s="3924"/>
      <c r="CK102" s="3924"/>
      <c r="CL102" s="3924"/>
      <c r="CM102" s="3924"/>
      <c r="CN102" s="3924"/>
      <c r="CO102" s="3924"/>
      <c r="CP102" s="3924"/>
      <c r="CQ102" s="3924"/>
      <c r="CR102" s="3924"/>
      <c r="CS102" s="3924"/>
      <c r="CT102" s="3924"/>
      <c r="CU102" s="3924"/>
      <c r="CV102" s="3924"/>
      <c r="CW102" s="3924"/>
      <c r="CX102" s="3924"/>
      <c r="CY102" s="3924"/>
      <c r="CZ102" s="3924"/>
      <c r="DA102" s="3924"/>
      <c r="DB102" s="3924"/>
      <c r="DC102" s="3924"/>
      <c r="DD102" s="3924"/>
      <c r="DE102" s="3924"/>
      <c r="DF102" s="3924"/>
      <c r="DG102" s="3924"/>
      <c r="DH102" s="3924"/>
      <c r="DI102" s="3924"/>
      <c r="DJ102" s="3924"/>
      <c r="DK102" s="3924"/>
      <c r="DL102" s="3924"/>
      <c r="DM102" s="3924"/>
      <c r="DN102" s="3924"/>
      <c r="DO102" s="3924"/>
      <c r="DP102" s="3924"/>
      <c r="DQ102" s="3924"/>
      <c r="DR102" s="3924"/>
      <c r="DS102" s="3924"/>
      <c r="DT102" s="3924"/>
      <c r="DU102" s="3924"/>
      <c r="DV102" s="3924"/>
      <c r="DW102" s="3924"/>
      <c r="DX102" s="3924"/>
      <c r="DY102" s="3924"/>
      <c r="DZ102" s="3924"/>
      <c r="EA102" s="3924"/>
      <c r="EB102" s="3924"/>
      <c r="EC102" s="3924"/>
      <c r="ED102" s="3924"/>
      <c r="EE102" s="3924"/>
      <c r="EF102" s="3924"/>
      <c r="EG102" s="3924"/>
      <c r="EH102" s="3924"/>
      <c r="EI102" s="3924"/>
      <c r="EJ102" s="3924"/>
      <c r="EK102" s="3924"/>
      <c r="EL102" s="3924"/>
      <c r="EM102" s="3924"/>
      <c r="EN102" s="3924"/>
      <c r="EO102" s="3924"/>
      <c r="EP102" s="3924"/>
      <c r="EQ102" s="3924"/>
      <c r="ER102" s="3924"/>
      <c r="ES102" s="3924"/>
      <c r="ET102" s="3924"/>
      <c r="EU102" s="3924"/>
      <c r="EV102" s="3924"/>
      <c r="EW102" s="3924"/>
      <c r="EX102" s="3924"/>
      <c r="EY102" s="3924"/>
      <c r="EZ102" s="3924"/>
      <c r="FA102" s="3924"/>
      <c r="FB102" s="3924"/>
      <c r="FC102" s="3924"/>
      <c r="FD102" s="3924"/>
      <c r="FE102" s="3924"/>
      <c r="FF102" s="3924"/>
      <c r="FG102" s="3924"/>
      <c r="FH102" s="3924"/>
      <c r="FI102" s="3924"/>
      <c r="FJ102" s="3924"/>
      <c r="FK102" s="3924"/>
      <c r="FL102" s="3924"/>
      <c r="FM102" s="3924"/>
      <c r="FN102" s="3924"/>
      <c r="FO102" s="3924"/>
      <c r="FP102" s="3924"/>
      <c r="FQ102" s="3924"/>
      <c r="FR102" s="3924"/>
      <c r="FS102" s="3924"/>
      <c r="FT102" s="3924"/>
      <c r="FU102" s="3924"/>
      <c r="FV102" s="3924"/>
      <c r="FW102" s="3924"/>
      <c r="FX102" s="3924"/>
      <c r="FY102" s="3924"/>
      <c r="FZ102" s="3924"/>
      <c r="GA102" s="3924"/>
      <c r="GB102" s="3924"/>
      <c r="GC102" s="3924"/>
      <c r="GD102" s="3924"/>
      <c r="GE102" s="3924"/>
      <c r="GF102" s="3924"/>
      <c r="GG102" s="3924"/>
      <c r="GH102" s="3924"/>
      <c r="GI102" s="3924"/>
      <c r="GJ102" s="3924"/>
      <c r="GK102" s="3924"/>
      <c r="GL102" s="3924"/>
      <c r="GM102" s="3924"/>
      <c r="GN102" s="3924"/>
      <c r="GO102" s="3924"/>
      <c r="GP102" s="3924"/>
      <c r="GQ102" s="3924"/>
      <c r="GR102" s="3924"/>
      <c r="GS102" s="3924"/>
      <c r="GT102" s="3924"/>
      <c r="GU102" s="3924"/>
      <c r="GV102" s="3924"/>
      <c r="GW102" s="3924"/>
      <c r="GX102" s="3924"/>
      <c r="GY102" s="3924"/>
      <c r="GZ102" s="3924"/>
      <c r="HA102" s="3924"/>
      <c r="HB102" s="3924"/>
      <c r="HC102" s="3924"/>
      <c r="HD102" s="3924"/>
      <c r="HE102" s="3924"/>
      <c r="HF102" s="3924"/>
      <c r="HG102" s="3924"/>
      <c r="HH102" s="3924"/>
      <c r="HI102" s="3924"/>
      <c r="HJ102" s="3924"/>
      <c r="HK102" s="3924"/>
      <c r="HL102" s="3924"/>
      <c r="HM102" s="3924"/>
      <c r="HN102" s="3924"/>
      <c r="HO102" s="3924"/>
      <c r="HP102" s="3924"/>
      <c r="HQ102" s="3924"/>
      <c r="HR102" s="3924"/>
      <c r="HS102" s="3924"/>
      <c r="HT102" s="3924"/>
      <c r="HU102" s="3924"/>
      <c r="HV102" s="3924"/>
      <c r="HW102" s="3924"/>
      <c r="HX102" s="3924"/>
      <c r="HY102" s="3924"/>
      <c r="HZ102" s="3924"/>
      <c r="IA102" s="3924"/>
      <c r="IB102" s="3924"/>
      <c r="IC102" s="3924"/>
      <c r="ID102" s="3924"/>
      <c r="IE102" s="3924"/>
      <c r="IF102" s="3924"/>
      <c r="IG102" s="3924"/>
      <c r="IH102" s="3924"/>
      <c r="II102" s="3924"/>
      <c r="IJ102" s="3924"/>
      <c r="IK102" s="3924"/>
      <c r="IL102" s="3924"/>
      <c r="IM102" s="3924"/>
      <c r="IN102" s="3924"/>
      <c r="IO102" s="3924"/>
      <c r="IP102" s="3924"/>
      <c r="IQ102" s="3924"/>
      <c r="IR102" s="3924"/>
      <c r="IS102" s="3924"/>
      <c r="IT102" s="3924"/>
      <c r="IU102" s="3924"/>
      <c r="IV102" s="3924"/>
      <c r="IW102" s="3924"/>
      <c r="IX102" s="3924"/>
      <c r="IY102" s="3924"/>
      <c r="IZ102" s="3924"/>
      <c r="JA102" s="3924"/>
      <c r="JB102" s="3924"/>
      <c r="JC102" s="3924"/>
      <c r="JD102" s="3924"/>
      <c r="JE102" s="3924"/>
      <c r="JF102" s="3924"/>
      <c r="JG102" s="1707"/>
      <c r="JH102" s="1361"/>
      <c r="JI102" s="1390" t="s">
        <v>5388</v>
      </c>
      <c r="JJ102" s="1572" t="s">
        <v>6108</v>
      </c>
    </row>
    <row ht="33.75" r="103" spans="1:270" x14ac:dyDescent="0.2">
      <c r="A103" s="1128">
        <v>41</v>
      </c>
      <c r="B103" s="1285" t="str">
        <f si="5" t="shared"/>
        <v/>
      </c>
      <c r="C103" s="1585" t="s">
        <v>2269</v>
      </c>
      <c r="D103" s="1372" t="s">
        <v>5000</v>
      </c>
      <c r="E103" s="1704"/>
      <c r="F103" s="1704"/>
      <c r="G103" s="1704"/>
      <c r="H103" s="2932"/>
      <c r="I103" s="2957"/>
      <c r="J103" s="2932"/>
      <c r="K103" s="2957"/>
      <c r="L103" s="2957"/>
      <c r="M103" s="2932">
        <v>2115</v>
      </c>
      <c r="N103" s="2932"/>
      <c r="O103" s="1904"/>
      <c r="P103" s="2050"/>
      <c r="Q103" s="2050"/>
      <c r="R103" s="2050"/>
      <c r="S103" s="2050"/>
      <c r="T103" s="3924"/>
      <c r="U103" s="3924"/>
      <c r="V103" s="3924"/>
      <c r="W103" s="3924"/>
      <c r="X103" s="3924"/>
      <c r="Y103" s="3924"/>
      <c r="Z103" s="3924"/>
      <c r="AA103" s="3924"/>
      <c r="AB103" s="3924"/>
      <c r="AC103" s="3924"/>
      <c r="AD103" s="3924"/>
      <c r="AE103" s="3924"/>
      <c r="AF103" s="3924"/>
      <c r="AG103" s="3924"/>
      <c r="AH103" s="3924"/>
      <c r="AI103" s="3924"/>
      <c r="AJ103" s="3924"/>
      <c r="AK103" s="3924"/>
      <c r="AL103" s="3924"/>
      <c r="AM103" s="3924"/>
      <c r="AN103" s="3924"/>
      <c r="AO103" s="3924"/>
      <c r="AP103" s="3924"/>
      <c r="AQ103" s="3924"/>
      <c r="AR103" s="3924"/>
      <c r="AS103" s="3924"/>
      <c r="AT103" s="3924"/>
      <c r="AU103" s="3924"/>
      <c r="AV103" s="3924"/>
      <c r="AW103" s="3924"/>
      <c r="AX103" s="3924"/>
      <c r="AY103" s="3924"/>
      <c r="AZ103" s="3924"/>
      <c r="BA103" s="3924"/>
      <c r="BB103" s="3924"/>
      <c r="BC103" s="3924"/>
      <c r="BD103" s="3924"/>
      <c r="BE103" s="3924"/>
      <c r="BF103" s="3924"/>
      <c r="BG103" s="3924"/>
      <c r="BH103" s="3924"/>
      <c r="BI103" s="3924"/>
      <c r="BJ103" s="3924"/>
      <c r="BK103" s="3924"/>
      <c r="BL103" s="3924"/>
      <c r="BM103" s="3924"/>
      <c r="BN103" s="3924"/>
      <c r="BO103" s="3924"/>
      <c r="BP103" s="3924"/>
      <c r="BQ103" s="3924"/>
      <c r="BR103" s="3924"/>
      <c r="BS103" s="3924"/>
      <c r="BT103" s="3924"/>
      <c r="BU103" s="3924"/>
      <c r="BV103" s="3924"/>
      <c r="BW103" s="3924"/>
      <c r="BX103" s="3924"/>
      <c r="BY103" s="3924"/>
      <c r="BZ103" s="3924"/>
      <c r="CA103" s="3924"/>
      <c r="CB103" s="3924"/>
      <c r="CC103" s="3924"/>
      <c r="CD103" s="3924"/>
      <c r="CE103" s="3924"/>
      <c r="CF103" s="3924"/>
      <c r="CG103" s="3924"/>
      <c r="CH103" s="3924"/>
      <c r="CI103" s="3924"/>
      <c r="CJ103" s="3924"/>
      <c r="CK103" s="3924"/>
      <c r="CL103" s="3924"/>
      <c r="CM103" s="3924"/>
      <c r="CN103" s="3924"/>
      <c r="CO103" s="3924"/>
      <c r="CP103" s="3924"/>
      <c r="CQ103" s="3924"/>
      <c r="CR103" s="3924"/>
      <c r="CS103" s="3924"/>
      <c r="CT103" s="3924"/>
      <c r="CU103" s="3924"/>
      <c r="CV103" s="3924"/>
      <c r="CW103" s="3924"/>
      <c r="CX103" s="3924"/>
      <c r="CY103" s="3924"/>
      <c r="CZ103" s="3924"/>
      <c r="DA103" s="3924"/>
      <c r="DB103" s="3924"/>
      <c r="DC103" s="3924"/>
      <c r="DD103" s="3924"/>
      <c r="DE103" s="3924"/>
      <c r="DF103" s="3924"/>
      <c r="DG103" s="3924"/>
      <c r="DH103" s="3924"/>
      <c r="DI103" s="3924"/>
      <c r="DJ103" s="3924"/>
      <c r="DK103" s="3924"/>
      <c r="DL103" s="3924"/>
      <c r="DM103" s="3924"/>
      <c r="DN103" s="3924"/>
      <c r="DO103" s="3924"/>
      <c r="DP103" s="3924"/>
      <c r="DQ103" s="3924"/>
      <c r="DR103" s="3924"/>
      <c r="DS103" s="3924"/>
      <c r="DT103" s="3924"/>
      <c r="DU103" s="3924"/>
      <c r="DV103" s="3924"/>
      <c r="DW103" s="3924"/>
      <c r="DX103" s="3924"/>
      <c r="DY103" s="3924"/>
      <c r="DZ103" s="3924"/>
      <c r="EA103" s="3924"/>
      <c r="EB103" s="3924"/>
      <c r="EC103" s="3924"/>
      <c r="ED103" s="3924"/>
      <c r="EE103" s="3924"/>
      <c r="EF103" s="3924"/>
      <c r="EG103" s="3924"/>
      <c r="EH103" s="3924"/>
      <c r="EI103" s="3924"/>
      <c r="EJ103" s="3924"/>
      <c r="EK103" s="3924"/>
      <c r="EL103" s="3924"/>
      <c r="EM103" s="3924"/>
      <c r="EN103" s="3924"/>
      <c r="EO103" s="3924"/>
      <c r="EP103" s="3924"/>
      <c r="EQ103" s="3924"/>
      <c r="ER103" s="3924"/>
      <c r="ES103" s="3924"/>
      <c r="ET103" s="3924"/>
      <c r="EU103" s="3924"/>
      <c r="EV103" s="3924"/>
      <c r="EW103" s="3924"/>
      <c r="EX103" s="3924"/>
      <c r="EY103" s="3924"/>
      <c r="EZ103" s="3924"/>
      <c r="FA103" s="3924"/>
      <c r="FB103" s="3924"/>
      <c r="FC103" s="3924"/>
      <c r="FD103" s="3924"/>
      <c r="FE103" s="3924"/>
      <c r="FF103" s="3924"/>
      <c r="FG103" s="3924"/>
      <c r="FH103" s="3924"/>
      <c r="FI103" s="3924"/>
      <c r="FJ103" s="3924"/>
      <c r="FK103" s="3924"/>
      <c r="FL103" s="3924"/>
      <c r="FM103" s="3924"/>
      <c r="FN103" s="3924"/>
      <c r="FO103" s="3924"/>
      <c r="FP103" s="3924"/>
      <c r="FQ103" s="3924"/>
      <c r="FR103" s="3924"/>
      <c r="FS103" s="3924"/>
      <c r="FT103" s="3924"/>
      <c r="FU103" s="3924"/>
      <c r="FV103" s="3924"/>
      <c r="FW103" s="3924"/>
      <c r="FX103" s="3924"/>
      <c r="FY103" s="3924"/>
      <c r="FZ103" s="3924"/>
      <c r="GA103" s="3924"/>
      <c r="GB103" s="3924"/>
      <c r="GC103" s="3924"/>
      <c r="GD103" s="3924"/>
      <c r="GE103" s="3924"/>
      <c r="GF103" s="3924"/>
      <c r="GG103" s="3924"/>
      <c r="GH103" s="3924"/>
      <c r="GI103" s="3924"/>
      <c r="GJ103" s="3924"/>
      <c r="GK103" s="3924"/>
      <c r="GL103" s="3924"/>
      <c r="GM103" s="3924"/>
      <c r="GN103" s="3924"/>
      <c r="GO103" s="3924"/>
      <c r="GP103" s="3924"/>
      <c r="GQ103" s="3924"/>
      <c r="GR103" s="3924"/>
      <c r="GS103" s="3924"/>
      <c r="GT103" s="3924"/>
      <c r="GU103" s="3924"/>
      <c r="GV103" s="3924"/>
      <c r="GW103" s="3924"/>
      <c r="GX103" s="3924"/>
      <c r="GY103" s="3924"/>
      <c r="GZ103" s="3924"/>
      <c r="HA103" s="3924"/>
      <c r="HB103" s="3924"/>
      <c r="HC103" s="3924"/>
      <c r="HD103" s="3924"/>
      <c r="HE103" s="3924"/>
      <c r="HF103" s="3924"/>
      <c r="HG103" s="3924"/>
      <c r="HH103" s="3924"/>
      <c r="HI103" s="3924"/>
      <c r="HJ103" s="3924"/>
      <c r="HK103" s="3924"/>
      <c r="HL103" s="3924"/>
      <c r="HM103" s="3924"/>
      <c r="HN103" s="3924"/>
      <c r="HO103" s="3924"/>
      <c r="HP103" s="3924"/>
      <c r="HQ103" s="3924"/>
      <c r="HR103" s="3924"/>
      <c r="HS103" s="3924"/>
      <c r="HT103" s="3924"/>
      <c r="HU103" s="3924"/>
      <c r="HV103" s="3924"/>
      <c r="HW103" s="3924"/>
      <c r="HX103" s="3924"/>
      <c r="HY103" s="3924"/>
      <c r="HZ103" s="3924"/>
      <c r="IA103" s="3924"/>
      <c r="IB103" s="3924"/>
      <c r="IC103" s="3924"/>
      <c r="ID103" s="3924"/>
      <c r="IE103" s="3924"/>
      <c r="IF103" s="3924"/>
      <c r="IG103" s="3924"/>
      <c r="IH103" s="3924"/>
      <c r="II103" s="3924"/>
      <c r="IJ103" s="3924"/>
      <c r="IK103" s="3924"/>
      <c r="IL103" s="3924"/>
      <c r="IM103" s="3924"/>
      <c r="IN103" s="3924"/>
      <c r="IO103" s="3924"/>
      <c r="IP103" s="3924"/>
      <c r="IQ103" s="3924"/>
      <c r="IR103" s="3924"/>
      <c r="IS103" s="3924"/>
      <c r="IT103" s="3924"/>
      <c r="IU103" s="3924"/>
      <c r="IV103" s="3924"/>
      <c r="IW103" s="3924"/>
      <c r="IX103" s="3924"/>
      <c r="IY103" s="3924"/>
      <c r="IZ103" s="3924"/>
      <c r="JA103" s="3924"/>
      <c r="JB103" s="3924"/>
      <c r="JC103" s="3924"/>
      <c r="JD103" s="3924"/>
      <c r="JE103" s="3924"/>
      <c r="JF103" s="3924"/>
      <c r="JG103" s="1707"/>
      <c r="JH103" s="1361"/>
      <c r="JI103" s="1391" t="s">
        <v>6582</v>
      </c>
      <c r="JJ103" s="1572" t="s">
        <v>6124</v>
      </c>
    </row>
    <row r="104" spans="1:270" x14ac:dyDescent="0.2">
      <c r="A104" s="1128">
        <v>42</v>
      </c>
      <c r="B104" s="1285" t="str">
        <f si="5" t="shared"/>
        <v/>
      </c>
      <c r="C104" s="1604" t="s">
        <v>974</v>
      </c>
      <c r="D104" s="1372" t="str">
        <f>"If you have remitted nominated income or gains during "&amp;tax_year&amp;", put ‘X’ in the box unless what you have remitted is within the £10 aggregate limit"</f>
        <v>If you have remitted nominated income or gains during 2019-20, put ‘X’ in the box unless what you have remitted is within the £10 aggregate limit</v>
      </c>
      <c r="E104" s="1588" t="s">
        <v>1189</v>
      </c>
      <c r="F104" s="1588" t="s">
        <v>1189</v>
      </c>
      <c r="G104" s="1588" t="s">
        <v>1189</v>
      </c>
      <c r="H104" s="1605" t="s">
        <v>1189</v>
      </c>
      <c r="I104" s="1588" t="s">
        <v>1189</v>
      </c>
      <c r="J104" s="1588" t="s">
        <v>1189</v>
      </c>
      <c r="K104" s="1351"/>
      <c r="L104" s="1351" t="s">
        <v>572</v>
      </c>
      <c r="M104" s="1351" t="s">
        <v>572</v>
      </c>
      <c r="N104" s="1588"/>
      <c r="O104" s="1902"/>
      <c r="P104" s="2045"/>
      <c r="Q104" s="2045"/>
      <c r="R104" s="2045"/>
      <c r="S104" s="2045"/>
      <c r="T104" s="3807"/>
      <c r="U104" s="3807"/>
      <c r="V104" s="3807"/>
      <c r="W104" s="3807"/>
      <c r="X104" s="3807"/>
      <c r="Y104" s="3807"/>
      <c r="Z104" s="3807"/>
      <c r="AA104" s="3807"/>
      <c r="AB104" s="3807"/>
      <c r="AC104" s="3807"/>
      <c r="AD104" s="3807"/>
      <c r="AE104" s="3807"/>
      <c r="AF104" s="3807"/>
      <c r="AG104" s="3807"/>
      <c r="AH104" s="3807"/>
      <c r="AI104" s="3807"/>
      <c r="AJ104" s="3807"/>
      <c r="AK104" s="3807"/>
      <c r="AL104" s="3807"/>
      <c r="AM104" s="3807"/>
      <c r="AN104" s="3807"/>
      <c r="AO104" s="3807"/>
      <c r="AP104" s="3807"/>
      <c r="AQ104" s="3807"/>
      <c r="AR104" s="3807"/>
      <c r="AS104" s="3807"/>
      <c r="AT104" s="3807"/>
      <c r="AU104" s="3807"/>
      <c r="AV104" s="3807"/>
      <c r="AW104" s="3807"/>
      <c r="AX104" s="3807"/>
      <c r="AY104" s="3807"/>
      <c r="AZ104" s="3807"/>
      <c r="BA104" s="3807"/>
      <c r="BB104" s="3807"/>
      <c r="BC104" s="3807"/>
      <c r="BD104" s="3807"/>
      <c r="BE104" s="3807"/>
      <c r="BF104" s="3807"/>
      <c r="BG104" s="3807"/>
      <c r="BH104" s="3807"/>
      <c r="BI104" s="3807"/>
      <c r="BJ104" s="3807"/>
      <c r="BK104" s="3807"/>
      <c r="BL104" s="3807"/>
      <c r="BM104" s="3807"/>
      <c r="BN104" s="3807"/>
      <c r="BO104" s="3807"/>
      <c r="BP104" s="3807"/>
      <c r="BQ104" s="3807"/>
      <c r="BR104" s="3807"/>
      <c r="BS104" s="3807"/>
      <c r="BT104" s="3807"/>
      <c r="BU104" s="3807"/>
      <c r="BV104" s="3807"/>
      <c r="BW104" s="3807"/>
      <c r="BX104" s="3807"/>
      <c r="BY104" s="3807"/>
      <c r="BZ104" s="3807"/>
      <c r="CA104" s="3807"/>
      <c r="CB104" s="3807"/>
      <c r="CC104" s="3807"/>
      <c r="CD104" s="3807"/>
      <c r="CE104" s="3807"/>
      <c r="CF104" s="3807"/>
      <c r="CG104" s="3807"/>
      <c r="CH104" s="3807"/>
      <c r="CI104" s="3807"/>
      <c r="CJ104" s="3807"/>
      <c r="CK104" s="3807"/>
      <c r="CL104" s="3807"/>
      <c r="CM104" s="3807"/>
      <c r="CN104" s="3807"/>
      <c r="CO104" s="3807"/>
      <c r="CP104" s="3807"/>
      <c r="CQ104" s="3807"/>
      <c r="CR104" s="3807"/>
      <c r="CS104" s="3807"/>
      <c r="CT104" s="3807"/>
      <c r="CU104" s="3807"/>
      <c r="CV104" s="3807"/>
      <c r="CW104" s="3807"/>
      <c r="CX104" s="3807"/>
      <c r="CY104" s="3807"/>
      <c r="CZ104" s="3807"/>
      <c r="DA104" s="3807"/>
      <c r="DB104" s="3807"/>
      <c r="DC104" s="3807"/>
      <c r="DD104" s="3807"/>
      <c r="DE104" s="3807"/>
      <c r="DF104" s="3807"/>
      <c r="DG104" s="3807"/>
      <c r="DH104" s="3807"/>
      <c r="DI104" s="3807"/>
      <c r="DJ104" s="3807"/>
      <c r="DK104" s="3807"/>
      <c r="DL104" s="3807"/>
      <c r="DM104" s="3807"/>
      <c r="DN104" s="3807"/>
      <c r="DO104" s="3807"/>
      <c r="DP104" s="3807"/>
      <c r="DQ104" s="3807"/>
      <c r="DR104" s="3807"/>
      <c r="DS104" s="3807"/>
      <c r="DT104" s="3807"/>
      <c r="DU104" s="3807"/>
      <c r="DV104" s="3807"/>
      <c r="DW104" s="3807"/>
      <c r="DX104" s="3807"/>
      <c r="DY104" s="3807"/>
      <c r="DZ104" s="3807"/>
      <c r="EA104" s="3807"/>
      <c r="EB104" s="3807"/>
      <c r="EC104" s="3807"/>
      <c r="ED104" s="3807"/>
      <c r="EE104" s="3807"/>
      <c r="EF104" s="3807"/>
      <c r="EG104" s="3807"/>
      <c r="EH104" s="3807"/>
      <c r="EI104" s="3807"/>
      <c r="EJ104" s="3807"/>
      <c r="EK104" s="3807"/>
      <c r="EL104" s="3807"/>
      <c r="EM104" s="3807"/>
      <c r="EN104" s="3807"/>
      <c r="EO104" s="3807"/>
      <c r="EP104" s="3807"/>
      <c r="EQ104" s="3807"/>
      <c r="ER104" s="3807"/>
      <c r="ES104" s="3807"/>
      <c r="ET104" s="3807"/>
      <c r="EU104" s="3807"/>
      <c r="EV104" s="3807"/>
      <c r="EW104" s="3807"/>
      <c r="EX104" s="3807"/>
      <c r="EY104" s="3807"/>
      <c r="EZ104" s="3807"/>
      <c r="FA104" s="3807"/>
      <c r="FB104" s="3807"/>
      <c r="FC104" s="3807"/>
      <c r="FD104" s="3807"/>
      <c r="FE104" s="3807"/>
      <c r="FF104" s="3807"/>
      <c r="FG104" s="3807"/>
      <c r="FH104" s="3807"/>
      <c r="FI104" s="3807"/>
      <c r="FJ104" s="3807"/>
      <c r="FK104" s="3807"/>
      <c r="FL104" s="3807"/>
      <c r="FM104" s="3807"/>
      <c r="FN104" s="3807"/>
      <c r="FO104" s="3807"/>
      <c r="FP104" s="3807"/>
      <c r="FQ104" s="3807"/>
      <c r="FR104" s="3807"/>
      <c r="FS104" s="3807"/>
      <c r="FT104" s="3807"/>
      <c r="FU104" s="3807"/>
      <c r="FV104" s="3807"/>
      <c r="FW104" s="3807"/>
      <c r="FX104" s="3807"/>
      <c r="FY104" s="3807"/>
      <c r="FZ104" s="3807"/>
      <c r="GA104" s="3807"/>
      <c r="GB104" s="3807"/>
      <c r="GC104" s="3807"/>
      <c r="GD104" s="3807"/>
      <c r="GE104" s="3807"/>
      <c r="GF104" s="3807"/>
      <c r="GG104" s="3807"/>
      <c r="GH104" s="3807"/>
      <c r="GI104" s="3807"/>
      <c r="GJ104" s="3807"/>
      <c r="GK104" s="3807"/>
      <c r="GL104" s="3807"/>
      <c r="GM104" s="3807"/>
      <c r="GN104" s="3807"/>
      <c r="GO104" s="3807"/>
      <c r="GP104" s="3807"/>
      <c r="GQ104" s="3807"/>
      <c r="GR104" s="3807"/>
      <c r="GS104" s="3807"/>
      <c r="GT104" s="3807"/>
      <c r="GU104" s="3807"/>
      <c r="GV104" s="3807"/>
      <c r="GW104" s="3807"/>
      <c r="GX104" s="3807"/>
      <c r="GY104" s="3807"/>
      <c r="GZ104" s="3807"/>
      <c r="HA104" s="3807"/>
      <c r="HB104" s="3807"/>
      <c r="HC104" s="3807"/>
      <c r="HD104" s="3807"/>
      <c r="HE104" s="3807"/>
      <c r="HF104" s="3807"/>
      <c r="HG104" s="3807"/>
      <c r="HH104" s="3807"/>
      <c r="HI104" s="3807"/>
      <c r="HJ104" s="3807"/>
      <c r="HK104" s="3807"/>
      <c r="HL104" s="3807"/>
      <c r="HM104" s="3807"/>
      <c r="HN104" s="3807"/>
      <c r="HO104" s="3807"/>
      <c r="HP104" s="3807"/>
      <c r="HQ104" s="3807"/>
      <c r="HR104" s="3807"/>
      <c r="HS104" s="3807"/>
      <c r="HT104" s="3807"/>
      <c r="HU104" s="3807"/>
      <c r="HV104" s="3807"/>
      <c r="HW104" s="3807"/>
      <c r="HX104" s="3807"/>
      <c r="HY104" s="3807"/>
      <c r="HZ104" s="3807"/>
      <c r="IA104" s="3807"/>
      <c r="IB104" s="3807"/>
      <c r="IC104" s="3807"/>
      <c r="ID104" s="3807"/>
      <c r="IE104" s="3807"/>
      <c r="IF104" s="3807"/>
      <c r="IG104" s="3807"/>
      <c r="IH104" s="3807"/>
      <c r="II104" s="3807"/>
      <c r="IJ104" s="3807"/>
      <c r="IK104" s="3807"/>
      <c r="IL104" s="3807"/>
      <c r="IM104" s="3807"/>
      <c r="IN104" s="3807"/>
      <c r="IO104" s="3807"/>
      <c r="IP104" s="3807"/>
      <c r="IQ104" s="3807"/>
      <c r="IR104" s="3807"/>
      <c r="IS104" s="3807"/>
      <c r="IT104" s="3807"/>
      <c r="IU104" s="3807"/>
      <c r="IV104" s="3807"/>
      <c r="IW104" s="3807"/>
      <c r="IX104" s="3807"/>
      <c r="IY104" s="3807"/>
      <c r="IZ104" s="3807"/>
      <c r="JA104" s="3807"/>
      <c r="JB104" s="3807"/>
      <c r="JC104" s="3807"/>
      <c r="JD104" s="3807"/>
      <c r="JE104" s="3807"/>
      <c r="JF104" s="3807"/>
      <c r="JG104" s="1591"/>
      <c r="JH104" s="1361"/>
      <c r="JI104" s="1390"/>
      <c r="JJ104" s="1572" t="s">
        <v>6111</v>
      </c>
    </row>
    <row r="105" spans="1:270" x14ac:dyDescent="0.2">
      <c r="A105" s="1128">
        <v>43</v>
      </c>
      <c r="B105" s="1285" t="str">
        <f si="5" t="shared"/>
        <v/>
      </c>
      <c r="C105" s="1604" t="s">
        <v>975</v>
      </c>
      <c r="D105" s="1372" t="s">
        <v>5001</v>
      </c>
      <c r="E105" s="1708"/>
      <c r="F105" s="1708"/>
      <c r="G105" s="1708"/>
      <c r="H105" s="1709"/>
      <c r="I105" s="1708"/>
      <c r="J105" s="1709"/>
      <c r="K105" s="1709"/>
      <c r="L105" s="1709"/>
      <c r="M105" s="1709"/>
      <c r="N105" s="1709"/>
      <c r="O105" s="1907"/>
      <c r="P105" s="2051"/>
      <c r="Q105" s="2051"/>
      <c r="R105" s="2051"/>
      <c r="S105" s="2051"/>
      <c r="T105" s="3926"/>
      <c r="U105" s="3926"/>
      <c r="V105" s="3926"/>
      <c r="W105" s="3926"/>
      <c r="X105" s="3926"/>
      <c r="Y105" s="3926"/>
      <c r="Z105" s="3926"/>
      <c r="AA105" s="3926"/>
      <c r="AB105" s="3926"/>
      <c r="AC105" s="3926"/>
      <c r="AD105" s="3926"/>
      <c r="AE105" s="3926"/>
      <c r="AF105" s="3926"/>
      <c r="AG105" s="3926"/>
      <c r="AH105" s="3926"/>
      <c r="AI105" s="3926"/>
      <c r="AJ105" s="3926"/>
      <c r="AK105" s="3926"/>
      <c r="AL105" s="3926"/>
      <c r="AM105" s="3926"/>
      <c r="AN105" s="3926"/>
      <c r="AO105" s="3926"/>
      <c r="AP105" s="3926"/>
      <c r="AQ105" s="3926"/>
      <c r="AR105" s="3926"/>
      <c r="AS105" s="3926"/>
      <c r="AT105" s="3926"/>
      <c r="AU105" s="3926"/>
      <c r="AV105" s="3926"/>
      <c r="AW105" s="3926"/>
      <c r="AX105" s="3926"/>
      <c r="AY105" s="3926"/>
      <c r="AZ105" s="3926"/>
      <c r="BA105" s="3926"/>
      <c r="BB105" s="3926"/>
      <c r="BC105" s="3926"/>
      <c r="BD105" s="3926"/>
      <c r="BE105" s="3926"/>
      <c r="BF105" s="3926"/>
      <c r="BG105" s="3926"/>
      <c r="BH105" s="3926"/>
      <c r="BI105" s="3926"/>
      <c r="BJ105" s="3926"/>
      <c r="BK105" s="3926"/>
      <c r="BL105" s="3926"/>
      <c r="BM105" s="3926"/>
      <c r="BN105" s="3926"/>
      <c r="BO105" s="3926"/>
      <c r="BP105" s="3926"/>
      <c r="BQ105" s="3926"/>
      <c r="BR105" s="3926"/>
      <c r="BS105" s="3926"/>
      <c r="BT105" s="3926"/>
      <c r="BU105" s="3926"/>
      <c r="BV105" s="3926"/>
      <c r="BW105" s="3926"/>
      <c r="BX105" s="3926"/>
      <c r="BY105" s="3926"/>
      <c r="BZ105" s="3926"/>
      <c r="CA105" s="3926"/>
      <c r="CB105" s="3926"/>
      <c r="CC105" s="3926"/>
      <c r="CD105" s="3926"/>
      <c r="CE105" s="3926"/>
      <c r="CF105" s="3926"/>
      <c r="CG105" s="3926"/>
      <c r="CH105" s="3926"/>
      <c r="CI105" s="3926"/>
      <c r="CJ105" s="3926"/>
      <c r="CK105" s="3926"/>
      <c r="CL105" s="3926"/>
      <c r="CM105" s="3926"/>
      <c r="CN105" s="3926"/>
      <c r="CO105" s="3926"/>
      <c r="CP105" s="3926"/>
      <c r="CQ105" s="3926"/>
      <c r="CR105" s="3926"/>
      <c r="CS105" s="3926"/>
      <c r="CT105" s="3926"/>
      <c r="CU105" s="3926"/>
      <c r="CV105" s="3926"/>
      <c r="CW105" s="3926"/>
      <c r="CX105" s="3926"/>
      <c r="CY105" s="3926"/>
      <c r="CZ105" s="3926"/>
      <c r="DA105" s="3926"/>
      <c r="DB105" s="3926"/>
      <c r="DC105" s="3926"/>
      <c r="DD105" s="3926"/>
      <c r="DE105" s="3926"/>
      <c r="DF105" s="3926"/>
      <c r="DG105" s="3926"/>
      <c r="DH105" s="3926"/>
      <c r="DI105" s="3926"/>
      <c r="DJ105" s="3926"/>
      <c r="DK105" s="3926"/>
      <c r="DL105" s="3926"/>
      <c r="DM105" s="3926"/>
      <c r="DN105" s="3926"/>
      <c r="DO105" s="3926"/>
      <c r="DP105" s="3926"/>
      <c r="DQ105" s="3926"/>
      <c r="DR105" s="3926"/>
      <c r="DS105" s="3926"/>
      <c r="DT105" s="3926"/>
      <c r="DU105" s="3926"/>
      <c r="DV105" s="3926"/>
      <c r="DW105" s="3926"/>
      <c r="DX105" s="3926"/>
      <c r="DY105" s="3926"/>
      <c r="DZ105" s="3926"/>
      <c r="EA105" s="3926"/>
      <c r="EB105" s="3926"/>
      <c r="EC105" s="3926"/>
      <c r="ED105" s="3926"/>
      <c r="EE105" s="3926"/>
      <c r="EF105" s="3926"/>
      <c r="EG105" s="3926"/>
      <c r="EH105" s="3926"/>
      <c r="EI105" s="3926"/>
      <c r="EJ105" s="3926"/>
      <c r="EK105" s="3926"/>
      <c r="EL105" s="3926"/>
      <c r="EM105" s="3926"/>
      <c r="EN105" s="3926"/>
      <c r="EO105" s="3926"/>
      <c r="EP105" s="3926"/>
      <c r="EQ105" s="3926"/>
      <c r="ER105" s="3926"/>
      <c r="ES105" s="3926"/>
      <c r="ET105" s="3926"/>
      <c r="EU105" s="3926"/>
      <c r="EV105" s="3926"/>
      <c r="EW105" s="3926"/>
      <c r="EX105" s="3926"/>
      <c r="EY105" s="3926"/>
      <c r="EZ105" s="3926"/>
      <c r="FA105" s="3926"/>
      <c r="FB105" s="3926"/>
      <c r="FC105" s="3926"/>
      <c r="FD105" s="3926"/>
      <c r="FE105" s="3926"/>
      <c r="FF105" s="3926"/>
      <c r="FG105" s="3926"/>
      <c r="FH105" s="3926"/>
      <c r="FI105" s="3926"/>
      <c r="FJ105" s="3926"/>
      <c r="FK105" s="3926"/>
      <c r="FL105" s="3926"/>
      <c r="FM105" s="3926"/>
      <c r="FN105" s="3926"/>
      <c r="FO105" s="3926"/>
      <c r="FP105" s="3926"/>
      <c r="FQ105" s="3926"/>
      <c r="FR105" s="3926"/>
      <c r="FS105" s="3926"/>
      <c r="FT105" s="3926"/>
      <c r="FU105" s="3926"/>
      <c r="FV105" s="3926"/>
      <c r="FW105" s="3926"/>
      <c r="FX105" s="3926"/>
      <c r="FY105" s="3926"/>
      <c r="FZ105" s="3926"/>
      <c r="GA105" s="3926"/>
      <c r="GB105" s="3926"/>
      <c r="GC105" s="3926"/>
      <c r="GD105" s="3926"/>
      <c r="GE105" s="3926"/>
      <c r="GF105" s="3926"/>
      <c r="GG105" s="3926"/>
      <c r="GH105" s="3926"/>
      <c r="GI105" s="3926"/>
      <c r="GJ105" s="3926"/>
      <c r="GK105" s="3926"/>
      <c r="GL105" s="3926"/>
      <c r="GM105" s="3926"/>
      <c r="GN105" s="3926"/>
      <c r="GO105" s="3926"/>
      <c r="GP105" s="3926"/>
      <c r="GQ105" s="3926"/>
      <c r="GR105" s="3926"/>
      <c r="GS105" s="3926"/>
      <c r="GT105" s="3926"/>
      <c r="GU105" s="3926"/>
      <c r="GV105" s="3926"/>
      <c r="GW105" s="3926"/>
      <c r="GX105" s="3926"/>
      <c r="GY105" s="3926"/>
      <c r="GZ105" s="3926"/>
      <c r="HA105" s="3926"/>
      <c r="HB105" s="3926"/>
      <c r="HC105" s="3926"/>
      <c r="HD105" s="3926"/>
      <c r="HE105" s="3926"/>
      <c r="HF105" s="3926"/>
      <c r="HG105" s="3926"/>
      <c r="HH105" s="3926"/>
      <c r="HI105" s="3926"/>
      <c r="HJ105" s="3926"/>
      <c r="HK105" s="3926"/>
      <c r="HL105" s="3926"/>
      <c r="HM105" s="3926"/>
      <c r="HN105" s="3926"/>
      <c r="HO105" s="3926"/>
      <c r="HP105" s="3926"/>
      <c r="HQ105" s="3926"/>
      <c r="HR105" s="3926"/>
      <c r="HS105" s="3926"/>
      <c r="HT105" s="3926"/>
      <c r="HU105" s="3926"/>
      <c r="HV105" s="3926"/>
      <c r="HW105" s="3926"/>
      <c r="HX105" s="3926"/>
      <c r="HY105" s="3926"/>
      <c r="HZ105" s="3926"/>
      <c r="IA105" s="3926"/>
      <c r="IB105" s="3926"/>
      <c r="IC105" s="3926"/>
      <c r="ID105" s="3926"/>
      <c r="IE105" s="3926"/>
      <c r="IF105" s="3926"/>
      <c r="IG105" s="3926"/>
      <c r="IH105" s="3926"/>
      <c r="II105" s="3926"/>
      <c r="IJ105" s="3926"/>
      <c r="IK105" s="3926"/>
      <c r="IL105" s="3926"/>
      <c r="IM105" s="3926"/>
      <c r="IN105" s="3926"/>
      <c r="IO105" s="3926"/>
      <c r="IP105" s="3926"/>
      <c r="IQ105" s="3926"/>
      <c r="IR105" s="3926"/>
      <c r="IS105" s="3926"/>
      <c r="IT105" s="3926"/>
      <c r="IU105" s="3926"/>
      <c r="IV105" s="3926"/>
      <c r="IW105" s="3926"/>
      <c r="IX105" s="3926"/>
      <c r="IY105" s="3926"/>
      <c r="IZ105" s="3926"/>
      <c r="JA105" s="3926"/>
      <c r="JB105" s="3926"/>
      <c r="JC105" s="3926"/>
      <c r="JD105" s="3926"/>
      <c r="JE105" s="3926"/>
      <c r="JF105" s="3926"/>
      <c r="JG105" s="1710"/>
      <c r="JH105" s="1361"/>
      <c r="JI105" s="1390"/>
      <c r="JJ105" s="1572" t="s">
        <v>6108</v>
      </c>
    </row>
    <row r="106" spans="1:270" x14ac:dyDescent="0.2">
      <c r="A106" s="1128">
        <v>44</v>
      </c>
      <c r="B106" s="1285" t="str">
        <f si="5" t="shared"/>
        <v/>
      </c>
      <c r="C106" s="1604" t="s">
        <v>976</v>
      </c>
      <c r="D106" s="1372" t="s">
        <v>5002</v>
      </c>
      <c r="E106" s="1588"/>
      <c r="F106" s="1588"/>
      <c r="G106" s="1588"/>
      <c r="H106" s="1351"/>
      <c r="I106" s="1588"/>
      <c r="J106" s="1351"/>
      <c r="K106" s="1351"/>
      <c r="L106" s="1351"/>
      <c r="M106" s="1351"/>
      <c r="N106" s="1351"/>
      <c r="O106" s="1902"/>
      <c r="P106" s="2045"/>
      <c r="Q106" s="2045"/>
      <c r="R106" s="2045"/>
      <c r="S106" s="2045"/>
      <c r="T106" s="3807"/>
      <c r="U106" s="3807"/>
      <c r="V106" s="3807"/>
      <c r="W106" s="3807"/>
      <c r="X106" s="3807"/>
      <c r="Y106" s="3807"/>
      <c r="Z106" s="3807"/>
      <c r="AA106" s="3807"/>
      <c r="AB106" s="3807"/>
      <c r="AC106" s="3807"/>
      <c r="AD106" s="3807"/>
      <c r="AE106" s="3807"/>
      <c r="AF106" s="3807"/>
      <c r="AG106" s="3807"/>
      <c r="AH106" s="3807"/>
      <c r="AI106" s="3807"/>
      <c r="AJ106" s="3807"/>
      <c r="AK106" s="3807"/>
      <c r="AL106" s="3807"/>
      <c r="AM106" s="3807"/>
      <c r="AN106" s="3807"/>
      <c r="AO106" s="3807"/>
      <c r="AP106" s="3807"/>
      <c r="AQ106" s="3807"/>
      <c r="AR106" s="3807"/>
      <c r="AS106" s="3807"/>
      <c r="AT106" s="3807"/>
      <c r="AU106" s="3807"/>
      <c r="AV106" s="3807"/>
      <c r="AW106" s="3807"/>
      <c r="AX106" s="3807"/>
      <c r="AY106" s="3807"/>
      <c r="AZ106" s="3807"/>
      <c r="BA106" s="3807"/>
      <c r="BB106" s="3807"/>
      <c r="BC106" s="3807"/>
      <c r="BD106" s="3807"/>
      <c r="BE106" s="3807"/>
      <c r="BF106" s="3807"/>
      <c r="BG106" s="3807"/>
      <c r="BH106" s="3807"/>
      <c r="BI106" s="3807"/>
      <c r="BJ106" s="3807"/>
      <c r="BK106" s="3807"/>
      <c r="BL106" s="3807"/>
      <c r="BM106" s="3807"/>
      <c r="BN106" s="3807"/>
      <c r="BO106" s="3807"/>
      <c r="BP106" s="3807"/>
      <c r="BQ106" s="3807"/>
      <c r="BR106" s="3807"/>
      <c r="BS106" s="3807"/>
      <c r="BT106" s="3807"/>
      <c r="BU106" s="3807"/>
      <c r="BV106" s="3807"/>
      <c r="BW106" s="3807"/>
      <c r="BX106" s="3807"/>
      <c r="BY106" s="3807"/>
      <c r="BZ106" s="3807"/>
      <c r="CA106" s="3807"/>
      <c r="CB106" s="3807"/>
      <c r="CC106" s="3807"/>
      <c r="CD106" s="3807"/>
      <c r="CE106" s="3807"/>
      <c r="CF106" s="3807"/>
      <c r="CG106" s="3807"/>
      <c r="CH106" s="3807"/>
      <c r="CI106" s="3807"/>
      <c r="CJ106" s="3807"/>
      <c r="CK106" s="3807"/>
      <c r="CL106" s="3807"/>
      <c r="CM106" s="3807"/>
      <c r="CN106" s="3807"/>
      <c r="CO106" s="3807"/>
      <c r="CP106" s="3807"/>
      <c r="CQ106" s="3807"/>
      <c r="CR106" s="3807"/>
      <c r="CS106" s="3807"/>
      <c r="CT106" s="3807"/>
      <c r="CU106" s="3807"/>
      <c r="CV106" s="3807"/>
      <c r="CW106" s="3807"/>
      <c r="CX106" s="3807"/>
      <c r="CY106" s="3807"/>
      <c r="CZ106" s="3807"/>
      <c r="DA106" s="3807"/>
      <c r="DB106" s="3807"/>
      <c r="DC106" s="3807"/>
      <c r="DD106" s="3807"/>
      <c r="DE106" s="3807"/>
      <c r="DF106" s="3807"/>
      <c r="DG106" s="3807"/>
      <c r="DH106" s="3807"/>
      <c r="DI106" s="3807"/>
      <c r="DJ106" s="3807"/>
      <c r="DK106" s="3807"/>
      <c r="DL106" s="3807"/>
      <c r="DM106" s="3807"/>
      <c r="DN106" s="3807"/>
      <c r="DO106" s="3807"/>
      <c r="DP106" s="3807"/>
      <c r="DQ106" s="3807"/>
      <c r="DR106" s="3807"/>
      <c r="DS106" s="3807"/>
      <c r="DT106" s="3807"/>
      <c r="DU106" s="3807"/>
      <c r="DV106" s="3807"/>
      <c r="DW106" s="3807"/>
      <c r="DX106" s="3807"/>
      <c r="DY106" s="3807"/>
      <c r="DZ106" s="3807"/>
      <c r="EA106" s="3807"/>
      <c r="EB106" s="3807"/>
      <c r="EC106" s="3807"/>
      <c r="ED106" s="3807"/>
      <c r="EE106" s="3807"/>
      <c r="EF106" s="3807"/>
      <c r="EG106" s="3807"/>
      <c r="EH106" s="3807"/>
      <c r="EI106" s="3807"/>
      <c r="EJ106" s="3807"/>
      <c r="EK106" s="3807"/>
      <c r="EL106" s="3807"/>
      <c r="EM106" s="3807"/>
      <c r="EN106" s="3807"/>
      <c r="EO106" s="3807"/>
      <c r="EP106" s="3807"/>
      <c r="EQ106" s="3807"/>
      <c r="ER106" s="3807"/>
      <c r="ES106" s="3807"/>
      <c r="ET106" s="3807"/>
      <c r="EU106" s="3807"/>
      <c r="EV106" s="3807"/>
      <c r="EW106" s="3807"/>
      <c r="EX106" s="3807"/>
      <c r="EY106" s="3807"/>
      <c r="EZ106" s="3807"/>
      <c r="FA106" s="3807"/>
      <c r="FB106" s="3807"/>
      <c r="FC106" s="3807"/>
      <c r="FD106" s="3807"/>
      <c r="FE106" s="3807"/>
      <c r="FF106" s="3807"/>
      <c r="FG106" s="3807"/>
      <c r="FH106" s="3807"/>
      <c r="FI106" s="3807"/>
      <c r="FJ106" s="3807"/>
      <c r="FK106" s="3807"/>
      <c r="FL106" s="3807"/>
      <c r="FM106" s="3807"/>
      <c r="FN106" s="3807"/>
      <c r="FO106" s="3807"/>
      <c r="FP106" s="3807"/>
      <c r="FQ106" s="3807"/>
      <c r="FR106" s="3807"/>
      <c r="FS106" s="3807"/>
      <c r="FT106" s="3807"/>
      <c r="FU106" s="3807"/>
      <c r="FV106" s="3807"/>
      <c r="FW106" s="3807"/>
      <c r="FX106" s="3807"/>
      <c r="FY106" s="3807"/>
      <c r="FZ106" s="3807"/>
      <c r="GA106" s="3807"/>
      <c r="GB106" s="3807"/>
      <c r="GC106" s="3807"/>
      <c r="GD106" s="3807"/>
      <c r="GE106" s="3807"/>
      <c r="GF106" s="3807"/>
      <c r="GG106" s="3807"/>
      <c r="GH106" s="3807"/>
      <c r="GI106" s="3807"/>
      <c r="GJ106" s="3807"/>
      <c r="GK106" s="3807"/>
      <c r="GL106" s="3807"/>
      <c r="GM106" s="3807"/>
      <c r="GN106" s="3807"/>
      <c r="GO106" s="3807"/>
      <c r="GP106" s="3807"/>
      <c r="GQ106" s="3807"/>
      <c r="GR106" s="3807"/>
      <c r="GS106" s="3807"/>
      <c r="GT106" s="3807"/>
      <c r="GU106" s="3807"/>
      <c r="GV106" s="3807"/>
      <c r="GW106" s="3807"/>
      <c r="GX106" s="3807"/>
      <c r="GY106" s="3807"/>
      <c r="GZ106" s="3807"/>
      <c r="HA106" s="3807"/>
      <c r="HB106" s="3807"/>
      <c r="HC106" s="3807"/>
      <c r="HD106" s="3807"/>
      <c r="HE106" s="3807"/>
      <c r="HF106" s="3807"/>
      <c r="HG106" s="3807"/>
      <c r="HH106" s="3807"/>
      <c r="HI106" s="3807"/>
      <c r="HJ106" s="3807"/>
      <c r="HK106" s="3807"/>
      <c r="HL106" s="3807"/>
      <c r="HM106" s="3807"/>
      <c r="HN106" s="3807"/>
      <c r="HO106" s="3807"/>
      <c r="HP106" s="3807"/>
      <c r="HQ106" s="3807"/>
      <c r="HR106" s="3807"/>
      <c r="HS106" s="3807"/>
      <c r="HT106" s="3807"/>
      <c r="HU106" s="3807"/>
      <c r="HV106" s="3807"/>
      <c r="HW106" s="3807"/>
      <c r="HX106" s="3807"/>
      <c r="HY106" s="3807"/>
      <c r="HZ106" s="3807"/>
      <c r="IA106" s="3807"/>
      <c r="IB106" s="3807"/>
      <c r="IC106" s="3807"/>
      <c r="ID106" s="3807"/>
      <c r="IE106" s="3807"/>
      <c r="IF106" s="3807"/>
      <c r="IG106" s="3807"/>
      <c r="IH106" s="3807"/>
      <c r="II106" s="3807"/>
      <c r="IJ106" s="3807"/>
      <c r="IK106" s="3807"/>
      <c r="IL106" s="3807"/>
      <c r="IM106" s="3807"/>
      <c r="IN106" s="3807"/>
      <c r="IO106" s="3807"/>
      <c r="IP106" s="3807"/>
      <c r="IQ106" s="3807"/>
      <c r="IR106" s="3807"/>
      <c r="IS106" s="3807"/>
      <c r="IT106" s="3807"/>
      <c r="IU106" s="3807"/>
      <c r="IV106" s="3807"/>
      <c r="IW106" s="3807"/>
      <c r="IX106" s="3807"/>
      <c r="IY106" s="3807"/>
      <c r="IZ106" s="3807"/>
      <c r="JA106" s="3807"/>
      <c r="JB106" s="3807"/>
      <c r="JC106" s="3807"/>
      <c r="JD106" s="3807"/>
      <c r="JE106" s="3807"/>
      <c r="JF106" s="3807"/>
      <c r="JG106" s="1591"/>
      <c r="JH106" s="1361"/>
      <c r="JI106" s="1390"/>
      <c r="JJ106" s="1572" t="s">
        <v>6111</v>
      </c>
    </row>
    <row ht="12.75" r="107" spans="1:270" thickBot="1" x14ac:dyDescent="0.25">
      <c r="A107" s="1128">
        <v>45</v>
      </c>
      <c r="B107" s="1285" t="str">
        <f si="5" t="shared"/>
        <v/>
      </c>
      <c r="C107" s="1609" t="s">
        <v>4545</v>
      </c>
      <c r="D107" s="1610" t="s">
        <v>4835</v>
      </c>
      <c r="E107" s="1611"/>
      <c r="F107" s="1612" t="s">
        <v>4986</v>
      </c>
      <c r="G107" s="1611"/>
      <c r="H107" s="1613"/>
      <c r="I107" s="1613"/>
      <c r="J107" s="1613"/>
      <c r="K107" s="1613"/>
      <c r="L107" s="1613"/>
      <c r="M107" s="1613"/>
      <c r="N107" s="1613"/>
      <c r="O107" s="1908"/>
      <c r="P107" s="1908"/>
      <c r="Q107" s="2077"/>
      <c r="R107" s="2077"/>
      <c r="S107" s="2077"/>
      <c r="T107" s="2077"/>
      <c r="U107" s="2077"/>
      <c r="V107" s="2077"/>
      <c r="W107" s="2077"/>
      <c r="X107" s="2077"/>
      <c r="Y107" s="2077"/>
      <c r="Z107" s="2077"/>
      <c r="AA107" s="2077"/>
      <c r="AB107" s="2077"/>
      <c r="AC107" s="2077"/>
      <c r="AD107" s="2077"/>
      <c r="AE107" s="2077"/>
      <c r="AF107" s="2077"/>
      <c r="AG107" s="2077"/>
      <c r="AH107" s="2077"/>
      <c r="AI107" s="2077"/>
      <c r="AJ107" s="2077"/>
      <c r="AK107" s="2077"/>
      <c r="AL107" s="2077"/>
      <c r="AM107" s="2077"/>
      <c r="AN107" s="2077"/>
      <c r="AO107" s="2077"/>
      <c r="AP107" s="2077"/>
      <c r="AQ107" s="2077"/>
      <c r="AR107" s="2077"/>
      <c r="AS107" s="2077"/>
      <c r="AT107" s="2077"/>
      <c r="AU107" s="2077"/>
      <c r="AV107" s="2077"/>
      <c r="AW107" s="2077"/>
      <c r="AX107" s="2077"/>
      <c r="AY107" s="2077"/>
      <c r="AZ107" s="2077"/>
      <c r="BA107" s="2077"/>
      <c r="BB107" s="2077"/>
      <c r="BC107" s="2077"/>
      <c r="BD107" s="2077"/>
      <c r="BE107" s="2077"/>
      <c r="BF107" s="2077"/>
      <c r="BG107" s="2077"/>
      <c r="BH107" s="2077"/>
      <c r="BI107" s="2077"/>
      <c r="BJ107" s="2077"/>
      <c r="BK107" s="2077"/>
      <c r="BL107" s="2077"/>
      <c r="BM107" s="2077"/>
      <c r="BN107" s="2077"/>
      <c r="BO107" s="2077"/>
      <c r="BP107" s="2077"/>
      <c r="BQ107" s="2077"/>
      <c r="BR107" s="2077"/>
      <c r="BS107" s="2077"/>
      <c r="BT107" s="2077"/>
      <c r="BU107" s="2077"/>
      <c r="BV107" s="2077"/>
      <c r="BW107" s="2077"/>
      <c r="BX107" s="2077"/>
      <c r="BY107" s="2077"/>
      <c r="BZ107" s="2077"/>
      <c r="CA107" s="2077"/>
      <c r="CB107" s="2077"/>
      <c r="CC107" s="2077"/>
      <c r="CD107" s="2077"/>
      <c r="CE107" s="2077"/>
      <c r="CF107" s="2077"/>
      <c r="CG107" s="2077"/>
      <c r="CH107" s="2077"/>
      <c r="CI107" s="2077"/>
      <c r="CJ107" s="2077"/>
      <c r="CK107" s="2077"/>
      <c r="CL107" s="2077"/>
      <c r="CM107" s="2077"/>
      <c r="CN107" s="2077"/>
      <c r="CO107" s="2077"/>
      <c r="CP107" s="2077"/>
      <c r="CQ107" s="2077"/>
      <c r="CR107" s="2077"/>
      <c r="CS107" s="2077"/>
      <c r="CT107" s="2077"/>
      <c r="CU107" s="2077"/>
      <c r="CV107" s="2077"/>
      <c r="CW107" s="2077"/>
      <c r="CX107" s="2077"/>
      <c r="CY107" s="2077"/>
      <c r="CZ107" s="2077"/>
      <c r="DA107" s="2077"/>
      <c r="DB107" s="2077"/>
      <c r="DC107" s="2077"/>
      <c r="DD107" s="2077"/>
      <c r="DE107" s="2077"/>
      <c r="DF107" s="2077"/>
      <c r="DG107" s="2077"/>
      <c r="DH107" s="2077"/>
      <c r="DI107" s="2077"/>
      <c r="DJ107" s="2077"/>
      <c r="DK107" s="2077"/>
      <c r="DL107" s="2077"/>
      <c r="DM107" s="2077"/>
      <c r="DN107" s="2077"/>
      <c r="DO107" s="2077"/>
      <c r="DP107" s="2077"/>
      <c r="DQ107" s="2077"/>
      <c r="DR107" s="2077"/>
      <c r="DS107" s="2077"/>
      <c r="DT107" s="2077"/>
      <c r="DU107" s="2077"/>
      <c r="DV107" s="2077"/>
      <c r="DW107" s="2077"/>
      <c r="DX107" s="2077"/>
      <c r="DY107" s="2077"/>
      <c r="DZ107" s="2077"/>
      <c r="EA107" s="2077"/>
      <c r="EB107" s="2077"/>
      <c r="EC107" s="2077"/>
      <c r="ED107" s="2077"/>
      <c r="EE107" s="2077"/>
      <c r="EF107" s="2077"/>
      <c r="EG107" s="2077"/>
      <c r="EH107" s="2077"/>
      <c r="EI107" s="2077"/>
      <c r="EJ107" s="2077"/>
      <c r="EK107" s="2077"/>
      <c r="EL107" s="2077"/>
      <c r="EM107" s="2077"/>
      <c r="EN107" s="2077"/>
      <c r="EO107" s="2077"/>
      <c r="EP107" s="2077"/>
      <c r="EQ107" s="2077"/>
      <c r="ER107" s="2077"/>
      <c r="ES107" s="2077"/>
      <c r="ET107" s="2077"/>
      <c r="EU107" s="2077"/>
      <c r="EV107" s="2077"/>
      <c r="EW107" s="2077"/>
      <c r="EX107" s="2077"/>
      <c r="EY107" s="2077"/>
      <c r="EZ107" s="2077"/>
      <c r="FA107" s="2077"/>
      <c r="FB107" s="2077"/>
      <c r="FC107" s="2077"/>
      <c r="FD107" s="2077"/>
      <c r="FE107" s="2077"/>
      <c r="FF107" s="2077"/>
      <c r="FG107" s="2077"/>
      <c r="FH107" s="2077"/>
      <c r="FI107" s="2077"/>
      <c r="FJ107" s="2077"/>
      <c r="FK107" s="2077"/>
      <c r="FL107" s="2077"/>
      <c r="FM107" s="2077"/>
      <c r="FN107" s="2077"/>
      <c r="FO107" s="2077"/>
      <c r="FP107" s="2077"/>
      <c r="FQ107" s="2077"/>
      <c r="FR107" s="2077"/>
      <c r="FS107" s="2077"/>
      <c r="FT107" s="2077"/>
      <c r="FU107" s="2077"/>
      <c r="FV107" s="2077"/>
      <c r="FW107" s="2077"/>
      <c r="FX107" s="2077"/>
      <c r="FY107" s="2077"/>
      <c r="FZ107" s="2077"/>
      <c r="GA107" s="2077"/>
      <c r="GB107" s="2077"/>
      <c r="GC107" s="2077"/>
      <c r="GD107" s="2077"/>
      <c r="GE107" s="2077"/>
      <c r="GF107" s="2077"/>
      <c r="GG107" s="2077"/>
      <c r="GH107" s="2077"/>
      <c r="GI107" s="2077"/>
      <c r="GJ107" s="2077"/>
      <c r="GK107" s="2077"/>
      <c r="GL107" s="2077"/>
      <c r="GM107" s="2077"/>
      <c r="GN107" s="2077"/>
      <c r="GO107" s="2077"/>
      <c r="GP107" s="2077"/>
      <c r="GQ107" s="2077"/>
      <c r="GR107" s="2077"/>
      <c r="GS107" s="2077"/>
      <c r="GT107" s="2077"/>
      <c r="GU107" s="2077"/>
      <c r="GV107" s="2077"/>
      <c r="GW107" s="2077"/>
      <c r="GX107" s="2077"/>
      <c r="GY107" s="2077"/>
      <c r="GZ107" s="2077"/>
      <c r="HA107" s="2077"/>
      <c r="HB107" s="2077"/>
      <c r="HC107" s="2077"/>
      <c r="HD107" s="2077"/>
      <c r="HE107" s="2077"/>
      <c r="HF107" s="2077"/>
      <c r="HG107" s="2077"/>
      <c r="HH107" s="2077"/>
      <c r="HI107" s="2077"/>
      <c r="HJ107" s="2077"/>
      <c r="HK107" s="2077"/>
      <c r="HL107" s="2077"/>
      <c r="HM107" s="2077"/>
      <c r="HN107" s="2077"/>
      <c r="HO107" s="2077"/>
      <c r="HP107" s="2077"/>
      <c r="HQ107" s="2077"/>
      <c r="HR107" s="2077"/>
      <c r="HS107" s="2077"/>
      <c r="HT107" s="2077"/>
      <c r="HU107" s="2077"/>
      <c r="HV107" s="2077"/>
      <c r="HW107" s="2077"/>
      <c r="HX107" s="2077"/>
      <c r="HY107" s="2077"/>
      <c r="HZ107" s="2077"/>
      <c r="IA107" s="2077"/>
      <c r="IB107" s="2077"/>
      <c r="IC107" s="2077"/>
      <c r="ID107" s="2077"/>
      <c r="IE107" s="2077"/>
      <c r="IF107" s="2077"/>
      <c r="IG107" s="2077"/>
      <c r="IH107" s="2077"/>
      <c r="II107" s="2077"/>
      <c r="IJ107" s="2077"/>
      <c r="IK107" s="2077"/>
      <c r="IL107" s="2077"/>
      <c r="IM107" s="2077"/>
      <c r="IN107" s="2077"/>
      <c r="IO107" s="2077"/>
      <c r="IP107" s="2077"/>
      <c r="IQ107" s="2077"/>
      <c r="IR107" s="2077"/>
      <c r="IS107" s="2077"/>
      <c r="IT107" s="2077"/>
      <c r="IU107" s="2077"/>
      <c r="IV107" s="2077"/>
      <c r="IW107" s="2077"/>
      <c r="IX107" s="2077"/>
      <c r="IY107" s="2077"/>
      <c r="IZ107" s="2077"/>
      <c r="JA107" s="2077"/>
      <c r="JB107" s="2077"/>
      <c r="JC107" s="2077"/>
      <c r="JD107" s="2077"/>
      <c r="JE107" s="2077"/>
      <c r="JF107" s="2077"/>
      <c r="JG107" s="1614"/>
      <c r="JH107" s="1361"/>
      <c r="JI107" s="1390"/>
      <c r="JJ107" s="4" t="s">
        <v>6112</v>
      </c>
    </row>
    <row ht="12.75" r="108" spans="1:270" thickBot="1" x14ac:dyDescent="0.25"/>
    <row ht="12.75" r="109" spans="1:270" x14ac:dyDescent="0.2">
      <c r="A109" s="1128" t="s">
        <v>4479</v>
      </c>
      <c r="B109" s="628" t="s">
        <v>3922</v>
      </c>
      <c r="C109" s="1290" t="s">
        <v>568</v>
      </c>
      <c r="D109" s="1291"/>
      <c r="E109" s="1292">
        <v>1</v>
      </c>
      <c r="F109" s="1292">
        <v>2</v>
      </c>
      <c r="G109" s="1293">
        <v>3</v>
      </c>
      <c r="H109" s="1293">
        <v>4</v>
      </c>
      <c r="I109" s="1293">
        <v>5</v>
      </c>
      <c r="J109" s="1293">
        <v>6</v>
      </c>
      <c r="K109" s="1293">
        <v>7</v>
      </c>
      <c r="L109" s="1293">
        <v>8</v>
      </c>
      <c r="M109" s="1293">
        <v>9</v>
      </c>
      <c r="N109" s="1293">
        <v>10</v>
      </c>
      <c r="O109" s="1289">
        <v>11</v>
      </c>
      <c r="P109" s="2052">
        <v>12</v>
      </c>
      <c r="Q109" s="1289">
        <v>13</v>
      </c>
      <c r="R109" s="2052">
        <v>14</v>
      </c>
      <c r="S109" s="1289">
        <v>15</v>
      </c>
      <c r="T109" s="2052">
        <v>16</v>
      </c>
      <c r="U109" s="1289">
        <v>17</v>
      </c>
      <c r="V109" s="2052">
        <v>18</v>
      </c>
      <c r="W109" s="1289">
        <v>19</v>
      </c>
      <c r="X109" s="2052">
        <v>20</v>
      </c>
      <c r="Y109" s="1289">
        <v>21</v>
      </c>
      <c r="Z109" s="2052">
        <v>22</v>
      </c>
      <c r="AA109" s="1289">
        <v>23</v>
      </c>
      <c r="AB109" s="2052">
        <v>24</v>
      </c>
      <c r="AC109" s="1289">
        <v>25</v>
      </c>
      <c r="AD109" s="2052">
        <v>26</v>
      </c>
      <c r="AE109" s="1289">
        <v>27</v>
      </c>
      <c r="AF109" s="2052">
        <v>28</v>
      </c>
      <c r="AG109" s="1289">
        <v>29</v>
      </c>
      <c r="AH109" s="2052">
        <v>30</v>
      </c>
      <c r="AI109" s="1289">
        <v>31</v>
      </c>
      <c r="AJ109" s="2052">
        <v>32</v>
      </c>
      <c r="AK109" s="1289">
        <v>33</v>
      </c>
      <c r="AL109" s="2052">
        <v>34</v>
      </c>
      <c r="AM109" s="1289">
        <v>35</v>
      </c>
      <c r="AN109" s="2052">
        <v>36</v>
      </c>
      <c r="AO109" s="1289">
        <v>37</v>
      </c>
      <c r="AP109" s="2052">
        <v>38</v>
      </c>
      <c r="AQ109" s="1289">
        <v>39</v>
      </c>
      <c r="AR109" s="2052">
        <v>40</v>
      </c>
      <c r="AS109" s="1289">
        <v>41</v>
      </c>
      <c r="AT109" s="2052">
        <v>42</v>
      </c>
      <c r="AU109" s="1289">
        <v>43</v>
      </c>
      <c r="AV109" s="2052">
        <v>44</v>
      </c>
      <c r="AW109" s="1289">
        <v>45</v>
      </c>
      <c r="AX109" s="2052">
        <v>46</v>
      </c>
      <c r="AY109" s="1289">
        <v>47</v>
      </c>
      <c r="AZ109" s="2052">
        <v>48</v>
      </c>
      <c r="BA109" s="1289">
        <v>49</v>
      </c>
      <c r="BB109" s="2052">
        <v>50</v>
      </c>
      <c r="BC109" s="1289">
        <v>51</v>
      </c>
      <c r="BD109" s="2052">
        <v>52</v>
      </c>
      <c r="BE109" s="1289">
        <v>53</v>
      </c>
      <c r="BF109" s="2052">
        <v>54</v>
      </c>
      <c r="BG109" s="1289">
        <v>55</v>
      </c>
      <c r="BH109" s="2052">
        <v>56</v>
      </c>
      <c r="BI109" s="1289">
        <v>57</v>
      </c>
      <c r="BJ109" s="2052">
        <v>58</v>
      </c>
      <c r="BK109" s="1289">
        <v>59</v>
      </c>
      <c r="BL109" s="2052">
        <v>60</v>
      </c>
      <c r="BM109" s="1289">
        <v>61</v>
      </c>
      <c r="BN109" s="2052">
        <v>62</v>
      </c>
      <c r="BO109" s="1289">
        <v>63</v>
      </c>
      <c r="BP109" s="2052">
        <v>64</v>
      </c>
      <c r="BQ109" s="1289">
        <v>65</v>
      </c>
      <c r="BR109" s="2052">
        <v>66</v>
      </c>
      <c r="BS109" s="1289">
        <v>67</v>
      </c>
      <c r="BT109" s="2052">
        <v>68</v>
      </c>
      <c r="BU109" s="1289">
        <v>69</v>
      </c>
      <c r="BV109" s="2052">
        <v>70</v>
      </c>
      <c r="BW109" s="1289">
        <v>71</v>
      </c>
      <c r="BX109" s="2052">
        <v>72</v>
      </c>
      <c r="BY109" s="1289">
        <v>73</v>
      </c>
      <c r="BZ109" s="2052">
        <v>74</v>
      </c>
      <c r="CA109" s="1289">
        <v>75</v>
      </c>
      <c r="CB109" s="2052">
        <v>76</v>
      </c>
      <c r="CC109" s="1289">
        <v>77</v>
      </c>
      <c r="CD109" s="2052">
        <v>78</v>
      </c>
      <c r="CE109" s="1289">
        <v>79</v>
      </c>
      <c r="CF109" s="2052">
        <v>80</v>
      </c>
      <c r="CG109" s="1289">
        <v>81</v>
      </c>
      <c r="CH109" s="2052">
        <v>82</v>
      </c>
      <c r="CI109" s="1289">
        <v>83</v>
      </c>
      <c r="CJ109" s="2052">
        <v>84</v>
      </c>
      <c r="CK109" s="1289">
        <v>85</v>
      </c>
      <c r="CL109" s="2052">
        <v>86</v>
      </c>
      <c r="CM109" s="1289">
        <v>87</v>
      </c>
      <c r="CN109" s="2052">
        <v>88</v>
      </c>
      <c r="CO109" s="1289">
        <v>89</v>
      </c>
      <c r="CP109" s="2052">
        <v>90</v>
      </c>
      <c r="CQ109" s="1289">
        <v>91</v>
      </c>
      <c r="CR109" s="2052">
        <v>92</v>
      </c>
      <c r="CS109" s="1289">
        <v>93</v>
      </c>
      <c r="CT109" s="2052">
        <v>94</v>
      </c>
      <c r="CU109" s="1289">
        <v>95</v>
      </c>
      <c r="CV109" s="2052">
        <v>96</v>
      </c>
      <c r="CW109" s="1289">
        <v>97</v>
      </c>
      <c r="CX109" s="2052">
        <v>98</v>
      </c>
      <c r="CY109" s="1289">
        <v>99</v>
      </c>
      <c r="CZ109" s="2052">
        <v>100</v>
      </c>
      <c r="DA109" s="1289">
        <v>101</v>
      </c>
      <c r="DB109" s="2052">
        <v>102</v>
      </c>
      <c r="DC109" s="1289">
        <v>103</v>
      </c>
      <c r="DD109" s="2052">
        <v>104</v>
      </c>
      <c r="DE109" s="1289">
        <v>105</v>
      </c>
      <c r="DF109" s="2052">
        <v>106</v>
      </c>
      <c r="DG109" s="1289">
        <v>107</v>
      </c>
      <c r="DH109" s="2052">
        <v>108</v>
      </c>
      <c r="DI109" s="1289">
        <v>109</v>
      </c>
      <c r="DJ109" s="2052">
        <v>110</v>
      </c>
      <c r="DK109" s="1289">
        <v>111</v>
      </c>
      <c r="DL109" s="2052">
        <v>112</v>
      </c>
      <c r="DM109" s="1289">
        <v>113</v>
      </c>
      <c r="DN109" s="2052">
        <v>114</v>
      </c>
      <c r="DO109" s="1289">
        <v>115</v>
      </c>
      <c r="DP109" s="2052">
        <v>116</v>
      </c>
      <c r="DQ109" s="1289">
        <v>117</v>
      </c>
      <c r="DR109" s="2052">
        <v>118</v>
      </c>
      <c r="DS109" s="1289">
        <v>119</v>
      </c>
      <c r="DT109" s="2052">
        <v>120</v>
      </c>
      <c r="DU109" s="1289">
        <v>121</v>
      </c>
      <c r="DV109" s="2052">
        <v>122</v>
      </c>
      <c r="DW109" s="1289">
        <v>123</v>
      </c>
      <c r="DX109" s="2052">
        <v>124</v>
      </c>
      <c r="DY109" s="1289">
        <v>125</v>
      </c>
      <c r="DZ109" s="2052">
        <v>126</v>
      </c>
      <c r="EA109" s="1289">
        <v>127</v>
      </c>
      <c r="EB109" s="2052">
        <v>128</v>
      </c>
      <c r="EC109" s="1289">
        <v>129</v>
      </c>
      <c r="ED109" s="2052">
        <v>130</v>
      </c>
      <c r="EE109" s="1289">
        <v>131</v>
      </c>
      <c r="EF109" s="2052">
        <v>132</v>
      </c>
      <c r="EG109" s="1289">
        <v>133</v>
      </c>
      <c r="EH109" s="2052">
        <v>134</v>
      </c>
      <c r="EI109" s="1289">
        <v>135</v>
      </c>
      <c r="EJ109" s="2052">
        <v>136</v>
      </c>
      <c r="EK109" s="1289">
        <v>137</v>
      </c>
      <c r="EL109" s="2052">
        <v>138</v>
      </c>
      <c r="EM109" s="1289">
        <v>139</v>
      </c>
      <c r="EN109" s="2052">
        <v>140</v>
      </c>
      <c r="EO109" s="1289">
        <v>141</v>
      </c>
      <c r="EP109" s="2052">
        <v>142</v>
      </c>
      <c r="EQ109" s="1289">
        <v>143</v>
      </c>
      <c r="ER109" s="2052">
        <v>144</v>
      </c>
      <c r="ES109" s="1289">
        <v>145</v>
      </c>
      <c r="ET109" s="2052">
        <v>146</v>
      </c>
      <c r="EU109" s="1289">
        <v>147</v>
      </c>
      <c r="EV109" s="2052">
        <v>148</v>
      </c>
      <c r="EW109" s="1289">
        <v>149</v>
      </c>
      <c r="EX109" s="2052">
        <v>150</v>
      </c>
      <c r="EY109" s="1289">
        <v>151</v>
      </c>
      <c r="EZ109" s="2052">
        <v>152</v>
      </c>
      <c r="FA109" s="1289">
        <v>153</v>
      </c>
      <c r="FB109" s="2052">
        <v>154</v>
      </c>
      <c r="FC109" s="1289">
        <v>155</v>
      </c>
      <c r="FD109" s="2052">
        <v>156</v>
      </c>
      <c r="FE109" s="1289">
        <v>157</v>
      </c>
      <c r="FF109" s="2052">
        <v>158</v>
      </c>
      <c r="FG109" s="1289">
        <v>159</v>
      </c>
      <c r="FH109" s="2052">
        <v>160</v>
      </c>
      <c r="FI109" s="1289">
        <v>161</v>
      </c>
      <c r="FJ109" s="2052">
        <v>162</v>
      </c>
      <c r="FK109" s="1289">
        <v>163</v>
      </c>
      <c r="FL109" s="2052">
        <v>164</v>
      </c>
      <c r="FM109" s="1289">
        <v>165</v>
      </c>
      <c r="FN109" s="2052">
        <v>166</v>
      </c>
      <c r="FO109" s="1289">
        <v>167</v>
      </c>
      <c r="FP109" s="2052">
        <v>168</v>
      </c>
      <c r="FQ109" s="1289">
        <v>169</v>
      </c>
      <c r="FR109" s="2052">
        <v>170</v>
      </c>
      <c r="FS109" s="1289">
        <v>171</v>
      </c>
      <c r="FT109" s="2052">
        <v>172</v>
      </c>
      <c r="FU109" s="1289">
        <v>173</v>
      </c>
      <c r="FV109" s="2052">
        <v>174</v>
      </c>
      <c r="FW109" s="1289">
        <v>175</v>
      </c>
      <c r="FX109" s="2052">
        <v>176</v>
      </c>
      <c r="FY109" s="1289">
        <v>177</v>
      </c>
      <c r="FZ109" s="2052">
        <v>178</v>
      </c>
      <c r="GA109" s="1289">
        <v>179</v>
      </c>
      <c r="GB109" s="2052">
        <v>180</v>
      </c>
      <c r="GC109" s="1289">
        <v>181</v>
      </c>
      <c r="GD109" s="2052">
        <v>182</v>
      </c>
      <c r="GE109" s="1289">
        <v>183</v>
      </c>
      <c r="GF109" s="2052">
        <v>184</v>
      </c>
      <c r="GG109" s="1289">
        <v>185</v>
      </c>
      <c r="GH109" s="2052">
        <v>186</v>
      </c>
      <c r="GI109" s="1289">
        <v>187</v>
      </c>
      <c r="GJ109" s="2052">
        <v>188</v>
      </c>
      <c r="GK109" s="1289">
        <v>189</v>
      </c>
      <c r="GL109" s="2052">
        <v>190</v>
      </c>
      <c r="GM109" s="1289">
        <v>191</v>
      </c>
      <c r="GN109" s="2052">
        <v>192</v>
      </c>
      <c r="GO109" s="1289">
        <v>193</v>
      </c>
      <c r="GP109" s="2052">
        <v>194</v>
      </c>
      <c r="GQ109" s="1289">
        <v>195</v>
      </c>
      <c r="GR109" s="2052">
        <v>196</v>
      </c>
      <c r="GS109" s="1289">
        <v>197</v>
      </c>
      <c r="GT109" s="2052">
        <v>198</v>
      </c>
      <c r="GU109" s="1289">
        <v>199</v>
      </c>
      <c r="GV109" s="2052">
        <v>200</v>
      </c>
      <c r="GW109" s="1289">
        <v>201</v>
      </c>
      <c r="GX109" s="2052">
        <v>202</v>
      </c>
      <c r="GY109" s="1289">
        <v>203</v>
      </c>
      <c r="GZ109" s="2052">
        <v>204</v>
      </c>
      <c r="HA109" s="1289">
        <v>205</v>
      </c>
      <c r="HB109" s="2052">
        <v>206</v>
      </c>
      <c r="HC109" s="1289">
        <v>207</v>
      </c>
      <c r="HD109" s="2052">
        <v>208</v>
      </c>
      <c r="HE109" s="1289">
        <v>209</v>
      </c>
      <c r="HF109" s="2052">
        <v>210</v>
      </c>
      <c r="HG109" s="1289">
        <v>211</v>
      </c>
      <c r="HH109" s="2052">
        <v>212</v>
      </c>
      <c r="HI109" s="1289">
        <v>213</v>
      </c>
      <c r="HJ109" s="2052">
        <v>214</v>
      </c>
      <c r="HK109" s="1289">
        <v>215</v>
      </c>
      <c r="HL109" s="2052">
        <v>216</v>
      </c>
      <c r="HM109" s="1289">
        <v>217</v>
      </c>
      <c r="HN109" s="2052">
        <v>218</v>
      </c>
      <c r="HO109" s="1289">
        <v>219</v>
      </c>
      <c r="HP109" s="2052">
        <v>220</v>
      </c>
      <c r="HQ109" s="1289">
        <v>221</v>
      </c>
      <c r="HR109" s="2052">
        <v>222</v>
      </c>
      <c r="HS109" s="1289">
        <v>223</v>
      </c>
      <c r="HT109" s="2052">
        <v>224</v>
      </c>
      <c r="HU109" s="1289">
        <v>225</v>
      </c>
      <c r="HV109" s="2052">
        <v>226</v>
      </c>
      <c r="HW109" s="1289">
        <v>227</v>
      </c>
      <c r="HX109" s="2052">
        <v>228</v>
      </c>
      <c r="HY109" s="1289">
        <v>229</v>
      </c>
      <c r="HZ109" s="2052">
        <v>230</v>
      </c>
      <c r="IA109" s="1289">
        <v>231</v>
      </c>
      <c r="IB109" s="2052">
        <v>232</v>
      </c>
      <c r="IC109" s="1289">
        <v>233</v>
      </c>
      <c r="ID109" s="2052">
        <v>234</v>
      </c>
      <c r="IE109" s="1289">
        <v>235</v>
      </c>
      <c r="IF109" s="2052">
        <v>236</v>
      </c>
      <c r="IG109" s="1289">
        <v>237</v>
      </c>
      <c r="IH109" s="2052">
        <v>238</v>
      </c>
      <c r="II109" s="1289">
        <v>239</v>
      </c>
      <c r="IJ109" s="2052">
        <v>240</v>
      </c>
      <c r="IK109" s="1289">
        <v>241</v>
      </c>
      <c r="IL109" s="2052">
        <v>242</v>
      </c>
      <c r="IM109" s="1289">
        <v>243</v>
      </c>
      <c r="IN109" s="2052">
        <v>244</v>
      </c>
      <c r="IO109" s="1289">
        <v>245</v>
      </c>
      <c r="IP109" s="2052">
        <v>246</v>
      </c>
      <c r="IQ109" s="1289">
        <v>247</v>
      </c>
      <c r="IR109" s="2052">
        <v>248</v>
      </c>
      <c r="IS109" s="1289">
        <v>249</v>
      </c>
      <c r="IT109" s="2052">
        <v>250</v>
      </c>
      <c r="IU109" s="1289">
        <v>251</v>
      </c>
      <c r="IV109" s="1289">
        <v>252</v>
      </c>
      <c r="IW109" s="1289">
        <v>253</v>
      </c>
      <c r="IX109" s="2052">
        <v>254</v>
      </c>
      <c r="IY109" s="1289">
        <v>255</v>
      </c>
      <c r="IZ109" s="2052">
        <v>256</v>
      </c>
      <c r="JA109" s="1289">
        <v>257</v>
      </c>
      <c r="JB109" s="2052">
        <v>258</v>
      </c>
      <c r="JC109" s="1289">
        <v>259</v>
      </c>
      <c r="JD109" s="1134">
        <v>260</v>
      </c>
      <c r="JE109" s="1134">
        <v>261</v>
      </c>
      <c r="JF109" s="1134">
        <v>262</v>
      </c>
      <c r="JG109" s="2485">
        <v>263</v>
      </c>
      <c r="JH109" s="1367"/>
      <c r="JI109" s="1228" t="s">
        <v>5034</v>
      </c>
    </row>
    <row r="110" spans="1:270" x14ac:dyDescent="0.2">
      <c r="A110" s="1128">
        <v>2</v>
      </c>
      <c r="B110" s="1659" t="str">
        <f ref="B110:B127" si="6" t="shared">IF(CAL_IND&gt;1,IF(HLOOKUP(CAL_IND-1,CAL_range,A110)="","",HLOOKUP(CAL_IND-1,CAL_range,A110)),"")</f>
        <v/>
      </c>
      <c r="C110" s="1577" t="s">
        <v>3863</v>
      </c>
      <c r="D110" s="1357" t="s">
        <v>5395</v>
      </c>
      <c r="E110" s="1358"/>
      <c r="F110" s="1358"/>
      <c r="G110" s="1358"/>
      <c r="H110" s="1358"/>
      <c r="I110" s="1358"/>
      <c r="J110" s="1358"/>
      <c r="K110" s="1358"/>
      <c r="L110" s="1358"/>
      <c r="M110" s="1358"/>
      <c r="N110" s="1358"/>
      <c r="O110" s="1909"/>
      <c r="P110" s="2053"/>
      <c r="Q110" s="2053"/>
      <c r="R110" s="2053"/>
      <c r="S110" s="2053"/>
      <c r="T110" s="2053"/>
      <c r="U110" s="2053"/>
      <c r="V110" s="2053"/>
      <c r="W110" s="2053"/>
      <c r="X110" s="2053"/>
      <c r="Y110" s="2053"/>
      <c r="Z110" s="2053"/>
      <c r="AA110" s="2053"/>
      <c r="AB110" s="2053"/>
      <c r="AC110" s="2053"/>
      <c r="AD110" s="2053"/>
      <c r="AE110" s="2053"/>
      <c r="AF110" s="2053"/>
      <c r="AG110" s="2053"/>
      <c r="AH110" s="2053"/>
      <c r="AI110" s="2053"/>
      <c r="AJ110" s="2053"/>
      <c r="AK110" s="2053"/>
      <c r="AL110" s="2053"/>
      <c r="AM110" s="2053"/>
      <c r="AN110" s="2053"/>
      <c r="AO110" s="2053"/>
      <c r="AP110" s="2053"/>
      <c r="AQ110" s="2053"/>
      <c r="AR110" s="2053"/>
      <c r="AS110" s="2053"/>
      <c r="AT110" s="2053"/>
      <c r="AU110" s="2053"/>
      <c r="AV110" s="2053"/>
      <c r="AW110" s="2053"/>
      <c r="AX110" s="2053"/>
      <c r="AY110" s="2053"/>
      <c r="AZ110" s="2053"/>
      <c r="BA110" s="2053"/>
      <c r="BB110" s="2053"/>
      <c r="BC110" s="2053"/>
      <c r="BD110" s="2053"/>
      <c r="BE110" s="2053"/>
      <c r="BF110" s="2053"/>
      <c r="BG110" s="2053"/>
      <c r="BH110" s="2053"/>
      <c r="BI110" s="2053"/>
      <c r="BJ110" s="2053"/>
      <c r="BK110" s="2053"/>
      <c r="BL110" s="2053"/>
      <c r="BM110" s="2053"/>
      <c r="BN110" s="2053"/>
      <c r="BO110" s="2053"/>
      <c r="BP110" s="2053"/>
      <c r="BQ110" s="2053"/>
      <c r="BR110" s="2053"/>
      <c r="BS110" s="2053"/>
      <c r="BT110" s="2053"/>
      <c r="BU110" s="2053"/>
      <c r="BV110" s="2053"/>
      <c r="BW110" s="2053"/>
      <c r="BX110" s="2053"/>
      <c r="BY110" s="2053"/>
      <c r="BZ110" s="2053"/>
      <c r="CA110" s="2053"/>
      <c r="CB110" s="2053"/>
      <c r="CC110" s="2053"/>
      <c r="CD110" s="2053"/>
      <c r="CE110" s="2053"/>
      <c r="CF110" s="2053"/>
      <c r="CG110" s="2053"/>
      <c r="CH110" s="2053"/>
      <c r="CI110" s="2053"/>
      <c r="CJ110" s="2053"/>
      <c r="CK110" s="2053"/>
      <c r="CL110" s="2053"/>
      <c r="CM110" s="2053"/>
      <c r="CN110" s="2053"/>
      <c r="CO110" s="2053"/>
      <c r="CP110" s="2053"/>
      <c r="CQ110" s="2053"/>
      <c r="CR110" s="2053"/>
      <c r="CS110" s="2053"/>
      <c r="CT110" s="2053"/>
      <c r="CU110" s="2053"/>
      <c r="CV110" s="2053"/>
      <c r="CW110" s="2053"/>
      <c r="CX110" s="2053"/>
      <c r="CY110" s="2053"/>
      <c r="CZ110" s="2053"/>
      <c r="DA110" s="2053"/>
      <c r="DB110" s="2053"/>
      <c r="DC110" s="2053"/>
      <c r="DD110" s="2053"/>
      <c r="DE110" s="2053"/>
      <c r="DF110" s="2053"/>
      <c r="DG110" s="2053"/>
      <c r="DH110" s="2053"/>
      <c r="DI110" s="2053"/>
      <c r="DJ110" s="2053"/>
      <c r="DK110" s="2053"/>
      <c r="DL110" s="2053"/>
      <c r="DM110" s="2053"/>
      <c r="DN110" s="2053"/>
      <c r="DO110" s="2053"/>
      <c r="DP110" s="2053"/>
      <c r="DQ110" s="2053"/>
      <c r="DR110" s="2053"/>
      <c r="DS110" s="2053"/>
      <c r="DT110" s="2053"/>
      <c r="DU110" s="2053"/>
      <c r="DV110" s="2053"/>
      <c r="DW110" s="2053"/>
      <c r="DX110" s="2053"/>
      <c r="DY110" s="2053"/>
      <c r="DZ110" s="2053"/>
      <c r="EA110" s="2053"/>
      <c r="EB110" s="2053"/>
      <c r="EC110" s="2053"/>
      <c r="ED110" s="2053"/>
      <c r="EE110" s="2053"/>
      <c r="EF110" s="2053"/>
      <c r="EG110" s="2053"/>
      <c r="EH110" s="2053"/>
      <c r="EI110" s="2053"/>
      <c r="EJ110" s="2053"/>
      <c r="EK110" s="2053"/>
      <c r="EL110" s="2053"/>
      <c r="EM110" s="2053"/>
      <c r="EN110" s="2053"/>
      <c r="EO110" s="2053"/>
      <c r="EP110" s="2053"/>
      <c r="EQ110" s="2053"/>
      <c r="ER110" s="2053"/>
      <c r="ES110" s="2053"/>
      <c r="ET110" s="2053"/>
      <c r="EU110" s="2053"/>
      <c r="EV110" s="2053"/>
      <c r="EW110" s="2053"/>
      <c r="EX110" s="2053"/>
      <c r="EY110" s="2053"/>
      <c r="EZ110" s="2053"/>
      <c r="FA110" s="2053"/>
      <c r="FB110" s="2053"/>
      <c r="FC110" s="2053"/>
      <c r="FD110" s="2053"/>
      <c r="FE110" s="2053"/>
      <c r="FF110" s="2053"/>
      <c r="FG110" s="2053"/>
      <c r="FH110" s="2053"/>
      <c r="FI110" s="2053"/>
      <c r="FJ110" s="2053"/>
      <c r="FK110" s="2053"/>
      <c r="FL110" s="2053"/>
      <c r="FM110" s="2053"/>
      <c r="FN110" s="2053"/>
      <c r="FO110" s="2053"/>
      <c r="FP110" s="2053"/>
      <c r="FQ110" s="2053"/>
      <c r="FR110" s="2053"/>
      <c r="FS110" s="2053"/>
      <c r="FT110" s="2053"/>
      <c r="FU110" s="2053"/>
      <c r="FV110" s="2053"/>
      <c r="FW110" s="2053"/>
      <c r="FX110" s="2053"/>
      <c r="FY110" s="2053"/>
      <c r="FZ110" s="2053"/>
      <c r="GA110" s="2053"/>
      <c r="GB110" s="2053"/>
      <c r="GC110" s="2053"/>
      <c r="GD110" s="2053"/>
      <c r="GE110" s="2053"/>
      <c r="GF110" s="2053"/>
      <c r="GG110" s="2053"/>
      <c r="GH110" s="2053"/>
      <c r="GI110" s="2053"/>
      <c r="GJ110" s="2053"/>
      <c r="GK110" s="2053"/>
      <c r="GL110" s="2053"/>
      <c r="GM110" s="2053"/>
      <c r="GN110" s="2053"/>
      <c r="GO110" s="2053"/>
      <c r="GP110" s="2053"/>
      <c r="GQ110" s="2053"/>
      <c r="GR110" s="2053"/>
      <c r="GS110" s="2053"/>
      <c r="GT110" s="2053"/>
      <c r="GU110" s="2053"/>
      <c r="GV110" s="2053"/>
      <c r="GW110" s="2053"/>
      <c r="GX110" s="2053"/>
      <c r="GY110" s="2053"/>
      <c r="GZ110" s="2053"/>
      <c r="HA110" s="2053"/>
      <c r="HB110" s="2053"/>
      <c r="HC110" s="2053"/>
      <c r="HD110" s="2053"/>
      <c r="HE110" s="2053"/>
      <c r="HF110" s="2053"/>
      <c r="HG110" s="2053"/>
      <c r="HH110" s="2053"/>
      <c r="HI110" s="2053"/>
      <c r="HJ110" s="2053"/>
      <c r="HK110" s="2053"/>
      <c r="HL110" s="2053"/>
      <c r="HM110" s="2053"/>
      <c r="HN110" s="2053"/>
      <c r="HO110" s="2053"/>
      <c r="HP110" s="2053"/>
      <c r="HQ110" s="2053"/>
      <c r="HR110" s="2053"/>
      <c r="HS110" s="2053"/>
      <c r="HT110" s="2053"/>
      <c r="HU110" s="2053"/>
      <c r="HV110" s="2053"/>
      <c r="HW110" s="2053"/>
      <c r="HX110" s="2053"/>
      <c r="HY110" s="2053"/>
      <c r="HZ110" s="2053"/>
      <c r="IA110" s="2053"/>
      <c r="IB110" s="2053"/>
      <c r="IC110" s="2053"/>
      <c r="ID110" s="2053"/>
      <c r="IE110" s="2053"/>
      <c r="IF110" s="2053"/>
      <c r="IG110" s="2053"/>
      <c r="IH110" s="2053"/>
      <c r="II110" s="2053"/>
      <c r="IJ110" s="2053"/>
      <c r="IK110" s="2053"/>
      <c r="IL110" s="2053"/>
      <c r="IM110" s="2053"/>
      <c r="IN110" s="2053"/>
      <c r="IO110" s="2053"/>
      <c r="IP110" s="2053"/>
      <c r="IQ110" s="2053"/>
      <c r="IR110" s="2053"/>
      <c r="IS110" s="2053"/>
      <c r="IT110" s="2053"/>
      <c r="IU110" s="2053"/>
      <c r="IV110" s="2053"/>
      <c r="IW110" s="2053"/>
      <c r="IX110" s="2053"/>
      <c r="IY110" s="2053"/>
      <c r="IZ110" s="2053"/>
      <c r="JA110" s="2053"/>
      <c r="JB110" s="2053"/>
      <c r="JC110" s="2053"/>
      <c r="JD110" s="3144"/>
      <c r="JE110" s="3144"/>
      <c r="JF110" s="3144"/>
      <c r="JG110" s="1578"/>
      <c r="JH110" s="1367"/>
      <c r="JI110" s="1390"/>
    </row>
    <row ht="33.75" r="111" spans="1:270" x14ac:dyDescent="0.2">
      <c r="A111" s="1128">
        <v>3</v>
      </c>
      <c r="B111" s="1659" t="str">
        <f si="6" t="shared"/>
        <v/>
      </c>
      <c r="C111" s="1577" t="s">
        <v>3864</v>
      </c>
      <c r="D111" s="1357" t="s">
        <v>5396</v>
      </c>
      <c r="E111" s="1358"/>
      <c r="F111" s="1358"/>
      <c r="G111" s="1358"/>
      <c r="H111" s="1358"/>
      <c r="I111" s="1358"/>
      <c r="J111" s="1358"/>
      <c r="K111" s="1358"/>
      <c r="L111" s="1358"/>
      <c r="M111" s="1358"/>
      <c r="N111" s="1358"/>
      <c r="O111" s="1909"/>
      <c r="P111" s="2053"/>
      <c r="Q111" s="2053"/>
      <c r="R111" s="2053"/>
      <c r="S111" s="2053"/>
      <c r="T111" s="2053"/>
      <c r="U111" s="2053"/>
      <c r="V111" s="2053"/>
      <c r="W111" s="2053"/>
      <c r="X111" s="2053"/>
      <c r="Y111" s="2053"/>
      <c r="Z111" s="2053"/>
      <c r="AA111" s="2053"/>
      <c r="AB111" s="2053"/>
      <c r="AC111" s="2053"/>
      <c r="AD111" s="2053"/>
      <c r="AE111" s="2053"/>
      <c r="AF111" s="2053"/>
      <c r="AG111" s="2053"/>
      <c r="AH111" s="2053"/>
      <c r="AI111" s="2053"/>
      <c r="AJ111" s="2053"/>
      <c r="AK111" s="2053"/>
      <c r="AL111" s="2053"/>
      <c r="AM111" s="2053"/>
      <c r="AN111" s="2053"/>
      <c r="AO111" s="2053"/>
      <c r="AP111" s="2053"/>
      <c r="AQ111" s="2053"/>
      <c r="AR111" s="2053"/>
      <c r="AS111" s="2053"/>
      <c r="AT111" s="2053"/>
      <c r="AU111" s="2053"/>
      <c r="AV111" s="2053"/>
      <c r="AW111" s="2053"/>
      <c r="AX111" s="2053"/>
      <c r="AY111" s="2053"/>
      <c r="AZ111" s="2053"/>
      <c r="BA111" s="2053"/>
      <c r="BB111" s="2053"/>
      <c r="BC111" s="2053"/>
      <c r="BD111" s="2053"/>
      <c r="BE111" s="2053"/>
      <c r="BF111" s="2053"/>
      <c r="BG111" s="2053"/>
      <c r="BH111" s="2053"/>
      <c r="BI111" s="2053"/>
      <c r="BJ111" s="2053"/>
      <c r="BK111" s="2053"/>
      <c r="BL111" s="2053"/>
      <c r="BM111" s="2053"/>
      <c r="BN111" s="2053"/>
      <c r="BO111" s="2053"/>
      <c r="BP111" s="2053"/>
      <c r="BQ111" s="2053"/>
      <c r="BR111" s="2053"/>
      <c r="BS111" s="2053"/>
      <c r="BT111" s="2053"/>
      <c r="BU111" s="2053"/>
      <c r="BV111" s="2053"/>
      <c r="BW111" s="2053"/>
      <c r="BX111" s="2053"/>
      <c r="BY111" s="2053"/>
      <c r="BZ111" s="2053"/>
      <c r="CA111" s="2053"/>
      <c r="CB111" s="2053"/>
      <c r="CC111" s="2053"/>
      <c r="CD111" s="2053"/>
      <c r="CE111" s="2053"/>
      <c r="CF111" s="2053"/>
      <c r="CG111" s="2053"/>
      <c r="CH111" s="2053"/>
      <c r="CI111" s="2053"/>
      <c r="CJ111" s="2053"/>
      <c r="CK111" s="2053"/>
      <c r="CL111" s="2053"/>
      <c r="CM111" s="2053"/>
      <c r="CN111" s="2053"/>
      <c r="CO111" s="2053"/>
      <c r="CP111" s="2053"/>
      <c r="CQ111" s="2053"/>
      <c r="CR111" s="2053"/>
      <c r="CS111" s="2053"/>
      <c r="CT111" s="2053"/>
      <c r="CU111" s="2053"/>
      <c r="CV111" s="2053"/>
      <c r="CW111" s="2053"/>
      <c r="CX111" s="2053"/>
      <c r="CY111" s="2053"/>
      <c r="CZ111" s="2053"/>
      <c r="DA111" s="2053"/>
      <c r="DB111" s="2053"/>
      <c r="DC111" s="2053"/>
      <c r="DD111" s="2053"/>
      <c r="DE111" s="2053"/>
      <c r="DF111" s="2053"/>
      <c r="DG111" s="2053"/>
      <c r="DH111" s="2053"/>
      <c r="DI111" s="2053"/>
      <c r="DJ111" s="2053"/>
      <c r="DK111" s="2053"/>
      <c r="DL111" s="2053"/>
      <c r="DM111" s="2053"/>
      <c r="DN111" s="2053"/>
      <c r="DO111" s="2053"/>
      <c r="DP111" s="2053"/>
      <c r="DQ111" s="2053"/>
      <c r="DR111" s="2053"/>
      <c r="DS111" s="2053"/>
      <c r="DT111" s="2053"/>
      <c r="DU111" s="2053"/>
      <c r="DV111" s="2053"/>
      <c r="DW111" s="2053"/>
      <c r="DX111" s="2053"/>
      <c r="DY111" s="2053"/>
      <c r="DZ111" s="2053"/>
      <c r="EA111" s="2053"/>
      <c r="EB111" s="2053"/>
      <c r="EC111" s="2053"/>
      <c r="ED111" s="2053"/>
      <c r="EE111" s="2053"/>
      <c r="EF111" s="2053"/>
      <c r="EG111" s="2053"/>
      <c r="EH111" s="2053"/>
      <c r="EI111" s="2053"/>
      <c r="EJ111" s="2053"/>
      <c r="EK111" s="2053"/>
      <c r="EL111" s="2053"/>
      <c r="EM111" s="2053"/>
      <c r="EN111" s="2053"/>
      <c r="EO111" s="2053"/>
      <c r="EP111" s="2053"/>
      <c r="EQ111" s="2053"/>
      <c r="ER111" s="2053"/>
      <c r="ES111" s="2053"/>
      <c r="ET111" s="2053"/>
      <c r="EU111" s="2053"/>
      <c r="EV111" s="2053"/>
      <c r="EW111" s="2053"/>
      <c r="EX111" s="2053"/>
      <c r="EY111" s="2053"/>
      <c r="EZ111" s="2053"/>
      <c r="FA111" s="2053"/>
      <c r="FB111" s="2053"/>
      <c r="FC111" s="2053"/>
      <c r="FD111" s="2053"/>
      <c r="FE111" s="2053"/>
      <c r="FF111" s="2053"/>
      <c r="FG111" s="2053"/>
      <c r="FH111" s="2053"/>
      <c r="FI111" s="2053"/>
      <c r="FJ111" s="2053"/>
      <c r="FK111" s="2053"/>
      <c r="FL111" s="2053"/>
      <c r="FM111" s="2053"/>
      <c r="FN111" s="2053"/>
      <c r="FO111" s="2053"/>
      <c r="FP111" s="2053"/>
      <c r="FQ111" s="2053"/>
      <c r="FR111" s="2053"/>
      <c r="FS111" s="2053"/>
      <c r="FT111" s="2053"/>
      <c r="FU111" s="2053"/>
      <c r="FV111" s="2053"/>
      <c r="FW111" s="2053"/>
      <c r="FX111" s="2053"/>
      <c r="FY111" s="2053"/>
      <c r="FZ111" s="2053"/>
      <c r="GA111" s="2053"/>
      <c r="GB111" s="2053"/>
      <c r="GC111" s="2053"/>
      <c r="GD111" s="2053"/>
      <c r="GE111" s="2053"/>
      <c r="GF111" s="2053"/>
      <c r="GG111" s="2053"/>
      <c r="GH111" s="2053"/>
      <c r="GI111" s="2053"/>
      <c r="GJ111" s="2053"/>
      <c r="GK111" s="2053"/>
      <c r="GL111" s="2053"/>
      <c r="GM111" s="2053"/>
      <c r="GN111" s="2053"/>
      <c r="GO111" s="2053"/>
      <c r="GP111" s="2053"/>
      <c r="GQ111" s="2053"/>
      <c r="GR111" s="2053"/>
      <c r="GS111" s="2053"/>
      <c r="GT111" s="2053"/>
      <c r="GU111" s="2053"/>
      <c r="GV111" s="2053"/>
      <c r="GW111" s="2053"/>
      <c r="GX111" s="2053"/>
      <c r="GY111" s="2053"/>
      <c r="GZ111" s="2053"/>
      <c r="HA111" s="2053"/>
      <c r="HB111" s="2053"/>
      <c r="HC111" s="2053"/>
      <c r="HD111" s="2053"/>
      <c r="HE111" s="2053"/>
      <c r="HF111" s="2053"/>
      <c r="HG111" s="2053"/>
      <c r="HH111" s="2053"/>
      <c r="HI111" s="2053"/>
      <c r="HJ111" s="2053"/>
      <c r="HK111" s="2053"/>
      <c r="HL111" s="2053"/>
      <c r="HM111" s="2053"/>
      <c r="HN111" s="2053"/>
      <c r="HO111" s="2053"/>
      <c r="HP111" s="2053"/>
      <c r="HQ111" s="2053"/>
      <c r="HR111" s="2053"/>
      <c r="HS111" s="2053"/>
      <c r="HT111" s="2053"/>
      <c r="HU111" s="2053"/>
      <c r="HV111" s="2053"/>
      <c r="HW111" s="2053"/>
      <c r="HX111" s="2053"/>
      <c r="HY111" s="2053"/>
      <c r="HZ111" s="2053"/>
      <c r="IA111" s="2053"/>
      <c r="IB111" s="2053"/>
      <c r="IC111" s="2053"/>
      <c r="ID111" s="2053"/>
      <c r="IE111" s="2053"/>
      <c r="IF111" s="2053"/>
      <c r="IG111" s="2053"/>
      <c r="IH111" s="2053"/>
      <c r="II111" s="2053"/>
      <c r="IJ111" s="2053"/>
      <c r="IK111" s="2053"/>
      <c r="IL111" s="2053"/>
      <c r="IM111" s="2053"/>
      <c r="IN111" s="2053"/>
      <c r="IO111" s="2053"/>
      <c r="IP111" s="2053"/>
      <c r="IQ111" s="2053"/>
      <c r="IR111" s="2053"/>
      <c r="IS111" s="2053"/>
      <c r="IT111" s="2053"/>
      <c r="IU111" s="2053"/>
      <c r="IV111" s="2053"/>
      <c r="IW111" s="2053"/>
      <c r="IX111" s="2053"/>
      <c r="IY111" s="2053"/>
      <c r="IZ111" s="2053"/>
      <c r="JA111" s="2053"/>
      <c r="JB111" s="2053"/>
      <c r="JC111" s="2053"/>
      <c r="JD111" s="3144"/>
      <c r="JE111" s="3144"/>
      <c r="JF111" s="3144"/>
      <c r="JG111" s="1578"/>
      <c r="JH111" s="1367"/>
      <c r="JI111" s="1391" t="s">
        <v>5389</v>
      </c>
    </row>
    <row r="112" spans="1:270" x14ac:dyDescent="0.2">
      <c r="A112" s="1128">
        <v>4</v>
      </c>
      <c r="B112" s="1659" t="str">
        <f si="6" t="shared"/>
        <v/>
      </c>
      <c r="C112" s="1577" t="s">
        <v>3865</v>
      </c>
      <c r="D112" s="1357" t="s">
        <v>7471</v>
      </c>
      <c r="E112" s="1358"/>
      <c r="F112" s="1358"/>
      <c r="G112" s="1358"/>
      <c r="H112" s="1358"/>
      <c r="I112" s="1358"/>
      <c r="J112" s="1358"/>
      <c r="K112" s="1358"/>
      <c r="L112" s="1358"/>
      <c r="M112" s="1358"/>
      <c r="N112" s="1358"/>
      <c r="O112" s="1909"/>
      <c r="P112" s="2053"/>
      <c r="Q112" s="2053"/>
      <c r="R112" s="2053"/>
      <c r="S112" s="2053"/>
      <c r="T112" s="2053"/>
      <c r="U112" s="2053"/>
      <c r="V112" s="2053"/>
      <c r="W112" s="2053"/>
      <c r="X112" s="2053"/>
      <c r="Y112" s="2053"/>
      <c r="Z112" s="2053"/>
      <c r="AA112" s="2053"/>
      <c r="AB112" s="2053"/>
      <c r="AC112" s="2053"/>
      <c r="AD112" s="2053"/>
      <c r="AE112" s="2053"/>
      <c r="AF112" s="2053"/>
      <c r="AG112" s="2053"/>
      <c r="AH112" s="2053"/>
      <c r="AI112" s="2053"/>
      <c r="AJ112" s="2053"/>
      <c r="AK112" s="2053"/>
      <c r="AL112" s="2053"/>
      <c r="AM112" s="2053"/>
      <c r="AN112" s="2053"/>
      <c r="AO112" s="2053"/>
      <c r="AP112" s="2053"/>
      <c r="AQ112" s="2053"/>
      <c r="AR112" s="2053"/>
      <c r="AS112" s="2053"/>
      <c r="AT112" s="2053"/>
      <c r="AU112" s="2053"/>
      <c r="AV112" s="2053"/>
      <c r="AW112" s="2053"/>
      <c r="AX112" s="2053"/>
      <c r="AY112" s="2053"/>
      <c r="AZ112" s="2053"/>
      <c r="BA112" s="2053"/>
      <c r="BB112" s="2053"/>
      <c r="BC112" s="2053"/>
      <c r="BD112" s="2053"/>
      <c r="BE112" s="2053"/>
      <c r="BF112" s="2053"/>
      <c r="BG112" s="2053"/>
      <c r="BH112" s="2053"/>
      <c r="BI112" s="2053"/>
      <c r="BJ112" s="2053"/>
      <c r="BK112" s="2053"/>
      <c r="BL112" s="2053"/>
      <c r="BM112" s="2053"/>
      <c r="BN112" s="2053"/>
      <c r="BO112" s="2053"/>
      <c r="BP112" s="2053"/>
      <c r="BQ112" s="2053"/>
      <c r="BR112" s="2053"/>
      <c r="BS112" s="2053"/>
      <c r="BT112" s="2053"/>
      <c r="BU112" s="2053"/>
      <c r="BV112" s="2053"/>
      <c r="BW112" s="2053"/>
      <c r="BX112" s="2053"/>
      <c r="BY112" s="2053"/>
      <c r="BZ112" s="2053"/>
      <c r="CA112" s="2053"/>
      <c r="CB112" s="2053"/>
      <c r="CC112" s="2053"/>
      <c r="CD112" s="2053"/>
      <c r="CE112" s="2053"/>
      <c r="CF112" s="2053"/>
      <c r="CG112" s="2053"/>
      <c r="CH112" s="2053"/>
      <c r="CI112" s="2053"/>
      <c r="CJ112" s="2053"/>
      <c r="CK112" s="2053"/>
      <c r="CL112" s="2053"/>
      <c r="CM112" s="2053"/>
      <c r="CN112" s="2053"/>
      <c r="CO112" s="2053"/>
      <c r="CP112" s="2053"/>
      <c r="CQ112" s="2053"/>
      <c r="CR112" s="2053"/>
      <c r="CS112" s="2053"/>
      <c r="CT112" s="2053"/>
      <c r="CU112" s="2053"/>
      <c r="CV112" s="2053"/>
      <c r="CW112" s="2053"/>
      <c r="CX112" s="2053"/>
      <c r="CY112" s="2053"/>
      <c r="CZ112" s="2053"/>
      <c r="DA112" s="2053"/>
      <c r="DB112" s="2053"/>
      <c r="DC112" s="2053"/>
      <c r="DD112" s="2053"/>
      <c r="DE112" s="2053"/>
      <c r="DF112" s="2053"/>
      <c r="DG112" s="2053"/>
      <c r="DH112" s="2053"/>
      <c r="DI112" s="2053"/>
      <c r="DJ112" s="2053"/>
      <c r="DK112" s="2053"/>
      <c r="DL112" s="2053"/>
      <c r="DM112" s="2053"/>
      <c r="DN112" s="2053"/>
      <c r="DO112" s="2053"/>
      <c r="DP112" s="2053"/>
      <c r="DQ112" s="2053"/>
      <c r="DR112" s="2053"/>
      <c r="DS112" s="2053"/>
      <c r="DT112" s="2053"/>
      <c r="DU112" s="2053"/>
      <c r="DV112" s="2053"/>
      <c r="DW112" s="2053"/>
      <c r="DX112" s="2053"/>
      <c r="DY112" s="2053"/>
      <c r="DZ112" s="2053"/>
      <c r="EA112" s="2053"/>
      <c r="EB112" s="2053"/>
      <c r="EC112" s="2053"/>
      <c r="ED112" s="2053"/>
      <c r="EE112" s="2053"/>
      <c r="EF112" s="2053"/>
      <c r="EG112" s="2053"/>
      <c r="EH112" s="2053"/>
      <c r="EI112" s="2053"/>
      <c r="EJ112" s="2053"/>
      <c r="EK112" s="2053"/>
      <c r="EL112" s="2053"/>
      <c r="EM112" s="2053"/>
      <c r="EN112" s="2053"/>
      <c r="EO112" s="2053"/>
      <c r="EP112" s="2053"/>
      <c r="EQ112" s="2053"/>
      <c r="ER112" s="2053"/>
      <c r="ES112" s="2053"/>
      <c r="ET112" s="2053"/>
      <c r="EU112" s="2053"/>
      <c r="EV112" s="2053"/>
      <c r="EW112" s="2053"/>
      <c r="EX112" s="2053"/>
      <c r="EY112" s="2053"/>
      <c r="EZ112" s="2053"/>
      <c r="FA112" s="2053"/>
      <c r="FB112" s="2053"/>
      <c r="FC112" s="2053"/>
      <c r="FD112" s="2053"/>
      <c r="FE112" s="2053"/>
      <c r="FF112" s="2053"/>
      <c r="FG112" s="2053"/>
      <c r="FH112" s="2053"/>
      <c r="FI112" s="2053"/>
      <c r="FJ112" s="2053"/>
      <c r="FK112" s="2053"/>
      <c r="FL112" s="2053"/>
      <c r="FM112" s="2053"/>
      <c r="FN112" s="2053"/>
      <c r="FO112" s="2053"/>
      <c r="FP112" s="2053"/>
      <c r="FQ112" s="2053"/>
      <c r="FR112" s="2053"/>
      <c r="FS112" s="2053"/>
      <c r="FT112" s="2053"/>
      <c r="FU112" s="2053"/>
      <c r="FV112" s="2053"/>
      <c r="FW112" s="2053"/>
      <c r="FX112" s="2053"/>
      <c r="FY112" s="2053"/>
      <c r="FZ112" s="2053"/>
      <c r="GA112" s="2053"/>
      <c r="GB112" s="2053"/>
      <c r="GC112" s="2053"/>
      <c r="GD112" s="2053"/>
      <c r="GE112" s="2053"/>
      <c r="GF112" s="2053"/>
      <c r="GG112" s="2053"/>
      <c r="GH112" s="2053"/>
      <c r="GI112" s="2053"/>
      <c r="GJ112" s="2053"/>
      <c r="GK112" s="2053"/>
      <c r="GL112" s="2053"/>
      <c r="GM112" s="2053"/>
      <c r="GN112" s="2053"/>
      <c r="GO112" s="2053"/>
      <c r="GP112" s="2053"/>
      <c r="GQ112" s="2053"/>
      <c r="GR112" s="2053"/>
      <c r="GS112" s="2053"/>
      <c r="GT112" s="2053"/>
      <c r="GU112" s="2053"/>
      <c r="GV112" s="2053"/>
      <c r="GW112" s="2053"/>
      <c r="GX112" s="2053"/>
      <c r="GY112" s="2053"/>
      <c r="GZ112" s="2053"/>
      <c r="HA112" s="2053"/>
      <c r="HB112" s="2053"/>
      <c r="HC112" s="2053"/>
      <c r="HD112" s="2053"/>
      <c r="HE112" s="2053"/>
      <c r="HF112" s="2053"/>
      <c r="HG112" s="2053"/>
      <c r="HH112" s="2053"/>
      <c r="HI112" s="2053"/>
      <c r="HJ112" s="2053"/>
      <c r="HK112" s="2053"/>
      <c r="HL112" s="2053"/>
      <c r="HM112" s="2053"/>
      <c r="HN112" s="2053"/>
      <c r="HO112" s="2053"/>
      <c r="HP112" s="2053"/>
      <c r="HQ112" s="2053"/>
      <c r="HR112" s="2053"/>
      <c r="HS112" s="2053"/>
      <c r="HT112" s="2053"/>
      <c r="HU112" s="2053"/>
      <c r="HV112" s="2053"/>
      <c r="HW112" s="2053"/>
      <c r="HX112" s="2053"/>
      <c r="HY112" s="2053"/>
      <c r="HZ112" s="2053"/>
      <c r="IA112" s="2053"/>
      <c r="IB112" s="2053"/>
      <c r="IC112" s="2053"/>
      <c r="ID112" s="2053"/>
      <c r="IE112" s="2053"/>
      <c r="IF112" s="2053"/>
      <c r="IG112" s="2053"/>
      <c r="IH112" s="2053"/>
      <c r="II112" s="2053"/>
      <c r="IJ112" s="2053"/>
      <c r="IK112" s="2053"/>
      <c r="IL112" s="2053"/>
      <c r="IM112" s="2053"/>
      <c r="IN112" s="2053"/>
      <c r="IO112" s="2053"/>
      <c r="IP112" s="2053"/>
      <c r="IQ112" s="2053"/>
      <c r="IR112" s="2053"/>
      <c r="IS112" s="2053"/>
      <c r="IT112" s="2053"/>
      <c r="IU112" s="2053"/>
      <c r="IV112" s="2053"/>
      <c r="IW112" s="2053"/>
      <c r="IX112" s="2053"/>
      <c r="IY112" s="2053"/>
      <c r="IZ112" s="2053"/>
      <c r="JA112" s="2053"/>
      <c r="JB112" s="2053"/>
      <c r="JC112" s="2053"/>
      <c r="JD112" s="3144"/>
      <c r="JE112" s="3144"/>
      <c r="JF112" s="3144"/>
      <c r="JG112" s="1578"/>
      <c r="JH112" s="1367"/>
      <c r="JI112" s="1390"/>
    </row>
    <row r="113" spans="1:269" x14ac:dyDescent="0.2">
      <c r="A113" s="1128">
        <v>5</v>
      </c>
      <c r="B113" s="1659" t="str">
        <f si="6" t="shared"/>
        <v/>
      </c>
      <c r="C113" s="3170" t="s">
        <v>7470</v>
      </c>
      <c r="D113" s="3171" t="s">
        <v>7472</v>
      </c>
      <c r="E113" s="3143"/>
      <c r="F113" s="3143"/>
      <c r="G113" s="3143"/>
      <c r="H113" s="3143"/>
      <c r="I113" s="3143"/>
      <c r="J113" s="3143"/>
      <c r="K113" s="3143"/>
      <c r="L113" s="3143"/>
      <c r="M113" s="3143"/>
      <c r="N113" s="3143"/>
      <c r="O113" s="3144"/>
      <c r="P113" s="3144"/>
      <c r="Q113" s="3144"/>
      <c r="R113" s="3144"/>
      <c r="S113" s="3144"/>
      <c r="T113" s="3144"/>
      <c r="U113" s="3144"/>
      <c r="V113" s="3144"/>
      <c r="W113" s="3144"/>
      <c r="X113" s="3144"/>
      <c r="Y113" s="3144"/>
      <c r="Z113" s="3144"/>
      <c r="AA113" s="3144"/>
      <c r="AB113" s="3144"/>
      <c r="AC113" s="3144"/>
      <c r="AD113" s="3144"/>
      <c r="AE113" s="3144"/>
      <c r="AF113" s="3144"/>
      <c r="AG113" s="3144"/>
      <c r="AH113" s="3144"/>
      <c r="AI113" s="3144"/>
      <c r="AJ113" s="3144"/>
      <c r="AK113" s="3144"/>
      <c r="AL113" s="3144"/>
      <c r="AM113" s="3144"/>
      <c r="AN113" s="3144"/>
      <c r="AO113" s="3144"/>
      <c r="AP113" s="3144"/>
      <c r="AQ113" s="3144"/>
      <c r="AR113" s="3144"/>
      <c r="AS113" s="3144"/>
      <c r="AT113" s="3144"/>
      <c r="AU113" s="3144"/>
      <c r="AV113" s="3144"/>
      <c r="AW113" s="3144"/>
      <c r="AX113" s="3144"/>
      <c r="AY113" s="3144"/>
      <c r="AZ113" s="3144"/>
      <c r="BA113" s="3144"/>
      <c r="BB113" s="3144"/>
      <c r="BC113" s="3144"/>
      <c r="BD113" s="3144"/>
      <c r="BE113" s="3144"/>
      <c r="BF113" s="3144"/>
      <c r="BG113" s="3144"/>
      <c r="BH113" s="3144"/>
      <c r="BI113" s="3144"/>
      <c r="BJ113" s="3144"/>
      <c r="BK113" s="3144"/>
      <c r="BL113" s="3144"/>
      <c r="BM113" s="3144"/>
      <c r="BN113" s="3144"/>
      <c r="BO113" s="3144"/>
      <c r="BP113" s="3144"/>
      <c r="BQ113" s="3144"/>
      <c r="BR113" s="3144"/>
      <c r="BS113" s="3144"/>
      <c r="BT113" s="3144"/>
      <c r="BU113" s="3144"/>
      <c r="BV113" s="3144"/>
      <c r="BW113" s="3144"/>
      <c r="BX113" s="3144"/>
      <c r="BY113" s="3144"/>
      <c r="BZ113" s="3144"/>
      <c r="CA113" s="3144"/>
      <c r="CB113" s="3144"/>
      <c r="CC113" s="3144"/>
      <c r="CD113" s="3144"/>
      <c r="CE113" s="3144"/>
      <c r="CF113" s="3144"/>
      <c r="CG113" s="3144"/>
      <c r="CH113" s="3144"/>
      <c r="CI113" s="3144"/>
      <c r="CJ113" s="3144"/>
      <c r="CK113" s="3144"/>
      <c r="CL113" s="3144"/>
      <c r="CM113" s="3144"/>
      <c r="CN113" s="3144"/>
      <c r="CO113" s="3144"/>
      <c r="CP113" s="3144"/>
      <c r="CQ113" s="3144"/>
      <c r="CR113" s="3144"/>
      <c r="CS113" s="3144"/>
      <c r="CT113" s="3144"/>
      <c r="CU113" s="3144"/>
      <c r="CV113" s="3144"/>
      <c r="CW113" s="3144"/>
      <c r="CX113" s="3144"/>
      <c r="CY113" s="3144"/>
      <c r="CZ113" s="3144"/>
      <c r="DA113" s="3144"/>
      <c r="DB113" s="3144"/>
      <c r="DC113" s="3144"/>
      <c r="DD113" s="3144"/>
      <c r="DE113" s="3144"/>
      <c r="DF113" s="3144"/>
      <c r="DG113" s="3144"/>
      <c r="DH113" s="3144"/>
      <c r="DI113" s="3144"/>
      <c r="DJ113" s="3144"/>
      <c r="DK113" s="3144"/>
      <c r="DL113" s="3144"/>
      <c r="DM113" s="3144"/>
      <c r="DN113" s="3144"/>
      <c r="DO113" s="3144"/>
      <c r="DP113" s="3144"/>
      <c r="DQ113" s="3144"/>
      <c r="DR113" s="3144"/>
      <c r="DS113" s="3144"/>
      <c r="DT113" s="3144"/>
      <c r="DU113" s="3144"/>
      <c r="DV113" s="3144"/>
      <c r="DW113" s="3144"/>
      <c r="DX113" s="3144"/>
      <c r="DY113" s="3144"/>
      <c r="DZ113" s="3144"/>
      <c r="EA113" s="3144"/>
      <c r="EB113" s="3144"/>
      <c r="EC113" s="3144"/>
      <c r="ED113" s="3144"/>
      <c r="EE113" s="3144"/>
      <c r="EF113" s="3144"/>
      <c r="EG113" s="3144"/>
      <c r="EH113" s="3144"/>
      <c r="EI113" s="3144"/>
      <c r="EJ113" s="3144"/>
      <c r="EK113" s="3144"/>
      <c r="EL113" s="3144"/>
      <c r="EM113" s="3144"/>
      <c r="EN113" s="3144"/>
      <c r="EO113" s="3144"/>
      <c r="EP113" s="3144"/>
      <c r="EQ113" s="3144"/>
      <c r="ER113" s="3144"/>
      <c r="ES113" s="3144"/>
      <c r="ET113" s="3144"/>
      <c r="EU113" s="3144"/>
      <c r="EV113" s="3144"/>
      <c r="EW113" s="3144"/>
      <c r="EX113" s="3144"/>
      <c r="EY113" s="3144"/>
      <c r="EZ113" s="3144"/>
      <c r="FA113" s="3144"/>
      <c r="FB113" s="3144"/>
      <c r="FC113" s="3144"/>
      <c r="FD113" s="3144"/>
      <c r="FE113" s="3144"/>
      <c r="FF113" s="3144"/>
      <c r="FG113" s="3144"/>
      <c r="FH113" s="3144"/>
      <c r="FI113" s="3144"/>
      <c r="FJ113" s="3144"/>
      <c r="FK113" s="3144"/>
      <c r="FL113" s="3144"/>
      <c r="FM113" s="3144"/>
      <c r="FN113" s="3144"/>
      <c r="FO113" s="3144"/>
      <c r="FP113" s="3144"/>
      <c r="FQ113" s="3144"/>
      <c r="FR113" s="3144"/>
      <c r="FS113" s="3144"/>
      <c r="FT113" s="3144"/>
      <c r="FU113" s="3144"/>
      <c r="FV113" s="3144"/>
      <c r="FW113" s="3144"/>
      <c r="FX113" s="3144"/>
      <c r="FY113" s="3144"/>
      <c r="FZ113" s="3144"/>
      <c r="GA113" s="3144"/>
      <c r="GB113" s="3144"/>
      <c r="GC113" s="3144"/>
      <c r="GD113" s="3144"/>
      <c r="GE113" s="3144"/>
      <c r="GF113" s="3144"/>
      <c r="GG113" s="3144"/>
      <c r="GH113" s="3144"/>
      <c r="GI113" s="3144"/>
      <c r="GJ113" s="3144"/>
      <c r="GK113" s="3144"/>
      <c r="GL113" s="3144"/>
      <c r="GM113" s="3144"/>
      <c r="GN113" s="3144"/>
      <c r="GO113" s="3144"/>
      <c r="GP113" s="3144"/>
      <c r="GQ113" s="3144"/>
      <c r="GR113" s="3144"/>
      <c r="GS113" s="3144"/>
      <c r="GT113" s="3144"/>
      <c r="GU113" s="3144"/>
      <c r="GV113" s="3144"/>
      <c r="GW113" s="3144"/>
      <c r="GX113" s="3144"/>
      <c r="GY113" s="3144"/>
      <c r="GZ113" s="3144"/>
      <c r="HA113" s="3144"/>
      <c r="HB113" s="3144"/>
      <c r="HC113" s="3144"/>
      <c r="HD113" s="3144"/>
      <c r="HE113" s="3144"/>
      <c r="HF113" s="3144"/>
      <c r="HG113" s="3144"/>
      <c r="HH113" s="3144"/>
      <c r="HI113" s="3144"/>
      <c r="HJ113" s="3144"/>
      <c r="HK113" s="3144"/>
      <c r="HL113" s="3144"/>
      <c r="HM113" s="3144"/>
      <c r="HN113" s="3144"/>
      <c r="HO113" s="3144"/>
      <c r="HP113" s="3144"/>
      <c r="HQ113" s="3144"/>
      <c r="HR113" s="3144"/>
      <c r="HS113" s="3144"/>
      <c r="HT113" s="3144"/>
      <c r="HU113" s="3144"/>
      <c r="HV113" s="3144"/>
      <c r="HW113" s="3144"/>
      <c r="HX113" s="3144"/>
      <c r="HY113" s="3144"/>
      <c r="HZ113" s="3144"/>
      <c r="IA113" s="3144"/>
      <c r="IB113" s="3144"/>
      <c r="IC113" s="3144"/>
      <c r="ID113" s="3144"/>
      <c r="IE113" s="3144"/>
      <c r="IF113" s="3144"/>
      <c r="IG113" s="3144"/>
      <c r="IH113" s="3144"/>
      <c r="II113" s="3144"/>
      <c r="IJ113" s="3144"/>
      <c r="IK113" s="3144"/>
      <c r="IL113" s="3144"/>
      <c r="IM113" s="3144"/>
      <c r="IN113" s="3144"/>
      <c r="IO113" s="3144"/>
      <c r="IP113" s="3144"/>
      <c r="IQ113" s="3144"/>
      <c r="IR113" s="3144"/>
      <c r="IS113" s="3144"/>
      <c r="IT113" s="3144"/>
      <c r="IU113" s="3144"/>
      <c r="IV113" s="3144"/>
      <c r="IW113" s="3144"/>
      <c r="IX113" s="3144"/>
      <c r="IY113" s="3144"/>
      <c r="IZ113" s="3144"/>
      <c r="JA113" s="3144"/>
      <c r="JB113" s="3144"/>
      <c r="JC113" s="3144"/>
      <c r="JD113" s="3144"/>
      <c r="JE113" s="3144"/>
      <c r="JF113" s="3144"/>
      <c r="JG113" s="3145"/>
      <c r="JH113" s="1367"/>
      <c r="JI113" s="1390"/>
    </row>
    <row r="114" spans="1:269" x14ac:dyDescent="0.2">
      <c r="A114" s="1128">
        <v>6</v>
      </c>
      <c r="B114" s="1659" t="str">
        <f si="6" t="shared"/>
        <v/>
      </c>
      <c r="C114" s="1577" t="s">
        <v>3866</v>
      </c>
      <c r="D114" s="1357" t="s">
        <v>5397</v>
      </c>
      <c r="E114" s="1358"/>
      <c r="F114" s="1358"/>
      <c r="G114" s="1358"/>
      <c r="H114" s="1358"/>
      <c r="I114" s="1358"/>
      <c r="J114" s="1358"/>
      <c r="K114" s="1358"/>
      <c r="L114" s="1358"/>
      <c r="M114" s="1358"/>
      <c r="N114" s="1358"/>
      <c r="O114" s="1909"/>
      <c r="P114" s="2053"/>
      <c r="Q114" s="2053"/>
      <c r="R114" s="2053"/>
      <c r="S114" s="2053"/>
      <c r="T114" s="2053"/>
      <c r="U114" s="2053"/>
      <c r="V114" s="2053"/>
      <c r="W114" s="2053"/>
      <c r="X114" s="2053"/>
      <c r="Y114" s="2053"/>
      <c r="Z114" s="2053"/>
      <c r="AA114" s="2053"/>
      <c r="AB114" s="2053"/>
      <c r="AC114" s="2053"/>
      <c r="AD114" s="2053"/>
      <c r="AE114" s="2053"/>
      <c r="AF114" s="2053"/>
      <c r="AG114" s="2053"/>
      <c r="AH114" s="2053"/>
      <c r="AI114" s="2053"/>
      <c r="AJ114" s="2053"/>
      <c r="AK114" s="2053"/>
      <c r="AL114" s="2053"/>
      <c r="AM114" s="2053"/>
      <c r="AN114" s="2053"/>
      <c r="AO114" s="2053"/>
      <c r="AP114" s="2053"/>
      <c r="AQ114" s="2053"/>
      <c r="AR114" s="2053"/>
      <c r="AS114" s="2053"/>
      <c r="AT114" s="2053"/>
      <c r="AU114" s="2053"/>
      <c r="AV114" s="2053"/>
      <c r="AW114" s="2053"/>
      <c r="AX114" s="2053"/>
      <c r="AY114" s="2053"/>
      <c r="AZ114" s="2053"/>
      <c r="BA114" s="2053"/>
      <c r="BB114" s="2053"/>
      <c r="BC114" s="2053"/>
      <c r="BD114" s="2053"/>
      <c r="BE114" s="2053"/>
      <c r="BF114" s="2053"/>
      <c r="BG114" s="2053"/>
      <c r="BH114" s="2053"/>
      <c r="BI114" s="2053"/>
      <c r="BJ114" s="2053"/>
      <c r="BK114" s="2053"/>
      <c r="BL114" s="2053"/>
      <c r="BM114" s="2053"/>
      <c r="BN114" s="2053"/>
      <c r="BO114" s="2053"/>
      <c r="BP114" s="2053"/>
      <c r="BQ114" s="2053"/>
      <c r="BR114" s="2053"/>
      <c r="BS114" s="2053"/>
      <c r="BT114" s="2053"/>
      <c r="BU114" s="2053"/>
      <c r="BV114" s="2053"/>
      <c r="BW114" s="2053"/>
      <c r="BX114" s="2053"/>
      <c r="BY114" s="2053"/>
      <c r="BZ114" s="2053"/>
      <c r="CA114" s="2053"/>
      <c r="CB114" s="2053"/>
      <c r="CC114" s="2053"/>
      <c r="CD114" s="2053"/>
      <c r="CE114" s="2053"/>
      <c r="CF114" s="2053"/>
      <c r="CG114" s="2053"/>
      <c r="CH114" s="2053"/>
      <c r="CI114" s="2053"/>
      <c r="CJ114" s="2053"/>
      <c r="CK114" s="2053"/>
      <c r="CL114" s="2053"/>
      <c r="CM114" s="2053"/>
      <c r="CN114" s="2053"/>
      <c r="CO114" s="2053"/>
      <c r="CP114" s="2053"/>
      <c r="CQ114" s="2053"/>
      <c r="CR114" s="2053"/>
      <c r="CS114" s="2053"/>
      <c r="CT114" s="2053"/>
      <c r="CU114" s="2053"/>
      <c r="CV114" s="2053"/>
      <c r="CW114" s="2053"/>
      <c r="CX114" s="2053"/>
      <c r="CY114" s="2053"/>
      <c r="CZ114" s="2053"/>
      <c r="DA114" s="2053"/>
      <c r="DB114" s="2053"/>
      <c r="DC114" s="2053"/>
      <c r="DD114" s="2053"/>
      <c r="DE114" s="2053"/>
      <c r="DF114" s="2053"/>
      <c r="DG114" s="2053"/>
      <c r="DH114" s="2053"/>
      <c r="DI114" s="2053"/>
      <c r="DJ114" s="2053"/>
      <c r="DK114" s="2053"/>
      <c r="DL114" s="2053"/>
      <c r="DM114" s="2053"/>
      <c r="DN114" s="2053"/>
      <c r="DO114" s="2053"/>
      <c r="DP114" s="2053"/>
      <c r="DQ114" s="2053"/>
      <c r="DR114" s="2053"/>
      <c r="DS114" s="2053"/>
      <c r="DT114" s="2053"/>
      <c r="DU114" s="2053"/>
      <c r="DV114" s="2053"/>
      <c r="DW114" s="2053"/>
      <c r="DX114" s="2053"/>
      <c r="DY114" s="2053"/>
      <c r="DZ114" s="2053"/>
      <c r="EA114" s="2053"/>
      <c r="EB114" s="2053"/>
      <c r="EC114" s="2053"/>
      <c r="ED114" s="2053"/>
      <c r="EE114" s="2053"/>
      <c r="EF114" s="2053"/>
      <c r="EG114" s="2053"/>
      <c r="EH114" s="2053"/>
      <c r="EI114" s="2053"/>
      <c r="EJ114" s="2053"/>
      <c r="EK114" s="2053"/>
      <c r="EL114" s="2053"/>
      <c r="EM114" s="2053"/>
      <c r="EN114" s="2053"/>
      <c r="EO114" s="2053"/>
      <c r="EP114" s="2053"/>
      <c r="EQ114" s="2053"/>
      <c r="ER114" s="2053"/>
      <c r="ES114" s="2053"/>
      <c r="ET114" s="2053"/>
      <c r="EU114" s="2053"/>
      <c r="EV114" s="2053"/>
      <c r="EW114" s="2053"/>
      <c r="EX114" s="2053"/>
      <c r="EY114" s="2053"/>
      <c r="EZ114" s="2053"/>
      <c r="FA114" s="2053"/>
      <c r="FB114" s="2053"/>
      <c r="FC114" s="2053"/>
      <c r="FD114" s="2053"/>
      <c r="FE114" s="2053"/>
      <c r="FF114" s="2053"/>
      <c r="FG114" s="2053"/>
      <c r="FH114" s="2053"/>
      <c r="FI114" s="2053"/>
      <c r="FJ114" s="2053"/>
      <c r="FK114" s="2053"/>
      <c r="FL114" s="2053"/>
      <c r="FM114" s="2053"/>
      <c r="FN114" s="2053"/>
      <c r="FO114" s="2053"/>
      <c r="FP114" s="2053"/>
      <c r="FQ114" s="2053"/>
      <c r="FR114" s="2053"/>
      <c r="FS114" s="2053"/>
      <c r="FT114" s="2053"/>
      <c r="FU114" s="2053"/>
      <c r="FV114" s="2053"/>
      <c r="FW114" s="2053"/>
      <c r="FX114" s="2053"/>
      <c r="FY114" s="2053"/>
      <c r="FZ114" s="2053"/>
      <c r="GA114" s="2053"/>
      <c r="GB114" s="2053"/>
      <c r="GC114" s="2053"/>
      <c r="GD114" s="2053"/>
      <c r="GE114" s="2053"/>
      <c r="GF114" s="2053"/>
      <c r="GG114" s="2053"/>
      <c r="GH114" s="2053"/>
      <c r="GI114" s="2053"/>
      <c r="GJ114" s="2053"/>
      <c r="GK114" s="2053"/>
      <c r="GL114" s="2053"/>
      <c r="GM114" s="2053"/>
      <c r="GN114" s="2053"/>
      <c r="GO114" s="2053"/>
      <c r="GP114" s="2053"/>
      <c r="GQ114" s="2053"/>
      <c r="GR114" s="2053"/>
      <c r="GS114" s="2053"/>
      <c r="GT114" s="2053"/>
      <c r="GU114" s="2053"/>
      <c r="GV114" s="2053"/>
      <c r="GW114" s="2053"/>
      <c r="GX114" s="2053"/>
      <c r="GY114" s="2053"/>
      <c r="GZ114" s="2053"/>
      <c r="HA114" s="2053"/>
      <c r="HB114" s="2053"/>
      <c r="HC114" s="2053"/>
      <c r="HD114" s="2053"/>
      <c r="HE114" s="2053"/>
      <c r="HF114" s="2053"/>
      <c r="HG114" s="2053"/>
      <c r="HH114" s="2053"/>
      <c r="HI114" s="2053"/>
      <c r="HJ114" s="2053"/>
      <c r="HK114" s="2053"/>
      <c r="HL114" s="2053"/>
      <c r="HM114" s="2053"/>
      <c r="HN114" s="2053"/>
      <c r="HO114" s="2053"/>
      <c r="HP114" s="2053"/>
      <c r="HQ114" s="2053"/>
      <c r="HR114" s="2053"/>
      <c r="HS114" s="2053"/>
      <c r="HT114" s="2053"/>
      <c r="HU114" s="2053"/>
      <c r="HV114" s="2053"/>
      <c r="HW114" s="2053"/>
      <c r="HX114" s="2053"/>
      <c r="HY114" s="2053"/>
      <c r="HZ114" s="2053"/>
      <c r="IA114" s="2053"/>
      <c r="IB114" s="2053"/>
      <c r="IC114" s="2053"/>
      <c r="ID114" s="2053"/>
      <c r="IE114" s="2053"/>
      <c r="IF114" s="2053"/>
      <c r="IG114" s="2053"/>
      <c r="IH114" s="2053"/>
      <c r="II114" s="2053"/>
      <c r="IJ114" s="2053"/>
      <c r="IK114" s="2053"/>
      <c r="IL114" s="2053"/>
      <c r="IM114" s="2053"/>
      <c r="IN114" s="2053"/>
      <c r="IO114" s="2053"/>
      <c r="IP114" s="2053"/>
      <c r="IQ114" s="2053"/>
      <c r="IR114" s="2053"/>
      <c r="IS114" s="2053"/>
      <c r="IT114" s="2053"/>
      <c r="IU114" s="2053"/>
      <c r="IV114" s="2053"/>
      <c r="IW114" s="2053"/>
      <c r="IX114" s="2053"/>
      <c r="IY114" s="2053"/>
      <c r="IZ114" s="2053"/>
      <c r="JA114" s="2053"/>
      <c r="JB114" s="2053"/>
      <c r="JC114" s="2053"/>
      <c r="JD114" s="3144"/>
      <c r="JE114" s="3144"/>
      <c r="JF114" s="3144"/>
      <c r="JG114" s="1578"/>
      <c r="JH114" s="1367"/>
      <c r="JI114" s="1390"/>
    </row>
    <row r="115" spans="1:269" x14ac:dyDescent="0.2">
      <c r="A115" s="1128">
        <v>7</v>
      </c>
      <c r="B115" s="1659" t="str">
        <f si="6" t="shared"/>
        <v/>
      </c>
      <c r="C115" s="1579" t="s">
        <v>4553</v>
      </c>
      <c r="D115" s="1392" t="s">
        <v>4368</v>
      </c>
      <c r="E115" s="1358"/>
      <c r="F115" s="1358"/>
      <c r="G115" s="1358"/>
      <c r="H115" s="1358"/>
      <c r="I115" s="1358"/>
      <c r="J115" s="1358"/>
      <c r="K115" s="1358"/>
      <c r="L115" s="1358"/>
      <c r="M115" s="1358"/>
      <c r="N115" s="1358"/>
      <c r="O115" s="1909"/>
      <c r="P115" s="2053"/>
      <c r="Q115" s="2053"/>
      <c r="R115" s="2053"/>
      <c r="S115" s="2053"/>
      <c r="T115" s="2053"/>
      <c r="U115" s="2053"/>
      <c r="V115" s="2053"/>
      <c r="W115" s="2053"/>
      <c r="X115" s="2053"/>
      <c r="Y115" s="2053"/>
      <c r="Z115" s="2053"/>
      <c r="AA115" s="2053"/>
      <c r="AB115" s="2053"/>
      <c r="AC115" s="2053"/>
      <c r="AD115" s="2053"/>
      <c r="AE115" s="2053"/>
      <c r="AF115" s="2053"/>
      <c r="AG115" s="2053"/>
      <c r="AH115" s="2053"/>
      <c r="AI115" s="2053"/>
      <c r="AJ115" s="2053"/>
      <c r="AK115" s="2053"/>
      <c r="AL115" s="2053"/>
      <c r="AM115" s="2053"/>
      <c r="AN115" s="2053"/>
      <c r="AO115" s="2053"/>
      <c r="AP115" s="2053"/>
      <c r="AQ115" s="2053"/>
      <c r="AR115" s="2053"/>
      <c r="AS115" s="2053"/>
      <c r="AT115" s="2053"/>
      <c r="AU115" s="2053"/>
      <c r="AV115" s="2053"/>
      <c r="AW115" s="2053"/>
      <c r="AX115" s="2053"/>
      <c r="AY115" s="2053"/>
      <c r="AZ115" s="2053"/>
      <c r="BA115" s="2053"/>
      <c r="BB115" s="2053"/>
      <c r="BC115" s="2053"/>
      <c r="BD115" s="2053"/>
      <c r="BE115" s="2053"/>
      <c r="BF115" s="2053"/>
      <c r="BG115" s="2053"/>
      <c r="BH115" s="2053"/>
      <c r="BI115" s="2053"/>
      <c r="BJ115" s="2053"/>
      <c r="BK115" s="2053"/>
      <c r="BL115" s="2053"/>
      <c r="BM115" s="2053"/>
      <c r="BN115" s="2053"/>
      <c r="BO115" s="2053"/>
      <c r="BP115" s="2053"/>
      <c r="BQ115" s="2053"/>
      <c r="BR115" s="2053"/>
      <c r="BS115" s="2053"/>
      <c r="BT115" s="2053"/>
      <c r="BU115" s="2053"/>
      <c r="BV115" s="2053"/>
      <c r="BW115" s="2053"/>
      <c r="BX115" s="2053"/>
      <c r="BY115" s="2053"/>
      <c r="BZ115" s="2053"/>
      <c r="CA115" s="2053"/>
      <c r="CB115" s="2053"/>
      <c r="CC115" s="2053"/>
      <c r="CD115" s="2053"/>
      <c r="CE115" s="2053"/>
      <c r="CF115" s="2053"/>
      <c r="CG115" s="2053"/>
      <c r="CH115" s="2053"/>
      <c r="CI115" s="2053"/>
      <c r="CJ115" s="2053"/>
      <c r="CK115" s="2053"/>
      <c r="CL115" s="2053"/>
      <c r="CM115" s="2053"/>
      <c r="CN115" s="2053"/>
      <c r="CO115" s="2053"/>
      <c r="CP115" s="2053"/>
      <c r="CQ115" s="2053"/>
      <c r="CR115" s="2053"/>
      <c r="CS115" s="2053"/>
      <c r="CT115" s="2053"/>
      <c r="CU115" s="2053"/>
      <c r="CV115" s="2053"/>
      <c r="CW115" s="2053"/>
      <c r="CX115" s="2053"/>
      <c r="CY115" s="2053"/>
      <c r="CZ115" s="2053"/>
      <c r="DA115" s="2053"/>
      <c r="DB115" s="2053"/>
      <c r="DC115" s="2053"/>
      <c r="DD115" s="2053"/>
      <c r="DE115" s="2053"/>
      <c r="DF115" s="2053"/>
      <c r="DG115" s="2053"/>
      <c r="DH115" s="2053"/>
      <c r="DI115" s="2053"/>
      <c r="DJ115" s="2053"/>
      <c r="DK115" s="2053"/>
      <c r="DL115" s="2053"/>
      <c r="DM115" s="2053"/>
      <c r="DN115" s="2053"/>
      <c r="DO115" s="2053"/>
      <c r="DP115" s="2053"/>
      <c r="DQ115" s="2053"/>
      <c r="DR115" s="2053"/>
      <c r="DS115" s="2053"/>
      <c r="DT115" s="2053"/>
      <c r="DU115" s="2053"/>
      <c r="DV115" s="2053"/>
      <c r="DW115" s="2053"/>
      <c r="DX115" s="2053"/>
      <c r="DY115" s="2053"/>
      <c r="DZ115" s="2053"/>
      <c r="EA115" s="2053"/>
      <c r="EB115" s="2053"/>
      <c r="EC115" s="2053"/>
      <c r="ED115" s="2053"/>
      <c r="EE115" s="2053"/>
      <c r="EF115" s="2053"/>
      <c r="EG115" s="2053"/>
      <c r="EH115" s="2053"/>
      <c r="EI115" s="2053"/>
      <c r="EJ115" s="2053"/>
      <c r="EK115" s="2053"/>
      <c r="EL115" s="2053"/>
      <c r="EM115" s="2053"/>
      <c r="EN115" s="2053"/>
      <c r="EO115" s="2053"/>
      <c r="EP115" s="2053"/>
      <c r="EQ115" s="2053"/>
      <c r="ER115" s="2053"/>
      <c r="ES115" s="2053"/>
      <c r="ET115" s="2053"/>
      <c r="EU115" s="2053"/>
      <c r="EV115" s="2053"/>
      <c r="EW115" s="2053"/>
      <c r="EX115" s="2053"/>
      <c r="EY115" s="2053"/>
      <c r="EZ115" s="2053"/>
      <c r="FA115" s="2053"/>
      <c r="FB115" s="2053"/>
      <c r="FC115" s="2053"/>
      <c r="FD115" s="2053"/>
      <c r="FE115" s="2053"/>
      <c r="FF115" s="2053"/>
      <c r="FG115" s="2053"/>
      <c r="FH115" s="2053"/>
      <c r="FI115" s="2053"/>
      <c r="FJ115" s="2053"/>
      <c r="FK115" s="2053"/>
      <c r="FL115" s="2053"/>
      <c r="FM115" s="2053"/>
      <c r="FN115" s="2053"/>
      <c r="FO115" s="2053"/>
      <c r="FP115" s="2053"/>
      <c r="FQ115" s="2053"/>
      <c r="FR115" s="2053"/>
      <c r="FS115" s="2053"/>
      <c r="FT115" s="2053"/>
      <c r="FU115" s="2053"/>
      <c r="FV115" s="2053"/>
      <c r="FW115" s="2053"/>
      <c r="FX115" s="2053"/>
      <c r="FY115" s="2053"/>
      <c r="FZ115" s="2053"/>
      <c r="GA115" s="2053"/>
      <c r="GB115" s="2053"/>
      <c r="GC115" s="2053"/>
      <c r="GD115" s="2053"/>
      <c r="GE115" s="2053"/>
      <c r="GF115" s="2053"/>
      <c r="GG115" s="2053"/>
      <c r="GH115" s="2053"/>
      <c r="GI115" s="2053"/>
      <c r="GJ115" s="2053"/>
      <c r="GK115" s="2053"/>
      <c r="GL115" s="2053"/>
      <c r="GM115" s="2053"/>
      <c r="GN115" s="2053"/>
      <c r="GO115" s="2053"/>
      <c r="GP115" s="2053"/>
      <c r="GQ115" s="2053"/>
      <c r="GR115" s="2053"/>
      <c r="GS115" s="2053"/>
      <c r="GT115" s="2053"/>
      <c r="GU115" s="2053"/>
      <c r="GV115" s="2053"/>
      <c r="GW115" s="2053"/>
      <c r="GX115" s="2053"/>
      <c r="GY115" s="2053"/>
      <c r="GZ115" s="2053"/>
      <c r="HA115" s="2053"/>
      <c r="HB115" s="2053"/>
      <c r="HC115" s="2053"/>
      <c r="HD115" s="2053"/>
      <c r="HE115" s="2053"/>
      <c r="HF115" s="2053"/>
      <c r="HG115" s="2053"/>
      <c r="HH115" s="2053"/>
      <c r="HI115" s="2053"/>
      <c r="HJ115" s="2053"/>
      <c r="HK115" s="2053"/>
      <c r="HL115" s="2053"/>
      <c r="HM115" s="2053"/>
      <c r="HN115" s="2053"/>
      <c r="HO115" s="2053"/>
      <c r="HP115" s="2053"/>
      <c r="HQ115" s="2053"/>
      <c r="HR115" s="2053"/>
      <c r="HS115" s="2053"/>
      <c r="HT115" s="2053"/>
      <c r="HU115" s="2053"/>
      <c r="HV115" s="2053"/>
      <c r="HW115" s="2053"/>
      <c r="HX115" s="2053"/>
      <c r="HY115" s="2053"/>
      <c r="HZ115" s="2053"/>
      <c r="IA115" s="2053"/>
      <c r="IB115" s="2053"/>
      <c r="IC115" s="2053"/>
      <c r="ID115" s="2053"/>
      <c r="IE115" s="2053"/>
      <c r="IF115" s="2053"/>
      <c r="IG115" s="2053"/>
      <c r="IH115" s="2053"/>
      <c r="II115" s="2053"/>
      <c r="IJ115" s="2053"/>
      <c r="IK115" s="2053"/>
      <c r="IL115" s="2053"/>
      <c r="IM115" s="2053"/>
      <c r="IN115" s="2053"/>
      <c r="IO115" s="2053"/>
      <c r="IP115" s="2053"/>
      <c r="IQ115" s="2053"/>
      <c r="IR115" s="2053"/>
      <c r="IS115" s="2053"/>
      <c r="IT115" s="2053"/>
      <c r="IU115" s="2053"/>
      <c r="IV115" s="2053"/>
      <c r="IW115" s="2053"/>
      <c r="IX115" s="2053"/>
      <c r="IY115" s="2053"/>
      <c r="IZ115" s="2053"/>
      <c r="JA115" s="2053"/>
      <c r="JB115" s="2053"/>
      <c r="JC115" s="2053"/>
      <c r="JD115" s="3144"/>
      <c r="JE115" s="3144"/>
      <c r="JF115" s="3144"/>
      <c r="JG115" s="1578"/>
      <c r="JH115" s="1367"/>
      <c r="JI115" s="1391" t="s">
        <v>5390</v>
      </c>
    </row>
    <row r="116" spans="1:269" x14ac:dyDescent="0.2">
      <c r="A116" s="1128">
        <v>8</v>
      </c>
      <c r="B116" s="1659" t="str">
        <f si="6" t="shared"/>
        <v/>
      </c>
      <c r="C116" s="1577" t="s">
        <v>3867</v>
      </c>
      <c r="D116" s="1357" t="s">
        <v>5398</v>
      </c>
      <c r="E116" s="1358"/>
      <c r="F116" s="1358"/>
      <c r="G116" s="1358"/>
      <c r="H116" s="1358"/>
      <c r="I116" s="1358"/>
      <c r="J116" s="1358"/>
      <c r="K116" s="1358"/>
      <c r="L116" s="1358"/>
      <c r="M116" s="1358"/>
      <c r="N116" s="1358"/>
      <c r="O116" s="1909"/>
      <c r="P116" s="2053"/>
      <c r="Q116" s="2053"/>
      <c r="R116" s="2053"/>
      <c r="S116" s="2053"/>
      <c r="T116" s="2053"/>
      <c r="U116" s="2053"/>
      <c r="V116" s="2053"/>
      <c r="W116" s="2053"/>
      <c r="X116" s="2053"/>
      <c r="Y116" s="2053"/>
      <c r="Z116" s="2053"/>
      <c r="AA116" s="2053"/>
      <c r="AB116" s="2053"/>
      <c r="AC116" s="2053"/>
      <c r="AD116" s="2053"/>
      <c r="AE116" s="2053"/>
      <c r="AF116" s="2053"/>
      <c r="AG116" s="2053"/>
      <c r="AH116" s="2053"/>
      <c r="AI116" s="2053"/>
      <c r="AJ116" s="2053"/>
      <c r="AK116" s="2053"/>
      <c r="AL116" s="2053"/>
      <c r="AM116" s="2053"/>
      <c r="AN116" s="2053"/>
      <c r="AO116" s="2053"/>
      <c r="AP116" s="2053"/>
      <c r="AQ116" s="2053"/>
      <c r="AR116" s="2053"/>
      <c r="AS116" s="2053"/>
      <c r="AT116" s="2053"/>
      <c r="AU116" s="2053"/>
      <c r="AV116" s="2053"/>
      <c r="AW116" s="2053"/>
      <c r="AX116" s="2053"/>
      <c r="AY116" s="2053"/>
      <c r="AZ116" s="2053"/>
      <c r="BA116" s="2053"/>
      <c r="BB116" s="2053"/>
      <c r="BC116" s="2053"/>
      <c r="BD116" s="2053"/>
      <c r="BE116" s="2053"/>
      <c r="BF116" s="2053"/>
      <c r="BG116" s="2053"/>
      <c r="BH116" s="2053"/>
      <c r="BI116" s="2053"/>
      <c r="BJ116" s="2053"/>
      <c r="BK116" s="2053"/>
      <c r="BL116" s="2053"/>
      <c r="BM116" s="2053"/>
      <c r="BN116" s="2053"/>
      <c r="BO116" s="2053"/>
      <c r="BP116" s="2053"/>
      <c r="BQ116" s="2053"/>
      <c r="BR116" s="2053"/>
      <c r="BS116" s="2053"/>
      <c r="BT116" s="2053"/>
      <c r="BU116" s="2053"/>
      <c r="BV116" s="2053"/>
      <c r="BW116" s="2053"/>
      <c r="BX116" s="2053"/>
      <c r="BY116" s="2053"/>
      <c r="BZ116" s="2053"/>
      <c r="CA116" s="2053"/>
      <c r="CB116" s="2053"/>
      <c r="CC116" s="2053"/>
      <c r="CD116" s="2053"/>
      <c r="CE116" s="2053"/>
      <c r="CF116" s="2053"/>
      <c r="CG116" s="2053"/>
      <c r="CH116" s="2053"/>
      <c r="CI116" s="2053"/>
      <c r="CJ116" s="2053"/>
      <c r="CK116" s="2053"/>
      <c r="CL116" s="2053"/>
      <c r="CM116" s="2053"/>
      <c r="CN116" s="2053"/>
      <c r="CO116" s="2053"/>
      <c r="CP116" s="2053"/>
      <c r="CQ116" s="2053"/>
      <c r="CR116" s="2053"/>
      <c r="CS116" s="2053"/>
      <c r="CT116" s="2053"/>
      <c r="CU116" s="2053"/>
      <c r="CV116" s="2053"/>
      <c r="CW116" s="2053"/>
      <c r="CX116" s="2053"/>
      <c r="CY116" s="2053"/>
      <c r="CZ116" s="2053"/>
      <c r="DA116" s="2053"/>
      <c r="DB116" s="2053"/>
      <c r="DC116" s="2053"/>
      <c r="DD116" s="2053"/>
      <c r="DE116" s="2053"/>
      <c r="DF116" s="2053"/>
      <c r="DG116" s="2053"/>
      <c r="DH116" s="2053"/>
      <c r="DI116" s="2053"/>
      <c r="DJ116" s="2053"/>
      <c r="DK116" s="2053"/>
      <c r="DL116" s="2053"/>
      <c r="DM116" s="2053"/>
      <c r="DN116" s="2053"/>
      <c r="DO116" s="2053"/>
      <c r="DP116" s="2053"/>
      <c r="DQ116" s="2053"/>
      <c r="DR116" s="2053"/>
      <c r="DS116" s="2053"/>
      <c r="DT116" s="2053"/>
      <c r="DU116" s="2053"/>
      <c r="DV116" s="2053"/>
      <c r="DW116" s="2053"/>
      <c r="DX116" s="2053"/>
      <c r="DY116" s="2053"/>
      <c r="DZ116" s="2053"/>
      <c r="EA116" s="2053"/>
      <c r="EB116" s="2053"/>
      <c r="EC116" s="2053"/>
      <c r="ED116" s="2053"/>
      <c r="EE116" s="2053"/>
      <c r="EF116" s="2053"/>
      <c r="EG116" s="2053"/>
      <c r="EH116" s="2053"/>
      <c r="EI116" s="2053"/>
      <c r="EJ116" s="2053"/>
      <c r="EK116" s="2053"/>
      <c r="EL116" s="2053"/>
      <c r="EM116" s="2053"/>
      <c r="EN116" s="2053"/>
      <c r="EO116" s="2053"/>
      <c r="EP116" s="2053"/>
      <c r="EQ116" s="2053"/>
      <c r="ER116" s="2053"/>
      <c r="ES116" s="2053"/>
      <c r="ET116" s="2053"/>
      <c r="EU116" s="2053"/>
      <c r="EV116" s="2053"/>
      <c r="EW116" s="2053"/>
      <c r="EX116" s="2053"/>
      <c r="EY116" s="2053"/>
      <c r="EZ116" s="2053"/>
      <c r="FA116" s="2053"/>
      <c r="FB116" s="2053"/>
      <c r="FC116" s="2053"/>
      <c r="FD116" s="2053"/>
      <c r="FE116" s="2053"/>
      <c r="FF116" s="2053"/>
      <c r="FG116" s="2053"/>
      <c r="FH116" s="2053"/>
      <c r="FI116" s="2053"/>
      <c r="FJ116" s="2053"/>
      <c r="FK116" s="2053"/>
      <c r="FL116" s="2053"/>
      <c r="FM116" s="2053"/>
      <c r="FN116" s="2053"/>
      <c r="FO116" s="2053"/>
      <c r="FP116" s="2053"/>
      <c r="FQ116" s="2053"/>
      <c r="FR116" s="2053"/>
      <c r="FS116" s="2053"/>
      <c r="FT116" s="2053"/>
      <c r="FU116" s="2053"/>
      <c r="FV116" s="2053"/>
      <c r="FW116" s="2053"/>
      <c r="FX116" s="2053"/>
      <c r="FY116" s="2053"/>
      <c r="FZ116" s="2053"/>
      <c r="GA116" s="2053"/>
      <c r="GB116" s="2053"/>
      <c r="GC116" s="2053"/>
      <c r="GD116" s="2053"/>
      <c r="GE116" s="2053"/>
      <c r="GF116" s="2053"/>
      <c r="GG116" s="2053"/>
      <c r="GH116" s="2053"/>
      <c r="GI116" s="2053"/>
      <c r="GJ116" s="2053"/>
      <c r="GK116" s="2053"/>
      <c r="GL116" s="2053"/>
      <c r="GM116" s="2053"/>
      <c r="GN116" s="2053"/>
      <c r="GO116" s="2053"/>
      <c r="GP116" s="2053"/>
      <c r="GQ116" s="2053"/>
      <c r="GR116" s="2053"/>
      <c r="GS116" s="2053"/>
      <c r="GT116" s="2053"/>
      <c r="GU116" s="2053"/>
      <c r="GV116" s="2053"/>
      <c r="GW116" s="2053"/>
      <c r="GX116" s="2053"/>
      <c r="GY116" s="2053"/>
      <c r="GZ116" s="2053"/>
      <c r="HA116" s="2053"/>
      <c r="HB116" s="2053"/>
      <c r="HC116" s="2053"/>
      <c r="HD116" s="2053"/>
      <c r="HE116" s="2053"/>
      <c r="HF116" s="2053"/>
      <c r="HG116" s="2053"/>
      <c r="HH116" s="2053"/>
      <c r="HI116" s="2053"/>
      <c r="HJ116" s="2053"/>
      <c r="HK116" s="2053"/>
      <c r="HL116" s="2053"/>
      <c r="HM116" s="2053"/>
      <c r="HN116" s="2053"/>
      <c r="HO116" s="2053"/>
      <c r="HP116" s="2053"/>
      <c r="HQ116" s="2053"/>
      <c r="HR116" s="2053"/>
      <c r="HS116" s="2053"/>
      <c r="HT116" s="2053"/>
      <c r="HU116" s="2053"/>
      <c r="HV116" s="2053"/>
      <c r="HW116" s="2053"/>
      <c r="HX116" s="2053"/>
      <c r="HY116" s="2053"/>
      <c r="HZ116" s="2053"/>
      <c r="IA116" s="2053"/>
      <c r="IB116" s="2053"/>
      <c r="IC116" s="2053"/>
      <c r="ID116" s="2053"/>
      <c r="IE116" s="2053"/>
      <c r="IF116" s="2053"/>
      <c r="IG116" s="2053"/>
      <c r="IH116" s="2053"/>
      <c r="II116" s="2053"/>
      <c r="IJ116" s="2053"/>
      <c r="IK116" s="2053"/>
      <c r="IL116" s="2053"/>
      <c r="IM116" s="2053"/>
      <c r="IN116" s="2053"/>
      <c r="IO116" s="2053"/>
      <c r="IP116" s="2053"/>
      <c r="IQ116" s="2053"/>
      <c r="IR116" s="2053"/>
      <c r="IS116" s="2053"/>
      <c r="IT116" s="2053"/>
      <c r="IU116" s="2053"/>
      <c r="IV116" s="2053"/>
      <c r="IW116" s="2053"/>
      <c r="IX116" s="2053"/>
      <c r="IY116" s="2053"/>
      <c r="IZ116" s="2053"/>
      <c r="JA116" s="2053"/>
      <c r="JB116" s="2053"/>
      <c r="JC116" s="2053"/>
      <c r="JD116" s="3144"/>
      <c r="JE116" s="3144"/>
      <c r="JF116" s="3144"/>
      <c r="JG116" s="1578"/>
      <c r="JH116" s="1367"/>
      <c r="JI116" s="1390"/>
    </row>
    <row r="117" spans="1:269" x14ac:dyDescent="0.2">
      <c r="A117" s="1128">
        <v>9</v>
      </c>
      <c r="B117" s="1659" t="str">
        <f si="6" t="shared"/>
        <v/>
      </c>
      <c r="C117" s="1577" t="s">
        <v>3868</v>
      </c>
      <c r="D117" s="1357" t="s">
        <v>5399</v>
      </c>
      <c r="E117" s="1358"/>
      <c r="F117" s="1358"/>
      <c r="G117" s="1358"/>
      <c r="H117" s="1358"/>
      <c r="I117" s="1358"/>
      <c r="J117" s="1358"/>
      <c r="K117" s="1358"/>
      <c r="L117" s="1358"/>
      <c r="M117" s="1358"/>
      <c r="N117" s="1358"/>
      <c r="O117" s="1909"/>
      <c r="P117" s="2053"/>
      <c r="Q117" s="2053"/>
      <c r="R117" s="2053"/>
      <c r="S117" s="2053"/>
      <c r="T117" s="2053"/>
      <c r="U117" s="2053"/>
      <c r="V117" s="2053"/>
      <c r="W117" s="2053"/>
      <c r="X117" s="2053"/>
      <c r="Y117" s="2053"/>
      <c r="Z117" s="2053"/>
      <c r="AA117" s="2053"/>
      <c r="AB117" s="2053"/>
      <c r="AC117" s="2053"/>
      <c r="AD117" s="2053"/>
      <c r="AE117" s="2053"/>
      <c r="AF117" s="2053"/>
      <c r="AG117" s="2053"/>
      <c r="AH117" s="2053"/>
      <c r="AI117" s="2053"/>
      <c r="AJ117" s="2053"/>
      <c r="AK117" s="2053"/>
      <c r="AL117" s="2053"/>
      <c r="AM117" s="2053"/>
      <c r="AN117" s="2053"/>
      <c r="AO117" s="2053"/>
      <c r="AP117" s="2053"/>
      <c r="AQ117" s="2053"/>
      <c r="AR117" s="2053"/>
      <c r="AS117" s="2053"/>
      <c r="AT117" s="2053"/>
      <c r="AU117" s="2053"/>
      <c r="AV117" s="2053"/>
      <c r="AW117" s="2053"/>
      <c r="AX117" s="2053"/>
      <c r="AY117" s="2053"/>
      <c r="AZ117" s="2053"/>
      <c r="BA117" s="2053"/>
      <c r="BB117" s="2053"/>
      <c r="BC117" s="2053"/>
      <c r="BD117" s="2053"/>
      <c r="BE117" s="2053"/>
      <c r="BF117" s="2053"/>
      <c r="BG117" s="2053"/>
      <c r="BH117" s="2053"/>
      <c r="BI117" s="2053"/>
      <c r="BJ117" s="2053"/>
      <c r="BK117" s="2053"/>
      <c r="BL117" s="2053"/>
      <c r="BM117" s="2053"/>
      <c r="BN117" s="2053"/>
      <c r="BO117" s="2053"/>
      <c r="BP117" s="2053"/>
      <c r="BQ117" s="2053"/>
      <c r="BR117" s="2053"/>
      <c r="BS117" s="2053"/>
      <c r="BT117" s="2053"/>
      <c r="BU117" s="2053"/>
      <c r="BV117" s="2053"/>
      <c r="BW117" s="2053"/>
      <c r="BX117" s="2053"/>
      <c r="BY117" s="2053"/>
      <c r="BZ117" s="2053"/>
      <c r="CA117" s="2053"/>
      <c r="CB117" s="2053"/>
      <c r="CC117" s="2053"/>
      <c r="CD117" s="2053"/>
      <c r="CE117" s="2053"/>
      <c r="CF117" s="2053"/>
      <c r="CG117" s="2053"/>
      <c r="CH117" s="2053"/>
      <c r="CI117" s="2053"/>
      <c r="CJ117" s="2053"/>
      <c r="CK117" s="2053"/>
      <c r="CL117" s="2053"/>
      <c r="CM117" s="2053"/>
      <c r="CN117" s="2053"/>
      <c r="CO117" s="2053"/>
      <c r="CP117" s="2053"/>
      <c r="CQ117" s="2053"/>
      <c r="CR117" s="2053"/>
      <c r="CS117" s="2053"/>
      <c r="CT117" s="2053"/>
      <c r="CU117" s="2053"/>
      <c r="CV117" s="2053"/>
      <c r="CW117" s="2053"/>
      <c r="CX117" s="2053"/>
      <c r="CY117" s="2053"/>
      <c r="CZ117" s="2053"/>
      <c r="DA117" s="2053"/>
      <c r="DB117" s="2053"/>
      <c r="DC117" s="2053"/>
      <c r="DD117" s="2053"/>
      <c r="DE117" s="2053"/>
      <c r="DF117" s="2053"/>
      <c r="DG117" s="2053"/>
      <c r="DH117" s="2053"/>
      <c r="DI117" s="2053"/>
      <c r="DJ117" s="2053"/>
      <c r="DK117" s="2053"/>
      <c r="DL117" s="2053"/>
      <c r="DM117" s="2053"/>
      <c r="DN117" s="2053"/>
      <c r="DO117" s="2053"/>
      <c r="DP117" s="2053"/>
      <c r="DQ117" s="2053"/>
      <c r="DR117" s="2053"/>
      <c r="DS117" s="2053"/>
      <c r="DT117" s="2053"/>
      <c r="DU117" s="2053"/>
      <c r="DV117" s="2053"/>
      <c r="DW117" s="2053"/>
      <c r="DX117" s="2053"/>
      <c r="DY117" s="2053"/>
      <c r="DZ117" s="2053"/>
      <c r="EA117" s="2053"/>
      <c r="EB117" s="2053"/>
      <c r="EC117" s="2053"/>
      <c r="ED117" s="2053"/>
      <c r="EE117" s="2053"/>
      <c r="EF117" s="2053"/>
      <c r="EG117" s="2053"/>
      <c r="EH117" s="2053"/>
      <c r="EI117" s="2053"/>
      <c r="EJ117" s="2053"/>
      <c r="EK117" s="2053"/>
      <c r="EL117" s="2053"/>
      <c r="EM117" s="2053"/>
      <c r="EN117" s="2053"/>
      <c r="EO117" s="2053"/>
      <c r="EP117" s="2053"/>
      <c r="EQ117" s="2053"/>
      <c r="ER117" s="2053"/>
      <c r="ES117" s="2053"/>
      <c r="ET117" s="2053"/>
      <c r="EU117" s="2053"/>
      <c r="EV117" s="2053"/>
      <c r="EW117" s="2053"/>
      <c r="EX117" s="2053"/>
      <c r="EY117" s="2053"/>
      <c r="EZ117" s="2053"/>
      <c r="FA117" s="2053"/>
      <c r="FB117" s="2053"/>
      <c r="FC117" s="2053"/>
      <c r="FD117" s="2053"/>
      <c r="FE117" s="2053"/>
      <c r="FF117" s="2053"/>
      <c r="FG117" s="2053"/>
      <c r="FH117" s="2053"/>
      <c r="FI117" s="2053"/>
      <c r="FJ117" s="2053"/>
      <c r="FK117" s="2053"/>
      <c r="FL117" s="2053"/>
      <c r="FM117" s="2053"/>
      <c r="FN117" s="2053"/>
      <c r="FO117" s="2053"/>
      <c r="FP117" s="2053"/>
      <c r="FQ117" s="2053"/>
      <c r="FR117" s="2053"/>
      <c r="FS117" s="2053"/>
      <c r="FT117" s="2053"/>
      <c r="FU117" s="2053"/>
      <c r="FV117" s="2053"/>
      <c r="FW117" s="2053"/>
      <c r="FX117" s="2053"/>
      <c r="FY117" s="2053"/>
      <c r="FZ117" s="2053"/>
      <c r="GA117" s="2053"/>
      <c r="GB117" s="2053"/>
      <c r="GC117" s="2053"/>
      <c r="GD117" s="2053"/>
      <c r="GE117" s="2053"/>
      <c r="GF117" s="2053"/>
      <c r="GG117" s="2053"/>
      <c r="GH117" s="2053"/>
      <c r="GI117" s="2053"/>
      <c r="GJ117" s="2053"/>
      <c r="GK117" s="2053"/>
      <c r="GL117" s="2053"/>
      <c r="GM117" s="2053"/>
      <c r="GN117" s="2053"/>
      <c r="GO117" s="2053"/>
      <c r="GP117" s="2053"/>
      <c r="GQ117" s="2053"/>
      <c r="GR117" s="2053"/>
      <c r="GS117" s="2053"/>
      <c r="GT117" s="2053"/>
      <c r="GU117" s="2053"/>
      <c r="GV117" s="2053"/>
      <c r="GW117" s="2053"/>
      <c r="GX117" s="2053"/>
      <c r="GY117" s="2053"/>
      <c r="GZ117" s="2053"/>
      <c r="HA117" s="2053"/>
      <c r="HB117" s="2053"/>
      <c r="HC117" s="2053"/>
      <c r="HD117" s="2053"/>
      <c r="HE117" s="2053"/>
      <c r="HF117" s="2053"/>
      <c r="HG117" s="2053"/>
      <c r="HH117" s="2053"/>
      <c r="HI117" s="2053"/>
      <c r="HJ117" s="2053"/>
      <c r="HK117" s="2053"/>
      <c r="HL117" s="2053"/>
      <c r="HM117" s="2053"/>
      <c r="HN117" s="2053"/>
      <c r="HO117" s="2053"/>
      <c r="HP117" s="2053"/>
      <c r="HQ117" s="2053"/>
      <c r="HR117" s="2053"/>
      <c r="HS117" s="2053"/>
      <c r="HT117" s="2053"/>
      <c r="HU117" s="2053"/>
      <c r="HV117" s="2053"/>
      <c r="HW117" s="2053"/>
      <c r="HX117" s="2053"/>
      <c r="HY117" s="2053"/>
      <c r="HZ117" s="2053"/>
      <c r="IA117" s="2053"/>
      <c r="IB117" s="2053"/>
      <c r="IC117" s="2053"/>
      <c r="ID117" s="2053"/>
      <c r="IE117" s="2053"/>
      <c r="IF117" s="2053"/>
      <c r="IG117" s="2053"/>
      <c r="IH117" s="2053"/>
      <c r="II117" s="2053"/>
      <c r="IJ117" s="2053"/>
      <c r="IK117" s="2053"/>
      <c r="IL117" s="2053"/>
      <c r="IM117" s="2053"/>
      <c r="IN117" s="2053"/>
      <c r="IO117" s="2053"/>
      <c r="IP117" s="2053"/>
      <c r="IQ117" s="2053"/>
      <c r="IR117" s="2053"/>
      <c r="IS117" s="2053"/>
      <c r="IT117" s="2053"/>
      <c r="IU117" s="2053"/>
      <c r="IV117" s="2053"/>
      <c r="IW117" s="2053"/>
      <c r="IX117" s="2053"/>
      <c r="IY117" s="2053"/>
      <c r="IZ117" s="2053"/>
      <c r="JA117" s="2053"/>
      <c r="JB117" s="2053"/>
      <c r="JC117" s="2053"/>
      <c r="JD117" s="3144"/>
      <c r="JE117" s="3144"/>
      <c r="JF117" s="3144"/>
      <c r="JG117" s="1578"/>
      <c r="JH117" s="1367"/>
      <c r="JI117" s="1390"/>
    </row>
    <row r="118" spans="1:269" x14ac:dyDescent="0.2">
      <c r="A118" s="1128">
        <v>10</v>
      </c>
      <c r="B118" s="1659">
        <f si="6" t="shared"/>
        <v>2999</v>
      </c>
      <c r="C118" s="1577" t="s">
        <v>30</v>
      </c>
      <c r="D118" s="1357" t="s">
        <v>5400</v>
      </c>
      <c r="E118" s="1358">
        <v>215</v>
      </c>
      <c r="F118" s="1358">
        <v>221</v>
      </c>
      <c r="G118" s="1358">
        <v>2999</v>
      </c>
      <c r="H118" s="1358"/>
      <c r="I118" s="1358">
        <v>2999.99</v>
      </c>
      <c r="J118" s="1358">
        <v>245</v>
      </c>
      <c r="K118" s="1358"/>
      <c r="L118" s="1358"/>
      <c r="M118" s="1358"/>
      <c r="N118" s="1358"/>
      <c r="O118" s="1909"/>
      <c r="P118" s="2053"/>
      <c r="Q118" s="2053"/>
      <c r="R118" s="2053"/>
      <c r="S118" s="2053"/>
      <c r="T118" s="2053"/>
      <c r="U118" s="2053"/>
      <c r="V118" s="2053"/>
      <c r="W118" s="2053"/>
      <c r="X118" s="2053"/>
      <c r="Y118" s="2053"/>
      <c r="Z118" s="2053"/>
      <c r="AA118" s="2053"/>
      <c r="AB118" s="2053"/>
      <c r="AC118" s="2053"/>
      <c r="AD118" s="2053"/>
      <c r="AE118" s="2053"/>
      <c r="AF118" s="2053"/>
      <c r="AG118" s="2053"/>
      <c r="AH118" s="2053"/>
      <c r="AI118" s="2053"/>
      <c r="AJ118" s="2053"/>
      <c r="AK118" s="2053"/>
      <c r="AL118" s="2053"/>
      <c r="AM118" s="2053"/>
      <c r="AN118" s="2053"/>
      <c r="AO118" s="2053"/>
      <c r="AP118" s="2053"/>
      <c r="AQ118" s="2053"/>
      <c r="AR118" s="2053"/>
      <c r="AS118" s="2053"/>
      <c r="AT118" s="2053"/>
      <c r="AU118" s="2053"/>
      <c r="AV118" s="2053"/>
      <c r="AW118" s="2053"/>
      <c r="AX118" s="2053"/>
      <c r="AY118" s="2053"/>
      <c r="AZ118" s="2053"/>
      <c r="BA118" s="2053"/>
      <c r="BB118" s="2053"/>
      <c r="BC118" s="2053"/>
      <c r="BD118" s="2053"/>
      <c r="BE118" s="2053"/>
      <c r="BF118" s="2053"/>
      <c r="BG118" s="2053"/>
      <c r="BH118" s="2053"/>
      <c r="BI118" s="2053"/>
      <c r="BJ118" s="2053"/>
      <c r="BK118" s="2053"/>
      <c r="BL118" s="2053"/>
      <c r="BM118" s="2053"/>
      <c r="BN118" s="2053"/>
      <c r="BO118" s="2053"/>
      <c r="BP118" s="2053"/>
      <c r="BQ118" s="2053"/>
      <c r="BR118" s="2053"/>
      <c r="BS118" s="2053"/>
      <c r="BT118" s="2053"/>
      <c r="BU118" s="2053"/>
      <c r="BV118" s="2053"/>
      <c r="BW118" s="2053"/>
      <c r="BX118" s="2053"/>
      <c r="BY118" s="2053"/>
      <c r="BZ118" s="2053"/>
      <c r="CA118" s="2053"/>
      <c r="CB118" s="2053"/>
      <c r="CC118" s="2053"/>
      <c r="CD118" s="2053"/>
      <c r="CE118" s="2053"/>
      <c r="CF118" s="2053"/>
      <c r="CG118" s="2053"/>
      <c r="CH118" s="2053"/>
      <c r="CI118" s="2053"/>
      <c r="CJ118" s="2053"/>
      <c r="CK118" s="2053"/>
      <c r="CL118" s="2053"/>
      <c r="CM118" s="2053"/>
      <c r="CN118" s="2053"/>
      <c r="CO118" s="2053"/>
      <c r="CP118" s="2053"/>
      <c r="CQ118" s="2053"/>
      <c r="CR118" s="2053"/>
      <c r="CS118" s="2053"/>
      <c r="CT118" s="2053"/>
      <c r="CU118" s="2053"/>
      <c r="CV118" s="2053"/>
      <c r="CW118" s="2053"/>
      <c r="CX118" s="2053"/>
      <c r="CY118" s="2053"/>
      <c r="CZ118" s="2053"/>
      <c r="DA118" s="2053"/>
      <c r="DB118" s="2053"/>
      <c r="DC118" s="2053"/>
      <c r="DD118" s="2053"/>
      <c r="DE118" s="2053"/>
      <c r="DF118" s="2053"/>
      <c r="DG118" s="2053"/>
      <c r="DH118" s="2053"/>
      <c r="DI118" s="2053"/>
      <c r="DJ118" s="2053"/>
      <c r="DK118" s="2053"/>
      <c r="DL118" s="2053"/>
      <c r="DM118" s="2053"/>
      <c r="DN118" s="2053"/>
      <c r="DO118" s="2053"/>
      <c r="DP118" s="2053"/>
      <c r="DQ118" s="2053"/>
      <c r="DR118" s="2053"/>
      <c r="DS118" s="2053"/>
      <c r="DT118" s="2053"/>
      <c r="DU118" s="2053"/>
      <c r="DV118" s="2053"/>
      <c r="DW118" s="2053"/>
      <c r="DX118" s="2053"/>
      <c r="DY118" s="2053"/>
      <c r="DZ118" s="2053"/>
      <c r="EA118" s="2053"/>
      <c r="EB118" s="2053"/>
      <c r="EC118" s="2053"/>
      <c r="ED118" s="2053"/>
      <c r="EE118" s="2053"/>
      <c r="EF118" s="2053"/>
      <c r="EG118" s="2053"/>
      <c r="EH118" s="2053"/>
      <c r="EI118" s="2053"/>
      <c r="EJ118" s="2053"/>
      <c r="EK118" s="2053"/>
      <c r="EL118" s="2053"/>
      <c r="EM118" s="2053"/>
      <c r="EN118" s="2053"/>
      <c r="EO118" s="2053"/>
      <c r="EP118" s="2053"/>
      <c r="EQ118" s="2053"/>
      <c r="ER118" s="2053"/>
      <c r="ES118" s="2053"/>
      <c r="ET118" s="2053"/>
      <c r="EU118" s="2053"/>
      <c r="EV118" s="2053"/>
      <c r="EW118" s="2053"/>
      <c r="EX118" s="2053"/>
      <c r="EY118" s="2053"/>
      <c r="EZ118" s="2053"/>
      <c r="FA118" s="2053"/>
      <c r="FB118" s="2053"/>
      <c r="FC118" s="2053"/>
      <c r="FD118" s="2053"/>
      <c r="FE118" s="2053"/>
      <c r="FF118" s="2053"/>
      <c r="FG118" s="2053"/>
      <c r="FH118" s="2053"/>
      <c r="FI118" s="2053"/>
      <c r="FJ118" s="2053"/>
      <c r="FK118" s="2053"/>
      <c r="FL118" s="2053"/>
      <c r="FM118" s="2053"/>
      <c r="FN118" s="2053"/>
      <c r="FO118" s="2053"/>
      <c r="FP118" s="2053"/>
      <c r="FQ118" s="2053"/>
      <c r="FR118" s="2053"/>
      <c r="FS118" s="2053"/>
      <c r="FT118" s="2053"/>
      <c r="FU118" s="2053"/>
      <c r="FV118" s="2053"/>
      <c r="FW118" s="2053"/>
      <c r="FX118" s="2053"/>
      <c r="FY118" s="2053"/>
      <c r="FZ118" s="2053"/>
      <c r="GA118" s="2053"/>
      <c r="GB118" s="2053"/>
      <c r="GC118" s="2053"/>
      <c r="GD118" s="2053"/>
      <c r="GE118" s="2053"/>
      <c r="GF118" s="2053"/>
      <c r="GG118" s="2053"/>
      <c r="GH118" s="2053"/>
      <c r="GI118" s="2053"/>
      <c r="GJ118" s="2053"/>
      <c r="GK118" s="2053"/>
      <c r="GL118" s="2053"/>
      <c r="GM118" s="2053"/>
      <c r="GN118" s="2053"/>
      <c r="GO118" s="2053"/>
      <c r="GP118" s="2053"/>
      <c r="GQ118" s="2053"/>
      <c r="GR118" s="2053"/>
      <c r="GS118" s="2053"/>
      <c r="GT118" s="2053"/>
      <c r="GU118" s="2053"/>
      <c r="GV118" s="2053"/>
      <c r="GW118" s="2053"/>
      <c r="GX118" s="2053"/>
      <c r="GY118" s="2053"/>
      <c r="GZ118" s="2053"/>
      <c r="HA118" s="2053"/>
      <c r="HB118" s="2053"/>
      <c r="HC118" s="2053"/>
      <c r="HD118" s="2053"/>
      <c r="HE118" s="2053"/>
      <c r="HF118" s="2053"/>
      <c r="HG118" s="2053"/>
      <c r="HH118" s="2053"/>
      <c r="HI118" s="2053"/>
      <c r="HJ118" s="2053"/>
      <c r="HK118" s="2053"/>
      <c r="HL118" s="2053"/>
      <c r="HM118" s="2053"/>
      <c r="HN118" s="2053"/>
      <c r="HO118" s="2053"/>
      <c r="HP118" s="2053"/>
      <c r="HQ118" s="2053"/>
      <c r="HR118" s="2053"/>
      <c r="HS118" s="2053"/>
      <c r="HT118" s="2053"/>
      <c r="HU118" s="2053"/>
      <c r="HV118" s="2053"/>
      <c r="HW118" s="2053"/>
      <c r="HX118" s="2053"/>
      <c r="HY118" s="2053"/>
      <c r="HZ118" s="2053"/>
      <c r="IA118" s="2053"/>
      <c r="IB118" s="2053"/>
      <c r="IC118" s="2053"/>
      <c r="ID118" s="2053"/>
      <c r="IE118" s="2053"/>
      <c r="IF118" s="2053"/>
      <c r="IG118" s="2053"/>
      <c r="IH118" s="2053"/>
      <c r="II118" s="2053"/>
      <c r="IJ118" s="2053"/>
      <c r="IK118" s="2053"/>
      <c r="IL118" s="2053"/>
      <c r="IM118" s="2053"/>
      <c r="IN118" s="2053"/>
      <c r="IO118" s="2053"/>
      <c r="IP118" s="2053"/>
      <c r="IQ118" s="2053"/>
      <c r="IR118" s="2053"/>
      <c r="IS118" s="2053"/>
      <c r="IT118" s="2053"/>
      <c r="IU118" s="2053"/>
      <c r="IV118" s="2053"/>
      <c r="IW118" s="2053"/>
      <c r="IX118" s="2053"/>
      <c r="IY118" s="2053"/>
      <c r="IZ118" s="2053"/>
      <c r="JA118" s="2053"/>
      <c r="JB118" s="2053"/>
      <c r="JC118" s="2053"/>
      <c r="JD118" s="3144"/>
      <c r="JE118" s="3144"/>
      <c r="JF118" s="3144"/>
      <c r="JG118" s="1578"/>
      <c r="JH118" s="1367"/>
      <c r="JI118" s="1390"/>
    </row>
    <row r="119" spans="1:269" x14ac:dyDescent="0.2">
      <c r="A119" s="1128">
        <v>11</v>
      </c>
      <c r="B119" s="1659" t="str">
        <f si="6" t="shared"/>
        <v/>
      </c>
      <c r="C119" s="1577" t="s">
        <v>31</v>
      </c>
      <c r="D119" s="1357" t="s">
        <v>5401</v>
      </c>
      <c r="E119" s="1358"/>
      <c r="F119" s="1358">
        <v>378</v>
      </c>
      <c r="G119" s="1358"/>
      <c r="H119" s="1358"/>
      <c r="I119" s="1358">
        <v>2999.99</v>
      </c>
      <c r="J119" s="1358"/>
      <c r="K119" s="1358"/>
      <c r="L119" s="1358"/>
      <c r="M119" s="1358"/>
      <c r="N119" s="1358"/>
      <c r="O119" s="1909"/>
      <c r="P119" s="2053"/>
      <c r="Q119" s="2053"/>
      <c r="R119" s="2053"/>
      <c r="S119" s="2053"/>
      <c r="T119" s="2053"/>
      <c r="U119" s="2053"/>
      <c r="V119" s="2053"/>
      <c r="W119" s="2053"/>
      <c r="X119" s="2053"/>
      <c r="Y119" s="2053"/>
      <c r="Z119" s="2053"/>
      <c r="AA119" s="2053"/>
      <c r="AB119" s="2053"/>
      <c r="AC119" s="2053"/>
      <c r="AD119" s="2053"/>
      <c r="AE119" s="2053"/>
      <c r="AF119" s="2053"/>
      <c r="AG119" s="2053"/>
      <c r="AH119" s="2053"/>
      <c r="AI119" s="2053"/>
      <c r="AJ119" s="2053"/>
      <c r="AK119" s="2053"/>
      <c r="AL119" s="2053"/>
      <c r="AM119" s="2053"/>
      <c r="AN119" s="2053"/>
      <c r="AO119" s="2053"/>
      <c r="AP119" s="2053"/>
      <c r="AQ119" s="2053"/>
      <c r="AR119" s="2053"/>
      <c r="AS119" s="2053"/>
      <c r="AT119" s="2053"/>
      <c r="AU119" s="2053"/>
      <c r="AV119" s="2053"/>
      <c r="AW119" s="2053"/>
      <c r="AX119" s="2053"/>
      <c r="AY119" s="2053"/>
      <c r="AZ119" s="2053"/>
      <c r="BA119" s="2053"/>
      <c r="BB119" s="2053"/>
      <c r="BC119" s="2053"/>
      <c r="BD119" s="2053"/>
      <c r="BE119" s="2053"/>
      <c r="BF119" s="2053"/>
      <c r="BG119" s="2053"/>
      <c r="BH119" s="2053"/>
      <c r="BI119" s="2053"/>
      <c r="BJ119" s="2053"/>
      <c r="BK119" s="2053"/>
      <c r="BL119" s="2053"/>
      <c r="BM119" s="2053"/>
      <c r="BN119" s="2053"/>
      <c r="BO119" s="2053"/>
      <c r="BP119" s="2053"/>
      <c r="BQ119" s="2053"/>
      <c r="BR119" s="2053"/>
      <c r="BS119" s="2053"/>
      <c r="BT119" s="2053"/>
      <c r="BU119" s="2053"/>
      <c r="BV119" s="2053"/>
      <c r="BW119" s="2053"/>
      <c r="BX119" s="2053"/>
      <c r="BY119" s="2053"/>
      <c r="BZ119" s="2053"/>
      <c r="CA119" s="2053"/>
      <c r="CB119" s="2053"/>
      <c r="CC119" s="2053"/>
      <c r="CD119" s="2053"/>
      <c r="CE119" s="2053"/>
      <c r="CF119" s="2053"/>
      <c r="CG119" s="2053"/>
      <c r="CH119" s="2053"/>
      <c r="CI119" s="2053"/>
      <c r="CJ119" s="2053"/>
      <c r="CK119" s="2053"/>
      <c r="CL119" s="2053"/>
      <c r="CM119" s="2053"/>
      <c r="CN119" s="2053"/>
      <c r="CO119" s="2053"/>
      <c r="CP119" s="2053"/>
      <c r="CQ119" s="2053"/>
      <c r="CR119" s="2053"/>
      <c r="CS119" s="2053"/>
      <c r="CT119" s="2053"/>
      <c r="CU119" s="2053"/>
      <c r="CV119" s="2053"/>
      <c r="CW119" s="2053"/>
      <c r="CX119" s="2053"/>
      <c r="CY119" s="2053"/>
      <c r="CZ119" s="2053"/>
      <c r="DA119" s="2053"/>
      <c r="DB119" s="2053"/>
      <c r="DC119" s="2053"/>
      <c r="DD119" s="2053"/>
      <c r="DE119" s="2053"/>
      <c r="DF119" s="2053"/>
      <c r="DG119" s="2053"/>
      <c r="DH119" s="2053"/>
      <c r="DI119" s="2053"/>
      <c r="DJ119" s="2053"/>
      <c r="DK119" s="2053"/>
      <c r="DL119" s="2053"/>
      <c r="DM119" s="2053"/>
      <c r="DN119" s="2053"/>
      <c r="DO119" s="2053"/>
      <c r="DP119" s="2053"/>
      <c r="DQ119" s="2053"/>
      <c r="DR119" s="2053"/>
      <c r="DS119" s="2053"/>
      <c r="DT119" s="2053"/>
      <c r="DU119" s="2053"/>
      <c r="DV119" s="2053"/>
      <c r="DW119" s="2053"/>
      <c r="DX119" s="2053"/>
      <c r="DY119" s="2053"/>
      <c r="DZ119" s="2053"/>
      <c r="EA119" s="2053"/>
      <c r="EB119" s="2053"/>
      <c r="EC119" s="2053"/>
      <c r="ED119" s="2053"/>
      <c r="EE119" s="2053"/>
      <c r="EF119" s="2053"/>
      <c r="EG119" s="2053"/>
      <c r="EH119" s="2053"/>
      <c r="EI119" s="2053"/>
      <c r="EJ119" s="2053"/>
      <c r="EK119" s="2053"/>
      <c r="EL119" s="2053"/>
      <c r="EM119" s="2053"/>
      <c r="EN119" s="2053"/>
      <c r="EO119" s="2053"/>
      <c r="EP119" s="2053"/>
      <c r="EQ119" s="2053"/>
      <c r="ER119" s="2053"/>
      <c r="ES119" s="2053"/>
      <c r="ET119" s="2053"/>
      <c r="EU119" s="2053"/>
      <c r="EV119" s="2053"/>
      <c r="EW119" s="2053"/>
      <c r="EX119" s="2053"/>
      <c r="EY119" s="2053"/>
      <c r="EZ119" s="2053"/>
      <c r="FA119" s="2053"/>
      <c r="FB119" s="2053"/>
      <c r="FC119" s="2053"/>
      <c r="FD119" s="2053"/>
      <c r="FE119" s="2053"/>
      <c r="FF119" s="2053"/>
      <c r="FG119" s="2053"/>
      <c r="FH119" s="2053"/>
      <c r="FI119" s="2053"/>
      <c r="FJ119" s="2053"/>
      <c r="FK119" s="2053"/>
      <c r="FL119" s="2053"/>
      <c r="FM119" s="2053"/>
      <c r="FN119" s="2053"/>
      <c r="FO119" s="2053"/>
      <c r="FP119" s="2053"/>
      <c r="FQ119" s="2053"/>
      <c r="FR119" s="2053"/>
      <c r="FS119" s="2053"/>
      <c r="FT119" s="2053"/>
      <c r="FU119" s="2053"/>
      <c r="FV119" s="2053"/>
      <c r="FW119" s="2053"/>
      <c r="FX119" s="2053"/>
      <c r="FY119" s="2053"/>
      <c r="FZ119" s="2053"/>
      <c r="GA119" s="2053"/>
      <c r="GB119" s="2053"/>
      <c r="GC119" s="2053"/>
      <c r="GD119" s="2053"/>
      <c r="GE119" s="2053"/>
      <c r="GF119" s="2053"/>
      <c r="GG119" s="2053"/>
      <c r="GH119" s="2053"/>
      <c r="GI119" s="2053"/>
      <c r="GJ119" s="2053"/>
      <c r="GK119" s="2053"/>
      <c r="GL119" s="2053"/>
      <c r="GM119" s="2053"/>
      <c r="GN119" s="2053"/>
      <c r="GO119" s="2053"/>
      <c r="GP119" s="2053"/>
      <c r="GQ119" s="2053"/>
      <c r="GR119" s="2053"/>
      <c r="GS119" s="2053"/>
      <c r="GT119" s="2053"/>
      <c r="GU119" s="2053"/>
      <c r="GV119" s="2053"/>
      <c r="GW119" s="2053"/>
      <c r="GX119" s="2053"/>
      <c r="GY119" s="2053"/>
      <c r="GZ119" s="2053"/>
      <c r="HA119" s="2053"/>
      <c r="HB119" s="2053"/>
      <c r="HC119" s="2053"/>
      <c r="HD119" s="2053"/>
      <c r="HE119" s="2053"/>
      <c r="HF119" s="2053"/>
      <c r="HG119" s="2053"/>
      <c r="HH119" s="2053"/>
      <c r="HI119" s="2053"/>
      <c r="HJ119" s="2053"/>
      <c r="HK119" s="2053"/>
      <c r="HL119" s="2053"/>
      <c r="HM119" s="2053"/>
      <c r="HN119" s="2053"/>
      <c r="HO119" s="2053"/>
      <c r="HP119" s="2053"/>
      <c r="HQ119" s="2053"/>
      <c r="HR119" s="2053"/>
      <c r="HS119" s="2053"/>
      <c r="HT119" s="2053"/>
      <c r="HU119" s="2053"/>
      <c r="HV119" s="2053"/>
      <c r="HW119" s="2053"/>
      <c r="HX119" s="2053"/>
      <c r="HY119" s="2053"/>
      <c r="HZ119" s="2053"/>
      <c r="IA119" s="2053"/>
      <c r="IB119" s="2053"/>
      <c r="IC119" s="2053"/>
      <c r="ID119" s="2053"/>
      <c r="IE119" s="2053"/>
      <c r="IF119" s="2053"/>
      <c r="IG119" s="2053"/>
      <c r="IH119" s="2053"/>
      <c r="II119" s="2053"/>
      <c r="IJ119" s="2053"/>
      <c r="IK119" s="2053"/>
      <c r="IL119" s="2053"/>
      <c r="IM119" s="2053"/>
      <c r="IN119" s="2053"/>
      <c r="IO119" s="2053"/>
      <c r="IP119" s="2053"/>
      <c r="IQ119" s="2053"/>
      <c r="IR119" s="2053"/>
      <c r="IS119" s="2053"/>
      <c r="IT119" s="2053"/>
      <c r="IU119" s="2053"/>
      <c r="IV119" s="2053"/>
      <c r="IW119" s="2053"/>
      <c r="IX119" s="2053"/>
      <c r="IY119" s="2053"/>
      <c r="IZ119" s="2053"/>
      <c r="JA119" s="2053"/>
      <c r="JB119" s="2053"/>
      <c r="JC119" s="2053"/>
      <c r="JD119" s="3144"/>
      <c r="JE119" s="3144"/>
      <c r="JF119" s="3144"/>
      <c r="JG119" s="1578"/>
      <c r="JH119" s="1367"/>
      <c r="JI119" s="1391" t="s">
        <v>5391</v>
      </c>
    </row>
    <row r="120" spans="1:269" x14ac:dyDescent="0.2">
      <c r="A120" s="1128">
        <v>12</v>
      </c>
      <c r="B120" s="1659" t="str">
        <f si="6" t="shared"/>
        <v/>
      </c>
      <c r="C120" s="1577" t="s">
        <v>2272</v>
      </c>
      <c r="D120" s="1357" t="s">
        <v>5402</v>
      </c>
      <c r="E120" s="1358"/>
      <c r="F120" s="1358"/>
      <c r="G120" s="1358"/>
      <c r="H120" s="1358">
        <v>2800</v>
      </c>
      <c r="I120" s="1358"/>
      <c r="J120" s="1358">
        <v>400</v>
      </c>
      <c r="K120" s="1358"/>
      <c r="L120" s="1358"/>
      <c r="M120" s="1358">
        <v>500</v>
      </c>
      <c r="N120" s="1358"/>
      <c r="O120" s="1909"/>
      <c r="P120" s="2053"/>
      <c r="Q120" s="2053"/>
      <c r="R120" s="2053"/>
      <c r="S120" s="2053"/>
      <c r="T120" s="2053"/>
      <c r="U120" s="2053"/>
      <c r="V120" s="2053"/>
      <c r="W120" s="2053"/>
      <c r="X120" s="2053"/>
      <c r="Y120" s="2053"/>
      <c r="Z120" s="2053"/>
      <c r="AA120" s="2053"/>
      <c r="AB120" s="2053"/>
      <c r="AC120" s="2053"/>
      <c r="AD120" s="2053"/>
      <c r="AE120" s="2053"/>
      <c r="AF120" s="2053"/>
      <c r="AG120" s="2053"/>
      <c r="AH120" s="2053"/>
      <c r="AI120" s="2053"/>
      <c r="AJ120" s="2053"/>
      <c r="AK120" s="2053"/>
      <c r="AL120" s="2053"/>
      <c r="AM120" s="2053"/>
      <c r="AN120" s="2053"/>
      <c r="AO120" s="2053"/>
      <c r="AP120" s="2053"/>
      <c r="AQ120" s="2053"/>
      <c r="AR120" s="2053"/>
      <c r="AS120" s="2053"/>
      <c r="AT120" s="2053"/>
      <c r="AU120" s="2053"/>
      <c r="AV120" s="2053"/>
      <c r="AW120" s="2053"/>
      <c r="AX120" s="2053"/>
      <c r="AY120" s="2053"/>
      <c r="AZ120" s="2053"/>
      <c r="BA120" s="2053"/>
      <c r="BB120" s="2053"/>
      <c r="BC120" s="2053"/>
      <c r="BD120" s="2053"/>
      <c r="BE120" s="2053"/>
      <c r="BF120" s="2053"/>
      <c r="BG120" s="2053"/>
      <c r="BH120" s="2053"/>
      <c r="BI120" s="2053"/>
      <c r="BJ120" s="2053"/>
      <c r="BK120" s="2053"/>
      <c r="BL120" s="2053"/>
      <c r="BM120" s="2053"/>
      <c r="BN120" s="2053"/>
      <c r="BO120" s="2053"/>
      <c r="BP120" s="2053"/>
      <c r="BQ120" s="2053"/>
      <c r="BR120" s="2053"/>
      <c r="BS120" s="2053"/>
      <c r="BT120" s="2053"/>
      <c r="BU120" s="2053"/>
      <c r="BV120" s="2053"/>
      <c r="BW120" s="2053"/>
      <c r="BX120" s="2053"/>
      <c r="BY120" s="2053"/>
      <c r="BZ120" s="2053"/>
      <c r="CA120" s="2053"/>
      <c r="CB120" s="2053"/>
      <c r="CC120" s="2053"/>
      <c r="CD120" s="2053"/>
      <c r="CE120" s="2053"/>
      <c r="CF120" s="2053"/>
      <c r="CG120" s="2053"/>
      <c r="CH120" s="2053"/>
      <c r="CI120" s="2053"/>
      <c r="CJ120" s="2053"/>
      <c r="CK120" s="2053"/>
      <c r="CL120" s="2053"/>
      <c r="CM120" s="2053"/>
      <c r="CN120" s="2053"/>
      <c r="CO120" s="2053"/>
      <c r="CP120" s="2053"/>
      <c r="CQ120" s="2053"/>
      <c r="CR120" s="2053"/>
      <c r="CS120" s="2053"/>
      <c r="CT120" s="2053"/>
      <c r="CU120" s="2053"/>
      <c r="CV120" s="2053"/>
      <c r="CW120" s="2053"/>
      <c r="CX120" s="2053"/>
      <c r="CY120" s="2053"/>
      <c r="CZ120" s="2053"/>
      <c r="DA120" s="2053"/>
      <c r="DB120" s="2053"/>
      <c r="DC120" s="2053"/>
      <c r="DD120" s="2053"/>
      <c r="DE120" s="2053"/>
      <c r="DF120" s="2053"/>
      <c r="DG120" s="2053"/>
      <c r="DH120" s="2053"/>
      <c r="DI120" s="2053"/>
      <c r="DJ120" s="2053"/>
      <c r="DK120" s="2053"/>
      <c r="DL120" s="2053"/>
      <c r="DM120" s="2053"/>
      <c r="DN120" s="2053"/>
      <c r="DO120" s="2053"/>
      <c r="DP120" s="2053"/>
      <c r="DQ120" s="2053"/>
      <c r="DR120" s="2053"/>
      <c r="DS120" s="2053"/>
      <c r="DT120" s="2053"/>
      <c r="DU120" s="2053"/>
      <c r="DV120" s="2053"/>
      <c r="DW120" s="2053"/>
      <c r="DX120" s="2053"/>
      <c r="DY120" s="2053"/>
      <c r="DZ120" s="2053"/>
      <c r="EA120" s="2053"/>
      <c r="EB120" s="2053"/>
      <c r="EC120" s="2053"/>
      <c r="ED120" s="2053"/>
      <c r="EE120" s="2053"/>
      <c r="EF120" s="2053"/>
      <c r="EG120" s="2053"/>
      <c r="EH120" s="2053"/>
      <c r="EI120" s="2053"/>
      <c r="EJ120" s="2053"/>
      <c r="EK120" s="2053"/>
      <c r="EL120" s="2053"/>
      <c r="EM120" s="2053"/>
      <c r="EN120" s="2053"/>
      <c r="EO120" s="2053"/>
      <c r="EP120" s="2053"/>
      <c r="EQ120" s="2053"/>
      <c r="ER120" s="2053"/>
      <c r="ES120" s="2053"/>
      <c r="ET120" s="2053"/>
      <c r="EU120" s="2053"/>
      <c r="EV120" s="2053"/>
      <c r="EW120" s="2053"/>
      <c r="EX120" s="2053"/>
      <c r="EY120" s="2053"/>
      <c r="EZ120" s="2053"/>
      <c r="FA120" s="2053"/>
      <c r="FB120" s="2053"/>
      <c r="FC120" s="2053"/>
      <c r="FD120" s="2053"/>
      <c r="FE120" s="2053"/>
      <c r="FF120" s="2053"/>
      <c r="FG120" s="2053"/>
      <c r="FH120" s="2053"/>
      <c r="FI120" s="2053"/>
      <c r="FJ120" s="2053"/>
      <c r="FK120" s="2053"/>
      <c r="FL120" s="2053"/>
      <c r="FM120" s="2053"/>
      <c r="FN120" s="2053"/>
      <c r="FO120" s="2053"/>
      <c r="FP120" s="2053"/>
      <c r="FQ120" s="2053"/>
      <c r="FR120" s="2053"/>
      <c r="FS120" s="2053"/>
      <c r="FT120" s="2053"/>
      <c r="FU120" s="2053"/>
      <c r="FV120" s="2053"/>
      <c r="FW120" s="2053"/>
      <c r="FX120" s="2053"/>
      <c r="FY120" s="2053"/>
      <c r="FZ120" s="2053"/>
      <c r="GA120" s="2053"/>
      <c r="GB120" s="2053"/>
      <c r="GC120" s="2053"/>
      <c r="GD120" s="2053"/>
      <c r="GE120" s="2053"/>
      <c r="GF120" s="2053"/>
      <c r="GG120" s="2053"/>
      <c r="GH120" s="2053"/>
      <c r="GI120" s="2053"/>
      <c r="GJ120" s="2053"/>
      <c r="GK120" s="2053"/>
      <c r="GL120" s="2053"/>
      <c r="GM120" s="2053"/>
      <c r="GN120" s="2053"/>
      <c r="GO120" s="2053"/>
      <c r="GP120" s="2053"/>
      <c r="GQ120" s="2053"/>
      <c r="GR120" s="2053"/>
      <c r="GS120" s="2053"/>
      <c r="GT120" s="2053"/>
      <c r="GU120" s="2053"/>
      <c r="GV120" s="2053"/>
      <c r="GW120" s="2053"/>
      <c r="GX120" s="2053"/>
      <c r="GY120" s="2053"/>
      <c r="GZ120" s="2053"/>
      <c r="HA120" s="2053"/>
      <c r="HB120" s="2053"/>
      <c r="HC120" s="2053"/>
      <c r="HD120" s="2053"/>
      <c r="HE120" s="2053"/>
      <c r="HF120" s="2053"/>
      <c r="HG120" s="2053"/>
      <c r="HH120" s="2053"/>
      <c r="HI120" s="2053"/>
      <c r="HJ120" s="2053"/>
      <c r="HK120" s="2053"/>
      <c r="HL120" s="2053"/>
      <c r="HM120" s="2053"/>
      <c r="HN120" s="2053"/>
      <c r="HO120" s="2053"/>
      <c r="HP120" s="2053"/>
      <c r="HQ120" s="2053"/>
      <c r="HR120" s="2053"/>
      <c r="HS120" s="2053"/>
      <c r="HT120" s="2053"/>
      <c r="HU120" s="2053"/>
      <c r="HV120" s="2053"/>
      <c r="HW120" s="2053"/>
      <c r="HX120" s="2053"/>
      <c r="HY120" s="2053"/>
      <c r="HZ120" s="2053"/>
      <c r="IA120" s="2053"/>
      <c r="IB120" s="2053"/>
      <c r="IC120" s="2053"/>
      <c r="ID120" s="2053"/>
      <c r="IE120" s="2053"/>
      <c r="IF120" s="2053"/>
      <c r="IG120" s="2053"/>
      <c r="IH120" s="2053"/>
      <c r="II120" s="2053"/>
      <c r="IJ120" s="2053"/>
      <c r="IK120" s="2053"/>
      <c r="IL120" s="2053"/>
      <c r="IM120" s="2053"/>
      <c r="IN120" s="2053"/>
      <c r="IO120" s="2053"/>
      <c r="IP120" s="2053"/>
      <c r="IQ120" s="2053"/>
      <c r="IR120" s="2053"/>
      <c r="IS120" s="2053"/>
      <c r="IT120" s="2053"/>
      <c r="IU120" s="2053"/>
      <c r="IV120" s="2053"/>
      <c r="IW120" s="2053"/>
      <c r="IX120" s="2053"/>
      <c r="IY120" s="2053"/>
      <c r="IZ120" s="2053"/>
      <c r="JA120" s="2053"/>
      <c r="JB120" s="2053"/>
      <c r="JC120" s="2053"/>
      <c r="JD120" s="3144"/>
      <c r="JE120" s="3144"/>
      <c r="JF120" s="3144"/>
      <c r="JG120" s="1578"/>
      <c r="JH120" s="1367"/>
      <c r="JI120" s="1390"/>
    </row>
    <row r="121" spans="1:269" x14ac:dyDescent="0.2">
      <c r="A121" s="1128">
        <v>13</v>
      </c>
      <c r="B121" s="1659" t="str">
        <f si="6" t="shared"/>
        <v/>
      </c>
      <c r="C121" s="1577" t="s">
        <v>3869</v>
      </c>
      <c r="D121" s="1357" t="s">
        <v>5403</v>
      </c>
      <c r="E121" s="1358"/>
      <c r="F121" s="1358"/>
      <c r="G121" s="1358"/>
      <c r="H121" s="1358"/>
      <c r="I121" s="1358"/>
      <c r="J121" s="1358"/>
      <c r="K121" s="1358"/>
      <c r="L121" s="1358"/>
      <c r="M121" s="1358"/>
      <c r="N121" s="1358"/>
      <c r="O121" s="1909"/>
      <c r="P121" s="2053"/>
      <c r="Q121" s="2053"/>
      <c r="R121" s="2053"/>
      <c r="S121" s="2053"/>
      <c r="T121" s="2053"/>
      <c r="U121" s="2053"/>
      <c r="V121" s="2053"/>
      <c r="W121" s="2053"/>
      <c r="X121" s="2053"/>
      <c r="Y121" s="2053"/>
      <c r="Z121" s="2053"/>
      <c r="AA121" s="2053"/>
      <c r="AB121" s="2053"/>
      <c r="AC121" s="2053"/>
      <c r="AD121" s="2053"/>
      <c r="AE121" s="2053"/>
      <c r="AF121" s="2053"/>
      <c r="AG121" s="2053"/>
      <c r="AH121" s="2053"/>
      <c r="AI121" s="2053"/>
      <c r="AJ121" s="2053"/>
      <c r="AK121" s="2053"/>
      <c r="AL121" s="2053"/>
      <c r="AM121" s="2053"/>
      <c r="AN121" s="2053"/>
      <c r="AO121" s="2053"/>
      <c r="AP121" s="2053"/>
      <c r="AQ121" s="2053"/>
      <c r="AR121" s="2053"/>
      <c r="AS121" s="2053"/>
      <c r="AT121" s="2053"/>
      <c r="AU121" s="2053"/>
      <c r="AV121" s="2053"/>
      <c r="AW121" s="2053"/>
      <c r="AX121" s="2053"/>
      <c r="AY121" s="2053"/>
      <c r="AZ121" s="2053"/>
      <c r="BA121" s="2053"/>
      <c r="BB121" s="2053"/>
      <c r="BC121" s="2053"/>
      <c r="BD121" s="2053"/>
      <c r="BE121" s="2053"/>
      <c r="BF121" s="2053"/>
      <c r="BG121" s="2053"/>
      <c r="BH121" s="2053"/>
      <c r="BI121" s="2053"/>
      <c r="BJ121" s="2053"/>
      <c r="BK121" s="2053"/>
      <c r="BL121" s="2053"/>
      <c r="BM121" s="2053"/>
      <c r="BN121" s="2053"/>
      <c r="BO121" s="2053"/>
      <c r="BP121" s="2053"/>
      <c r="BQ121" s="2053"/>
      <c r="BR121" s="2053"/>
      <c r="BS121" s="2053"/>
      <c r="BT121" s="2053"/>
      <c r="BU121" s="2053"/>
      <c r="BV121" s="2053"/>
      <c r="BW121" s="2053"/>
      <c r="BX121" s="2053"/>
      <c r="BY121" s="2053"/>
      <c r="BZ121" s="2053"/>
      <c r="CA121" s="2053"/>
      <c r="CB121" s="2053"/>
      <c r="CC121" s="2053"/>
      <c r="CD121" s="2053"/>
      <c r="CE121" s="2053"/>
      <c r="CF121" s="2053"/>
      <c r="CG121" s="2053"/>
      <c r="CH121" s="2053"/>
      <c r="CI121" s="2053"/>
      <c r="CJ121" s="2053"/>
      <c r="CK121" s="2053"/>
      <c r="CL121" s="2053"/>
      <c r="CM121" s="2053"/>
      <c r="CN121" s="2053"/>
      <c r="CO121" s="2053"/>
      <c r="CP121" s="2053"/>
      <c r="CQ121" s="2053"/>
      <c r="CR121" s="2053"/>
      <c r="CS121" s="2053"/>
      <c r="CT121" s="2053"/>
      <c r="CU121" s="2053"/>
      <c r="CV121" s="2053"/>
      <c r="CW121" s="2053"/>
      <c r="CX121" s="2053"/>
      <c r="CY121" s="2053"/>
      <c r="CZ121" s="2053"/>
      <c r="DA121" s="2053"/>
      <c r="DB121" s="2053"/>
      <c r="DC121" s="2053"/>
      <c r="DD121" s="2053"/>
      <c r="DE121" s="2053"/>
      <c r="DF121" s="2053"/>
      <c r="DG121" s="2053"/>
      <c r="DH121" s="2053"/>
      <c r="DI121" s="2053"/>
      <c r="DJ121" s="2053"/>
      <c r="DK121" s="2053"/>
      <c r="DL121" s="2053"/>
      <c r="DM121" s="2053"/>
      <c r="DN121" s="2053"/>
      <c r="DO121" s="2053"/>
      <c r="DP121" s="2053"/>
      <c r="DQ121" s="2053"/>
      <c r="DR121" s="2053"/>
      <c r="DS121" s="2053"/>
      <c r="DT121" s="2053"/>
      <c r="DU121" s="2053"/>
      <c r="DV121" s="2053"/>
      <c r="DW121" s="2053"/>
      <c r="DX121" s="2053"/>
      <c r="DY121" s="2053"/>
      <c r="DZ121" s="2053"/>
      <c r="EA121" s="2053"/>
      <c r="EB121" s="2053"/>
      <c r="EC121" s="2053"/>
      <c r="ED121" s="2053"/>
      <c r="EE121" s="2053"/>
      <c r="EF121" s="2053"/>
      <c r="EG121" s="2053"/>
      <c r="EH121" s="2053"/>
      <c r="EI121" s="2053"/>
      <c r="EJ121" s="2053"/>
      <c r="EK121" s="2053"/>
      <c r="EL121" s="2053"/>
      <c r="EM121" s="2053"/>
      <c r="EN121" s="2053"/>
      <c r="EO121" s="2053"/>
      <c r="EP121" s="2053"/>
      <c r="EQ121" s="2053"/>
      <c r="ER121" s="2053"/>
      <c r="ES121" s="2053"/>
      <c r="ET121" s="2053"/>
      <c r="EU121" s="2053"/>
      <c r="EV121" s="2053"/>
      <c r="EW121" s="2053"/>
      <c r="EX121" s="2053"/>
      <c r="EY121" s="2053"/>
      <c r="EZ121" s="2053"/>
      <c r="FA121" s="2053"/>
      <c r="FB121" s="2053"/>
      <c r="FC121" s="2053"/>
      <c r="FD121" s="2053"/>
      <c r="FE121" s="2053"/>
      <c r="FF121" s="2053"/>
      <c r="FG121" s="2053"/>
      <c r="FH121" s="2053"/>
      <c r="FI121" s="2053"/>
      <c r="FJ121" s="2053"/>
      <c r="FK121" s="2053"/>
      <c r="FL121" s="2053"/>
      <c r="FM121" s="2053"/>
      <c r="FN121" s="2053"/>
      <c r="FO121" s="2053"/>
      <c r="FP121" s="2053"/>
      <c r="FQ121" s="2053"/>
      <c r="FR121" s="2053"/>
      <c r="FS121" s="2053"/>
      <c r="FT121" s="2053"/>
      <c r="FU121" s="2053"/>
      <c r="FV121" s="2053"/>
      <c r="FW121" s="2053"/>
      <c r="FX121" s="2053"/>
      <c r="FY121" s="2053"/>
      <c r="FZ121" s="2053"/>
      <c r="GA121" s="2053"/>
      <c r="GB121" s="2053"/>
      <c r="GC121" s="2053"/>
      <c r="GD121" s="2053"/>
      <c r="GE121" s="2053"/>
      <c r="GF121" s="2053"/>
      <c r="GG121" s="2053"/>
      <c r="GH121" s="2053"/>
      <c r="GI121" s="2053"/>
      <c r="GJ121" s="2053"/>
      <c r="GK121" s="2053"/>
      <c r="GL121" s="2053"/>
      <c r="GM121" s="2053"/>
      <c r="GN121" s="2053"/>
      <c r="GO121" s="2053"/>
      <c r="GP121" s="2053"/>
      <c r="GQ121" s="2053"/>
      <c r="GR121" s="2053"/>
      <c r="GS121" s="2053"/>
      <c r="GT121" s="2053"/>
      <c r="GU121" s="2053"/>
      <c r="GV121" s="2053"/>
      <c r="GW121" s="2053"/>
      <c r="GX121" s="2053"/>
      <c r="GY121" s="2053"/>
      <c r="GZ121" s="2053"/>
      <c r="HA121" s="2053"/>
      <c r="HB121" s="2053"/>
      <c r="HC121" s="2053"/>
      <c r="HD121" s="2053"/>
      <c r="HE121" s="2053"/>
      <c r="HF121" s="2053"/>
      <c r="HG121" s="2053"/>
      <c r="HH121" s="2053"/>
      <c r="HI121" s="2053"/>
      <c r="HJ121" s="2053"/>
      <c r="HK121" s="2053"/>
      <c r="HL121" s="2053"/>
      <c r="HM121" s="2053"/>
      <c r="HN121" s="2053"/>
      <c r="HO121" s="2053"/>
      <c r="HP121" s="2053"/>
      <c r="HQ121" s="2053"/>
      <c r="HR121" s="2053"/>
      <c r="HS121" s="2053"/>
      <c r="HT121" s="2053"/>
      <c r="HU121" s="2053"/>
      <c r="HV121" s="2053"/>
      <c r="HW121" s="2053"/>
      <c r="HX121" s="2053"/>
      <c r="HY121" s="2053"/>
      <c r="HZ121" s="2053"/>
      <c r="IA121" s="2053"/>
      <c r="IB121" s="2053"/>
      <c r="IC121" s="2053"/>
      <c r="ID121" s="2053"/>
      <c r="IE121" s="2053"/>
      <c r="IF121" s="2053"/>
      <c r="IG121" s="2053"/>
      <c r="IH121" s="2053"/>
      <c r="II121" s="2053"/>
      <c r="IJ121" s="2053"/>
      <c r="IK121" s="2053"/>
      <c r="IL121" s="2053"/>
      <c r="IM121" s="2053"/>
      <c r="IN121" s="2053"/>
      <c r="IO121" s="2053"/>
      <c r="IP121" s="2053"/>
      <c r="IQ121" s="2053"/>
      <c r="IR121" s="2053"/>
      <c r="IS121" s="2053"/>
      <c r="IT121" s="2053"/>
      <c r="IU121" s="2053"/>
      <c r="IV121" s="2053"/>
      <c r="IW121" s="2053"/>
      <c r="IX121" s="2053"/>
      <c r="IY121" s="2053"/>
      <c r="IZ121" s="2053"/>
      <c r="JA121" s="2053"/>
      <c r="JB121" s="2053"/>
      <c r="JC121" s="2053"/>
      <c r="JD121" s="3144"/>
      <c r="JE121" s="3144"/>
      <c r="JF121" s="3144"/>
      <c r="JG121" s="1578"/>
      <c r="JH121" s="1367"/>
      <c r="JI121" s="1390"/>
    </row>
    <row ht="22.5" r="122" spans="1:269" x14ac:dyDescent="0.2">
      <c r="A122" s="1128">
        <v>14</v>
      </c>
      <c r="B122" s="1659" t="str">
        <f si="6" t="shared"/>
        <v/>
      </c>
      <c r="C122" s="1577" t="s">
        <v>3870</v>
      </c>
      <c r="D122" s="1357" t="s">
        <v>5404</v>
      </c>
      <c r="E122" s="1358"/>
      <c r="F122" s="1358"/>
      <c r="G122" s="1358"/>
      <c r="H122" s="1358"/>
      <c r="I122" s="1358"/>
      <c r="J122" s="1358"/>
      <c r="K122" s="1358"/>
      <c r="L122" s="1358"/>
      <c r="M122" s="1358"/>
      <c r="N122" s="1358"/>
      <c r="O122" s="1909"/>
      <c r="P122" s="2053"/>
      <c r="Q122" s="2053"/>
      <c r="R122" s="2053"/>
      <c r="S122" s="2053"/>
      <c r="T122" s="2053"/>
      <c r="U122" s="2053"/>
      <c r="V122" s="2053"/>
      <c r="W122" s="2053"/>
      <c r="X122" s="2053"/>
      <c r="Y122" s="2053"/>
      <c r="Z122" s="2053"/>
      <c r="AA122" s="2053"/>
      <c r="AB122" s="2053"/>
      <c r="AC122" s="2053"/>
      <c r="AD122" s="2053"/>
      <c r="AE122" s="2053"/>
      <c r="AF122" s="2053"/>
      <c r="AG122" s="2053"/>
      <c r="AH122" s="2053"/>
      <c r="AI122" s="2053"/>
      <c r="AJ122" s="2053"/>
      <c r="AK122" s="2053"/>
      <c r="AL122" s="2053"/>
      <c r="AM122" s="2053"/>
      <c r="AN122" s="2053"/>
      <c r="AO122" s="2053"/>
      <c r="AP122" s="2053"/>
      <c r="AQ122" s="2053"/>
      <c r="AR122" s="2053"/>
      <c r="AS122" s="2053"/>
      <c r="AT122" s="2053"/>
      <c r="AU122" s="2053"/>
      <c r="AV122" s="2053"/>
      <c r="AW122" s="2053"/>
      <c r="AX122" s="2053"/>
      <c r="AY122" s="2053"/>
      <c r="AZ122" s="2053"/>
      <c r="BA122" s="2053"/>
      <c r="BB122" s="2053"/>
      <c r="BC122" s="2053"/>
      <c r="BD122" s="2053"/>
      <c r="BE122" s="2053"/>
      <c r="BF122" s="2053"/>
      <c r="BG122" s="2053"/>
      <c r="BH122" s="2053"/>
      <c r="BI122" s="2053"/>
      <c r="BJ122" s="2053"/>
      <c r="BK122" s="2053"/>
      <c r="BL122" s="2053"/>
      <c r="BM122" s="2053"/>
      <c r="BN122" s="2053"/>
      <c r="BO122" s="2053"/>
      <c r="BP122" s="2053"/>
      <c r="BQ122" s="2053"/>
      <c r="BR122" s="2053"/>
      <c r="BS122" s="2053"/>
      <c r="BT122" s="2053"/>
      <c r="BU122" s="2053"/>
      <c r="BV122" s="2053"/>
      <c r="BW122" s="2053"/>
      <c r="BX122" s="2053"/>
      <c r="BY122" s="2053"/>
      <c r="BZ122" s="2053"/>
      <c r="CA122" s="2053"/>
      <c r="CB122" s="2053"/>
      <c r="CC122" s="2053"/>
      <c r="CD122" s="2053"/>
      <c r="CE122" s="2053"/>
      <c r="CF122" s="2053"/>
      <c r="CG122" s="2053"/>
      <c r="CH122" s="2053"/>
      <c r="CI122" s="2053"/>
      <c r="CJ122" s="2053"/>
      <c r="CK122" s="2053"/>
      <c r="CL122" s="2053"/>
      <c r="CM122" s="2053"/>
      <c r="CN122" s="2053"/>
      <c r="CO122" s="2053"/>
      <c r="CP122" s="2053"/>
      <c r="CQ122" s="2053"/>
      <c r="CR122" s="2053"/>
      <c r="CS122" s="2053"/>
      <c r="CT122" s="2053"/>
      <c r="CU122" s="2053"/>
      <c r="CV122" s="2053"/>
      <c r="CW122" s="2053"/>
      <c r="CX122" s="2053"/>
      <c r="CY122" s="2053"/>
      <c r="CZ122" s="2053"/>
      <c r="DA122" s="2053"/>
      <c r="DB122" s="2053"/>
      <c r="DC122" s="2053"/>
      <c r="DD122" s="2053"/>
      <c r="DE122" s="2053"/>
      <c r="DF122" s="2053"/>
      <c r="DG122" s="2053"/>
      <c r="DH122" s="2053"/>
      <c r="DI122" s="2053"/>
      <c r="DJ122" s="2053"/>
      <c r="DK122" s="2053"/>
      <c r="DL122" s="2053"/>
      <c r="DM122" s="2053"/>
      <c r="DN122" s="2053"/>
      <c r="DO122" s="2053"/>
      <c r="DP122" s="2053"/>
      <c r="DQ122" s="2053"/>
      <c r="DR122" s="2053"/>
      <c r="DS122" s="2053"/>
      <c r="DT122" s="2053"/>
      <c r="DU122" s="2053"/>
      <c r="DV122" s="2053"/>
      <c r="DW122" s="2053"/>
      <c r="DX122" s="2053"/>
      <c r="DY122" s="2053"/>
      <c r="DZ122" s="2053"/>
      <c r="EA122" s="2053"/>
      <c r="EB122" s="2053"/>
      <c r="EC122" s="2053"/>
      <c r="ED122" s="2053"/>
      <c r="EE122" s="2053"/>
      <c r="EF122" s="2053"/>
      <c r="EG122" s="2053"/>
      <c r="EH122" s="2053"/>
      <c r="EI122" s="2053"/>
      <c r="EJ122" s="2053"/>
      <c r="EK122" s="2053"/>
      <c r="EL122" s="2053"/>
      <c r="EM122" s="2053"/>
      <c r="EN122" s="2053"/>
      <c r="EO122" s="2053"/>
      <c r="EP122" s="2053"/>
      <c r="EQ122" s="2053"/>
      <c r="ER122" s="2053"/>
      <c r="ES122" s="2053"/>
      <c r="ET122" s="2053"/>
      <c r="EU122" s="2053"/>
      <c r="EV122" s="2053"/>
      <c r="EW122" s="2053"/>
      <c r="EX122" s="2053"/>
      <c r="EY122" s="2053"/>
      <c r="EZ122" s="2053"/>
      <c r="FA122" s="2053"/>
      <c r="FB122" s="2053"/>
      <c r="FC122" s="2053"/>
      <c r="FD122" s="2053"/>
      <c r="FE122" s="2053"/>
      <c r="FF122" s="2053"/>
      <c r="FG122" s="2053"/>
      <c r="FH122" s="2053"/>
      <c r="FI122" s="2053"/>
      <c r="FJ122" s="2053"/>
      <c r="FK122" s="2053"/>
      <c r="FL122" s="2053"/>
      <c r="FM122" s="2053"/>
      <c r="FN122" s="2053"/>
      <c r="FO122" s="2053"/>
      <c r="FP122" s="2053"/>
      <c r="FQ122" s="2053"/>
      <c r="FR122" s="2053"/>
      <c r="FS122" s="2053"/>
      <c r="FT122" s="2053"/>
      <c r="FU122" s="2053"/>
      <c r="FV122" s="2053"/>
      <c r="FW122" s="2053"/>
      <c r="FX122" s="2053"/>
      <c r="FY122" s="2053"/>
      <c r="FZ122" s="2053"/>
      <c r="GA122" s="2053"/>
      <c r="GB122" s="2053"/>
      <c r="GC122" s="2053"/>
      <c r="GD122" s="2053"/>
      <c r="GE122" s="2053"/>
      <c r="GF122" s="2053"/>
      <c r="GG122" s="2053"/>
      <c r="GH122" s="2053"/>
      <c r="GI122" s="2053"/>
      <c r="GJ122" s="2053"/>
      <c r="GK122" s="2053"/>
      <c r="GL122" s="2053"/>
      <c r="GM122" s="2053"/>
      <c r="GN122" s="2053"/>
      <c r="GO122" s="2053"/>
      <c r="GP122" s="2053"/>
      <c r="GQ122" s="2053"/>
      <c r="GR122" s="2053"/>
      <c r="GS122" s="2053"/>
      <c r="GT122" s="2053"/>
      <c r="GU122" s="2053"/>
      <c r="GV122" s="2053"/>
      <c r="GW122" s="2053"/>
      <c r="GX122" s="2053"/>
      <c r="GY122" s="2053"/>
      <c r="GZ122" s="2053"/>
      <c r="HA122" s="2053"/>
      <c r="HB122" s="2053"/>
      <c r="HC122" s="2053"/>
      <c r="HD122" s="2053"/>
      <c r="HE122" s="2053"/>
      <c r="HF122" s="2053"/>
      <c r="HG122" s="2053"/>
      <c r="HH122" s="2053"/>
      <c r="HI122" s="2053"/>
      <c r="HJ122" s="2053"/>
      <c r="HK122" s="2053"/>
      <c r="HL122" s="2053"/>
      <c r="HM122" s="2053"/>
      <c r="HN122" s="2053"/>
      <c r="HO122" s="2053"/>
      <c r="HP122" s="2053"/>
      <c r="HQ122" s="2053"/>
      <c r="HR122" s="2053"/>
      <c r="HS122" s="2053"/>
      <c r="HT122" s="2053"/>
      <c r="HU122" s="2053"/>
      <c r="HV122" s="2053"/>
      <c r="HW122" s="2053"/>
      <c r="HX122" s="2053"/>
      <c r="HY122" s="2053"/>
      <c r="HZ122" s="2053"/>
      <c r="IA122" s="2053"/>
      <c r="IB122" s="2053"/>
      <c r="IC122" s="2053"/>
      <c r="ID122" s="2053"/>
      <c r="IE122" s="2053"/>
      <c r="IF122" s="2053"/>
      <c r="IG122" s="2053"/>
      <c r="IH122" s="2053"/>
      <c r="II122" s="2053"/>
      <c r="IJ122" s="2053"/>
      <c r="IK122" s="2053"/>
      <c r="IL122" s="2053"/>
      <c r="IM122" s="2053"/>
      <c r="IN122" s="2053"/>
      <c r="IO122" s="2053"/>
      <c r="IP122" s="2053"/>
      <c r="IQ122" s="2053"/>
      <c r="IR122" s="2053"/>
      <c r="IS122" s="2053"/>
      <c r="IT122" s="2053"/>
      <c r="IU122" s="2053"/>
      <c r="IV122" s="2053"/>
      <c r="IW122" s="2053"/>
      <c r="IX122" s="2053"/>
      <c r="IY122" s="2053"/>
      <c r="IZ122" s="2053"/>
      <c r="JA122" s="2053"/>
      <c r="JB122" s="2053"/>
      <c r="JC122" s="2053"/>
      <c r="JD122" s="3144"/>
      <c r="JE122" s="3144"/>
      <c r="JF122" s="3144"/>
      <c r="JG122" s="1578"/>
      <c r="JH122" s="1367"/>
      <c r="JI122" s="1391" t="s">
        <v>5392</v>
      </c>
    </row>
    <row r="123" spans="1:269" x14ac:dyDescent="0.2">
      <c r="A123" s="1128">
        <v>15</v>
      </c>
      <c r="B123" s="1356" t="str">
        <f si="6" t="shared"/>
        <v/>
      </c>
      <c r="C123" s="1577" t="s">
        <v>3871</v>
      </c>
      <c r="D123" s="1357" t="s">
        <v>5405</v>
      </c>
      <c r="E123" s="1358"/>
      <c r="F123" s="1358"/>
      <c r="G123" s="1358"/>
      <c r="H123" s="1358"/>
      <c r="I123" s="1358"/>
      <c r="J123" s="1358"/>
      <c r="K123" s="1359">
        <f>BPA</f>
        <v>2450</v>
      </c>
      <c r="L123" s="1358"/>
      <c r="M123" s="1359"/>
      <c r="N123" s="1359"/>
      <c r="O123" s="1910"/>
      <c r="P123" s="2054"/>
      <c r="Q123" s="2054"/>
      <c r="R123" s="2054"/>
      <c r="S123" s="2054"/>
      <c r="T123" s="2054"/>
      <c r="U123" s="2054"/>
      <c r="V123" s="2054"/>
      <c r="W123" s="2054"/>
      <c r="X123" s="2054"/>
      <c r="Y123" s="2054"/>
      <c r="Z123" s="2054"/>
      <c r="AA123" s="2054"/>
      <c r="AB123" s="2054"/>
      <c r="AC123" s="2054"/>
      <c r="AD123" s="2054"/>
      <c r="AE123" s="2054"/>
      <c r="AF123" s="2054"/>
      <c r="AG123" s="2054"/>
      <c r="AH123" s="2054"/>
      <c r="AI123" s="2054"/>
      <c r="AJ123" s="2054"/>
      <c r="AK123" s="2054"/>
      <c r="AL123" s="2054"/>
      <c r="AM123" s="2054"/>
      <c r="AN123" s="2054"/>
      <c r="AO123" s="2054"/>
      <c r="AP123" s="2054"/>
      <c r="AQ123" s="2054"/>
      <c r="AR123" s="2054"/>
      <c r="AS123" s="2054"/>
      <c r="AT123" s="2054"/>
      <c r="AU123" s="2054"/>
      <c r="AV123" s="2054"/>
      <c r="AW123" s="2054"/>
      <c r="AX123" s="2054"/>
      <c r="AY123" s="2054"/>
      <c r="AZ123" s="2054"/>
      <c r="BA123" s="2054"/>
      <c r="BB123" s="2054"/>
      <c r="BC123" s="2054"/>
      <c r="BD123" s="2054"/>
      <c r="BE123" s="2054"/>
      <c r="BF123" s="2054"/>
      <c r="BG123" s="2054"/>
      <c r="BH123" s="2054"/>
      <c r="BI123" s="2054"/>
      <c r="BJ123" s="2054"/>
      <c r="BK123" s="2054"/>
      <c r="BL123" s="2054"/>
      <c r="BM123" s="2054"/>
      <c r="BN123" s="2054"/>
      <c r="BO123" s="2054"/>
      <c r="BP123" s="2054"/>
      <c r="BQ123" s="2054"/>
      <c r="BR123" s="2054"/>
      <c r="BS123" s="2054"/>
      <c r="BT123" s="2054"/>
      <c r="BU123" s="2054"/>
      <c r="BV123" s="2054"/>
      <c r="BW123" s="2054"/>
      <c r="BX123" s="2054"/>
      <c r="BY123" s="2054"/>
      <c r="BZ123" s="2054"/>
      <c r="CA123" s="2054"/>
      <c r="CB123" s="2054"/>
      <c r="CC123" s="2054"/>
      <c r="CD123" s="2054"/>
      <c r="CE123" s="2054"/>
      <c r="CF123" s="2054"/>
      <c r="CG123" s="2054"/>
      <c r="CH123" s="2054"/>
      <c r="CI123" s="2054"/>
      <c r="CJ123" s="2054"/>
      <c r="CK123" s="2054"/>
      <c r="CL123" s="2054"/>
      <c r="CM123" s="2054"/>
      <c r="CN123" s="2054"/>
      <c r="CO123" s="2054"/>
      <c r="CP123" s="2054"/>
      <c r="CQ123" s="2054"/>
      <c r="CR123" s="2054"/>
      <c r="CS123" s="2054"/>
      <c r="CT123" s="2054"/>
      <c r="CU123" s="2054"/>
      <c r="CV123" s="2054"/>
      <c r="CW123" s="2054"/>
      <c r="CX123" s="2054"/>
      <c r="CY123" s="2054"/>
      <c r="CZ123" s="2054"/>
      <c r="DA123" s="2054"/>
      <c r="DB123" s="2054"/>
      <c r="DC123" s="2054"/>
      <c r="DD123" s="2054"/>
      <c r="DE123" s="2054"/>
      <c r="DF123" s="2054"/>
      <c r="DG123" s="2054"/>
      <c r="DH123" s="2054"/>
      <c r="DI123" s="2054"/>
      <c r="DJ123" s="2054"/>
      <c r="DK123" s="2054"/>
      <c r="DL123" s="2054"/>
      <c r="DM123" s="2054"/>
      <c r="DN123" s="2054"/>
      <c r="DO123" s="2054"/>
      <c r="DP123" s="2054"/>
      <c r="DQ123" s="2054"/>
      <c r="DR123" s="2054"/>
      <c r="DS123" s="2054"/>
      <c r="DT123" s="2054"/>
      <c r="DU123" s="2054"/>
      <c r="DV123" s="2054"/>
      <c r="DW123" s="2054"/>
      <c r="DX123" s="2054"/>
      <c r="DY123" s="2054"/>
      <c r="DZ123" s="2054"/>
      <c r="EA123" s="2054"/>
      <c r="EB123" s="2054"/>
      <c r="EC123" s="2054"/>
      <c r="ED123" s="2054"/>
      <c r="EE123" s="2054"/>
      <c r="EF123" s="2054"/>
      <c r="EG123" s="2054"/>
      <c r="EH123" s="2054"/>
      <c r="EI123" s="2054"/>
      <c r="EJ123" s="2054"/>
      <c r="EK123" s="2054"/>
      <c r="EL123" s="2054"/>
      <c r="EM123" s="2054"/>
      <c r="EN123" s="2054"/>
      <c r="EO123" s="2054"/>
      <c r="EP123" s="2054"/>
      <c r="EQ123" s="2054"/>
      <c r="ER123" s="2054"/>
      <c r="ES123" s="2054"/>
      <c r="ET123" s="2054"/>
      <c r="EU123" s="2054"/>
      <c r="EV123" s="2054"/>
      <c r="EW123" s="2054"/>
      <c r="EX123" s="2054"/>
      <c r="EY123" s="2054"/>
      <c r="EZ123" s="2054"/>
      <c r="FA123" s="2054"/>
      <c r="FB123" s="2054"/>
      <c r="FC123" s="2054"/>
      <c r="FD123" s="2054"/>
      <c r="FE123" s="2054"/>
      <c r="FF123" s="2054"/>
      <c r="FG123" s="2054"/>
      <c r="FH123" s="2054"/>
      <c r="FI123" s="2054"/>
      <c r="FJ123" s="2054"/>
      <c r="FK123" s="2054"/>
      <c r="FL123" s="2054"/>
      <c r="FM123" s="2054"/>
      <c r="FN123" s="2054"/>
      <c r="FO123" s="2054"/>
      <c r="FP123" s="2054"/>
      <c r="FQ123" s="2054"/>
      <c r="FR123" s="2054"/>
      <c r="FS123" s="2054"/>
      <c r="FT123" s="2054"/>
      <c r="FU123" s="2054"/>
      <c r="FV123" s="2054"/>
      <c r="FW123" s="2054"/>
      <c r="FX123" s="2054"/>
      <c r="FY123" s="2054"/>
      <c r="FZ123" s="2054"/>
      <c r="GA123" s="2054"/>
      <c r="GB123" s="2054"/>
      <c r="GC123" s="2054"/>
      <c r="GD123" s="2054"/>
      <c r="GE123" s="2054"/>
      <c r="GF123" s="2054"/>
      <c r="GG123" s="2054"/>
      <c r="GH123" s="2054"/>
      <c r="GI123" s="2054"/>
      <c r="GJ123" s="2054"/>
      <c r="GK123" s="2054"/>
      <c r="GL123" s="2054"/>
      <c r="GM123" s="2054"/>
      <c r="GN123" s="2054"/>
      <c r="GO123" s="2054"/>
      <c r="GP123" s="2054"/>
      <c r="GQ123" s="2054"/>
      <c r="GR123" s="2054"/>
      <c r="GS123" s="2054"/>
      <c r="GT123" s="2054"/>
      <c r="GU123" s="2054"/>
      <c r="GV123" s="2054"/>
      <c r="GW123" s="2054"/>
      <c r="GX123" s="2054"/>
      <c r="GY123" s="2054"/>
      <c r="GZ123" s="2054"/>
      <c r="HA123" s="2054"/>
      <c r="HB123" s="2054"/>
      <c r="HC123" s="2054"/>
      <c r="HD123" s="2054"/>
      <c r="HE123" s="2054"/>
      <c r="HF123" s="2054"/>
      <c r="HG123" s="2054"/>
      <c r="HH123" s="2054"/>
      <c r="HI123" s="2054"/>
      <c r="HJ123" s="2054"/>
      <c r="HK123" s="2054"/>
      <c r="HL123" s="2054"/>
      <c r="HM123" s="2054"/>
      <c r="HN123" s="2054"/>
      <c r="HO123" s="2054"/>
      <c r="HP123" s="2054"/>
      <c r="HQ123" s="2054"/>
      <c r="HR123" s="2054"/>
      <c r="HS123" s="2054"/>
      <c r="HT123" s="2054"/>
      <c r="HU123" s="2054"/>
      <c r="HV123" s="2054"/>
      <c r="HW123" s="2054"/>
      <c r="HX123" s="2054"/>
      <c r="HY123" s="2054"/>
      <c r="HZ123" s="2054"/>
      <c r="IA123" s="2054"/>
      <c r="IB123" s="2054"/>
      <c r="IC123" s="2054"/>
      <c r="ID123" s="2054"/>
      <c r="IE123" s="2054"/>
      <c r="IF123" s="2054"/>
      <c r="IG123" s="2054"/>
      <c r="IH123" s="2054"/>
      <c r="II123" s="2054"/>
      <c r="IJ123" s="2054"/>
      <c r="IK123" s="2054"/>
      <c r="IL123" s="2054"/>
      <c r="IM123" s="2054"/>
      <c r="IN123" s="2054"/>
      <c r="IO123" s="2054"/>
      <c r="IP123" s="2054"/>
      <c r="IQ123" s="2054"/>
      <c r="IR123" s="2054"/>
      <c r="IS123" s="2054"/>
      <c r="IT123" s="2054"/>
      <c r="IU123" s="2054"/>
      <c r="IV123" s="2054"/>
      <c r="IW123" s="2054"/>
      <c r="IX123" s="2054"/>
      <c r="IY123" s="2054"/>
      <c r="IZ123" s="2054"/>
      <c r="JA123" s="2054"/>
      <c r="JB123" s="2054"/>
      <c r="JC123" s="2054"/>
      <c r="JD123" s="4225"/>
      <c r="JE123" s="4225"/>
      <c r="JF123" s="4225"/>
      <c r="JG123" s="1580"/>
      <c r="JH123" s="1367"/>
      <c r="JI123" s="1391" t="s">
        <v>5393</v>
      </c>
    </row>
    <row r="124" spans="1:269" x14ac:dyDescent="0.2">
      <c r="A124" s="1128">
        <v>16</v>
      </c>
      <c r="B124" s="1356" t="str">
        <f si="6" t="shared"/>
        <v/>
      </c>
      <c r="C124" s="1577" t="s">
        <v>3872</v>
      </c>
      <c r="D124" s="1357" t="s">
        <v>5406</v>
      </c>
      <c r="E124" s="1358"/>
      <c r="F124" s="1358"/>
      <c r="G124" s="1358"/>
      <c r="H124" s="1358"/>
      <c r="I124" s="1358"/>
      <c r="J124" s="1358"/>
      <c r="K124" s="1358"/>
      <c r="L124" s="1359">
        <f>MCA_2</f>
        <v>1725</v>
      </c>
      <c r="M124" s="1358"/>
      <c r="N124" s="1358"/>
      <c r="O124" s="1909"/>
      <c r="P124" s="2053"/>
      <c r="Q124" s="2053"/>
      <c r="R124" s="2053"/>
      <c r="S124" s="2053"/>
      <c r="T124" s="2053"/>
      <c r="U124" s="2053"/>
      <c r="V124" s="2053"/>
      <c r="W124" s="2053"/>
      <c r="X124" s="2053"/>
      <c r="Y124" s="2053"/>
      <c r="Z124" s="2053"/>
      <c r="AA124" s="2053"/>
      <c r="AB124" s="2053"/>
      <c r="AC124" s="2053"/>
      <c r="AD124" s="2053"/>
      <c r="AE124" s="2053"/>
      <c r="AF124" s="2053"/>
      <c r="AG124" s="2053"/>
      <c r="AH124" s="2053"/>
      <c r="AI124" s="2053"/>
      <c r="AJ124" s="2053"/>
      <c r="AK124" s="2053"/>
      <c r="AL124" s="2053"/>
      <c r="AM124" s="2053"/>
      <c r="AN124" s="2053"/>
      <c r="AO124" s="2053"/>
      <c r="AP124" s="2053"/>
      <c r="AQ124" s="2053"/>
      <c r="AR124" s="2053"/>
      <c r="AS124" s="2053"/>
      <c r="AT124" s="2053"/>
      <c r="AU124" s="2053"/>
      <c r="AV124" s="2053"/>
      <c r="AW124" s="2053"/>
      <c r="AX124" s="2053"/>
      <c r="AY124" s="2053"/>
      <c r="AZ124" s="2053"/>
      <c r="BA124" s="2053"/>
      <c r="BB124" s="2053"/>
      <c r="BC124" s="2053"/>
      <c r="BD124" s="2053"/>
      <c r="BE124" s="2053"/>
      <c r="BF124" s="2053"/>
      <c r="BG124" s="2053"/>
      <c r="BH124" s="2053"/>
      <c r="BI124" s="2053"/>
      <c r="BJ124" s="2053"/>
      <c r="BK124" s="2053"/>
      <c r="BL124" s="2053"/>
      <c r="BM124" s="2053"/>
      <c r="BN124" s="2053"/>
      <c r="BO124" s="2053"/>
      <c r="BP124" s="2053"/>
      <c r="BQ124" s="2053"/>
      <c r="BR124" s="2053"/>
      <c r="BS124" s="2053"/>
      <c r="BT124" s="2053"/>
      <c r="BU124" s="2053"/>
      <c r="BV124" s="2053"/>
      <c r="BW124" s="2053"/>
      <c r="BX124" s="2053"/>
      <c r="BY124" s="2053"/>
      <c r="BZ124" s="2053"/>
      <c r="CA124" s="2053"/>
      <c r="CB124" s="2053"/>
      <c r="CC124" s="2053"/>
      <c r="CD124" s="2053"/>
      <c r="CE124" s="2053"/>
      <c r="CF124" s="2053"/>
      <c r="CG124" s="2053"/>
      <c r="CH124" s="2053"/>
      <c r="CI124" s="2053"/>
      <c r="CJ124" s="2053"/>
      <c r="CK124" s="2053"/>
      <c r="CL124" s="2053"/>
      <c r="CM124" s="2053"/>
      <c r="CN124" s="2053"/>
      <c r="CO124" s="2053"/>
      <c r="CP124" s="2053"/>
      <c r="CQ124" s="2053"/>
      <c r="CR124" s="2053"/>
      <c r="CS124" s="2053"/>
      <c r="CT124" s="2053"/>
      <c r="CU124" s="2053"/>
      <c r="CV124" s="2053"/>
      <c r="CW124" s="2053"/>
      <c r="CX124" s="2053"/>
      <c r="CY124" s="2053"/>
      <c r="CZ124" s="2053"/>
      <c r="DA124" s="2053"/>
      <c r="DB124" s="2053"/>
      <c r="DC124" s="2053"/>
      <c r="DD124" s="2053"/>
      <c r="DE124" s="2053"/>
      <c r="DF124" s="2053"/>
      <c r="DG124" s="2053"/>
      <c r="DH124" s="2053"/>
      <c r="DI124" s="2053"/>
      <c r="DJ124" s="2053"/>
      <c r="DK124" s="2053"/>
      <c r="DL124" s="2053"/>
      <c r="DM124" s="2053"/>
      <c r="DN124" s="2053"/>
      <c r="DO124" s="2053"/>
      <c r="DP124" s="2053"/>
      <c r="DQ124" s="2053"/>
      <c r="DR124" s="2053"/>
      <c r="DS124" s="2053"/>
      <c r="DT124" s="2053"/>
      <c r="DU124" s="2053"/>
      <c r="DV124" s="2053"/>
      <c r="DW124" s="2053"/>
      <c r="DX124" s="2053"/>
      <c r="DY124" s="2053"/>
      <c r="DZ124" s="2053"/>
      <c r="EA124" s="2053"/>
      <c r="EB124" s="2053"/>
      <c r="EC124" s="2053"/>
      <c r="ED124" s="2053"/>
      <c r="EE124" s="2053"/>
      <c r="EF124" s="2053"/>
      <c r="EG124" s="2053"/>
      <c r="EH124" s="2053"/>
      <c r="EI124" s="2053"/>
      <c r="EJ124" s="2053"/>
      <c r="EK124" s="2053"/>
      <c r="EL124" s="2053"/>
      <c r="EM124" s="2053"/>
      <c r="EN124" s="2053"/>
      <c r="EO124" s="2053"/>
      <c r="EP124" s="2053"/>
      <c r="EQ124" s="2053"/>
      <c r="ER124" s="2053"/>
      <c r="ES124" s="2053"/>
      <c r="ET124" s="2053"/>
      <c r="EU124" s="2053"/>
      <c r="EV124" s="2053"/>
      <c r="EW124" s="2053"/>
      <c r="EX124" s="2053"/>
      <c r="EY124" s="2053"/>
      <c r="EZ124" s="2053"/>
      <c r="FA124" s="2053"/>
      <c r="FB124" s="2053"/>
      <c r="FC124" s="2053"/>
      <c r="FD124" s="2053"/>
      <c r="FE124" s="2053"/>
      <c r="FF124" s="2053"/>
      <c r="FG124" s="2053"/>
      <c r="FH124" s="2053"/>
      <c r="FI124" s="2053"/>
      <c r="FJ124" s="2053"/>
      <c r="FK124" s="2053"/>
      <c r="FL124" s="2053"/>
      <c r="FM124" s="2053"/>
      <c r="FN124" s="2053"/>
      <c r="FO124" s="2053"/>
      <c r="FP124" s="2053"/>
      <c r="FQ124" s="2053"/>
      <c r="FR124" s="2053"/>
      <c r="FS124" s="2053"/>
      <c r="FT124" s="2053"/>
      <c r="FU124" s="2053"/>
      <c r="FV124" s="2053"/>
      <c r="FW124" s="2053"/>
      <c r="FX124" s="2053"/>
      <c r="FY124" s="2053"/>
      <c r="FZ124" s="2053"/>
      <c r="GA124" s="2053"/>
      <c r="GB124" s="2053"/>
      <c r="GC124" s="2053"/>
      <c r="GD124" s="2053"/>
      <c r="GE124" s="2053"/>
      <c r="GF124" s="2053"/>
      <c r="GG124" s="2053"/>
      <c r="GH124" s="2053"/>
      <c r="GI124" s="2053"/>
      <c r="GJ124" s="2053"/>
      <c r="GK124" s="2053"/>
      <c r="GL124" s="2053"/>
      <c r="GM124" s="2053"/>
      <c r="GN124" s="2053"/>
      <c r="GO124" s="2053"/>
      <c r="GP124" s="2053"/>
      <c r="GQ124" s="2053"/>
      <c r="GR124" s="2053"/>
      <c r="GS124" s="2053"/>
      <c r="GT124" s="2053"/>
      <c r="GU124" s="2053"/>
      <c r="GV124" s="2053"/>
      <c r="GW124" s="2053"/>
      <c r="GX124" s="2053"/>
      <c r="GY124" s="2053"/>
      <c r="GZ124" s="2053"/>
      <c r="HA124" s="2053"/>
      <c r="HB124" s="2053"/>
      <c r="HC124" s="2053"/>
      <c r="HD124" s="2053"/>
      <c r="HE124" s="2053"/>
      <c r="HF124" s="2053"/>
      <c r="HG124" s="2053"/>
      <c r="HH124" s="2053"/>
      <c r="HI124" s="2053"/>
      <c r="HJ124" s="2053"/>
      <c r="HK124" s="2053"/>
      <c r="HL124" s="2053"/>
      <c r="HM124" s="2053"/>
      <c r="HN124" s="2053"/>
      <c r="HO124" s="2053"/>
      <c r="HP124" s="2053"/>
      <c r="HQ124" s="2053"/>
      <c r="HR124" s="2053"/>
      <c r="HS124" s="2053"/>
      <c r="HT124" s="2053"/>
      <c r="HU124" s="2053"/>
      <c r="HV124" s="2053"/>
      <c r="HW124" s="2053"/>
      <c r="HX124" s="2053"/>
      <c r="HY124" s="2053"/>
      <c r="HZ124" s="2053"/>
      <c r="IA124" s="2053"/>
      <c r="IB124" s="2053"/>
      <c r="IC124" s="2053"/>
      <c r="ID124" s="2053"/>
      <c r="IE124" s="2053"/>
      <c r="IF124" s="2053"/>
      <c r="IG124" s="2053"/>
      <c r="IH124" s="2053"/>
      <c r="II124" s="2053"/>
      <c r="IJ124" s="2053"/>
      <c r="IK124" s="2053"/>
      <c r="IL124" s="2053"/>
      <c r="IM124" s="2053"/>
      <c r="IN124" s="2053"/>
      <c r="IO124" s="2053"/>
      <c r="IP124" s="2053"/>
      <c r="IQ124" s="2053"/>
      <c r="IR124" s="2053"/>
      <c r="IS124" s="2053"/>
      <c r="IT124" s="2053"/>
      <c r="IU124" s="2053"/>
      <c r="IV124" s="2053"/>
      <c r="IW124" s="2053"/>
      <c r="IX124" s="2053"/>
      <c r="IY124" s="2053"/>
      <c r="IZ124" s="2053"/>
      <c r="JA124" s="2053"/>
      <c r="JB124" s="2053"/>
      <c r="JC124" s="2053"/>
      <c r="JD124" s="3144"/>
      <c r="JE124" s="3144"/>
      <c r="JF124" s="3144"/>
      <c r="JG124" s="1578"/>
      <c r="JH124" s="1367"/>
      <c r="JI124" s="1391" t="s">
        <v>5394</v>
      </c>
    </row>
    <row r="125" spans="1:269" x14ac:dyDescent="0.2">
      <c r="A125" s="1128">
        <v>17</v>
      </c>
      <c r="B125" s="1659" t="str">
        <f si="6" t="shared"/>
        <v/>
      </c>
      <c r="C125" s="1577" t="s">
        <v>3873</v>
      </c>
      <c r="D125" s="1357" t="s">
        <v>5407</v>
      </c>
      <c r="E125" s="1358"/>
      <c r="F125" s="1358"/>
      <c r="G125" s="1358"/>
      <c r="H125" s="1358"/>
      <c r="I125" s="1358"/>
      <c r="J125" s="1358"/>
      <c r="K125" s="1358"/>
      <c r="L125" s="1358"/>
      <c r="M125" s="1358"/>
      <c r="N125" s="1358"/>
      <c r="O125" s="1909"/>
      <c r="P125" s="2053"/>
      <c r="Q125" s="2053"/>
      <c r="R125" s="2053"/>
      <c r="S125" s="2053"/>
      <c r="T125" s="2053"/>
      <c r="U125" s="2053"/>
      <c r="V125" s="2053"/>
      <c r="W125" s="2053"/>
      <c r="X125" s="2053"/>
      <c r="Y125" s="2053"/>
      <c r="Z125" s="2053"/>
      <c r="AA125" s="2053"/>
      <c r="AB125" s="2053"/>
      <c r="AC125" s="2053"/>
      <c r="AD125" s="2053"/>
      <c r="AE125" s="2053"/>
      <c r="AF125" s="2053"/>
      <c r="AG125" s="2053"/>
      <c r="AH125" s="2053"/>
      <c r="AI125" s="2053"/>
      <c r="AJ125" s="2053"/>
      <c r="AK125" s="2053"/>
      <c r="AL125" s="2053"/>
      <c r="AM125" s="2053"/>
      <c r="AN125" s="2053"/>
      <c r="AO125" s="2053"/>
      <c r="AP125" s="2053"/>
      <c r="AQ125" s="2053"/>
      <c r="AR125" s="2053"/>
      <c r="AS125" s="2053"/>
      <c r="AT125" s="2053"/>
      <c r="AU125" s="2053"/>
      <c r="AV125" s="2053"/>
      <c r="AW125" s="2053"/>
      <c r="AX125" s="2053"/>
      <c r="AY125" s="2053"/>
      <c r="AZ125" s="2053"/>
      <c r="BA125" s="2053"/>
      <c r="BB125" s="2053"/>
      <c r="BC125" s="2053"/>
      <c r="BD125" s="2053"/>
      <c r="BE125" s="2053"/>
      <c r="BF125" s="2053"/>
      <c r="BG125" s="2053"/>
      <c r="BH125" s="2053"/>
      <c r="BI125" s="2053"/>
      <c r="BJ125" s="2053"/>
      <c r="BK125" s="2053"/>
      <c r="BL125" s="2053"/>
      <c r="BM125" s="2053"/>
      <c r="BN125" s="2053"/>
      <c r="BO125" s="2053"/>
      <c r="BP125" s="2053"/>
      <c r="BQ125" s="2053"/>
      <c r="BR125" s="2053"/>
      <c r="BS125" s="2053"/>
      <c r="BT125" s="2053"/>
      <c r="BU125" s="2053"/>
      <c r="BV125" s="2053"/>
      <c r="BW125" s="2053"/>
      <c r="BX125" s="2053"/>
      <c r="BY125" s="2053"/>
      <c r="BZ125" s="2053"/>
      <c r="CA125" s="2053"/>
      <c r="CB125" s="2053"/>
      <c r="CC125" s="2053"/>
      <c r="CD125" s="2053"/>
      <c r="CE125" s="2053"/>
      <c r="CF125" s="2053"/>
      <c r="CG125" s="2053"/>
      <c r="CH125" s="2053"/>
      <c r="CI125" s="2053"/>
      <c r="CJ125" s="2053"/>
      <c r="CK125" s="2053"/>
      <c r="CL125" s="2053"/>
      <c r="CM125" s="2053"/>
      <c r="CN125" s="2053"/>
      <c r="CO125" s="2053"/>
      <c r="CP125" s="2053"/>
      <c r="CQ125" s="2053"/>
      <c r="CR125" s="2053"/>
      <c r="CS125" s="2053"/>
      <c r="CT125" s="2053"/>
      <c r="CU125" s="2053"/>
      <c r="CV125" s="2053"/>
      <c r="CW125" s="2053"/>
      <c r="CX125" s="2053"/>
      <c r="CY125" s="2053"/>
      <c r="CZ125" s="2053"/>
      <c r="DA125" s="2053"/>
      <c r="DB125" s="2053"/>
      <c r="DC125" s="2053"/>
      <c r="DD125" s="2053"/>
      <c r="DE125" s="2053"/>
      <c r="DF125" s="2053"/>
      <c r="DG125" s="2053"/>
      <c r="DH125" s="2053"/>
      <c r="DI125" s="2053"/>
      <c r="DJ125" s="2053"/>
      <c r="DK125" s="2053"/>
      <c r="DL125" s="2053"/>
      <c r="DM125" s="2053"/>
      <c r="DN125" s="2053"/>
      <c r="DO125" s="2053"/>
      <c r="DP125" s="2053"/>
      <c r="DQ125" s="2053"/>
      <c r="DR125" s="2053"/>
      <c r="DS125" s="2053"/>
      <c r="DT125" s="2053"/>
      <c r="DU125" s="2053"/>
      <c r="DV125" s="2053"/>
      <c r="DW125" s="2053"/>
      <c r="DX125" s="2053"/>
      <c r="DY125" s="2053"/>
      <c r="DZ125" s="2053"/>
      <c r="EA125" s="2053"/>
      <c r="EB125" s="2053"/>
      <c r="EC125" s="2053"/>
      <c r="ED125" s="2053"/>
      <c r="EE125" s="2053"/>
      <c r="EF125" s="2053"/>
      <c r="EG125" s="2053"/>
      <c r="EH125" s="2053"/>
      <c r="EI125" s="2053"/>
      <c r="EJ125" s="2053"/>
      <c r="EK125" s="2053"/>
      <c r="EL125" s="2053"/>
      <c r="EM125" s="2053"/>
      <c r="EN125" s="2053"/>
      <c r="EO125" s="2053"/>
      <c r="EP125" s="2053"/>
      <c r="EQ125" s="2053"/>
      <c r="ER125" s="2053"/>
      <c r="ES125" s="2053"/>
      <c r="ET125" s="2053"/>
      <c r="EU125" s="2053"/>
      <c r="EV125" s="2053"/>
      <c r="EW125" s="2053"/>
      <c r="EX125" s="2053"/>
      <c r="EY125" s="2053"/>
      <c r="EZ125" s="2053"/>
      <c r="FA125" s="2053"/>
      <c r="FB125" s="2053"/>
      <c r="FC125" s="2053"/>
      <c r="FD125" s="2053"/>
      <c r="FE125" s="2053"/>
      <c r="FF125" s="2053"/>
      <c r="FG125" s="2053"/>
      <c r="FH125" s="2053"/>
      <c r="FI125" s="2053"/>
      <c r="FJ125" s="2053"/>
      <c r="FK125" s="2053"/>
      <c r="FL125" s="2053"/>
      <c r="FM125" s="2053"/>
      <c r="FN125" s="2053"/>
      <c r="FO125" s="2053"/>
      <c r="FP125" s="2053"/>
      <c r="FQ125" s="2053"/>
      <c r="FR125" s="2053"/>
      <c r="FS125" s="2053"/>
      <c r="FT125" s="2053"/>
      <c r="FU125" s="2053"/>
      <c r="FV125" s="2053"/>
      <c r="FW125" s="2053"/>
      <c r="FX125" s="2053"/>
      <c r="FY125" s="2053"/>
      <c r="FZ125" s="2053"/>
      <c r="GA125" s="2053"/>
      <c r="GB125" s="2053"/>
      <c r="GC125" s="2053"/>
      <c r="GD125" s="2053"/>
      <c r="GE125" s="2053"/>
      <c r="GF125" s="2053"/>
      <c r="GG125" s="2053"/>
      <c r="GH125" s="2053"/>
      <c r="GI125" s="2053"/>
      <c r="GJ125" s="2053"/>
      <c r="GK125" s="2053"/>
      <c r="GL125" s="2053"/>
      <c r="GM125" s="2053"/>
      <c r="GN125" s="2053"/>
      <c r="GO125" s="2053"/>
      <c r="GP125" s="2053"/>
      <c r="GQ125" s="2053"/>
      <c r="GR125" s="2053"/>
      <c r="GS125" s="2053"/>
      <c r="GT125" s="2053"/>
      <c r="GU125" s="2053"/>
      <c r="GV125" s="2053"/>
      <c r="GW125" s="2053"/>
      <c r="GX125" s="2053"/>
      <c r="GY125" s="2053"/>
      <c r="GZ125" s="2053"/>
      <c r="HA125" s="2053"/>
      <c r="HB125" s="2053"/>
      <c r="HC125" s="2053"/>
      <c r="HD125" s="2053"/>
      <c r="HE125" s="2053"/>
      <c r="HF125" s="2053"/>
      <c r="HG125" s="2053"/>
      <c r="HH125" s="2053"/>
      <c r="HI125" s="2053"/>
      <c r="HJ125" s="2053"/>
      <c r="HK125" s="2053"/>
      <c r="HL125" s="2053"/>
      <c r="HM125" s="2053"/>
      <c r="HN125" s="2053"/>
      <c r="HO125" s="2053"/>
      <c r="HP125" s="2053"/>
      <c r="HQ125" s="2053"/>
      <c r="HR125" s="2053"/>
      <c r="HS125" s="2053"/>
      <c r="HT125" s="2053"/>
      <c r="HU125" s="2053"/>
      <c r="HV125" s="2053"/>
      <c r="HW125" s="2053"/>
      <c r="HX125" s="2053"/>
      <c r="HY125" s="2053"/>
      <c r="HZ125" s="2053"/>
      <c r="IA125" s="2053"/>
      <c r="IB125" s="2053"/>
      <c r="IC125" s="2053"/>
      <c r="ID125" s="2053"/>
      <c r="IE125" s="2053"/>
      <c r="IF125" s="2053"/>
      <c r="IG125" s="2053"/>
      <c r="IH125" s="2053"/>
      <c r="II125" s="2053"/>
      <c r="IJ125" s="2053"/>
      <c r="IK125" s="2053"/>
      <c r="IL125" s="2053"/>
      <c r="IM125" s="2053"/>
      <c r="IN125" s="2053"/>
      <c r="IO125" s="2053"/>
      <c r="IP125" s="2053"/>
      <c r="IQ125" s="2053"/>
      <c r="IR125" s="2053"/>
      <c r="IS125" s="2053"/>
      <c r="IT125" s="2053"/>
      <c r="IU125" s="2053"/>
      <c r="IV125" s="2053"/>
      <c r="IW125" s="2053"/>
      <c r="IX125" s="2053"/>
      <c r="IY125" s="2053"/>
      <c r="IZ125" s="2053"/>
      <c r="JA125" s="2053"/>
      <c r="JB125" s="2053"/>
      <c r="JC125" s="2053"/>
      <c r="JD125" s="3144"/>
      <c r="JE125" s="3144"/>
      <c r="JF125" s="3144"/>
      <c r="JG125" s="1578"/>
      <c r="JH125" s="1367"/>
      <c r="JI125" s="1390"/>
    </row>
    <row r="126" spans="1:269" x14ac:dyDescent="0.2">
      <c r="A126" s="1128">
        <v>18</v>
      </c>
      <c r="B126" s="1659" t="str">
        <f si="6" t="shared"/>
        <v/>
      </c>
      <c r="C126" s="1577" t="s">
        <v>3874</v>
      </c>
      <c r="D126" s="1357" t="s">
        <v>5408</v>
      </c>
      <c r="E126" s="1358"/>
      <c r="F126" s="1358"/>
      <c r="G126" s="1358"/>
      <c r="H126" s="1358"/>
      <c r="I126" s="1358"/>
      <c r="J126" s="1358"/>
      <c r="K126" s="1358"/>
      <c r="L126" s="1358"/>
      <c r="M126" s="1358"/>
      <c r="N126" s="1358"/>
      <c r="O126" s="1909"/>
      <c r="P126" s="2053"/>
      <c r="Q126" s="2053"/>
      <c r="R126" s="2053"/>
      <c r="S126" s="2053"/>
      <c r="T126" s="2053"/>
      <c r="U126" s="2053"/>
      <c r="V126" s="2053"/>
      <c r="W126" s="2053"/>
      <c r="X126" s="2053"/>
      <c r="Y126" s="2053"/>
      <c r="Z126" s="2053"/>
      <c r="AA126" s="2053"/>
      <c r="AB126" s="2053"/>
      <c r="AC126" s="2053"/>
      <c r="AD126" s="2053"/>
      <c r="AE126" s="2053"/>
      <c r="AF126" s="2053"/>
      <c r="AG126" s="2053"/>
      <c r="AH126" s="2053"/>
      <c r="AI126" s="2053"/>
      <c r="AJ126" s="2053"/>
      <c r="AK126" s="2053"/>
      <c r="AL126" s="2053"/>
      <c r="AM126" s="2053"/>
      <c r="AN126" s="2053"/>
      <c r="AO126" s="2053"/>
      <c r="AP126" s="2053"/>
      <c r="AQ126" s="2053"/>
      <c r="AR126" s="2053"/>
      <c r="AS126" s="2053"/>
      <c r="AT126" s="2053"/>
      <c r="AU126" s="2053"/>
      <c r="AV126" s="2053"/>
      <c r="AW126" s="2053"/>
      <c r="AX126" s="2053"/>
      <c r="AY126" s="2053"/>
      <c r="AZ126" s="2053"/>
      <c r="BA126" s="2053"/>
      <c r="BB126" s="2053"/>
      <c r="BC126" s="2053"/>
      <c r="BD126" s="2053"/>
      <c r="BE126" s="2053"/>
      <c r="BF126" s="2053"/>
      <c r="BG126" s="2053"/>
      <c r="BH126" s="2053"/>
      <c r="BI126" s="2053"/>
      <c r="BJ126" s="2053"/>
      <c r="BK126" s="2053"/>
      <c r="BL126" s="2053"/>
      <c r="BM126" s="2053"/>
      <c r="BN126" s="2053"/>
      <c r="BO126" s="2053"/>
      <c r="BP126" s="2053"/>
      <c r="BQ126" s="2053"/>
      <c r="BR126" s="2053"/>
      <c r="BS126" s="2053"/>
      <c r="BT126" s="2053"/>
      <c r="BU126" s="2053"/>
      <c r="BV126" s="2053"/>
      <c r="BW126" s="2053"/>
      <c r="BX126" s="2053"/>
      <c r="BY126" s="2053"/>
      <c r="BZ126" s="2053"/>
      <c r="CA126" s="2053"/>
      <c r="CB126" s="2053"/>
      <c r="CC126" s="2053"/>
      <c r="CD126" s="2053"/>
      <c r="CE126" s="2053"/>
      <c r="CF126" s="2053"/>
      <c r="CG126" s="2053"/>
      <c r="CH126" s="2053"/>
      <c r="CI126" s="2053"/>
      <c r="CJ126" s="2053"/>
      <c r="CK126" s="2053"/>
      <c r="CL126" s="2053"/>
      <c r="CM126" s="2053"/>
      <c r="CN126" s="2053"/>
      <c r="CO126" s="2053"/>
      <c r="CP126" s="2053"/>
      <c r="CQ126" s="2053"/>
      <c r="CR126" s="2053"/>
      <c r="CS126" s="2053"/>
      <c r="CT126" s="2053"/>
      <c r="CU126" s="2053"/>
      <c r="CV126" s="2053"/>
      <c r="CW126" s="2053"/>
      <c r="CX126" s="2053"/>
      <c r="CY126" s="2053"/>
      <c r="CZ126" s="2053"/>
      <c r="DA126" s="2053"/>
      <c r="DB126" s="2053"/>
      <c r="DC126" s="2053"/>
      <c r="DD126" s="2053"/>
      <c r="DE126" s="2053"/>
      <c r="DF126" s="2053"/>
      <c r="DG126" s="2053"/>
      <c r="DH126" s="2053"/>
      <c r="DI126" s="2053"/>
      <c r="DJ126" s="2053"/>
      <c r="DK126" s="2053"/>
      <c r="DL126" s="2053"/>
      <c r="DM126" s="2053"/>
      <c r="DN126" s="2053"/>
      <c r="DO126" s="2053"/>
      <c r="DP126" s="2053"/>
      <c r="DQ126" s="2053"/>
      <c r="DR126" s="2053"/>
      <c r="DS126" s="2053"/>
      <c r="DT126" s="2053"/>
      <c r="DU126" s="2053"/>
      <c r="DV126" s="2053"/>
      <c r="DW126" s="2053"/>
      <c r="DX126" s="2053"/>
      <c r="DY126" s="2053"/>
      <c r="DZ126" s="2053"/>
      <c r="EA126" s="2053"/>
      <c r="EB126" s="2053"/>
      <c r="EC126" s="2053"/>
      <c r="ED126" s="2053"/>
      <c r="EE126" s="2053"/>
      <c r="EF126" s="2053"/>
      <c r="EG126" s="2053"/>
      <c r="EH126" s="2053"/>
      <c r="EI126" s="2053"/>
      <c r="EJ126" s="2053"/>
      <c r="EK126" s="2053"/>
      <c r="EL126" s="2053"/>
      <c r="EM126" s="2053"/>
      <c r="EN126" s="2053"/>
      <c r="EO126" s="2053"/>
      <c r="EP126" s="2053"/>
      <c r="EQ126" s="2053"/>
      <c r="ER126" s="2053"/>
      <c r="ES126" s="2053"/>
      <c r="ET126" s="2053"/>
      <c r="EU126" s="2053"/>
      <c r="EV126" s="2053"/>
      <c r="EW126" s="2053"/>
      <c r="EX126" s="2053"/>
      <c r="EY126" s="2053"/>
      <c r="EZ126" s="2053"/>
      <c r="FA126" s="2053"/>
      <c r="FB126" s="2053"/>
      <c r="FC126" s="2053"/>
      <c r="FD126" s="2053"/>
      <c r="FE126" s="2053"/>
      <c r="FF126" s="2053"/>
      <c r="FG126" s="2053"/>
      <c r="FH126" s="2053"/>
      <c r="FI126" s="2053"/>
      <c r="FJ126" s="2053"/>
      <c r="FK126" s="2053"/>
      <c r="FL126" s="2053"/>
      <c r="FM126" s="2053"/>
      <c r="FN126" s="2053"/>
      <c r="FO126" s="2053"/>
      <c r="FP126" s="2053"/>
      <c r="FQ126" s="2053"/>
      <c r="FR126" s="2053"/>
      <c r="FS126" s="2053"/>
      <c r="FT126" s="2053"/>
      <c r="FU126" s="2053"/>
      <c r="FV126" s="2053"/>
      <c r="FW126" s="2053"/>
      <c r="FX126" s="2053"/>
      <c r="FY126" s="2053"/>
      <c r="FZ126" s="2053"/>
      <c r="GA126" s="2053"/>
      <c r="GB126" s="2053"/>
      <c r="GC126" s="2053"/>
      <c r="GD126" s="2053"/>
      <c r="GE126" s="2053"/>
      <c r="GF126" s="2053"/>
      <c r="GG126" s="2053"/>
      <c r="GH126" s="2053"/>
      <c r="GI126" s="2053"/>
      <c r="GJ126" s="2053"/>
      <c r="GK126" s="2053"/>
      <c r="GL126" s="2053"/>
      <c r="GM126" s="2053"/>
      <c r="GN126" s="2053"/>
      <c r="GO126" s="2053"/>
      <c r="GP126" s="2053"/>
      <c r="GQ126" s="2053"/>
      <c r="GR126" s="2053"/>
      <c r="GS126" s="2053"/>
      <c r="GT126" s="2053"/>
      <c r="GU126" s="2053"/>
      <c r="GV126" s="2053"/>
      <c r="GW126" s="2053"/>
      <c r="GX126" s="2053"/>
      <c r="GY126" s="2053"/>
      <c r="GZ126" s="2053"/>
      <c r="HA126" s="2053"/>
      <c r="HB126" s="2053"/>
      <c r="HC126" s="2053"/>
      <c r="HD126" s="2053"/>
      <c r="HE126" s="2053"/>
      <c r="HF126" s="2053"/>
      <c r="HG126" s="2053"/>
      <c r="HH126" s="2053"/>
      <c r="HI126" s="2053"/>
      <c r="HJ126" s="2053"/>
      <c r="HK126" s="2053"/>
      <c r="HL126" s="2053"/>
      <c r="HM126" s="2053"/>
      <c r="HN126" s="2053"/>
      <c r="HO126" s="2053"/>
      <c r="HP126" s="2053"/>
      <c r="HQ126" s="2053"/>
      <c r="HR126" s="2053"/>
      <c r="HS126" s="2053"/>
      <c r="HT126" s="2053"/>
      <c r="HU126" s="2053"/>
      <c r="HV126" s="2053"/>
      <c r="HW126" s="2053"/>
      <c r="HX126" s="2053"/>
      <c r="HY126" s="2053"/>
      <c r="HZ126" s="2053"/>
      <c r="IA126" s="2053"/>
      <c r="IB126" s="2053"/>
      <c r="IC126" s="2053"/>
      <c r="ID126" s="2053"/>
      <c r="IE126" s="2053"/>
      <c r="IF126" s="2053"/>
      <c r="IG126" s="2053"/>
      <c r="IH126" s="2053"/>
      <c r="II126" s="2053"/>
      <c r="IJ126" s="2053"/>
      <c r="IK126" s="2053"/>
      <c r="IL126" s="2053"/>
      <c r="IM126" s="2053"/>
      <c r="IN126" s="2053"/>
      <c r="IO126" s="2053"/>
      <c r="IP126" s="2053"/>
      <c r="IQ126" s="2053"/>
      <c r="IR126" s="2053"/>
      <c r="IS126" s="2053"/>
      <c r="IT126" s="2053"/>
      <c r="IU126" s="2053"/>
      <c r="IV126" s="2053"/>
      <c r="IW126" s="2053"/>
      <c r="IX126" s="2053"/>
      <c r="IY126" s="2053"/>
      <c r="IZ126" s="2053"/>
      <c r="JA126" s="2053"/>
      <c r="JB126" s="2053"/>
      <c r="JC126" s="2053"/>
      <c r="JD126" s="3144"/>
      <c r="JE126" s="3144"/>
      <c r="JF126" s="3144"/>
      <c r="JG126" s="1578"/>
      <c r="JH126" s="1367"/>
      <c r="JI126" s="1390"/>
    </row>
    <row r="127" spans="1:269" x14ac:dyDescent="0.2">
      <c r="A127" s="1128">
        <v>19</v>
      </c>
      <c r="B127" s="1659" t="str">
        <f si="6" t="shared"/>
        <v/>
      </c>
      <c r="C127" s="1577" t="s">
        <v>3875</v>
      </c>
      <c r="D127" s="1357" t="s">
        <v>5409</v>
      </c>
      <c r="E127" s="1358"/>
      <c r="F127" s="1358"/>
      <c r="G127" s="1358"/>
      <c r="H127" s="1358"/>
      <c r="I127" s="1358"/>
      <c r="J127" s="1358"/>
      <c r="K127" s="1358"/>
      <c r="L127" s="1358"/>
      <c r="M127" s="1358"/>
      <c r="N127" s="1358"/>
      <c r="O127" s="1909"/>
      <c r="P127" s="2053"/>
      <c r="Q127" s="2053"/>
      <c r="R127" s="2053"/>
      <c r="S127" s="2053"/>
      <c r="T127" s="2053"/>
      <c r="U127" s="2053"/>
      <c r="V127" s="2053"/>
      <c r="W127" s="2053"/>
      <c r="X127" s="2053"/>
      <c r="Y127" s="2053"/>
      <c r="Z127" s="2053"/>
      <c r="AA127" s="2053"/>
      <c r="AB127" s="2053"/>
      <c r="AC127" s="2053"/>
      <c r="AD127" s="2053"/>
      <c r="AE127" s="2053"/>
      <c r="AF127" s="2053"/>
      <c r="AG127" s="2053"/>
      <c r="AH127" s="2053"/>
      <c r="AI127" s="2053"/>
      <c r="AJ127" s="2053"/>
      <c r="AK127" s="2053"/>
      <c r="AL127" s="2053"/>
      <c r="AM127" s="2053"/>
      <c r="AN127" s="2053"/>
      <c r="AO127" s="2053"/>
      <c r="AP127" s="2053"/>
      <c r="AQ127" s="2053"/>
      <c r="AR127" s="2053"/>
      <c r="AS127" s="2053"/>
      <c r="AT127" s="2053"/>
      <c r="AU127" s="2053"/>
      <c r="AV127" s="2053"/>
      <c r="AW127" s="2053"/>
      <c r="AX127" s="2053"/>
      <c r="AY127" s="2053"/>
      <c r="AZ127" s="2053"/>
      <c r="BA127" s="2053"/>
      <c r="BB127" s="2053"/>
      <c r="BC127" s="2053"/>
      <c r="BD127" s="2053"/>
      <c r="BE127" s="2053"/>
      <c r="BF127" s="2053"/>
      <c r="BG127" s="2053"/>
      <c r="BH127" s="2053"/>
      <c r="BI127" s="2053"/>
      <c r="BJ127" s="2053"/>
      <c r="BK127" s="2053"/>
      <c r="BL127" s="2053"/>
      <c r="BM127" s="2053"/>
      <c r="BN127" s="2053"/>
      <c r="BO127" s="2053"/>
      <c r="BP127" s="2053"/>
      <c r="BQ127" s="2053"/>
      <c r="BR127" s="2053"/>
      <c r="BS127" s="2053"/>
      <c r="BT127" s="2053"/>
      <c r="BU127" s="2053"/>
      <c r="BV127" s="2053"/>
      <c r="BW127" s="2053"/>
      <c r="BX127" s="2053"/>
      <c r="BY127" s="2053"/>
      <c r="BZ127" s="2053"/>
      <c r="CA127" s="2053"/>
      <c r="CB127" s="2053"/>
      <c r="CC127" s="2053"/>
      <c r="CD127" s="2053"/>
      <c r="CE127" s="2053"/>
      <c r="CF127" s="2053"/>
      <c r="CG127" s="2053"/>
      <c r="CH127" s="2053"/>
      <c r="CI127" s="2053"/>
      <c r="CJ127" s="2053"/>
      <c r="CK127" s="2053"/>
      <c r="CL127" s="2053"/>
      <c r="CM127" s="2053"/>
      <c r="CN127" s="2053"/>
      <c r="CO127" s="2053"/>
      <c r="CP127" s="2053"/>
      <c r="CQ127" s="2053"/>
      <c r="CR127" s="2053"/>
      <c r="CS127" s="2053"/>
      <c r="CT127" s="2053"/>
      <c r="CU127" s="2053"/>
      <c r="CV127" s="2053"/>
      <c r="CW127" s="2053"/>
      <c r="CX127" s="2053"/>
      <c r="CY127" s="2053"/>
      <c r="CZ127" s="2053"/>
      <c r="DA127" s="2053"/>
      <c r="DB127" s="2053"/>
      <c r="DC127" s="2053"/>
      <c r="DD127" s="2053"/>
      <c r="DE127" s="2053"/>
      <c r="DF127" s="2053"/>
      <c r="DG127" s="2053"/>
      <c r="DH127" s="2053"/>
      <c r="DI127" s="2053"/>
      <c r="DJ127" s="2053"/>
      <c r="DK127" s="2053"/>
      <c r="DL127" s="2053"/>
      <c r="DM127" s="2053"/>
      <c r="DN127" s="2053"/>
      <c r="DO127" s="2053"/>
      <c r="DP127" s="2053"/>
      <c r="DQ127" s="2053"/>
      <c r="DR127" s="2053"/>
      <c r="DS127" s="2053"/>
      <c r="DT127" s="2053"/>
      <c r="DU127" s="2053"/>
      <c r="DV127" s="2053"/>
      <c r="DW127" s="2053"/>
      <c r="DX127" s="2053"/>
      <c r="DY127" s="2053"/>
      <c r="DZ127" s="2053"/>
      <c r="EA127" s="2053"/>
      <c r="EB127" s="2053"/>
      <c r="EC127" s="2053"/>
      <c r="ED127" s="2053"/>
      <c r="EE127" s="2053"/>
      <c r="EF127" s="2053"/>
      <c r="EG127" s="2053"/>
      <c r="EH127" s="2053"/>
      <c r="EI127" s="2053"/>
      <c r="EJ127" s="2053"/>
      <c r="EK127" s="2053"/>
      <c r="EL127" s="2053"/>
      <c r="EM127" s="2053"/>
      <c r="EN127" s="2053"/>
      <c r="EO127" s="2053"/>
      <c r="EP127" s="2053"/>
      <c r="EQ127" s="2053"/>
      <c r="ER127" s="2053"/>
      <c r="ES127" s="2053"/>
      <c r="ET127" s="2053"/>
      <c r="EU127" s="2053"/>
      <c r="EV127" s="2053"/>
      <c r="EW127" s="2053"/>
      <c r="EX127" s="2053"/>
      <c r="EY127" s="2053"/>
      <c r="EZ127" s="2053"/>
      <c r="FA127" s="2053"/>
      <c r="FB127" s="2053"/>
      <c r="FC127" s="2053"/>
      <c r="FD127" s="2053"/>
      <c r="FE127" s="2053"/>
      <c r="FF127" s="2053"/>
      <c r="FG127" s="2053"/>
      <c r="FH127" s="2053"/>
      <c r="FI127" s="2053"/>
      <c r="FJ127" s="2053"/>
      <c r="FK127" s="2053"/>
      <c r="FL127" s="2053"/>
      <c r="FM127" s="2053"/>
      <c r="FN127" s="2053"/>
      <c r="FO127" s="2053"/>
      <c r="FP127" s="2053"/>
      <c r="FQ127" s="2053"/>
      <c r="FR127" s="2053"/>
      <c r="FS127" s="2053"/>
      <c r="FT127" s="2053"/>
      <c r="FU127" s="2053"/>
      <c r="FV127" s="2053"/>
      <c r="FW127" s="2053"/>
      <c r="FX127" s="2053"/>
      <c r="FY127" s="2053"/>
      <c r="FZ127" s="2053"/>
      <c r="GA127" s="2053"/>
      <c r="GB127" s="2053"/>
      <c r="GC127" s="2053"/>
      <c r="GD127" s="2053"/>
      <c r="GE127" s="2053"/>
      <c r="GF127" s="2053"/>
      <c r="GG127" s="2053"/>
      <c r="GH127" s="2053"/>
      <c r="GI127" s="2053"/>
      <c r="GJ127" s="2053"/>
      <c r="GK127" s="2053"/>
      <c r="GL127" s="2053"/>
      <c r="GM127" s="2053"/>
      <c r="GN127" s="2053"/>
      <c r="GO127" s="2053"/>
      <c r="GP127" s="2053"/>
      <c r="GQ127" s="2053"/>
      <c r="GR127" s="2053"/>
      <c r="GS127" s="2053"/>
      <c r="GT127" s="2053"/>
      <c r="GU127" s="2053"/>
      <c r="GV127" s="2053"/>
      <c r="GW127" s="2053"/>
      <c r="GX127" s="2053"/>
      <c r="GY127" s="2053"/>
      <c r="GZ127" s="2053"/>
      <c r="HA127" s="2053"/>
      <c r="HB127" s="2053"/>
      <c r="HC127" s="2053"/>
      <c r="HD127" s="2053"/>
      <c r="HE127" s="2053"/>
      <c r="HF127" s="2053"/>
      <c r="HG127" s="2053"/>
      <c r="HH127" s="2053"/>
      <c r="HI127" s="2053"/>
      <c r="HJ127" s="2053"/>
      <c r="HK127" s="2053"/>
      <c r="HL127" s="2053"/>
      <c r="HM127" s="2053"/>
      <c r="HN127" s="2053"/>
      <c r="HO127" s="2053"/>
      <c r="HP127" s="2053"/>
      <c r="HQ127" s="2053"/>
      <c r="HR127" s="2053"/>
      <c r="HS127" s="2053"/>
      <c r="HT127" s="2053"/>
      <c r="HU127" s="2053"/>
      <c r="HV127" s="2053"/>
      <c r="HW127" s="2053"/>
      <c r="HX127" s="2053"/>
      <c r="HY127" s="2053"/>
      <c r="HZ127" s="2053"/>
      <c r="IA127" s="2053"/>
      <c r="IB127" s="2053"/>
      <c r="IC127" s="2053"/>
      <c r="ID127" s="2053"/>
      <c r="IE127" s="2053"/>
      <c r="IF127" s="2053"/>
      <c r="IG127" s="2053"/>
      <c r="IH127" s="2053"/>
      <c r="II127" s="2053"/>
      <c r="IJ127" s="2053"/>
      <c r="IK127" s="2053"/>
      <c r="IL127" s="2053"/>
      <c r="IM127" s="2053"/>
      <c r="IN127" s="2053"/>
      <c r="IO127" s="2053"/>
      <c r="IP127" s="2053"/>
      <c r="IQ127" s="2053"/>
      <c r="IR127" s="2053"/>
      <c r="IS127" s="2053"/>
      <c r="IT127" s="2053"/>
      <c r="IU127" s="2053"/>
      <c r="IV127" s="2053"/>
      <c r="IW127" s="2053"/>
      <c r="IX127" s="2053"/>
      <c r="IY127" s="2053"/>
      <c r="IZ127" s="2053"/>
      <c r="JA127" s="2053"/>
      <c r="JB127" s="2053"/>
      <c r="JC127" s="2053"/>
      <c r="JD127" s="3144"/>
      <c r="JE127" s="3144"/>
      <c r="JF127" s="3144"/>
      <c r="JG127" s="1578"/>
      <c r="JH127" s="1367"/>
      <c r="JI127" s="1390"/>
    </row>
    <row ht="12.75" r="128" spans="1:269" thickBot="1" x14ac:dyDescent="0.25">
      <c r="A128" s="1128">
        <v>20</v>
      </c>
      <c r="B128" s="1356"/>
      <c r="C128" s="1581" t="s">
        <v>3876</v>
      </c>
      <c r="D128" s="1582" t="s">
        <v>2482</v>
      </c>
      <c r="E128" s="1583"/>
      <c r="F128" s="1583"/>
      <c r="G128" s="1583"/>
      <c r="H128" s="1583"/>
      <c r="I128" s="1583"/>
      <c r="J128" s="1583"/>
      <c r="K128" s="1583"/>
      <c r="L128" s="1583"/>
      <c r="M128" s="1583"/>
      <c r="N128" s="1583"/>
      <c r="O128" s="1911"/>
      <c r="P128" s="1911"/>
      <c r="Q128" s="2078"/>
      <c r="R128" s="2078"/>
      <c r="S128" s="2078"/>
      <c r="T128" s="2078"/>
      <c r="U128" s="2078"/>
      <c r="V128" s="2078"/>
      <c r="W128" s="2078"/>
      <c r="X128" s="2078"/>
      <c r="Y128" s="2078"/>
      <c r="Z128" s="2078"/>
      <c r="AA128" s="2078"/>
      <c r="AB128" s="2078"/>
      <c r="AC128" s="2078"/>
      <c r="AD128" s="2078"/>
      <c r="AE128" s="2078"/>
      <c r="AF128" s="2078"/>
      <c r="AG128" s="2078"/>
      <c r="AH128" s="2078"/>
      <c r="AI128" s="2078"/>
      <c r="AJ128" s="2078"/>
      <c r="AK128" s="2078"/>
      <c r="AL128" s="2078"/>
      <c r="AM128" s="2078"/>
      <c r="AN128" s="2078"/>
      <c r="AO128" s="2078"/>
      <c r="AP128" s="2078"/>
      <c r="AQ128" s="2078"/>
      <c r="AR128" s="2078"/>
      <c r="AS128" s="2078"/>
      <c r="AT128" s="2078"/>
      <c r="AU128" s="2078"/>
      <c r="AV128" s="2078"/>
      <c r="AW128" s="2078"/>
      <c r="AX128" s="2078"/>
      <c r="AY128" s="2078"/>
      <c r="AZ128" s="2078"/>
      <c r="BA128" s="2078"/>
      <c r="BB128" s="2078"/>
      <c r="BC128" s="2078"/>
      <c r="BD128" s="2078"/>
      <c r="BE128" s="2078"/>
      <c r="BF128" s="2078"/>
      <c r="BG128" s="2078"/>
      <c r="BH128" s="2078"/>
      <c r="BI128" s="2078"/>
      <c r="BJ128" s="2078"/>
      <c r="BK128" s="2078"/>
      <c r="BL128" s="2078"/>
      <c r="BM128" s="2078"/>
      <c r="BN128" s="2078"/>
      <c r="BO128" s="2078"/>
      <c r="BP128" s="2078"/>
      <c r="BQ128" s="2078"/>
      <c r="BR128" s="2078"/>
      <c r="BS128" s="2078"/>
      <c r="BT128" s="2078"/>
      <c r="BU128" s="2078"/>
      <c r="BV128" s="2078"/>
      <c r="BW128" s="2078"/>
      <c r="BX128" s="2078"/>
      <c r="BY128" s="2078"/>
      <c r="BZ128" s="2078"/>
      <c r="CA128" s="2078"/>
      <c r="CB128" s="2078"/>
      <c r="CC128" s="2078"/>
      <c r="CD128" s="2078"/>
      <c r="CE128" s="2078"/>
      <c r="CF128" s="2078"/>
      <c r="CG128" s="2078"/>
      <c r="CH128" s="2078"/>
      <c r="CI128" s="2078"/>
      <c r="CJ128" s="2078"/>
      <c r="CK128" s="2078"/>
      <c r="CL128" s="2078"/>
      <c r="CM128" s="2078"/>
      <c r="CN128" s="2078"/>
      <c r="CO128" s="2078"/>
      <c r="CP128" s="2078"/>
      <c r="CQ128" s="2078"/>
      <c r="CR128" s="2078"/>
      <c r="CS128" s="2078"/>
      <c r="CT128" s="2078"/>
      <c r="CU128" s="2078"/>
      <c r="CV128" s="2078"/>
      <c r="CW128" s="2078"/>
      <c r="CX128" s="2078"/>
      <c r="CY128" s="2078"/>
      <c r="CZ128" s="2078"/>
      <c r="DA128" s="2078"/>
      <c r="DB128" s="2078"/>
      <c r="DC128" s="2078"/>
      <c r="DD128" s="2078"/>
      <c r="DE128" s="2078"/>
      <c r="DF128" s="2078"/>
      <c r="DG128" s="2078"/>
      <c r="DH128" s="2078"/>
      <c r="DI128" s="2078"/>
      <c r="DJ128" s="2078"/>
      <c r="DK128" s="2078"/>
      <c r="DL128" s="2078"/>
      <c r="DM128" s="2078"/>
      <c r="DN128" s="2078"/>
      <c r="DO128" s="2078"/>
      <c r="DP128" s="2078"/>
      <c r="DQ128" s="2078"/>
      <c r="DR128" s="2078"/>
      <c r="DS128" s="2078"/>
      <c r="DT128" s="2078"/>
      <c r="DU128" s="2078"/>
      <c r="DV128" s="2078"/>
      <c r="DW128" s="2078"/>
      <c r="DX128" s="2078"/>
      <c r="DY128" s="2078"/>
      <c r="DZ128" s="2078"/>
      <c r="EA128" s="2078"/>
      <c r="EB128" s="2078"/>
      <c r="EC128" s="2078"/>
      <c r="ED128" s="2078"/>
      <c r="EE128" s="2078"/>
      <c r="EF128" s="2078"/>
      <c r="EG128" s="2078"/>
      <c r="EH128" s="2078"/>
      <c r="EI128" s="2078"/>
      <c r="EJ128" s="2078"/>
      <c r="EK128" s="2078"/>
      <c r="EL128" s="2078"/>
      <c r="EM128" s="2078"/>
      <c r="EN128" s="2078"/>
      <c r="EO128" s="2078"/>
      <c r="EP128" s="2078"/>
      <c r="EQ128" s="2078"/>
      <c r="ER128" s="2078"/>
      <c r="ES128" s="2078"/>
      <c r="ET128" s="2078"/>
      <c r="EU128" s="2078"/>
      <c r="EV128" s="2078"/>
      <c r="EW128" s="2078"/>
      <c r="EX128" s="2078"/>
      <c r="EY128" s="2078"/>
      <c r="EZ128" s="2078"/>
      <c r="FA128" s="2078"/>
      <c r="FB128" s="2078"/>
      <c r="FC128" s="2078"/>
      <c r="FD128" s="2078"/>
      <c r="FE128" s="2078"/>
      <c r="FF128" s="2078"/>
      <c r="FG128" s="2078"/>
      <c r="FH128" s="2078"/>
      <c r="FI128" s="2078"/>
      <c r="FJ128" s="2078"/>
      <c r="FK128" s="2078"/>
      <c r="FL128" s="2078"/>
      <c r="FM128" s="2078"/>
      <c r="FN128" s="2078"/>
      <c r="FO128" s="2078"/>
      <c r="FP128" s="2078"/>
      <c r="FQ128" s="2078"/>
      <c r="FR128" s="2078"/>
      <c r="FS128" s="2078"/>
      <c r="FT128" s="2078"/>
      <c r="FU128" s="2078"/>
      <c r="FV128" s="2078"/>
      <c r="FW128" s="2078"/>
      <c r="FX128" s="2078"/>
      <c r="FY128" s="2078"/>
      <c r="FZ128" s="2078"/>
      <c r="GA128" s="2078"/>
      <c r="GB128" s="2078"/>
      <c r="GC128" s="2078"/>
      <c r="GD128" s="2078"/>
      <c r="GE128" s="2078"/>
      <c r="GF128" s="2078"/>
      <c r="GG128" s="2078"/>
      <c r="GH128" s="2078"/>
      <c r="GI128" s="2078"/>
      <c r="GJ128" s="2078"/>
      <c r="GK128" s="2078"/>
      <c r="GL128" s="2078"/>
      <c r="GM128" s="2078"/>
      <c r="GN128" s="2078"/>
      <c r="GO128" s="2078"/>
      <c r="GP128" s="2078"/>
      <c r="GQ128" s="2078"/>
      <c r="GR128" s="2078"/>
      <c r="GS128" s="2078"/>
      <c r="GT128" s="2078"/>
      <c r="GU128" s="2078"/>
      <c r="GV128" s="2078"/>
      <c r="GW128" s="2078"/>
      <c r="GX128" s="2078"/>
      <c r="GY128" s="2078"/>
      <c r="GZ128" s="2078"/>
      <c r="HA128" s="2078"/>
      <c r="HB128" s="2078"/>
      <c r="HC128" s="2078"/>
      <c r="HD128" s="2078"/>
      <c r="HE128" s="2078"/>
      <c r="HF128" s="2078"/>
      <c r="HG128" s="2078"/>
      <c r="HH128" s="2078"/>
      <c r="HI128" s="2078"/>
      <c r="HJ128" s="2078"/>
      <c r="HK128" s="2078"/>
      <c r="HL128" s="2078"/>
      <c r="HM128" s="2078"/>
      <c r="HN128" s="2078"/>
      <c r="HO128" s="2078"/>
      <c r="HP128" s="2078"/>
      <c r="HQ128" s="2078"/>
      <c r="HR128" s="2078"/>
      <c r="HS128" s="2078"/>
      <c r="HT128" s="2078"/>
      <c r="HU128" s="2078"/>
      <c r="HV128" s="2078"/>
      <c r="HW128" s="2078"/>
      <c r="HX128" s="2078"/>
      <c r="HY128" s="2078"/>
      <c r="HZ128" s="2078"/>
      <c r="IA128" s="2078"/>
      <c r="IB128" s="2078"/>
      <c r="IC128" s="2078"/>
      <c r="ID128" s="2078"/>
      <c r="IE128" s="2078"/>
      <c r="IF128" s="2078"/>
      <c r="IG128" s="2078"/>
      <c r="IH128" s="2078"/>
      <c r="II128" s="2078"/>
      <c r="IJ128" s="2078"/>
      <c r="IK128" s="2078"/>
      <c r="IL128" s="2078"/>
      <c r="IM128" s="2078"/>
      <c r="IN128" s="2078"/>
      <c r="IO128" s="2078"/>
      <c r="IP128" s="2078"/>
      <c r="IQ128" s="2078"/>
      <c r="IR128" s="2078"/>
      <c r="IS128" s="2078"/>
      <c r="IT128" s="2078"/>
      <c r="IU128" s="2078"/>
      <c r="IV128" s="2078"/>
      <c r="IW128" s="2078"/>
      <c r="IX128" s="2078"/>
      <c r="IY128" s="2078"/>
      <c r="IZ128" s="2078"/>
      <c r="JA128" s="2078"/>
      <c r="JB128" s="2078"/>
      <c r="JC128" s="2078"/>
      <c r="JD128" s="2078"/>
      <c r="JE128" s="2078"/>
      <c r="JF128" s="2078"/>
      <c r="JG128" s="1584"/>
      <c r="JH128" s="1367"/>
      <c r="JI128" s="1390"/>
    </row>
    <row ht="12.75" r="129" spans="1:270" thickBot="1" x14ac:dyDescent="0.25"/>
    <row r="130" spans="1:270" x14ac:dyDescent="0.2">
      <c r="A130" s="1128" t="s">
        <v>4479</v>
      </c>
      <c r="B130" s="1101" t="str">
        <f>"selected "&amp;NI2_IND-1</f>
        <v>selected 10</v>
      </c>
      <c r="C130" s="854" t="s">
        <v>4564</v>
      </c>
      <c r="D130" s="1141"/>
      <c r="E130" s="634">
        <v>1</v>
      </c>
      <c r="F130" s="634">
        <v>2</v>
      </c>
      <c r="G130" s="635">
        <v>3</v>
      </c>
      <c r="H130" s="635">
        <v>4</v>
      </c>
      <c r="I130" s="635">
        <v>5</v>
      </c>
      <c r="J130" s="635">
        <v>6</v>
      </c>
      <c r="K130" s="635">
        <v>7</v>
      </c>
      <c r="L130" s="635">
        <v>8</v>
      </c>
      <c r="M130" s="635">
        <v>9</v>
      </c>
      <c r="N130" s="635">
        <v>10</v>
      </c>
      <c r="O130" s="1880">
        <v>11</v>
      </c>
      <c r="P130" s="2029">
        <v>12</v>
      </c>
      <c r="Q130" s="1880">
        <v>13</v>
      </c>
      <c r="R130" s="2029">
        <v>14</v>
      </c>
      <c r="S130" s="1880">
        <v>15</v>
      </c>
      <c r="T130" s="2029">
        <v>16</v>
      </c>
      <c r="U130" s="1880">
        <v>17</v>
      </c>
      <c r="V130" s="2029">
        <v>18</v>
      </c>
      <c r="W130" s="1880">
        <v>19</v>
      </c>
      <c r="X130" s="2029">
        <v>20</v>
      </c>
      <c r="Y130" s="1880">
        <v>21</v>
      </c>
      <c r="Z130" s="2029">
        <v>22</v>
      </c>
      <c r="AA130" s="1880">
        <v>23</v>
      </c>
      <c r="AB130" s="2029">
        <v>24</v>
      </c>
      <c r="AC130" s="1880">
        <v>25</v>
      </c>
      <c r="AD130" s="2029">
        <v>26</v>
      </c>
      <c r="AE130" s="1880">
        <v>27</v>
      </c>
      <c r="AF130" s="2029">
        <v>28</v>
      </c>
      <c r="AG130" s="1880">
        <v>29</v>
      </c>
      <c r="AH130" s="2029">
        <v>30</v>
      </c>
      <c r="AI130" s="1880">
        <v>31</v>
      </c>
      <c r="AJ130" s="2029">
        <v>32</v>
      </c>
      <c r="AK130" s="1880">
        <v>33</v>
      </c>
      <c r="AL130" s="2029">
        <v>34</v>
      </c>
      <c r="AM130" s="1880">
        <v>35</v>
      </c>
      <c r="AN130" s="2029">
        <v>36</v>
      </c>
      <c r="AO130" s="1880">
        <v>37</v>
      </c>
      <c r="AP130" s="2029">
        <v>38</v>
      </c>
      <c r="AQ130" s="1880">
        <v>39</v>
      </c>
      <c r="AR130" s="2029">
        <v>40</v>
      </c>
      <c r="AS130" s="1880">
        <v>41</v>
      </c>
      <c r="AT130" s="2029">
        <v>42</v>
      </c>
      <c r="AU130" s="1880">
        <v>43</v>
      </c>
      <c r="AV130" s="2029">
        <v>44</v>
      </c>
      <c r="AW130" s="1880">
        <v>45</v>
      </c>
      <c r="AX130" s="2029">
        <v>46</v>
      </c>
      <c r="AY130" s="1880">
        <v>47</v>
      </c>
      <c r="AZ130" s="2029">
        <v>48</v>
      </c>
      <c r="BA130" s="1880">
        <v>49</v>
      </c>
      <c r="BB130" s="2029">
        <v>50</v>
      </c>
      <c r="BC130" s="1880">
        <v>51</v>
      </c>
      <c r="BD130" s="2029">
        <v>52</v>
      </c>
      <c r="BE130" s="1880">
        <v>53</v>
      </c>
      <c r="BF130" s="2029">
        <v>54</v>
      </c>
      <c r="BG130" s="1880">
        <v>55</v>
      </c>
      <c r="BH130" s="2029">
        <v>56</v>
      </c>
      <c r="BI130" s="1880">
        <v>57</v>
      </c>
      <c r="BJ130" s="2029">
        <v>58</v>
      </c>
      <c r="BK130" s="1880">
        <v>59</v>
      </c>
      <c r="BL130" s="2029">
        <v>60</v>
      </c>
      <c r="BM130" s="1880">
        <v>61</v>
      </c>
      <c r="BN130" s="2029">
        <v>62</v>
      </c>
      <c r="BO130" s="1880">
        <v>63</v>
      </c>
      <c r="BP130" s="2029">
        <v>64</v>
      </c>
      <c r="BQ130" s="1880">
        <v>65</v>
      </c>
      <c r="BR130" s="2029">
        <v>66</v>
      </c>
      <c r="BS130" s="1880">
        <v>67</v>
      </c>
      <c r="BT130" s="2029">
        <v>68</v>
      </c>
      <c r="BU130" s="1880">
        <v>69</v>
      </c>
      <c r="BV130" s="2029">
        <v>70</v>
      </c>
      <c r="BW130" s="1880">
        <v>71</v>
      </c>
      <c r="BX130" s="2029">
        <v>72</v>
      </c>
      <c r="BY130" s="1880">
        <v>73</v>
      </c>
      <c r="BZ130" s="2029">
        <v>74</v>
      </c>
      <c r="CA130" s="1880">
        <v>75</v>
      </c>
      <c r="CB130" s="2029">
        <v>76</v>
      </c>
      <c r="CC130" s="1880">
        <v>77</v>
      </c>
      <c r="CD130" s="2029">
        <v>78</v>
      </c>
      <c r="CE130" s="1880">
        <v>79</v>
      </c>
      <c r="CF130" s="2029">
        <v>80</v>
      </c>
      <c r="CG130" s="1880">
        <v>81</v>
      </c>
      <c r="CH130" s="2029">
        <v>82</v>
      </c>
      <c r="CI130" s="1880">
        <v>83</v>
      </c>
      <c r="CJ130" s="2029">
        <v>84</v>
      </c>
      <c r="CK130" s="1880">
        <v>85</v>
      </c>
      <c r="CL130" s="2029">
        <v>86</v>
      </c>
      <c r="CM130" s="1880">
        <v>87</v>
      </c>
      <c r="CN130" s="2029">
        <v>88</v>
      </c>
      <c r="CO130" s="1880">
        <v>89</v>
      </c>
      <c r="CP130" s="2029">
        <v>90</v>
      </c>
      <c r="CQ130" s="1880">
        <v>91</v>
      </c>
      <c r="CR130" s="2029">
        <v>92</v>
      </c>
      <c r="CS130" s="1880">
        <v>93</v>
      </c>
      <c r="CT130" s="2029">
        <v>94</v>
      </c>
      <c r="CU130" s="1880">
        <v>95</v>
      </c>
      <c r="CV130" s="2029">
        <v>96</v>
      </c>
      <c r="CW130" s="1880">
        <v>97</v>
      </c>
      <c r="CX130" s="2029">
        <v>98</v>
      </c>
      <c r="CY130" s="1880">
        <v>99</v>
      </c>
      <c r="CZ130" s="2029">
        <v>100</v>
      </c>
      <c r="DA130" s="1880">
        <v>101</v>
      </c>
      <c r="DB130" s="2029">
        <v>102</v>
      </c>
      <c r="DC130" s="1880">
        <v>103</v>
      </c>
      <c r="DD130" s="2029">
        <v>104</v>
      </c>
      <c r="DE130" s="1880">
        <v>105</v>
      </c>
      <c r="DF130" s="2029">
        <v>106</v>
      </c>
      <c r="DG130" s="1880">
        <v>107</v>
      </c>
      <c r="DH130" s="2029">
        <v>108</v>
      </c>
      <c r="DI130" s="1880">
        <v>109</v>
      </c>
      <c r="DJ130" s="2029">
        <v>110</v>
      </c>
      <c r="DK130" s="1880">
        <v>111</v>
      </c>
      <c r="DL130" s="2029">
        <v>112</v>
      </c>
      <c r="DM130" s="1880">
        <v>113</v>
      </c>
      <c r="DN130" s="2029">
        <v>114</v>
      </c>
      <c r="DO130" s="1880">
        <v>115</v>
      </c>
      <c r="DP130" s="2029">
        <v>116</v>
      </c>
      <c r="DQ130" s="1880">
        <v>117</v>
      </c>
      <c r="DR130" s="2029">
        <v>118</v>
      </c>
      <c r="DS130" s="1880">
        <v>119</v>
      </c>
      <c r="DT130" s="2029">
        <v>120</v>
      </c>
      <c r="DU130" s="1880">
        <v>121</v>
      </c>
      <c r="DV130" s="2029">
        <v>122</v>
      </c>
      <c r="DW130" s="1880">
        <v>123</v>
      </c>
      <c r="DX130" s="2029">
        <v>124</v>
      </c>
      <c r="DY130" s="1880">
        <v>125</v>
      </c>
      <c r="DZ130" s="2029">
        <v>126</v>
      </c>
      <c r="EA130" s="1880">
        <v>127</v>
      </c>
      <c r="EB130" s="2029">
        <v>128</v>
      </c>
      <c r="EC130" s="1880">
        <v>129</v>
      </c>
      <c r="ED130" s="2029">
        <v>130</v>
      </c>
      <c r="EE130" s="1880">
        <v>131</v>
      </c>
      <c r="EF130" s="2029">
        <v>132</v>
      </c>
      <c r="EG130" s="1880">
        <v>133</v>
      </c>
      <c r="EH130" s="2029">
        <v>134</v>
      </c>
      <c r="EI130" s="1880">
        <v>135</v>
      </c>
      <c r="EJ130" s="2029">
        <v>136</v>
      </c>
      <c r="EK130" s="1880">
        <v>137</v>
      </c>
      <c r="EL130" s="2029">
        <v>138</v>
      </c>
      <c r="EM130" s="1880">
        <v>139</v>
      </c>
      <c r="EN130" s="2029">
        <v>140</v>
      </c>
      <c r="EO130" s="1880">
        <v>141</v>
      </c>
      <c r="EP130" s="2029">
        <v>142</v>
      </c>
      <c r="EQ130" s="1880">
        <v>143</v>
      </c>
      <c r="ER130" s="2029">
        <v>144</v>
      </c>
      <c r="ES130" s="1880">
        <v>145</v>
      </c>
      <c r="ET130" s="2029">
        <v>146</v>
      </c>
      <c r="EU130" s="1880">
        <v>147</v>
      </c>
      <c r="EV130" s="2029">
        <v>148</v>
      </c>
      <c r="EW130" s="1880">
        <v>149</v>
      </c>
      <c r="EX130" s="2029">
        <v>150</v>
      </c>
      <c r="EY130" s="1880">
        <v>151</v>
      </c>
      <c r="EZ130" s="2029">
        <v>152</v>
      </c>
      <c r="FA130" s="1880">
        <v>153</v>
      </c>
      <c r="FB130" s="2029">
        <v>154</v>
      </c>
      <c r="FC130" s="1880">
        <v>155</v>
      </c>
      <c r="FD130" s="2029">
        <v>156</v>
      </c>
      <c r="FE130" s="1880">
        <v>157</v>
      </c>
      <c r="FF130" s="2029">
        <v>158</v>
      </c>
      <c r="FG130" s="1880">
        <v>159</v>
      </c>
      <c r="FH130" s="2029">
        <v>160</v>
      </c>
      <c r="FI130" s="1880">
        <v>161</v>
      </c>
      <c r="FJ130" s="2029">
        <v>162</v>
      </c>
      <c r="FK130" s="1880">
        <v>163</v>
      </c>
      <c r="FL130" s="2029">
        <v>164</v>
      </c>
      <c r="FM130" s="1880">
        <v>165</v>
      </c>
      <c r="FN130" s="2029">
        <v>166</v>
      </c>
      <c r="FO130" s="1880">
        <v>167</v>
      </c>
      <c r="FP130" s="2029">
        <v>168</v>
      </c>
      <c r="FQ130" s="1880">
        <v>169</v>
      </c>
      <c r="FR130" s="2029">
        <v>170</v>
      </c>
      <c r="FS130" s="1880">
        <v>171</v>
      </c>
      <c r="FT130" s="2029">
        <v>172</v>
      </c>
      <c r="FU130" s="1880">
        <v>173</v>
      </c>
      <c r="FV130" s="2029">
        <v>174</v>
      </c>
      <c r="FW130" s="1880">
        <v>175</v>
      </c>
      <c r="FX130" s="2029">
        <v>176</v>
      </c>
      <c r="FY130" s="1880">
        <v>177</v>
      </c>
      <c r="FZ130" s="2029">
        <v>178</v>
      </c>
      <c r="GA130" s="1880">
        <v>179</v>
      </c>
      <c r="GB130" s="2029">
        <v>180</v>
      </c>
      <c r="GC130" s="1880">
        <v>181</v>
      </c>
      <c r="GD130" s="2029">
        <v>182</v>
      </c>
      <c r="GE130" s="1880">
        <v>183</v>
      </c>
      <c r="GF130" s="2029">
        <v>184</v>
      </c>
      <c r="GG130" s="1880">
        <v>185</v>
      </c>
      <c r="GH130" s="2029">
        <v>186</v>
      </c>
      <c r="GI130" s="1880">
        <v>187</v>
      </c>
      <c r="GJ130" s="2029">
        <v>188</v>
      </c>
      <c r="GK130" s="1880">
        <v>189</v>
      </c>
      <c r="GL130" s="2029">
        <v>190</v>
      </c>
      <c r="GM130" s="1880">
        <v>191</v>
      </c>
      <c r="GN130" s="2029">
        <v>192</v>
      </c>
      <c r="GO130" s="1880">
        <v>193</v>
      </c>
      <c r="GP130" s="2029">
        <v>194</v>
      </c>
      <c r="GQ130" s="1880">
        <v>195</v>
      </c>
      <c r="GR130" s="2029">
        <v>196</v>
      </c>
      <c r="GS130" s="1880">
        <v>197</v>
      </c>
      <c r="GT130" s="2029">
        <v>198</v>
      </c>
      <c r="GU130" s="1880">
        <v>199</v>
      </c>
      <c r="GV130" s="2029">
        <v>200</v>
      </c>
      <c r="GW130" s="1880">
        <v>201</v>
      </c>
      <c r="GX130" s="2029">
        <v>202</v>
      </c>
      <c r="GY130" s="1880">
        <v>203</v>
      </c>
      <c r="GZ130" s="2029">
        <v>204</v>
      </c>
      <c r="HA130" s="1880">
        <v>205</v>
      </c>
      <c r="HB130" s="2029">
        <v>206</v>
      </c>
      <c r="HC130" s="1880">
        <v>207</v>
      </c>
      <c r="HD130" s="2029">
        <v>208</v>
      </c>
      <c r="HE130" s="1880">
        <v>209</v>
      </c>
      <c r="HF130" s="2029">
        <v>210</v>
      </c>
      <c r="HG130" s="1880">
        <v>211</v>
      </c>
      <c r="HH130" s="2029">
        <v>212</v>
      </c>
      <c r="HI130" s="1880">
        <v>213</v>
      </c>
      <c r="HJ130" s="2029">
        <v>214</v>
      </c>
      <c r="HK130" s="1880">
        <v>215</v>
      </c>
      <c r="HL130" s="2029">
        <v>216</v>
      </c>
      <c r="HM130" s="1880">
        <v>217</v>
      </c>
      <c r="HN130" s="2029">
        <v>218</v>
      </c>
      <c r="HO130" s="1880">
        <v>219</v>
      </c>
      <c r="HP130" s="2029">
        <v>220</v>
      </c>
      <c r="HQ130" s="1880">
        <v>221</v>
      </c>
      <c r="HR130" s="2029">
        <v>222</v>
      </c>
      <c r="HS130" s="1880">
        <v>223</v>
      </c>
      <c r="HT130" s="2029">
        <v>224</v>
      </c>
      <c r="HU130" s="1880">
        <v>225</v>
      </c>
      <c r="HV130" s="2029">
        <v>226</v>
      </c>
      <c r="HW130" s="1880">
        <v>227</v>
      </c>
      <c r="HX130" s="2029">
        <v>228</v>
      </c>
      <c r="HY130" s="1880">
        <v>229</v>
      </c>
      <c r="HZ130" s="2029">
        <v>230</v>
      </c>
      <c r="IA130" s="1880">
        <v>231</v>
      </c>
      <c r="IB130" s="2029">
        <v>232</v>
      </c>
      <c r="IC130" s="1880">
        <v>233</v>
      </c>
      <c r="ID130" s="2029">
        <v>234</v>
      </c>
      <c r="IE130" s="1880">
        <v>235</v>
      </c>
      <c r="IF130" s="2029">
        <v>236</v>
      </c>
      <c r="IG130" s="1880">
        <v>237</v>
      </c>
      <c r="IH130" s="2029">
        <v>238</v>
      </c>
      <c r="II130" s="1880">
        <v>239</v>
      </c>
      <c r="IJ130" s="2029">
        <v>240</v>
      </c>
      <c r="IK130" s="1880">
        <v>241</v>
      </c>
      <c r="IL130" s="2029">
        <v>242</v>
      </c>
      <c r="IM130" s="1880">
        <v>243</v>
      </c>
      <c r="IN130" s="2029">
        <v>244</v>
      </c>
      <c r="IO130" s="1880">
        <v>245</v>
      </c>
      <c r="IP130" s="2029">
        <v>246</v>
      </c>
      <c r="IQ130" s="1880">
        <v>247</v>
      </c>
      <c r="IR130" s="2029">
        <v>248</v>
      </c>
      <c r="IS130" s="1880">
        <v>249</v>
      </c>
      <c r="IT130" s="2029">
        <v>250</v>
      </c>
      <c r="IU130" s="1880">
        <v>251</v>
      </c>
      <c r="IV130" s="1880">
        <v>252</v>
      </c>
      <c r="IW130" s="1880">
        <v>253</v>
      </c>
      <c r="IX130" s="2029">
        <v>254</v>
      </c>
      <c r="IY130" s="1880">
        <v>255</v>
      </c>
      <c r="IZ130" s="2029">
        <v>256</v>
      </c>
      <c r="JA130" s="1880">
        <v>257</v>
      </c>
      <c r="JB130" s="2029">
        <v>258</v>
      </c>
      <c r="JC130" s="1880">
        <v>259</v>
      </c>
      <c r="JD130" s="1134">
        <v>260</v>
      </c>
      <c r="JE130" s="1134">
        <v>261</v>
      </c>
      <c r="JF130" s="1134">
        <v>262</v>
      </c>
      <c r="JG130" s="2485">
        <v>263</v>
      </c>
      <c r="JH130" s="1367"/>
      <c r="JJ130" s="1573" t="s">
        <v>6104</v>
      </c>
    </row>
    <row ht="22.5" r="131" spans="1:270" x14ac:dyDescent="0.2">
      <c r="A131" s="1128">
        <v>2</v>
      </c>
      <c r="B131" s="678">
        <f>IF(NI2_IND&gt;1,IF(HLOOKUP(NI2_IND-1,NI2_RANGE,A131)="","",HLOOKUP(NI2_IND-1,NI2_RANGE,A131)),"")</f>
        <v>117</v>
      </c>
      <c r="C131" s="676" t="s">
        <v>4444</v>
      </c>
      <c r="D131" s="1139"/>
      <c r="E131" s="1094"/>
      <c r="F131" s="1096">
        <f>IF(NIC_ex_set,0,52*NIC2SF_weekamt)</f>
        <v>189.79999999999998</v>
      </c>
      <c r="G131" s="1096">
        <f>IF(NIC_ex_set,0,51*NIC2SF_weekamt)</f>
        <v>186.15</v>
      </c>
      <c r="H131" s="1095">
        <f>IF(NIC_ex_set,0,52*NIC2_weekamt)</f>
        <v>156</v>
      </c>
      <c r="I131" s="1095">
        <f>IF(NIC_ex_set,0,51*NIC2_weekamt)</f>
        <v>153</v>
      </c>
      <c r="J131" s="1095">
        <f>IF(NIC_ex_set,0,50*NIC2_weekamt)</f>
        <v>150</v>
      </c>
      <c r="K131" s="1095">
        <f>IF(NIC_ex_set,0,23*NIC2_weekamt)</f>
        <v>69</v>
      </c>
      <c r="L131" s="1095">
        <f>IF(NIC_ex_set,0,25*NIC2_weekamt)</f>
        <v>75</v>
      </c>
      <c r="M131" s="1095">
        <f>IF(NIC_ex_set,0,28*NIC2_weekamt)</f>
        <v>84</v>
      </c>
      <c r="N131" s="1095">
        <f>IF(NIC_ex_set,0,39*NIC2_weekamt)</f>
        <v>117</v>
      </c>
      <c r="O131" s="1912">
        <f>IF(NIC_ex_set,0,31*NIC2_weekamt)</f>
        <v>93</v>
      </c>
      <c r="P131" s="2055"/>
      <c r="Q131" s="2055"/>
      <c r="R131" s="2055"/>
      <c r="S131" s="2055"/>
      <c r="T131" s="3344"/>
      <c r="U131" s="3344"/>
      <c r="V131" s="3344"/>
      <c r="W131" s="3344"/>
      <c r="X131" s="3344"/>
      <c r="Y131" s="3344"/>
      <c r="Z131" s="3344"/>
      <c r="AA131" s="3344"/>
      <c r="AB131" s="3344"/>
      <c r="AC131" s="3344"/>
      <c r="AD131" s="3344"/>
      <c r="AE131" s="3344"/>
      <c r="AF131" s="3344"/>
      <c r="AG131" s="3344"/>
      <c r="AH131" s="3344"/>
      <c r="AI131" s="3344"/>
      <c r="AJ131" s="3344"/>
      <c r="AK131" s="3344"/>
      <c r="AL131" s="3344"/>
      <c r="AM131" s="3344"/>
      <c r="AN131" s="3344"/>
      <c r="AO131" s="3344"/>
      <c r="AP131" s="3344"/>
      <c r="AQ131" s="3344"/>
      <c r="AR131" s="3344"/>
      <c r="AS131" s="3344"/>
      <c r="AT131" s="3344"/>
      <c r="AU131" s="3344"/>
      <c r="AV131" s="3344"/>
      <c r="AW131" s="3344"/>
      <c r="AX131" s="3344"/>
      <c r="AY131" s="3344"/>
      <c r="AZ131" s="3344"/>
      <c r="BA131" s="3344"/>
      <c r="BB131" s="3344"/>
      <c r="BC131" s="3344"/>
      <c r="BD131" s="3344"/>
      <c r="BE131" s="3344"/>
      <c r="BF131" s="3344"/>
      <c r="BG131" s="3344"/>
      <c r="BH131" s="3344"/>
      <c r="BI131" s="3344"/>
      <c r="BJ131" s="3344"/>
      <c r="BK131" s="3344"/>
      <c r="BL131" s="3344"/>
      <c r="BM131" s="3344"/>
      <c r="BN131" s="3344"/>
      <c r="BO131" s="3344"/>
      <c r="BP131" s="3344"/>
      <c r="BQ131" s="3344"/>
      <c r="BR131" s="3344"/>
      <c r="BS131" s="3344"/>
      <c r="BT131" s="3344"/>
      <c r="BU131" s="3344"/>
      <c r="BV131" s="3344"/>
      <c r="BW131" s="3344"/>
      <c r="BX131" s="3344"/>
      <c r="BY131" s="3344"/>
      <c r="BZ131" s="3344"/>
      <c r="CA131" s="3344"/>
      <c r="CB131" s="3344"/>
      <c r="CC131" s="3344"/>
      <c r="CD131" s="3344"/>
      <c r="CE131" s="3344"/>
      <c r="CF131" s="3344"/>
      <c r="CG131" s="3344"/>
      <c r="CH131" s="3344"/>
      <c r="CI131" s="3344"/>
      <c r="CJ131" s="3344"/>
      <c r="CK131" s="3344"/>
      <c r="CL131" s="3344"/>
      <c r="CM131" s="3344"/>
      <c r="CN131" s="3344"/>
      <c r="CO131" s="3344"/>
      <c r="CP131" s="3344"/>
      <c r="CQ131" s="3344"/>
      <c r="CR131" s="3344"/>
      <c r="CS131" s="3344"/>
      <c r="CT131" s="3344"/>
      <c r="CU131" s="3344"/>
      <c r="CV131" s="3344"/>
      <c r="CW131" s="3344"/>
      <c r="CX131" s="3344"/>
      <c r="CY131" s="3344"/>
      <c r="CZ131" s="3344"/>
      <c r="DA131" s="3344"/>
      <c r="DB131" s="3344"/>
      <c r="DC131" s="3344"/>
      <c r="DD131" s="3344"/>
      <c r="DE131" s="3344"/>
      <c r="DF131" s="3344"/>
      <c r="DG131" s="3344"/>
      <c r="DH131" s="3344"/>
      <c r="DI131" s="3344"/>
      <c r="DJ131" s="3344"/>
      <c r="DK131" s="3344"/>
      <c r="DL131" s="3344"/>
      <c r="DM131" s="3344"/>
      <c r="DN131" s="3344"/>
      <c r="DO131" s="3344"/>
      <c r="DP131" s="3344"/>
      <c r="DQ131" s="3344"/>
      <c r="DR131" s="3344"/>
      <c r="DS131" s="3344"/>
      <c r="DT131" s="3344"/>
      <c r="DU131" s="3344"/>
      <c r="DV131" s="3344"/>
      <c r="DW131" s="3344"/>
      <c r="DX131" s="3344"/>
      <c r="DY131" s="3344"/>
      <c r="DZ131" s="3344"/>
      <c r="EA131" s="3344"/>
      <c r="EB131" s="3344"/>
      <c r="EC131" s="3344"/>
      <c r="ED131" s="3344"/>
      <c r="EE131" s="3344"/>
      <c r="EF131" s="3344"/>
      <c r="EG131" s="3344"/>
      <c r="EH131" s="3344"/>
      <c r="EI131" s="3344"/>
      <c r="EJ131" s="3344"/>
      <c r="EK131" s="3344"/>
      <c r="EL131" s="3344"/>
      <c r="EM131" s="3344"/>
      <c r="EN131" s="3344"/>
      <c r="EO131" s="3344"/>
      <c r="EP131" s="3344"/>
      <c r="EQ131" s="3344"/>
      <c r="ER131" s="3344"/>
      <c r="ES131" s="3344"/>
      <c r="ET131" s="3344"/>
      <c r="EU131" s="3344"/>
      <c r="EV131" s="3344"/>
      <c r="EW131" s="3344"/>
      <c r="EX131" s="3344"/>
      <c r="EY131" s="3344"/>
      <c r="EZ131" s="3344"/>
      <c r="FA131" s="3344"/>
      <c r="FB131" s="3344"/>
      <c r="FC131" s="3344"/>
      <c r="FD131" s="3344"/>
      <c r="FE131" s="3344"/>
      <c r="FF131" s="3344"/>
      <c r="FG131" s="3344"/>
      <c r="FH131" s="3344"/>
      <c r="FI131" s="3344"/>
      <c r="FJ131" s="3344"/>
      <c r="FK131" s="3344"/>
      <c r="FL131" s="3344"/>
      <c r="FM131" s="3344"/>
      <c r="FN131" s="3344"/>
      <c r="FO131" s="3344"/>
      <c r="FP131" s="3344"/>
      <c r="FQ131" s="3344"/>
      <c r="FR131" s="3344"/>
      <c r="FS131" s="3344"/>
      <c r="FT131" s="3344"/>
      <c r="FU131" s="3344"/>
      <c r="FV131" s="3344"/>
      <c r="FW131" s="3344"/>
      <c r="FX131" s="3344"/>
      <c r="FY131" s="3344"/>
      <c r="FZ131" s="3344"/>
      <c r="GA131" s="3344"/>
      <c r="GB131" s="3344"/>
      <c r="GC131" s="3344"/>
      <c r="GD131" s="3344"/>
      <c r="GE131" s="3344"/>
      <c r="GF131" s="3344"/>
      <c r="GG131" s="3344"/>
      <c r="GH131" s="3344"/>
      <c r="GI131" s="3344"/>
      <c r="GJ131" s="3344"/>
      <c r="GK131" s="3344"/>
      <c r="GL131" s="3344"/>
      <c r="GM131" s="3344"/>
      <c r="GN131" s="3344"/>
      <c r="GO131" s="3344"/>
      <c r="GP131" s="3344"/>
      <c r="GQ131" s="3344"/>
      <c r="GR131" s="3344"/>
      <c r="GS131" s="3344"/>
      <c r="GT131" s="3344"/>
      <c r="GU131" s="3344"/>
      <c r="GV131" s="3344"/>
      <c r="GW131" s="3344"/>
      <c r="GX131" s="3344"/>
      <c r="GY131" s="3344"/>
      <c r="GZ131" s="3344"/>
      <c r="HA131" s="3344"/>
      <c r="HB131" s="3344"/>
      <c r="HC131" s="3344"/>
      <c r="HD131" s="3344"/>
      <c r="HE131" s="3344"/>
      <c r="HF131" s="3344"/>
      <c r="HG131" s="3344"/>
      <c r="HH131" s="3344"/>
      <c r="HI131" s="3344"/>
      <c r="HJ131" s="3344"/>
      <c r="HK131" s="3344"/>
      <c r="HL131" s="3344"/>
      <c r="HM131" s="3344"/>
      <c r="HN131" s="3344"/>
      <c r="HO131" s="3344"/>
      <c r="HP131" s="3344"/>
      <c r="HQ131" s="3344"/>
      <c r="HR131" s="3344"/>
      <c r="HS131" s="3344"/>
      <c r="HT131" s="3344"/>
      <c r="HU131" s="3344"/>
      <c r="HV131" s="3344"/>
      <c r="HW131" s="3344"/>
      <c r="HX131" s="3344"/>
      <c r="HY131" s="3344"/>
      <c r="HZ131" s="3344"/>
      <c r="IA131" s="3344"/>
      <c r="IB131" s="3344"/>
      <c r="IC131" s="3344"/>
      <c r="ID131" s="3344"/>
      <c r="IE131" s="3344"/>
      <c r="IF131" s="3344"/>
      <c r="IG131" s="3344"/>
      <c r="IH131" s="3344"/>
      <c r="II131" s="3344"/>
      <c r="IJ131" s="3344"/>
      <c r="IK131" s="3344"/>
      <c r="IL131" s="3344"/>
      <c r="IM131" s="3344"/>
      <c r="IN131" s="3344"/>
      <c r="IO131" s="3344"/>
      <c r="IP131" s="3344"/>
      <c r="IQ131" s="3344"/>
      <c r="IR131" s="3344"/>
      <c r="IS131" s="3344"/>
      <c r="IT131" s="3991"/>
      <c r="IU131" s="3344"/>
      <c r="IV131" s="3344"/>
      <c r="IW131" s="3344"/>
      <c r="IX131" s="3344"/>
      <c r="IY131" s="3344"/>
      <c r="IZ131" s="3344"/>
      <c r="JA131" s="3344"/>
      <c r="JB131" s="3344"/>
      <c r="JC131" s="3344"/>
      <c r="JD131" s="3344"/>
      <c r="JE131" s="3344"/>
      <c r="JF131" s="3344"/>
      <c r="JG131" s="1095"/>
      <c r="JH131" s="1367"/>
      <c r="JJ131" s="1730" t="s">
        <v>6108</v>
      </c>
    </row>
    <row r="132" spans="1:270" x14ac:dyDescent="0.2">
      <c r="A132" s="1128">
        <v>3</v>
      </c>
      <c r="B132" s="1130">
        <f>IF(NI2_IND&gt;1,IF(HLOOKUP(NI2_IND-1,NI2_RANGE,A132)="","",HLOOKUP(NI2_IND-1,NI2_RANGE,A132)),"")</f>
        <v>2</v>
      </c>
      <c r="C132" s="1102" t="s">
        <v>4573</v>
      </c>
      <c r="D132" s="1142"/>
      <c r="E132" s="1103">
        <v>1</v>
      </c>
      <c r="F132" s="1103">
        <v>3</v>
      </c>
      <c r="G132" s="1104">
        <v>3</v>
      </c>
      <c r="H132" s="1104">
        <v>2</v>
      </c>
      <c r="I132" s="1104">
        <v>2</v>
      </c>
      <c r="J132" s="1104">
        <v>2</v>
      </c>
      <c r="K132" s="1104">
        <v>2</v>
      </c>
      <c r="L132" s="1104">
        <v>2</v>
      </c>
      <c r="M132" s="1104">
        <v>2</v>
      </c>
      <c r="N132" s="1104">
        <v>2</v>
      </c>
      <c r="O132" s="1913">
        <v>2</v>
      </c>
      <c r="P132" s="2056"/>
      <c r="Q132" s="2056"/>
      <c r="R132" s="2056"/>
      <c r="S132" s="2056"/>
      <c r="T132" s="3345"/>
      <c r="U132" s="3345"/>
      <c r="V132" s="3345"/>
      <c r="W132" s="3345"/>
      <c r="X132" s="3345"/>
      <c r="Y132" s="3345"/>
      <c r="Z132" s="3345"/>
      <c r="AA132" s="3345"/>
      <c r="AB132" s="3345"/>
      <c r="AC132" s="3345"/>
      <c r="AD132" s="3345"/>
      <c r="AE132" s="3345"/>
      <c r="AF132" s="3345"/>
      <c r="AG132" s="3345"/>
      <c r="AH132" s="3345"/>
      <c r="AI132" s="3345"/>
      <c r="AJ132" s="3345"/>
      <c r="AK132" s="3345"/>
      <c r="AL132" s="3345"/>
      <c r="AM132" s="3345"/>
      <c r="AN132" s="3345"/>
      <c r="AO132" s="3345"/>
      <c r="AP132" s="3345"/>
      <c r="AQ132" s="3345"/>
      <c r="AR132" s="3345"/>
      <c r="AS132" s="3345"/>
      <c r="AT132" s="3345"/>
      <c r="AU132" s="3345"/>
      <c r="AV132" s="3345"/>
      <c r="AW132" s="3345"/>
      <c r="AX132" s="3345"/>
      <c r="AY132" s="3345"/>
      <c r="AZ132" s="3345"/>
      <c r="BA132" s="3345"/>
      <c r="BB132" s="3345"/>
      <c r="BC132" s="3345"/>
      <c r="BD132" s="3345"/>
      <c r="BE132" s="3345"/>
      <c r="BF132" s="3345"/>
      <c r="BG132" s="3345"/>
      <c r="BH132" s="3345"/>
      <c r="BI132" s="3345"/>
      <c r="BJ132" s="3345"/>
      <c r="BK132" s="3345"/>
      <c r="BL132" s="3345"/>
      <c r="BM132" s="3345"/>
      <c r="BN132" s="3345"/>
      <c r="BO132" s="3345"/>
      <c r="BP132" s="3345"/>
      <c r="BQ132" s="3345"/>
      <c r="BR132" s="3345"/>
      <c r="BS132" s="3345"/>
      <c r="BT132" s="3345"/>
      <c r="BU132" s="3345"/>
      <c r="BV132" s="3345"/>
      <c r="BW132" s="3345"/>
      <c r="BX132" s="3345"/>
      <c r="BY132" s="3345"/>
      <c r="BZ132" s="3345"/>
      <c r="CA132" s="3345"/>
      <c r="CB132" s="3345"/>
      <c r="CC132" s="3345"/>
      <c r="CD132" s="3345"/>
      <c r="CE132" s="3345"/>
      <c r="CF132" s="3345"/>
      <c r="CG132" s="3345"/>
      <c r="CH132" s="3345"/>
      <c r="CI132" s="3345"/>
      <c r="CJ132" s="3345"/>
      <c r="CK132" s="3345"/>
      <c r="CL132" s="3345"/>
      <c r="CM132" s="3345"/>
      <c r="CN132" s="3345"/>
      <c r="CO132" s="3345"/>
      <c r="CP132" s="3345"/>
      <c r="CQ132" s="3345"/>
      <c r="CR132" s="3345"/>
      <c r="CS132" s="3345"/>
      <c r="CT132" s="3345"/>
      <c r="CU132" s="3345"/>
      <c r="CV132" s="3345"/>
      <c r="CW132" s="3345"/>
      <c r="CX132" s="3345"/>
      <c r="CY132" s="3345"/>
      <c r="CZ132" s="3345"/>
      <c r="DA132" s="3345"/>
      <c r="DB132" s="3345"/>
      <c r="DC132" s="3345"/>
      <c r="DD132" s="3345"/>
      <c r="DE132" s="3345"/>
      <c r="DF132" s="3345"/>
      <c r="DG132" s="3345"/>
      <c r="DH132" s="3345"/>
      <c r="DI132" s="3345"/>
      <c r="DJ132" s="3345"/>
      <c r="DK132" s="3345"/>
      <c r="DL132" s="3345"/>
      <c r="DM132" s="3345"/>
      <c r="DN132" s="3345"/>
      <c r="DO132" s="3345"/>
      <c r="DP132" s="3345"/>
      <c r="DQ132" s="3345"/>
      <c r="DR132" s="3345"/>
      <c r="DS132" s="3345"/>
      <c r="DT132" s="3345"/>
      <c r="DU132" s="3345"/>
      <c r="DV132" s="3345"/>
      <c r="DW132" s="3345"/>
      <c r="DX132" s="3345"/>
      <c r="DY132" s="3345"/>
      <c r="DZ132" s="3345"/>
      <c r="EA132" s="3345"/>
      <c r="EB132" s="3345"/>
      <c r="EC132" s="3345"/>
      <c r="ED132" s="3345"/>
      <c r="EE132" s="3345"/>
      <c r="EF132" s="3345"/>
      <c r="EG132" s="3345"/>
      <c r="EH132" s="3345"/>
      <c r="EI132" s="3345"/>
      <c r="EJ132" s="3345"/>
      <c r="EK132" s="3345"/>
      <c r="EL132" s="3345"/>
      <c r="EM132" s="3345"/>
      <c r="EN132" s="3345"/>
      <c r="EO132" s="3345"/>
      <c r="EP132" s="3345"/>
      <c r="EQ132" s="3345"/>
      <c r="ER132" s="3345"/>
      <c r="ES132" s="3345"/>
      <c r="ET132" s="3345"/>
      <c r="EU132" s="3345"/>
      <c r="EV132" s="3345"/>
      <c r="EW132" s="3345"/>
      <c r="EX132" s="3345"/>
      <c r="EY132" s="3345"/>
      <c r="EZ132" s="3345"/>
      <c r="FA132" s="3345"/>
      <c r="FB132" s="3345"/>
      <c r="FC132" s="3345"/>
      <c r="FD132" s="3345"/>
      <c r="FE132" s="3345"/>
      <c r="FF132" s="3345"/>
      <c r="FG132" s="3345"/>
      <c r="FH132" s="3345"/>
      <c r="FI132" s="3345"/>
      <c r="FJ132" s="3345"/>
      <c r="FK132" s="3345"/>
      <c r="FL132" s="3345"/>
      <c r="FM132" s="3345"/>
      <c r="FN132" s="3345"/>
      <c r="FO132" s="3345"/>
      <c r="FP132" s="3345"/>
      <c r="FQ132" s="3345"/>
      <c r="FR132" s="3345"/>
      <c r="FS132" s="3345"/>
      <c r="FT132" s="3345"/>
      <c r="FU132" s="3345"/>
      <c r="FV132" s="3345"/>
      <c r="FW132" s="3345"/>
      <c r="FX132" s="3345"/>
      <c r="FY132" s="3345"/>
      <c r="FZ132" s="3345"/>
      <c r="GA132" s="3345"/>
      <c r="GB132" s="3345"/>
      <c r="GC132" s="3345"/>
      <c r="GD132" s="3345"/>
      <c r="GE132" s="3345"/>
      <c r="GF132" s="3345"/>
      <c r="GG132" s="3345"/>
      <c r="GH132" s="3345"/>
      <c r="GI132" s="3345"/>
      <c r="GJ132" s="3345"/>
      <c r="GK132" s="3345"/>
      <c r="GL132" s="3345"/>
      <c r="GM132" s="3345"/>
      <c r="GN132" s="3345"/>
      <c r="GO132" s="3345"/>
      <c r="GP132" s="3345"/>
      <c r="GQ132" s="3345"/>
      <c r="GR132" s="3345"/>
      <c r="GS132" s="3345"/>
      <c r="GT132" s="3345"/>
      <c r="GU132" s="3345"/>
      <c r="GV132" s="3345"/>
      <c r="GW132" s="3345"/>
      <c r="GX132" s="3345"/>
      <c r="GY132" s="3345"/>
      <c r="GZ132" s="3345"/>
      <c r="HA132" s="3345"/>
      <c r="HB132" s="3345"/>
      <c r="HC132" s="3345"/>
      <c r="HD132" s="3345"/>
      <c r="HE132" s="3345"/>
      <c r="HF132" s="3345"/>
      <c r="HG132" s="3345"/>
      <c r="HH132" s="3345"/>
      <c r="HI132" s="3345"/>
      <c r="HJ132" s="3345"/>
      <c r="HK132" s="3345"/>
      <c r="HL132" s="3345"/>
      <c r="HM132" s="3345"/>
      <c r="HN132" s="3345"/>
      <c r="HO132" s="3345"/>
      <c r="HP132" s="3345"/>
      <c r="HQ132" s="3345"/>
      <c r="HR132" s="3345"/>
      <c r="HS132" s="3345"/>
      <c r="HT132" s="3345"/>
      <c r="HU132" s="3345"/>
      <c r="HV132" s="3345"/>
      <c r="HW132" s="3345"/>
      <c r="HX132" s="3345"/>
      <c r="HY132" s="3345"/>
      <c r="HZ132" s="3345"/>
      <c r="IA132" s="3345"/>
      <c r="IB132" s="3345"/>
      <c r="IC132" s="3345"/>
      <c r="ID132" s="3345"/>
      <c r="IE132" s="3345"/>
      <c r="IF132" s="3345"/>
      <c r="IG132" s="3345"/>
      <c r="IH132" s="3345"/>
      <c r="II132" s="3345"/>
      <c r="IJ132" s="3345"/>
      <c r="IK132" s="3345"/>
      <c r="IL132" s="3345"/>
      <c r="IM132" s="3345"/>
      <c r="IN132" s="3345"/>
      <c r="IO132" s="3345"/>
      <c r="IP132" s="3345"/>
      <c r="IQ132" s="3345"/>
      <c r="IR132" s="3345"/>
      <c r="IS132" s="3345"/>
      <c r="IT132" s="3345"/>
      <c r="IU132" s="3345"/>
      <c r="IV132" s="3345"/>
      <c r="IW132" s="3345"/>
      <c r="IX132" s="3345"/>
      <c r="IY132" s="3345"/>
      <c r="IZ132" s="3345"/>
      <c r="JA132" s="3345"/>
      <c r="JB132" s="3345"/>
      <c r="JC132" s="3345"/>
      <c r="JD132" s="3345"/>
      <c r="JE132" s="3345"/>
      <c r="JF132" s="3345"/>
      <c r="JG132" s="1104"/>
      <c r="JH132" s="1367"/>
    </row>
  </sheetData>
  <phoneticPr fontId="67" type="noConversion"/>
  <conditionalFormatting sqref="J94">
    <cfRule dxfId="48" operator="equal" priority="64" type="cellIs">
      <formula>"Y"</formula>
    </cfRule>
    <cfRule dxfId="47" operator="equal" priority="65" type="cellIs">
      <formula>100000</formula>
    </cfRule>
  </conditionalFormatting>
  <conditionalFormatting sqref="JH63:JH107 E72:N74 G71:N71 E104:BJ107 E102:G103 O102:BJ103 E64:N70 Q76:BJ83 Q64:BJ74 JG64 E63:IU63 IR76:IR79 E84:BJ101 E76:N83 BL93:IQ93 BL91:IR92 BL89:IQ90 BL87:IQ87 BL88:IR88 BL64:IO74 BL76:IO83 BL94:IR107 BL84:IR86 IW63:IZ63 JJ63:JJ107 JC63:JG63">
    <cfRule dxfId="46" operator="equal" priority="63" type="cellIs">
      <formula>"Y"</formula>
    </cfRule>
  </conditionalFormatting>
  <conditionalFormatting sqref="JG65:JG107">
    <cfRule dxfId="45" operator="equal" priority="62" type="cellIs">
      <formula>"Y"</formula>
    </cfRule>
  </conditionalFormatting>
  <conditionalFormatting sqref="E75:N75 Q75:BJ75 IR75 BL75:IO75">
    <cfRule dxfId="44" operator="equal" priority="61" type="cellIs">
      <formula>"Y"</formula>
    </cfRule>
  </conditionalFormatting>
  <conditionalFormatting sqref="H102:N103">
    <cfRule dxfId="43" operator="equal" priority="60" type="cellIs">
      <formula>"Y"</formula>
    </cfRule>
  </conditionalFormatting>
  <conditionalFormatting sqref="IR81:IR83">
    <cfRule dxfId="42" operator="equal" priority="41" type="cellIs">
      <formula>"Y"</formula>
    </cfRule>
  </conditionalFormatting>
  <conditionalFormatting sqref="IR87">
    <cfRule dxfId="41" operator="equal" priority="42" type="cellIs">
      <formula>"Y"</formula>
    </cfRule>
  </conditionalFormatting>
  <conditionalFormatting sqref="O75:P75">
    <cfRule dxfId="40" operator="equal" priority="45" type="cellIs">
      <formula>"Y"</formula>
    </cfRule>
  </conditionalFormatting>
  <conditionalFormatting sqref="IR64:IR74">
    <cfRule dxfId="39" operator="equal" priority="44" type="cellIs">
      <formula>"Y"</formula>
    </cfRule>
  </conditionalFormatting>
  <conditionalFormatting sqref="IR80">
    <cfRule dxfId="38" operator="equal" priority="43" type="cellIs">
      <formula>"Y"</formula>
    </cfRule>
  </conditionalFormatting>
  <conditionalFormatting sqref="IS76:IU107 IS64:IU74 IW91:IZ91 IX90:IZ90 IW96:JF107 IX92:IZ92 IW64:IZ74 JF64:JF74 IW76:IZ89 JF76:JF81 IW93:IZ95 JE82:JF95 JC82:JC95">
    <cfRule dxfId="37" operator="equal" priority="52" type="cellIs">
      <formula>"Y"</formula>
    </cfRule>
  </conditionalFormatting>
  <conditionalFormatting sqref="IS75:IU75 IW75:IZ75 JF75">
    <cfRule dxfId="36" operator="equal" priority="51" type="cellIs">
      <formula>"Y"</formula>
    </cfRule>
  </conditionalFormatting>
  <conditionalFormatting sqref="IP64:IP74 IP76:IP83">
    <cfRule dxfId="35" operator="equal" priority="50" type="cellIs">
      <formula>"Y"</formula>
    </cfRule>
  </conditionalFormatting>
  <conditionalFormatting sqref="IP75">
    <cfRule dxfId="34" operator="equal" priority="49" type="cellIs">
      <formula>"Y"</formula>
    </cfRule>
  </conditionalFormatting>
  <conditionalFormatting sqref="IQ64:IQ74 IQ76:IQ83">
    <cfRule dxfId="33" operator="equal" priority="48" type="cellIs">
      <formula>"Y"</formula>
    </cfRule>
  </conditionalFormatting>
  <conditionalFormatting sqref="IQ75">
    <cfRule dxfId="32" operator="equal" priority="47" type="cellIs">
      <formula>"Y"</formula>
    </cfRule>
  </conditionalFormatting>
  <conditionalFormatting sqref="O76:P83 O64:P74">
    <cfRule dxfId="31" operator="equal" priority="46" type="cellIs">
      <formula>"Y"</formula>
    </cfRule>
  </conditionalFormatting>
  <conditionalFormatting sqref="IR93">
    <cfRule dxfId="30" operator="equal" priority="36" type="cellIs">
      <formula>"Y"</formula>
    </cfRule>
  </conditionalFormatting>
  <conditionalFormatting sqref="IR89">
    <cfRule dxfId="29" operator="equal" priority="37" type="cellIs">
      <formula>"Y"</formula>
    </cfRule>
  </conditionalFormatting>
  <conditionalFormatting sqref="BK90">
    <cfRule dxfId="28" operator="equal" priority="26" type="cellIs">
      <formula>"Y"</formula>
    </cfRule>
  </conditionalFormatting>
  <conditionalFormatting sqref="BK89">
    <cfRule dxfId="27" operator="equal" priority="25" type="cellIs">
      <formula>"Y"</formula>
    </cfRule>
  </conditionalFormatting>
  <conditionalFormatting sqref="BK93">
    <cfRule dxfId="26" operator="equal" priority="24" type="cellIs">
      <formula>"Y"</formula>
    </cfRule>
  </conditionalFormatting>
  <conditionalFormatting sqref="BK76:BK79 BK91:BK92 BK88 BK94:BK107 BK84:BK86">
    <cfRule dxfId="25" operator="equal" priority="32" type="cellIs">
      <formula>"Y"</formula>
    </cfRule>
  </conditionalFormatting>
  <conditionalFormatting sqref="BK75">
    <cfRule dxfId="24" operator="equal" priority="31" type="cellIs">
      <formula>"Y"</formula>
    </cfRule>
  </conditionalFormatting>
  <conditionalFormatting sqref="BK81:BK83">
    <cfRule dxfId="23" operator="equal" priority="27" type="cellIs">
      <formula>"Y"</formula>
    </cfRule>
  </conditionalFormatting>
  <conditionalFormatting sqref="BK87">
    <cfRule dxfId="22" operator="equal" priority="28" type="cellIs">
      <formula>"Y"</formula>
    </cfRule>
  </conditionalFormatting>
  <conditionalFormatting sqref="BK64:BK74">
    <cfRule dxfId="21" operator="equal" priority="30" type="cellIs">
      <formula>"Y"</formula>
    </cfRule>
  </conditionalFormatting>
  <conditionalFormatting sqref="BK80">
    <cfRule dxfId="20" operator="equal" priority="29" type="cellIs">
      <formula>"Y"</formula>
    </cfRule>
  </conditionalFormatting>
  <conditionalFormatting sqref="IV63">
    <cfRule dxfId="19" operator="equal" priority="23" type="cellIs">
      <formula>"Y"</formula>
    </cfRule>
  </conditionalFormatting>
  <conditionalFormatting sqref="IV76:IV107 IV64:IV74">
    <cfRule dxfId="18" operator="equal" priority="22" type="cellIs">
      <formula>"Y"</formula>
    </cfRule>
  </conditionalFormatting>
  <conditionalFormatting sqref="IV75">
    <cfRule dxfId="17" operator="equal" priority="21" type="cellIs">
      <formula>"Y"</formula>
    </cfRule>
  </conditionalFormatting>
  <conditionalFormatting sqref="IW90">
    <cfRule dxfId="16" operator="equal" priority="19" type="cellIs">
      <formula>"Y"</formula>
    </cfRule>
  </conditionalFormatting>
  <conditionalFormatting sqref="IW92">
    <cfRule dxfId="15" operator="equal" priority="18" type="cellIs">
      <formula>"Y"</formula>
    </cfRule>
  </conditionalFormatting>
  <conditionalFormatting sqref="IR90">
    <cfRule dxfId="14" operator="equal" priority="17" type="cellIs">
      <formula>"Y"</formula>
    </cfRule>
  </conditionalFormatting>
  <conditionalFormatting sqref="JC64:JC74 JC76:JC81">
    <cfRule dxfId="13" operator="equal" priority="14" type="cellIs">
      <formula>"Y"</formula>
    </cfRule>
  </conditionalFormatting>
  <conditionalFormatting sqref="JC75">
    <cfRule dxfId="12" operator="equal" priority="13" type="cellIs">
      <formula>"Y"</formula>
    </cfRule>
  </conditionalFormatting>
  <conditionalFormatting sqref="JE76:JE81 JE64:JE74">
    <cfRule dxfId="11" operator="equal" priority="12" type="cellIs">
      <formula>"Y"</formula>
    </cfRule>
  </conditionalFormatting>
  <conditionalFormatting sqref="JE75">
    <cfRule dxfId="10" operator="equal" priority="11" type="cellIs">
      <formula>"Y"</formula>
    </cfRule>
  </conditionalFormatting>
  <conditionalFormatting sqref="JD82:JD95">
    <cfRule dxfId="9" operator="equal" priority="10" type="cellIs">
      <formula>"Y"</formula>
    </cfRule>
  </conditionalFormatting>
  <conditionalFormatting sqref="JD64:JD74 JD76:JD81">
    <cfRule dxfId="8" operator="equal" priority="9" type="cellIs">
      <formula>"Y"</formula>
    </cfRule>
  </conditionalFormatting>
  <conditionalFormatting sqref="JD75">
    <cfRule dxfId="7" operator="equal" priority="8" type="cellIs">
      <formula>"Y"</formula>
    </cfRule>
  </conditionalFormatting>
  <conditionalFormatting sqref="JB74">
    <cfRule dxfId="6" operator="equal" priority="1" type="cellIs">
      <formula>"Y"</formula>
    </cfRule>
  </conditionalFormatting>
  <conditionalFormatting sqref="JA63:JB63">
    <cfRule dxfId="5" operator="equal" priority="7" type="cellIs">
      <formula>"Y"</formula>
    </cfRule>
  </conditionalFormatting>
  <conditionalFormatting sqref="JB73 JB76:JB78 JA64:JB72 JA79:JB95">
    <cfRule dxfId="4" operator="equal" priority="6" type="cellIs">
      <formula>"Y"</formula>
    </cfRule>
  </conditionalFormatting>
  <conditionalFormatting sqref="JB75">
    <cfRule dxfId="3" operator="equal" priority="5" type="cellIs">
      <formula>"Y"</formula>
    </cfRule>
  </conditionalFormatting>
  <conditionalFormatting sqref="JA73:JA74">
    <cfRule dxfId="2" operator="equal" priority="4" type="cellIs">
      <formula>"Y"</formula>
    </cfRule>
  </conditionalFormatting>
  <conditionalFormatting sqref="JA76:JA78">
    <cfRule dxfId="1" operator="equal" priority="3" type="cellIs">
      <formula>"Y"</formula>
    </cfRule>
  </conditionalFormatting>
  <conditionalFormatting sqref="JA75">
    <cfRule dxfId="0" operator="equal" priority="2" type="cellIs">
      <formula>"Y"</formula>
    </cfRule>
  </conditionalFormatting>
  <dataValidations count="1">
    <dataValidation allowBlank="1" showErrorMessage="1" showInputMessage="1" sqref="JJ3:JJ61 JJ131" type="list" xr:uid="{00000000-0002-0000-1100-000000000000}">
      <formula1>allowedTypes</formula1>
    </dataValidation>
  </dataValidations>
  <pageMargins bottom="1" footer="0.5" header="0.5" left="0.75" right="0.75" top="1"/>
  <pageSetup horizontalDpi="1200" orientation="portrait" paperSize="9" r:id="rId1" verticalDpi="1200"/>
  <headerFooter alignWithMargins="0"/>
  <legacyDrawing r:id="rId2"/>
</worksheet>
</file>

<file path=xl/worksheets/sheet19.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xmlns:xr="http://schemas.microsoft.com/office/spreadsheetml/2014/revision" xmlns:xr2="http://schemas.microsoft.com/office/spreadsheetml/2015/revision2" xmlns:xr3="http://schemas.microsoft.com/office/spreadsheetml/2016/revision3" mc:Ignorable="x14ac xr xr2 xr3" xr:uid="{00000000-0001-0000-1200-000000000000}">
  <sheetPr codeName="Sheet39"/>
  <dimension ref="A1:S42"/>
  <sheetViews>
    <sheetView showGridLines="0" showRowColHeaders="0" workbookViewId="0" zoomScale="115" zoomScaleNormal="115">
      <selection activeCell="W33" sqref="W33"/>
    </sheetView>
  </sheetViews>
  <sheetFormatPr defaultColWidth="9.140625" defaultRowHeight="12" x14ac:dyDescent="0.2"/>
  <cols>
    <col min="1" max="1" customWidth="true" style="34" width="2.42578125" collapsed="true"/>
    <col min="2" max="2" customWidth="true" style="34" width="0.85546875" collapsed="true"/>
    <col min="3" max="3" customWidth="true" style="34" width="38.5703125" collapsed="true"/>
    <col min="4" max="4" customWidth="true" style="34" width="5.28515625" collapsed="true"/>
    <col min="5" max="5" customWidth="true" style="34" width="1.28515625" collapsed="true"/>
    <col min="6" max="6" customWidth="true" style="34" width="1.0" collapsed="true"/>
    <col min="7" max="7" customWidth="true" style="34" width="29.85546875" collapsed="true"/>
    <col min="8" max="8" customWidth="true" style="34" width="5.140625" collapsed="true"/>
    <col min="9" max="9" customWidth="true" style="34" width="28.5703125" collapsed="true"/>
    <col min="10" max="10" customWidth="true" style="34" width="5.140625" collapsed="true"/>
    <col min="11" max="11" customWidth="true" style="34" width="14.0" collapsed="true"/>
    <col min="12" max="12" customWidth="true" style="34" width="5.85546875" collapsed="true"/>
    <col min="13" max="13" customWidth="true" hidden="true" style="112" width="6.28515625" collapsed="true"/>
    <col min="14" max="14" customWidth="true" hidden="true" style="34" width="30.7109375" collapsed="true"/>
    <col min="15" max="15" customWidth="true" hidden="true" style="112" width="6.28515625" collapsed="true"/>
    <col min="16" max="16" customWidth="true" hidden="true" style="34" width="6.28515625" collapsed="true"/>
    <col min="17" max="17" customWidth="true" hidden="true" style="112" width="6.28515625" collapsed="true"/>
    <col min="18" max="18" customWidth="true" hidden="true" style="34" width="6.28515625" collapsed="true"/>
    <col min="19" max="16384" style="34" width="9.140625" collapsed="true"/>
  </cols>
  <sheetData>
    <row customHeight="1" ht="5.25" r="1" spans="1:18" x14ac:dyDescent="0.2">
      <c r="A1" s="442"/>
      <c r="B1" s="442"/>
      <c r="C1" s="442"/>
      <c r="D1" s="442"/>
      <c r="E1" s="442"/>
      <c r="F1" s="442"/>
      <c r="G1" s="442"/>
      <c r="H1" s="442"/>
      <c r="I1" s="442"/>
      <c r="J1" s="442"/>
      <c r="K1" s="442"/>
      <c r="L1" s="442"/>
      <c r="M1" s="449"/>
      <c r="N1" s="442"/>
      <c r="O1" s="449"/>
    </row>
    <row customHeight="1" ht="12.75" r="2" spans="1:18" x14ac:dyDescent="0.2">
      <c r="A2" s="442"/>
      <c r="B2" s="442"/>
      <c r="C2" s="529" t="str">
        <f>"Tax Calculation for "&amp;tax_year</f>
        <v>Tax Calculation for 2019-20</v>
      </c>
      <c r="D2" s="529"/>
      <c r="E2" s="530"/>
      <c r="F2" s="530"/>
      <c r="G2" s="531" t="s">
        <v>9089</v>
      </c>
      <c r="H2" s="442"/>
      <c r="I2" s="530" t="s">
        <v>3481</v>
      </c>
      <c r="J2" s="442"/>
      <c r="K2" s="442"/>
      <c r="L2" s="442"/>
      <c r="M2" s="1389"/>
      <c r="N2" s="1506"/>
      <c r="O2" s="1389"/>
      <c r="P2" s="1506"/>
      <c r="Q2" s="1389"/>
      <c r="R2" s="1506"/>
    </row>
    <row customHeight="1" ht="15.75" r="3" spans="1:18" x14ac:dyDescent="0.2">
      <c r="A3" s="442"/>
      <c r="B3" s="442"/>
      <c r="C3" s="449" t="s">
        <v>3493</v>
      </c>
      <c r="D3" s="449"/>
      <c r="E3" s="442"/>
      <c r="F3" s="442"/>
      <c r="G3" s="531" t="s">
        <v>9088</v>
      </c>
      <c r="H3" s="442"/>
      <c r="I3" s="490"/>
      <c r="J3" s="442"/>
      <c r="K3" s="442"/>
      <c r="L3" s="442"/>
      <c r="M3" s="1389"/>
      <c r="N3" s="1506"/>
      <c r="O3" s="1389"/>
      <c r="P3" s="1506"/>
      <c r="Q3" s="1389"/>
      <c r="R3" s="1506"/>
    </row>
    <row customHeight="1" ht="12.75" r="4" spans="1:18" x14ac:dyDescent="0.2">
      <c r="A4" s="442"/>
      <c r="B4" s="442"/>
      <c r="C4" s="122"/>
      <c r="D4" s="529"/>
      <c r="E4" s="442"/>
      <c r="F4" s="442"/>
      <c r="G4" s="491" t="s">
        <v>6270</v>
      </c>
      <c r="H4" s="442"/>
      <c r="I4" s="449" t="s">
        <v>1862</v>
      </c>
      <c r="J4" s="442"/>
      <c r="K4" s="442"/>
      <c r="L4" s="442"/>
      <c r="M4" s="1389"/>
      <c r="N4" s="1506"/>
      <c r="O4" s="1389"/>
      <c r="P4" s="1506"/>
      <c r="Q4" s="1389"/>
      <c r="R4" s="1506"/>
    </row>
    <row customHeight="1" ht="12.75" r="5" spans="1:18" x14ac:dyDescent="0.2">
      <c r="A5" s="442"/>
      <c r="B5" s="442"/>
      <c r="C5" s="122"/>
      <c r="D5" s="529"/>
      <c r="E5" s="442"/>
      <c r="F5" s="442"/>
      <c r="G5" s="492"/>
      <c r="H5" s="442"/>
      <c r="I5" s="493"/>
      <c r="J5" s="442"/>
      <c r="K5" s="442"/>
      <c r="L5" s="442"/>
      <c r="M5" s="1389"/>
      <c r="N5" s="1506"/>
      <c r="O5" s="1389"/>
      <c r="P5" s="1506"/>
      <c r="Q5" s="1389"/>
      <c r="R5" s="1506"/>
    </row>
    <row customHeight="1" ht="12.75" r="6" spans="1:18" x14ac:dyDescent="0.2">
      <c r="A6" s="442"/>
      <c r="B6" s="442"/>
      <c r="C6" s="122"/>
      <c r="D6" s="529"/>
      <c r="E6" s="442"/>
      <c r="F6" s="442"/>
      <c r="G6" s="442"/>
      <c r="H6" s="442"/>
      <c r="I6" s="442"/>
      <c r="J6" s="442"/>
      <c r="K6" s="442"/>
      <c r="L6" s="442"/>
      <c r="M6" s="1389"/>
      <c r="N6" s="1506"/>
      <c r="O6" s="1389"/>
      <c r="P6" s="1506"/>
      <c r="Q6" s="1389"/>
      <c r="R6" s="1506"/>
    </row>
    <row customHeight="1" ht="12.75" r="7" spans="1:18" x14ac:dyDescent="0.2">
      <c r="A7" s="442"/>
      <c r="B7" s="442"/>
      <c r="C7" s="122"/>
      <c r="D7" s="529"/>
      <c r="E7" s="442"/>
      <c r="F7" s="442"/>
      <c r="G7" s="442"/>
      <c r="H7" s="442"/>
      <c r="I7" s="442"/>
      <c r="J7" s="442"/>
      <c r="K7" s="442"/>
      <c r="L7" s="442"/>
      <c r="M7" s="1389" t="s">
        <v>3768</v>
      </c>
      <c r="N7" s="1015" t="b">
        <v>1</v>
      </c>
      <c r="O7" s="1507" t="s">
        <v>3318</v>
      </c>
      <c r="P7" s="1015" t="b">
        <v>0</v>
      </c>
      <c r="Q7" s="1507" t="s">
        <v>3322</v>
      </c>
      <c r="R7" s="1015" t="b">
        <v>0</v>
      </c>
    </row>
    <row customHeight="1" ht="16.5" r="8" spans="1:18" x14ac:dyDescent="0.2">
      <c r="A8" s="442"/>
      <c r="B8" s="449" t="s">
        <v>2912</v>
      </c>
      <c r="C8" s="442"/>
      <c r="D8" s="2952" t="s">
        <v>1535</v>
      </c>
      <c r="E8" s="442"/>
      <c r="F8" s="442"/>
      <c r="G8" s="449" t="s">
        <v>3143</v>
      </c>
      <c r="H8" s="2952" t="s">
        <v>1535</v>
      </c>
      <c r="I8" s="442"/>
      <c r="J8" s="2952" t="s">
        <v>1535</v>
      </c>
      <c r="K8" s="442"/>
      <c r="L8" s="442"/>
      <c r="M8" s="1389" t="s">
        <v>2075</v>
      </c>
      <c r="N8" s="1015" t="b">
        <v>0</v>
      </c>
      <c r="O8" s="1507" t="s">
        <v>3319</v>
      </c>
      <c r="P8" s="1015" t="b">
        <v>0</v>
      </c>
      <c r="Q8" s="1507" t="s">
        <v>6</v>
      </c>
      <c r="R8" s="1015" t="b">
        <v>0</v>
      </c>
    </row>
    <row customHeight="1" ht="16.5" r="9" spans="1:18" x14ac:dyDescent="0.2">
      <c r="A9" s="442"/>
      <c r="B9" s="2946"/>
      <c r="C9" s="2947"/>
      <c r="D9" s="2948"/>
      <c r="E9" s="442"/>
      <c r="F9" s="494"/>
      <c r="G9" s="495"/>
      <c r="H9" s="495"/>
      <c r="I9" s="495"/>
      <c r="J9" s="496"/>
      <c r="K9" s="442"/>
      <c r="L9" s="442"/>
      <c r="M9" s="1389" t="s">
        <v>801</v>
      </c>
      <c r="N9" s="1015" t="b">
        <v>1</v>
      </c>
      <c r="O9" s="1507" t="s">
        <v>3320</v>
      </c>
      <c r="P9" s="1015" t="b">
        <v>0</v>
      </c>
      <c r="Q9" s="1507" t="s">
        <v>3830</v>
      </c>
      <c r="R9" s="1015" t="b">
        <v>0</v>
      </c>
    </row>
    <row customHeight="1" ht="11.25" r="10" spans="1:18" x14ac:dyDescent="0.2">
      <c r="A10" s="442"/>
      <c r="B10" s="497"/>
      <c r="C10" s="2945" t="s">
        <v>3859</v>
      </c>
      <c r="D10" s="533"/>
      <c r="E10" s="442"/>
      <c r="F10" s="497"/>
      <c r="G10" s="498"/>
      <c r="H10" s="498"/>
      <c r="I10" s="498"/>
      <c r="J10" s="499"/>
      <c r="K10" s="442"/>
      <c r="L10" s="442"/>
      <c r="M10" s="1389" t="s">
        <v>3665</v>
      </c>
      <c r="N10" s="1015" t="b">
        <v>0</v>
      </c>
      <c r="O10" s="1507" t="s">
        <v>2768</v>
      </c>
      <c r="P10" s="1015" t="b">
        <v>0</v>
      </c>
      <c r="Q10" s="1507" t="s">
        <v>614</v>
      </c>
      <c r="R10" s="1015" t="b">
        <v>0</v>
      </c>
    </row>
    <row customHeight="1" ht="11.25" r="11" spans="1:18" x14ac:dyDescent="0.2">
      <c r="A11" s="442"/>
      <c r="B11" s="497"/>
      <c r="C11" s="498"/>
      <c r="D11" s="499"/>
      <c r="E11" s="442"/>
      <c r="F11" s="497"/>
      <c r="G11" s="498"/>
      <c r="H11" s="498"/>
      <c r="I11" s="498"/>
      <c r="J11" s="499"/>
      <c r="K11" s="442"/>
      <c r="L11" s="442"/>
      <c r="M11" s="1389" t="s">
        <v>802</v>
      </c>
      <c r="N11" s="1015" t="b">
        <v>0</v>
      </c>
      <c r="O11" s="1507" t="s">
        <v>3321</v>
      </c>
      <c r="P11" s="1015" t="b">
        <v>0</v>
      </c>
      <c r="Q11" s="1507" t="s">
        <v>3832</v>
      </c>
      <c r="R11" s="1015" t="b">
        <v>0</v>
      </c>
    </row>
    <row customHeight="1" ht="11.25" r="12" spans="1:18" x14ac:dyDescent="0.2">
      <c r="A12" s="442"/>
      <c r="B12" s="497"/>
      <c r="C12" s="498"/>
      <c r="D12" s="499"/>
      <c r="E12" s="442"/>
      <c r="F12" s="497"/>
      <c r="G12" s="498"/>
      <c r="H12" s="498"/>
      <c r="I12" s="498"/>
      <c r="J12" s="499"/>
      <c r="K12" s="442"/>
      <c r="L12" s="442"/>
      <c r="M12" s="1389" t="s">
        <v>4560</v>
      </c>
      <c r="N12" s="1015" t="b">
        <v>1</v>
      </c>
      <c r="O12" s="1389" t="s">
        <v>568</v>
      </c>
      <c r="P12" s="1015" t="b">
        <v>1</v>
      </c>
      <c r="Q12" s="1507"/>
      <c r="R12" s="1506"/>
    </row>
    <row customHeight="1" ht="11.25" r="13" spans="1:18" x14ac:dyDescent="0.2">
      <c r="A13" s="442"/>
      <c r="B13" s="497"/>
      <c r="C13" s="498"/>
      <c r="D13" s="499"/>
      <c r="E13" s="442"/>
      <c r="F13" s="497"/>
      <c r="G13" s="498"/>
      <c r="H13" s="498"/>
      <c r="I13" s="498"/>
      <c r="J13" s="499"/>
      <c r="K13" s="442"/>
      <c r="L13" s="442"/>
      <c r="M13" s="1389"/>
      <c r="N13" s="1506"/>
      <c r="O13" s="1389"/>
      <c r="P13" s="1506"/>
      <c r="Q13" s="1389"/>
      <c r="R13" s="1506"/>
    </row>
    <row customHeight="1" ht="11.25" r="14" spans="1:18" x14ac:dyDescent="0.2">
      <c r="A14" s="442"/>
      <c r="B14" s="497"/>
      <c r="C14" s="498"/>
      <c r="D14" s="499"/>
      <c r="E14" s="442"/>
      <c r="F14" s="497"/>
      <c r="G14" s="498"/>
      <c r="H14" s="498"/>
      <c r="I14" s="498"/>
      <c r="J14" s="499"/>
      <c r="K14" s="442"/>
      <c r="L14" s="442"/>
      <c r="M14" s="1389"/>
      <c r="N14" s="1506"/>
      <c r="O14" s="1389"/>
      <c r="P14" s="1506"/>
      <c r="Q14" s="1389"/>
      <c r="R14" s="1506"/>
    </row>
    <row customHeight="1" ht="11.25" r="15" spans="1:18" x14ac:dyDescent="0.2">
      <c r="A15" s="442"/>
      <c r="B15" s="497"/>
      <c r="C15" s="498"/>
      <c r="D15" s="499"/>
      <c r="E15" s="442"/>
      <c r="F15" s="497"/>
      <c r="G15" s="498"/>
      <c r="H15" s="498"/>
      <c r="I15" s="498"/>
      <c r="J15" s="499"/>
      <c r="K15" s="442"/>
      <c r="L15" s="442"/>
      <c r="M15" s="1389"/>
      <c r="N15" s="1506"/>
      <c r="O15" s="1389"/>
      <c r="P15" s="1506"/>
      <c r="Q15" s="1389"/>
      <c r="R15" s="1506"/>
    </row>
    <row customHeight="1" ht="11.25" r="16" spans="1:18" x14ac:dyDescent="0.2">
      <c r="A16" s="442"/>
      <c r="B16" s="497"/>
      <c r="C16" s="498"/>
      <c r="D16" s="499"/>
      <c r="E16" s="442"/>
      <c r="F16" s="497"/>
      <c r="G16" s="498"/>
      <c r="H16" s="498"/>
      <c r="I16" s="498"/>
      <c r="J16" s="499"/>
      <c r="K16" s="442"/>
      <c r="L16" s="442"/>
      <c r="M16" s="1389"/>
      <c r="N16" s="1506"/>
      <c r="O16" s="1389"/>
      <c r="P16" s="1506"/>
      <c r="Q16" s="1389"/>
      <c r="R16" s="1506"/>
    </row>
    <row customHeight="1" ht="11.25" r="17" spans="1:18" x14ac:dyDescent="0.2">
      <c r="A17" s="442"/>
      <c r="B17" s="497"/>
      <c r="C17" s="498"/>
      <c r="D17" s="499"/>
      <c r="E17" s="442"/>
      <c r="F17" s="497"/>
      <c r="G17" s="498"/>
      <c r="H17" s="498"/>
      <c r="I17" s="498"/>
      <c r="J17" s="499"/>
      <c r="K17" s="442"/>
      <c r="L17" s="442"/>
      <c r="M17" s="1389"/>
      <c r="N17" s="1506"/>
      <c r="O17" s="1389"/>
      <c r="P17" s="1506"/>
      <c r="Q17" s="1389"/>
      <c r="R17" s="1506"/>
    </row>
    <row customHeight="1" ht="11.25" r="18" spans="1:18" x14ac:dyDescent="0.2">
      <c r="A18" s="442"/>
      <c r="B18" s="497"/>
      <c r="C18" s="498"/>
      <c r="D18" s="499"/>
      <c r="E18" s="442"/>
      <c r="F18" s="497"/>
      <c r="G18" s="498"/>
      <c r="H18" s="498"/>
      <c r="I18" s="498"/>
      <c r="J18" s="499"/>
      <c r="K18" s="442"/>
      <c r="L18" s="442"/>
      <c r="M18" s="1389"/>
      <c r="N18" s="1506"/>
      <c r="O18" s="1389"/>
      <c r="P18" s="1506"/>
      <c r="Q18" s="1389"/>
      <c r="R18" s="1506"/>
    </row>
    <row customHeight="1" ht="5.25" r="19" spans="1:18" x14ac:dyDescent="0.2">
      <c r="A19" s="442"/>
      <c r="B19" s="497"/>
      <c r="C19" s="498"/>
      <c r="D19" s="499"/>
      <c r="E19" s="442"/>
      <c r="F19" s="497"/>
      <c r="G19" s="498"/>
      <c r="H19" s="498"/>
      <c r="I19" s="498"/>
      <c r="J19" s="499"/>
      <c r="K19" s="442"/>
      <c r="L19" s="442"/>
      <c r="M19" s="1389"/>
      <c r="N19" s="1506"/>
      <c r="O19" s="1389"/>
      <c r="P19" s="1506"/>
      <c r="Q19" s="1389"/>
      <c r="R19" s="1506"/>
    </row>
    <row customHeight="1" ht="5.25" r="20" spans="1:18" x14ac:dyDescent="0.2">
      <c r="A20" s="442"/>
      <c r="B20" s="2949"/>
      <c r="C20" s="2950"/>
      <c r="D20" s="2951"/>
      <c r="E20" s="442"/>
      <c r="F20" s="500"/>
      <c r="G20" s="502"/>
      <c r="H20" s="502"/>
      <c r="I20" s="502"/>
      <c r="J20" s="501"/>
      <c r="K20" s="442"/>
      <c r="L20" s="442"/>
      <c r="M20" s="1389"/>
      <c r="N20" s="1506"/>
      <c r="O20" s="1389"/>
      <c r="P20" s="1506"/>
      <c r="Q20" s="1389"/>
      <c r="R20" s="1506"/>
    </row>
    <row customHeight="1" ht="6.75" r="21" spans="1:18" x14ac:dyDescent="0.2">
      <c r="A21" s="442"/>
      <c r="B21" s="442"/>
      <c r="C21" s="442"/>
      <c r="D21" s="442"/>
      <c r="E21" s="442"/>
      <c r="F21" s="442"/>
      <c r="G21" s="442"/>
      <c r="H21" s="442"/>
      <c r="I21" s="442"/>
      <c r="J21" s="442"/>
      <c r="K21" s="442"/>
      <c r="L21" s="442"/>
      <c r="M21" s="1389"/>
      <c r="N21" s="1506"/>
      <c r="O21" s="1389"/>
      <c r="P21" s="1506"/>
      <c r="Q21" s="1389"/>
      <c r="R21" s="1506"/>
    </row>
    <row customHeight="1" ht="11.25" r="22" spans="1:18" x14ac:dyDescent="0.2">
      <c r="A22" s="442"/>
      <c r="B22" s="442"/>
      <c r="C22" s="442"/>
      <c r="D22" s="442"/>
      <c r="E22" s="442"/>
      <c r="F22" s="498"/>
      <c r="G22" s="498"/>
      <c r="H22" s="498"/>
      <c r="I22" s="498"/>
      <c r="J22" s="498"/>
      <c r="K22" s="442"/>
      <c r="L22" s="442"/>
      <c r="M22" s="1389"/>
      <c r="N22" s="1506"/>
      <c r="O22" s="1389"/>
      <c r="P22" s="1506"/>
      <c r="Q22" s="1389"/>
      <c r="R22" s="1506"/>
    </row>
    <row customHeight="1" ht="12.75" r="23" spans="1:18" x14ac:dyDescent="0.2">
      <c r="A23" s="442"/>
      <c r="B23" s="442"/>
      <c r="C23" s="442"/>
      <c r="D23" s="442"/>
      <c r="E23" s="442"/>
      <c r="F23" s="498"/>
      <c r="G23" s="498"/>
      <c r="H23" s="498"/>
      <c r="I23" s="498"/>
      <c r="J23" s="498"/>
      <c r="K23" s="442"/>
      <c r="L23" s="442"/>
      <c r="M23" s="1389"/>
      <c r="N23" s="1506"/>
      <c r="O23" s="1389"/>
      <c r="P23" s="1506"/>
      <c r="Q23" s="1389"/>
      <c r="R23" s="1506"/>
    </row>
    <row customHeight="1" ht="12.75" r="24" spans="1:18" x14ac:dyDescent="0.2">
      <c r="A24" s="442"/>
      <c r="B24" s="442"/>
      <c r="C24" s="442"/>
      <c r="D24" s="442"/>
      <c r="E24" s="442"/>
      <c r="F24" s="498"/>
      <c r="G24" s="498"/>
      <c r="H24" s="498"/>
      <c r="I24" s="498"/>
      <c r="J24" s="498"/>
      <c r="K24" s="442"/>
      <c r="L24" s="442"/>
      <c r="M24" s="1015" t="b">
        <v>0</v>
      </c>
      <c r="N24" s="1507" t="s">
        <v>4561</v>
      </c>
      <c r="O24" s="1507"/>
      <c r="P24" s="1506"/>
      <c r="Q24" s="1389"/>
      <c r="R24" s="1506"/>
    </row>
    <row customHeight="1" ht="11.25" r="25" spans="1:18" x14ac:dyDescent="0.2">
      <c r="A25" s="442"/>
      <c r="B25" s="442"/>
      <c r="C25" s="442"/>
      <c r="D25" s="442"/>
      <c r="E25" s="442"/>
      <c r="F25" s="498"/>
      <c r="G25" s="498"/>
      <c r="H25" s="498"/>
      <c r="I25" s="627" t="s">
        <v>949</v>
      </c>
      <c r="J25" s="498"/>
      <c r="K25" s="442"/>
      <c r="L25" s="442"/>
      <c r="M25" s="1389"/>
      <c r="N25" s="1506"/>
      <c r="O25" s="1389"/>
      <c r="P25" s="1506"/>
      <c r="Q25" s="1389"/>
      <c r="R25" s="1506"/>
    </row>
    <row customHeight="1" ht="12.75" r="26" spans="1:18" x14ac:dyDescent="0.2">
      <c r="A26" s="442"/>
      <c r="B26" s="442"/>
      <c r="C26" s="442"/>
      <c r="D26" s="442"/>
      <c r="E26" s="442"/>
      <c r="F26" s="498"/>
      <c r="G26" s="498"/>
      <c r="H26" s="498"/>
      <c r="I26" s="532" t="str">
        <f>"working sheets "&amp;IF(M21,"are currently visible","are currently hidden")</f>
        <v>working sheets are currently hidden</v>
      </c>
      <c r="J26" s="498"/>
      <c r="K26" s="442"/>
      <c r="L26" s="442"/>
      <c r="M26" s="1389"/>
      <c r="N26" s="1506"/>
      <c r="O26" s="1389"/>
      <c r="P26" s="1506"/>
      <c r="Q26" s="1389"/>
      <c r="R26" s="1506"/>
    </row>
    <row r="27" spans="1:18" x14ac:dyDescent="0.2">
      <c r="A27" s="442"/>
      <c r="B27" s="442"/>
      <c r="C27" s="442"/>
      <c r="D27" s="442"/>
      <c r="E27" s="442"/>
      <c r="F27" s="498"/>
      <c r="G27" s="498"/>
      <c r="H27" s="498"/>
      <c r="I27" s="498"/>
      <c r="J27" s="498"/>
      <c r="K27" s="442"/>
      <c r="L27" s="442"/>
      <c r="M27" s="1389"/>
      <c r="N27" s="1506"/>
      <c r="O27" s="1389"/>
      <c r="P27" s="1506"/>
      <c r="Q27" s="1389"/>
      <c r="R27" s="1506"/>
    </row>
    <row r="28" spans="1:18" x14ac:dyDescent="0.2">
      <c r="A28" s="442"/>
      <c r="B28" s="442"/>
      <c r="C28" s="442"/>
      <c r="D28" s="442"/>
      <c r="E28" s="442"/>
      <c r="F28" s="442"/>
      <c r="G28" s="442"/>
      <c r="H28" s="442"/>
      <c r="I28" s="627"/>
      <c r="J28" s="442"/>
      <c r="K28" s="442"/>
      <c r="L28" s="442"/>
      <c r="M28" s="1389"/>
      <c r="N28" s="1506"/>
      <c r="O28" s="1389"/>
      <c r="P28" s="1506"/>
      <c r="Q28" s="1389"/>
      <c r="R28" s="1506"/>
    </row>
    <row r="29" spans="1:18" x14ac:dyDescent="0.2">
      <c r="A29" s="442"/>
      <c r="B29" s="442"/>
      <c r="C29" s="442"/>
      <c r="D29" s="442"/>
      <c r="E29" s="442"/>
      <c r="F29" s="442"/>
      <c r="G29" s="442"/>
      <c r="H29" s="442"/>
      <c r="I29" s="532"/>
      <c r="J29" s="442"/>
      <c r="K29" s="442"/>
      <c r="L29" s="442"/>
      <c r="M29" s="1389"/>
      <c r="N29" s="1506"/>
      <c r="O29" s="1389"/>
      <c r="P29" s="1506"/>
      <c r="Q29" s="1389"/>
      <c r="R29" s="1506"/>
    </row>
    <row r="30" spans="1:18" x14ac:dyDescent="0.2">
      <c r="A30" s="442"/>
      <c r="B30" s="442"/>
      <c r="C30" s="442"/>
      <c r="D30" s="442"/>
      <c r="E30" s="442"/>
      <c r="F30" s="442"/>
      <c r="G30" s="442"/>
      <c r="H30" s="1508"/>
      <c r="I30" s="1509"/>
      <c r="J30" s="1510"/>
      <c r="K30" s="442"/>
      <c r="L30" s="442"/>
      <c r="M30" s="1389"/>
      <c r="N30" s="1506"/>
      <c r="O30" s="1389"/>
      <c r="P30" s="1506"/>
      <c r="Q30" s="1389"/>
      <c r="R30" s="1506"/>
    </row>
    <row r="31" spans="1:18" x14ac:dyDescent="0.2">
      <c r="A31" s="442"/>
      <c r="B31" s="442"/>
      <c r="C31" s="442"/>
      <c r="D31" s="442"/>
      <c r="E31" s="442"/>
      <c r="F31" s="442"/>
      <c r="G31" s="442"/>
      <c r="H31" s="1511"/>
      <c r="I31" s="498" t="str">
        <f>IF(M35,"in-year repayment","")</f>
        <v/>
      </c>
      <c r="J31" s="1512"/>
      <c r="K31" s="442"/>
      <c r="L31" s="442"/>
      <c r="M31" s="1389"/>
      <c r="N31" s="1506"/>
      <c r="O31" s="1389"/>
      <c r="P31" s="1506"/>
      <c r="Q31" s="1389"/>
      <c r="R31" s="1506"/>
    </row>
    <row r="32" spans="1:18" x14ac:dyDescent="0.2">
      <c r="A32" s="442"/>
      <c r="B32" s="442"/>
      <c r="C32" s="442"/>
      <c r="D32" s="442"/>
      <c r="E32" s="442"/>
      <c r="F32" s="442"/>
      <c r="G32" s="442"/>
      <c r="H32" s="1511"/>
      <c r="I32" s="498"/>
      <c r="J32" s="1512"/>
      <c r="K32" s="442"/>
      <c r="L32" s="442"/>
      <c r="M32" s="1389"/>
      <c r="N32" s="1506"/>
      <c r="O32" s="1389"/>
      <c r="P32" s="1506"/>
      <c r="Q32" s="1389"/>
      <c r="R32" s="1506"/>
    </row>
    <row r="33" spans="1:18" x14ac:dyDescent="0.2">
      <c r="A33" s="442"/>
      <c r="B33" s="442"/>
      <c r="C33" s="442"/>
      <c r="D33" s="442"/>
      <c r="E33" s="442"/>
      <c r="F33" s="442"/>
      <c r="G33" s="442"/>
      <c r="H33" s="1511"/>
      <c r="I33" s="498"/>
      <c r="J33" s="1512"/>
      <c r="K33" s="442"/>
      <c r="L33" s="442"/>
      <c r="M33" s="1389"/>
      <c r="N33" s="1506"/>
      <c r="O33" s="1389"/>
      <c r="P33" s="1506"/>
      <c r="Q33" s="1389"/>
      <c r="R33" s="1506"/>
    </row>
    <row r="34" spans="1:18" x14ac:dyDescent="0.2">
      <c r="A34" s="442"/>
      <c r="B34" s="442"/>
      <c r="C34" s="998"/>
      <c r="D34" s="998"/>
      <c r="E34" s="442"/>
      <c r="F34" s="442"/>
      <c r="G34" s="442"/>
      <c r="H34" s="1511"/>
      <c r="I34" s="498"/>
      <c r="J34" s="1512"/>
      <c r="K34" s="442"/>
      <c r="L34" s="442"/>
      <c r="M34" s="1389"/>
      <c r="N34" s="1506"/>
      <c r="O34" s="1389"/>
      <c r="P34" s="1506"/>
      <c r="Q34" s="1389"/>
      <c r="R34" s="1506"/>
    </row>
    <row r="35" spans="1:18" x14ac:dyDescent="0.2">
      <c r="A35" s="442"/>
      <c r="B35" s="442"/>
      <c r="C35" s="442"/>
      <c r="D35" s="442"/>
      <c r="E35" s="442"/>
      <c r="F35" s="442"/>
      <c r="G35" s="442"/>
      <c r="H35" s="1513"/>
      <c r="I35" s="1514"/>
      <c r="J35" s="1515"/>
      <c r="K35" s="442"/>
      <c r="L35" s="442" t="b">
        <v>0</v>
      </c>
      <c r="M35" s="1015" t="b">
        <v>0</v>
      </c>
      <c r="N35" s="1507" t="s">
        <v>6041</v>
      </c>
      <c r="O35" s="1389"/>
      <c r="P35" s="1506"/>
      <c r="Q35" s="1389"/>
      <c r="R35" s="1506"/>
    </row>
    <row r="36" spans="1:18" x14ac:dyDescent="0.2">
      <c r="A36" s="442"/>
      <c r="B36" s="442"/>
      <c r="C36" s="442"/>
      <c r="D36" s="442"/>
      <c r="E36" s="442"/>
      <c r="F36" s="442"/>
      <c r="G36" s="442"/>
      <c r="H36" s="1511"/>
      <c r="I36" s="1516"/>
      <c r="J36" s="1512"/>
      <c r="K36" s="442"/>
      <c r="L36" s="442"/>
      <c r="M36" s="1015"/>
      <c r="N36" s="1507"/>
      <c r="O36" s="1389"/>
      <c r="P36" s="1506"/>
      <c r="Q36" s="1389"/>
      <c r="R36" s="1506"/>
    </row>
    <row r="37" spans="1:18" x14ac:dyDescent="0.2">
      <c r="A37" s="442"/>
      <c r="B37" s="442"/>
      <c r="C37" s="442"/>
      <c r="D37" s="442"/>
      <c r="E37" s="442"/>
      <c r="F37" s="442"/>
      <c r="G37" s="442"/>
      <c r="H37" s="1517"/>
      <c r="I37" s="1518"/>
      <c r="J37" s="1519"/>
      <c r="K37" s="442"/>
      <c r="L37" s="442"/>
      <c r="M37" s="1015"/>
      <c r="N37" s="1507"/>
      <c r="O37" s="1389"/>
      <c r="P37" s="1506"/>
      <c r="Q37" s="1389"/>
      <c r="R37" s="1506"/>
    </row>
    <row r="38" spans="1:18" x14ac:dyDescent="0.2">
      <c r="A38" s="442"/>
      <c r="B38" s="442"/>
      <c r="C38" s="442"/>
      <c r="D38" s="442"/>
      <c r="E38" s="442"/>
      <c r="F38" s="442"/>
      <c r="G38" s="442"/>
      <c r="H38" s="1506"/>
      <c r="I38" s="1506"/>
      <c r="J38" s="1506"/>
      <c r="K38" s="442"/>
      <c r="L38" s="442"/>
      <c r="M38" s="1015"/>
      <c r="N38" s="1507"/>
      <c r="O38" s="1389"/>
      <c r="P38" s="1506"/>
      <c r="Q38" s="1389"/>
      <c r="R38" s="1506"/>
    </row>
    <row r="39" spans="1:18" x14ac:dyDescent="0.2">
      <c r="A39" s="1506"/>
      <c r="B39" s="1506"/>
      <c r="C39" s="1506"/>
      <c r="D39" s="1506"/>
      <c r="E39" s="1506"/>
      <c r="F39" s="1506"/>
      <c r="G39" s="1506"/>
      <c r="H39" s="1506"/>
      <c r="I39" s="1506"/>
      <c r="J39" s="1506"/>
      <c r="K39" s="1506"/>
      <c r="L39" s="1506"/>
      <c r="M39" s="1389"/>
      <c r="N39" s="1506"/>
      <c r="O39" s="1389"/>
      <c r="P39" s="1506"/>
      <c r="Q39" s="1389"/>
      <c r="R39" s="1506"/>
    </row>
    <row r="40" spans="1:18" x14ac:dyDescent="0.2">
      <c r="A40" s="442"/>
      <c r="B40" s="442"/>
      <c r="C40" s="442"/>
      <c r="D40" s="442"/>
      <c r="E40" s="442"/>
      <c r="F40" s="442"/>
      <c r="G40" s="442"/>
      <c r="H40" s="1506"/>
      <c r="I40" s="1506"/>
      <c r="J40" s="1506"/>
      <c r="K40" s="442"/>
      <c r="L40" s="442"/>
      <c r="M40" s="1389"/>
      <c r="N40" s="1506"/>
      <c r="O40" s="1389"/>
      <c r="P40" s="1506"/>
      <c r="Q40" s="1389"/>
      <c r="R40" s="1506"/>
    </row>
    <row r="41" spans="1:18" x14ac:dyDescent="0.2">
      <c r="A41" s="1506"/>
      <c r="B41" s="1506"/>
      <c r="C41" s="1506"/>
      <c r="D41" s="1506"/>
      <c r="E41" s="1506"/>
      <c r="F41" s="1506"/>
      <c r="G41" s="1506"/>
      <c r="H41" s="1506"/>
      <c r="I41" s="1506"/>
      <c r="J41" s="1506"/>
      <c r="K41" s="1506"/>
      <c r="L41" s="1506"/>
      <c r="M41" s="1389"/>
      <c r="N41" s="1506"/>
      <c r="O41" s="1389"/>
      <c r="P41" s="1506"/>
      <c r="Q41" s="1389"/>
      <c r="R41" s="1506"/>
    </row>
    <row r="42" spans="1:18" x14ac:dyDescent="0.2">
      <c r="A42" s="1506"/>
      <c r="B42" s="1506"/>
      <c r="C42" s="1506"/>
      <c r="D42" s="1506"/>
      <c r="E42" s="1506"/>
      <c r="F42" s="1506"/>
      <c r="G42" s="1506"/>
      <c r="H42" s="1506"/>
      <c r="I42" s="1506"/>
      <c r="J42" s="1506"/>
      <c r="K42" s="1506"/>
      <c r="L42" s="1506"/>
    </row>
  </sheetData>
  <sheetProtection objects="1" scenarios="1" sheet="1"/>
  <phoneticPr fontId="67" type="noConversion"/>
  <pageMargins bottom="1" footer="0.5" header="0.5" left="0.75" right="0.75" top="1"/>
  <pageSetup orientation="portrait" paperSize="9" r:id="rId1"/>
  <headerFooter alignWithMargins="0"/>
  <drawing r:id="rId2"/>
  <legacyDrawing r:id="rId3"/>
  <mc:AlternateContent>
    <mc:Choice Requires="x14">
      <controls>
        <mc:AlternateContent>
          <mc:Choice Requires="x14">
            <control name="Check Box 56" r:id="rId4" shapeId="49208">
              <controlPr autoFill="0" autoLine="0" autoPict="0" defaultSize="0" macro="[0]!Show_EMP">
                <anchor moveWithCells="1">
                  <from>
                    <xdr:col>7</xdr:col>
                    <xdr:colOff>57150</xdr:colOff>
                    <xdr:row>8</xdr:row>
                    <xdr:rowOff>19050</xdr:rowOff>
                  </from>
                  <to>
                    <xdr:col>8</xdr:col>
                    <xdr:colOff>28575</xdr:colOff>
                    <xdr:row>9</xdr:row>
                    <xdr:rowOff>38100</xdr:rowOff>
                  </to>
                </anchor>
              </controlPr>
            </control>
          </mc:Choice>
        </mc:AlternateContent>
        <mc:AlternateContent>
          <mc:Choice Requires="x14">
            <control name="Check Box 57" r:id="rId5" shapeId="49209">
              <controlPr autoFill="0" autoLine="0" autoPict="0" defaultSize="0" macro="[0]!Show_MOR">
                <anchor moveWithCells="1">
                  <from>
                    <xdr:col>7</xdr:col>
                    <xdr:colOff>57150</xdr:colOff>
                    <xdr:row>9</xdr:row>
                    <xdr:rowOff>104775</xdr:rowOff>
                  </from>
                  <to>
                    <xdr:col>8</xdr:col>
                    <xdr:colOff>28575</xdr:colOff>
                    <xdr:row>11</xdr:row>
                    <xdr:rowOff>38100</xdr:rowOff>
                  </to>
                </anchor>
              </controlPr>
            </control>
          </mc:Choice>
        </mc:AlternateContent>
        <mc:AlternateContent>
          <mc:Choice Requires="x14">
            <control name="Check Box 58" r:id="rId6" shapeId="49210">
              <controlPr autoFill="0" autoLine="0" autoPict="0" defaultSize="0" macro="[0]!Show_SE">
                <anchor moveWithCells="1">
                  <from>
                    <xdr:col>7</xdr:col>
                    <xdr:colOff>66675</xdr:colOff>
                    <xdr:row>11</xdr:row>
                    <xdr:rowOff>76200</xdr:rowOff>
                  </from>
                  <to>
                    <xdr:col>8</xdr:col>
                    <xdr:colOff>38100</xdr:colOff>
                    <xdr:row>13</xdr:row>
                    <xdr:rowOff>19050</xdr:rowOff>
                  </to>
                </anchor>
              </controlPr>
            </control>
          </mc:Choice>
        </mc:AlternateContent>
        <mc:AlternateContent>
          <mc:Choice Requires="x14">
            <control name="Check Box 59" r:id="rId7" shapeId="49211">
              <controlPr autoFill="0" autoLine="0" autoPict="0" defaultSize="0" macro="[0]!Show_PS">
                <anchor moveWithCells="1">
                  <from>
                    <xdr:col>7</xdr:col>
                    <xdr:colOff>66675</xdr:colOff>
                    <xdr:row>15</xdr:row>
                    <xdr:rowOff>38100</xdr:rowOff>
                  </from>
                  <to>
                    <xdr:col>8</xdr:col>
                    <xdr:colOff>38100</xdr:colOff>
                    <xdr:row>16</xdr:row>
                    <xdr:rowOff>114300</xdr:rowOff>
                  </to>
                </anchor>
              </controlPr>
            </control>
          </mc:Choice>
        </mc:AlternateContent>
        <mc:AlternateContent>
          <mc:Choice Requires="x14">
            <control name="Check Box 60" r:id="rId8" shapeId="49212">
              <controlPr autoFill="0" autoLine="0" autoPict="0" defaultSize="0" macro="[0]!Show_FOR">
                <anchor moveWithCells="1">
                  <from>
                    <xdr:col>9</xdr:col>
                    <xdr:colOff>76200</xdr:colOff>
                    <xdr:row>9</xdr:row>
                    <xdr:rowOff>95250</xdr:rowOff>
                  </from>
                  <to>
                    <xdr:col>10</xdr:col>
                    <xdr:colOff>38100</xdr:colOff>
                    <xdr:row>11</xdr:row>
                    <xdr:rowOff>28575</xdr:rowOff>
                  </to>
                </anchor>
              </controlPr>
            </control>
          </mc:Choice>
        </mc:AlternateContent>
        <mc:AlternateContent>
          <mc:Choice Requires="x14">
            <control name="Check Box 61" r:id="rId9" shapeId="49213">
              <controlPr autoFill="0" autoLine="0" autoPict="0" defaultSize="0" macro="[0]!Show_TRU">
                <anchor moveWithCells="1">
                  <from>
                    <xdr:col>9</xdr:col>
                    <xdr:colOff>76200</xdr:colOff>
                    <xdr:row>11</xdr:row>
                    <xdr:rowOff>66675</xdr:rowOff>
                  </from>
                  <to>
                    <xdr:col>10</xdr:col>
                    <xdr:colOff>38100</xdr:colOff>
                    <xdr:row>13</xdr:row>
                    <xdr:rowOff>0</xdr:rowOff>
                  </to>
                </anchor>
              </controlPr>
            </control>
          </mc:Choice>
        </mc:AlternateContent>
        <mc:AlternateContent>
          <mc:Choice Requires="x14">
            <control name="Check Box 62" r:id="rId10" shapeId="49214">
              <controlPr autoFill="0" autoLine="0" autoPict="0" defaultSize="0" macro="[0]!Show_CGT">
                <anchor moveWithCells="1">
                  <from>
                    <xdr:col>9</xdr:col>
                    <xdr:colOff>76200</xdr:colOff>
                    <xdr:row>13</xdr:row>
                    <xdr:rowOff>38100</xdr:rowOff>
                  </from>
                  <to>
                    <xdr:col>10</xdr:col>
                    <xdr:colOff>38100</xdr:colOff>
                    <xdr:row>14</xdr:row>
                    <xdr:rowOff>123825</xdr:rowOff>
                  </to>
                </anchor>
              </controlPr>
            </control>
          </mc:Choice>
        </mc:AlternateContent>
        <mc:AlternateContent>
          <mc:Choice Requires="x14">
            <control name="Check Box 63" r:id="rId11" shapeId="49215">
              <controlPr autoFill="0" autoLine="0" autoPict="0" defaultSize="0" macro="[0]!Show_PRO">
                <anchor moveWithCells="1">
                  <from>
                    <xdr:col>9</xdr:col>
                    <xdr:colOff>76200</xdr:colOff>
                    <xdr:row>8</xdr:row>
                    <xdr:rowOff>19050</xdr:rowOff>
                  </from>
                  <to>
                    <xdr:col>10</xdr:col>
                    <xdr:colOff>38100</xdr:colOff>
                    <xdr:row>9</xdr:row>
                    <xdr:rowOff>38100</xdr:rowOff>
                  </to>
                </anchor>
              </controlPr>
            </control>
          </mc:Choice>
        </mc:AlternateContent>
        <mc:AlternateContent>
          <mc:Choice Requires="x14">
            <control name="Check Box 64" r:id="rId12" shapeId="49216">
              <controlPr autoFill="0" autoLine="0" autoPict="0" defaultSize="0" macro="[0]!Show_LUN">
                <anchor moveWithCells="1">
                  <from>
                    <xdr:col>7</xdr:col>
                    <xdr:colOff>66675</xdr:colOff>
                    <xdr:row>13</xdr:row>
                    <xdr:rowOff>57150</xdr:rowOff>
                  </from>
                  <to>
                    <xdr:col>8</xdr:col>
                    <xdr:colOff>38100</xdr:colOff>
                    <xdr:row>14</xdr:row>
                    <xdr:rowOff>133350</xdr:rowOff>
                  </to>
                </anchor>
              </controlPr>
            </control>
          </mc:Choice>
        </mc:AlternateContent>
        <mc:AlternateContent>
          <mc:Choice Requires="x14">
            <control name="Button 65" r:id="rId13" shapeId="49217">
              <controlPr autoFill="0" autoPict="0" defaultSize="0" macro="[0]!clear_all" print="0">
                <anchor moveWithCells="1" sizeWithCells="1">
                  <from>
                    <xdr:col>1</xdr:col>
                    <xdr:colOff>47625</xdr:colOff>
                    <xdr:row>21</xdr:row>
                    <xdr:rowOff>57150</xdr:rowOff>
                  </from>
                  <to>
                    <xdr:col>2</xdr:col>
                    <xdr:colOff>1581150</xdr:colOff>
                    <xdr:row>23</xdr:row>
                    <xdr:rowOff>66675</xdr:rowOff>
                  </to>
                </anchor>
              </controlPr>
            </control>
          </mc:Choice>
        </mc:AlternateContent>
        <mc:AlternateContent>
          <mc:Choice Requires="x14">
            <control name="Button 66" r:id="rId14" shapeId="49218">
              <controlPr autoFill="0" autoPict="0" defaultSize="0" macro="[0]!Calculate_now" print="0">
                <anchor moveWithCells="1">
                  <from>
                    <xdr:col>2</xdr:col>
                    <xdr:colOff>2019300</xdr:colOff>
                    <xdr:row>21</xdr:row>
                    <xdr:rowOff>47625</xdr:rowOff>
                  </from>
                  <to>
                    <xdr:col>6</xdr:col>
                    <xdr:colOff>1200150</xdr:colOff>
                    <xdr:row>23</xdr:row>
                    <xdr:rowOff>76200</xdr:rowOff>
                  </to>
                </anchor>
              </controlPr>
            </control>
          </mc:Choice>
        </mc:AlternateContent>
        <mc:AlternateContent>
          <mc:Choice Requires="x14">
            <control name="Button 67" r:id="rId15" shapeId="49219">
              <controlPr autoFill="0" autoPict="0" defaultSize="0" macro="[0]!toggle_C_boxes" print="0">
                <anchor moveWithCells="1" sizeWithCells="1">
                  <from>
                    <xdr:col>7</xdr:col>
                    <xdr:colOff>0</xdr:colOff>
                    <xdr:row>21</xdr:row>
                    <xdr:rowOff>66675</xdr:rowOff>
                  </from>
                  <to>
                    <xdr:col>10</xdr:col>
                    <xdr:colOff>19050</xdr:colOff>
                    <xdr:row>23</xdr:row>
                    <xdr:rowOff>66675</xdr:rowOff>
                  </to>
                </anchor>
              </controlPr>
            </control>
          </mc:Choice>
        </mc:AlternateContent>
        <mc:AlternateContent>
          <mc:Choice Requires="x14">
            <control name="Check Box 68" r:id="rId16" shapeId="49220">
              <controlPr autoFill="0" autoLine="0" autoPict="0" defaultSize="0" macro="[0]!Show_NRD">
                <anchor moveWithCells="1">
                  <from>
                    <xdr:col>9</xdr:col>
                    <xdr:colOff>76200</xdr:colOff>
                    <xdr:row>15</xdr:row>
                    <xdr:rowOff>28575</xdr:rowOff>
                  </from>
                  <to>
                    <xdr:col>10</xdr:col>
                    <xdr:colOff>38100</xdr:colOff>
                    <xdr:row>16</xdr:row>
                    <xdr:rowOff>114300</xdr:rowOff>
                  </to>
                </anchor>
              </controlPr>
            </control>
          </mc:Choice>
        </mc:AlternateContent>
        <mc:AlternateContent>
          <mc:Choice Requires="x14">
            <control name="Check Box 69" r:id="rId17" shapeId="49221">
              <controlPr autoFill="0" autoLine="0" autoPict="0" defaultSize="0" macro="[0]!Show_cal">
                <anchor moveWithCells="1">
                  <from>
                    <xdr:col>9</xdr:col>
                    <xdr:colOff>76200</xdr:colOff>
                    <xdr:row>16</xdr:row>
                    <xdr:rowOff>133350</xdr:rowOff>
                  </from>
                  <to>
                    <xdr:col>10</xdr:col>
                    <xdr:colOff>38100</xdr:colOff>
                    <xdr:row>19</xdr:row>
                    <xdr:rowOff>9525</xdr:rowOff>
                  </to>
                </anchor>
              </controlPr>
            </control>
          </mc:Choice>
        </mc:AlternateContent>
        <mc:AlternateContent>
          <mc:Choice Requires="x14">
            <control name="Check Box 70" r:id="rId18" shapeId="49222">
              <controlPr autoFill="0" autoLine="0" autoPict="0" defaultSize="0" macro="[0]!Show_AOI">
                <anchor moveWithCells="1">
                  <from>
                    <xdr:col>3</xdr:col>
                    <xdr:colOff>66675</xdr:colOff>
                    <xdr:row>8</xdr:row>
                    <xdr:rowOff>28575</xdr:rowOff>
                  </from>
                  <to>
                    <xdr:col>4</xdr:col>
                    <xdr:colOff>19050</xdr:colOff>
                    <xdr:row>9</xdr:row>
                    <xdr:rowOff>38100</xdr:rowOff>
                  </to>
                </anchor>
              </controlPr>
            </control>
          </mc:Choice>
        </mc:AlternateContent>
        <mc:AlternateContent>
          <mc:Choice Requires="x14">
            <control name="Check Box 71" r:id="rId19" shapeId="49223">
              <controlPr autoFill="0" autoLine="0" autoPict="0" defaultSize="0" macro="[0]!Show_ASE">
                <anchor moveWithCells="1">
                  <from>
                    <xdr:col>3</xdr:col>
                    <xdr:colOff>66675</xdr:colOff>
                    <xdr:row>10</xdr:row>
                    <xdr:rowOff>9525</xdr:rowOff>
                  </from>
                  <to>
                    <xdr:col>4</xdr:col>
                    <xdr:colOff>19050</xdr:colOff>
                    <xdr:row>11</xdr:row>
                    <xdr:rowOff>85725</xdr:rowOff>
                  </to>
                </anchor>
              </controlPr>
            </control>
          </mc:Choice>
        </mc:AlternateContent>
        <mc:AlternateContent>
          <mc:Choice Requires="x14">
            <control name="Check Box 72" r:id="rId20" shapeId="49224">
              <controlPr autoFill="0" autoLine="0" autoPict="0" defaultSize="0" macro="[0]!Show_AOR">
                <anchor moveWithCells="1">
                  <from>
                    <xdr:col>3</xdr:col>
                    <xdr:colOff>66675</xdr:colOff>
                    <xdr:row>12</xdr:row>
                    <xdr:rowOff>28575</xdr:rowOff>
                  </from>
                  <to>
                    <xdr:col>4</xdr:col>
                    <xdr:colOff>19050</xdr:colOff>
                    <xdr:row>13</xdr:row>
                    <xdr:rowOff>104775</xdr:rowOff>
                  </to>
                </anchor>
              </controlPr>
            </control>
          </mc:Choice>
        </mc:AlternateContent>
        <mc:AlternateContent>
          <mc:Choice Requires="x14">
            <control name="Check Box 73" r:id="rId21" shapeId="49225">
              <controlPr autoFill="0" autoLine="0" autoPict="0" defaultSize="0" macro="[0]!Show_MCA">
                <anchor moveWithCells="1">
                  <from>
                    <xdr:col>3</xdr:col>
                    <xdr:colOff>66675</xdr:colOff>
                    <xdr:row>14</xdr:row>
                    <xdr:rowOff>38100</xdr:rowOff>
                  </from>
                  <to>
                    <xdr:col>4</xdr:col>
                    <xdr:colOff>19050</xdr:colOff>
                    <xdr:row>15</xdr:row>
                    <xdr:rowOff>114300</xdr:rowOff>
                  </to>
                </anchor>
              </controlPr>
            </control>
          </mc:Choice>
        </mc:AlternateContent>
        <mc:AlternateContent>
          <mc:Choice Requires="x14">
            <control name="Check Box 74" r:id="rId22" shapeId="49226">
              <controlPr autoFill="0" autoLine="0" autoPict="0" defaultSize="0" macro="[0]!Show_AIL">
                <anchor moveWithCells="1">
                  <from>
                    <xdr:col>3</xdr:col>
                    <xdr:colOff>66675</xdr:colOff>
                    <xdr:row>16</xdr:row>
                    <xdr:rowOff>47625</xdr:rowOff>
                  </from>
                  <to>
                    <xdr:col>4</xdr:col>
                    <xdr:colOff>19050</xdr:colOff>
                    <xdr:row>17</xdr:row>
                    <xdr:rowOff>123825</xdr:rowOff>
                  </to>
                </anchor>
              </controlPr>
            </control>
          </mc:Choice>
        </mc:AlternateContent>
        <mc:AlternateContent>
          <mc:Choice Requires="x14">
            <control name="Check Box 76" r:id="rId23" shapeId="2">
              <controlPr autoFill="0" autoLine="0" autoPict="0" defaultSize="0" macro="[0]!Show_NI">
                <anchor moveWithCells="1">
                  <from>
                    <xdr:col>7</xdr:col>
                    <xdr:colOff>66675</xdr:colOff>
                    <xdr:row>16</xdr:row>
                    <xdr:rowOff>123825</xdr:rowOff>
                  </from>
                  <to>
                    <xdr:col>8</xdr:col>
                    <xdr:colOff>38100</xdr:colOff>
                    <xdr:row>18</xdr:row>
                    <xdr:rowOff>57150</xdr:rowOff>
                  </to>
                </anchor>
              </controlPr>
            </control>
          </mc:Choice>
        </mc:AlternateContent>
        <mc:AlternateContent>
          <mc:Choice Requires="x14">
            <control name="Button 78" r:id="rId24" shapeId="3">
              <controlPr autoFill="0" autoPict="0" defaultSize="0" macro="[0]!Calculate_now_W" print="0">
                <anchor moveWithCells="1">
                  <from>
                    <xdr:col>2</xdr:col>
                    <xdr:colOff>2019300</xdr:colOff>
                    <xdr:row>23</xdr:row>
                    <xdr:rowOff>142875</xdr:rowOff>
                  </from>
                  <to>
                    <xdr:col>6</xdr:col>
                    <xdr:colOff>1200150</xdr:colOff>
                    <xdr:row>25</xdr:row>
                    <xdr:rowOff>161925</xdr:rowOff>
                  </to>
                </anchor>
              </controlPr>
            </control>
          </mc:Choice>
        </mc:AlternateContent>
        <mc:AlternateContent>
          <mc:Choice Requires="x14">
            <control name="Check Box 79" r:id="rId25" shapeId="49231">
              <controlPr autoFill="0" autoLine="0" autoPict="0" defaultSize="0" macro="[0]!Show_EMP">
                <anchor moveWithCells="1">
                  <from>
                    <xdr:col>7</xdr:col>
                    <xdr:colOff>38100</xdr:colOff>
                    <xdr:row>29</xdr:row>
                    <xdr:rowOff>142875</xdr:rowOff>
                  </from>
                  <to>
                    <xdr:col>8</xdr:col>
                    <xdr:colOff>133350</xdr:colOff>
                    <xdr:row>31</xdr:row>
                    <xdr:rowOff>66675</xdr:rowOff>
                  </to>
                </anchor>
              </controlPr>
            </control>
          </mc:Choice>
        </mc:AlternateContent>
      </controls>
    </mc:Choice>
  </mc:AlternateContent>
</worksheet>
</file>

<file path=xl/worksheets/sheet20.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2"/>
  <dimension ref="A1:BK78"/>
  <sheetViews>
    <sheetView showGridLines="0" tabSelected="1" topLeftCell="A4" workbookViewId="0" zoomScaleNormal="100">
      <selection activeCell="A36" sqref="A36"/>
    </sheetView>
  </sheetViews>
  <sheetFormatPr defaultColWidth="9.140625" defaultRowHeight="12" x14ac:dyDescent="0.2"/>
  <cols>
    <col min="1" max="1" customWidth="true" style="547" width="4.28515625" collapsed="true"/>
    <col min="2" max="2" customWidth="true" style="546" width="11.42578125" collapsed="true"/>
    <col min="3" max="3" customWidth="true" style="546" width="2.42578125" collapsed="true"/>
    <col min="4" max="4" customWidth="true" style="546" width="5.5703125" collapsed="true"/>
    <col min="5" max="5" customWidth="true" style="546" width="11.85546875" collapsed="true"/>
    <col min="6" max="6" customWidth="true" style="546" width="2.7109375" collapsed="true"/>
    <col min="7" max="7" customWidth="true" style="546" width="5.28515625" collapsed="true"/>
    <col min="8" max="8" customWidth="true" style="546" width="12.0" collapsed="true"/>
    <col min="9" max="9" customWidth="true" style="546" width="2.42578125" collapsed="true"/>
    <col min="10" max="10" customWidth="true" style="546" width="4.85546875" collapsed="true"/>
    <col min="11" max="11" customWidth="true" style="546" width="12.5703125" collapsed="true"/>
    <col min="12" max="12" customWidth="true" style="546" width="2.28515625" collapsed="true"/>
    <col min="13" max="13" customWidth="true" style="547" width="6.7109375" collapsed="true"/>
    <col min="14" max="14" customWidth="true" style="546" width="12.7109375" collapsed="true"/>
    <col min="15" max="15" customWidth="true" style="546" width="2.42578125" collapsed="true"/>
    <col min="16" max="16" customWidth="true" style="546" width="5.140625" collapsed="true"/>
    <col min="17" max="17" customWidth="true" style="546" width="11.5703125" collapsed="true"/>
    <col min="18" max="18" customWidth="true" style="546" width="2.7109375" collapsed="true"/>
    <col min="19" max="19" customWidth="true" style="546" width="4.7109375" collapsed="true"/>
    <col min="20" max="20" customWidth="true" style="546" width="11.0" collapsed="true"/>
    <col min="21" max="21" customWidth="true" style="546" width="3.140625" collapsed="true"/>
    <col min="22" max="22" customWidth="true" style="546" width="4.7109375" collapsed="true"/>
    <col min="23" max="23" customWidth="true" style="546" width="11.85546875" collapsed="true"/>
    <col min="24" max="24" customWidth="true" style="546" width="2.85546875" collapsed="true"/>
    <col min="25" max="25" customWidth="true" style="546" width="5.28515625" collapsed="true"/>
    <col min="26" max="26" customWidth="true" style="546" width="12.85546875" collapsed="true"/>
    <col min="27" max="27" customWidth="true" style="546" width="3.42578125" collapsed="true"/>
    <col min="28" max="28" customWidth="true" style="123" width="4.28515625" collapsed="true"/>
    <col min="29" max="29" customWidth="true" style="123" width="11.0" collapsed="true"/>
    <col min="30" max="30" customWidth="true" style="123" width="2.7109375" collapsed="true"/>
    <col min="31" max="31" customWidth="true" style="123" width="4.140625" collapsed="true"/>
    <col min="32" max="32" customWidth="true" style="123" width="12.0" collapsed="true"/>
    <col min="33" max="33" customWidth="true" style="123" width="2.7109375" collapsed="true"/>
    <col min="34" max="34" customWidth="true" style="123" width="4.7109375" collapsed="true"/>
    <col min="35" max="35" customWidth="true" style="123" width="11.85546875" collapsed="true"/>
    <col min="36" max="36" customWidth="true" style="123" width="2.7109375" collapsed="true"/>
    <col min="37" max="37" customWidth="true" style="123" width="4.28515625" collapsed="true"/>
    <col min="38" max="38" customWidth="true" style="123" width="13.5703125" collapsed="true"/>
    <col min="39" max="39" customWidth="true" style="123" width="1.7109375" collapsed="true"/>
    <col min="40" max="40" customWidth="true" style="123" width="4.5703125" collapsed="true"/>
    <col min="41" max="41" customWidth="true" style="123" width="12.28515625" collapsed="true"/>
    <col min="42" max="42" customWidth="true" style="123" width="2.7109375" collapsed="true"/>
    <col min="43" max="43" customWidth="true" style="123" width="4.140625" collapsed="true"/>
    <col min="44" max="44" customWidth="true" style="123" width="11.85546875" collapsed="true"/>
    <col min="45" max="45" customWidth="true" style="123" width="2.7109375" collapsed="true"/>
    <col min="46" max="46" customWidth="true" style="123" width="4.28515625" collapsed="true"/>
    <col min="47" max="47" customWidth="true" style="123" width="11.28515625" collapsed="true"/>
    <col min="48" max="48" customWidth="true" style="123" width="2.140625" collapsed="true"/>
    <col min="49" max="49" bestFit="true" customWidth="true" style="123" width="5.28515625" collapsed="true"/>
    <col min="50" max="50" customWidth="true" style="123" width="11.0" collapsed="true"/>
    <col min="51" max="51" customWidth="true" style="123" width="2.140625" collapsed="true"/>
    <col min="52" max="52" customWidth="true" style="123" width="4.28515625" collapsed="true"/>
    <col min="53" max="53" customWidth="true" style="123" width="12.28515625" collapsed="true"/>
    <col min="54" max="54" customWidth="true" style="123" width="2.5703125" collapsed="true"/>
    <col min="55" max="55" customWidth="true" style="123" width="4.42578125" collapsed="true"/>
    <col min="56" max="56" customWidth="true" style="123" width="10.28515625" collapsed="true"/>
    <col min="57" max="57" customWidth="true" style="123" width="2.7109375" collapsed="true"/>
    <col min="58" max="58" customWidth="true" style="123" width="5.140625" collapsed="true"/>
    <col min="59" max="59" customWidth="true" style="123" width="11.5703125" collapsed="true"/>
    <col min="60" max="60" customWidth="true" style="123" width="2.0" collapsed="true"/>
    <col min="61" max="61" customWidth="true" style="547" width="4.5703125" collapsed="true"/>
    <col min="62" max="62" customWidth="true" style="123" width="13.5703125" collapsed="true"/>
    <col min="63" max="63" customWidth="true" style="123" width="3.5703125" collapsed="true"/>
    <col min="64" max="64" customWidth="true" style="123" width="6.7109375" collapsed="true"/>
    <col min="65" max="65" customWidth="true" style="123" width="13.28515625" collapsed="true"/>
    <col min="66" max="16384" style="123" width="9.140625" collapsed="true"/>
  </cols>
  <sheetData>
    <row r="1" spans="1:62" x14ac:dyDescent="0.2">
      <c r="A1" s="562"/>
      <c r="B1" s="98" t="s">
        <v>9105</v>
      </c>
      <c r="C1" s="98"/>
      <c r="D1" s="98"/>
      <c r="E1" s="98"/>
      <c r="F1" s="98"/>
      <c r="G1" s="562"/>
      <c r="H1" s="98"/>
      <c r="I1" s="98"/>
      <c r="J1" s="562"/>
      <c r="K1" s="98"/>
      <c r="L1" s="98"/>
      <c r="M1" s="562"/>
      <c r="N1" s="98"/>
      <c r="O1" s="98"/>
      <c r="P1" s="98"/>
      <c r="Q1" s="98"/>
      <c r="R1" s="98"/>
      <c r="S1" s="98"/>
      <c r="T1" s="98"/>
      <c r="U1" s="98"/>
      <c r="V1" s="562"/>
      <c r="W1" s="98"/>
      <c r="X1" s="98"/>
      <c r="Y1" s="98"/>
      <c r="Z1" s="98"/>
      <c r="AA1" s="98"/>
      <c r="AB1" s="98"/>
      <c r="AC1" s="98"/>
      <c r="AD1" s="98"/>
      <c r="AE1" s="98"/>
      <c r="AF1" s="98"/>
      <c r="AG1" s="98"/>
      <c r="AH1" s="98"/>
      <c r="AI1" s="98"/>
      <c r="AJ1" s="98"/>
      <c r="AK1" s="98"/>
      <c r="AL1" s="98"/>
      <c r="AM1" s="98"/>
      <c r="AN1" s="98"/>
      <c r="AO1" s="98"/>
      <c r="AP1" s="98"/>
      <c r="AQ1" s="562"/>
      <c r="AR1" s="98"/>
      <c r="AS1" s="98"/>
      <c r="AT1" s="98"/>
      <c r="AU1" s="98"/>
      <c r="AV1" s="98"/>
      <c r="AW1" s="98"/>
      <c r="AX1" s="98"/>
      <c r="AY1" s="98"/>
      <c r="AZ1" s="98"/>
      <c r="BA1" s="98"/>
      <c r="BB1" s="98"/>
      <c r="BC1" s="98"/>
      <c r="BD1" s="98"/>
      <c r="BE1" s="98"/>
      <c r="BF1" s="98"/>
      <c r="BG1" s="98"/>
      <c r="BH1" s="98"/>
      <c r="BI1" s="562"/>
      <c r="BJ1" s="98"/>
    </row>
    <row r="2" spans="1:62" x14ac:dyDescent="0.2">
      <c r="A2" s="1635"/>
      <c r="B2" s="1636"/>
      <c r="C2" s="1637" t="s">
        <v>2239</v>
      </c>
      <c r="D2" s="1638"/>
      <c r="E2" s="1639"/>
      <c r="F2" s="98"/>
      <c r="G2" s="1635"/>
      <c r="H2" s="1636"/>
      <c r="I2" s="1637" t="s">
        <v>2240</v>
      </c>
      <c r="J2" s="1638"/>
      <c r="K2" s="1639"/>
      <c r="L2" s="98"/>
      <c r="M2" s="1635"/>
      <c r="N2" s="1640" t="s">
        <v>2241</v>
      </c>
      <c r="O2" s="98"/>
      <c r="P2" s="1635"/>
      <c r="Q2" s="1640" t="s">
        <v>2628</v>
      </c>
      <c r="R2" s="98"/>
      <c r="S2" s="1635"/>
      <c r="T2" s="1640" t="s">
        <v>3742</v>
      </c>
      <c r="U2" s="98"/>
      <c r="V2" s="1635"/>
      <c r="W2" s="1636"/>
      <c r="X2" s="1647" t="s">
        <v>2242</v>
      </c>
      <c r="Y2" s="1637"/>
      <c r="Z2" s="1648"/>
      <c r="AA2" s="98"/>
      <c r="AB2" s="1635"/>
      <c r="AC2" s="1636"/>
      <c r="AD2" s="1637" t="s">
        <v>2627</v>
      </c>
      <c r="AE2" s="1636"/>
      <c r="AF2" s="1639"/>
      <c r="AG2" s="98"/>
      <c r="AH2" s="1635"/>
      <c r="AI2" s="1640" t="s">
        <v>2629</v>
      </c>
      <c r="AJ2" s="98"/>
      <c r="AK2" s="1635"/>
      <c r="AL2" s="1638"/>
      <c r="AM2" s="1637" t="s">
        <v>2630</v>
      </c>
      <c r="AN2" s="1638"/>
      <c r="AO2" s="1640"/>
      <c r="AP2" s="98"/>
      <c r="AQ2" s="1635"/>
      <c r="AR2" s="1640" t="s">
        <v>2243</v>
      </c>
      <c r="AS2" s="98"/>
      <c r="AT2" s="1635"/>
      <c r="AU2" s="1636"/>
      <c r="AV2" s="1640" t="s">
        <v>3743</v>
      </c>
      <c r="AW2" s="1635"/>
      <c r="AX2" s="1640"/>
      <c r="AY2" s="98"/>
      <c r="AZ2" s="1635"/>
      <c r="BA2" s="1640" t="s">
        <v>3744</v>
      </c>
      <c r="BB2" s="98"/>
      <c r="BC2" s="1635"/>
      <c r="BD2" s="1640" t="s">
        <v>2625</v>
      </c>
      <c r="BE2" s="98"/>
      <c r="BF2" s="1635"/>
      <c r="BG2" s="1640" t="s">
        <v>2626</v>
      </c>
      <c r="BH2" s="98"/>
      <c r="BI2" s="1635"/>
      <c r="BJ2" s="1640" t="s">
        <v>2244</v>
      </c>
    </row>
    <row ht="12.75" r="3" spans="1:62" thickBot="1" x14ac:dyDescent="0.25">
      <c r="A3" s="965" t="s">
        <v>650</v>
      </c>
      <c r="B3" s="123"/>
      <c r="C3" s="123"/>
      <c r="D3" s="566" t="s">
        <v>2851</v>
      </c>
      <c r="E3" s="966" t="s">
        <v>9106</v>
      </c>
      <c r="F3" s="123"/>
      <c r="G3" s="965" t="s">
        <v>3322</v>
      </c>
      <c r="H3" s="966" t="s">
        <v>8950</v>
      </c>
      <c r="I3" s="123"/>
      <c r="J3" s="965" t="s">
        <v>614</v>
      </c>
      <c r="K3" s="966" t="s">
        <v>8951</v>
      </c>
      <c r="L3" s="123"/>
      <c r="M3" s="965" t="s">
        <v>3740</v>
      </c>
      <c r="N3" s="1214" t="s">
        <v>9107</v>
      </c>
      <c r="O3" s="123"/>
      <c r="P3" s="965" t="s">
        <v>2075</v>
      </c>
      <c r="Q3" s="1214" t="s">
        <v>8951</v>
      </c>
      <c r="R3" s="123"/>
      <c r="S3" s="965" t="s">
        <v>2076</v>
      </c>
      <c r="T3" s="1214" t="s">
        <v>8951</v>
      </c>
      <c r="U3" s="123"/>
      <c r="V3" s="965" t="s">
        <v>3663</v>
      </c>
      <c r="W3" s="1214" t="s">
        <v>9107</v>
      </c>
      <c r="X3" s="123"/>
      <c r="Y3" s="965" t="s">
        <v>3663</v>
      </c>
      <c r="Z3" s="1214" t="s">
        <v>9107</v>
      </c>
      <c r="AA3" s="123"/>
      <c r="AB3" s="965" t="s">
        <v>3665</v>
      </c>
      <c r="AC3" s="1214" t="s">
        <v>8951</v>
      </c>
      <c r="AE3" s="965" t="s">
        <v>3665</v>
      </c>
      <c r="AF3" s="1214" t="s">
        <v>8951</v>
      </c>
      <c r="AH3" s="965" t="s">
        <v>2261</v>
      </c>
      <c r="AI3" s="1214" t="s">
        <v>8951</v>
      </c>
      <c r="AK3" s="965" t="s">
        <v>3316</v>
      </c>
      <c r="AL3" s="1214" t="s">
        <v>8951</v>
      </c>
      <c r="AM3" s="1214"/>
      <c r="AN3" s="965" t="s">
        <v>3316</v>
      </c>
      <c r="AO3" s="1214" t="s">
        <v>8951</v>
      </c>
      <c r="AQ3" s="965" t="s">
        <v>3318</v>
      </c>
      <c r="AR3" s="1214" t="s">
        <v>8951</v>
      </c>
      <c r="AT3" s="965" t="s">
        <v>3319</v>
      </c>
      <c r="AU3" s="1214" t="s">
        <v>8951</v>
      </c>
      <c r="AW3" s="965" t="s">
        <v>3319</v>
      </c>
      <c r="AX3" s="1214" t="s">
        <v>8951</v>
      </c>
      <c r="AZ3" s="965" t="s">
        <v>3320</v>
      </c>
      <c r="BA3" s="1214" t="s">
        <v>8951</v>
      </c>
      <c r="BC3" s="965" t="s">
        <v>2768</v>
      </c>
      <c r="BD3" s="1214" t="s">
        <v>8951</v>
      </c>
      <c r="BF3" s="965" t="s">
        <v>3321</v>
      </c>
      <c r="BG3" s="1214" t="s">
        <v>8951</v>
      </c>
      <c r="BH3" s="98"/>
      <c r="BI3" s="562" t="s">
        <v>568</v>
      </c>
      <c r="BJ3" s="573" t="s">
        <v>9107</v>
      </c>
    </row>
    <row ht="12.75" r="4" spans="1:62" thickBot="1" x14ac:dyDescent="0.25">
      <c r="A4" s="1631" t="s">
        <v>952</v>
      </c>
      <c r="B4" s="1641" t="s">
        <v>9108</v>
      </c>
      <c r="C4" s="123"/>
      <c r="D4" s="563" t="s">
        <v>952</v>
      </c>
      <c r="E4" s="1653">
        <v>1000</v>
      </c>
      <c r="F4" s="123"/>
      <c r="G4" s="563" t="s">
        <v>952</v>
      </c>
      <c r="H4" s="1633" t="s">
        <v>1881</v>
      </c>
      <c r="I4" s="123"/>
      <c r="J4" s="563" t="s">
        <v>952</v>
      </c>
      <c r="K4" s="1633" t="s">
        <v>1881</v>
      </c>
      <c r="L4" s="123"/>
      <c r="M4" s="563" t="s">
        <v>952</v>
      </c>
      <c r="N4" s="1633">
        <v>33254</v>
      </c>
      <c r="O4" s="123"/>
      <c r="P4" s="563" t="s">
        <v>952</v>
      </c>
      <c r="Q4" s="1633" t="s">
        <v>1881</v>
      </c>
      <c r="R4" s="123"/>
      <c r="S4" s="563" t="s">
        <v>952</v>
      </c>
      <c r="T4" s="1633" t="s">
        <v>1881</v>
      </c>
      <c r="U4" s="123"/>
      <c r="V4" s="563" t="s">
        <v>952</v>
      </c>
      <c r="W4" s="1633" t="s">
        <v>1146</v>
      </c>
      <c r="X4" s="123"/>
      <c r="Y4" s="4047" t="s">
        <v>2799</v>
      </c>
      <c r="Z4" s="4048" t="s">
        <v>1881</v>
      </c>
      <c r="AA4" s="123"/>
      <c r="AB4" s="563" t="s">
        <v>952</v>
      </c>
      <c r="AC4" s="1633" t="s">
        <v>1881</v>
      </c>
      <c r="AE4" s="563" t="s">
        <v>2865</v>
      </c>
      <c r="AF4" s="1633" t="s">
        <v>1881</v>
      </c>
      <c r="AH4" s="563" t="s">
        <v>952</v>
      </c>
      <c r="AI4" s="1649" t="s">
        <v>1881</v>
      </c>
      <c r="AK4" s="563" t="s">
        <v>952</v>
      </c>
      <c r="AL4" s="1650" t="s">
        <v>1881</v>
      </c>
      <c r="AM4" s="584"/>
      <c r="AN4" s="563" t="s">
        <v>2868</v>
      </c>
      <c r="AO4" s="1653" t="s">
        <v>1881</v>
      </c>
      <c r="AQ4" s="563" t="s">
        <v>952</v>
      </c>
      <c r="AR4" s="1634" t="s">
        <v>1881</v>
      </c>
      <c r="AT4" s="1651">
        <v>1</v>
      </c>
      <c r="AU4" s="1633" t="s">
        <v>1881</v>
      </c>
      <c r="AW4" s="1654">
        <v>13.1</v>
      </c>
      <c r="AX4" s="1633" t="s">
        <v>1881</v>
      </c>
      <c r="AZ4" s="563" t="s">
        <v>952</v>
      </c>
      <c r="BA4" s="1633" t="s">
        <v>1881</v>
      </c>
      <c r="BC4" s="563" t="s">
        <v>952</v>
      </c>
      <c r="BD4" s="1633" t="s">
        <v>1881</v>
      </c>
      <c r="BF4" s="563" t="s">
        <v>952</v>
      </c>
      <c r="BG4" s="1649" t="s">
        <v>1881</v>
      </c>
      <c r="BI4" s="563" t="s">
        <v>952</v>
      </c>
      <c r="BJ4" s="1633">
        <v>12908.429999999998</v>
      </c>
    </row>
    <row ht="12.75" r="5" spans="1:62" thickBot="1" x14ac:dyDescent="0.25">
      <c r="A5" s="1631" t="s">
        <v>2247</v>
      </c>
      <c r="B5" s="1641"/>
      <c r="C5" s="123"/>
      <c r="D5" s="1632" t="s">
        <v>2247</v>
      </c>
      <c r="E5" s="1653">
        <v>1200</v>
      </c>
      <c r="F5" s="123"/>
      <c r="G5" s="1632" t="s">
        <v>2247</v>
      </c>
      <c r="H5" s="1633" t="s">
        <v>1881</v>
      </c>
      <c r="I5" s="123"/>
      <c r="J5" s="1632" t="s">
        <v>2247</v>
      </c>
      <c r="K5" s="1633" t="s">
        <v>1881</v>
      </c>
      <c r="L5" s="123"/>
      <c r="M5" s="1632" t="s">
        <v>2247</v>
      </c>
      <c r="N5" s="1633">
        <v>2000</v>
      </c>
      <c r="O5" s="123"/>
      <c r="P5" s="1632" t="s">
        <v>2247</v>
      </c>
      <c r="Q5" s="1633" t="s">
        <v>1881</v>
      </c>
      <c r="R5" s="123"/>
      <c r="S5" s="1632" t="s">
        <v>2247</v>
      </c>
      <c r="T5" s="1633" t="s">
        <v>1881</v>
      </c>
      <c r="U5" s="123"/>
      <c r="V5" s="1632" t="s">
        <v>2247</v>
      </c>
      <c r="W5" s="1633" t="s">
        <v>1147</v>
      </c>
      <c r="X5" s="123"/>
      <c r="Y5" s="4046" t="s">
        <v>2802</v>
      </c>
      <c r="Z5" s="4049" t="s">
        <v>1881</v>
      </c>
      <c r="AA5" s="123"/>
      <c r="AB5" s="1632" t="s">
        <v>2247</v>
      </c>
      <c r="AC5" s="1633" t="s">
        <v>1881</v>
      </c>
      <c r="AE5" s="1632" t="s">
        <v>2868</v>
      </c>
      <c r="AF5" s="1633" t="s">
        <v>1881</v>
      </c>
      <c r="AH5" s="1632" t="s">
        <v>2247</v>
      </c>
      <c r="AI5" s="1649" t="s">
        <v>1881</v>
      </c>
      <c r="AK5" s="1632" t="s">
        <v>2247</v>
      </c>
      <c r="AL5" s="1650" t="s">
        <v>1881</v>
      </c>
      <c r="AM5" s="584"/>
      <c r="AN5" s="1632" t="s">
        <v>2799</v>
      </c>
      <c r="AO5" s="1653" t="s">
        <v>1881</v>
      </c>
      <c r="AQ5" s="1632" t="s">
        <v>2247</v>
      </c>
      <c r="AR5" s="1649" t="s">
        <v>1881</v>
      </c>
      <c r="AT5" s="1652">
        <v>2</v>
      </c>
      <c r="AU5" s="1633" t="s">
        <v>1881</v>
      </c>
      <c r="AW5" s="1654">
        <v>13.2</v>
      </c>
      <c r="AX5" s="1633" t="s">
        <v>1881</v>
      </c>
      <c r="AZ5" s="1632" t="s">
        <v>2247</v>
      </c>
      <c r="BA5" s="1633" t="s">
        <v>1881</v>
      </c>
      <c r="BC5" s="1632" t="s">
        <v>2247</v>
      </c>
      <c r="BD5" s="1633" t="s">
        <v>1881</v>
      </c>
      <c r="BF5" s="1632" t="s">
        <v>2247</v>
      </c>
      <c r="BG5" s="1649" t="s">
        <v>1881</v>
      </c>
      <c r="BI5" s="1632" t="s">
        <v>2247</v>
      </c>
      <c r="BJ5" s="1633" t="s">
        <v>1881</v>
      </c>
    </row>
    <row ht="12.75" r="6" spans="1:62" thickBot="1" x14ac:dyDescent="0.25">
      <c r="A6" s="1631" t="s">
        <v>2250</v>
      </c>
      <c r="B6" s="1642"/>
      <c r="C6" s="123"/>
      <c r="D6" s="1632" t="s">
        <v>2250</v>
      </c>
      <c r="E6" s="1653" t="s">
        <v>1881</v>
      </c>
      <c r="F6" s="123"/>
      <c r="G6" s="565" t="s">
        <v>2250</v>
      </c>
      <c r="H6" s="1633" t="s">
        <v>1881</v>
      </c>
      <c r="I6" s="123"/>
      <c r="J6" s="1632" t="s">
        <v>2250</v>
      </c>
      <c r="K6" s="1633" t="s">
        <v>1881</v>
      </c>
      <c r="L6" s="123"/>
      <c r="M6" s="1632" t="s">
        <v>2250</v>
      </c>
      <c r="N6" s="1633" t="s">
        <v>1881</v>
      </c>
      <c r="O6" s="123"/>
      <c r="P6" s="1632" t="s">
        <v>2250</v>
      </c>
      <c r="Q6" s="1633" t="s">
        <v>1881</v>
      </c>
      <c r="R6" s="123"/>
      <c r="S6" s="1632" t="s">
        <v>2250</v>
      </c>
      <c r="T6" s="1633" t="s">
        <v>1881</v>
      </c>
      <c r="U6" s="123"/>
      <c r="V6" s="1632" t="s">
        <v>2250</v>
      </c>
      <c r="W6" s="1633" t="s">
        <v>1881</v>
      </c>
      <c r="X6" s="123"/>
      <c r="Y6" s="1632" t="s">
        <v>2805</v>
      </c>
      <c r="Z6" s="1633" t="s">
        <v>1881</v>
      </c>
      <c r="AA6" s="123"/>
      <c r="AB6" s="1632" t="s">
        <v>2250</v>
      </c>
      <c r="AC6" s="1633" t="s">
        <v>1881</v>
      </c>
      <c r="AE6" s="1632" t="s">
        <v>2799</v>
      </c>
      <c r="AF6" s="1633" t="s">
        <v>1881</v>
      </c>
      <c r="AH6" s="1632" t="s">
        <v>2250</v>
      </c>
      <c r="AI6" s="1653" t="s">
        <v>1881</v>
      </c>
      <c r="AK6" s="1632" t="s">
        <v>2250</v>
      </c>
      <c r="AL6" s="1661" t="s">
        <v>1881</v>
      </c>
      <c r="AM6" s="585"/>
      <c r="AN6" s="1632" t="s">
        <v>2802</v>
      </c>
      <c r="AO6" s="1653" t="s">
        <v>1881</v>
      </c>
      <c r="AQ6" s="1632" t="s">
        <v>2250</v>
      </c>
      <c r="AR6" s="1649" t="s">
        <v>1881</v>
      </c>
      <c r="AT6" s="1652" t="s">
        <v>4076</v>
      </c>
      <c r="AU6" s="1633" t="s">
        <v>1881</v>
      </c>
      <c r="AW6" s="1651">
        <v>14</v>
      </c>
      <c r="AX6" s="1633" t="s">
        <v>1881</v>
      </c>
      <c r="AZ6" s="1632" t="s">
        <v>2250</v>
      </c>
      <c r="BA6" s="1633" t="s">
        <v>1881</v>
      </c>
      <c r="BC6" s="1632" t="s">
        <v>2250</v>
      </c>
      <c r="BD6" s="1634" t="s">
        <v>1881</v>
      </c>
      <c r="BF6" s="1632" t="s">
        <v>2250</v>
      </c>
      <c r="BG6" s="1649" t="s">
        <v>1881</v>
      </c>
      <c r="BI6" s="1632" t="s">
        <v>2250</v>
      </c>
      <c r="BJ6" s="4066" t="s">
        <v>1881</v>
      </c>
    </row>
    <row ht="12.75" r="7" spans="1:62" thickBot="1" x14ac:dyDescent="0.25">
      <c r="A7" s="1631" t="s">
        <v>2253</v>
      </c>
      <c r="B7" s="1642"/>
      <c r="C7" s="123"/>
      <c r="D7" s="565" t="s">
        <v>2253</v>
      </c>
      <c r="E7" s="1653" t="s">
        <v>1881</v>
      </c>
      <c r="F7" s="123"/>
      <c r="G7" s="563" t="s">
        <v>2253</v>
      </c>
      <c r="H7" s="1633" t="s">
        <v>1881</v>
      </c>
      <c r="I7" s="123"/>
      <c r="J7" s="1632" t="s">
        <v>2253</v>
      </c>
      <c r="K7" s="1633" t="s">
        <v>1881</v>
      </c>
      <c r="L7" s="123"/>
      <c r="M7" s="1632" t="s">
        <v>2253</v>
      </c>
      <c r="N7" s="1633" t="s">
        <v>1022</v>
      </c>
      <c r="O7" s="123"/>
      <c r="P7" s="1632" t="s">
        <v>2253</v>
      </c>
      <c r="Q7" s="1633" t="s">
        <v>1881</v>
      </c>
      <c r="R7" s="123"/>
      <c r="S7" s="1632" t="s">
        <v>2253</v>
      </c>
      <c r="T7" s="1633" t="s">
        <v>1881</v>
      </c>
      <c r="U7" s="123"/>
      <c r="V7" s="1632" t="s">
        <v>2253</v>
      </c>
      <c r="W7" s="1633" t="s">
        <v>1881</v>
      </c>
      <c r="X7" s="123"/>
      <c r="Y7" s="1632" t="s">
        <v>2276</v>
      </c>
      <c r="Z7" s="1633" t="s">
        <v>1881</v>
      </c>
      <c r="AA7" s="123"/>
      <c r="AB7" s="1632" t="s">
        <v>2253</v>
      </c>
      <c r="AC7" s="1633" t="s">
        <v>1881</v>
      </c>
      <c r="AE7" s="1632" t="s">
        <v>2802</v>
      </c>
      <c r="AF7" s="1633" t="s">
        <v>1881</v>
      </c>
      <c r="AH7" s="1632" t="s">
        <v>2253</v>
      </c>
      <c r="AI7" s="1653" t="s">
        <v>1881</v>
      </c>
      <c r="AK7" s="1632" t="s">
        <v>2253</v>
      </c>
      <c r="AL7" s="1661" t="s">
        <v>1881</v>
      </c>
      <c r="AM7" s="585"/>
      <c r="AN7" s="1632" t="s">
        <v>2805</v>
      </c>
      <c r="AO7" s="1653" t="s">
        <v>1881</v>
      </c>
      <c r="AQ7" s="1632" t="s">
        <v>2253</v>
      </c>
      <c r="AR7" s="1649" t="s">
        <v>1881</v>
      </c>
      <c r="AT7" s="1652" t="s">
        <v>4077</v>
      </c>
      <c r="AU7" s="1633" t="s">
        <v>1881</v>
      </c>
      <c r="AW7" s="1652">
        <v>14.1</v>
      </c>
      <c r="AX7" s="1633" t="s">
        <v>1881</v>
      </c>
      <c r="AZ7" s="1632" t="s">
        <v>2253</v>
      </c>
      <c r="BA7" s="1633" t="s">
        <v>1881</v>
      </c>
      <c r="BC7" s="1632" t="s">
        <v>2253</v>
      </c>
      <c r="BD7" s="1633" t="s">
        <v>1881</v>
      </c>
      <c r="BF7" s="1632" t="s">
        <v>6118</v>
      </c>
      <c r="BG7" s="1649" t="s">
        <v>1881</v>
      </c>
      <c r="BI7" s="3164" t="s">
        <v>6118</v>
      </c>
      <c r="BJ7" s="4066" t="s">
        <v>1881</v>
      </c>
    </row>
    <row ht="12.75" r="8" spans="1:62" thickBot="1" x14ac:dyDescent="0.25">
      <c r="A8" s="1813" t="s">
        <v>5887</v>
      </c>
      <c r="B8" s="1642">
        <v>2</v>
      </c>
      <c r="C8" s="123"/>
      <c r="D8" s="563" t="s">
        <v>2256</v>
      </c>
      <c r="E8" s="1653">
        <v>500</v>
      </c>
      <c r="F8" s="123"/>
      <c r="G8" s="1632" t="s">
        <v>2256</v>
      </c>
      <c r="H8" s="1634" t="s">
        <v>1881</v>
      </c>
      <c r="I8" s="123"/>
      <c r="J8" s="1632" t="s">
        <v>2256</v>
      </c>
      <c r="K8" s="1633" t="s">
        <v>1881</v>
      </c>
      <c r="L8" s="123"/>
      <c r="M8" s="1632" t="s">
        <v>2256</v>
      </c>
      <c r="N8" s="1633" t="s">
        <v>1881</v>
      </c>
      <c r="O8" s="123"/>
      <c r="P8" s="1632" t="s">
        <v>2256</v>
      </c>
      <c r="Q8" s="1633" t="s">
        <v>1881</v>
      </c>
      <c r="R8" s="123"/>
      <c r="S8" s="1632" t="s">
        <v>2256</v>
      </c>
      <c r="T8" s="1633" t="s">
        <v>1881</v>
      </c>
      <c r="U8" s="123"/>
      <c r="V8" s="1632" t="s">
        <v>2256</v>
      </c>
      <c r="W8" s="1633" t="s">
        <v>1881</v>
      </c>
      <c r="X8" s="123"/>
      <c r="Y8" s="1632" t="s">
        <v>1776</v>
      </c>
      <c r="Z8" s="1633" t="s">
        <v>1881</v>
      </c>
      <c r="AA8" s="123"/>
      <c r="AB8" s="1632" t="s">
        <v>2256</v>
      </c>
      <c r="AC8" s="1633" t="s">
        <v>1881</v>
      </c>
      <c r="AE8" s="1632" t="s">
        <v>2805</v>
      </c>
      <c r="AF8" s="1633" t="s">
        <v>1881</v>
      </c>
      <c r="AH8" s="1632" t="s">
        <v>2256</v>
      </c>
      <c r="AI8" s="1653" t="s">
        <v>1881</v>
      </c>
      <c r="AK8" s="1632" t="s">
        <v>2256</v>
      </c>
      <c r="AL8" s="1650" t="s">
        <v>1881</v>
      </c>
      <c r="AM8" s="585"/>
      <c r="AN8" s="1632" t="s">
        <v>2276</v>
      </c>
      <c r="AO8" s="1653" t="s">
        <v>1881</v>
      </c>
      <c r="AQ8" s="1632" t="s">
        <v>2256</v>
      </c>
      <c r="AR8" s="1653" t="s">
        <v>1881</v>
      </c>
      <c r="AT8" s="1652" t="s">
        <v>4078</v>
      </c>
      <c r="AU8" s="1633" t="s">
        <v>1881</v>
      </c>
      <c r="AW8" s="1652">
        <v>14.2</v>
      </c>
      <c r="AX8" s="1633" t="s">
        <v>1881</v>
      </c>
      <c r="AZ8" s="1632" t="s">
        <v>2256</v>
      </c>
      <c r="BA8" s="1633" t="s">
        <v>1881</v>
      </c>
      <c r="BC8" s="1632" t="s">
        <v>2256</v>
      </c>
      <c r="BD8" s="1633" t="s">
        <v>1881</v>
      </c>
      <c r="BF8" s="1632" t="s">
        <v>2253</v>
      </c>
      <c r="BG8" s="1649" t="s">
        <v>1881</v>
      </c>
      <c r="BI8" s="1632" t="s">
        <v>2253</v>
      </c>
      <c r="BJ8" s="1633">
        <v>500.22</v>
      </c>
    </row>
    <row r="9" spans="1:62" x14ac:dyDescent="0.2">
      <c r="C9" s="123"/>
      <c r="D9" s="1632" t="s">
        <v>2259</v>
      </c>
      <c r="E9" s="1653" t="s">
        <v>1881</v>
      </c>
      <c r="F9" s="123"/>
      <c r="G9" s="1632" t="s">
        <v>2259</v>
      </c>
      <c r="H9" s="1633" t="s">
        <v>1881</v>
      </c>
      <c r="I9" s="123"/>
      <c r="J9" s="1632" t="s">
        <v>2259</v>
      </c>
      <c r="K9" s="1633" t="s">
        <v>1881</v>
      </c>
      <c r="L9" s="123"/>
      <c r="M9" s="1632" t="s">
        <v>2259</v>
      </c>
      <c r="N9" s="1633" t="s">
        <v>1189</v>
      </c>
      <c r="O9" s="123"/>
      <c r="P9" s="1632" t="s">
        <v>2259</v>
      </c>
      <c r="Q9" s="1633" t="s">
        <v>1881</v>
      </c>
      <c r="R9" s="123"/>
      <c r="S9" s="1632" t="s">
        <v>2259</v>
      </c>
      <c r="T9" s="1633" t="s">
        <v>1881</v>
      </c>
      <c r="U9" s="123"/>
      <c r="V9" s="1632" t="s">
        <v>2259</v>
      </c>
      <c r="W9" s="1633" t="s">
        <v>1881</v>
      </c>
      <c r="X9" s="123"/>
      <c r="Y9" s="2269" t="s">
        <v>1778</v>
      </c>
      <c r="Z9" s="3072"/>
      <c r="AA9" s="123"/>
      <c r="AB9" s="1632" t="s">
        <v>2259</v>
      </c>
      <c r="AC9" s="1633" t="s">
        <v>1881</v>
      </c>
      <c r="AE9" s="1632" t="s">
        <v>2276</v>
      </c>
      <c r="AF9" s="1633" t="s">
        <v>1881</v>
      </c>
      <c r="AH9" s="1632" t="s">
        <v>2259</v>
      </c>
      <c r="AI9" s="1653" t="s">
        <v>1881</v>
      </c>
      <c r="AK9" s="1632" t="s">
        <v>2259</v>
      </c>
      <c r="AL9" s="1661" t="s">
        <v>1881</v>
      </c>
      <c r="AN9" s="1632" t="s">
        <v>1776</v>
      </c>
      <c r="AO9" s="1653" t="s">
        <v>1881</v>
      </c>
      <c r="AQ9" s="1632" t="s">
        <v>6573</v>
      </c>
      <c r="AR9" s="1653" t="s">
        <v>1881</v>
      </c>
      <c r="AT9" s="1652" t="s">
        <v>4079</v>
      </c>
      <c r="AU9" s="1633" t="s">
        <v>1881</v>
      </c>
      <c r="AW9" s="1652">
        <v>15</v>
      </c>
      <c r="AX9" s="1634" t="s">
        <v>1881</v>
      </c>
      <c r="AZ9" s="1632" t="s">
        <v>2259</v>
      </c>
      <c r="BA9" s="1633" t="s">
        <v>1881</v>
      </c>
      <c r="BC9" s="1632" t="s">
        <v>2259</v>
      </c>
      <c r="BD9" s="1633" t="s">
        <v>1881</v>
      </c>
      <c r="BF9" s="1632" t="s">
        <v>2256</v>
      </c>
      <c r="BG9" s="1649" t="s">
        <v>1881</v>
      </c>
      <c r="BI9" s="1632" t="s">
        <v>4552</v>
      </c>
      <c r="BJ9" s="1633">
        <v>117</v>
      </c>
    </row>
    <row ht="12.75" r="10" spans="1:62" thickBot="1" x14ac:dyDescent="0.25">
      <c r="A10" s="564" t="s">
        <v>2847</v>
      </c>
      <c r="B10" s="966" t="s">
        <v>9106</v>
      </c>
      <c r="C10" s="123"/>
      <c r="D10" s="1632" t="s">
        <v>3933</v>
      </c>
      <c r="E10" s="1653" t="s">
        <v>1881</v>
      </c>
      <c r="F10" s="123"/>
      <c r="G10" s="1632" t="s">
        <v>3933</v>
      </c>
      <c r="H10" s="1634" t="s">
        <v>1881</v>
      </c>
      <c r="I10" s="123"/>
      <c r="J10" s="1632" t="s">
        <v>3933</v>
      </c>
      <c r="K10" s="1633" t="s">
        <v>1881</v>
      </c>
      <c r="L10" s="123"/>
      <c r="M10" s="1632" t="s">
        <v>1715</v>
      </c>
      <c r="N10" s="1633" t="s">
        <v>1881</v>
      </c>
      <c r="O10" s="123"/>
      <c r="P10" s="1632" t="s">
        <v>3933</v>
      </c>
      <c r="Q10" s="1633" t="s">
        <v>1881</v>
      </c>
      <c r="R10" s="123"/>
      <c r="S10" s="1632" t="s">
        <v>3933</v>
      </c>
      <c r="T10" s="1633" t="s">
        <v>1881</v>
      </c>
      <c r="U10" s="123"/>
      <c r="V10" s="1632" t="s">
        <v>3933</v>
      </c>
      <c r="W10" s="1633" t="s">
        <v>1881</v>
      </c>
      <c r="X10" s="123"/>
      <c r="Y10" s="1632" t="s">
        <v>1781</v>
      </c>
      <c r="Z10" s="1633" t="s">
        <v>1881</v>
      </c>
      <c r="AA10" s="123"/>
      <c r="AB10" s="2269" t="s">
        <v>3933</v>
      </c>
      <c r="AC10" s="2270"/>
      <c r="AE10" s="1632" t="s">
        <v>1776</v>
      </c>
      <c r="AF10" s="1633" t="s">
        <v>1881</v>
      </c>
      <c r="AH10" s="1632" t="s">
        <v>3933</v>
      </c>
      <c r="AI10" s="1653" t="s">
        <v>1881</v>
      </c>
      <c r="AK10" s="1632" t="s">
        <v>3933</v>
      </c>
      <c r="AL10" s="1661" t="s">
        <v>1881</v>
      </c>
      <c r="AN10" s="1632" t="s">
        <v>1778</v>
      </c>
      <c r="AO10" s="1653" t="s">
        <v>1881</v>
      </c>
      <c r="AQ10" s="1632" t="s">
        <v>6574</v>
      </c>
      <c r="AR10" s="1653" t="s">
        <v>1881</v>
      </c>
      <c r="AT10" s="1652" t="s">
        <v>4080</v>
      </c>
      <c r="AU10" s="1633" t="s">
        <v>1881</v>
      </c>
      <c r="AW10" s="1652">
        <v>16</v>
      </c>
      <c r="AX10" s="1633" t="s">
        <v>1881</v>
      </c>
      <c r="AZ10" s="1632" t="s">
        <v>3933</v>
      </c>
      <c r="BA10" s="1633" t="s">
        <v>1881</v>
      </c>
      <c r="BC10" s="1632" t="s">
        <v>3933</v>
      </c>
      <c r="BD10" s="1633" t="s">
        <v>1881</v>
      </c>
      <c r="BF10" s="1632" t="s">
        <v>2259</v>
      </c>
      <c r="BG10" s="1662" t="s">
        <v>1881</v>
      </c>
      <c r="BI10" s="1632" t="s">
        <v>2256</v>
      </c>
      <c r="BJ10" s="1633" t="s">
        <v>1881</v>
      </c>
    </row>
    <row r="11" spans="1:62" x14ac:dyDescent="0.2">
      <c r="A11" s="563" t="s">
        <v>952</v>
      </c>
      <c r="B11" s="1633" t="s">
        <v>1881</v>
      </c>
      <c r="C11" s="123"/>
      <c r="D11" s="1632" t="s">
        <v>3936</v>
      </c>
      <c r="E11" s="1653" t="s">
        <v>1881</v>
      </c>
      <c r="F11" s="123"/>
      <c r="G11" s="1632" t="s">
        <v>3936</v>
      </c>
      <c r="H11" s="1633" t="s">
        <v>1881</v>
      </c>
      <c r="I11" s="123"/>
      <c r="J11" s="1632" t="s">
        <v>3936</v>
      </c>
      <c r="K11" s="1633" t="s">
        <v>1881</v>
      </c>
      <c r="L11" s="123"/>
      <c r="M11" s="4461" t="s">
        <v>3933</v>
      </c>
      <c r="N11" s="1633" t="s">
        <v>1189</v>
      </c>
      <c r="O11" s="123"/>
      <c r="P11" s="1632" t="s">
        <v>3936</v>
      </c>
      <c r="Q11" s="1633" t="s">
        <v>1881</v>
      </c>
      <c r="R11" s="123"/>
      <c r="S11" s="1632" t="s">
        <v>3936</v>
      </c>
      <c r="T11" s="1633" t="s">
        <v>1881</v>
      </c>
      <c r="U11" s="123"/>
      <c r="V11" s="1632" t="s">
        <v>3936</v>
      </c>
      <c r="W11" s="1633" t="s">
        <v>9109</v>
      </c>
      <c r="X11" s="123"/>
      <c r="Y11" s="1632" t="s">
        <v>40</v>
      </c>
      <c r="Z11" s="1633" t="s">
        <v>1881</v>
      </c>
      <c r="AA11" s="123"/>
      <c r="AB11" s="1632" t="s">
        <v>3936</v>
      </c>
      <c r="AC11" s="1633" t="s">
        <v>1881</v>
      </c>
      <c r="AE11" s="1632" t="s">
        <v>1778</v>
      </c>
      <c r="AF11" s="1633" t="s">
        <v>1881</v>
      </c>
      <c r="AH11" s="1632" t="s">
        <v>3936</v>
      </c>
      <c r="AI11" s="1653" t="s">
        <v>1881</v>
      </c>
      <c r="AK11" s="1632" t="s">
        <v>3936</v>
      </c>
      <c r="AL11" s="1663" t="s">
        <v>1881</v>
      </c>
      <c r="AN11" s="1632" t="s">
        <v>1781</v>
      </c>
      <c r="AO11" s="1653" t="s">
        <v>1881</v>
      </c>
      <c r="AQ11" s="1632" t="s">
        <v>2259</v>
      </c>
      <c r="AR11" s="1653" t="s">
        <v>1881</v>
      </c>
      <c r="AT11" s="1652" t="s">
        <v>4081</v>
      </c>
      <c r="AU11" s="1633" t="s">
        <v>1881</v>
      </c>
      <c r="AW11" s="1652">
        <v>17</v>
      </c>
      <c r="AX11" s="1633" t="s">
        <v>1881</v>
      </c>
      <c r="AZ11" s="1632" t="s">
        <v>3936</v>
      </c>
      <c r="BA11" s="1633" t="s">
        <v>1881</v>
      </c>
      <c r="BC11" s="1632" t="s">
        <v>3936</v>
      </c>
      <c r="BD11" s="1649" t="s">
        <v>1881</v>
      </c>
      <c r="BF11" s="1632" t="s">
        <v>3933</v>
      </c>
      <c r="BG11" s="1649" t="s">
        <v>1881</v>
      </c>
      <c r="BI11" s="1632" t="s">
        <v>2259</v>
      </c>
      <c r="BJ11" s="1633" t="s">
        <v>1881</v>
      </c>
    </row>
    <row r="12" spans="1:62" x14ac:dyDescent="0.2">
      <c r="A12" s="1632" t="s">
        <v>2247</v>
      </c>
      <c r="B12" s="1633">
        <v>3678</v>
      </c>
      <c r="C12" s="123"/>
      <c r="D12" s="1632" t="s">
        <v>2864</v>
      </c>
      <c r="E12" s="1653" t="s">
        <v>1881</v>
      </c>
      <c r="F12" s="123"/>
      <c r="G12" s="1632" t="s">
        <v>2864</v>
      </c>
      <c r="H12" s="1634" t="s">
        <v>1881</v>
      </c>
      <c r="I12" s="123"/>
      <c r="J12" s="1632" t="s">
        <v>2864</v>
      </c>
      <c r="K12" s="1633" t="s">
        <v>1881</v>
      </c>
      <c r="L12" s="123"/>
      <c r="M12" s="4463" t="s">
        <v>3936</v>
      </c>
      <c r="N12" s="3264" t="s">
        <v>6437</v>
      </c>
      <c r="O12" s="123"/>
      <c r="P12" s="1632" t="s">
        <v>2864</v>
      </c>
      <c r="Q12" s="1633" t="s">
        <v>1881</v>
      </c>
      <c r="R12" s="123"/>
      <c r="S12" s="1632" t="s">
        <v>2864</v>
      </c>
      <c r="T12" s="1633" t="s">
        <v>1881</v>
      </c>
      <c r="U12" s="123"/>
      <c r="V12" s="1632" t="s">
        <v>2864</v>
      </c>
      <c r="W12" s="1633" t="s">
        <v>9110</v>
      </c>
      <c r="X12" s="123"/>
      <c r="Y12" s="1632" t="s">
        <v>42</v>
      </c>
      <c r="Z12" s="1633" t="s">
        <v>1881</v>
      </c>
      <c r="AA12" s="123"/>
      <c r="AB12" s="1632" t="s">
        <v>2864</v>
      </c>
      <c r="AC12" s="1633" t="s">
        <v>1881</v>
      </c>
      <c r="AE12" s="1632" t="s">
        <v>1781</v>
      </c>
      <c r="AF12" s="1633" t="s">
        <v>1881</v>
      </c>
      <c r="AH12" s="1632" t="s">
        <v>2864</v>
      </c>
      <c r="AI12" s="1653" t="s">
        <v>1881</v>
      </c>
      <c r="AK12" s="1632" t="s">
        <v>2864</v>
      </c>
      <c r="AL12" s="1663" t="s">
        <v>1881</v>
      </c>
      <c r="AN12" s="1632" t="s">
        <v>40</v>
      </c>
      <c r="AO12" s="1653" t="s">
        <v>1881</v>
      </c>
      <c r="AQ12" s="1632" t="s">
        <v>3933</v>
      </c>
      <c r="AR12" s="1653" t="s">
        <v>1881</v>
      </c>
      <c r="AT12" s="1652" t="s">
        <v>4082</v>
      </c>
      <c r="AU12" s="1633" t="s">
        <v>1881</v>
      </c>
      <c r="AW12" s="1652">
        <v>18</v>
      </c>
      <c r="AX12" s="1633" t="s">
        <v>1881</v>
      </c>
      <c r="AZ12" s="1632" t="s">
        <v>2864</v>
      </c>
      <c r="BA12" s="1633" t="s">
        <v>1881</v>
      </c>
      <c r="BC12" s="4064" t="s">
        <v>2864</v>
      </c>
      <c r="BD12" s="4065" t="s">
        <v>6437</v>
      </c>
      <c r="BF12" s="1632" t="s">
        <v>3936</v>
      </c>
      <c r="BG12" s="1649" t="s">
        <v>1881</v>
      </c>
      <c r="BI12" s="1632" t="s">
        <v>3933</v>
      </c>
      <c r="BJ12" s="1633">
        <v>2999</v>
      </c>
    </row>
    <row ht="12.75" r="13" spans="1:62" thickBot="1" x14ac:dyDescent="0.25">
      <c r="A13" s="1632" t="s">
        <v>2250</v>
      </c>
      <c r="B13" s="1633" t="s">
        <v>1881</v>
      </c>
      <c r="C13" s="123"/>
      <c r="D13" s="1632" t="s">
        <v>2867</v>
      </c>
      <c r="E13" s="1653" t="s">
        <v>1881</v>
      </c>
      <c r="F13" s="123"/>
      <c r="G13" s="1632" t="s">
        <v>2867</v>
      </c>
      <c r="H13" s="1633" t="s">
        <v>1881</v>
      </c>
      <c r="I13" s="123"/>
      <c r="J13" s="1632" t="s">
        <v>2867</v>
      </c>
      <c r="K13" s="1633" t="s">
        <v>1881</v>
      </c>
      <c r="L13" s="123"/>
      <c r="M13" s="4462" t="s">
        <v>7714</v>
      </c>
      <c r="N13" s="1633" t="s">
        <v>1881</v>
      </c>
      <c r="O13" s="123"/>
      <c r="P13" s="1632" t="s">
        <v>2867</v>
      </c>
      <c r="Q13" s="1633" t="s">
        <v>1881</v>
      </c>
      <c r="R13" s="123"/>
      <c r="S13" s="1632" t="s">
        <v>2867</v>
      </c>
      <c r="T13" s="1633" t="s">
        <v>1881</v>
      </c>
      <c r="U13" s="123"/>
      <c r="V13" s="1632" t="s">
        <v>2867</v>
      </c>
      <c r="W13" s="1633" t="s">
        <v>1189</v>
      </c>
      <c r="X13" s="123"/>
      <c r="Y13" s="1632" t="s">
        <v>44</v>
      </c>
      <c r="Z13" s="1633" t="s">
        <v>1881</v>
      </c>
      <c r="AA13" s="123"/>
      <c r="AB13" s="2269" t="s">
        <v>2867</v>
      </c>
      <c r="AC13" s="2270"/>
      <c r="AE13" s="1632" t="s">
        <v>40</v>
      </c>
      <c r="AF13" s="1633" t="s">
        <v>1881</v>
      </c>
      <c r="AH13" s="1632" t="s">
        <v>2867</v>
      </c>
      <c r="AI13" s="1653" t="s">
        <v>1881</v>
      </c>
      <c r="AK13" s="1632" t="s">
        <v>2867</v>
      </c>
      <c r="AL13" s="1663" t="s">
        <v>1881</v>
      </c>
      <c r="AN13" s="1632" t="s">
        <v>42</v>
      </c>
      <c r="AO13" s="1653" t="s">
        <v>1881</v>
      </c>
      <c r="AQ13" s="1632" t="s">
        <v>3936</v>
      </c>
      <c r="AR13" s="1653" t="s">
        <v>1881</v>
      </c>
      <c r="AT13" s="1652" t="s">
        <v>4083</v>
      </c>
      <c r="AU13" s="1633" t="s">
        <v>1881</v>
      </c>
      <c r="AW13" s="1652">
        <v>19</v>
      </c>
      <c r="AX13" s="1633" t="s">
        <v>1881</v>
      </c>
      <c r="AZ13" s="1632" t="s">
        <v>2867</v>
      </c>
      <c r="BA13" s="1633" t="s">
        <v>1881</v>
      </c>
      <c r="BC13" s="4064" t="s">
        <v>2867</v>
      </c>
      <c r="BD13" s="4065" t="s">
        <v>6437</v>
      </c>
      <c r="BF13" s="1632" t="s">
        <v>2864</v>
      </c>
      <c r="BG13" s="1649" t="s">
        <v>1881</v>
      </c>
      <c r="BI13" s="1632" t="s">
        <v>3936</v>
      </c>
      <c r="BJ13" s="1633" t="s">
        <v>1881</v>
      </c>
    </row>
    <row ht="12.75" r="14" spans="1:62" thickBot="1" x14ac:dyDescent="0.25">
      <c r="A14" s="563" t="s">
        <v>2253</v>
      </c>
      <c r="B14" s="1633" t="s">
        <v>1881</v>
      </c>
      <c r="C14" s="123"/>
      <c r="D14" s="1632" t="s">
        <v>2798</v>
      </c>
      <c r="E14" s="1653" t="s">
        <v>1881</v>
      </c>
      <c r="F14" s="123"/>
      <c r="G14" s="565" t="s">
        <v>2798</v>
      </c>
      <c r="H14" s="1633" t="s">
        <v>1881</v>
      </c>
      <c r="I14" s="123"/>
      <c r="J14" s="565" t="s">
        <v>2798</v>
      </c>
      <c r="K14" s="1633" t="s">
        <v>1881</v>
      </c>
      <c r="L14" s="123"/>
      <c r="M14" s="1632" t="s">
        <v>2864</v>
      </c>
      <c r="N14" s="1633" t="s">
        <v>1881</v>
      </c>
      <c r="O14" s="123"/>
      <c r="P14" s="1632" t="s">
        <v>2798</v>
      </c>
      <c r="Q14" s="1633" t="s">
        <v>1881</v>
      </c>
      <c r="R14" s="123"/>
      <c r="S14" s="1632" t="s">
        <v>6598</v>
      </c>
      <c r="T14" s="1633" t="s">
        <v>1881</v>
      </c>
      <c r="U14" s="123"/>
      <c r="V14" s="1632" t="s">
        <v>2798</v>
      </c>
      <c r="W14" s="1633" t="s">
        <v>1189</v>
      </c>
      <c r="X14" s="123"/>
      <c r="Y14" s="1632" t="s">
        <v>46</v>
      </c>
      <c r="Z14" s="1633" t="s">
        <v>1881</v>
      </c>
      <c r="AA14" s="123"/>
      <c r="AB14" s="1632" t="s">
        <v>2798</v>
      </c>
      <c r="AC14" s="1633" t="s">
        <v>1881</v>
      </c>
      <c r="AE14" s="1632" t="s">
        <v>42</v>
      </c>
      <c r="AF14" s="1633" t="s">
        <v>1881</v>
      </c>
      <c r="AH14" s="1632" t="s">
        <v>2798</v>
      </c>
      <c r="AI14" s="1653" t="s">
        <v>1881</v>
      </c>
      <c r="AK14" s="1632" t="s">
        <v>2798</v>
      </c>
      <c r="AL14" s="1663" t="s">
        <v>1881</v>
      </c>
      <c r="AN14" s="1632" t="s">
        <v>44</v>
      </c>
      <c r="AO14" s="1653" t="s">
        <v>1881</v>
      </c>
      <c r="AQ14" s="1632" t="s">
        <v>2864</v>
      </c>
      <c r="AR14" s="1653" t="s">
        <v>1881</v>
      </c>
      <c r="AT14" s="1652" t="s">
        <v>4084</v>
      </c>
      <c r="AU14" s="1633" t="s">
        <v>1881</v>
      </c>
      <c r="AW14" s="1652">
        <v>20</v>
      </c>
      <c r="AX14" s="1633" t="s">
        <v>1881</v>
      </c>
      <c r="AZ14" s="1632" t="s">
        <v>2798</v>
      </c>
      <c r="BA14" s="1633" t="s">
        <v>1881</v>
      </c>
      <c r="BC14" s="1632" t="s">
        <v>2798</v>
      </c>
      <c r="BD14" s="1633" t="s">
        <v>1881</v>
      </c>
      <c r="BF14" s="1632" t="s">
        <v>2867</v>
      </c>
      <c r="BG14" s="1634" t="s">
        <v>1881</v>
      </c>
      <c r="BI14" s="1632" t="s">
        <v>2864</v>
      </c>
      <c r="BJ14" s="1633" t="s">
        <v>1881</v>
      </c>
    </row>
    <row ht="12.75" r="15" spans="1:62" thickBot="1" x14ac:dyDescent="0.25">
      <c r="A15" s="1632" t="s">
        <v>2256</v>
      </c>
      <c r="B15" s="1633">
        <v>12750</v>
      </c>
      <c r="C15" s="123"/>
      <c r="D15" s="565" t="s">
        <v>2801</v>
      </c>
      <c r="E15" s="1653" t="s">
        <v>1881</v>
      </c>
      <c r="F15" s="123"/>
      <c r="G15" s="563" t="s">
        <v>2801</v>
      </c>
      <c r="H15" s="1633" t="s">
        <v>1881</v>
      </c>
      <c r="I15" s="123"/>
      <c r="J15" s="123"/>
      <c r="K15" s="123"/>
      <c r="L15" s="123"/>
      <c r="M15" s="1632" t="s">
        <v>2867</v>
      </c>
      <c r="N15" s="1633" t="s">
        <v>1881</v>
      </c>
      <c r="O15" s="123"/>
      <c r="P15" s="1632" t="s">
        <v>2801</v>
      </c>
      <c r="Q15" s="1633" t="s">
        <v>1881</v>
      </c>
      <c r="R15" s="123"/>
      <c r="S15" s="1632" t="s">
        <v>2798</v>
      </c>
      <c r="T15" s="1633" t="s">
        <v>1881</v>
      </c>
      <c r="U15" s="123"/>
      <c r="V15" s="1632" t="s">
        <v>2801</v>
      </c>
      <c r="W15" s="1633" t="s">
        <v>1189</v>
      </c>
      <c r="X15" s="123"/>
      <c r="Y15" s="1632" t="s">
        <v>48</v>
      </c>
      <c r="Z15" s="1633">
        <v>14900</v>
      </c>
      <c r="AA15" s="123"/>
      <c r="AB15" s="1632" t="s">
        <v>2801</v>
      </c>
      <c r="AC15" s="1633" t="s">
        <v>1881</v>
      </c>
      <c r="AE15" s="1632" t="s">
        <v>44</v>
      </c>
      <c r="AF15" s="1633" t="s">
        <v>1881</v>
      </c>
      <c r="AH15" s="1632" t="s">
        <v>2801</v>
      </c>
      <c r="AI15" s="1653" t="s">
        <v>1881</v>
      </c>
      <c r="AK15" s="1632" t="s">
        <v>2801</v>
      </c>
      <c r="AL15" s="1663" t="s">
        <v>1881</v>
      </c>
      <c r="AN15" s="1632" t="s">
        <v>46</v>
      </c>
      <c r="AO15" s="1653" t="s">
        <v>1881</v>
      </c>
      <c r="AQ15" s="1632" t="s">
        <v>2867</v>
      </c>
      <c r="AR15" s="1653" t="s">
        <v>1881</v>
      </c>
      <c r="AT15" s="1652" t="s">
        <v>4085</v>
      </c>
      <c r="AU15" s="1633" t="s">
        <v>1881</v>
      </c>
      <c r="AW15" s="1652">
        <v>21</v>
      </c>
      <c r="AX15" s="1633" t="s">
        <v>1881</v>
      </c>
      <c r="AZ15" s="1632" t="s">
        <v>2801</v>
      </c>
      <c r="BA15" s="1633" t="s">
        <v>1881</v>
      </c>
      <c r="BC15" s="1632" t="s">
        <v>2801</v>
      </c>
      <c r="BD15" s="1633" t="s">
        <v>1881</v>
      </c>
      <c r="BF15" s="1632" t="s">
        <v>2798</v>
      </c>
      <c r="BG15" s="1634" t="s">
        <v>1881</v>
      </c>
      <c r="BI15" s="1632" t="s">
        <v>2867</v>
      </c>
      <c r="BJ15" s="1633" t="s">
        <v>1881</v>
      </c>
    </row>
    <row ht="12.75" r="16" spans="1:62" thickBot="1" x14ac:dyDescent="0.25">
      <c r="A16" s="1632" t="s">
        <v>2259</v>
      </c>
      <c r="B16" s="1633" t="s">
        <v>1881</v>
      </c>
      <c r="C16" s="123"/>
      <c r="D16" s="563" t="s">
        <v>2804</v>
      </c>
      <c r="E16" s="1649" t="s">
        <v>1881</v>
      </c>
      <c r="F16" s="123"/>
      <c r="G16" s="1632" t="s">
        <v>2804</v>
      </c>
      <c r="H16" s="1633" t="s">
        <v>1881</v>
      </c>
      <c r="I16" s="123"/>
      <c r="J16" s="965" t="s">
        <v>3832</v>
      </c>
      <c r="K16" s="966" t="s">
        <v>8951</v>
      </c>
      <c r="L16" s="123"/>
      <c r="M16" s="1632" t="s">
        <v>2798</v>
      </c>
      <c r="N16" s="1633" t="s">
        <v>1881</v>
      </c>
      <c r="O16" s="123"/>
      <c r="P16" s="1632" t="s">
        <v>2804</v>
      </c>
      <c r="Q16" s="1633" t="s">
        <v>1881</v>
      </c>
      <c r="R16" s="123"/>
      <c r="S16" s="1632" t="s">
        <v>2801</v>
      </c>
      <c r="T16" s="1633" t="s">
        <v>1881</v>
      </c>
      <c r="U16" s="123"/>
      <c r="V16" s="1632" t="s">
        <v>2804</v>
      </c>
      <c r="W16" s="1633" t="s">
        <v>1189</v>
      </c>
      <c r="X16" s="123"/>
      <c r="Y16" s="1632" t="s">
        <v>1796</v>
      </c>
      <c r="Z16" s="1633" t="s">
        <v>1881</v>
      </c>
      <c r="AA16" s="123"/>
      <c r="AB16" s="1632" t="s">
        <v>2804</v>
      </c>
      <c r="AC16" s="1633" t="s">
        <v>1881</v>
      </c>
      <c r="AE16" s="1632" t="s">
        <v>46</v>
      </c>
      <c r="AF16" s="1633" t="s">
        <v>1881</v>
      </c>
      <c r="AH16" s="1632" t="s">
        <v>2804</v>
      </c>
      <c r="AI16" s="1653" t="s">
        <v>1881</v>
      </c>
      <c r="AK16" s="1632" t="s">
        <v>2804</v>
      </c>
      <c r="AL16" s="1663" t="s">
        <v>1881</v>
      </c>
      <c r="AN16" s="1632" t="s">
        <v>6556</v>
      </c>
      <c r="AO16" s="1653" t="s">
        <v>1881</v>
      </c>
      <c r="AQ16" s="1632" t="s">
        <v>2798</v>
      </c>
      <c r="AR16" s="1653" t="s">
        <v>1881</v>
      </c>
      <c r="AT16" s="1652" t="s">
        <v>4086</v>
      </c>
      <c r="AU16" s="1633" t="s">
        <v>1881</v>
      </c>
      <c r="AW16" s="1652">
        <v>22</v>
      </c>
      <c r="AX16" s="1633" t="s">
        <v>1881</v>
      </c>
      <c r="AZ16" s="1632" t="s">
        <v>2804</v>
      </c>
      <c r="BA16" s="1633" t="s">
        <v>1881</v>
      </c>
      <c r="BC16" s="1632" t="s">
        <v>2804</v>
      </c>
      <c r="BD16" s="1633" t="s">
        <v>1881</v>
      </c>
      <c r="BF16" s="1632" t="s">
        <v>2801</v>
      </c>
      <c r="BG16" s="1634" t="s">
        <v>1881</v>
      </c>
      <c r="BI16" s="1632" t="s">
        <v>2798</v>
      </c>
      <c r="BJ16" s="1633" t="s">
        <v>1881</v>
      </c>
    </row>
    <row r="17" spans="1:62" x14ac:dyDescent="0.2">
      <c r="A17" s="563" t="s">
        <v>3933</v>
      </c>
      <c r="B17" s="1633" t="s">
        <v>1881</v>
      </c>
      <c r="C17" s="123"/>
      <c r="D17" s="1632" t="s">
        <v>851</v>
      </c>
      <c r="E17" s="1649" t="s">
        <v>1881</v>
      </c>
      <c r="F17" s="123"/>
      <c r="G17" s="4043" t="s">
        <v>8492</v>
      </c>
      <c r="H17" s="4044" t="s">
        <v>1881</v>
      </c>
      <c r="I17" s="123"/>
      <c r="J17" s="563" t="s">
        <v>952</v>
      </c>
      <c r="K17" s="1633" t="s">
        <v>1881</v>
      </c>
      <c r="L17" s="123"/>
      <c r="M17" s="1632" t="s">
        <v>2801</v>
      </c>
      <c r="N17" s="1633" t="s">
        <v>1881</v>
      </c>
      <c r="O17" s="123"/>
      <c r="P17" s="1632" t="s">
        <v>851</v>
      </c>
      <c r="Q17" s="1633" t="s">
        <v>1881</v>
      </c>
      <c r="R17" s="123"/>
      <c r="S17" s="1632" t="s">
        <v>2804</v>
      </c>
      <c r="T17" s="1633" t="s">
        <v>1881</v>
      </c>
      <c r="U17" s="123"/>
      <c r="V17" s="1632" t="s">
        <v>851</v>
      </c>
      <c r="W17" s="1633" t="s">
        <v>1189</v>
      </c>
      <c r="X17" s="123"/>
      <c r="Y17" s="1632" t="s">
        <v>1798</v>
      </c>
      <c r="Z17" s="1633" t="s">
        <v>9109</v>
      </c>
      <c r="AA17" s="123"/>
      <c r="AB17" s="1632" t="s">
        <v>851</v>
      </c>
      <c r="AC17" s="1633" t="s">
        <v>1881</v>
      </c>
      <c r="AE17" s="1632" t="s">
        <v>48</v>
      </c>
      <c r="AF17" s="1633" t="s">
        <v>1881</v>
      </c>
      <c r="AH17" s="1632" t="s">
        <v>851</v>
      </c>
      <c r="AI17" s="1653" t="s">
        <v>1881</v>
      </c>
      <c r="AK17" s="1632" t="s">
        <v>851</v>
      </c>
      <c r="AL17" s="1663" t="s">
        <v>1881</v>
      </c>
      <c r="AN17" s="1632" t="s">
        <v>7415</v>
      </c>
      <c r="AO17" s="1653" t="s">
        <v>1881</v>
      </c>
      <c r="AQ17" s="4046" t="s">
        <v>6492</v>
      </c>
      <c r="AR17" s="4057" t="s">
        <v>1881</v>
      </c>
      <c r="AT17" s="1652" t="s">
        <v>4087</v>
      </c>
      <c r="AU17" s="1633" t="s">
        <v>1881</v>
      </c>
      <c r="AW17" s="4060">
        <v>22.1</v>
      </c>
      <c r="AX17" s="4061" t="s">
        <v>1881</v>
      </c>
      <c r="AZ17" s="1632" t="s">
        <v>851</v>
      </c>
      <c r="BA17" s="1633" t="s">
        <v>1881</v>
      </c>
      <c r="BC17" s="1632" t="s">
        <v>851</v>
      </c>
      <c r="BD17" s="1634" t="s">
        <v>1881</v>
      </c>
      <c r="BF17" s="1632" t="s">
        <v>2804</v>
      </c>
      <c r="BG17" s="1634" t="s">
        <v>1881</v>
      </c>
      <c r="BI17" s="1632" t="s">
        <v>2801</v>
      </c>
      <c r="BJ17" s="1633" t="s">
        <v>1881</v>
      </c>
    </row>
    <row ht="12.75" r="18" spans="1:62" thickBot="1" x14ac:dyDescent="0.25">
      <c r="A18" s="1632" t="s">
        <v>3936</v>
      </c>
      <c r="B18" s="1633" t="s">
        <v>1881</v>
      </c>
      <c r="C18" s="123"/>
      <c r="D18" s="1632" t="s">
        <v>2278</v>
      </c>
      <c r="E18" s="1649" t="s">
        <v>1881</v>
      </c>
      <c r="F18" s="123"/>
      <c r="G18" s="1632" t="s">
        <v>851</v>
      </c>
      <c r="H18" s="1633" t="s">
        <v>1881</v>
      </c>
      <c r="I18" s="123"/>
      <c r="J18" s="1632" t="s">
        <v>2247</v>
      </c>
      <c r="K18" s="1633" t="s">
        <v>1881</v>
      </c>
      <c r="L18" s="123"/>
      <c r="M18" s="1632" t="s">
        <v>2804</v>
      </c>
      <c r="N18" s="1633" t="s">
        <v>1881</v>
      </c>
      <c r="O18" s="123"/>
      <c r="P18" s="1632" t="s">
        <v>2278</v>
      </c>
      <c r="Q18" s="1633" t="s">
        <v>1881</v>
      </c>
      <c r="R18" s="123"/>
      <c r="S18" s="1632" t="s">
        <v>851</v>
      </c>
      <c r="T18" s="1633" t="s">
        <v>1881</v>
      </c>
      <c r="U18" s="123"/>
      <c r="V18" s="1632" t="s">
        <v>2278</v>
      </c>
      <c r="W18" s="1633">
        <v>74900</v>
      </c>
      <c r="X18" s="123"/>
      <c r="Y18" s="1632" t="s">
        <v>1800</v>
      </c>
      <c r="Z18" s="1633" t="s">
        <v>9111</v>
      </c>
      <c r="AA18" s="123"/>
      <c r="AB18" s="1632" t="s">
        <v>2278</v>
      </c>
      <c r="AC18" s="1633" t="s">
        <v>1881</v>
      </c>
      <c r="AE18" s="1632" t="s">
        <v>1796</v>
      </c>
      <c r="AF18" s="1633" t="s">
        <v>1881</v>
      </c>
      <c r="AH18" s="1632" t="s">
        <v>2278</v>
      </c>
      <c r="AI18" s="1653" t="s">
        <v>1881</v>
      </c>
      <c r="AK18" s="1632" t="s">
        <v>2278</v>
      </c>
      <c r="AL18" s="1663" t="s">
        <v>1881</v>
      </c>
      <c r="AN18" s="565" t="s">
        <v>6447</v>
      </c>
      <c r="AO18" s="1653" t="s">
        <v>1881</v>
      </c>
      <c r="AQ18" s="1632" t="s">
        <v>2801</v>
      </c>
      <c r="AR18" s="1653" t="s">
        <v>1881</v>
      </c>
      <c r="AT18" s="1652">
        <v>3</v>
      </c>
      <c r="AU18" s="1633" t="s">
        <v>1881</v>
      </c>
      <c r="AW18" s="4062">
        <v>22.2</v>
      </c>
      <c r="AX18" s="4063" t="s">
        <v>1881</v>
      </c>
      <c r="AZ18" s="1632" t="s">
        <v>2278</v>
      </c>
      <c r="BA18" s="1633" t="s">
        <v>1881</v>
      </c>
      <c r="BC18" s="1632" t="s">
        <v>2278</v>
      </c>
      <c r="BD18" s="1633" t="s">
        <v>1881</v>
      </c>
      <c r="BF18" s="1632" t="s">
        <v>851</v>
      </c>
      <c r="BG18" s="1634" t="s">
        <v>1881</v>
      </c>
      <c r="BI18" s="1632" t="s">
        <v>2804</v>
      </c>
      <c r="BJ18" s="1633" t="s">
        <v>1881</v>
      </c>
    </row>
    <row ht="12.75" r="19" spans="1:62" thickBot="1" x14ac:dyDescent="0.25">
      <c r="A19" s="1632" t="s">
        <v>2864</v>
      </c>
      <c r="B19" s="1633" t="s">
        <v>1881</v>
      </c>
      <c r="C19" s="123"/>
      <c r="D19" s="565" t="s">
        <v>1777</v>
      </c>
      <c r="E19" s="1649" t="s">
        <v>1881</v>
      </c>
      <c r="F19" s="123"/>
      <c r="G19" s="565" t="s">
        <v>2278</v>
      </c>
      <c r="H19" s="1633" t="s">
        <v>1881</v>
      </c>
      <c r="I19" s="123"/>
      <c r="J19" s="1632" t="s">
        <v>2250</v>
      </c>
      <c r="K19" s="1633" t="s">
        <v>1881</v>
      </c>
      <c r="L19" s="123"/>
      <c r="M19" s="1632" t="s">
        <v>851</v>
      </c>
      <c r="N19" s="1633" t="s">
        <v>1881</v>
      </c>
      <c r="O19" s="123"/>
      <c r="P19" s="1632" t="s">
        <v>1777</v>
      </c>
      <c r="Q19" s="1633" t="s">
        <v>1881</v>
      </c>
      <c r="R19" s="123"/>
      <c r="S19" s="1632" t="s">
        <v>2278</v>
      </c>
      <c r="T19" s="1633" t="s">
        <v>1881</v>
      </c>
      <c r="U19" s="123"/>
      <c r="V19" s="1632" t="s">
        <v>1777</v>
      </c>
      <c r="W19" s="1633" t="s">
        <v>1881</v>
      </c>
      <c r="X19" s="123"/>
      <c r="Y19" s="1632" t="s">
        <v>1802</v>
      </c>
      <c r="Z19" s="1633">
        <v>-1010</v>
      </c>
      <c r="AA19" s="123"/>
      <c r="AB19" s="1632" t="s">
        <v>1777</v>
      </c>
      <c r="AC19" s="1633" t="s">
        <v>1881</v>
      </c>
      <c r="AE19" s="565" t="s">
        <v>1798</v>
      </c>
      <c r="AF19" s="1633" t="s">
        <v>1881</v>
      </c>
      <c r="AH19" s="1632" t="s">
        <v>1777</v>
      </c>
      <c r="AI19" s="1653" t="s">
        <v>1881</v>
      </c>
      <c r="AK19" s="1632" t="s">
        <v>1777</v>
      </c>
      <c r="AL19" s="1663" t="s">
        <v>1881</v>
      </c>
      <c r="AN19" s="1632" t="s">
        <v>48</v>
      </c>
      <c r="AO19" s="1653" t="s">
        <v>1881</v>
      </c>
      <c r="AQ19" s="1632" t="s">
        <v>2804</v>
      </c>
      <c r="AR19" s="1653" t="s">
        <v>1881</v>
      </c>
      <c r="AT19" s="1652">
        <v>4</v>
      </c>
      <c r="AU19" s="1633" t="s">
        <v>1881</v>
      </c>
      <c r="AW19" s="1652">
        <v>23</v>
      </c>
      <c r="AX19" s="1633" t="s">
        <v>1881</v>
      </c>
      <c r="AZ19" s="1632" t="s">
        <v>1777</v>
      </c>
      <c r="BA19" s="1633" t="s">
        <v>1881</v>
      </c>
      <c r="BC19" s="1632" t="s">
        <v>1777</v>
      </c>
      <c r="BD19" s="1633" t="s">
        <v>1881</v>
      </c>
      <c r="BF19" s="1632" t="s">
        <v>2278</v>
      </c>
      <c r="BG19" s="1649" t="s">
        <v>1881</v>
      </c>
      <c r="BI19" s="1632" t="s">
        <v>851</v>
      </c>
      <c r="BJ19" s="1633" t="s">
        <v>1881</v>
      </c>
    </row>
    <row r="20" spans="1:62" x14ac:dyDescent="0.2">
      <c r="A20" s="563" t="s">
        <v>2867</v>
      </c>
      <c r="B20" s="1633" t="s">
        <v>1881</v>
      </c>
      <c r="C20" s="123"/>
      <c r="F20" s="123"/>
      <c r="G20" s="965"/>
      <c r="H20" s="123"/>
      <c r="I20" s="123"/>
      <c r="J20" s="1632" t="s">
        <v>2253</v>
      </c>
      <c r="K20" s="1633" t="s">
        <v>1881</v>
      </c>
      <c r="L20" s="123"/>
      <c r="M20" s="1632" t="s">
        <v>2278</v>
      </c>
      <c r="N20" s="1633" t="s">
        <v>1881</v>
      </c>
      <c r="O20" s="123"/>
      <c r="P20" s="1632" t="s">
        <v>1780</v>
      </c>
      <c r="Q20" s="1633" t="s">
        <v>1881</v>
      </c>
      <c r="R20" s="123"/>
      <c r="S20" s="1632" t="s">
        <v>1777</v>
      </c>
      <c r="T20" s="1633" t="s">
        <v>1881</v>
      </c>
      <c r="U20" s="123"/>
      <c r="V20" s="1632" t="s">
        <v>6599</v>
      </c>
      <c r="W20" s="1633" t="s">
        <v>1881</v>
      </c>
      <c r="X20" s="123"/>
      <c r="Y20" s="1632" t="s">
        <v>1804</v>
      </c>
      <c r="Z20" s="1633" t="s">
        <v>1881</v>
      </c>
      <c r="AA20" s="123"/>
      <c r="AB20" s="1632" t="s">
        <v>1780</v>
      </c>
      <c r="AC20" s="1633" t="s">
        <v>1881</v>
      </c>
      <c r="AH20" s="1632" t="s">
        <v>1780</v>
      </c>
      <c r="AI20" s="1653" t="s">
        <v>1881</v>
      </c>
      <c r="AK20" s="1632" t="s">
        <v>1780</v>
      </c>
      <c r="AL20" s="1663" t="s">
        <v>1881</v>
      </c>
      <c r="AN20" s="1632" t="s">
        <v>1796</v>
      </c>
      <c r="AO20" s="1653" t="s">
        <v>1881</v>
      </c>
      <c r="AQ20" s="1632" t="s">
        <v>851</v>
      </c>
      <c r="AR20" s="1653" t="s">
        <v>1881</v>
      </c>
      <c r="AT20" s="1652" t="s">
        <v>4076</v>
      </c>
      <c r="AU20" s="1633" t="s">
        <v>1881</v>
      </c>
      <c r="AW20" s="1652">
        <v>24</v>
      </c>
      <c r="AX20" s="1633" t="s">
        <v>1881</v>
      </c>
      <c r="AZ20" s="1632" t="s">
        <v>1780</v>
      </c>
      <c r="BA20" s="1633" t="s">
        <v>1881</v>
      </c>
      <c r="BC20" s="1632" t="s">
        <v>1780</v>
      </c>
      <c r="BD20" s="1633" t="s">
        <v>1881</v>
      </c>
      <c r="BF20" s="1632" t="s">
        <v>1777</v>
      </c>
      <c r="BG20" s="1649" t="s">
        <v>1881</v>
      </c>
      <c r="BI20" s="1632" t="s">
        <v>2278</v>
      </c>
      <c r="BJ20" s="1633" t="s">
        <v>1881</v>
      </c>
    </row>
    <row ht="12.75" r="21" spans="1:62" thickBot="1" x14ac:dyDescent="0.25">
      <c r="A21" s="1632" t="s">
        <v>2798</v>
      </c>
      <c r="B21" s="1633" t="s">
        <v>1881</v>
      </c>
      <c r="C21" s="123"/>
      <c r="D21" s="965" t="s">
        <v>908</v>
      </c>
      <c r="E21" s="966"/>
      <c r="F21" s="123"/>
      <c r="G21" s="965" t="s">
        <v>6</v>
      </c>
      <c r="H21" s="966" t="s">
        <v>8950</v>
      </c>
      <c r="I21" s="123"/>
      <c r="J21" s="1632" t="s">
        <v>2256</v>
      </c>
      <c r="K21" s="1633" t="s">
        <v>1881</v>
      </c>
      <c r="L21" s="123"/>
      <c r="M21" s="1632" t="s">
        <v>1777</v>
      </c>
      <c r="N21" s="1633" t="s">
        <v>1881</v>
      </c>
      <c r="O21" s="123"/>
      <c r="P21" s="1632" t="s">
        <v>1783</v>
      </c>
      <c r="Q21" s="1633" t="s">
        <v>1881</v>
      </c>
      <c r="R21" s="123"/>
      <c r="S21" s="1632" t="s">
        <v>1780</v>
      </c>
      <c r="T21" s="1633" t="s">
        <v>1881</v>
      </c>
      <c r="U21" s="123"/>
      <c r="V21" s="1632" t="s">
        <v>1780</v>
      </c>
      <c r="W21" s="1633">
        <v>25000</v>
      </c>
      <c r="X21" s="123"/>
      <c r="Y21" s="1632" t="s">
        <v>1806</v>
      </c>
      <c r="Z21" s="1633" t="s">
        <v>1881</v>
      </c>
      <c r="AA21" s="123"/>
      <c r="AB21" s="1632" t="s">
        <v>1783</v>
      </c>
      <c r="AC21" s="1633" t="s">
        <v>1881</v>
      </c>
      <c r="AH21" s="1632" t="s">
        <v>1783</v>
      </c>
      <c r="AI21" s="1653" t="s">
        <v>1881</v>
      </c>
      <c r="AK21" s="1632" t="s">
        <v>1783</v>
      </c>
      <c r="AL21" s="1663" t="s">
        <v>1881</v>
      </c>
      <c r="AN21" s="1632" t="s">
        <v>1798</v>
      </c>
      <c r="AO21" s="1653" t="s">
        <v>1881</v>
      </c>
      <c r="AQ21" s="1632" t="s">
        <v>2278</v>
      </c>
      <c r="AR21" s="1653" t="s">
        <v>1881</v>
      </c>
      <c r="AT21" s="1652" t="s">
        <v>4077</v>
      </c>
      <c r="AU21" s="1633" t="s">
        <v>1881</v>
      </c>
      <c r="AW21" s="1652">
        <v>24.1</v>
      </c>
      <c r="AX21" s="1633" t="s">
        <v>1881</v>
      </c>
      <c r="AZ21" s="1632" t="s">
        <v>1783</v>
      </c>
      <c r="BA21" s="1633" t="s">
        <v>1881</v>
      </c>
      <c r="BC21" s="1632" t="s">
        <v>1783</v>
      </c>
      <c r="BD21" s="1653" t="s">
        <v>1881</v>
      </c>
      <c r="BF21" s="1632" t="s">
        <v>1780</v>
      </c>
      <c r="BG21" s="1649" t="s">
        <v>1881</v>
      </c>
      <c r="BI21" s="1632" t="s">
        <v>1777</v>
      </c>
      <c r="BJ21" s="1633" t="s">
        <v>1881</v>
      </c>
    </row>
    <row ht="12.75" r="22" spans="1:62" thickBot="1" x14ac:dyDescent="0.25">
      <c r="A22" s="1632" t="s">
        <v>2801</v>
      </c>
      <c r="B22" s="1633" t="s">
        <v>1881</v>
      </c>
      <c r="C22" s="123"/>
      <c r="D22" s="1631" t="s">
        <v>952</v>
      </c>
      <c r="E22" s="1643">
        <v>600</v>
      </c>
      <c r="F22" s="123"/>
      <c r="G22" s="563" t="s">
        <v>952</v>
      </c>
      <c r="H22" s="1633" t="s">
        <v>1881</v>
      </c>
      <c r="I22" s="123"/>
      <c r="J22" s="1632" t="s">
        <v>2259</v>
      </c>
      <c r="K22" s="1633" t="s">
        <v>1881</v>
      </c>
      <c r="L22" s="123"/>
      <c r="M22" s="1632" t="s">
        <v>1780</v>
      </c>
      <c r="N22" s="1633" t="s">
        <v>1881</v>
      </c>
      <c r="O22" s="123"/>
      <c r="P22" s="1632" t="s">
        <v>41</v>
      </c>
      <c r="Q22" s="1633" t="s">
        <v>1881</v>
      </c>
      <c r="R22" s="123"/>
      <c r="S22" s="1632" t="s">
        <v>1783</v>
      </c>
      <c r="T22" s="1633" t="s">
        <v>1881</v>
      </c>
      <c r="U22" s="123"/>
      <c r="V22" s="1632" t="s">
        <v>1783</v>
      </c>
      <c r="W22" s="1633" t="s">
        <v>1881</v>
      </c>
      <c r="X22" s="123"/>
      <c r="Y22" s="1632" t="s">
        <v>1808</v>
      </c>
      <c r="Z22" s="1633" t="s">
        <v>1881</v>
      </c>
      <c r="AA22" s="123"/>
      <c r="AB22" s="2269" t="s">
        <v>41</v>
      </c>
      <c r="AC22" s="2270"/>
      <c r="AH22" s="1632" t="s">
        <v>41</v>
      </c>
      <c r="AI22" s="1653" t="s">
        <v>1881</v>
      </c>
      <c r="AK22" s="1632" t="s">
        <v>41</v>
      </c>
      <c r="AL22" s="1663" t="s">
        <v>1881</v>
      </c>
      <c r="AN22" s="1632" t="s">
        <v>1800</v>
      </c>
      <c r="AO22" s="1653" t="s">
        <v>1881</v>
      </c>
      <c r="AQ22" s="1632" t="s">
        <v>1777</v>
      </c>
      <c r="AR22" s="1653" t="s">
        <v>1881</v>
      </c>
      <c r="AT22" s="1652" t="s">
        <v>4078</v>
      </c>
      <c r="AU22" s="1633" t="s">
        <v>1881</v>
      </c>
      <c r="AW22" s="1652">
        <v>24.2</v>
      </c>
      <c r="AX22" s="1633" t="s">
        <v>1881</v>
      </c>
      <c r="AZ22" s="1632" t="s">
        <v>41</v>
      </c>
      <c r="BA22" s="1633" t="s">
        <v>1881</v>
      </c>
      <c r="BC22" s="1632" t="s">
        <v>41</v>
      </c>
      <c r="BD22" s="1633" t="s">
        <v>1881</v>
      </c>
      <c r="BF22" s="1632" t="s">
        <v>1783</v>
      </c>
      <c r="BG22" s="1649" t="s">
        <v>1881</v>
      </c>
      <c r="BI22" s="565" t="s">
        <v>1780</v>
      </c>
      <c r="BJ22" s="1633"/>
    </row>
    <row ht="12.75" r="23" spans="1:62" thickBot="1" x14ac:dyDescent="0.25">
      <c r="A23" s="563" t="s">
        <v>2804</v>
      </c>
      <c r="B23" s="1633" t="s">
        <v>1881</v>
      </c>
      <c r="C23" s="123"/>
      <c r="D23" s="1631" t="s">
        <v>2247</v>
      </c>
      <c r="E23" s="1644" t="s">
        <v>1189</v>
      </c>
      <c r="F23" s="123"/>
      <c r="G23" s="2269" t="s">
        <v>2247</v>
      </c>
      <c r="I23" s="123"/>
      <c r="J23" s="1632" t="s">
        <v>3933</v>
      </c>
      <c r="K23" s="1633" t="s">
        <v>1881</v>
      </c>
      <c r="L23" s="123"/>
      <c r="M23" s="1632" t="s">
        <v>1783</v>
      </c>
      <c r="N23" s="1633" t="s">
        <v>1881</v>
      </c>
      <c r="O23" s="123"/>
      <c r="P23" s="1632" t="s">
        <v>43</v>
      </c>
      <c r="Q23" s="1633" t="s">
        <v>1881</v>
      </c>
      <c r="R23" s="123"/>
      <c r="S23" s="1632" t="s">
        <v>41</v>
      </c>
      <c r="T23" s="1633" t="s">
        <v>1881</v>
      </c>
      <c r="U23" s="123"/>
      <c r="V23" s="1632" t="s">
        <v>41</v>
      </c>
      <c r="W23" s="1633">
        <v>2000</v>
      </c>
      <c r="X23" s="123"/>
      <c r="Y23" s="1632" t="s">
        <v>1810</v>
      </c>
      <c r="Z23" s="1633" t="s">
        <v>1881</v>
      </c>
      <c r="AA23" s="123"/>
      <c r="AB23" s="1632" t="s">
        <v>43</v>
      </c>
      <c r="AC23" s="1633" t="s">
        <v>1881</v>
      </c>
      <c r="AH23" s="1632" t="s">
        <v>43</v>
      </c>
      <c r="AI23" s="1653" t="s">
        <v>1881</v>
      </c>
      <c r="AK23" s="1632" t="s">
        <v>43</v>
      </c>
      <c r="AL23" s="1663" t="s">
        <v>1881</v>
      </c>
      <c r="AN23" s="1632" t="s">
        <v>1802</v>
      </c>
      <c r="AO23" s="1653" t="s">
        <v>1881</v>
      </c>
      <c r="AQ23" s="1632" t="s">
        <v>1780</v>
      </c>
      <c r="AR23" s="1653" t="s">
        <v>1881</v>
      </c>
      <c r="AT23" s="1652" t="s">
        <v>4088</v>
      </c>
      <c r="AU23" s="1633" t="s">
        <v>1881</v>
      </c>
      <c r="AW23" s="1652" t="s">
        <v>4076</v>
      </c>
      <c r="AX23" s="1633" t="s">
        <v>1881</v>
      </c>
      <c r="AZ23" s="1632" t="s">
        <v>43</v>
      </c>
      <c r="BA23" s="1633" t="s">
        <v>1881</v>
      </c>
      <c r="BC23" s="1632" t="s">
        <v>43</v>
      </c>
      <c r="BD23" s="1649" t="s">
        <v>1881</v>
      </c>
      <c r="BF23" s="1632" t="s">
        <v>41</v>
      </c>
      <c r="BG23" s="1649" t="s">
        <v>1881</v>
      </c>
      <c r="BI23" s="965"/>
    </row>
    <row r="24" spans="1:62" x14ac:dyDescent="0.2">
      <c r="A24" s="1632" t="s">
        <v>851</v>
      </c>
      <c r="B24" s="1633" t="s">
        <v>1881</v>
      </c>
      <c r="C24" s="123"/>
      <c r="D24" s="1631" t="s">
        <v>2250</v>
      </c>
      <c r="E24" s="1644" t="s">
        <v>1189</v>
      </c>
      <c r="F24" s="123"/>
      <c r="G24" s="563" t="s">
        <v>2250</v>
      </c>
      <c r="H24" s="1633" t="s">
        <v>1881</v>
      </c>
      <c r="I24" s="123"/>
      <c r="J24" s="1632" t="s">
        <v>3936</v>
      </c>
      <c r="K24" s="1633" t="s">
        <v>1881</v>
      </c>
      <c r="L24" s="123"/>
      <c r="M24" s="1632" t="s">
        <v>41</v>
      </c>
      <c r="N24" s="1633" t="s">
        <v>1881</v>
      </c>
      <c r="O24" s="123"/>
      <c r="P24" s="1632" t="s">
        <v>45</v>
      </c>
      <c r="Q24" s="1633" t="s">
        <v>1881</v>
      </c>
      <c r="R24" s="123"/>
      <c r="S24" s="1632" t="s">
        <v>43</v>
      </c>
      <c r="T24" s="1633" t="s">
        <v>1881</v>
      </c>
      <c r="U24" s="123"/>
      <c r="V24" s="1632" t="s">
        <v>43</v>
      </c>
      <c r="W24" s="1633">
        <v>12000</v>
      </c>
      <c r="X24" s="123"/>
      <c r="Y24" s="1632" t="s">
        <v>1812</v>
      </c>
      <c r="Z24" s="1633">
        <v>13890</v>
      </c>
      <c r="AA24" s="123"/>
      <c r="AB24" s="1632" t="s">
        <v>45</v>
      </c>
      <c r="AC24" s="1633" t="s">
        <v>1881</v>
      </c>
      <c r="AH24" s="1632" t="s">
        <v>45</v>
      </c>
      <c r="AI24" s="1653" t="s">
        <v>1881</v>
      </c>
      <c r="AK24" s="1632" t="s">
        <v>45</v>
      </c>
      <c r="AL24" s="1663" t="s">
        <v>1881</v>
      </c>
      <c r="AN24" s="1632" t="s">
        <v>1804</v>
      </c>
      <c r="AO24" s="1653" t="s">
        <v>1881</v>
      </c>
      <c r="AQ24" s="1632" t="s">
        <v>1783</v>
      </c>
      <c r="AR24" s="1653" t="s">
        <v>1881</v>
      </c>
      <c r="AT24" s="1652" t="s">
        <v>4080</v>
      </c>
      <c r="AU24" s="1633" t="s">
        <v>1881</v>
      </c>
      <c r="AW24" s="1652" t="s">
        <v>4114</v>
      </c>
      <c r="AX24" s="1633" t="s">
        <v>1881</v>
      </c>
      <c r="AZ24" s="2269" t="s">
        <v>45</v>
      </c>
      <c r="BA24" s="1634" t="s">
        <v>6437</v>
      </c>
      <c r="BC24" s="1632" t="s">
        <v>45</v>
      </c>
      <c r="BD24" s="1633" t="s">
        <v>1881</v>
      </c>
      <c r="BF24" s="1632" t="s">
        <v>43</v>
      </c>
      <c r="BG24" s="1653" t="s">
        <v>1881</v>
      </c>
      <c r="BI24" s="1635"/>
      <c r="BJ24" s="1640" t="s">
        <v>4560</v>
      </c>
    </row>
    <row ht="12.75" r="25" spans="1:62" thickBot="1" x14ac:dyDescent="0.25">
      <c r="A25" s="1632" t="s">
        <v>2278</v>
      </c>
      <c r="B25" s="1633" t="s">
        <v>1881</v>
      </c>
      <c r="C25" s="123"/>
      <c r="D25" s="1631" t="s">
        <v>2253</v>
      </c>
      <c r="E25" s="1633"/>
      <c r="F25" s="123"/>
      <c r="G25" s="1632" t="s">
        <v>2253</v>
      </c>
      <c r="H25" s="1633" t="s">
        <v>1881</v>
      </c>
      <c r="I25" s="123"/>
      <c r="J25" s="1632" t="s">
        <v>2864</v>
      </c>
      <c r="K25" s="1633" t="s">
        <v>1881</v>
      </c>
      <c r="L25" s="123"/>
      <c r="M25" s="565" t="s">
        <v>43</v>
      </c>
      <c r="N25" s="1633" t="s">
        <v>1881</v>
      </c>
      <c r="O25" s="123"/>
      <c r="P25" s="1632" t="s">
        <v>47</v>
      </c>
      <c r="Q25" s="1633" t="s">
        <v>1881</v>
      </c>
      <c r="S25" s="1632" t="s">
        <v>45</v>
      </c>
      <c r="T25" s="1633" t="s">
        <v>1881</v>
      </c>
      <c r="U25" s="123"/>
      <c r="V25" s="1632" t="s">
        <v>45</v>
      </c>
      <c r="W25" s="1633">
        <v>10800</v>
      </c>
      <c r="X25" s="123"/>
      <c r="Y25" s="1632" t="s">
        <v>1814</v>
      </c>
      <c r="Z25" s="1633" t="s">
        <v>1881</v>
      </c>
      <c r="AA25" s="123"/>
      <c r="AB25" s="1632" t="s">
        <v>47</v>
      </c>
      <c r="AC25" s="1633" t="s">
        <v>1881</v>
      </c>
      <c r="AH25" s="1632" t="s">
        <v>47</v>
      </c>
      <c r="AI25" s="1653" t="s">
        <v>1881</v>
      </c>
      <c r="AK25" s="1632" t="s">
        <v>47</v>
      </c>
      <c r="AL25" s="1663" t="s">
        <v>1881</v>
      </c>
      <c r="AN25" s="1632" t="s">
        <v>1806</v>
      </c>
      <c r="AO25" s="1653" t="s">
        <v>1881</v>
      </c>
      <c r="AQ25" s="1632" t="s">
        <v>41</v>
      </c>
      <c r="AR25" s="1653" t="s">
        <v>1881</v>
      </c>
      <c r="AT25" s="1652" t="s">
        <v>4089</v>
      </c>
      <c r="AU25" s="1633" t="s">
        <v>1881</v>
      </c>
      <c r="AW25" s="1652" t="s">
        <v>4115</v>
      </c>
      <c r="AX25" s="1633" t="s">
        <v>1881</v>
      </c>
      <c r="AZ25" s="1632" t="s">
        <v>47</v>
      </c>
      <c r="BA25" s="1633" t="s">
        <v>1881</v>
      </c>
      <c r="BC25" s="1632" t="s">
        <v>47</v>
      </c>
      <c r="BD25" s="1633" t="s">
        <v>1881</v>
      </c>
      <c r="BF25" s="1632" t="s">
        <v>45</v>
      </c>
      <c r="BG25" s="1653" t="s">
        <v>1881</v>
      </c>
      <c r="BI25" s="547" t="s">
        <v>4264</v>
      </c>
      <c r="BJ25" s="123" t="s">
        <v>9112</v>
      </c>
    </row>
    <row r="26" spans="1:62" x14ac:dyDescent="0.2">
      <c r="A26" s="563" t="s">
        <v>1777</v>
      </c>
      <c r="B26" s="1633" t="s">
        <v>1881</v>
      </c>
      <c r="C26" s="123"/>
      <c r="D26" s="1631" t="s">
        <v>2256</v>
      </c>
      <c r="E26" s="1633"/>
      <c r="F26" s="123"/>
      <c r="G26" s="1632" t="s">
        <v>2256</v>
      </c>
      <c r="H26" s="1633" t="s">
        <v>1881</v>
      </c>
      <c r="I26" s="123"/>
      <c r="J26" s="1632" t="s">
        <v>2867</v>
      </c>
      <c r="K26" s="1633" t="s">
        <v>1881</v>
      </c>
      <c r="L26" s="123"/>
      <c r="O26" s="123"/>
      <c r="P26" s="1632" t="s">
        <v>49</v>
      </c>
      <c r="Q26" s="1633" t="s">
        <v>1881</v>
      </c>
      <c r="S26" s="1632" t="s">
        <v>47</v>
      </c>
      <c r="T26" s="1633" t="s">
        <v>1881</v>
      </c>
      <c r="U26" s="123"/>
      <c r="V26" s="1632" t="s">
        <v>47</v>
      </c>
      <c r="W26" s="1633" t="s">
        <v>1881</v>
      </c>
      <c r="X26" s="123"/>
      <c r="Y26" s="1632" t="s">
        <v>1816</v>
      </c>
      <c r="Z26" s="1633">
        <v>300</v>
      </c>
      <c r="AA26" s="123"/>
      <c r="AB26" s="1632" t="s">
        <v>49</v>
      </c>
      <c r="AC26" s="1633" t="s">
        <v>1881</v>
      </c>
      <c r="AH26" s="1632" t="s">
        <v>49</v>
      </c>
      <c r="AI26" s="1653" t="s">
        <v>1881</v>
      </c>
      <c r="AK26" s="1632" t="s">
        <v>49</v>
      </c>
      <c r="AL26" s="1663" t="s">
        <v>1881</v>
      </c>
      <c r="AN26" s="1632" t="s">
        <v>1808</v>
      </c>
      <c r="AO26" s="1653" t="s">
        <v>1881</v>
      </c>
      <c r="AQ26" s="1632" t="s">
        <v>2256</v>
      </c>
      <c r="AR26" s="1653" t="s">
        <v>1881</v>
      </c>
      <c r="AT26" s="1652" t="s">
        <v>4082</v>
      </c>
      <c r="AU26" s="1633" t="s">
        <v>1881</v>
      </c>
      <c r="AW26" s="1652" t="s">
        <v>4116</v>
      </c>
      <c r="AX26" s="1633" t="s">
        <v>1881</v>
      </c>
      <c r="AZ26" s="1632" t="s">
        <v>49</v>
      </c>
      <c r="BA26" s="1633" t="s">
        <v>1881</v>
      </c>
      <c r="BC26" s="1632" t="s">
        <v>49</v>
      </c>
      <c r="BD26" s="1634" t="s">
        <v>1881</v>
      </c>
      <c r="BF26" s="1632" t="s">
        <v>47</v>
      </c>
      <c r="BG26" s="1653" t="s">
        <v>1881</v>
      </c>
      <c r="BI26" s="563" t="s">
        <v>4444</v>
      </c>
      <c r="BJ26" s="1633">
        <v>117</v>
      </c>
    </row>
    <row ht="12.75" r="27" spans="1:62" thickBot="1" x14ac:dyDescent="0.25">
      <c r="A27" s="1632" t="s">
        <v>1780</v>
      </c>
      <c r="B27" s="1633" t="s">
        <v>1881</v>
      </c>
      <c r="C27" s="123"/>
      <c r="D27" s="1631" t="s">
        <v>2259</v>
      </c>
      <c r="E27" s="1633"/>
      <c r="F27" s="123"/>
      <c r="G27" s="1632" t="s">
        <v>2259</v>
      </c>
      <c r="H27" s="1633" t="s">
        <v>1881</v>
      </c>
      <c r="I27" s="123"/>
      <c r="J27" s="1632" t="s">
        <v>2798</v>
      </c>
      <c r="K27" s="1633" t="s">
        <v>1881</v>
      </c>
      <c r="L27" s="123"/>
      <c r="M27" s="1645"/>
      <c r="N27" s="1646" t="s">
        <v>2241</v>
      </c>
      <c r="O27" s="123"/>
      <c r="P27" s="1632" t="s">
        <v>1797</v>
      </c>
      <c r="Q27" s="1633" t="s">
        <v>1881</v>
      </c>
      <c r="R27" s="123"/>
      <c r="S27" s="1632" t="s">
        <v>49</v>
      </c>
      <c r="T27" s="1633" t="s">
        <v>1881</v>
      </c>
      <c r="U27" s="123"/>
      <c r="V27" s="1632" t="s">
        <v>49</v>
      </c>
      <c r="W27" s="1633" t="s">
        <v>1881</v>
      </c>
      <c r="X27" s="123"/>
      <c r="Y27" s="3389" t="s">
        <v>7715</v>
      </c>
      <c r="Z27" s="1633" t="s">
        <v>1881</v>
      </c>
      <c r="AA27" s="123"/>
      <c r="AB27" s="1632" t="s">
        <v>1797</v>
      </c>
      <c r="AC27" s="1633" t="s">
        <v>1881</v>
      </c>
      <c r="AH27" s="1632" t="s">
        <v>1797</v>
      </c>
      <c r="AI27" s="1653" t="s">
        <v>1881</v>
      </c>
      <c r="AK27" s="1632" t="s">
        <v>1797</v>
      </c>
      <c r="AL27" s="1663" t="s">
        <v>1881</v>
      </c>
      <c r="AN27" s="1632" t="s">
        <v>1810</v>
      </c>
      <c r="AO27" s="1653" t="s">
        <v>1881</v>
      </c>
      <c r="AQ27" s="1632" t="s">
        <v>6573</v>
      </c>
      <c r="AR27" s="1653" t="s">
        <v>1881</v>
      </c>
      <c r="AT27" s="1652" t="s">
        <v>4083</v>
      </c>
      <c r="AU27" s="1633" t="s">
        <v>1881</v>
      </c>
      <c r="AW27" s="1652" t="s">
        <v>4080</v>
      </c>
      <c r="AX27" s="1633" t="s">
        <v>1881</v>
      </c>
      <c r="AZ27" s="1632" t="s">
        <v>1797</v>
      </c>
      <c r="BA27" s="1633" t="s">
        <v>1881</v>
      </c>
      <c r="BC27" s="1632" t="s">
        <v>1797</v>
      </c>
      <c r="BD27" s="1653" t="s">
        <v>1881</v>
      </c>
      <c r="BF27" s="1632" t="s">
        <v>49</v>
      </c>
      <c r="BG27" s="1649" t="s">
        <v>1881</v>
      </c>
      <c r="BI27" s="565" t="s">
        <v>4963</v>
      </c>
      <c r="BJ27" s="1634">
        <v>2</v>
      </c>
    </row>
    <row ht="12.75" r="28" spans="1:62" thickBot="1" x14ac:dyDescent="0.25">
      <c r="A28" s="1632" t="s">
        <v>1783</v>
      </c>
      <c r="B28" s="1633" t="s">
        <v>1881</v>
      </c>
      <c r="C28" s="123"/>
      <c r="D28" s="1631" t="s">
        <v>3933</v>
      </c>
      <c r="E28" s="1633"/>
      <c r="F28" s="123"/>
      <c r="G28" s="1632" t="s">
        <v>3933</v>
      </c>
      <c r="H28" s="1633" t="s">
        <v>1881</v>
      </c>
      <c r="I28" s="123"/>
      <c r="J28" s="1632" t="s">
        <v>6492</v>
      </c>
      <c r="K28" s="1633" t="s">
        <v>1881</v>
      </c>
      <c r="L28" s="123"/>
      <c r="M28" s="965" t="s">
        <v>3741</v>
      </c>
      <c r="N28" s="1214" t="s">
        <v>8951</v>
      </c>
      <c r="O28" s="123"/>
      <c r="P28" s="1632" t="s">
        <v>1799</v>
      </c>
      <c r="Q28" s="1633" t="s">
        <v>1881</v>
      </c>
      <c r="R28" s="123"/>
      <c r="S28" s="1632" t="s">
        <v>1797</v>
      </c>
      <c r="T28" s="1633" t="s">
        <v>1881</v>
      </c>
      <c r="U28" s="123"/>
      <c r="V28" s="1632" t="s">
        <v>1797</v>
      </c>
      <c r="W28" s="1633">
        <v>1400</v>
      </c>
      <c r="X28" s="123"/>
      <c r="Y28" s="1632" t="s">
        <v>1818</v>
      </c>
      <c r="Z28" s="1633">
        <v>14190</v>
      </c>
      <c r="AA28" s="123"/>
      <c r="AB28" s="1632" t="s">
        <v>1799</v>
      </c>
      <c r="AC28" s="1633" t="s">
        <v>1881</v>
      </c>
      <c r="AH28" s="1632" t="s">
        <v>1799</v>
      </c>
      <c r="AI28" s="1653" t="s">
        <v>1881</v>
      </c>
      <c r="AK28" s="1632" t="s">
        <v>1799</v>
      </c>
      <c r="AL28" s="1650" t="s">
        <v>1881</v>
      </c>
      <c r="AN28" s="1632" t="s">
        <v>1812</v>
      </c>
      <c r="AO28" s="1653" t="s">
        <v>1881</v>
      </c>
      <c r="AQ28" s="1632" t="s">
        <v>6574</v>
      </c>
      <c r="AR28" s="1653" t="s">
        <v>1881</v>
      </c>
      <c r="AT28" s="1652" t="s">
        <v>4084</v>
      </c>
      <c r="AU28" s="1633" t="s">
        <v>1881</v>
      </c>
      <c r="AW28" s="1652" t="s">
        <v>4117</v>
      </c>
      <c r="AX28" s="1633" t="s">
        <v>1881</v>
      </c>
      <c r="AZ28" s="565" t="s">
        <v>1799</v>
      </c>
      <c r="BA28" s="1633" t="s">
        <v>1881</v>
      </c>
      <c r="BC28" s="1632" t="s">
        <v>1799</v>
      </c>
      <c r="BD28" s="1633" t="s">
        <v>1881</v>
      </c>
      <c r="BF28" s="1632" t="s">
        <v>6591</v>
      </c>
      <c r="BG28" s="1653" t="s">
        <v>1881</v>
      </c>
    </row>
    <row ht="12.75" r="29" spans="1:62" thickBot="1" x14ac:dyDescent="0.25">
      <c r="A29" s="563" t="s">
        <v>41</v>
      </c>
      <c r="B29" s="1633" t="s">
        <v>1881</v>
      </c>
      <c r="C29" s="123"/>
      <c r="D29" s="1631" t="s">
        <v>3936</v>
      </c>
      <c r="E29" s="1633"/>
      <c r="F29" s="123"/>
      <c r="G29" s="1632" t="s">
        <v>3936</v>
      </c>
      <c r="H29" s="1633" t="s">
        <v>1881</v>
      </c>
      <c r="I29" s="123"/>
      <c r="J29" s="1632" t="s">
        <v>6493</v>
      </c>
      <c r="K29" s="1633" t="s">
        <v>1881</v>
      </c>
      <c r="L29" s="123"/>
      <c r="M29" s="563" t="s">
        <v>952</v>
      </c>
      <c r="N29" s="1633" t="s">
        <v>1881</v>
      </c>
      <c r="O29" s="123"/>
      <c r="P29" s="1632" t="s">
        <v>1801</v>
      </c>
      <c r="Q29" s="1633" t="s">
        <v>1881</v>
      </c>
      <c r="R29" s="123"/>
      <c r="S29" s="1632" t="s">
        <v>1799</v>
      </c>
      <c r="T29" s="1633" t="s">
        <v>1881</v>
      </c>
      <c r="U29" s="123"/>
      <c r="V29" s="1632" t="s">
        <v>1799</v>
      </c>
      <c r="W29" s="1633">
        <v>5800</v>
      </c>
      <c r="X29" s="123"/>
      <c r="Y29" s="1632" t="s">
        <v>1820</v>
      </c>
      <c r="Z29" s="1633" t="s">
        <v>1881</v>
      </c>
      <c r="AA29" s="123"/>
      <c r="AB29" s="1632" t="s">
        <v>1801</v>
      </c>
      <c r="AC29" s="1633" t="s">
        <v>1881</v>
      </c>
      <c r="AH29" s="1632" t="s">
        <v>1801</v>
      </c>
      <c r="AI29" s="1653" t="s">
        <v>1881</v>
      </c>
      <c r="AK29" s="1632" t="s">
        <v>1801</v>
      </c>
      <c r="AL29" s="1650" t="s">
        <v>1881</v>
      </c>
      <c r="AN29" s="1632" t="s">
        <v>1814</v>
      </c>
      <c r="AO29" s="1653" t="s">
        <v>1881</v>
      </c>
      <c r="AQ29" s="1632" t="s">
        <v>2259</v>
      </c>
      <c r="AR29" s="1653" t="s">
        <v>1881</v>
      </c>
      <c r="AT29" s="1652" t="s">
        <v>4090</v>
      </c>
      <c r="AU29" s="1633" t="s">
        <v>1881</v>
      </c>
      <c r="AW29" s="1652">
        <v>25</v>
      </c>
      <c r="AX29" s="1633" t="s">
        <v>1881</v>
      </c>
      <c r="AZ29" s="565" t="s">
        <v>7416</v>
      </c>
      <c r="BA29" s="1633" t="s">
        <v>1881</v>
      </c>
      <c r="BC29" s="1632" t="s">
        <v>1801</v>
      </c>
      <c r="BD29" s="1633" t="s">
        <v>1881</v>
      </c>
      <c r="BF29" s="1632" t="s">
        <v>6592</v>
      </c>
      <c r="BG29" s="1653" t="s">
        <v>1881</v>
      </c>
      <c r="BI29" s="1635"/>
      <c r="BJ29" s="1640" t="s">
        <v>4560</v>
      </c>
    </row>
    <row ht="12.75" r="30" spans="1:62" thickBot="1" x14ac:dyDescent="0.25">
      <c r="A30" s="1632" t="s">
        <v>43</v>
      </c>
      <c r="B30" s="1633" t="s">
        <v>1881</v>
      </c>
      <c r="C30" s="123"/>
      <c r="D30" s="1631" t="s">
        <v>2864</v>
      </c>
      <c r="E30" s="1644" t="s">
        <v>1189</v>
      </c>
      <c r="F30" s="123"/>
      <c r="G30" s="1632" t="s">
        <v>2864</v>
      </c>
      <c r="H30" s="1633" t="s">
        <v>1881</v>
      </c>
      <c r="I30" s="123"/>
      <c r="J30" s="1632" t="s">
        <v>2801</v>
      </c>
      <c r="K30" s="1649" t="s">
        <v>1881</v>
      </c>
      <c r="L30" s="123"/>
      <c r="M30" s="1632" t="s">
        <v>2247</v>
      </c>
      <c r="N30" s="1633" t="s">
        <v>1881</v>
      </c>
      <c r="O30" s="123"/>
      <c r="P30" s="1632" t="s">
        <v>1803</v>
      </c>
      <c r="Q30" s="1633" t="s">
        <v>1881</v>
      </c>
      <c r="R30" s="123"/>
      <c r="S30" s="4047" t="s">
        <v>7416</v>
      </c>
      <c r="T30" s="4048" t="s">
        <v>1881</v>
      </c>
      <c r="U30" s="123"/>
      <c r="V30" s="1632" t="s">
        <v>1801</v>
      </c>
      <c r="W30" s="1633">
        <v>1500</v>
      </c>
      <c r="X30" s="123"/>
      <c r="Y30" s="1632" t="s">
        <v>1822</v>
      </c>
      <c r="Z30" s="1633" t="s">
        <v>1881</v>
      </c>
      <c r="AA30" s="123"/>
      <c r="AB30" s="1632" t="s">
        <v>1803</v>
      </c>
      <c r="AC30" s="1633" t="s">
        <v>1881</v>
      </c>
      <c r="AH30" s="1632" t="s">
        <v>1803</v>
      </c>
      <c r="AI30" s="1653" t="s">
        <v>1881</v>
      </c>
      <c r="AK30" s="1632" t="s">
        <v>1803</v>
      </c>
      <c r="AL30" s="1663" t="s">
        <v>1881</v>
      </c>
      <c r="AN30" s="1632" t="s">
        <v>1816</v>
      </c>
      <c r="AO30" s="1653" t="s">
        <v>1881</v>
      </c>
      <c r="AQ30" s="1632" t="s">
        <v>3933</v>
      </c>
      <c r="AR30" s="1653" t="s">
        <v>1881</v>
      </c>
      <c r="AT30" s="1652" t="s">
        <v>4086</v>
      </c>
      <c r="AU30" s="1633" t="s">
        <v>1881</v>
      </c>
      <c r="AW30" s="1652">
        <v>26</v>
      </c>
      <c r="AX30" s="1633" t="s">
        <v>1881</v>
      </c>
      <c r="BC30" s="1632" t="s">
        <v>1803</v>
      </c>
      <c r="BD30" s="1633" t="s">
        <v>1881</v>
      </c>
      <c r="BF30" s="1632" t="s">
        <v>6593</v>
      </c>
      <c r="BG30" s="3115" t="s">
        <v>1881</v>
      </c>
      <c r="BI30" s="547" t="s">
        <v>6355</v>
      </c>
      <c r="BJ30" s="123" t="s">
        <v>9107</v>
      </c>
    </row>
    <row ht="12.75" r="31" spans="1:62" thickBot="1" x14ac:dyDescent="0.25">
      <c r="A31" s="1632" t="s">
        <v>45</v>
      </c>
      <c r="B31" s="1649" t="s">
        <v>1881</v>
      </c>
      <c r="C31" s="123"/>
      <c r="D31" s="1631" t="s">
        <v>2867</v>
      </c>
      <c r="E31" s="1644" t="s">
        <v>1189</v>
      </c>
      <c r="F31" s="123"/>
      <c r="G31" s="565" t="s">
        <v>2867</v>
      </c>
      <c r="H31" s="1633" t="s">
        <v>1881</v>
      </c>
      <c r="I31" s="123"/>
      <c r="J31" s="1632" t="s">
        <v>2804</v>
      </c>
      <c r="K31" s="1633" t="s">
        <v>1881</v>
      </c>
      <c r="L31" s="123"/>
      <c r="M31" s="1632" t="s">
        <v>2250</v>
      </c>
      <c r="N31" s="1633" t="s">
        <v>1881</v>
      </c>
      <c r="O31" s="123"/>
      <c r="P31" s="1632" t="s">
        <v>1805</v>
      </c>
      <c r="Q31" s="1633" t="s">
        <v>1881</v>
      </c>
      <c r="R31" s="123"/>
      <c r="S31" s="1632" t="s">
        <v>1801</v>
      </c>
      <c r="T31" s="1633" t="s">
        <v>1881</v>
      </c>
      <c r="U31" s="123"/>
      <c r="V31" s="1632" t="s">
        <v>1803</v>
      </c>
      <c r="W31" s="1633" t="s">
        <v>1881</v>
      </c>
      <c r="X31" s="123"/>
      <c r="Y31" s="1632" t="s">
        <v>1824</v>
      </c>
      <c r="Z31" s="1633" t="s">
        <v>1881</v>
      </c>
      <c r="AA31" s="123"/>
      <c r="AB31" s="1632" t="s">
        <v>1805</v>
      </c>
      <c r="AC31" s="1633" t="s">
        <v>1881</v>
      </c>
      <c r="AH31" s="1632" t="s">
        <v>1805</v>
      </c>
      <c r="AI31" s="1653" t="s">
        <v>1881</v>
      </c>
      <c r="AK31" s="1632" t="s">
        <v>1805</v>
      </c>
      <c r="AL31" s="1663" t="s">
        <v>1881</v>
      </c>
      <c r="AN31" s="1632" t="s">
        <v>1818</v>
      </c>
      <c r="AO31" s="1653" t="s">
        <v>1881</v>
      </c>
      <c r="AQ31" s="1632" t="s">
        <v>3936</v>
      </c>
      <c r="AR31" s="1653" t="s">
        <v>1881</v>
      </c>
      <c r="AT31" s="1652" t="s">
        <v>4091</v>
      </c>
      <c r="AU31" s="1633" t="s">
        <v>1881</v>
      </c>
      <c r="AW31" s="1652">
        <v>27</v>
      </c>
      <c r="AX31" s="1633" t="s">
        <v>1881</v>
      </c>
      <c r="BC31" s="1632" t="s">
        <v>1805</v>
      </c>
      <c r="BD31" s="1649" t="s">
        <v>1881</v>
      </c>
      <c r="BF31" s="1632" t="s">
        <v>1797</v>
      </c>
      <c r="BG31" s="1649" t="s">
        <v>1881</v>
      </c>
      <c r="BI31" s="1841" t="s">
        <v>6452</v>
      </c>
      <c r="BJ31" s="1633">
        <v>24622</v>
      </c>
    </row>
    <row ht="12.75" r="32" spans="1:62" thickBot="1" x14ac:dyDescent="0.25">
      <c r="C32" s="123"/>
      <c r="D32" s="1664" t="s">
        <v>2798</v>
      </c>
      <c r="E32" s="1644" t="s">
        <v>1189</v>
      </c>
      <c r="F32" s="123"/>
      <c r="G32" s="563" t="s">
        <v>2798</v>
      </c>
      <c r="H32" s="1633" t="s">
        <v>1881</v>
      </c>
      <c r="I32" s="123"/>
      <c r="J32" s="1632" t="s">
        <v>851</v>
      </c>
      <c r="K32" s="1633" t="s">
        <v>1881</v>
      </c>
      <c r="L32" s="123"/>
      <c r="M32" s="1632" t="s">
        <v>2253</v>
      </c>
      <c r="N32" s="1633" t="s">
        <v>1881</v>
      </c>
      <c r="O32" s="123"/>
      <c r="P32" s="1632" t="s">
        <v>1807</v>
      </c>
      <c r="Q32" s="1633" t="s">
        <v>1881</v>
      </c>
      <c r="R32" s="123"/>
      <c r="S32" s="1632" t="s">
        <v>1803</v>
      </c>
      <c r="T32" s="1633" t="s">
        <v>1881</v>
      </c>
      <c r="U32" s="123"/>
      <c r="V32" s="1632" t="s">
        <v>1805</v>
      </c>
      <c r="W32" s="1633" t="s">
        <v>1881</v>
      </c>
      <c r="X32" s="123"/>
      <c r="Y32" s="1632" t="s">
        <v>1826</v>
      </c>
      <c r="Z32" s="1633" t="s">
        <v>1881</v>
      </c>
      <c r="AA32" s="123"/>
      <c r="AB32" s="1632" t="s">
        <v>1807</v>
      </c>
      <c r="AC32" s="1633" t="s">
        <v>1881</v>
      </c>
      <c r="AH32" s="2269" t="s">
        <v>1807</v>
      </c>
      <c r="AI32" s="1653"/>
      <c r="AK32" s="1632" t="s">
        <v>1807</v>
      </c>
      <c r="AL32" s="1663" t="s">
        <v>1881</v>
      </c>
      <c r="AN32" s="1632" t="s">
        <v>1820</v>
      </c>
      <c r="AO32" s="1653" t="s">
        <v>1881</v>
      </c>
      <c r="AQ32" s="1632" t="s">
        <v>2864</v>
      </c>
      <c r="AR32" s="1653" t="s">
        <v>1881</v>
      </c>
      <c r="AT32" s="1652" t="s">
        <v>4092</v>
      </c>
      <c r="AU32" s="1633" t="s">
        <v>1881</v>
      </c>
      <c r="AW32" s="1652">
        <v>28</v>
      </c>
      <c r="AX32" s="1633" t="s">
        <v>1881</v>
      </c>
      <c r="BC32" s="1632" t="s">
        <v>1807</v>
      </c>
      <c r="BD32" s="1633" t="s">
        <v>1881</v>
      </c>
      <c r="BF32" s="1632" t="s">
        <v>1799</v>
      </c>
      <c r="BG32" s="1662" t="s">
        <v>1881</v>
      </c>
      <c r="BI32" s="1842"/>
      <c r="BJ32" s="1633"/>
    </row>
    <row r="33" spans="1:62" x14ac:dyDescent="0.2">
      <c r="A33" s="965" t="s">
        <v>2845</v>
      </c>
      <c r="B33" s="966" t="s">
        <v>9107</v>
      </c>
      <c r="C33" s="123"/>
      <c r="D33" s="1664" t="s">
        <v>2801</v>
      </c>
      <c r="E33" s="1633"/>
      <c r="F33" s="123"/>
      <c r="G33" s="1632" t="s">
        <v>2801</v>
      </c>
      <c r="H33" s="1633" t="s">
        <v>1881</v>
      </c>
      <c r="I33" s="123"/>
      <c r="J33" s="1632" t="s">
        <v>2278</v>
      </c>
      <c r="K33" s="1633" t="s">
        <v>1881</v>
      </c>
      <c r="L33" s="123"/>
      <c r="M33" s="1632" t="s">
        <v>2256</v>
      </c>
      <c r="N33" s="1633" t="s">
        <v>1881</v>
      </c>
      <c r="O33" s="123"/>
      <c r="P33" s="1632" t="s">
        <v>1809</v>
      </c>
      <c r="Q33" s="1633" t="s">
        <v>1881</v>
      </c>
      <c r="R33" s="123"/>
      <c r="S33" s="1632" t="s">
        <v>1805</v>
      </c>
      <c r="T33" s="1633" t="s">
        <v>1881</v>
      </c>
      <c r="U33" s="123"/>
      <c r="V33" s="1632" t="s">
        <v>1807</v>
      </c>
      <c r="W33" s="1633" t="s">
        <v>1881</v>
      </c>
      <c r="X33" s="123"/>
      <c r="Y33" s="1632" t="s">
        <v>1828</v>
      </c>
      <c r="Z33" s="1633" t="s">
        <v>1881</v>
      </c>
      <c r="AA33" s="123"/>
      <c r="AB33" s="1632" t="s">
        <v>1809</v>
      </c>
      <c r="AC33" s="1633" t="s">
        <v>1881</v>
      </c>
      <c r="AH33" s="1632" t="s">
        <v>1809</v>
      </c>
      <c r="AI33" s="1653" t="s">
        <v>1881</v>
      </c>
      <c r="AK33" s="1632" t="s">
        <v>1809</v>
      </c>
      <c r="AL33" s="1663" t="s">
        <v>1881</v>
      </c>
      <c r="AN33" s="1632" t="s">
        <v>1822</v>
      </c>
      <c r="AO33" s="1653" t="s">
        <v>1881</v>
      </c>
      <c r="AQ33" s="1632" t="s">
        <v>2867</v>
      </c>
      <c r="AR33" s="1653" t="s">
        <v>1881</v>
      </c>
      <c r="AT33" s="1652" t="s">
        <v>4093</v>
      </c>
      <c r="AU33" s="1633" t="s">
        <v>1881</v>
      </c>
      <c r="AW33" s="1652">
        <v>29</v>
      </c>
      <c r="AX33" s="1633" t="s">
        <v>1881</v>
      </c>
      <c r="BC33" s="1632" t="s">
        <v>1809</v>
      </c>
      <c r="BD33" s="1633" t="s">
        <v>1881</v>
      </c>
      <c r="BF33" s="1632" t="s">
        <v>1801</v>
      </c>
      <c r="BG33" s="1649" t="s">
        <v>1881</v>
      </c>
      <c r="BI33" s="1919"/>
    </row>
    <row r="34" spans="1:62" x14ac:dyDescent="0.2">
      <c r="A34" s="1631" t="s">
        <v>952</v>
      </c>
      <c r="B34" s="1634" t="s">
        <v>1881</v>
      </c>
      <c r="C34" s="123"/>
      <c r="D34" s="1664" t="s">
        <v>2804</v>
      </c>
      <c r="E34" s="1633"/>
      <c r="F34" s="123"/>
      <c r="G34" s="1632" t="s">
        <v>2804</v>
      </c>
      <c r="H34" s="1633" t="s">
        <v>1881</v>
      </c>
      <c r="I34" s="123"/>
      <c r="J34" s="1632" t="s">
        <v>1777</v>
      </c>
      <c r="K34" s="1633" t="s">
        <v>1881</v>
      </c>
      <c r="L34" s="123"/>
      <c r="M34" s="1632" t="s">
        <v>2259</v>
      </c>
      <c r="N34" s="1633" t="s">
        <v>1881</v>
      </c>
      <c r="O34" s="123"/>
      <c r="P34" s="1632" t="s">
        <v>1811</v>
      </c>
      <c r="Q34" s="1633" t="s">
        <v>1881</v>
      </c>
      <c r="R34" s="123"/>
      <c r="S34" s="1632" t="s">
        <v>1807</v>
      </c>
      <c r="T34" s="1633" t="s">
        <v>1881</v>
      </c>
      <c r="U34" s="123"/>
      <c r="V34" s="1632" t="s">
        <v>1809</v>
      </c>
      <c r="W34" s="1633">
        <v>1500</v>
      </c>
      <c r="X34" s="123"/>
      <c r="Y34" s="1632" t="s">
        <v>1830</v>
      </c>
      <c r="Z34" s="1633" t="s">
        <v>1881</v>
      </c>
      <c r="AA34" s="123"/>
      <c r="AB34" s="1632" t="s">
        <v>1811</v>
      </c>
      <c r="AC34" s="1633" t="s">
        <v>1881</v>
      </c>
      <c r="AH34" s="1632" t="s">
        <v>1811</v>
      </c>
      <c r="AI34" s="1653" t="s">
        <v>1881</v>
      </c>
      <c r="AK34" s="1632" t="s">
        <v>1811</v>
      </c>
      <c r="AL34" s="1663" t="s">
        <v>1881</v>
      </c>
      <c r="AN34" s="1632" t="s">
        <v>1824</v>
      </c>
      <c r="AO34" s="1653" t="s">
        <v>1881</v>
      </c>
      <c r="AQ34" s="1632" t="s">
        <v>2798</v>
      </c>
      <c r="AR34" s="1653" t="s">
        <v>1881</v>
      </c>
      <c r="AT34" s="1652" t="s">
        <v>4094</v>
      </c>
      <c r="AU34" s="1633" t="s">
        <v>1881</v>
      </c>
      <c r="AW34" s="1652">
        <v>30</v>
      </c>
      <c r="AX34" s="1633" t="s">
        <v>1881</v>
      </c>
      <c r="BC34" s="1632" t="s">
        <v>1811</v>
      </c>
      <c r="BD34" s="1634" t="s">
        <v>1881</v>
      </c>
      <c r="BF34" s="1632" t="s">
        <v>1803</v>
      </c>
      <c r="BG34" s="1662" t="s">
        <v>1881</v>
      </c>
      <c r="BI34" s="1919"/>
    </row>
    <row ht="12.75" r="35" spans="1:62" thickBot="1" x14ac:dyDescent="0.25">
      <c r="A35" s="1918" t="s">
        <v>5906</v>
      </c>
      <c r="B35" s="1634" t="s">
        <v>1881</v>
      </c>
      <c r="C35" s="123"/>
      <c r="D35" s="1664" t="s">
        <v>851</v>
      </c>
      <c r="E35" s="1633"/>
      <c r="F35" s="123"/>
      <c r="G35" s="565" t="s">
        <v>851</v>
      </c>
      <c r="H35" s="1633" t="s">
        <v>1881</v>
      </c>
      <c r="I35" s="123"/>
      <c r="J35" s="2269" t="s">
        <v>1780</v>
      </c>
      <c r="K35" s="1633"/>
      <c r="L35" s="123"/>
      <c r="M35" s="1632" t="s">
        <v>1715</v>
      </c>
      <c r="N35" s="1633" t="s">
        <v>1881</v>
      </c>
      <c r="O35" s="123"/>
      <c r="P35" s="1632" t="s">
        <v>1813</v>
      </c>
      <c r="Q35" s="1633" t="s">
        <v>1881</v>
      </c>
      <c r="R35" s="123"/>
      <c r="S35" s="1632" t="s">
        <v>1809</v>
      </c>
      <c r="T35" s="1633" t="s">
        <v>1881</v>
      </c>
      <c r="U35" s="123"/>
      <c r="V35" s="1632" t="s">
        <v>1811</v>
      </c>
      <c r="W35" s="1633">
        <v>60000</v>
      </c>
      <c r="X35" s="123"/>
      <c r="Y35" s="1632" t="s">
        <v>2370</v>
      </c>
      <c r="Z35" s="1633" t="s">
        <v>1881</v>
      </c>
      <c r="AA35" s="123"/>
      <c r="AB35" s="1632" t="s">
        <v>1813</v>
      </c>
      <c r="AC35" s="1633" t="s">
        <v>1881</v>
      </c>
      <c r="AH35" s="565" t="s">
        <v>1813</v>
      </c>
      <c r="AI35" s="1653" t="s">
        <v>1881</v>
      </c>
      <c r="AK35" s="1632" t="s">
        <v>1813</v>
      </c>
      <c r="AL35" s="1663" t="s">
        <v>1881</v>
      </c>
      <c r="AN35" s="565" t="s">
        <v>1826</v>
      </c>
      <c r="AO35" s="1653" t="s">
        <v>1881</v>
      </c>
      <c r="AQ35" s="4046" t="s">
        <v>6492</v>
      </c>
      <c r="AR35" s="4057" t="s">
        <v>1881</v>
      </c>
      <c r="AT35" s="1652" t="s">
        <v>4095</v>
      </c>
      <c r="AU35" s="1633" t="s">
        <v>1881</v>
      </c>
      <c r="AW35" s="1652">
        <v>31</v>
      </c>
      <c r="AX35" s="1633" t="s">
        <v>1881</v>
      </c>
      <c r="BC35" s="1632" t="s">
        <v>1813</v>
      </c>
      <c r="BD35" s="1633" t="s">
        <v>1881</v>
      </c>
      <c r="BF35" s="1632" t="s">
        <v>1805</v>
      </c>
      <c r="BG35" s="1649" t="s">
        <v>1881</v>
      </c>
      <c r="BI35" s="965"/>
    </row>
    <row ht="12.75" r="36" spans="1:62" thickBot="1" x14ac:dyDescent="0.25">
      <c r="A36" s="4475" t="s">
        <v>5906</v>
      </c>
      <c r="B36" s="3264" t="s">
        <v>1881</v>
      </c>
      <c r="C36" s="123"/>
      <c r="D36" s="1664" t="s">
        <v>2278</v>
      </c>
      <c r="E36" s="1633"/>
      <c r="F36" s="123"/>
      <c r="G36" s="565" t="s">
        <v>2278</v>
      </c>
      <c r="H36" s="1633" t="s">
        <v>1881</v>
      </c>
      <c r="I36" s="123"/>
      <c r="J36" s="1632" t="s">
        <v>1783</v>
      </c>
      <c r="K36" s="1633" t="s">
        <v>1881</v>
      </c>
      <c r="L36" s="123"/>
      <c r="M36" s="1632" t="s">
        <v>3933</v>
      </c>
      <c r="N36" s="1633" t="s">
        <v>1881</v>
      </c>
      <c r="O36" s="123"/>
      <c r="P36" s="1632" t="s">
        <v>1815</v>
      </c>
      <c r="Q36" s="1633" t="s">
        <v>1881</v>
      </c>
      <c r="R36" s="123"/>
      <c r="S36" s="1632" t="s">
        <v>1811</v>
      </c>
      <c r="T36" s="1633" t="s">
        <v>1881</v>
      </c>
      <c r="U36" s="123"/>
      <c r="V36" s="1632" t="s">
        <v>1813</v>
      </c>
      <c r="W36" s="1633" t="s">
        <v>1881</v>
      </c>
      <c r="X36" s="123"/>
      <c r="Y36" s="1632" t="s">
        <v>3110</v>
      </c>
      <c r="Z36" s="1633" t="s">
        <v>1881</v>
      </c>
      <c r="AA36" s="123"/>
      <c r="AB36" s="1632" t="s">
        <v>1815</v>
      </c>
      <c r="AC36" s="1633" t="s">
        <v>1881</v>
      </c>
      <c r="AK36" s="1632" t="s">
        <v>1815</v>
      </c>
      <c r="AL36" s="1663" t="s">
        <v>1881</v>
      </c>
      <c r="AQ36" s="1632" t="s">
        <v>2801</v>
      </c>
      <c r="AR36" s="1653" t="s">
        <v>1881</v>
      </c>
      <c r="AT36" s="1652" t="s">
        <v>4096</v>
      </c>
      <c r="AU36" s="1633" t="s">
        <v>1881</v>
      </c>
      <c r="AW36" s="1652">
        <v>32</v>
      </c>
      <c r="AX36" s="1633" t="s">
        <v>1881</v>
      </c>
      <c r="BC36" s="1632" t="s">
        <v>1815</v>
      </c>
      <c r="BD36" s="1633" t="s">
        <v>1881</v>
      </c>
      <c r="BF36" s="1632" t="s">
        <v>1807</v>
      </c>
      <c r="BG36" s="1649" t="s">
        <v>1881</v>
      </c>
      <c r="BI36" s="965"/>
    </row>
    <row r="37" spans="1:62" x14ac:dyDescent="0.2">
      <c r="A37" s="1664" t="s">
        <v>2247</v>
      </c>
      <c r="B37" s="1653" t="s">
        <v>1881</v>
      </c>
      <c r="C37" s="123"/>
      <c r="D37" s="1664" t="s">
        <v>1777</v>
      </c>
      <c r="E37" s="1633"/>
      <c r="F37" s="123"/>
      <c r="I37" s="123"/>
      <c r="J37" s="1632" t="s">
        <v>41</v>
      </c>
      <c r="K37" s="1633" t="s">
        <v>1881</v>
      </c>
      <c r="L37" s="123"/>
      <c r="M37" s="4463" t="s">
        <v>3936</v>
      </c>
      <c r="N37" s="3264" t="s">
        <v>6437</v>
      </c>
      <c r="O37" s="123"/>
      <c r="P37" s="1632" t="s">
        <v>1817</v>
      </c>
      <c r="Q37" s="1633" t="s">
        <v>1881</v>
      </c>
      <c r="R37" s="123"/>
      <c r="S37" s="1632" t="s">
        <v>1813</v>
      </c>
      <c r="T37" s="1633" t="s">
        <v>1881</v>
      </c>
      <c r="U37" s="123"/>
      <c r="V37" s="1632" t="s">
        <v>1815</v>
      </c>
      <c r="W37" s="1633" t="s">
        <v>1881</v>
      </c>
      <c r="X37" s="123"/>
      <c r="Y37" s="1632" t="s">
        <v>2246</v>
      </c>
      <c r="Z37" s="1633" t="s">
        <v>1881</v>
      </c>
      <c r="AA37" s="123"/>
      <c r="AB37" s="1632" t="s">
        <v>1817</v>
      </c>
      <c r="AC37" s="1633" t="s">
        <v>1881</v>
      </c>
      <c r="AK37" s="1632" t="s">
        <v>1817</v>
      </c>
      <c r="AL37" s="1663" t="s">
        <v>1881</v>
      </c>
      <c r="AQ37" s="1632" t="s">
        <v>2804</v>
      </c>
      <c r="AR37" s="1653" t="s">
        <v>1881</v>
      </c>
      <c r="AT37" s="1652" t="s">
        <v>4097</v>
      </c>
      <c r="AU37" s="1633" t="s">
        <v>1881</v>
      </c>
      <c r="AW37" s="1652" t="s">
        <v>4076</v>
      </c>
      <c r="AX37" s="1633" t="s">
        <v>1881</v>
      </c>
      <c r="BC37" s="1632" t="s">
        <v>1817</v>
      </c>
      <c r="BD37" s="1633" t="s">
        <v>1881</v>
      </c>
      <c r="BF37" s="1632" t="s">
        <v>1809</v>
      </c>
      <c r="BG37" s="1649" t="s">
        <v>1881</v>
      </c>
      <c r="BI37" s="965"/>
    </row>
    <row ht="12.75" r="38" spans="1:62" thickBot="1" x14ac:dyDescent="0.25">
      <c r="A38" s="1664" t="s">
        <v>2250</v>
      </c>
      <c r="B38" s="1649" t="s">
        <v>1881</v>
      </c>
      <c r="C38" s="123"/>
      <c r="D38" s="1664" t="s">
        <v>1780</v>
      </c>
      <c r="E38" s="1633"/>
      <c r="F38" s="123"/>
      <c r="G38" s="965" t="s">
        <v>3830</v>
      </c>
      <c r="H38" s="966" t="s">
        <v>8951</v>
      </c>
      <c r="I38" s="123"/>
      <c r="J38" s="1632" t="s">
        <v>43</v>
      </c>
      <c r="K38" s="1633" t="s">
        <v>1881</v>
      </c>
      <c r="L38" s="123"/>
      <c r="M38" s="3389" t="s">
        <v>7714</v>
      </c>
      <c r="N38" s="1633" t="s">
        <v>1881</v>
      </c>
      <c r="O38" s="123"/>
      <c r="P38" s="1632" t="s">
        <v>1819</v>
      </c>
      <c r="Q38" s="1633" t="s">
        <v>1881</v>
      </c>
      <c r="R38" s="123"/>
      <c r="S38" s="1632" t="s">
        <v>1815</v>
      </c>
      <c r="T38" s="1633" t="s">
        <v>1881</v>
      </c>
      <c r="U38" s="123"/>
      <c r="V38" s="1632" t="s">
        <v>1817</v>
      </c>
      <c r="W38" s="1633" t="s">
        <v>1881</v>
      </c>
      <c r="X38" s="123"/>
      <c r="Y38" s="1632" t="s">
        <v>2249</v>
      </c>
      <c r="Z38" s="1633" t="s">
        <v>1881</v>
      </c>
      <c r="AA38" s="123"/>
      <c r="AB38" s="1632" t="s">
        <v>1819</v>
      </c>
      <c r="AC38" s="1633" t="s">
        <v>1881</v>
      </c>
      <c r="AK38" s="1632" t="s">
        <v>1819</v>
      </c>
      <c r="AL38" s="1663" t="s">
        <v>1881</v>
      </c>
      <c r="AQ38" s="1632" t="s">
        <v>851</v>
      </c>
      <c r="AR38" s="1653" t="s">
        <v>1881</v>
      </c>
      <c r="AT38" s="1652" t="s">
        <v>4098</v>
      </c>
      <c r="AU38" s="1633" t="s">
        <v>1881</v>
      </c>
      <c r="AW38" s="1652" t="s">
        <v>4078</v>
      </c>
      <c r="AX38" s="1633" t="s">
        <v>1881</v>
      </c>
      <c r="BC38" s="1632" t="s">
        <v>1819</v>
      </c>
      <c r="BD38" s="1633" t="s">
        <v>1881</v>
      </c>
      <c r="BF38" s="1632" t="s">
        <v>1811</v>
      </c>
      <c r="BG38" s="1649" t="s">
        <v>1881</v>
      </c>
      <c r="BI38" s="965"/>
    </row>
    <row r="39" spans="1:62" x14ac:dyDescent="0.2">
      <c r="C39" s="123"/>
      <c r="D39" s="1664" t="s">
        <v>1783</v>
      </c>
      <c r="E39" s="1633"/>
      <c r="F39" s="123"/>
      <c r="G39" s="563" t="s">
        <v>952</v>
      </c>
      <c r="H39" s="1633" t="s">
        <v>1881</v>
      </c>
      <c r="I39" s="123"/>
      <c r="J39" s="1632" t="s">
        <v>45</v>
      </c>
      <c r="K39" s="1633" t="s">
        <v>1881</v>
      </c>
      <c r="L39" s="123"/>
      <c r="M39" s="1632" t="s">
        <v>2864</v>
      </c>
      <c r="N39" s="1633" t="s">
        <v>1881</v>
      </c>
      <c r="O39" s="123"/>
      <c r="P39" s="1632" t="s">
        <v>1821</v>
      </c>
      <c r="Q39" s="1633" t="s">
        <v>1881</v>
      </c>
      <c r="R39" s="123"/>
      <c r="S39" s="1632" t="s">
        <v>1817</v>
      </c>
      <c r="T39" s="1633" t="s">
        <v>1881</v>
      </c>
      <c r="U39" s="123"/>
      <c r="V39" s="1632" t="s">
        <v>1819</v>
      </c>
      <c r="W39" s="1633" t="s">
        <v>1881</v>
      </c>
      <c r="X39" s="123"/>
      <c r="Y39" s="1632" t="s">
        <v>2252</v>
      </c>
      <c r="Z39" s="1633" t="s">
        <v>1881</v>
      </c>
      <c r="AA39" s="123"/>
      <c r="AB39" s="1632" t="s">
        <v>1821</v>
      </c>
      <c r="AC39" s="1633" t="s">
        <v>1881</v>
      </c>
      <c r="AK39" s="1632" t="s">
        <v>1821</v>
      </c>
      <c r="AL39" s="1663" t="s">
        <v>1881</v>
      </c>
      <c r="AQ39" s="1632" t="s">
        <v>2278</v>
      </c>
      <c r="AR39" s="1653" t="s">
        <v>1881</v>
      </c>
      <c r="AT39" s="1652" t="s">
        <v>4099</v>
      </c>
      <c r="AU39" s="1633" t="s">
        <v>1881</v>
      </c>
      <c r="AW39" s="1652" t="s">
        <v>4080</v>
      </c>
      <c r="AX39" s="1633" t="s">
        <v>1881</v>
      </c>
      <c r="BC39" s="1632" t="s">
        <v>1821</v>
      </c>
      <c r="BD39" s="1649" t="s">
        <v>1881</v>
      </c>
      <c r="BF39" s="1632" t="s">
        <v>1813</v>
      </c>
      <c r="BG39" s="1649" t="s">
        <v>1881</v>
      </c>
      <c r="BI39" s="965"/>
    </row>
    <row r="40" spans="1:62" x14ac:dyDescent="0.2">
      <c r="A40" s="965" t="s">
        <v>3023</v>
      </c>
      <c r="B40" s="966" t="s">
        <v>9107</v>
      </c>
      <c r="C40" s="123"/>
      <c r="D40" s="1664" t="s">
        <v>41</v>
      </c>
      <c r="E40" s="1633" t="s">
        <v>7396</v>
      </c>
      <c r="F40" s="123"/>
      <c r="G40" s="1632" t="s">
        <v>2247</v>
      </c>
      <c r="H40" s="1633" t="s">
        <v>1881</v>
      </c>
      <c r="I40" s="123"/>
      <c r="J40" s="1632" t="s">
        <v>47</v>
      </c>
      <c r="K40" s="1633" t="s">
        <v>1881</v>
      </c>
      <c r="L40" s="123"/>
      <c r="M40" s="1632" t="s">
        <v>2867</v>
      </c>
      <c r="N40" s="1633" t="s">
        <v>1881</v>
      </c>
      <c r="O40" s="123"/>
      <c r="P40" s="1632" t="s">
        <v>1823</v>
      </c>
      <c r="Q40" s="1633" t="s">
        <v>1881</v>
      </c>
      <c r="R40" s="123"/>
      <c r="S40" s="1632" t="s">
        <v>1819</v>
      </c>
      <c r="T40" s="1633" t="s">
        <v>1881</v>
      </c>
      <c r="U40" s="123"/>
      <c r="V40" s="1632" t="s">
        <v>1821</v>
      </c>
      <c r="W40" s="1633" t="s">
        <v>1881</v>
      </c>
      <c r="X40" s="123"/>
      <c r="Y40" s="1632" t="s">
        <v>2255</v>
      </c>
      <c r="Z40" s="1633" t="s">
        <v>1881</v>
      </c>
      <c r="AA40" s="123"/>
      <c r="AB40" s="1632" t="s">
        <v>1823</v>
      </c>
      <c r="AC40" s="1633" t="s">
        <v>1881</v>
      </c>
      <c r="AK40" s="1632" t="s">
        <v>1823</v>
      </c>
      <c r="AL40" s="1663" t="s">
        <v>1881</v>
      </c>
      <c r="AQ40" s="1632" t="s">
        <v>1777</v>
      </c>
      <c r="AR40" s="1653" t="s">
        <v>1881</v>
      </c>
      <c r="AT40" s="1652" t="s">
        <v>4100</v>
      </c>
      <c r="AU40" s="1633" t="s">
        <v>1881</v>
      </c>
      <c r="AW40" s="1652" t="s">
        <v>4118</v>
      </c>
      <c r="AX40" s="1633" t="s">
        <v>1881</v>
      </c>
      <c r="BC40" s="1632" t="s">
        <v>1823</v>
      </c>
      <c r="BD40" s="1633" t="s">
        <v>1881</v>
      </c>
      <c r="BF40" s="1632" t="s">
        <v>1815</v>
      </c>
      <c r="BG40" s="1649" t="s">
        <v>1881</v>
      </c>
      <c r="BI40" s="965"/>
    </row>
    <row r="41" spans="1:62" x14ac:dyDescent="0.2">
      <c r="A41" s="1664" t="s">
        <v>952</v>
      </c>
      <c r="B41" s="1653" t="s">
        <v>1881</v>
      </c>
      <c r="C41" s="123"/>
      <c r="D41" s="1664" t="s">
        <v>43</v>
      </c>
      <c r="E41" s="1633"/>
      <c r="F41" s="123"/>
      <c r="G41" s="1632" t="s">
        <v>2250</v>
      </c>
      <c r="H41" s="1633" t="s">
        <v>1881</v>
      </c>
      <c r="I41" s="123"/>
      <c r="J41" s="1632" t="s">
        <v>49</v>
      </c>
      <c r="K41" s="1634" t="s">
        <v>1881</v>
      </c>
      <c r="L41" s="123"/>
      <c r="M41" s="1632" t="s">
        <v>2798</v>
      </c>
      <c r="N41" s="1633" t="s">
        <v>1881</v>
      </c>
      <c r="O41" s="123"/>
      <c r="P41" s="1632" t="s">
        <v>1825</v>
      </c>
      <c r="Q41" s="1633" t="s">
        <v>1881</v>
      </c>
      <c r="R41" s="123"/>
      <c r="S41" s="1632" t="s">
        <v>1821</v>
      </c>
      <c r="T41" s="1633" t="s">
        <v>1881</v>
      </c>
      <c r="U41" s="123"/>
      <c r="V41" s="1632" t="s">
        <v>1823</v>
      </c>
      <c r="W41" s="1633" t="s">
        <v>1881</v>
      </c>
      <c r="X41" s="123"/>
      <c r="Y41" s="1632" t="s">
        <v>2258</v>
      </c>
      <c r="Z41" s="1633" t="s">
        <v>1881</v>
      </c>
      <c r="AA41" s="123"/>
      <c r="AB41" s="1632" t="s">
        <v>1825</v>
      </c>
      <c r="AC41" s="1633" t="s">
        <v>1881</v>
      </c>
      <c r="AK41" s="1632" t="s">
        <v>1825</v>
      </c>
      <c r="AL41" s="1663" t="s">
        <v>1881</v>
      </c>
      <c r="AQ41" s="1632" t="s">
        <v>1780</v>
      </c>
      <c r="AR41" s="1653" t="s">
        <v>1881</v>
      </c>
      <c r="AT41" s="1652" t="s">
        <v>4101</v>
      </c>
      <c r="AU41" s="1633" t="s">
        <v>1881</v>
      </c>
      <c r="AW41" s="1652" t="s">
        <v>4082</v>
      </c>
      <c r="AX41" s="1633" t="s">
        <v>1881</v>
      </c>
      <c r="BC41" s="1632" t="s">
        <v>1825</v>
      </c>
      <c r="BD41" s="1633" t="s">
        <v>1881</v>
      </c>
      <c r="BF41" s="1632" t="s">
        <v>1817</v>
      </c>
      <c r="BG41" s="1653" t="s">
        <v>1881</v>
      </c>
      <c r="BI41" s="965"/>
    </row>
    <row ht="12.75" r="42" spans="1:62" thickBot="1" x14ac:dyDescent="0.25">
      <c r="A42" s="1664" t="s">
        <v>2247</v>
      </c>
      <c r="B42" s="1634" t="s">
        <v>1881</v>
      </c>
      <c r="C42" s="123"/>
      <c r="D42" s="1664" t="s">
        <v>45</v>
      </c>
      <c r="E42" s="1633"/>
      <c r="F42" s="123"/>
      <c r="G42" s="1632" t="s">
        <v>2253</v>
      </c>
      <c r="H42" s="1633" t="s">
        <v>1881</v>
      </c>
      <c r="I42" s="123"/>
      <c r="J42" s="565" t="s">
        <v>1797</v>
      </c>
      <c r="K42" s="1634" t="s">
        <v>1881</v>
      </c>
      <c r="L42" s="123"/>
      <c r="M42" s="1632" t="s">
        <v>2801</v>
      </c>
      <c r="N42" s="1633" t="s">
        <v>1881</v>
      </c>
      <c r="O42" s="123"/>
      <c r="P42" s="565" t="s">
        <v>1827</v>
      </c>
      <c r="Q42" s="1633" t="s">
        <v>1881</v>
      </c>
      <c r="R42" s="123"/>
      <c r="S42" s="1632" t="s">
        <v>1823</v>
      </c>
      <c r="T42" s="1633" t="s">
        <v>1881</v>
      </c>
      <c r="U42" s="123"/>
      <c r="V42" s="1632" t="s">
        <v>1825</v>
      </c>
      <c r="W42" s="1633" t="s">
        <v>1881</v>
      </c>
      <c r="X42" s="123"/>
      <c r="Y42" s="1632" t="s">
        <v>3932</v>
      </c>
      <c r="Z42" s="1633" t="s">
        <v>1881</v>
      </c>
      <c r="AA42" s="123"/>
      <c r="AB42" s="1632" t="s">
        <v>1827</v>
      </c>
      <c r="AC42" s="1633" t="s">
        <v>1881</v>
      </c>
      <c r="AK42" s="1632" t="s">
        <v>1827</v>
      </c>
      <c r="AL42" s="1663" t="s">
        <v>1881</v>
      </c>
      <c r="AQ42" s="1632" t="s">
        <v>1783</v>
      </c>
      <c r="AR42" s="1649" t="s">
        <v>1881</v>
      </c>
      <c r="AT42" s="1652" t="s">
        <v>4102</v>
      </c>
      <c r="AU42" s="1633" t="s">
        <v>1881</v>
      </c>
      <c r="AW42" s="1652" t="s">
        <v>4084</v>
      </c>
      <c r="AX42" s="1633" t="s">
        <v>1881</v>
      </c>
      <c r="BC42" s="1632" t="s">
        <v>1827</v>
      </c>
      <c r="BD42" s="1633" t="s">
        <v>1881</v>
      </c>
      <c r="BF42" s="1632" t="s">
        <v>1819</v>
      </c>
      <c r="BG42" s="1653" t="s">
        <v>1881</v>
      </c>
      <c r="BI42" s="965"/>
    </row>
    <row ht="12.75" r="43" spans="1:62" thickBot="1" x14ac:dyDescent="0.25">
      <c r="A43" s="1664" t="s">
        <v>2250</v>
      </c>
      <c r="B43" s="1662" t="s">
        <v>1881</v>
      </c>
      <c r="C43" s="123"/>
      <c r="D43" s="1664" t="s">
        <v>47</v>
      </c>
      <c r="E43" s="1644" t="s">
        <v>572</v>
      </c>
      <c r="F43" s="123"/>
      <c r="G43" s="1632" t="s">
        <v>2256</v>
      </c>
      <c r="H43" s="1633" t="s">
        <v>1881</v>
      </c>
      <c r="I43" s="123"/>
      <c r="J43" s="123"/>
      <c r="K43" s="123"/>
      <c r="L43" s="123"/>
      <c r="M43" s="1632" t="s">
        <v>2804</v>
      </c>
      <c r="N43" s="1633" t="s">
        <v>1881</v>
      </c>
      <c r="O43" s="123"/>
      <c r="P43" s="565" t="s">
        <v>6615</v>
      </c>
      <c r="Q43" s="1633">
        <v>0</v>
      </c>
      <c r="R43" s="123"/>
      <c r="S43" s="565" t="s">
        <v>1825</v>
      </c>
      <c r="T43" s="1633" t="s">
        <v>1881</v>
      </c>
      <c r="U43" s="123"/>
      <c r="V43" s="1632" t="s">
        <v>1827</v>
      </c>
      <c r="W43" s="1633" t="s">
        <v>1881</v>
      </c>
      <c r="X43" s="123"/>
      <c r="Y43" s="1632" t="s">
        <v>3935</v>
      </c>
      <c r="Z43" s="1633" t="s">
        <v>1881</v>
      </c>
      <c r="AA43" s="123"/>
      <c r="AB43" s="1632" t="s">
        <v>1829</v>
      </c>
      <c r="AC43" s="1633" t="s">
        <v>1881</v>
      </c>
      <c r="AK43" s="1632" t="s">
        <v>1829</v>
      </c>
      <c r="AL43" s="1663" t="s">
        <v>1881</v>
      </c>
      <c r="AQ43" s="1632" t="s">
        <v>41</v>
      </c>
      <c r="AR43" s="1649" t="s">
        <v>1881</v>
      </c>
      <c r="AT43" s="1652" t="s">
        <v>4103</v>
      </c>
      <c r="AU43" s="1633" t="s">
        <v>1881</v>
      </c>
      <c r="AW43" s="1652" t="s">
        <v>4086</v>
      </c>
      <c r="AX43" s="1633" t="s">
        <v>1881</v>
      </c>
      <c r="BC43" s="1632" t="s">
        <v>1829</v>
      </c>
      <c r="BD43" s="1633" t="s">
        <v>1881</v>
      </c>
      <c r="BF43" s="1632" t="s">
        <v>1821</v>
      </c>
      <c r="BG43" s="1653" t="s">
        <v>1881</v>
      </c>
      <c r="BI43" s="965"/>
    </row>
    <row r="44" spans="1:62" x14ac:dyDescent="0.2">
      <c r="C44" s="123"/>
      <c r="D44" s="1664" t="s">
        <v>49</v>
      </c>
      <c r="E44" s="1633"/>
      <c r="F44" s="123"/>
      <c r="G44" s="1632" t="s">
        <v>2259</v>
      </c>
      <c r="H44" s="1633" t="s">
        <v>1881</v>
      </c>
      <c r="I44" s="123"/>
      <c r="J44" s="123"/>
      <c r="K44" s="123"/>
      <c r="L44" s="123"/>
      <c r="M44" s="1632" t="s">
        <v>851</v>
      </c>
      <c r="N44" s="1633" t="s">
        <v>1881</v>
      </c>
      <c r="O44" s="123"/>
      <c r="R44" s="123"/>
      <c r="S44" s="123"/>
      <c r="T44" s="123"/>
      <c r="U44" s="123"/>
      <c r="V44" s="1632" t="s">
        <v>1829</v>
      </c>
      <c r="W44" s="1633" t="s">
        <v>1881</v>
      </c>
      <c r="X44" s="123"/>
      <c r="Y44" s="1632" t="s">
        <v>2863</v>
      </c>
      <c r="Z44" s="1633" t="s">
        <v>1881</v>
      </c>
      <c r="AA44" s="123"/>
      <c r="AB44" s="1632" t="s">
        <v>1831</v>
      </c>
      <c r="AC44" s="1633" t="s">
        <v>1881</v>
      </c>
      <c r="AK44" s="1632" t="s">
        <v>1831</v>
      </c>
      <c r="AL44" s="1663" t="s">
        <v>1881</v>
      </c>
      <c r="AQ44" s="1632" t="s">
        <v>43</v>
      </c>
      <c r="AR44" s="1653" t="s">
        <v>1881</v>
      </c>
      <c r="AT44" s="1652" t="s">
        <v>4104</v>
      </c>
      <c r="AU44" s="1633" t="s">
        <v>1881</v>
      </c>
      <c r="AW44" s="1652" t="s">
        <v>4119</v>
      </c>
      <c r="AX44" s="1633" t="s">
        <v>1881</v>
      </c>
      <c r="BC44" s="1632" t="s">
        <v>1831</v>
      </c>
      <c r="BD44" s="1633" t="s">
        <v>1881</v>
      </c>
      <c r="BF44" s="1632" t="s">
        <v>1823</v>
      </c>
      <c r="BG44" s="1649" t="s">
        <v>1881</v>
      </c>
      <c r="BI44" s="965"/>
    </row>
    <row ht="12.75" r="45" spans="1:62" thickBot="1" x14ac:dyDescent="0.25">
      <c r="A45" s="965" t="s">
        <v>4225</v>
      </c>
      <c r="B45" s="966"/>
      <c r="C45" s="123"/>
      <c r="D45" s="1664" t="s">
        <v>1797</v>
      </c>
      <c r="E45" s="1633"/>
      <c r="F45" s="123"/>
      <c r="G45" s="1632" t="s">
        <v>3933</v>
      </c>
      <c r="H45" s="1633" t="s">
        <v>1881</v>
      </c>
      <c r="I45" s="123"/>
      <c r="J45" s="123"/>
      <c r="K45" s="123"/>
      <c r="L45" s="123"/>
      <c r="M45" s="1632" t="s">
        <v>2278</v>
      </c>
      <c r="N45" s="1633" t="s">
        <v>1881</v>
      </c>
      <c r="O45" s="123"/>
      <c r="P45" s="123"/>
      <c r="Q45" s="123"/>
      <c r="R45" s="123"/>
      <c r="S45" s="123"/>
      <c r="T45" s="123"/>
      <c r="U45" s="123"/>
      <c r="V45" s="1632" t="s">
        <v>1831</v>
      </c>
      <c r="W45" s="1633" t="s">
        <v>1881</v>
      </c>
      <c r="X45" s="123"/>
      <c r="Y45" s="1632" t="s">
        <v>2866</v>
      </c>
      <c r="Z45" s="1633" t="s">
        <v>1881</v>
      </c>
      <c r="AA45" s="123"/>
      <c r="AB45" s="1632" t="s">
        <v>3109</v>
      </c>
      <c r="AC45" s="1633" t="s">
        <v>1881</v>
      </c>
      <c r="AK45" s="1632" t="s">
        <v>6557</v>
      </c>
      <c r="AL45" s="1663" t="s">
        <v>1881</v>
      </c>
      <c r="AQ45" s="1632" t="s">
        <v>6576</v>
      </c>
      <c r="AR45" s="1663" t="s">
        <v>1881</v>
      </c>
      <c r="AT45" s="1652" t="s">
        <v>4105</v>
      </c>
      <c r="AU45" s="1633" t="s">
        <v>1881</v>
      </c>
      <c r="AW45" s="1652" t="s">
        <v>4092</v>
      </c>
      <c r="AX45" s="1633" t="s">
        <v>1881</v>
      </c>
      <c r="BC45" s="1632" t="s">
        <v>3109</v>
      </c>
      <c r="BD45" s="1633" t="s">
        <v>1881</v>
      </c>
      <c r="BF45" s="1632" t="s">
        <v>1825</v>
      </c>
      <c r="BG45" s="1653" t="s">
        <v>1881</v>
      </c>
      <c r="BI45" s="965"/>
    </row>
    <row r="46" spans="1:62" x14ac:dyDescent="0.2">
      <c r="A46" s="563" t="s">
        <v>4244</v>
      </c>
      <c r="B46" s="1649" t="s">
        <v>1881</v>
      </c>
      <c r="C46" s="123"/>
      <c r="D46" s="1664" t="s">
        <v>1799</v>
      </c>
      <c r="E46" s="1633"/>
      <c r="F46" s="123"/>
      <c r="G46" s="1632" t="s">
        <v>3936</v>
      </c>
      <c r="H46" s="1633" t="s">
        <v>1881</v>
      </c>
      <c r="I46" s="123"/>
      <c r="J46" s="965"/>
      <c r="K46" s="123"/>
      <c r="L46" s="123"/>
      <c r="M46" s="1632" t="s">
        <v>1777</v>
      </c>
      <c r="N46" s="1633" t="s">
        <v>1881</v>
      </c>
      <c r="O46" s="123"/>
      <c r="P46" s="123"/>
      <c r="Q46" s="123"/>
      <c r="R46" s="123"/>
      <c r="S46" s="123"/>
      <c r="T46" s="123"/>
      <c r="U46" s="123"/>
      <c r="V46" s="1632" t="s">
        <v>3109</v>
      </c>
      <c r="W46" s="1633" t="s">
        <v>1881</v>
      </c>
      <c r="X46" s="123"/>
      <c r="Y46" s="1632" t="s">
        <v>3895</v>
      </c>
      <c r="Z46" s="1633" t="s">
        <v>1881</v>
      </c>
      <c r="AA46" s="123"/>
      <c r="AB46" s="1632" t="s">
        <v>2245</v>
      </c>
      <c r="AC46" s="1633" t="s">
        <v>1881</v>
      </c>
      <c r="AK46" s="1632" t="s">
        <v>7414</v>
      </c>
      <c r="AL46" s="1663" t="s">
        <v>1881</v>
      </c>
      <c r="AQ46" s="1632" t="s">
        <v>6575</v>
      </c>
      <c r="AR46" s="1663" t="s">
        <v>1881</v>
      </c>
      <c r="AT46" s="1652" t="s">
        <v>4106</v>
      </c>
      <c r="AU46" s="1633" t="s">
        <v>1881</v>
      </c>
      <c r="AW46" s="1652" t="s">
        <v>4094</v>
      </c>
      <c r="AX46" s="1633" t="s">
        <v>1881</v>
      </c>
      <c r="BC46" s="1632" t="s">
        <v>2245</v>
      </c>
      <c r="BD46" s="1633" t="s">
        <v>1881</v>
      </c>
      <c r="BF46" s="1632" t="s">
        <v>1827</v>
      </c>
      <c r="BG46" s="1649" t="s">
        <v>1881</v>
      </c>
      <c r="BH46" s="98"/>
      <c r="BI46" s="562"/>
      <c r="BJ46" s="98"/>
    </row>
    <row ht="12.75" r="47" spans="1:62" thickBot="1" x14ac:dyDescent="0.25">
      <c r="A47" s="1632" t="s">
        <v>952</v>
      </c>
      <c r="B47" s="1649" t="s">
        <v>1881</v>
      </c>
      <c r="C47" s="123"/>
      <c r="D47" s="1664" t="s">
        <v>1801</v>
      </c>
      <c r="E47" s="1633"/>
      <c r="F47" s="123"/>
      <c r="G47" s="1632" t="s">
        <v>2864</v>
      </c>
      <c r="H47" s="1633" t="s">
        <v>1881</v>
      </c>
      <c r="I47" s="123"/>
      <c r="J47" s="965"/>
      <c r="K47" s="123"/>
      <c r="L47" s="123"/>
      <c r="M47" s="1632" t="s">
        <v>1780</v>
      </c>
      <c r="N47" s="1633" t="s">
        <v>1881</v>
      </c>
      <c r="O47" s="123"/>
      <c r="P47" s="123"/>
      <c r="Q47" s="123"/>
      <c r="R47" s="123"/>
      <c r="S47" s="123"/>
      <c r="T47" s="123"/>
      <c r="U47" s="123"/>
      <c r="V47" s="1632" t="s">
        <v>2245</v>
      </c>
      <c r="W47" s="1633" t="s">
        <v>1881</v>
      </c>
      <c r="X47" s="123"/>
      <c r="Y47" s="1632" t="s">
        <v>2800</v>
      </c>
      <c r="Z47" s="1633">
        <v>2600</v>
      </c>
      <c r="AA47" s="123"/>
      <c r="AB47" s="1632" t="s">
        <v>2248</v>
      </c>
      <c r="AC47" s="1633" t="s">
        <v>1881</v>
      </c>
      <c r="AK47" s="565" t="s">
        <v>6446</v>
      </c>
      <c r="AL47" s="1653" t="s">
        <v>1881</v>
      </c>
      <c r="AQ47" s="1632" t="s">
        <v>45</v>
      </c>
      <c r="AR47" s="1653" t="s">
        <v>1881</v>
      </c>
      <c r="AT47" s="1652" t="s">
        <v>4107</v>
      </c>
      <c r="AU47" s="1633" t="s">
        <v>1881</v>
      </c>
      <c r="AW47" s="1652" t="s">
        <v>4096</v>
      </c>
      <c r="AX47" s="1633" t="s">
        <v>1881</v>
      </c>
      <c r="BC47" s="1632" t="s">
        <v>2248</v>
      </c>
      <c r="BD47" s="1633" t="s">
        <v>1881</v>
      </c>
      <c r="BF47" s="565" t="s">
        <v>1829</v>
      </c>
      <c r="BG47" s="1649" t="s">
        <v>1881</v>
      </c>
      <c r="BH47" s="98"/>
      <c r="BI47" s="562"/>
      <c r="BJ47" s="98"/>
    </row>
    <row r="48" spans="1:62" x14ac:dyDescent="0.2">
      <c r="A48" s="1632" t="s">
        <v>2247</v>
      </c>
      <c r="B48" s="1649" t="s">
        <v>1881</v>
      </c>
      <c r="G48" s="1632" t="s">
        <v>2867</v>
      </c>
      <c r="H48" s="1633" t="s">
        <v>1881</v>
      </c>
      <c r="M48" s="1632" t="s">
        <v>1783</v>
      </c>
      <c r="N48" s="1633" t="s">
        <v>1881</v>
      </c>
      <c r="V48" s="1632" t="s">
        <v>2248</v>
      </c>
      <c r="W48" s="1633" t="s">
        <v>1881</v>
      </c>
      <c r="X48" s="123"/>
      <c r="Y48" s="1632" t="s">
        <v>2803</v>
      </c>
      <c r="Z48" s="1633">
        <v>14900</v>
      </c>
      <c r="AB48" s="1632" t="s">
        <v>2251</v>
      </c>
      <c r="AC48" s="1633" t="s">
        <v>1881</v>
      </c>
      <c r="AK48" s="1632" t="s">
        <v>3109</v>
      </c>
      <c r="AL48" s="1663" t="s">
        <v>1881</v>
      </c>
      <c r="AQ48" s="1632" t="s">
        <v>47</v>
      </c>
      <c r="AR48" s="1653" t="s">
        <v>1881</v>
      </c>
      <c r="AT48" s="1652" t="s">
        <v>4108</v>
      </c>
      <c r="AU48" s="1633" t="s">
        <v>1881</v>
      </c>
      <c r="AW48" s="1652" t="s">
        <v>4120</v>
      </c>
      <c r="AX48" s="1633" t="s">
        <v>1881</v>
      </c>
      <c r="BC48" s="1632" t="s">
        <v>2251</v>
      </c>
      <c r="BD48" s="1633" t="s">
        <v>1881</v>
      </c>
    </row>
    <row r="49" spans="1:56" x14ac:dyDescent="0.2">
      <c r="A49" s="1632" t="s">
        <v>2250</v>
      </c>
      <c r="B49" s="1649" t="s">
        <v>1881</v>
      </c>
      <c r="G49" s="1632" t="s">
        <v>2798</v>
      </c>
      <c r="H49" s="1633" t="s">
        <v>1881</v>
      </c>
      <c r="M49" s="1632" t="s">
        <v>41</v>
      </c>
      <c r="N49" s="1633" t="s">
        <v>1881</v>
      </c>
      <c r="V49" s="1632" t="s">
        <v>2251</v>
      </c>
      <c r="W49" s="1633" t="s">
        <v>1881</v>
      </c>
      <c r="X49" s="123"/>
      <c r="Y49" s="1632" t="s">
        <v>2806</v>
      </c>
      <c r="Z49" s="1633" t="s">
        <v>1881</v>
      </c>
      <c r="AB49" s="1632" t="s">
        <v>2254</v>
      </c>
      <c r="AC49" s="1633" t="s">
        <v>1881</v>
      </c>
      <c r="AK49" s="1632" t="s">
        <v>2245</v>
      </c>
      <c r="AL49" s="1663" t="s">
        <v>1881</v>
      </c>
      <c r="AQ49" s="1632" t="s">
        <v>49</v>
      </c>
      <c r="AR49" s="1653" t="s">
        <v>1881</v>
      </c>
      <c r="AT49" s="1652" t="s">
        <v>4109</v>
      </c>
      <c r="AU49" s="1633" t="s">
        <v>1881</v>
      </c>
      <c r="AW49" s="1652" t="s">
        <v>4098</v>
      </c>
      <c r="AX49" s="1633" t="s">
        <v>1881</v>
      </c>
      <c r="BC49" s="1632" t="s">
        <v>2254</v>
      </c>
      <c r="BD49" s="1633" t="s">
        <v>1881</v>
      </c>
    </row>
    <row ht="12.75" r="50" spans="1:56" thickBot="1" x14ac:dyDescent="0.25">
      <c r="A50" s="1632" t="s">
        <v>2253</v>
      </c>
      <c r="B50" s="1662" t="s">
        <v>1881</v>
      </c>
      <c r="G50" s="565" t="s">
        <v>2801</v>
      </c>
      <c r="H50" s="1633" t="s">
        <v>1881</v>
      </c>
      <c r="M50" s="565" t="s">
        <v>43</v>
      </c>
      <c r="N50" s="1633" t="s">
        <v>1881</v>
      </c>
      <c r="V50" s="1632" t="s">
        <v>2254</v>
      </c>
      <c r="W50" s="1633" t="s">
        <v>1881</v>
      </c>
      <c r="X50" s="123"/>
      <c r="Y50" s="1632" t="s">
        <v>2277</v>
      </c>
      <c r="Z50" s="1633" t="s">
        <v>1881</v>
      </c>
      <c r="AB50" s="1632" t="s">
        <v>2257</v>
      </c>
      <c r="AC50" s="1633" t="s">
        <v>1881</v>
      </c>
      <c r="AK50" s="1632" t="s">
        <v>2248</v>
      </c>
      <c r="AL50" s="1663" t="s">
        <v>1881</v>
      </c>
      <c r="AQ50" s="1632" t="s">
        <v>1797</v>
      </c>
      <c r="AR50" s="1653" t="s">
        <v>1881</v>
      </c>
      <c r="AT50" s="1652">
        <v>5</v>
      </c>
      <c r="AU50" s="1633" t="s">
        <v>1881</v>
      </c>
      <c r="AW50" s="1652" t="s">
        <v>4100</v>
      </c>
      <c r="AX50" s="1633" t="s">
        <v>1881</v>
      </c>
      <c r="BC50" s="1632" t="s">
        <v>2257</v>
      </c>
      <c r="BD50" s="1633" t="s">
        <v>1881</v>
      </c>
    </row>
    <row ht="12.75" r="51" spans="1:56" thickBot="1" x14ac:dyDescent="0.25">
      <c r="A51" s="1632" t="s">
        <v>2256</v>
      </c>
      <c r="B51" s="1662" t="s">
        <v>1881</v>
      </c>
      <c r="M51" s="565" t="s">
        <v>6615</v>
      </c>
      <c r="N51" s="1633">
        <v>24622</v>
      </c>
      <c r="V51" s="1632" t="s">
        <v>2257</v>
      </c>
      <c r="W51" s="1633">
        <v>14900</v>
      </c>
      <c r="X51" s="123"/>
      <c r="Y51" s="1632" t="s">
        <v>1674</v>
      </c>
      <c r="Z51" s="1633">
        <v>17500</v>
      </c>
      <c r="AB51" s="1632" t="s">
        <v>2260</v>
      </c>
      <c r="AC51" s="1633" t="s">
        <v>1881</v>
      </c>
      <c r="AK51" s="1632" t="s">
        <v>2251</v>
      </c>
      <c r="AL51" s="1663" t="s">
        <v>1881</v>
      </c>
      <c r="AQ51" s="1632" t="s">
        <v>1799</v>
      </c>
      <c r="AR51" s="1653" t="s">
        <v>1881</v>
      </c>
      <c r="AT51" s="1652">
        <v>6</v>
      </c>
      <c r="AU51" s="1633" t="s">
        <v>1881</v>
      </c>
      <c r="AW51" s="1652" t="s">
        <v>4102</v>
      </c>
      <c r="AX51" s="1633" t="s">
        <v>1881</v>
      </c>
      <c r="BC51" s="1632" t="s">
        <v>2260</v>
      </c>
      <c r="BD51" s="1633" t="s">
        <v>1881</v>
      </c>
    </row>
    <row r="52" spans="1:56" x14ac:dyDescent="0.2">
      <c r="A52" s="1916" t="s">
        <v>6353</v>
      </c>
      <c r="B52" s="1649" t="s">
        <v>1189</v>
      </c>
      <c r="V52" s="1632" t="s">
        <v>2260</v>
      </c>
      <c r="W52" s="1633" t="s">
        <v>1881</v>
      </c>
      <c r="X52" s="123"/>
      <c r="Y52" s="1632" t="s">
        <v>1779</v>
      </c>
      <c r="Z52" s="1633" t="s">
        <v>1189</v>
      </c>
      <c r="AB52" s="1632" t="s">
        <v>3934</v>
      </c>
      <c r="AC52" s="1633" t="s">
        <v>1881</v>
      </c>
      <c r="AK52" s="1632" t="s">
        <v>2254</v>
      </c>
      <c r="AL52" s="1663" t="s">
        <v>1881</v>
      </c>
      <c r="AQ52" s="1632" t="s">
        <v>1801</v>
      </c>
      <c r="AR52" s="1653" t="s">
        <v>1881</v>
      </c>
      <c r="AT52" s="2269">
        <v>7</v>
      </c>
      <c r="AU52" s="1633"/>
      <c r="AW52" s="1652" t="s">
        <v>4121</v>
      </c>
      <c r="AX52" s="1633" t="s">
        <v>1881</v>
      </c>
      <c r="BC52" s="1632" t="s">
        <v>3934</v>
      </c>
      <c r="BD52" s="1633" t="s">
        <v>1881</v>
      </c>
    </row>
    <row ht="12.75" r="53" spans="1:56" thickBot="1" x14ac:dyDescent="0.25">
      <c r="A53" s="1917" t="s">
        <v>6354</v>
      </c>
      <c r="B53" s="1649" t="s">
        <v>572</v>
      </c>
      <c r="V53" s="1632" t="s">
        <v>3934</v>
      </c>
      <c r="W53" s="1633" t="s">
        <v>1881</v>
      </c>
      <c r="X53" s="123"/>
      <c r="Y53" s="1632" t="s">
        <v>1782</v>
      </c>
      <c r="Z53" s="1633" t="s">
        <v>1189</v>
      </c>
      <c r="AB53" s="565" t="s">
        <v>2862</v>
      </c>
      <c r="AC53" s="1633" t="s">
        <v>1881</v>
      </c>
      <c r="AK53" s="1632" t="s">
        <v>2257</v>
      </c>
      <c r="AL53" s="1663" t="s">
        <v>1881</v>
      </c>
      <c r="AQ53" s="1632" t="s">
        <v>1803</v>
      </c>
      <c r="AR53" s="1653" t="s">
        <v>1881</v>
      </c>
      <c r="AT53" s="1652" t="s">
        <v>4076</v>
      </c>
      <c r="AU53" s="1633" t="s">
        <v>1881</v>
      </c>
      <c r="AW53" s="1652">
        <v>33</v>
      </c>
      <c r="AX53" s="1633" t="s">
        <v>1881</v>
      </c>
      <c r="BC53" s="1632" t="s">
        <v>2862</v>
      </c>
      <c r="BD53" s="1633" t="s">
        <v>1881</v>
      </c>
    </row>
    <row r="54" spans="1:56" x14ac:dyDescent="0.2">
      <c r="V54" s="1632" t="s">
        <v>2862</v>
      </c>
      <c r="W54" s="1633" t="s">
        <v>1881</v>
      </c>
      <c r="X54" s="123"/>
      <c r="Y54" s="1632" t="s">
        <v>1673</v>
      </c>
      <c r="Z54" s="1633" t="s">
        <v>1881</v>
      </c>
      <c r="AK54" s="1632" t="s">
        <v>2260</v>
      </c>
      <c r="AL54" s="1663" t="s">
        <v>1881</v>
      </c>
      <c r="AQ54" s="1632" t="s">
        <v>1805</v>
      </c>
      <c r="AR54" s="1653" t="s">
        <v>1881</v>
      </c>
      <c r="AT54" s="1652" t="s">
        <v>4077</v>
      </c>
      <c r="AU54" s="1633" t="s">
        <v>1881</v>
      </c>
      <c r="AW54" s="1652">
        <v>34</v>
      </c>
      <c r="AX54" s="1633" t="s">
        <v>1881</v>
      </c>
      <c r="BC54" s="1632" t="s">
        <v>2865</v>
      </c>
      <c r="BD54" s="1633" t="s">
        <v>1881</v>
      </c>
    </row>
    <row ht="12.75" r="55" spans="1:56" thickBot="1" x14ac:dyDescent="0.25">
      <c r="V55" s="1632" t="s">
        <v>2865</v>
      </c>
      <c r="W55" s="1633" t="s">
        <v>1881</v>
      </c>
      <c r="X55" s="123"/>
      <c r="Y55" s="565" t="s">
        <v>766</v>
      </c>
      <c r="Z55" s="1633" t="s">
        <v>1881</v>
      </c>
      <c r="AK55" s="1632" t="s">
        <v>3934</v>
      </c>
      <c r="AL55" s="1663" t="s">
        <v>1881</v>
      </c>
      <c r="AQ55" s="1632" t="s">
        <v>1807</v>
      </c>
      <c r="AR55" s="1653" t="s">
        <v>1881</v>
      </c>
      <c r="AT55" s="1652" t="s">
        <v>4078</v>
      </c>
      <c r="AU55" s="1633" t="s">
        <v>1881</v>
      </c>
      <c r="AW55" s="1652">
        <v>35</v>
      </c>
      <c r="AX55" s="1633" t="s">
        <v>1881</v>
      </c>
      <c r="BC55" s="1632" t="s">
        <v>2868</v>
      </c>
      <c r="BD55" s="1633" t="s">
        <v>1881</v>
      </c>
    </row>
    <row ht="12.75" r="56" spans="1:56" thickBot="1" x14ac:dyDescent="0.25">
      <c r="V56" s="565" t="s">
        <v>2868</v>
      </c>
      <c r="W56" s="1633" t="s">
        <v>1881</v>
      </c>
      <c r="X56" s="123"/>
      <c r="AK56" s="1632" t="s">
        <v>2862</v>
      </c>
      <c r="AL56" s="1663" t="s">
        <v>1881</v>
      </c>
      <c r="AQ56" s="1632" t="s">
        <v>1809</v>
      </c>
      <c r="AR56" s="1653" t="s">
        <v>1881</v>
      </c>
      <c r="AT56" s="1652" t="s">
        <v>4110</v>
      </c>
      <c r="AU56" s="1633" t="s">
        <v>1881</v>
      </c>
      <c r="AW56" s="1652">
        <v>36</v>
      </c>
      <c r="AX56" s="1633" t="s">
        <v>1881</v>
      </c>
      <c r="BC56" s="3319" t="s">
        <v>7597</v>
      </c>
      <c r="BD56" s="3320" t="s">
        <v>1881</v>
      </c>
    </row>
    <row ht="12.75" r="57" spans="1:56" thickBot="1" x14ac:dyDescent="0.25">
      <c r="W57" s="123"/>
      <c r="X57" s="123"/>
      <c r="Z57" s="123"/>
      <c r="AA57" s="123"/>
      <c r="AK57" s="565" t="s">
        <v>2865</v>
      </c>
      <c r="AL57" s="1663" t="s">
        <v>1881</v>
      </c>
      <c r="AQ57" s="1632" t="s">
        <v>1811</v>
      </c>
      <c r="AR57" s="1653" t="s">
        <v>1881</v>
      </c>
      <c r="AT57" s="1652" t="s">
        <v>4080</v>
      </c>
      <c r="AU57" s="1633" t="s">
        <v>1881</v>
      </c>
      <c r="AW57" s="1652">
        <v>37</v>
      </c>
      <c r="AX57" s="1633" t="s">
        <v>1881</v>
      </c>
      <c r="BC57" s="3319" t="s">
        <v>7593</v>
      </c>
      <c r="BD57" s="3320" t="s">
        <v>1881</v>
      </c>
    </row>
    <row r="58" spans="1:56" x14ac:dyDescent="0.2">
      <c r="X58" s="123"/>
      <c r="Y58" s="123"/>
      <c r="AQ58" s="1632" t="s">
        <v>1813</v>
      </c>
      <c r="AR58" s="1653" t="s">
        <v>1881</v>
      </c>
      <c r="AT58" s="1652" t="s">
        <v>4111</v>
      </c>
      <c r="AU58" s="1633" t="s">
        <v>1881</v>
      </c>
      <c r="AW58" s="1652">
        <v>38</v>
      </c>
      <c r="AX58" s="1633" t="s">
        <v>1881</v>
      </c>
      <c r="BC58" s="3319" t="s">
        <v>7594</v>
      </c>
      <c r="BD58" s="3320" t="s">
        <v>1881</v>
      </c>
    </row>
    <row r="59" spans="1:56" x14ac:dyDescent="0.2">
      <c r="X59" s="123"/>
      <c r="AQ59" s="4060" t="s">
        <v>1815</v>
      </c>
      <c r="AR59" s="4061" t="s">
        <v>1881</v>
      </c>
      <c r="AT59" s="1652">
        <v>8</v>
      </c>
      <c r="AU59" s="1633" t="s">
        <v>1881</v>
      </c>
      <c r="AW59" s="1652">
        <v>39</v>
      </c>
      <c r="AX59" s="1633" t="s">
        <v>1881</v>
      </c>
      <c r="BC59" s="3319" t="s">
        <v>7595</v>
      </c>
      <c r="BD59" s="3320" t="s">
        <v>1881</v>
      </c>
    </row>
    <row r="60" spans="1:56" x14ac:dyDescent="0.2">
      <c r="AQ60" s="4062" t="s">
        <v>8500</v>
      </c>
      <c r="AR60" s="4063" t="s">
        <v>1881</v>
      </c>
      <c r="AT60" s="1652">
        <v>9</v>
      </c>
      <c r="AU60" s="1633" t="s">
        <v>1881</v>
      </c>
      <c r="AW60" s="1652">
        <v>40</v>
      </c>
      <c r="AX60" s="1633" t="s">
        <v>1881</v>
      </c>
      <c r="BC60" s="3319" t="s">
        <v>7596</v>
      </c>
      <c r="BD60" s="3320" t="s">
        <v>1881</v>
      </c>
    </row>
    <row r="61" spans="1:56" x14ac:dyDescent="0.2">
      <c r="AQ61" s="1632" t="s">
        <v>1817</v>
      </c>
      <c r="AR61" s="1653" t="s">
        <v>1881</v>
      </c>
      <c r="AT61" s="1652" t="s">
        <v>4076</v>
      </c>
      <c r="AU61" s="1633" t="s">
        <v>1881</v>
      </c>
      <c r="AW61" s="1652">
        <v>41</v>
      </c>
      <c r="AX61" s="1633" t="s">
        <v>1881</v>
      </c>
      <c r="BC61" s="1632" t="s">
        <v>2799</v>
      </c>
      <c r="BD61" s="1633" t="s">
        <v>1881</v>
      </c>
    </row>
    <row ht="12.75" r="62" spans="1:56" thickBot="1" x14ac:dyDescent="0.25">
      <c r="AQ62" s="1632" t="s">
        <v>1819</v>
      </c>
      <c r="AR62" s="1653" t="s">
        <v>1881</v>
      </c>
      <c r="AT62" s="1652" t="s">
        <v>4077</v>
      </c>
      <c r="AU62" s="1633" t="s">
        <v>1881</v>
      </c>
      <c r="AW62" s="1652">
        <v>42</v>
      </c>
      <c r="AX62" s="1633" t="s">
        <v>1881</v>
      </c>
      <c r="BC62" s="565" t="s">
        <v>2802</v>
      </c>
      <c r="BD62" s="1633" t="s">
        <v>1881</v>
      </c>
    </row>
    <row r="63" spans="1:56" x14ac:dyDescent="0.2">
      <c r="AQ63" s="1632" t="s">
        <v>1821</v>
      </c>
      <c r="AR63" s="1653" t="s">
        <v>1881</v>
      </c>
      <c r="AT63" s="1652" t="s">
        <v>4078</v>
      </c>
      <c r="AU63" s="1633" t="s">
        <v>1881</v>
      </c>
      <c r="AW63" s="1652">
        <v>43</v>
      </c>
      <c r="AX63" s="1633" t="s">
        <v>1881</v>
      </c>
    </row>
    <row r="64" spans="1:56" x14ac:dyDescent="0.2">
      <c r="AQ64" s="1632" t="s">
        <v>1823</v>
      </c>
      <c r="AR64" s="1653" t="s">
        <v>1881</v>
      </c>
      <c r="AT64" s="1652" t="s">
        <v>4112</v>
      </c>
      <c r="AU64" s="1633" t="s">
        <v>1881</v>
      </c>
      <c r="AW64" s="1652">
        <v>44</v>
      </c>
      <c r="AX64" s="1634" t="s">
        <v>1881</v>
      </c>
    </row>
    <row r="65" spans="43:50" x14ac:dyDescent="0.2">
      <c r="AQ65" s="1632" t="s">
        <v>1825</v>
      </c>
      <c r="AR65" s="1653" t="s">
        <v>1881</v>
      </c>
      <c r="AT65" s="1652" t="s">
        <v>4080</v>
      </c>
      <c r="AU65" s="1633" t="s">
        <v>1881</v>
      </c>
      <c r="AW65" s="1652">
        <v>45</v>
      </c>
      <c r="AX65" s="1633" t="s">
        <v>1881</v>
      </c>
    </row>
    <row ht="12.75" r="66" spans="43:50" thickBot="1" x14ac:dyDescent="0.25">
      <c r="AQ66" s="1632" t="s">
        <v>1827</v>
      </c>
      <c r="AR66" s="1653" t="s">
        <v>1881</v>
      </c>
      <c r="AT66" s="1652" t="s">
        <v>4113</v>
      </c>
      <c r="AU66" s="1633" t="s">
        <v>1881</v>
      </c>
      <c r="AW66" s="1654">
        <v>46</v>
      </c>
      <c r="AX66" s="1633" t="s">
        <v>1881</v>
      </c>
    </row>
    <row r="67" spans="43:50" x14ac:dyDescent="0.2">
      <c r="AQ67" s="1632" t="s">
        <v>1829</v>
      </c>
      <c r="AR67" s="1653" t="s">
        <v>1881</v>
      </c>
      <c r="AT67" s="1652">
        <v>10</v>
      </c>
      <c r="AU67" s="1633" t="s">
        <v>1881</v>
      </c>
    </row>
    <row r="68" spans="43:50" x14ac:dyDescent="0.2">
      <c r="AQ68" s="1632" t="s">
        <v>1831</v>
      </c>
      <c r="AR68" s="1653" t="s">
        <v>1881</v>
      </c>
      <c r="AT68" s="1652">
        <v>11</v>
      </c>
      <c r="AU68" s="1633" t="s">
        <v>1881</v>
      </c>
    </row>
    <row r="69" spans="43:50" x14ac:dyDescent="0.2">
      <c r="AQ69" s="1632" t="s">
        <v>3109</v>
      </c>
      <c r="AR69" s="1653" t="s">
        <v>1881</v>
      </c>
      <c r="AT69" s="1652" t="s">
        <v>2738</v>
      </c>
      <c r="AU69" s="1633" t="s">
        <v>1881</v>
      </c>
    </row>
    <row ht="12.75" r="70" spans="43:50" thickBot="1" x14ac:dyDescent="0.25">
      <c r="AQ70" s="565" t="s">
        <v>2245</v>
      </c>
      <c r="AR70" s="1653" t="s">
        <v>1881</v>
      </c>
      <c r="AT70" s="1652" t="s">
        <v>2739</v>
      </c>
      <c r="AU70" s="1633" t="s">
        <v>1881</v>
      </c>
    </row>
    <row ht="12.75" r="71" spans="43:50" thickBot="1" x14ac:dyDescent="0.25">
      <c r="AQ71" s="565" t="s">
        <v>2248</v>
      </c>
      <c r="AR71" s="1653" t="s">
        <v>1881</v>
      </c>
      <c r="AT71" s="1652" t="s">
        <v>2740</v>
      </c>
      <c r="AU71" s="1633" t="s">
        <v>1881</v>
      </c>
    </row>
    <row ht="12.75" r="72" spans="43:50" thickBot="1" x14ac:dyDescent="0.25">
      <c r="AQ72" s="565" t="s">
        <v>2251</v>
      </c>
      <c r="AR72" s="1663" t="s">
        <v>1881</v>
      </c>
      <c r="AT72" s="1652" t="s">
        <v>2741</v>
      </c>
      <c r="AU72" s="1633" t="s">
        <v>1881</v>
      </c>
    </row>
    <row r="73" spans="43:50" x14ac:dyDescent="0.2">
      <c r="AT73" s="1652" t="s">
        <v>2742</v>
      </c>
      <c r="AU73" s="1633" t="s">
        <v>1881</v>
      </c>
    </row>
    <row r="74" spans="43:50" x14ac:dyDescent="0.2">
      <c r="AT74" s="1652" t="s">
        <v>2743</v>
      </c>
      <c r="AU74" s="1633" t="s">
        <v>1881</v>
      </c>
    </row>
    <row r="75" spans="43:50" x14ac:dyDescent="0.2">
      <c r="AT75" s="1652">
        <v>12</v>
      </c>
      <c r="AU75" s="1633" t="s">
        <v>1881</v>
      </c>
    </row>
    <row ht="12.75" r="76" spans="43:50" thickBot="1" x14ac:dyDescent="0.25">
      <c r="AT76" s="1654">
        <v>13</v>
      </c>
      <c r="AU76" s="1633" t="s">
        <v>1881</v>
      </c>
    </row>
    <row ht="12.75" r="78" spans="43:50" thickBot="1" x14ac:dyDescent="0.25">
      <c r="AT78" s="1654">
        <v>13.2</v>
      </c>
      <c r="AU78" s="1633" t="s">
        <v>1881</v>
      </c>
    </row>
  </sheetData>
  <phoneticPr fontId="67" type="noConversion"/>
  <pageMargins bottom="0.19685039370078741" footer="0" header="0" left="0.19685039370078741" right="0.19685039370078741" top="0.19685039370078741"/>
  <pageSetup fitToWidth="2" horizontalDpi="1200" orientation="landscape" paperSize="9" r:id="rId1" scale="67" verticalDpi="1200"/>
  <headerFooter alignWithMargins="0"/>
  <colBreaks count="1" manualBreakCount="1">
    <brk id="32" man="1" max="1048575"/>
  </colBreaks>
</worksheet>
</file>

<file path=xl/worksheets/sheet21.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5">
    <pageSetUpPr fitToPage="1"/>
  </sheetPr>
  <dimension ref="A1:K64"/>
  <sheetViews>
    <sheetView showGridLines="0" topLeftCell="A4" workbookViewId="0"/>
  </sheetViews>
  <sheetFormatPr defaultColWidth="8.85546875" defaultRowHeight="12.75" x14ac:dyDescent="0.2"/>
  <cols>
    <col min="1" max="1" customWidth="true" style="2024" width="1.140625" collapsed="true"/>
    <col min="2" max="2" customWidth="true" style="2024" width="6.42578125" collapsed="true"/>
    <col min="3" max="3" customWidth="true" style="2024" width="5.85546875" collapsed="true"/>
    <col min="4" max="4" customWidth="true" style="3129" width="23.5703125" collapsed="true"/>
    <col min="5" max="5" customWidth="true" style="3129" width="16.28515625" collapsed="true"/>
    <col min="6" max="6" customWidth="true" style="3129" width="10.7109375" collapsed="true"/>
    <col min="7" max="7" customWidth="true" style="3129" width="13.140625" collapsed="true"/>
    <col min="8" max="8" customWidth="true" style="2024" width="11.0" collapsed="true"/>
    <col min="9" max="9" customWidth="true" style="774" width="12.85546875" collapsed="true"/>
    <col min="10" max="10" customWidth="true" style="2024" width="2.0" collapsed="true"/>
    <col min="11" max="16384" style="2024" width="8.85546875" collapsed="true"/>
  </cols>
  <sheetData>
    <row customHeight="1" ht="32.25" r="1" spans="1:10" thickBot="1" x14ac:dyDescent="0.3">
      <c r="A1" s="941"/>
      <c r="B1" s="1737"/>
      <c r="C1" s="1738"/>
      <c r="D1" s="920"/>
      <c r="E1" s="920"/>
      <c r="F1" s="920"/>
      <c r="G1" s="1737" t="s">
        <v>6209</v>
      </c>
      <c r="H1" s="940"/>
      <c r="I1" s="940"/>
      <c r="J1" s="774"/>
    </row>
    <row customHeight="1" ht="14.25" r="2" spans="1:10" thickTop="1" x14ac:dyDescent="0.2">
      <c r="A2" s="942"/>
      <c r="B2" s="1739"/>
      <c r="C2" s="1739"/>
      <c r="D2" s="913"/>
      <c r="E2" s="4469"/>
      <c r="F2" s="4469"/>
      <c r="G2" s="4469"/>
      <c r="H2" s="4469"/>
      <c r="I2" s="4473"/>
      <c r="J2" s="774"/>
    </row>
    <row r="3" spans="1:10" x14ac:dyDescent="0.2">
      <c r="A3" s="406"/>
      <c r="B3" s="1739"/>
      <c r="C3" s="914" t="s">
        <v>1881</v>
      </c>
      <c r="D3" s="4471"/>
      <c r="E3" s="4469"/>
      <c r="F3" s="4469"/>
      <c r="G3" s="4471" t="s">
        <v>9105</v>
      </c>
      <c r="H3" s="128"/>
      <c r="I3" s="128"/>
      <c r="J3" s="774"/>
    </row>
    <row r="4" spans="1:10" x14ac:dyDescent="0.2">
      <c r="A4" s="406"/>
      <c r="B4" s="1739"/>
      <c r="C4" s="914" t="s">
        <v>1881</v>
      </c>
      <c r="D4" s="4471"/>
      <c r="E4" s="4469"/>
      <c r="F4" s="4469"/>
      <c r="G4" s="84"/>
      <c r="H4" s="1977" t="s">
        <v>9094</v>
      </c>
      <c r="I4" s="4473"/>
      <c r="J4" s="774"/>
    </row>
    <row customHeight="1" ht="18" r="5" spans="1:10" x14ac:dyDescent="0.2">
      <c r="A5" s="942" t="s">
        <v>1881</v>
      </c>
      <c r="B5" s="942" t="s">
        <v>8530</v>
      </c>
      <c r="C5" s="942"/>
      <c r="D5" s="942"/>
      <c r="E5" s="942"/>
      <c r="F5" s="942"/>
      <c r="G5" s="942"/>
      <c r="H5" s="942"/>
      <c r="I5" s="942"/>
      <c r="J5" s="774"/>
    </row>
    <row r="6" spans="1:10" x14ac:dyDescent="0.2">
      <c r="A6" s="406"/>
      <c r="B6" s="1739"/>
      <c r="C6" s="914" t="s">
        <v>1881</v>
      </c>
      <c r="D6" s="915"/>
      <c r="E6" s="580"/>
      <c r="F6" s="4469"/>
      <c r="G6" s="4469"/>
      <c r="H6" s="4469"/>
      <c r="I6" s="4469"/>
      <c r="J6" s="774"/>
    </row>
    <row r="7" spans="1:10" x14ac:dyDescent="0.2">
      <c r="A7" s="942"/>
      <c r="B7" s="1739"/>
      <c r="C7" s="1739"/>
      <c r="D7" s="4469"/>
      <c r="E7" s="4469"/>
      <c r="F7" s="4469"/>
      <c r="G7" s="84" t="s">
        <v>1419</v>
      </c>
      <c r="H7" s="916" t="s">
        <v>9095</v>
      </c>
      <c r="I7" s="4473"/>
      <c r="J7" s="774"/>
    </row>
    <row r="8" spans="1:10" x14ac:dyDescent="0.2">
      <c r="A8" s="942"/>
      <c r="B8" s="774"/>
      <c r="C8" s="774"/>
      <c r="D8" s="942"/>
      <c r="E8" s="942"/>
      <c r="F8" s="942"/>
      <c r="G8" s="942"/>
      <c r="H8" s="942"/>
      <c r="I8" s="942"/>
      <c r="J8" s="942"/>
    </row>
    <row ht="15" r="9" spans="1:10" x14ac:dyDescent="0.25">
      <c r="A9" s="406"/>
      <c r="B9" s="92" t="s">
        <v>9096</v>
      </c>
      <c r="C9" s="4472"/>
      <c r="D9" s="1945"/>
      <c r="E9" s="1958" t="s">
        <v>9097</v>
      </c>
      <c r="F9" s="1945"/>
      <c r="G9" s="4471"/>
      <c r="H9" s="4471"/>
      <c r="I9" s="4471"/>
      <c r="J9" s="7"/>
    </row>
    <row r="10" spans="1:10" x14ac:dyDescent="0.2">
      <c r="A10" s="406"/>
      <c r="B10" s="774"/>
      <c r="C10" s="774"/>
      <c r="D10" s="4469"/>
      <c r="E10" s="4469"/>
      <c r="F10" s="4469"/>
      <c r="G10" s="4469"/>
      <c r="H10" s="4469"/>
      <c r="I10" s="4469"/>
      <c r="J10" s="7"/>
    </row>
    <row r="11" spans="1:10" x14ac:dyDescent="0.2">
      <c r="A11" s="406"/>
      <c r="B11" s="4492" t="s">
        <v>2599</v>
      </c>
      <c r="C11" s="4493"/>
      <c r="D11" s="4493"/>
      <c r="E11" s="4502"/>
      <c r="F11" s="4469"/>
      <c r="G11" s="4469"/>
      <c r="H11" s="4469"/>
      <c r="I11" s="4469"/>
      <c r="J11" s="7"/>
    </row>
    <row r="12" spans="1:10" x14ac:dyDescent="0.2">
      <c r="A12" s="406"/>
      <c r="B12" s="4474"/>
      <c r="C12" s="4474"/>
      <c r="D12" s="4469"/>
      <c r="E12" s="4467"/>
      <c r="F12" s="4469"/>
      <c r="G12" s="4469"/>
      <c r="H12" s="4469"/>
      <c r="I12" s="4471"/>
      <c r="J12" s="7"/>
    </row>
    <row r="13" spans="1:10" x14ac:dyDescent="0.2">
      <c r="A13" s="406"/>
      <c r="B13" s="4494" t="s">
        <v>903</v>
      </c>
      <c r="C13" s="4494"/>
      <c r="D13" s="4494"/>
      <c r="E13" s="4494"/>
      <c r="F13" s="765">
        <v>33254</v>
      </c>
      <c r="G13" s="667"/>
      <c r="H13" s="4469"/>
      <c r="I13" s="4471"/>
      <c r="J13" s="7"/>
    </row>
    <row r="14" spans="1:10" x14ac:dyDescent="0.2">
      <c r="A14" s="406"/>
      <c r="B14" s="4494" t="s">
        <v>2639</v>
      </c>
      <c r="C14" s="4494"/>
      <c r="D14" s="4494"/>
      <c r="E14" s="4494"/>
      <c r="F14" s="763">
        <v>14190</v>
      </c>
      <c r="G14" s="667"/>
      <c r="H14" s="4469"/>
      <c r="I14" s="4471"/>
      <c r="J14" s="7"/>
    </row>
    <row r="15" spans="1:10" x14ac:dyDescent="0.2">
      <c r="A15" s="406"/>
      <c r="B15" s="4494" t="s">
        <v>5114</v>
      </c>
      <c r="C15" s="4494"/>
      <c r="D15" s="4494"/>
      <c r="E15" s="4494"/>
      <c r="F15" s="763">
        <v>3678</v>
      </c>
      <c r="G15" s="667"/>
      <c r="H15" s="4469"/>
      <c r="I15" s="4471"/>
      <c r="J15" s="7"/>
    </row>
    <row r="16" spans="1:10" x14ac:dyDescent="0.2">
      <c r="A16" s="406"/>
      <c r="B16" s="4494" t="s">
        <v>2436</v>
      </c>
      <c r="C16" s="4494"/>
      <c r="D16" s="4494"/>
      <c r="E16" s="4494"/>
      <c r="F16" s="763">
        <v>12750</v>
      </c>
      <c r="G16" s="667"/>
      <c r="H16" s="4469"/>
      <c r="I16" s="4471"/>
      <c r="J16" s="7"/>
    </row>
    <row r="17" spans="1:10" x14ac:dyDescent="0.2">
      <c r="A17" s="406"/>
      <c r="B17" s="4496" t="s">
        <v>2604</v>
      </c>
      <c r="C17" s="4496"/>
      <c r="D17" s="4496"/>
      <c r="E17" s="4496"/>
      <c r="F17" s="401"/>
      <c r="G17" s="763">
        <v>63872</v>
      </c>
      <c r="H17" s="4469"/>
      <c r="I17" s="4471"/>
      <c r="J17" s="7"/>
    </row>
    <row r="18" spans="1:10" x14ac:dyDescent="0.2">
      <c r="A18" s="406"/>
      <c r="B18" s="774"/>
      <c r="C18" s="774"/>
      <c r="D18" s="4469"/>
      <c r="E18" s="86"/>
      <c r="F18" s="86"/>
      <c r="G18" s="4469"/>
      <c r="H18" s="4469"/>
      <c r="I18" s="4471"/>
      <c r="J18" s="7"/>
    </row>
    <row r="19" spans="1:10" x14ac:dyDescent="0.2">
      <c r="A19" s="406"/>
      <c r="B19" s="4492" t="s">
        <v>1073</v>
      </c>
      <c r="C19" s="4493"/>
      <c r="D19" s="4493"/>
      <c r="E19" s="4502"/>
      <c r="F19" s="86"/>
      <c r="G19" s="4469"/>
      <c r="H19" s="4469"/>
      <c r="I19" s="4471"/>
      <c r="J19" s="7"/>
    </row>
    <row r="20" spans="1:10" x14ac:dyDescent="0.2">
      <c r="A20" s="406"/>
      <c r="B20" s="95"/>
      <c r="C20" s="95"/>
      <c r="D20" s="4469"/>
      <c r="E20" s="86"/>
      <c r="F20" s="86"/>
      <c r="G20" s="4469"/>
      <c r="H20" s="4469"/>
      <c r="I20" s="4471"/>
      <c r="J20" s="7"/>
    </row>
    <row r="21" spans="1:10" x14ac:dyDescent="0.2">
      <c r="A21" s="406"/>
      <c r="B21" s="4494" t="s">
        <v>2754</v>
      </c>
      <c r="C21" s="4494"/>
      <c r="D21" s="4494"/>
      <c r="E21" s="4494"/>
      <c r="F21" s="763">
        <v>1200</v>
      </c>
      <c r="G21" s="667"/>
      <c r="H21" s="4469"/>
      <c r="I21" s="4471"/>
      <c r="J21" s="7"/>
    </row>
    <row r="22" spans="1:10" x14ac:dyDescent="0.2">
      <c r="A22" s="406"/>
      <c r="B22" s="4494" t="s">
        <v>3148</v>
      </c>
      <c r="C22" s="4494"/>
      <c r="D22" s="4494"/>
      <c r="E22" s="4494"/>
      <c r="F22" s="763">
        <v>12500</v>
      </c>
      <c r="G22" s="4471"/>
      <c r="H22" s="4469"/>
      <c r="I22" s="4471"/>
      <c r="J22" s="7"/>
    </row>
    <row r="23" spans="1:10" x14ac:dyDescent="0.2">
      <c r="A23" s="406"/>
      <c r="B23" s="4501" t="s">
        <v>1074</v>
      </c>
      <c r="C23" s="4501"/>
      <c r="D23" s="4501"/>
      <c r="E23" s="4501"/>
      <c r="F23" s="401"/>
      <c r="G23" s="763">
        <v>13700</v>
      </c>
      <c r="H23" s="4469"/>
      <c r="I23" s="4471"/>
      <c r="J23" s="7"/>
    </row>
    <row r="24" spans="1:10" x14ac:dyDescent="0.2">
      <c r="A24" s="406"/>
      <c r="B24" s="537"/>
      <c r="C24" s="537"/>
      <c r="D24" s="4470"/>
      <c r="E24" s="4469"/>
      <c r="F24" s="763"/>
      <c r="G24" s="667"/>
      <c r="H24" s="4469"/>
      <c r="I24" s="4471"/>
      <c r="J24" s="7"/>
    </row>
    <row r="25" spans="1:10" x14ac:dyDescent="0.2">
      <c r="A25" s="406"/>
      <c r="B25" s="4492" t="s">
        <v>6134</v>
      </c>
      <c r="C25" s="4493"/>
      <c r="D25" s="4493"/>
      <c r="E25" s="4493"/>
      <c r="F25" s="4493"/>
      <c r="G25" s="946">
        <v>50172</v>
      </c>
      <c r="H25" s="4469"/>
      <c r="I25" s="4471"/>
      <c r="J25" s="7"/>
    </row>
    <row r="26" spans="1:10" x14ac:dyDescent="0.2">
      <c r="A26" s="406"/>
      <c r="B26" s="4474"/>
      <c r="C26" s="4474"/>
      <c r="D26" s="4469"/>
      <c r="E26" s="4469"/>
      <c r="F26" s="86"/>
      <c r="G26" s="4469"/>
      <c r="H26" s="4469"/>
      <c r="I26" s="4471"/>
      <c r="J26" s="7"/>
    </row>
    <row r="27" spans="1:10" x14ac:dyDescent="0.2">
      <c r="A27" s="406"/>
      <c r="B27" s="4496" t="s">
        <v>1075</v>
      </c>
      <c r="C27" s="4496"/>
      <c r="D27" s="4496"/>
      <c r="E27" s="4496"/>
      <c r="F27" s="4496"/>
      <c r="G27" s="4496"/>
      <c r="H27" s="4496"/>
      <c r="I27" s="4496"/>
      <c r="J27" s="7"/>
    </row>
    <row r="28" spans="1:10" x14ac:dyDescent="0.2">
      <c r="A28" s="406"/>
      <c r="B28" s="4500" t="s">
        <v>9098</v>
      </c>
      <c r="C28" s="4500"/>
      <c r="D28" s="4500"/>
      <c r="E28" s="4500"/>
      <c r="F28" s="4500"/>
      <c r="G28" s="4500"/>
      <c r="H28" s="4500"/>
      <c r="I28" s="4500"/>
      <c r="J28" s="4469"/>
    </row>
    <row r="29" spans="1:10" x14ac:dyDescent="0.2">
      <c r="A29" s="406"/>
      <c r="B29" s="537"/>
      <c r="C29" s="537"/>
      <c r="D29" s="4469"/>
      <c r="E29" s="4469"/>
      <c r="F29" s="86"/>
      <c r="G29" s="4469"/>
      <c r="H29" s="764"/>
      <c r="I29" s="4471"/>
      <c r="J29" s="7"/>
    </row>
    <row r="30" spans="1:10" x14ac:dyDescent="0.2">
      <c r="A30" s="406"/>
      <c r="B30" s="4499" t="s">
        <v>7073</v>
      </c>
      <c r="C30" s="4499"/>
      <c r="D30" s="4499"/>
      <c r="E30" s="4499"/>
      <c r="F30" s="4499"/>
      <c r="G30" s="4471"/>
      <c r="H30" s="87"/>
      <c r="I30" s="402"/>
      <c r="J30" s="7"/>
    </row>
    <row r="31" spans="1:10" x14ac:dyDescent="0.2">
      <c r="A31" s="406"/>
      <c r="B31" s="537"/>
      <c r="C31" s="537"/>
      <c r="D31" s="4473"/>
      <c r="E31" s="4499" t="s">
        <v>6770</v>
      </c>
      <c r="F31" s="4499"/>
      <c r="G31" s="765">
        <v>2049</v>
      </c>
      <c r="H31" s="87" t="s">
        <v>9099</v>
      </c>
      <c r="I31" s="402">
        <v>389.31</v>
      </c>
      <c r="J31" s="7"/>
    </row>
    <row r="32" spans="1:10" x14ac:dyDescent="0.2">
      <c r="A32" s="406"/>
      <c r="B32" s="537"/>
      <c r="C32" s="537"/>
      <c r="D32" s="4473"/>
      <c r="E32" s="4499" t="s">
        <v>5155</v>
      </c>
      <c r="F32" s="4499"/>
      <c r="G32" s="765">
        <v>12020</v>
      </c>
      <c r="H32" s="87" t="s">
        <v>4578</v>
      </c>
      <c r="I32" s="402">
        <v>2404</v>
      </c>
      <c r="J32" s="7"/>
    </row>
    <row r="33" spans="1:10" x14ac:dyDescent="0.2">
      <c r="A33" s="406"/>
      <c r="B33" s="537"/>
      <c r="C33" s="537"/>
      <c r="D33" s="4473"/>
      <c r="E33" s="4499" t="s">
        <v>6771</v>
      </c>
      <c r="F33" s="4499"/>
      <c r="G33" s="765">
        <v>18486</v>
      </c>
      <c r="H33" s="87" t="s">
        <v>6774</v>
      </c>
      <c r="I33" s="402">
        <v>3882.06</v>
      </c>
      <c r="J33" s="7"/>
    </row>
    <row r="34" spans="1:10" x14ac:dyDescent="0.2">
      <c r="A34" s="406"/>
      <c r="B34" s="537"/>
      <c r="C34" s="537"/>
      <c r="D34" s="4473"/>
      <c r="E34" s="4499" t="s">
        <v>5156</v>
      </c>
      <c r="F34" s="4499"/>
      <c r="G34" s="765">
        <v>1189</v>
      </c>
      <c r="H34" s="87" t="s">
        <v>9100</v>
      </c>
      <c r="I34" s="402">
        <v>487.49</v>
      </c>
      <c r="J34" s="7"/>
    </row>
    <row r="35" spans="1:10" x14ac:dyDescent="0.2">
      <c r="A35" s="406"/>
      <c r="B35" s="537"/>
      <c r="C35" s="537"/>
      <c r="D35" s="4473"/>
      <c r="E35" s="4471"/>
      <c r="F35" s="7"/>
      <c r="G35" s="401"/>
      <c r="H35" s="4468"/>
      <c r="I35" s="404"/>
      <c r="J35" s="7"/>
    </row>
    <row r="36" spans="1:10" x14ac:dyDescent="0.2">
      <c r="A36" s="406"/>
      <c r="B36" s="4499" t="s">
        <v>7074</v>
      </c>
      <c r="C36" s="4499"/>
      <c r="D36" s="4499"/>
      <c r="E36" s="4499"/>
      <c r="F36" s="4499"/>
      <c r="G36" s="4471"/>
      <c r="H36" s="87"/>
      <c r="I36" s="402"/>
      <c r="J36" s="7"/>
    </row>
    <row r="37" spans="1:10" x14ac:dyDescent="0.2">
      <c r="A37" s="406"/>
      <c r="B37" s="537"/>
      <c r="C37" s="537"/>
      <c r="D37" s="4473"/>
      <c r="E37" s="4499" t="s">
        <v>3074</v>
      </c>
      <c r="F37" s="4499"/>
      <c r="G37" s="765">
        <v>0</v>
      </c>
      <c r="H37" s="87" t="s">
        <v>4581</v>
      </c>
      <c r="I37" s="402">
        <v>0</v>
      </c>
      <c r="J37" s="7"/>
    </row>
    <row r="38" spans="1:10" x14ac:dyDescent="0.2">
      <c r="A38" s="406"/>
      <c r="B38" s="537"/>
      <c r="C38" s="537"/>
      <c r="D38" s="4473"/>
      <c r="E38" s="4499" t="s">
        <v>6499</v>
      </c>
      <c r="F38" s="4499"/>
      <c r="G38" s="1807">
        <v>500</v>
      </c>
      <c r="H38" s="87" t="s">
        <v>4581</v>
      </c>
      <c r="I38" s="404">
        <v>0</v>
      </c>
      <c r="J38" s="7"/>
    </row>
    <row r="39" spans="1:10" x14ac:dyDescent="0.2">
      <c r="A39" s="406"/>
      <c r="B39" s="537"/>
      <c r="C39" s="537"/>
      <c r="D39" s="4473"/>
      <c r="E39" s="4499" t="s">
        <v>5155</v>
      </c>
      <c r="F39" s="4499"/>
      <c r="G39" s="765">
        <v>3178</v>
      </c>
      <c r="H39" s="87" t="s">
        <v>4578</v>
      </c>
      <c r="I39" s="402">
        <v>635.6</v>
      </c>
      <c r="J39" s="7"/>
    </row>
    <row r="40" spans="1:10" x14ac:dyDescent="0.2">
      <c r="A40" s="406"/>
      <c r="B40" s="537"/>
      <c r="C40" s="537"/>
      <c r="D40" s="4473"/>
      <c r="E40" s="4471"/>
      <c r="F40" s="4468"/>
      <c r="G40" s="401"/>
      <c r="H40" s="4468"/>
      <c r="I40" s="404"/>
      <c r="J40" s="7"/>
    </row>
    <row r="41" spans="1:10" x14ac:dyDescent="0.2">
      <c r="A41" s="406"/>
      <c r="B41" s="537"/>
      <c r="C41" s="537"/>
      <c r="D41" s="4499" t="s">
        <v>1376</v>
      </c>
      <c r="E41" s="4499"/>
      <c r="F41" s="4499"/>
      <c r="G41" s="4471"/>
      <c r="H41" s="87"/>
      <c r="I41" s="404"/>
      <c r="J41" s="7"/>
    </row>
    <row r="42" spans="1:10" x14ac:dyDescent="0.2">
      <c r="A42" s="406"/>
      <c r="B42" s="537"/>
      <c r="C42" s="537"/>
      <c r="D42" s="4473"/>
      <c r="E42" s="4499" t="s">
        <v>6499</v>
      </c>
      <c r="F42" s="4499"/>
      <c r="G42" s="1807">
        <v>1703</v>
      </c>
      <c r="H42" s="87" t="s">
        <v>4581</v>
      </c>
      <c r="I42" s="404">
        <v>0</v>
      </c>
      <c r="J42" s="7"/>
    </row>
    <row r="43" spans="1:10" x14ac:dyDescent="0.2">
      <c r="A43" s="406"/>
      <c r="B43" s="537"/>
      <c r="C43" s="537"/>
      <c r="D43" s="4473"/>
      <c r="E43" s="4499" t="s">
        <v>5155</v>
      </c>
      <c r="F43" s="4499"/>
      <c r="G43" s="765">
        <v>0</v>
      </c>
      <c r="H43" s="4468" t="s">
        <v>9101</v>
      </c>
      <c r="I43" s="402">
        <v>0</v>
      </c>
      <c r="J43" s="7"/>
    </row>
    <row r="44" spans="1:10" x14ac:dyDescent="0.2">
      <c r="A44" s="406"/>
      <c r="B44" s="537"/>
      <c r="C44" s="537"/>
      <c r="D44" s="4473"/>
      <c r="E44" s="4499" t="s">
        <v>6500</v>
      </c>
      <c r="F44" s="4499"/>
      <c r="G44" s="1807">
        <v>297</v>
      </c>
      <c r="H44" s="87" t="s">
        <v>4581</v>
      </c>
      <c r="I44" s="404">
        <v>0</v>
      </c>
      <c r="J44" s="7"/>
    </row>
    <row r="45" spans="1:10" x14ac:dyDescent="0.2">
      <c r="A45" s="406"/>
      <c r="B45" s="537"/>
      <c r="C45" s="537"/>
      <c r="D45" s="4469"/>
      <c r="E45" s="4499" t="s">
        <v>5156</v>
      </c>
      <c r="F45" s="4499"/>
      <c r="G45" s="765">
        <v>10750</v>
      </c>
      <c r="H45" s="4468" t="s">
        <v>9102</v>
      </c>
      <c r="I45" s="402">
        <v>3493.75</v>
      </c>
      <c r="J45" s="7"/>
    </row>
    <row r="46" spans="1:10" x14ac:dyDescent="0.2">
      <c r="A46" s="406"/>
      <c r="B46" s="4496" t="s">
        <v>1076</v>
      </c>
      <c r="C46" s="4496"/>
      <c r="D46" s="4496"/>
      <c r="E46" s="4496"/>
      <c r="F46" s="4469"/>
      <c r="G46" s="839">
        <v>50172</v>
      </c>
      <c r="H46" s="4471"/>
      <c r="I46" s="404"/>
      <c r="J46" s="7"/>
    </row>
    <row r="47" spans="1:10" x14ac:dyDescent="0.2">
      <c r="A47" s="406"/>
      <c r="B47" s="4472"/>
      <c r="C47" s="4472"/>
      <c r="D47" s="4471"/>
      <c r="E47" s="4471"/>
      <c r="F47" s="4471"/>
      <c r="G47" s="4471"/>
      <c r="H47" s="4471"/>
      <c r="I47" s="404"/>
      <c r="J47" s="7"/>
    </row>
    <row r="48" spans="1:10" x14ac:dyDescent="0.2">
      <c r="A48" s="406"/>
      <c r="B48" s="4492" t="s">
        <v>1077</v>
      </c>
      <c r="C48" s="4493"/>
      <c r="D48" s="4493"/>
      <c r="E48" s="4493"/>
      <c r="F48" s="4493"/>
      <c r="G48" s="407"/>
      <c r="H48" s="407"/>
      <c r="I48" s="408">
        <v>11292.21</v>
      </c>
      <c r="J48" s="7"/>
    </row>
    <row r="49" spans="1:10" x14ac:dyDescent="0.2">
      <c r="A49" s="406"/>
      <c r="B49" s="4472"/>
      <c r="C49" s="4472"/>
      <c r="D49" s="4471"/>
      <c r="E49" s="4471"/>
      <c r="F49" s="4471"/>
      <c r="G49" s="4471"/>
      <c r="H49" s="4471"/>
      <c r="I49" s="404"/>
      <c r="J49" s="7"/>
    </row>
    <row r="50" spans="1:10" x14ac:dyDescent="0.2">
      <c r="A50" s="4"/>
      <c r="B50" s="711" t="s">
        <v>2406</v>
      </c>
      <c r="C50" s="4496" t="s">
        <v>3459</v>
      </c>
      <c r="D50" s="4496"/>
      <c r="E50" s="4496"/>
      <c r="F50" s="4471"/>
      <c r="G50" s="4471"/>
      <c r="H50" s="379">
        <v>500.22</v>
      </c>
      <c r="I50" s="7"/>
      <c r="J50" s="7"/>
    </row>
    <row r="51" spans="1:10" x14ac:dyDescent="0.2">
      <c r="A51" s="979"/>
      <c r="B51" s="4"/>
      <c r="C51" s="4494" t="s">
        <v>9103</v>
      </c>
      <c r="D51" s="4494"/>
      <c r="E51" s="4494"/>
      <c r="F51" s="4494"/>
      <c r="G51" s="4494"/>
      <c r="H51" s="4494"/>
      <c r="I51" s="979"/>
      <c r="J51" s="979"/>
    </row>
    <row r="52" spans="1:10" x14ac:dyDescent="0.2">
      <c r="A52" s="4"/>
      <c r="B52" s="711" t="s">
        <v>2406</v>
      </c>
      <c r="C52" s="4496" t="s">
        <v>4292</v>
      </c>
      <c r="D52" s="4496"/>
      <c r="E52" s="4496"/>
      <c r="F52" s="4471"/>
      <c r="G52" s="4471"/>
      <c r="H52" s="379">
        <v>117</v>
      </c>
      <c r="I52" s="7"/>
      <c r="J52" s="7"/>
    </row>
    <row r="53" spans="1:10" x14ac:dyDescent="0.2">
      <c r="A53" s="1967"/>
      <c r="B53" s="1971"/>
      <c r="C53" s="4497" t="s">
        <v>6537</v>
      </c>
      <c r="D53" s="4497"/>
      <c r="E53" s="4497"/>
      <c r="F53" s="4497"/>
      <c r="G53" s="4497"/>
      <c r="H53" s="4471"/>
      <c r="I53" s="379">
        <v>617.22</v>
      </c>
      <c r="J53" s="1430"/>
    </row>
    <row r="54" spans="1:10" x14ac:dyDescent="0.2">
      <c r="A54" s="406"/>
      <c r="B54" s="942"/>
      <c r="C54" s="1739"/>
      <c r="D54" s="4473"/>
      <c r="E54" s="4469"/>
      <c r="F54" s="4471"/>
      <c r="G54" s="4469"/>
      <c r="H54" s="88"/>
      <c r="I54" s="404"/>
      <c r="J54" s="7"/>
    </row>
    <row r="55" spans="1:10" x14ac:dyDescent="0.2">
      <c r="A55" s="406"/>
      <c r="B55" s="4" t="s">
        <v>2406</v>
      </c>
      <c r="C55" s="4498" t="s">
        <v>9104</v>
      </c>
      <c r="D55" s="4498"/>
      <c r="E55" s="4498"/>
      <c r="F55" s="4498"/>
      <c r="G55" s="4498"/>
      <c r="H55" s="88"/>
      <c r="I55" s="379">
        <v>2999</v>
      </c>
      <c r="J55" s="7"/>
    </row>
    <row r="56" spans="1:10" x14ac:dyDescent="0.2">
      <c r="A56" s="1967"/>
      <c r="B56" s="4492" t="s">
        <v>6469</v>
      </c>
      <c r="C56" s="4493"/>
      <c r="D56" s="4493"/>
      <c r="E56" s="4493"/>
      <c r="F56" s="4493"/>
      <c r="G56" s="4493"/>
      <c r="H56" s="4493"/>
      <c r="I56" s="408">
        <v>14908.429999999998</v>
      </c>
      <c r="J56" s="1430"/>
    </row>
    <row r="57" spans="1:10" x14ac:dyDescent="0.2">
      <c r="A57" s="406"/>
      <c r="B57" s="537"/>
      <c r="C57" s="537"/>
      <c r="D57" s="4469"/>
      <c r="E57" s="4469"/>
      <c r="F57" s="4469"/>
      <c r="G57" s="4469"/>
      <c r="H57" s="88"/>
      <c r="I57" s="404"/>
      <c r="J57" s="7"/>
    </row>
    <row r="58" spans="1:10" x14ac:dyDescent="0.2">
      <c r="A58" s="406"/>
      <c r="B58" s="1492" t="s">
        <v>1377</v>
      </c>
      <c r="C58" s="4496" t="s">
        <v>2079</v>
      </c>
      <c r="D58" s="4496"/>
      <c r="E58" s="4496"/>
      <c r="F58" s="4469"/>
      <c r="G58" s="4469"/>
      <c r="H58" s="88"/>
      <c r="I58" s="404"/>
      <c r="J58" s="7"/>
    </row>
    <row r="59" spans="1:10" x14ac:dyDescent="0.2">
      <c r="A59" s="406"/>
      <c r="B59" s="912"/>
      <c r="C59" s="4494" t="s">
        <v>1841</v>
      </c>
      <c r="D59" s="4494"/>
      <c r="E59" s="4494"/>
      <c r="F59" s="4494"/>
      <c r="G59" s="4469"/>
      <c r="H59" s="402">
        <v>2000</v>
      </c>
      <c r="I59" s="404"/>
      <c r="J59" s="7"/>
    </row>
    <row r="60" spans="1:10" x14ac:dyDescent="0.2">
      <c r="A60" s="406"/>
      <c r="B60" s="4471"/>
      <c r="C60" s="4495" t="s">
        <v>2080</v>
      </c>
      <c r="D60" s="4495"/>
      <c r="E60" s="4495"/>
      <c r="F60" s="4469"/>
      <c r="G60" s="4469"/>
      <c r="H60" s="4471"/>
      <c r="I60" s="402">
        <v>2000</v>
      </c>
      <c r="J60" s="4471"/>
    </row>
    <row r="61" spans="1:10" x14ac:dyDescent="0.2">
      <c r="A61" s="406"/>
      <c r="B61" s="537"/>
      <c r="C61" s="537"/>
      <c r="D61" s="4469"/>
      <c r="E61" s="4469"/>
      <c r="F61" s="4469"/>
      <c r="G61" s="4469"/>
      <c r="H61" s="88"/>
      <c r="I61" s="404"/>
      <c r="J61" s="7"/>
    </row>
    <row r="62" spans="1:10" x14ac:dyDescent="0.2">
      <c r="A62" s="406"/>
      <c r="B62" s="4492" t="s">
        <v>6469</v>
      </c>
      <c r="C62" s="4493"/>
      <c r="D62" s="4493"/>
      <c r="E62" s="4493"/>
      <c r="F62" s="4493"/>
      <c r="G62" s="4493"/>
      <c r="H62" s="2058"/>
      <c r="I62" s="2059">
        <v>12908.429999999998</v>
      </c>
      <c r="J62" s="979"/>
    </row>
    <row r="63" spans="1:10" x14ac:dyDescent="0.2">
      <c r="A63" s="406"/>
      <c r="B63" s="4" t="s">
        <v>2406</v>
      </c>
      <c r="C63" s="4494" t="s">
        <v>2721</v>
      </c>
      <c r="D63" s="4494"/>
      <c r="E63" s="4494"/>
      <c r="F63" s="4469"/>
      <c r="G63" s="4469"/>
      <c r="H63" s="88"/>
      <c r="I63" s="402">
        <v>600</v>
      </c>
      <c r="J63" s="7"/>
    </row>
    <row r="64" spans="1:10" x14ac:dyDescent="0.2">
      <c r="A64" s="406"/>
      <c r="B64" s="4492" t="s">
        <v>4393</v>
      </c>
      <c r="C64" s="4493"/>
      <c r="D64" s="4493"/>
      <c r="E64" s="4493"/>
      <c r="F64" s="4493"/>
      <c r="G64" s="407"/>
      <c r="H64" s="407"/>
      <c r="I64" s="408">
        <v>13508.429999999998</v>
      </c>
      <c r="J64" s="7"/>
    </row>
  </sheetData>
  <mergeCells count="41">
    <mergeCell ref="B11:E11"/>
    <mergeCell ref="B13:E13"/>
    <mergeCell ref="B14:E14"/>
    <mergeCell ref="B21:E21"/>
    <mergeCell ref="B17:E17"/>
    <mergeCell ref="B19:E19"/>
    <mergeCell ref="B16:E16"/>
    <mergeCell ref="B15:E15"/>
    <mergeCell ref="B28:I28"/>
    <mergeCell ref="B23:E23"/>
    <mergeCell ref="B25:F25"/>
    <mergeCell ref="B27:I27"/>
    <mergeCell ref="B22:E22"/>
    <mergeCell ref="E34:F34"/>
    <mergeCell ref="E31:F31"/>
    <mergeCell ref="E32:F32"/>
    <mergeCell ref="E33:F33"/>
    <mergeCell ref="B30:F30"/>
    <mergeCell ref="E39:F39"/>
    <mergeCell ref="D41:F41"/>
    <mergeCell ref="B36:F36"/>
    <mergeCell ref="E37:F37"/>
    <mergeCell ref="E38:F38"/>
    <mergeCell ref="B48:F48"/>
    <mergeCell ref="B46:E46"/>
    <mergeCell ref="E42:F42"/>
    <mergeCell ref="E43:F43"/>
    <mergeCell ref="E44:F44"/>
    <mergeCell ref="E45:F45"/>
    <mergeCell ref="B56:H56"/>
    <mergeCell ref="C53:G53"/>
    <mergeCell ref="C55:G55"/>
    <mergeCell ref="C50:E50"/>
    <mergeCell ref="C51:H51"/>
    <mergeCell ref="C52:E52"/>
    <mergeCell ref="B64:F64"/>
    <mergeCell ref="C63:E63"/>
    <mergeCell ref="B62:G62"/>
    <mergeCell ref="C60:E60"/>
    <mergeCell ref="C58:E58"/>
    <mergeCell ref="C59:F59"/>
  </mergeCells>
  <phoneticPr fontId="67" type="noConversion"/>
  <pageMargins bottom="0.19685039370078741" footer="0" header="0" left="0.78740157480314965" right="0.19685039370078741" top="0.19685039370078741"/>
  <pageSetup fitToHeight="5" orientation="portrait" paperSize="9" r:id="rId1" scale="93"/>
  <headerFooter alignWithMargins="0"/>
  <drawing r:id="rId2"/>
</worksheet>
</file>

<file path=xl/worksheets/sheet22.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3"/>
  <dimension ref="A1:I27"/>
  <sheetViews>
    <sheetView showGridLines="0" workbookViewId="0">
      <selection activeCell="H21" sqref="H21"/>
    </sheetView>
  </sheetViews>
  <sheetFormatPr defaultColWidth="9.140625" defaultRowHeight="12" x14ac:dyDescent="0.2"/>
  <cols>
    <col min="1" max="1" customWidth="true" style="34" width="21.85546875" collapsed="true"/>
    <col min="2" max="2" customWidth="true" style="34" width="15.0" collapsed="true"/>
    <col min="3" max="3" customWidth="true" style="34" width="14.28515625" collapsed="true"/>
    <col min="4" max="4" customWidth="true" style="34" width="13.42578125" collapsed="true"/>
    <col min="5" max="5" customWidth="true" style="34" width="14.0" collapsed="true"/>
    <col min="6" max="6" customWidth="true" style="34" width="18.0" collapsed="true"/>
    <col min="7" max="7" customWidth="true" style="34" width="15.0" collapsed="true"/>
    <col min="8" max="8" customWidth="true" style="34" width="12.42578125" collapsed="true"/>
    <col min="9" max="9" customWidth="true" style="34" width="11.7109375" collapsed="true"/>
    <col min="10" max="16384" style="34" width="9.140625" collapsed="true"/>
  </cols>
  <sheetData>
    <row customHeight="1" ht="12.75" r="1" spans="1:8" thickBot="1" x14ac:dyDescent="0.25">
      <c r="A1" s="441" t="s">
        <v>54</v>
      </c>
      <c r="B1" s="442"/>
      <c r="C1" s="442"/>
      <c r="D1" s="442"/>
      <c r="E1" s="442"/>
      <c r="F1" s="442"/>
      <c r="G1" s="442"/>
      <c r="H1" s="442"/>
    </row>
    <row customHeight="1" ht="12.75" r="2" spans="1:8" x14ac:dyDescent="0.2">
      <c r="A2" s="442"/>
      <c r="B2" s="443" t="s">
        <v>3078</v>
      </c>
      <c r="C2" s="444" t="s">
        <v>2884</v>
      </c>
      <c r="D2" s="444" t="s">
        <v>2560</v>
      </c>
      <c r="E2" s="444" t="s">
        <v>1361</v>
      </c>
      <c r="F2" s="444" t="s">
        <v>1362</v>
      </c>
      <c r="G2" s="442"/>
      <c r="H2" s="442"/>
    </row>
    <row customHeight="1" ht="12.75" r="3" spans="1:8" x14ac:dyDescent="0.2">
      <c r="A3" s="442"/>
      <c r="B3" s="651"/>
      <c r="C3" s="651"/>
      <c r="D3" s="651"/>
      <c r="E3" s="651"/>
      <c r="F3" s="651"/>
      <c r="G3" s="442"/>
      <c r="H3" s="442"/>
    </row>
    <row customHeight="1" ht="12.75" r="4" spans="1:8" x14ac:dyDescent="0.2">
      <c r="A4" s="442"/>
      <c r="B4" s="445"/>
      <c r="C4" s="445"/>
      <c r="D4" s="445"/>
      <c r="E4" s="445"/>
      <c r="F4" s="445"/>
      <c r="G4" s="445"/>
      <c r="H4" s="442"/>
    </row>
    <row customHeight="1" ht="12.75" r="5" spans="1:8" x14ac:dyDescent="0.2">
      <c r="A5" s="442"/>
      <c r="B5" s="137"/>
      <c r="C5" s="137"/>
      <c r="D5" s="137"/>
      <c r="E5" s="137"/>
      <c r="F5" s="446"/>
      <c r="G5" s="137"/>
      <c r="H5" s="137"/>
    </row>
    <row customHeight="1" ht="12.75" r="6" spans="1:8" x14ac:dyDescent="0.2">
      <c r="A6" s="442"/>
      <c r="B6" s="445"/>
      <c r="C6" s="445"/>
      <c r="D6" s="445"/>
      <c r="E6" s="447"/>
      <c r="F6" s="447"/>
      <c r="G6" s="447"/>
      <c r="H6" s="447"/>
    </row>
    <row customHeight="1" ht="12.75" r="7" spans="1:8" x14ac:dyDescent="0.2">
      <c r="A7" s="448" t="s">
        <v>1774</v>
      </c>
      <c r="B7" s="652"/>
      <c r="C7" s="652"/>
      <c r="D7" s="652"/>
      <c r="E7" s="653"/>
      <c r="F7" s="652"/>
      <c r="G7" s="654"/>
      <c r="H7" s="654"/>
    </row>
    <row customHeight="1" ht="12.75" r="8" spans="1:8" x14ac:dyDescent="0.2">
      <c r="A8" s="449"/>
      <c r="B8" s="445"/>
      <c r="C8" s="445"/>
      <c r="D8" s="445"/>
      <c r="E8" s="445"/>
      <c r="F8" s="445"/>
      <c r="G8" s="445"/>
      <c r="H8" s="445"/>
    </row>
    <row customHeight="1" ht="12.75" r="9" spans="1:8" x14ac:dyDescent="0.2">
      <c r="A9" s="449"/>
      <c r="B9" s="445"/>
      <c r="C9" s="445"/>
      <c r="D9" s="445"/>
      <c r="E9" s="447"/>
      <c r="F9" s="447"/>
      <c r="G9" s="447"/>
      <c r="H9" s="447"/>
    </row>
    <row customHeight="1" ht="12.75" r="10" spans="1:8" x14ac:dyDescent="0.2">
      <c r="A10" s="448" t="s">
        <v>691</v>
      </c>
      <c r="B10" s="655"/>
      <c r="C10" s="655"/>
      <c r="D10" s="655"/>
      <c r="E10" s="655"/>
      <c r="F10" s="655"/>
      <c r="G10" s="655"/>
      <c r="H10" s="655"/>
    </row>
    <row customHeight="1" ht="12.75" r="11" spans="1:8" x14ac:dyDescent="0.2">
      <c r="A11" s="449"/>
      <c r="B11" s="445"/>
      <c r="C11" s="445"/>
      <c r="D11" s="445"/>
      <c r="E11" s="445"/>
      <c r="F11" s="445"/>
      <c r="G11" s="445"/>
      <c r="H11" s="445"/>
    </row>
    <row customHeight="1" ht="12.75" r="12" spans="1:8" x14ac:dyDescent="0.2">
      <c r="A12" s="449"/>
      <c r="B12" s="445"/>
      <c r="C12" s="445"/>
      <c r="D12" s="445"/>
      <c r="E12" s="447"/>
      <c r="F12" s="447"/>
      <c r="G12" s="447"/>
      <c r="H12" s="447"/>
    </row>
    <row customHeight="1" ht="12.75" r="13" spans="1:8" x14ac:dyDescent="0.2">
      <c r="A13" s="448" t="s">
        <v>3077</v>
      </c>
      <c r="B13" s="655"/>
      <c r="C13" s="655"/>
      <c r="D13" s="655"/>
      <c r="E13" s="655"/>
      <c r="F13" s="655"/>
      <c r="G13" s="655"/>
      <c r="H13" s="655"/>
    </row>
    <row customHeight="1" ht="12.75" r="14" spans="1:8" x14ac:dyDescent="0.2">
      <c r="A14" s="448"/>
      <c r="B14" s="450"/>
      <c r="C14" s="450"/>
      <c r="D14" s="450"/>
      <c r="E14" s="450"/>
      <c r="F14" s="450"/>
      <c r="G14" s="450"/>
      <c r="H14" s="450"/>
    </row>
    <row customHeight="1" ht="12.75" r="15" spans="1:8" x14ac:dyDescent="0.2">
      <c r="A15" s="449"/>
      <c r="B15" s="445"/>
      <c r="C15" s="445"/>
      <c r="D15" s="445"/>
      <c r="E15" s="447"/>
      <c r="F15" s="447"/>
      <c r="G15" s="447"/>
      <c r="H15" s="447"/>
    </row>
    <row customHeight="1" ht="12.75" r="16" spans="1:8" x14ac:dyDescent="0.2">
      <c r="A16" s="448" t="s">
        <v>3076</v>
      </c>
      <c r="B16" s="655"/>
      <c r="C16" s="655"/>
      <c r="D16" s="655"/>
      <c r="E16" s="655"/>
      <c r="F16" s="655"/>
      <c r="G16" s="655"/>
      <c r="H16" s="655"/>
    </row>
    <row customHeight="1" ht="12.75" r="17" spans="1:8" x14ac:dyDescent="0.2">
      <c r="A17" s="448"/>
      <c r="B17" s="451"/>
      <c r="C17" s="451"/>
      <c r="D17" s="451"/>
      <c r="E17" s="451"/>
      <c r="F17" s="451"/>
      <c r="G17" s="451"/>
      <c r="H17" s="451"/>
    </row>
    <row customHeight="1" ht="12.75" r="18" spans="1:8" x14ac:dyDescent="0.2">
      <c r="A18" s="448" t="s">
        <v>2633</v>
      </c>
      <c r="B18" s="451"/>
      <c r="C18" s="451"/>
      <c r="D18" s="451"/>
      <c r="E18" s="447"/>
      <c r="F18" s="447"/>
      <c r="G18" s="447"/>
      <c r="H18" s="447"/>
    </row>
    <row customHeight="1" ht="12.75" r="19" spans="1:8" x14ac:dyDescent="0.2">
      <c r="A19" s="448" t="s">
        <v>2196</v>
      </c>
      <c r="B19" s="655"/>
      <c r="C19" s="655"/>
      <c r="D19" s="655"/>
      <c r="E19" s="655"/>
      <c r="F19" s="655"/>
      <c r="G19" s="655"/>
      <c r="H19" s="655"/>
    </row>
    <row customHeight="1" ht="12.75" r="20" spans="1:8" x14ac:dyDescent="0.2">
      <c r="A20" s="449"/>
      <c r="B20" s="445"/>
      <c r="C20" s="445"/>
      <c r="D20" s="445"/>
      <c r="E20" s="445"/>
      <c r="F20" s="445"/>
      <c r="G20" s="445"/>
      <c r="H20" s="445"/>
    </row>
    <row customHeight="1" ht="12.75" r="21" spans="1:8" x14ac:dyDescent="0.2">
      <c r="A21" s="452" t="s">
        <v>3904</v>
      </c>
      <c r="B21" s="655"/>
      <c r="C21" s="655"/>
      <c r="D21" s="655"/>
      <c r="E21" s="655"/>
      <c r="F21" s="655"/>
      <c r="G21" s="655"/>
      <c r="H21" s="655"/>
    </row>
    <row customHeight="1" ht="12.75" r="22" spans="1:8" x14ac:dyDescent="0.2">
      <c r="A22" s="442"/>
      <c r="B22" s="445"/>
      <c r="C22" s="445"/>
      <c r="D22" s="445"/>
      <c r="E22" s="445"/>
      <c r="F22" s="445"/>
      <c r="G22" s="445"/>
      <c r="H22" s="442"/>
    </row>
    <row customHeight="1" ht="12.75" r="23" spans="1:8" x14ac:dyDescent="0.2">
      <c r="A23" s="442"/>
      <c r="B23" s="445"/>
      <c r="C23" s="445"/>
      <c r="D23" s="447"/>
      <c r="E23" s="445"/>
      <c r="F23" s="650"/>
      <c r="G23" s="445"/>
      <c r="H23" s="442"/>
    </row>
    <row customHeight="1" ht="12.75" r="24" spans="1:8" x14ac:dyDescent="0.2">
      <c r="A24" s="452"/>
      <c r="B24" s="452"/>
      <c r="C24" s="649"/>
      <c r="D24" s="656"/>
      <c r="E24" s="445"/>
      <c r="F24" s="650"/>
      <c r="G24" s="447"/>
      <c r="H24" s="442"/>
    </row>
    <row customHeight="1" ht="12.75" r="25" spans="1:8" x14ac:dyDescent="0.2">
      <c r="A25" s="442"/>
      <c r="B25" s="445"/>
      <c r="C25" s="452"/>
      <c r="D25" s="646"/>
      <c r="E25" s="647"/>
      <c r="F25" s="648"/>
      <c r="G25" s="648"/>
      <c r="H25" s="442"/>
    </row>
    <row customHeight="1" ht="12.75" r="26" spans="1:8" x14ac:dyDescent="0.2">
      <c r="A26" s="442"/>
      <c r="B26" s="442"/>
      <c r="C26" s="442"/>
      <c r="D26" s="76"/>
      <c r="E26" s="445"/>
      <c r="F26" s="453"/>
      <c r="G26" s="442"/>
      <c r="H26" s="442"/>
    </row>
    <row customHeight="1" ht="12.75" r="27" spans="1:8" x14ac:dyDescent="0.2">
      <c r="A27" s="442"/>
      <c r="B27" s="442"/>
      <c r="C27" s="442"/>
      <c r="D27" s="442"/>
      <c r="E27" s="442"/>
      <c r="F27" s="442"/>
      <c r="G27" s="442"/>
      <c r="H27" s="442"/>
    </row>
  </sheetData>
  <phoneticPr fontId="67" type="noConversion"/>
  <pageMargins bottom="1" footer="0.5" header="0.5" left="0.75" right="0.75" top="1"/>
  <pageSetup horizontalDpi="4294967292" orientation="landscape" paperSize="9" r:id="rId1"/>
  <headerFooter alignWithMargins="0"/>
</worksheet>
</file>

<file path=xl/worksheets/sheet23.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32"/>
  <dimension ref="A1:V30"/>
  <sheetViews>
    <sheetView showGridLines="0" workbookViewId="0">
      <selection activeCell="D15" sqref="D15"/>
    </sheetView>
  </sheetViews>
  <sheetFormatPr defaultRowHeight="12.75" x14ac:dyDescent="0.2"/>
  <cols>
    <col min="1" max="1" customWidth="true" width="31.0" collapsed="true"/>
    <col min="2" max="2" customWidth="true" width="11.42578125" collapsed="true"/>
    <col min="3" max="3" customWidth="true" width="11.7109375" collapsed="true"/>
    <col min="4" max="4" customWidth="true" width="13.28515625" collapsed="true"/>
    <col min="5" max="5" customWidth="true" width="11.85546875" collapsed="true"/>
    <col min="6" max="6" customWidth="true" width="13.28515625" collapsed="true"/>
    <col min="7" max="7" customWidth="true" width="12.0" collapsed="true"/>
    <col min="8" max="8" customWidth="true" width="11.7109375" collapsed="true"/>
  </cols>
  <sheetData>
    <row ht="13.5" r="1" spans="1:21" thickBot="1" x14ac:dyDescent="0.25">
      <c r="A1" s="22" t="s">
        <v>2555</v>
      </c>
      <c r="B1" s="60"/>
      <c r="C1" s="60"/>
      <c r="D1" s="60"/>
      <c r="E1" s="60"/>
      <c r="F1" s="60"/>
      <c r="G1" s="60"/>
      <c r="H1" s="60"/>
      <c r="I1" s="60"/>
      <c r="J1" s="2"/>
      <c r="K1" s="2"/>
      <c r="L1" s="2"/>
      <c r="M1" s="2"/>
      <c r="N1" s="2"/>
      <c r="O1" s="2"/>
      <c r="P1" s="2"/>
      <c r="Q1" s="2"/>
      <c r="R1" s="2"/>
      <c r="S1" s="2"/>
      <c r="T1" s="2"/>
      <c r="U1" s="2"/>
    </row>
    <row r="2" spans="1:21" x14ac:dyDescent="0.2">
      <c r="A2" s="60"/>
      <c r="B2" s="23" t="s">
        <v>3811</v>
      </c>
      <c r="C2" s="9" t="s">
        <v>3905</v>
      </c>
      <c r="D2" s="23" t="s">
        <v>1534</v>
      </c>
      <c r="E2" s="9" t="s">
        <v>690</v>
      </c>
      <c r="F2" s="23" t="s">
        <v>3144</v>
      </c>
      <c r="G2" s="19" t="s">
        <v>3811</v>
      </c>
      <c r="H2" s="60"/>
      <c r="I2" s="57"/>
      <c r="J2" s="2"/>
      <c r="L2" s="2"/>
      <c r="M2" s="2"/>
      <c r="N2" s="2"/>
      <c r="O2" s="2"/>
    </row>
    <row r="3" spans="1:21" x14ac:dyDescent="0.2">
      <c r="A3" s="60"/>
      <c r="B3" s="24" t="s">
        <v>1375</v>
      </c>
      <c r="C3" s="10" t="s">
        <v>1519</v>
      </c>
      <c r="D3" s="24" t="s">
        <v>1375</v>
      </c>
      <c r="E3" s="10" t="s">
        <v>1562</v>
      </c>
      <c r="F3" s="24" t="s">
        <v>3145</v>
      </c>
      <c r="G3" s="20" t="s">
        <v>548</v>
      </c>
      <c r="H3" s="60"/>
      <c r="I3" s="57"/>
      <c r="J3" s="2"/>
      <c r="L3" s="2"/>
      <c r="M3" s="2"/>
      <c r="N3" s="2"/>
      <c r="O3" s="2"/>
    </row>
    <row r="4" spans="1:21" x14ac:dyDescent="0.2">
      <c r="A4" s="60"/>
      <c r="B4" s="17"/>
      <c r="C4" s="11"/>
      <c r="D4" s="25" t="s">
        <v>3214</v>
      </c>
      <c r="E4" s="11"/>
      <c r="F4" s="25" t="s">
        <v>2196</v>
      </c>
      <c r="G4" s="21" t="s">
        <v>2196</v>
      </c>
      <c r="H4" s="60"/>
      <c r="I4" s="57"/>
      <c r="J4" s="2"/>
      <c r="L4" s="2"/>
      <c r="M4" s="2"/>
      <c r="N4" s="2"/>
      <c r="O4" s="2"/>
    </row>
    <row r="5" spans="1:21" x14ac:dyDescent="0.2">
      <c r="A5" s="54" t="s">
        <v>1533</v>
      </c>
      <c r="B5" s="129"/>
      <c r="C5" s="132"/>
      <c r="D5" s="72"/>
      <c r="E5" s="72"/>
      <c r="F5" s="72"/>
      <c r="G5" s="72"/>
      <c r="H5" s="60"/>
      <c r="I5" s="57"/>
      <c r="J5" s="2"/>
      <c r="L5" s="2"/>
      <c r="M5" s="2"/>
      <c r="N5" s="2"/>
    </row>
    <row r="6" spans="1:21" x14ac:dyDescent="0.2">
      <c r="A6" s="55" t="s">
        <v>1849</v>
      </c>
      <c r="B6" s="130"/>
      <c r="C6" s="72"/>
      <c r="D6" s="72"/>
      <c r="E6" s="72"/>
      <c r="F6" s="72"/>
      <c r="G6" s="72"/>
      <c r="H6" s="60"/>
      <c r="I6" s="57"/>
      <c r="J6" s="2"/>
      <c r="L6" s="2"/>
      <c r="M6" s="2"/>
      <c r="N6" s="2"/>
    </row>
    <row r="7" spans="1:21" x14ac:dyDescent="0.2">
      <c r="A7" s="54" t="s">
        <v>2757</v>
      </c>
      <c r="B7" s="130"/>
      <c r="C7" s="72"/>
      <c r="D7" s="72"/>
      <c r="E7" s="72"/>
      <c r="F7" s="72"/>
      <c r="G7" s="72"/>
      <c r="H7" s="60"/>
      <c r="I7" s="57"/>
      <c r="J7" s="2"/>
      <c r="L7" s="2"/>
      <c r="M7" s="2"/>
      <c r="N7" s="2"/>
    </row>
    <row r="8" spans="1:21" x14ac:dyDescent="0.2">
      <c r="A8" s="55" t="s">
        <v>1750</v>
      </c>
      <c r="B8" s="130"/>
      <c r="C8" s="72"/>
      <c r="D8" s="130"/>
      <c r="E8" s="132"/>
      <c r="F8" s="72"/>
      <c r="G8" s="72"/>
      <c r="H8" s="60"/>
      <c r="I8" s="57"/>
      <c r="J8" s="2"/>
      <c r="L8" s="2"/>
      <c r="M8" s="2"/>
      <c r="N8" s="2"/>
    </row>
    <row r="9" spans="1:21" x14ac:dyDescent="0.2">
      <c r="A9" s="54" t="s">
        <v>608</v>
      </c>
      <c r="B9" s="130"/>
      <c r="C9" s="72"/>
      <c r="D9" s="134"/>
      <c r="E9" s="134"/>
      <c r="F9" s="72"/>
      <c r="G9" s="72"/>
      <c r="H9" s="60"/>
      <c r="I9" s="57"/>
      <c r="J9" s="2"/>
      <c r="L9" s="2"/>
      <c r="M9" s="2"/>
      <c r="N9" s="2"/>
    </row>
    <row r="10" spans="1:21" x14ac:dyDescent="0.2">
      <c r="A10" s="55" t="s">
        <v>1373</v>
      </c>
      <c r="B10" s="130"/>
      <c r="C10" s="72"/>
      <c r="D10" s="130"/>
      <c r="E10" s="132"/>
      <c r="F10" s="130"/>
      <c r="G10" s="72"/>
      <c r="H10" s="60"/>
      <c r="I10" s="57"/>
      <c r="J10" s="2"/>
      <c r="L10" s="2"/>
      <c r="M10" s="2"/>
      <c r="N10" s="2"/>
    </row>
    <row r="11" spans="1:21" x14ac:dyDescent="0.2">
      <c r="A11" s="54" t="s">
        <v>1773</v>
      </c>
      <c r="B11" s="130"/>
      <c r="C11" s="72"/>
      <c r="D11" s="130"/>
      <c r="E11" s="132"/>
      <c r="F11" s="134"/>
      <c r="G11" s="130"/>
      <c r="H11" s="60"/>
      <c r="I11" s="57"/>
      <c r="J11" s="2"/>
      <c r="L11" s="2"/>
      <c r="M11" s="2"/>
      <c r="N11" s="2"/>
    </row>
    <row ht="22.5" r="12" spans="1:21" x14ac:dyDescent="0.2">
      <c r="A12" s="55" t="s">
        <v>3601</v>
      </c>
      <c r="B12" s="73"/>
      <c r="C12" s="72"/>
      <c r="D12" s="130"/>
      <c r="E12" s="134"/>
      <c r="F12" s="134"/>
      <c r="G12" s="134"/>
      <c r="H12" s="60"/>
      <c r="I12" s="57"/>
      <c r="J12" s="2"/>
      <c r="L12" s="2"/>
      <c r="M12" s="2"/>
      <c r="N12" s="2"/>
    </row>
    <row ht="22.5" r="13" spans="1:21" x14ac:dyDescent="0.2">
      <c r="A13" s="54" t="s">
        <v>1072</v>
      </c>
      <c r="B13" s="73"/>
      <c r="C13" s="72"/>
      <c r="D13" s="134"/>
      <c r="E13" s="130"/>
      <c r="F13" s="134"/>
      <c r="G13" s="134"/>
      <c r="H13" s="60"/>
      <c r="I13" s="57"/>
      <c r="J13" s="2"/>
      <c r="L13" s="2"/>
      <c r="M13" s="2"/>
      <c r="N13" s="2"/>
    </row>
    <row r="14" spans="1:21" x14ac:dyDescent="0.2">
      <c r="A14" s="55" t="s">
        <v>2546</v>
      </c>
      <c r="B14" s="130"/>
      <c r="C14" s="72"/>
      <c r="D14" s="134"/>
      <c r="E14" s="134"/>
      <c r="F14" s="134"/>
      <c r="G14" s="134"/>
      <c r="H14" s="60"/>
      <c r="I14" s="57"/>
      <c r="J14" s="2"/>
      <c r="L14" s="2"/>
      <c r="M14" s="2"/>
      <c r="N14" s="2"/>
    </row>
    <row r="15" spans="1:21" x14ac:dyDescent="0.2">
      <c r="A15" s="54" t="s">
        <v>3398</v>
      </c>
      <c r="B15" s="131"/>
      <c r="C15" s="72"/>
      <c r="D15" s="130"/>
      <c r="E15" s="134"/>
      <c r="F15" s="135"/>
      <c r="G15" s="134"/>
      <c r="H15" s="60"/>
      <c r="I15" s="57"/>
      <c r="J15" s="2"/>
      <c r="L15" s="2"/>
      <c r="M15" s="2"/>
      <c r="N15" s="2"/>
    </row>
    <row r="16" spans="1:21" x14ac:dyDescent="0.2">
      <c r="A16" s="55" t="s">
        <v>1374</v>
      </c>
      <c r="B16" s="130"/>
      <c r="C16" s="72"/>
      <c r="D16" s="134"/>
      <c r="E16" s="134"/>
      <c r="F16" s="134"/>
      <c r="G16" s="134"/>
      <c r="H16" s="60"/>
      <c r="I16" s="57"/>
      <c r="J16" s="2"/>
      <c r="L16" s="2"/>
      <c r="M16" s="2"/>
      <c r="N16" s="2"/>
    </row>
    <row r="17" spans="1:14" x14ac:dyDescent="0.2">
      <c r="A17" s="18" t="s">
        <v>3904</v>
      </c>
      <c r="B17" s="129"/>
      <c r="C17" s="133"/>
      <c r="D17" s="133"/>
      <c r="E17" s="133"/>
      <c r="F17" s="133"/>
      <c r="G17" s="129"/>
      <c r="H17" s="60"/>
      <c r="I17" s="57"/>
      <c r="J17" s="2"/>
      <c r="L17" s="2"/>
      <c r="M17" s="2"/>
      <c r="N17" s="2"/>
    </row>
    <row r="18" spans="1:14" x14ac:dyDescent="0.2">
      <c r="A18" s="57"/>
      <c r="B18" s="71"/>
      <c r="C18" s="71"/>
      <c r="D18" s="71"/>
      <c r="E18" s="71"/>
      <c r="F18" s="71"/>
      <c r="G18" s="136"/>
      <c r="H18" s="60"/>
      <c r="I18" s="57"/>
    </row>
    <row r="19" spans="1:14" x14ac:dyDescent="0.2">
      <c r="A19" s="57"/>
      <c r="B19" s="71"/>
      <c r="C19" s="71"/>
      <c r="D19" s="71"/>
      <c r="E19" s="71"/>
      <c r="F19" s="74" t="s">
        <v>3904</v>
      </c>
      <c r="G19" s="135">
        <v>120000</v>
      </c>
      <c r="H19" s="57"/>
      <c r="I19" s="57"/>
    </row>
    <row r="20" spans="1:14" x14ac:dyDescent="0.2">
      <c r="A20" s="57"/>
      <c r="B20" s="57"/>
      <c r="C20" s="57"/>
      <c r="D20" s="57"/>
      <c r="E20" s="57"/>
      <c r="F20" s="57"/>
      <c r="G20" s="57"/>
      <c r="H20" s="57"/>
      <c r="I20" s="57"/>
    </row>
    <row r="21" spans="1:14" x14ac:dyDescent="0.2">
      <c r="A21" s="57"/>
      <c r="B21" s="57"/>
      <c r="C21" s="57"/>
      <c r="D21" s="57"/>
      <c r="E21" s="57"/>
      <c r="F21" s="57"/>
      <c r="G21" s="57"/>
      <c r="H21" s="57"/>
      <c r="I21" s="57"/>
    </row>
    <row r="22" spans="1:14" x14ac:dyDescent="0.2">
      <c r="A22" s="57"/>
      <c r="B22" s="57"/>
      <c r="C22" s="57"/>
      <c r="D22" s="62" t="s">
        <v>1536</v>
      </c>
      <c r="E22" s="71"/>
      <c r="F22" s="57"/>
      <c r="G22" s="57"/>
      <c r="H22" s="57"/>
      <c r="I22" s="57"/>
    </row>
    <row r="23" spans="1:14" x14ac:dyDescent="0.2">
      <c r="A23" s="57"/>
      <c r="B23" s="57"/>
      <c r="C23" s="57"/>
      <c r="D23" s="57"/>
      <c r="E23" s="57"/>
      <c r="F23" s="57"/>
      <c r="G23" s="57"/>
      <c r="H23" s="57"/>
      <c r="I23" s="57"/>
    </row>
    <row r="24" spans="1:14" x14ac:dyDescent="0.2">
      <c r="A24" s="7"/>
      <c r="B24" s="7"/>
      <c r="C24" s="7"/>
      <c r="D24" s="7"/>
      <c r="E24" s="7"/>
      <c r="F24" s="7"/>
      <c r="G24" s="7"/>
      <c r="H24" s="7"/>
      <c r="I24" s="7"/>
    </row>
    <row r="25" spans="1:14" x14ac:dyDescent="0.2">
      <c r="A25" s="7"/>
      <c r="B25" s="7"/>
      <c r="C25" s="7"/>
      <c r="D25" s="7"/>
      <c r="E25" s="7"/>
      <c r="F25" s="7"/>
      <c r="G25" s="7"/>
      <c r="H25" s="7"/>
      <c r="I25" s="7"/>
    </row>
    <row r="26" spans="1:14" x14ac:dyDescent="0.2">
      <c r="A26" s="7"/>
      <c r="B26" s="7"/>
      <c r="C26" s="7"/>
      <c r="D26" s="7"/>
      <c r="E26" s="7"/>
      <c r="F26" s="7"/>
      <c r="G26" s="7"/>
      <c r="H26" s="7"/>
      <c r="I26" s="7"/>
    </row>
    <row r="27" spans="1:14" x14ac:dyDescent="0.2">
      <c r="A27" s="7"/>
      <c r="B27" s="7"/>
      <c r="C27" s="7"/>
      <c r="D27" s="7"/>
      <c r="E27" s="7"/>
      <c r="F27" s="7"/>
      <c r="G27" s="7"/>
      <c r="H27" s="7"/>
      <c r="I27" s="7"/>
    </row>
    <row r="28" spans="1:14" x14ac:dyDescent="0.2">
      <c r="A28" s="7"/>
      <c r="B28" s="7"/>
      <c r="C28" s="7"/>
      <c r="D28" s="7"/>
      <c r="E28" s="7"/>
      <c r="F28" s="7"/>
      <c r="G28" s="7"/>
      <c r="H28" s="7"/>
      <c r="I28" s="7"/>
    </row>
    <row r="29" spans="1:14" x14ac:dyDescent="0.2">
      <c r="A29" s="7"/>
      <c r="B29" s="7"/>
      <c r="C29" s="7"/>
      <c r="D29" s="7"/>
      <c r="E29" s="7"/>
      <c r="F29" s="7"/>
      <c r="G29" s="7"/>
      <c r="H29" s="7"/>
      <c r="I29" s="7"/>
    </row>
    <row r="30" spans="1:14" x14ac:dyDescent="0.2">
      <c r="A30" s="7"/>
      <c r="B30" s="7"/>
      <c r="C30" s="7"/>
      <c r="D30" s="7"/>
      <c r="E30" s="7"/>
      <c r="F30" s="7"/>
      <c r="G30" s="7"/>
      <c r="H30" s="7"/>
      <c r="I30" s="7"/>
    </row>
  </sheetData>
  <phoneticPr fontId="67" type="noConversion"/>
  <pageMargins bottom="0.98425196850393704" footer="0.51181102362204722" header="0.51181102362204722" left="0.19685039370078741" right="0.19685039370078741" top="0.98425196850393704"/>
  <pageSetup orientation="landscape" paperSize="9" r:id="rId1"/>
  <headerFooter alignWithMargins="0"/>
</worksheet>
</file>

<file path=xl/worksheets/sheet24.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44">
    <tabColor rgb="FFFFFF00"/>
  </sheetPr>
  <dimension ref="A1:E41"/>
  <sheetViews>
    <sheetView showGridLines="0" topLeftCell="A10" workbookViewId="0">
      <selection activeCell="I16" sqref="I16"/>
    </sheetView>
  </sheetViews>
  <sheetFormatPr defaultRowHeight="12.75" x14ac:dyDescent="0.2"/>
  <cols>
    <col min="1" max="1" customWidth="true" width="11.7109375" collapsed="true"/>
    <col min="2" max="3" bestFit="true" customWidth="true" width="36.7109375" collapsed="true"/>
    <col min="4" max="4" customWidth="true" width="15.85546875" collapsed="true"/>
  </cols>
  <sheetData>
    <row r="1" spans="1:4" x14ac:dyDescent="0.2">
      <c r="A1" s="1459"/>
      <c r="B1" s="1460"/>
      <c r="C1" s="1460" t="s">
        <v>2030</v>
      </c>
      <c r="D1" s="3141" t="s">
        <v>7464</v>
      </c>
    </row>
    <row r="2" spans="1:4" x14ac:dyDescent="0.2">
      <c r="A2" s="1462"/>
      <c r="B2" s="1"/>
      <c r="C2" s="1"/>
      <c r="D2" s="1463"/>
    </row>
    <row r="3" spans="1:4" x14ac:dyDescent="0.2">
      <c r="A3" s="1462"/>
      <c r="B3" s="1"/>
      <c r="C3" s="1"/>
      <c r="D3" s="1463"/>
    </row>
    <row r="4" spans="1:4" x14ac:dyDescent="0.2">
      <c r="A4" s="1484" t="s">
        <v>5800</v>
      </c>
      <c r="B4" s="1464" t="s">
        <v>844</v>
      </c>
      <c r="C4" s="952" t="s">
        <v>5874</v>
      </c>
      <c r="D4" s="1465"/>
    </row>
    <row r="5" spans="1:4" x14ac:dyDescent="0.2">
      <c r="A5" s="1484" t="s">
        <v>5801</v>
      </c>
      <c r="B5" s="1466" t="s">
        <v>2904</v>
      </c>
      <c r="C5" s="1520" t="s">
        <v>3919</v>
      </c>
      <c r="D5" s="1521"/>
    </row>
    <row r="6" spans="1:4" x14ac:dyDescent="0.2">
      <c r="A6" s="1484" t="s">
        <v>5802</v>
      </c>
      <c r="B6" s="1464" t="s">
        <v>2880</v>
      </c>
      <c r="C6" s="952" t="s">
        <v>5875</v>
      </c>
      <c r="D6" s="1465"/>
    </row>
    <row r="7" spans="1:4" x14ac:dyDescent="0.2">
      <c r="A7" s="1484" t="s">
        <v>5803</v>
      </c>
      <c r="B7" s="1464" t="s">
        <v>893</v>
      </c>
      <c r="C7" s="952" t="s">
        <v>3068</v>
      </c>
      <c r="D7" s="1465"/>
    </row>
    <row r="8" spans="1:4" x14ac:dyDescent="0.2">
      <c r="A8" s="1484" t="s">
        <v>5804</v>
      </c>
      <c r="B8" s="1466" t="s">
        <v>4369</v>
      </c>
      <c r="C8" s="952" t="s">
        <v>1558</v>
      </c>
      <c r="D8" s="1465"/>
    </row>
    <row r="9" spans="1:4" x14ac:dyDescent="0.2">
      <c r="A9" s="1484" t="s">
        <v>5805</v>
      </c>
      <c r="B9" s="1466" t="s">
        <v>5837</v>
      </c>
      <c r="C9" s="952" t="s">
        <v>2885</v>
      </c>
      <c r="D9" s="1465"/>
    </row>
    <row r="10" spans="1:4" x14ac:dyDescent="0.2">
      <c r="A10" s="1484" t="s">
        <v>5806</v>
      </c>
      <c r="B10" s="1464" t="s">
        <v>894</v>
      </c>
      <c r="C10" s="952" t="s">
        <v>30</v>
      </c>
      <c r="D10" s="1465"/>
    </row>
    <row r="11" spans="1:4" x14ac:dyDescent="0.2">
      <c r="A11" s="1484" t="s">
        <v>5807</v>
      </c>
      <c r="B11" s="1466" t="s">
        <v>6123</v>
      </c>
      <c r="C11" s="952" t="s">
        <v>866</v>
      </c>
      <c r="D11" s="1465"/>
    </row>
    <row r="12" spans="1:4" x14ac:dyDescent="0.2">
      <c r="A12" s="1484" t="s">
        <v>5808</v>
      </c>
      <c r="B12" s="1464" t="s">
        <v>3146</v>
      </c>
      <c r="C12" s="952" t="s">
        <v>31</v>
      </c>
      <c r="D12" s="1465"/>
    </row>
    <row r="13" spans="1:4" x14ac:dyDescent="0.2">
      <c r="A13" s="1484" t="s">
        <v>5809</v>
      </c>
      <c r="B13" s="1464" t="s">
        <v>3147</v>
      </c>
      <c r="C13" s="952" t="s">
        <v>3873</v>
      </c>
      <c r="D13" s="1465"/>
    </row>
    <row r="14" spans="1:4" x14ac:dyDescent="0.2">
      <c r="A14" s="1484" t="s">
        <v>5810</v>
      </c>
      <c r="B14" s="1464" t="s">
        <v>2494</v>
      </c>
      <c r="C14" s="1431" t="s">
        <v>3919</v>
      </c>
      <c r="D14" s="1467"/>
    </row>
    <row r="15" spans="1:4" x14ac:dyDescent="0.2">
      <c r="A15" s="1484" t="s">
        <v>5811</v>
      </c>
      <c r="B15" s="1466" t="s">
        <v>5838</v>
      </c>
      <c r="C15" s="3142" t="s">
        <v>6947</v>
      </c>
      <c r="D15" s="1465"/>
    </row>
    <row r="16" spans="1:4" x14ac:dyDescent="0.2">
      <c r="A16" s="1484" t="s">
        <v>5812</v>
      </c>
      <c r="B16" s="1464" t="s">
        <v>3142</v>
      </c>
      <c r="C16" s="952" t="s">
        <v>652</v>
      </c>
      <c r="D16" s="1465"/>
    </row>
    <row r="17" spans="1:4" x14ac:dyDescent="0.2">
      <c r="A17" s="1484" t="s">
        <v>5813</v>
      </c>
      <c r="B17" s="1464" t="s">
        <v>1617</v>
      </c>
      <c r="C17" s="1431" t="s">
        <v>3169</v>
      </c>
      <c r="D17" s="1467"/>
    </row>
    <row r="18" spans="1:4" x14ac:dyDescent="0.2">
      <c r="A18" s="1484" t="s">
        <v>5814</v>
      </c>
      <c r="B18" s="1468" t="s">
        <v>2028</v>
      </c>
      <c r="C18" s="851" t="s">
        <v>3169</v>
      </c>
      <c r="D18" s="1469"/>
    </row>
    <row r="19" spans="1:4" x14ac:dyDescent="0.2">
      <c r="A19" s="1484" t="s">
        <v>5815</v>
      </c>
      <c r="B19" s="1468" t="s">
        <v>2029</v>
      </c>
      <c r="C19" s="851" t="s">
        <v>3169</v>
      </c>
      <c r="D19" s="1469"/>
    </row>
    <row r="20" spans="1:4" x14ac:dyDescent="0.2">
      <c r="A20" s="1484" t="s">
        <v>5816</v>
      </c>
      <c r="B20" s="1466" t="s">
        <v>5839</v>
      </c>
      <c r="C20" s="952" t="s">
        <v>2737</v>
      </c>
      <c r="D20" s="1465"/>
    </row>
    <row r="21" spans="1:4" x14ac:dyDescent="0.2">
      <c r="A21" s="1483"/>
      <c r="B21" s="1468"/>
      <c r="C21" s="1485"/>
      <c r="D21" s="1469"/>
    </row>
    <row r="22" spans="1:4" x14ac:dyDescent="0.2">
      <c r="A22" s="1483"/>
      <c r="B22" s="1466" t="s">
        <v>5840</v>
      </c>
      <c r="C22" s="1484"/>
      <c r="D22" s="1465"/>
    </row>
    <row r="23" spans="1:4" x14ac:dyDescent="0.2">
      <c r="A23" s="1483"/>
      <c r="B23" s="1466" t="s">
        <v>5841</v>
      </c>
      <c r="C23" s="1484"/>
      <c r="D23" s="1465"/>
    </row>
    <row r="24" spans="1:4" x14ac:dyDescent="0.2">
      <c r="A24" s="1483"/>
      <c r="B24" s="1485"/>
      <c r="C24" s="1485"/>
      <c r="D24" s="1469"/>
    </row>
    <row r="25" spans="1:4" x14ac:dyDescent="0.2">
      <c r="A25" s="1483"/>
      <c r="B25" s="1466" t="s">
        <v>5842</v>
      </c>
      <c r="C25" s="1484"/>
      <c r="D25" s="1465"/>
    </row>
    <row r="26" spans="1:4" x14ac:dyDescent="0.2">
      <c r="A26" s="1462"/>
      <c r="B26" s="1"/>
      <c r="C26" s="1"/>
      <c r="D26" s="1463"/>
    </row>
    <row r="27" spans="1:4" x14ac:dyDescent="0.2">
      <c r="A27" s="1483"/>
      <c r="B27" s="1485" t="s">
        <v>3158</v>
      </c>
      <c r="C27" s="1485"/>
      <c r="D27" s="1470"/>
    </row>
    <row r="28" spans="1:4" x14ac:dyDescent="0.2">
      <c r="A28" s="1462"/>
      <c r="B28" s="1"/>
      <c r="C28" s="1"/>
      <c r="D28" s="1463"/>
    </row>
    <row r="29" spans="1:4" x14ac:dyDescent="0.2">
      <c r="A29" s="1462"/>
      <c r="B29" s="1"/>
      <c r="C29" s="1"/>
      <c r="D29" s="1463"/>
    </row>
    <row r="30" spans="1:4" x14ac:dyDescent="0.2">
      <c r="A30" s="1462"/>
      <c r="B30" s="1482" t="s">
        <v>914</v>
      </c>
      <c r="C30" s="1"/>
      <c r="D30" s="1463"/>
    </row>
    <row r="31" spans="1:4" x14ac:dyDescent="0.2">
      <c r="A31" s="1486" t="s">
        <v>5855</v>
      </c>
      <c r="B31" s="1485" t="s">
        <v>3960</v>
      </c>
      <c r="C31" s="1490" t="s">
        <v>2693</v>
      </c>
      <c r="D31" s="1471"/>
    </row>
    <row r="32" spans="1:4" x14ac:dyDescent="0.2">
      <c r="A32" s="1483"/>
      <c r="B32" s="1485"/>
      <c r="C32" s="1490"/>
      <c r="D32" s="1469"/>
    </row>
    <row r="33" spans="1:4" x14ac:dyDescent="0.2">
      <c r="A33" s="1486" t="s">
        <v>5856</v>
      </c>
      <c r="B33" s="1485" t="s">
        <v>3747</v>
      </c>
      <c r="C33" s="1490" t="s">
        <v>2514</v>
      </c>
      <c r="D33" s="1471"/>
    </row>
    <row r="34" spans="1:4" x14ac:dyDescent="0.2">
      <c r="A34" s="1483"/>
      <c r="B34" s="1485"/>
      <c r="C34" s="1490"/>
      <c r="D34" s="1469"/>
    </row>
    <row r="35" spans="1:4" x14ac:dyDescent="0.2">
      <c r="A35" s="1486" t="s">
        <v>5857</v>
      </c>
      <c r="B35" s="1485" t="s">
        <v>16</v>
      </c>
      <c r="C35" s="1490" t="s">
        <v>2516</v>
      </c>
      <c r="D35" s="1471"/>
    </row>
    <row r="36" spans="1:4" x14ac:dyDescent="0.2">
      <c r="A36" s="1483"/>
      <c r="B36" s="1485"/>
      <c r="C36" s="1490"/>
      <c r="D36" s="1469"/>
    </row>
    <row r="37" spans="1:4" x14ac:dyDescent="0.2">
      <c r="A37" s="1486" t="s">
        <v>5858</v>
      </c>
      <c r="B37" s="1485" t="s">
        <v>18</v>
      </c>
      <c r="C37" s="1490" t="s">
        <v>2517</v>
      </c>
      <c r="D37" s="1471"/>
    </row>
    <row r="38" spans="1:4" x14ac:dyDescent="0.2">
      <c r="A38" s="1483"/>
      <c r="B38" s="1485"/>
      <c r="C38" s="1490"/>
      <c r="D38" s="1469"/>
    </row>
    <row r="39" spans="1:4" x14ac:dyDescent="0.2">
      <c r="A39" s="1486" t="s">
        <v>5859</v>
      </c>
      <c r="B39" s="1485" t="s">
        <v>3311</v>
      </c>
      <c r="C39" s="1490" t="s">
        <v>3644</v>
      </c>
      <c r="D39" s="1471">
        <v>12000</v>
      </c>
    </row>
    <row r="40" spans="1:4" x14ac:dyDescent="0.2">
      <c r="A40" s="1483"/>
      <c r="B40" s="1485"/>
      <c r="C40" s="1490"/>
      <c r="D40" s="1469"/>
    </row>
    <row ht="13.5" r="41" spans="1:4" thickBot="1" x14ac:dyDescent="0.25">
      <c r="A41" s="1487" t="s">
        <v>5860</v>
      </c>
      <c r="B41" s="1488" t="s">
        <v>3771</v>
      </c>
      <c r="C41" s="1491" t="s">
        <v>2265</v>
      </c>
      <c r="D41" s="1472">
        <v>0</v>
      </c>
    </row>
  </sheetData>
  <phoneticPr fontId="67" type="noConversion"/>
  <pageMargins bottom="1" footer="0.5" header="0.5" left="0.75" right="0.75" top="1"/>
  <pageSetup orientation="portrait" paperSize="9" r:id="rId1"/>
  <headerFooter alignWithMargins="0"/>
</worksheet>
</file>

<file path=xl/worksheets/sheet25.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6"/>
  <dimension ref="A1:J36"/>
  <sheetViews>
    <sheetView showGridLines="0" showRowColHeaders="0" topLeftCell="B1" workbookViewId="0">
      <selection activeCell="F14" sqref="F14"/>
    </sheetView>
  </sheetViews>
  <sheetFormatPr defaultRowHeight="12.75" x14ac:dyDescent="0.2"/>
  <cols>
    <col min="1" max="1" customWidth="true" hidden="true" width="0.0" collapsed="true"/>
    <col min="2" max="2" customWidth="true" width="5.140625" collapsed="true"/>
    <col min="4" max="4" customWidth="true" width="11.140625" collapsed="true"/>
    <col min="5" max="5" customWidth="true" width="12.28515625" collapsed="true"/>
    <col min="6" max="6" customWidth="true" width="11.0" collapsed="true"/>
    <col min="7" max="7" customWidth="true" width="11.42578125" collapsed="true"/>
    <col min="9" max="9" bestFit="true" customWidth="true" width="10.140625" collapsed="true"/>
  </cols>
  <sheetData>
    <row r="1" spans="1:8" x14ac:dyDescent="0.2">
      <c r="C1" s="5" t="s">
        <v>2148</v>
      </c>
    </row>
    <row r="3" spans="1:8" x14ac:dyDescent="0.2">
      <c r="C3" s="882" t="str">
        <f>"Swiss Interest: "&amp;DOLLAR('Swiss (SW)'!G37,0)</f>
        <v>Swiss Interest: $0</v>
      </c>
      <c r="H3" s="883"/>
    </row>
    <row r="4" spans="1:8" x14ac:dyDescent="0.2">
      <c r="D4" t="s">
        <v>2149</v>
      </c>
      <c r="E4" s="884">
        <f>'Swiss (SW)'!J67</f>
        <v>0</v>
      </c>
      <c r="F4" s="885" t="s">
        <v>3729</v>
      </c>
      <c r="G4" s="886">
        <f>'Swiss (SW)'!M67</f>
        <v>0</v>
      </c>
    </row>
    <row r="5" spans="1:8" x14ac:dyDescent="0.2">
      <c r="E5" s="883">
        <f>'Swiss (SW)'!J61</f>
        <v>0</v>
      </c>
      <c r="F5" s="885" t="s">
        <v>3916</v>
      </c>
      <c r="G5" s="886">
        <f>'Swiss (SW)'!M61</f>
        <v>0</v>
      </c>
    </row>
    <row r="6" spans="1:8" x14ac:dyDescent="0.2">
      <c r="E6" s="883">
        <f>'Swiss (SW)'!J55</f>
        <v>0</v>
      </c>
      <c r="F6" s="885" t="s">
        <v>895</v>
      </c>
      <c r="G6" s="886">
        <f>'Swiss (SW)'!M55</f>
        <v>0</v>
      </c>
    </row>
    <row r="7" spans="1:8" x14ac:dyDescent="0.2">
      <c r="E7" s="887">
        <f>'Swiss (SW)'!J40</f>
        <v>0</v>
      </c>
      <c r="F7" s="885" t="s">
        <v>2611</v>
      </c>
      <c r="G7" s="888">
        <f>'Swiss (SW)'!M40</f>
        <v>0</v>
      </c>
    </row>
    <row r="8" spans="1:8" x14ac:dyDescent="0.2">
      <c r="D8" t="s">
        <v>2197</v>
      </c>
      <c r="E8" s="884">
        <f>E4+E5+E6+E7</f>
        <v>0</v>
      </c>
      <c r="F8" s="889"/>
      <c r="G8" s="890">
        <f>G4+G5+G6+G7</f>
        <v>0</v>
      </c>
    </row>
    <row r="9" spans="1:8" x14ac:dyDescent="0.2">
      <c r="F9" s="889"/>
    </row>
    <row r="10" spans="1:8" x14ac:dyDescent="0.2">
      <c r="A10" s="891">
        <f>'Swiss (SW)'!G3</f>
        <v>0</v>
      </c>
      <c r="C10" s="882" t="str">
        <f>"Swiss dividends that qualify for 10% UK tax credits: (net) "&amp;DOLLAR('Swiss Tax'!J16,0)&amp;", (gross) "&amp;DOLLAR('Swiss (SW)'!G3,0)</f>
        <v>Swiss dividends that qualify for 10% UK tax credits: (net) $0, (gross) $0</v>
      </c>
      <c r="D10" s="15"/>
      <c r="E10" s="15"/>
      <c r="F10" s="892"/>
      <c r="G10" s="15"/>
    </row>
    <row r="11" spans="1:8" x14ac:dyDescent="0.2">
      <c r="C11" s="15"/>
      <c r="D11" s="15" t="s">
        <v>2149</v>
      </c>
      <c r="E11" s="15"/>
      <c r="F11" s="15"/>
      <c r="G11" s="15"/>
      <c r="H11" s="884"/>
    </row>
    <row r="12" spans="1:8" x14ac:dyDescent="0.2">
      <c r="C12" s="15"/>
      <c r="D12" s="15"/>
      <c r="E12" s="893">
        <f>MAX(0,A10-E13-E14-'Taxable (c5)'!AX203)</f>
        <v>0</v>
      </c>
      <c r="F12" s="1776" t="s">
        <v>6213</v>
      </c>
      <c r="G12" s="895">
        <f>TRUNC(E12*DivBR_rate,2)</f>
        <v>0</v>
      </c>
      <c r="H12" s="883"/>
    </row>
    <row r="13" spans="1:8" x14ac:dyDescent="0.2">
      <c r="C13" s="15"/>
      <c r="D13" s="15"/>
      <c r="E13" s="896">
        <f>'Swiss (SW)'!J12</f>
        <v>0</v>
      </c>
      <c r="F13" s="894" t="s">
        <v>3917</v>
      </c>
      <c r="G13" s="895">
        <f>TRUNC(E13*DivHR_rate,2)</f>
        <v>0</v>
      </c>
      <c r="H13" s="883"/>
    </row>
    <row r="14" spans="1:8" x14ac:dyDescent="0.2">
      <c r="C14" s="15"/>
      <c r="D14" s="15"/>
      <c r="E14" s="897">
        <f>'Swiss (SW)'!J6</f>
        <v>0</v>
      </c>
      <c r="F14" s="1776" t="s">
        <v>6214</v>
      </c>
      <c r="G14" s="898">
        <f>TRUNC(E14*DivHR_rate,2)</f>
        <v>0</v>
      </c>
    </row>
    <row r="15" spans="1:8" x14ac:dyDescent="0.2">
      <c r="C15" s="15"/>
      <c r="D15" s="15"/>
      <c r="E15" s="893">
        <f>E11+E12+E13+E14</f>
        <v>0</v>
      </c>
      <c r="F15" s="15"/>
      <c r="G15" s="890">
        <f>G11+G12+G13+G14</f>
        <v>0</v>
      </c>
    </row>
    <row r="16" spans="1:8" x14ac:dyDescent="0.2">
      <c r="C16" s="15"/>
      <c r="D16" s="15"/>
      <c r="E16" s="15" t="s">
        <v>2150</v>
      </c>
      <c r="F16" s="15"/>
      <c r="G16" s="898">
        <f>TRUNC(E15*SR_rate,2)</f>
        <v>0</v>
      </c>
    </row>
    <row r="17" spans="3:9" x14ac:dyDescent="0.2">
      <c r="C17" s="15"/>
      <c r="D17" s="15" t="s">
        <v>2197</v>
      </c>
      <c r="E17" s="15"/>
      <c r="F17" s="15"/>
      <c r="G17" s="899">
        <f>MAX(0,G15-G16)</f>
        <v>0</v>
      </c>
    </row>
    <row r="19" spans="3:9" x14ac:dyDescent="0.2">
      <c r="C19" s="882" t="str">
        <f>"Swiss dividends that do not qualify for 10% UK tax credits: "&amp;DOLLAR('Swiss (SW)'!G17,0)</f>
        <v>Swiss dividends that do not qualify for 10% UK tax credits: $0</v>
      </c>
      <c r="D19" s="15"/>
      <c r="E19" s="15"/>
      <c r="F19" s="15"/>
      <c r="G19" s="15"/>
    </row>
    <row r="20" spans="3:9" x14ac:dyDescent="0.2">
      <c r="C20" s="15"/>
      <c r="D20" s="15" t="s">
        <v>2149</v>
      </c>
      <c r="E20" s="893">
        <f>'Swiss (SW)'!J32</f>
        <v>0</v>
      </c>
      <c r="F20" s="1776" t="s">
        <v>6213</v>
      </c>
      <c r="G20" s="895">
        <f>'Swiss (SW)'!M32</f>
        <v>0</v>
      </c>
    </row>
    <row r="21" spans="3:9" x14ac:dyDescent="0.2">
      <c r="C21" s="15"/>
      <c r="D21" s="15"/>
      <c r="E21" s="896">
        <f>'Swiss (SW)'!J26</f>
        <v>0</v>
      </c>
      <c r="F21" s="894" t="s">
        <v>3917</v>
      </c>
      <c r="G21" s="895">
        <f>'Swiss (SW)'!M26</f>
        <v>0</v>
      </c>
      <c r="H21" s="884"/>
      <c r="I21" s="883"/>
    </row>
    <row r="22" spans="3:9" x14ac:dyDescent="0.2">
      <c r="C22" s="15"/>
      <c r="D22" s="15"/>
      <c r="E22" s="897">
        <f>'Swiss (SW)'!J20</f>
        <v>0</v>
      </c>
      <c r="F22" s="1776" t="s">
        <v>6214</v>
      </c>
      <c r="G22" s="898">
        <f>'Swiss (SW)'!M20</f>
        <v>0</v>
      </c>
    </row>
    <row r="23" spans="3:9" x14ac:dyDescent="0.2">
      <c r="C23" s="15"/>
      <c r="D23" s="15" t="s">
        <v>2197</v>
      </c>
      <c r="E23" s="893">
        <f>E19+E20+E21+E22</f>
        <v>0</v>
      </c>
      <c r="F23" s="15"/>
      <c r="G23" s="890">
        <f>G19+G20+G21+G22</f>
        <v>0</v>
      </c>
    </row>
    <row r="25" spans="3:9" x14ac:dyDescent="0.2">
      <c r="C25" t="str">
        <f>"Total Swiss dividends: "&amp;DOLLAR('Swiss (SW)'!G3+'Swiss (SW)'!G17,0)</f>
        <v>Total Swiss dividends: $0</v>
      </c>
    </row>
    <row r="26" spans="3:9" x14ac:dyDescent="0.2">
      <c r="D26" t="s">
        <v>2149</v>
      </c>
      <c r="E26" s="883">
        <f>E12+E20</f>
        <v>0</v>
      </c>
      <c r="F26" s="1776" t="s">
        <v>6213</v>
      </c>
      <c r="G26" s="886">
        <f>G12+G20</f>
        <v>0</v>
      </c>
    </row>
    <row r="27" spans="3:9" x14ac:dyDescent="0.2">
      <c r="E27" s="883">
        <f ref="E27:G29" si="0" t="shared">E13+E21</f>
        <v>0</v>
      </c>
      <c r="F27" s="885" t="s">
        <v>3917</v>
      </c>
      <c r="G27" s="886">
        <f si="0" t="shared"/>
        <v>0</v>
      </c>
      <c r="I27" s="895"/>
    </row>
    <row r="28" spans="3:9" x14ac:dyDescent="0.2">
      <c r="E28" s="887">
        <f si="0" t="shared"/>
        <v>0</v>
      </c>
      <c r="F28" s="1776" t="s">
        <v>6215</v>
      </c>
      <c r="G28" s="888">
        <f si="0" t="shared"/>
        <v>0</v>
      </c>
    </row>
    <row r="29" spans="3:9" x14ac:dyDescent="0.2">
      <c r="E29" s="883">
        <f si="0" t="shared"/>
        <v>0</v>
      </c>
      <c r="G29" s="886">
        <f si="0" t="shared"/>
        <v>0</v>
      </c>
    </row>
    <row r="30" spans="3:9" x14ac:dyDescent="0.2">
      <c r="E30" t="s">
        <v>2150</v>
      </c>
      <c r="G30" s="888">
        <f>G16</f>
        <v>0</v>
      </c>
    </row>
    <row r="31" spans="3:9" x14ac:dyDescent="0.2">
      <c r="D31" s="5" t="s">
        <v>2151</v>
      </c>
      <c r="E31" s="5"/>
      <c r="F31" s="5"/>
      <c r="G31" s="900">
        <f>G29-G30</f>
        <v>0</v>
      </c>
    </row>
    <row r="32" spans="3:9" x14ac:dyDescent="0.2">
      <c r="D32" s="5"/>
      <c r="E32" s="5"/>
      <c r="F32" s="5"/>
      <c r="G32" s="5"/>
    </row>
    <row r="33" spans="4:7" x14ac:dyDescent="0.2">
      <c r="D33" s="5" t="s">
        <v>2152</v>
      </c>
      <c r="E33" s="5"/>
      <c r="F33" s="5"/>
      <c r="G33" s="900">
        <f>G8</f>
        <v>0</v>
      </c>
    </row>
    <row r="34" spans="4:7" x14ac:dyDescent="0.2">
      <c r="D34" s="5"/>
      <c r="E34" s="5"/>
      <c r="F34" s="5"/>
      <c r="G34" s="5"/>
    </row>
    <row r="35" spans="4:7" x14ac:dyDescent="0.2">
      <c r="D35" s="5" t="s">
        <v>2153</v>
      </c>
      <c r="E35" s="5"/>
      <c r="F35" s="5"/>
      <c r="G35" s="901">
        <f>G8+G17+G23</f>
        <v>0</v>
      </c>
    </row>
    <row r="36" spans="4:7" x14ac:dyDescent="0.2">
      <c r="D36" s="5" t="s">
        <v>2154</v>
      </c>
      <c r="E36" s="5"/>
      <c r="F36" s="5"/>
      <c r="G36" s="5"/>
    </row>
  </sheetData>
  <phoneticPr fontId="67" type="noConversion"/>
  <pageMargins bottom="0.19685" footer="0" header="0" left="0.19685" right="0.19685" top="0.19685"/>
  <pageSetup orientation="portrait" paperSize="9" r:id="rId1"/>
  <headerFooter alignWithMargins="0"/>
</worksheet>
</file>

<file path=xl/worksheets/sheet26.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45"/>
  <dimension ref="A1:J28"/>
  <sheetViews>
    <sheetView showGridLines="0" showRowColHeaders="0" workbookViewId="0">
      <selection activeCell="B1" sqref="B1"/>
    </sheetView>
  </sheetViews>
  <sheetFormatPr defaultColWidth="9.140625" defaultRowHeight="12" x14ac:dyDescent="0.2"/>
  <cols>
    <col min="1" max="1" style="181" width="9.140625" collapsed="true"/>
    <col min="2" max="2" customWidth="true" style="181" width="4.5703125" collapsed="true"/>
    <col min="3" max="3" customWidth="true" style="181" width="12.85546875" collapsed="true"/>
    <col min="4" max="4" customWidth="true" style="181" width="24.0" collapsed="true"/>
    <col min="5" max="5" customWidth="true" style="181" width="12.7109375" collapsed="true"/>
    <col min="6" max="6" customWidth="true" style="181" width="4.28515625" collapsed="true"/>
    <col min="7" max="7" customWidth="true" style="181" width="14.5703125" collapsed="true"/>
    <col min="8" max="8" customWidth="true" style="181" width="30.7109375" collapsed="true"/>
    <col min="9" max="9" customWidth="true" style="181" width="23.42578125" collapsed="true"/>
    <col min="10" max="16384" style="181" width="9.140625" collapsed="true"/>
  </cols>
  <sheetData>
    <row customHeight="1" ht="12.75" r="1" spans="1:9" x14ac:dyDescent="0.2">
      <c r="A1" s="139"/>
      <c r="B1" s="139"/>
      <c r="C1" s="139"/>
      <c r="D1" s="139"/>
      <c r="E1" s="139"/>
      <c r="F1" s="139"/>
      <c r="G1" s="139"/>
      <c r="H1" s="476">
        <v>0</v>
      </c>
      <c r="I1" s="139"/>
    </row>
    <row customHeight="1" ht="6.75" r="2" spans="1:9" x14ac:dyDescent="0.2">
      <c r="A2" s="139"/>
      <c r="B2" s="139"/>
      <c r="C2" s="139"/>
      <c r="D2" s="139"/>
      <c r="E2" s="139"/>
      <c r="F2" s="139"/>
      <c r="G2" s="139"/>
      <c r="H2" s="139"/>
      <c r="I2" s="139"/>
    </row>
    <row customHeight="1" ht="12.75" r="3" spans="1:9" x14ac:dyDescent="0.2">
      <c r="A3" s="139"/>
      <c r="B3" s="481"/>
      <c r="C3" s="155"/>
      <c r="D3" s="155"/>
      <c r="E3" s="155"/>
      <c r="F3" s="155"/>
      <c r="G3" s="155"/>
      <c r="H3" s="156"/>
      <c r="I3" s="139"/>
    </row>
    <row customHeight="1" ht="12.75" r="4" spans="1:9" x14ac:dyDescent="0.2">
      <c r="A4" s="139"/>
      <c r="B4" s="419">
        <v>1</v>
      </c>
      <c r="C4" s="204" t="s">
        <v>2832</v>
      </c>
      <c r="D4" s="141"/>
      <c r="E4" s="141"/>
      <c r="F4" s="419">
        <v>4</v>
      </c>
      <c r="G4" s="204" t="s">
        <v>2834</v>
      </c>
      <c r="H4" s="158"/>
      <c r="I4" s="139"/>
    </row>
    <row customHeight="1" ht="12.75" r="5" spans="1:9" x14ac:dyDescent="0.2">
      <c r="A5" s="139"/>
      <c r="B5" s="157"/>
      <c r="C5" s="480">
        <v>12908.429999999998</v>
      </c>
      <c r="D5" s="141"/>
      <c r="E5" s="141"/>
      <c r="F5" s="141"/>
      <c r="G5" s="480">
        <v>500.22</v>
      </c>
      <c r="H5" s="158"/>
      <c r="I5" s="139"/>
    </row>
    <row customHeight="1" ht="9.75" r="6" spans="1:9" x14ac:dyDescent="0.2">
      <c r="A6" s="139"/>
      <c r="B6" s="157"/>
      <c r="C6" s="141"/>
      <c r="D6" s="141"/>
      <c r="E6" s="141"/>
      <c r="F6" s="141"/>
      <c r="G6" s="141"/>
      <c r="H6" s="158"/>
      <c r="I6" s="139"/>
    </row>
    <row customHeight="1" ht="12.75" r="7" spans="1:9" x14ac:dyDescent="0.2">
      <c r="A7" s="139"/>
      <c r="B7" s="419">
        <v>2</v>
      </c>
      <c r="C7" s="204" t="s">
        <v>2833</v>
      </c>
      <c r="D7" s="477"/>
      <c r="E7" s="477"/>
      <c r="F7" s="1224">
        <v>4.0999999999999996</v>
      </c>
      <c r="G7" s="204" t="s">
        <v>4368</v>
      </c>
      <c r="H7" s="158"/>
      <c r="I7" s="139"/>
    </row>
    <row customHeight="1" ht="12.75" r="8" spans="1:9" x14ac:dyDescent="0.2">
      <c r="A8" s="139"/>
      <c r="B8" s="482"/>
      <c r="C8" s="480">
        <v>0</v>
      </c>
      <c r="D8" s="477"/>
      <c r="E8" s="477"/>
      <c r="F8" s="141"/>
      <c r="G8" s="480">
        <v>117</v>
      </c>
      <c r="H8" s="158"/>
      <c r="I8" s="139"/>
    </row>
    <row customHeight="1" ht="7.5" r="9" spans="1:9" x14ac:dyDescent="0.2">
      <c r="A9" s="139"/>
      <c r="B9" s="482"/>
      <c r="C9" s="479"/>
      <c r="D9" s="477"/>
      <c r="E9" s="477"/>
      <c r="F9" s="141"/>
      <c r="G9" s="141"/>
      <c r="H9" s="158"/>
      <c r="I9" s="139"/>
    </row>
    <row customHeight="1" ht="12.75" r="10" spans="1:9" x14ac:dyDescent="0.2">
      <c r="A10" s="139"/>
      <c r="B10" s="419">
        <v>3</v>
      </c>
      <c r="C10" s="204" t="s">
        <v>2835</v>
      </c>
      <c r="D10" s="477"/>
      <c r="E10" s="477"/>
      <c r="F10" s="419">
        <v>5</v>
      </c>
      <c r="G10" s="204" t="s">
        <v>892</v>
      </c>
      <c r="H10" s="483"/>
      <c r="I10" s="139"/>
    </row>
    <row customHeight="1" ht="12.75" r="11" spans="1:9" x14ac:dyDescent="0.2">
      <c r="A11" s="139"/>
      <c r="B11" s="484"/>
      <c r="C11" s="480">
        <v>0</v>
      </c>
      <c r="D11" s="477"/>
      <c r="E11" s="477"/>
      <c r="F11" s="141"/>
      <c r="G11" s="480">
        <v>0</v>
      </c>
      <c r="H11" s="483"/>
      <c r="I11" s="139"/>
    </row>
    <row customHeight="1" ht="8.25" r="12" spans="1:9" x14ac:dyDescent="0.2">
      <c r="A12" s="139"/>
      <c r="B12" s="485"/>
      <c r="C12" s="204"/>
      <c r="D12" s="204"/>
      <c r="E12" s="477"/>
      <c r="F12" s="477"/>
      <c r="G12" s="477"/>
      <c r="H12" s="483"/>
      <c r="I12" s="139"/>
    </row>
    <row customHeight="1" ht="12.75" r="13" spans="1:9" x14ac:dyDescent="0.2">
      <c r="A13" s="139"/>
      <c r="B13" s="1224">
        <v>3.1</v>
      </c>
      <c r="C13" s="477" t="s">
        <v>9086</v>
      </c>
      <c r="D13" s="477"/>
      <c r="E13" s="477"/>
      <c r="F13" s="419"/>
      <c r="G13" s="204"/>
      <c r="H13" s="483"/>
      <c r="I13" s="139"/>
    </row>
    <row customHeight="1" ht="12.75" r="14" spans="1:9" x14ac:dyDescent="0.2">
      <c r="A14" s="139"/>
      <c r="B14" s="484"/>
      <c r="C14" s="400">
        <v>0</v>
      </c>
      <c r="D14" s="204"/>
      <c r="E14" s="477"/>
      <c r="F14" s="477"/>
      <c r="G14" s="400"/>
      <c r="H14" s="483"/>
      <c r="I14" s="139"/>
    </row>
    <row customHeight="1" ht="8.25" r="15" spans="1:9" x14ac:dyDescent="0.2">
      <c r="A15" s="139"/>
      <c r="B15" s="484"/>
      <c r="C15" s="204"/>
      <c r="D15" s="204"/>
      <c r="E15" s="477"/>
      <c r="F15" s="477"/>
      <c r="G15" s="477"/>
      <c r="H15" s="483"/>
      <c r="I15" s="139"/>
    </row>
    <row customHeight="1" ht="12.75" r="16" spans="1:9" x14ac:dyDescent="0.2">
      <c r="A16" s="139"/>
      <c r="B16" s="419">
        <v>7</v>
      </c>
      <c r="C16" s="478" t="s">
        <v>9091</v>
      </c>
      <c r="D16" s="204"/>
      <c r="E16" s="477"/>
      <c r="F16" s="419">
        <v>6</v>
      </c>
      <c r="G16" s="204" t="s">
        <v>2836</v>
      </c>
      <c r="H16" s="483"/>
      <c r="I16" s="139"/>
    </row>
    <row customHeight="1" ht="12.75" r="17" spans="1:9" x14ac:dyDescent="0.2">
      <c r="A17" s="139"/>
      <c r="B17" s="484"/>
      <c r="C17" s="400">
        <v>2999</v>
      </c>
      <c r="D17" s="204"/>
      <c r="E17" s="477"/>
      <c r="F17" s="477"/>
      <c r="G17" s="400">
        <v>0</v>
      </c>
      <c r="H17" s="483"/>
      <c r="I17" s="139"/>
    </row>
    <row customHeight="1" ht="7.5" r="18" spans="1:9" x14ac:dyDescent="0.2">
      <c r="A18" s="139"/>
      <c r="B18" s="486"/>
      <c r="C18" s="487"/>
      <c r="D18" s="488"/>
      <c r="E18" s="488"/>
      <c r="F18" s="488"/>
      <c r="G18" s="488"/>
      <c r="H18" s="489"/>
      <c r="I18" s="139"/>
    </row>
    <row customHeight="1" ht="6.75" r="19" spans="1:9" x14ac:dyDescent="0.2">
      <c r="A19" s="139"/>
      <c r="B19" s="139">
        <v>8</v>
      </c>
      <c r="C19" s="139" t="s">
        <v>9092</v>
      </c>
      <c r="D19" s="139"/>
      <c r="E19" s="139"/>
      <c r="F19" s="139">
        <v>9</v>
      </c>
      <c r="G19" s="139" t="s">
        <v>9093</v>
      </c>
      <c r="H19" s="139"/>
      <c r="I19" s="139"/>
    </row>
    <row customHeight="1" ht="12.75" r="20" spans="1:9" x14ac:dyDescent="0.2">
      <c r="A20" s="139"/>
      <c r="B20" s="139"/>
      <c r="C20" s="139">
        <v>0</v>
      </c>
      <c r="D20" s="139"/>
      <c r="E20" s="139"/>
      <c r="F20" s="139"/>
      <c r="G20" s="139">
        <v>0</v>
      </c>
      <c r="H20" s="139"/>
      <c r="I20" s="139"/>
    </row>
    <row customHeight="1" ht="12.75" r="21" spans="1:9" x14ac:dyDescent="0.2">
      <c r="A21" s="139"/>
      <c r="B21" s="139"/>
      <c r="C21" s="139"/>
      <c r="D21" s="139"/>
      <c r="E21" s="139"/>
      <c r="F21" s="139"/>
      <c r="G21" s="139"/>
      <c r="H21" s="139"/>
      <c r="I21" s="139"/>
    </row>
    <row customHeight="1" ht="12.75" r="22" spans="1:9" x14ac:dyDescent="0.2">
      <c r="A22" s="139"/>
      <c r="B22" s="139"/>
      <c r="C22" s="139"/>
      <c r="D22" s="139"/>
      <c r="E22" s="139"/>
      <c r="F22" s="139"/>
      <c r="G22" s="139"/>
      <c r="H22" s="139"/>
      <c r="I22" s="139"/>
    </row>
    <row r="23" spans="1:9" x14ac:dyDescent="0.2">
      <c r="A23" s="139"/>
      <c r="B23" s="139"/>
      <c r="C23" s="139"/>
      <c r="D23" s="139"/>
      <c r="E23" s="139"/>
      <c r="F23" s="139"/>
      <c r="G23" s="139"/>
      <c r="H23" s="139"/>
      <c r="I23" s="139"/>
    </row>
    <row r="24" spans="1:9" x14ac:dyDescent="0.2">
      <c r="A24" s="139"/>
      <c r="B24" s="139"/>
      <c r="C24" s="139"/>
      <c r="D24" s="139"/>
      <c r="E24" s="139"/>
      <c r="F24" s="139"/>
      <c r="G24" s="139"/>
      <c r="H24" s="139"/>
      <c r="I24" s="139"/>
    </row>
    <row r="25" spans="1:9" x14ac:dyDescent="0.2">
      <c r="A25" s="139"/>
      <c r="B25" s="139"/>
      <c r="C25" s="139"/>
      <c r="D25" s="139"/>
      <c r="E25" s="139"/>
      <c r="F25" s="139"/>
      <c r="G25" s="139"/>
      <c r="H25" s="139"/>
      <c r="I25" s="139"/>
    </row>
    <row r="26" spans="1:9" x14ac:dyDescent="0.2">
      <c r="A26" s="139"/>
      <c r="B26" s="139"/>
      <c r="C26" s="139"/>
      <c r="D26" s="139"/>
      <c r="E26" s="139"/>
      <c r="F26" s="139"/>
      <c r="G26" s="139"/>
      <c r="H26" s="139"/>
      <c r="I26" s="139"/>
    </row>
    <row r="27" spans="1:9" x14ac:dyDescent="0.2">
      <c r="A27" s="139"/>
      <c r="B27" s="139"/>
      <c r="C27" s="139"/>
      <c r="D27" s="139"/>
      <c r="E27" s="139"/>
      <c r="F27" s="139"/>
      <c r="G27" s="139"/>
      <c r="H27" s="139"/>
      <c r="I27" s="139"/>
    </row>
    <row r="28" spans="1:9" x14ac:dyDescent="0.2">
      <c r="A28" s="139"/>
      <c r="B28" s="139"/>
      <c r="C28" s="139"/>
      <c r="D28" s="139"/>
      <c r="E28" s="139"/>
      <c r="F28" s="139"/>
      <c r="G28" s="139"/>
      <c r="H28" s="139"/>
      <c r="I28" s="139"/>
    </row>
  </sheetData>
  <phoneticPr fontId="67" type="noConversion"/>
  <pageMargins bottom="0.196850393700787" footer="0" header="0" left="0.196850393700787" right="0.196850393700787" top="0.196850393700787"/>
  <pageSetup orientation="landscape" paperSize="9" r:id="rId1"/>
  <headerFooter alignWithMargins="0"/>
</worksheet>
</file>

<file path=xl/worksheets/sheet27.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9">
    <tabColor rgb="FFFF0000"/>
  </sheetPr>
  <dimension ref="A1:J130"/>
  <sheetViews>
    <sheetView showGridLines="0" topLeftCell="A67" workbookViewId="0">
      <selection activeCell="C98" sqref="C98"/>
    </sheetView>
  </sheetViews>
  <sheetFormatPr defaultColWidth="9.140625" defaultRowHeight="12" x14ac:dyDescent="0.2"/>
  <cols>
    <col min="1" max="1" customWidth="true" style="4" width="4.5703125" collapsed="true"/>
    <col min="2" max="2" customWidth="true" style="4" width="21.28515625" collapsed="true"/>
    <col min="3" max="3" customWidth="true" style="4" width="20.140625" collapsed="true"/>
    <col min="4" max="4" customWidth="true" style="4" width="9.42578125" collapsed="true"/>
    <col min="5" max="5" customWidth="true" style="2997" width="1.0" collapsed="true"/>
    <col min="6" max="6" customWidth="true" style="4" width="5.140625" collapsed="true"/>
    <col min="7" max="7" bestFit="true" customWidth="true" style="4" width="21.42578125" collapsed="true"/>
    <col min="8" max="8" customWidth="true" style="4" width="17.140625" collapsed="true"/>
    <col min="9" max="9" customWidth="true" style="4" width="10.7109375" collapsed="true"/>
    <col min="10" max="10" customWidth="true" style="2997" width="2.7109375" collapsed="true"/>
    <col min="11" max="16384" style="2997" width="9.140625" collapsed="true"/>
  </cols>
  <sheetData>
    <row customHeight="1" ht="12" r="1" spans="1:9" x14ac:dyDescent="0.2">
      <c r="A1" s="808" t="s">
        <v>2772</v>
      </c>
      <c r="B1" s="2797" t="s">
        <v>2773</v>
      </c>
      <c r="C1" s="2781" t="s">
        <v>823</v>
      </c>
      <c r="D1" s="2781" t="s">
        <v>808</v>
      </c>
      <c r="F1" s="808" t="s">
        <v>2772</v>
      </c>
      <c r="G1" s="2797" t="s">
        <v>2773</v>
      </c>
      <c r="H1" s="2781" t="s">
        <v>823</v>
      </c>
      <c r="I1" s="2781" t="s">
        <v>808</v>
      </c>
    </row>
    <row ht="12.75" r="2" spans="1:9" x14ac:dyDescent="0.2">
      <c r="A2" s="809" t="s">
        <v>3850</v>
      </c>
      <c r="B2" s="2798" t="s">
        <v>2774</v>
      </c>
      <c r="C2" s="2782" t="s">
        <v>4590</v>
      </c>
      <c r="D2" s="2783"/>
      <c r="F2" s="409" t="s">
        <v>947</v>
      </c>
      <c r="G2" s="2799" t="s">
        <v>3344</v>
      </c>
      <c r="H2" s="2783" t="s">
        <v>3746</v>
      </c>
      <c r="I2" s="2786"/>
    </row>
    <row ht="12.75" r="3" spans="1:9" x14ac:dyDescent="0.2">
      <c r="A3" s="809" t="s">
        <v>616</v>
      </c>
      <c r="B3" s="2798" t="s">
        <v>3342</v>
      </c>
      <c r="C3" s="2783" t="s">
        <v>553</v>
      </c>
      <c r="D3" s="2783"/>
      <c r="F3" s="3451" t="s">
        <v>8769</v>
      </c>
      <c r="G3" s="3452" t="s">
        <v>3354</v>
      </c>
      <c r="H3" s="3453" t="s">
        <v>8771</v>
      </c>
      <c r="I3" s="4329"/>
    </row>
    <row ht="12.75" r="4" spans="1:9" x14ac:dyDescent="0.2">
      <c r="A4" s="809" t="s">
        <v>617</v>
      </c>
      <c r="B4" s="2798" t="s">
        <v>3343</v>
      </c>
      <c r="C4" s="2783" t="s">
        <v>3718</v>
      </c>
      <c r="D4" s="2783"/>
      <c r="F4" s="3451" t="s">
        <v>8777</v>
      </c>
      <c r="G4" s="3452" t="s">
        <v>8783</v>
      </c>
      <c r="H4" s="3453" t="s">
        <v>3818</v>
      </c>
      <c r="I4" s="4329"/>
    </row>
    <row ht="12.75" r="5" spans="1:9" x14ac:dyDescent="0.2">
      <c r="A5" s="809" t="s">
        <v>618</v>
      </c>
      <c r="B5" s="2798" t="s">
        <v>3345</v>
      </c>
      <c r="C5" s="2783" t="s">
        <v>4591</v>
      </c>
      <c r="D5" s="2783"/>
      <c r="F5" s="809" t="s">
        <v>948</v>
      </c>
      <c r="G5" s="2798" t="s">
        <v>1301</v>
      </c>
      <c r="H5" s="2782" t="s">
        <v>880</v>
      </c>
      <c r="I5" s="2783"/>
    </row>
    <row ht="12.75" r="6" spans="1:9" x14ac:dyDescent="0.2">
      <c r="A6" s="809" t="s">
        <v>619</v>
      </c>
      <c r="B6" s="2798" t="s">
        <v>2700</v>
      </c>
      <c r="C6" s="2783" t="s">
        <v>3719</v>
      </c>
      <c r="D6" s="2783"/>
      <c r="F6" s="809" t="s">
        <v>831</v>
      </c>
      <c r="G6" s="2799" t="s">
        <v>1042</v>
      </c>
      <c r="H6" s="2783" t="s">
        <v>1712</v>
      </c>
      <c r="I6" s="2786"/>
    </row>
    <row ht="12.75" r="7" spans="1:9" x14ac:dyDescent="0.2">
      <c r="A7" s="809" t="s">
        <v>620</v>
      </c>
      <c r="B7" s="2798" t="s">
        <v>1041</v>
      </c>
      <c r="C7" s="2783" t="s">
        <v>4389</v>
      </c>
      <c r="D7" s="2783"/>
      <c r="F7" s="809" t="s">
        <v>833</v>
      </c>
      <c r="G7" s="2799" t="s">
        <v>3823</v>
      </c>
      <c r="H7" s="2783" t="s">
        <v>1713</v>
      </c>
      <c r="I7" s="2783"/>
    </row>
    <row ht="12.75" r="8" spans="1:9" x14ac:dyDescent="0.2">
      <c r="A8" s="3398" t="s">
        <v>621</v>
      </c>
      <c r="B8" s="3399" t="s">
        <v>7738</v>
      </c>
      <c r="C8" s="3343" t="s">
        <v>2614</v>
      </c>
      <c r="D8" s="3343"/>
      <c r="E8" s="3392"/>
      <c r="F8" s="56" t="s">
        <v>833</v>
      </c>
      <c r="G8" s="2799" t="s">
        <v>2766</v>
      </c>
      <c r="H8" s="2783" t="s">
        <v>3000</v>
      </c>
      <c r="I8" s="2786"/>
    </row>
    <row customHeight="1" ht="12" r="9" spans="1:9" x14ac:dyDescent="0.2">
      <c r="A9" s="3398" t="s">
        <v>7732</v>
      </c>
      <c r="B9" s="3399" t="s">
        <v>7739</v>
      </c>
      <c r="C9" s="3343" t="s">
        <v>2624</v>
      </c>
      <c r="D9" s="3343"/>
      <c r="E9" s="3392"/>
      <c r="F9" s="809" t="s">
        <v>834</v>
      </c>
      <c r="G9" s="2798" t="s">
        <v>6555</v>
      </c>
      <c r="H9" s="2783" t="s">
        <v>3328</v>
      </c>
      <c r="I9" s="2786"/>
    </row>
    <row customFormat="1" customHeight="1" ht="12" r="10" s="3392" spans="1:9" x14ac:dyDescent="0.2">
      <c r="A10" s="3398" t="s">
        <v>7734</v>
      </c>
      <c r="B10" s="3399" t="s">
        <v>7740</v>
      </c>
      <c r="C10" s="3343" t="s">
        <v>134</v>
      </c>
      <c r="D10" s="3400"/>
      <c r="F10" s="2060" t="s">
        <v>834</v>
      </c>
      <c r="G10" s="2805" t="s">
        <v>3350</v>
      </c>
      <c r="H10" s="2787" t="s">
        <v>7071</v>
      </c>
      <c r="I10" s="2795"/>
    </row>
    <row customHeight="1" ht="12" r="11" spans="1:9" x14ac:dyDescent="0.2">
      <c r="A11" s="809" t="s">
        <v>622</v>
      </c>
      <c r="B11" s="2798" t="s">
        <v>2392</v>
      </c>
      <c r="C11" s="2783" t="s">
        <v>3420</v>
      </c>
      <c r="D11" s="2783"/>
      <c r="E11" s="3392"/>
      <c r="F11" s="809" t="s">
        <v>2114</v>
      </c>
      <c r="G11" s="2798" t="s">
        <v>566</v>
      </c>
      <c r="H11" s="1188" t="s">
        <v>3338</v>
      </c>
      <c r="I11" s="2782"/>
    </row>
    <row customFormat="1" customHeight="1" ht="12" r="12" s="3392" spans="1:9" x14ac:dyDescent="0.2">
      <c r="A12" s="809" t="s">
        <v>623</v>
      </c>
      <c r="B12" s="2798" t="s">
        <v>3824</v>
      </c>
      <c r="C12" s="3343" t="s">
        <v>7748</v>
      </c>
      <c r="D12" s="2783"/>
      <c r="F12" s="809" t="s">
        <v>816</v>
      </c>
      <c r="G12" s="2798" t="s">
        <v>2470</v>
      </c>
      <c r="H12" s="1188" t="s">
        <v>2942</v>
      </c>
      <c r="I12" s="2782"/>
    </row>
    <row ht="12.75" r="13" spans="1:9" x14ac:dyDescent="0.2">
      <c r="A13" s="809" t="s">
        <v>3001</v>
      </c>
      <c r="B13" s="2798" t="s">
        <v>3002</v>
      </c>
      <c r="C13" s="2784" t="str">
        <f>'Divs (c3)'!G17</f>
        <v>c3.5</v>
      </c>
      <c r="D13" s="2783"/>
      <c r="E13" s="3392"/>
      <c r="F13" s="809" t="s">
        <v>6076</v>
      </c>
      <c r="G13" s="2798" t="s">
        <v>5904</v>
      </c>
      <c r="H13" s="2783" t="s">
        <v>6483</v>
      </c>
      <c r="I13" s="2782"/>
    </row>
    <row ht="12.75" r="14" spans="1:9" x14ac:dyDescent="0.2">
      <c r="A14" s="3398" t="s">
        <v>7736</v>
      </c>
      <c r="B14" s="3399" t="s">
        <v>7741</v>
      </c>
      <c r="C14" s="3401" t="s">
        <v>7749</v>
      </c>
      <c r="D14" s="3343"/>
      <c r="E14" s="3392"/>
      <c r="F14" s="809" t="s">
        <v>835</v>
      </c>
      <c r="G14" s="2798" t="s">
        <v>1382</v>
      </c>
      <c r="H14" s="2783" t="s">
        <v>1495</v>
      </c>
      <c r="I14" s="2782"/>
    </row>
    <row ht="25.5" r="15" spans="1:9" x14ac:dyDescent="0.2">
      <c r="A15" s="809" t="s">
        <v>624</v>
      </c>
      <c r="B15" s="2798" t="s">
        <v>2767</v>
      </c>
      <c r="C15" s="2784" t="s">
        <v>5150</v>
      </c>
      <c r="D15" s="2783"/>
      <c r="F15" s="409" t="s">
        <v>836</v>
      </c>
      <c r="G15" s="2799" t="s">
        <v>1384</v>
      </c>
      <c r="H15" s="2785" t="s">
        <v>5059</v>
      </c>
      <c r="I15" s="2786"/>
    </row>
    <row ht="12.75" r="16" spans="1:9" x14ac:dyDescent="0.2">
      <c r="A16" s="809" t="s">
        <v>625</v>
      </c>
      <c r="B16" s="2798" t="s">
        <v>1402</v>
      </c>
      <c r="C16" s="2783" t="s">
        <v>631</v>
      </c>
      <c r="D16" s="2783"/>
      <c r="F16" s="809" t="s">
        <v>838</v>
      </c>
      <c r="G16" s="2799" t="s">
        <v>1386</v>
      </c>
      <c r="H16" s="2783" t="s">
        <v>5314</v>
      </c>
      <c r="I16" s="2783"/>
    </row>
    <row ht="12.75" r="17" spans="1:9" x14ac:dyDescent="0.2">
      <c r="A17" s="809" t="s">
        <v>626</v>
      </c>
      <c r="B17" s="2798" t="s">
        <v>1383</v>
      </c>
      <c r="C17" s="2782" t="s">
        <v>134</v>
      </c>
      <c r="D17" s="2783"/>
      <c r="E17" s="3392"/>
      <c r="F17" s="56" t="s">
        <v>838</v>
      </c>
      <c r="G17" s="2799" t="s">
        <v>1388</v>
      </c>
      <c r="H17" s="2783" t="s">
        <v>5868</v>
      </c>
      <c r="I17" s="2786"/>
    </row>
    <row ht="12.75" r="18" spans="1:9" x14ac:dyDescent="0.2">
      <c r="A18" s="809" t="s">
        <v>884</v>
      </c>
      <c r="B18" s="2798" t="s">
        <v>1385</v>
      </c>
      <c r="C18" s="2783" t="s">
        <v>4371</v>
      </c>
      <c r="D18" s="2783"/>
      <c r="F18" s="3722" t="s">
        <v>7957</v>
      </c>
      <c r="G18" s="3723" t="s">
        <v>3354</v>
      </c>
      <c r="H18" s="3721" t="s">
        <v>7958</v>
      </c>
      <c r="I18" s="3721"/>
    </row>
    <row ht="12.75" r="19" spans="1:9" x14ac:dyDescent="0.2">
      <c r="A19" s="809" t="s">
        <v>885</v>
      </c>
      <c r="B19" s="2798" t="s">
        <v>1387</v>
      </c>
      <c r="C19" s="2783" t="s">
        <v>4307</v>
      </c>
      <c r="D19" s="2783"/>
      <c r="E19" s="3392"/>
      <c r="F19" s="1385" t="s">
        <v>839</v>
      </c>
      <c r="G19" s="2803" t="s">
        <v>1096</v>
      </c>
      <c r="H19" s="3114" t="s">
        <v>3818</v>
      </c>
      <c r="I19" s="3114"/>
    </row>
    <row ht="12.75" r="20" spans="1:9" x14ac:dyDescent="0.2">
      <c r="A20" s="809" t="s">
        <v>886</v>
      </c>
      <c r="B20" s="2798" t="s">
        <v>1389</v>
      </c>
      <c r="C20" s="2783" t="s">
        <v>6912</v>
      </c>
      <c r="D20" s="2783"/>
      <c r="F20" s="3718" t="s">
        <v>8356</v>
      </c>
      <c r="G20" s="3719" t="s">
        <v>6522</v>
      </c>
      <c r="H20" s="3720" t="s">
        <v>4385</v>
      </c>
      <c r="I20" s="3721"/>
    </row>
    <row ht="12.75" r="21" spans="1:9" x14ac:dyDescent="0.2">
      <c r="A21" s="809" t="s">
        <v>887</v>
      </c>
      <c r="B21" s="2798" t="s">
        <v>1097</v>
      </c>
      <c r="C21" s="2782" t="s">
        <v>2282</v>
      </c>
      <c r="D21" s="2783"/>
      <c r="F21" s="3718" t="s">
        <v>8357</v>
      </c>
      <c r="G21" s="3719" t="s">
        <v>6523</v>
      </c>
      <c r="H21" s="3720" t="s">
        <v>4386</v>
      </c>
      <c r="I21" s="3721"/>
    </row>
    <row ht="12.75" r="22" spans="1:9" x14ac:dyDescent="0.2">
      <c r="A22" s="809" t="s">
        <v>2548</v>
      </c>
      <c r="B22" s="2798" t="s">
        <v>1725</v>
      </c>
      <c r="C22" s="2783" t="s">
        <v>4184</v>
      </c>
      <c r="D22" s="2783"/>
      <c r="F22" s="3718" t="s">
        <v>8358</v>
      </c>
      <c r="G22" s="3719" t="s">
        <v>1720</v>
      </c>
      <c r="H22" s="3720" t="s">
        <v>819</v>
      </c>
      <c r="I22" s="3721"/>
    </row>
    <row ht="12.75" r="23" spans="1:9" x14ac:dyDescent="0.2">
      <c r="A23" s="809" t="s">
        <v>2549</v>
      </c>
      <c r="B23" s="2798" t="s">
        <v>1723</v>
      </c>
      <c r="C23" s="1188" t="s">
        <v>4190</v>
      </c>
      <c r="D23" s="2783"/>
      <c r="F23" s="56" t="s">
        <v>840</v>
      </c>
      <c r="G23" s="2798" t="s">
        <v>1720</v>
      </c>
      <c r="H23" s="2786" t="s">
        <v>819</v>
      </c>
      <c r="I23" s="2786"/>
    </row>
    <row ht="12.75" r="24" spans="1:9" x14ac:dyDescent="0.2">
      <c r="A24" s="809" t="s">
        <v>2551</v>
      </c>
      <c r="B24" s="2798" t="s">
        <v>1721</v>
      </c>
      <c r="C24" s="1188" t="s">
        <v>4158</v>
      </c>
      <c r="D24" s="2783"/>
      <c r="F24" s="809" t="s">
        <v>3217</v>
      </c>
      <c r="G24" s="2798" t="s">
        <v>1722</v>
      </c>
      <c r="H24" s="2782" t="s">
        <v>3666</v>
      </c>
      <c r="I24" s="2782"/>
    </row>
    <row ht="12.75" r="25" spans="1:9" x14ac:dyDescent="0.2">
      <c r="A25" s="809" t="s">
        <v>2551</v>
      </c>
      <c r="B25" s="2798" t="s">
        <v>2744</v>
      </c>
      <c r="C25" s="979" t="s">
        <v>4183</v>
      </c>
      <c r="D25" s="2782"/>
      <c r="F25" s="809" t="s">
        <v>3217</v>
      </c>
      <c r="G25" s="2798" t="s">
        <v>1724</v>
      </c>
      <c r="H25" s="2786" t="s">
        <v>3667</v>
      </c>
      <c r="I25" s="2786"/>
    </row>
    <row ht="12.75" r="26" spans="1:9" x14ac:dyDescent="0.2">
      <c r="A26" s="809" t="s">
        <v>2552</v>
      </c>
      <c r="B26" s="2798" t="s">
        <v>1346</v>
      </c>
      <c r="C26" s="2783" t="s">
        <v>4187</v>
      </c>
      <c r="D26" s="2783"/>
      <c r="F26" s="409" t="s">
        <v>2590</v>
      </c>
      <c r="G26" s="2798" t="s">
        <v>1726</v>
      </c>
      <c r="H26" s="2782" t="s">
        <v>3668</v>
      </c>
      <c r="I26" s="2782"/>
    </row>
    <row ht="12.75" r="27" spans="1:9" x14ac:dyDescent="0.2">
      <c r="A27" s="809" t="s">
        <v>1728</v>
      </c>
      <c r="B27" s="2798" t="s">
        <v>1348</v>
      </c>
      <c r="C27" s="2783" t="s">
        <v>4185</v>
      </c>
      <c r="D27" s="2783"/>
      <c r="F27" s="409" t="s">
        <v>2590</v>
      </c>
      <c r="G27" s="2798" t="s">
        <v>1727</v>
      </c>
      <c r="H27" s="2785" t="s">
        <v>3669</v>
      </c>
      <c r="I27" s="2785"/>
    </row>
    <row ht="12.75" r="28" spans="1:9" x14ac:dyDescent="0.2">
      <c r="A28" s="809" t="s">
        <v>1729</v>
      </c>
      <c r="B28" s="2798" t="s">
        <v>1351</v>
      </c>
      <c r="C28" s="1188" t="s">
        <v>4205</v>
      </c>
      <c r="D28" s="2783"/>
      <c r="F28" s="409" t="s">
        <v>4290</v>
      </c>
      <c r="G28" s="2798" t="s">
        <v>4378</v>
      </c>
      <c r="H28" s="2785" t="s">
        <v>3068</v>
      </c>
      <c r="I28" s="2785"/>
    </row>
    <row ht="12.75" r="29" spans="1:9" x14ac:dyDescent="0.2">
      <c r="A29" s="809" t="s">
        <v>4298</v>
      </c>
      <c r="B29" s="2798" t="s">
        <v>4299</v>
      </c>
      <c r="C29" s="2782" t="s">
        <v>4239</v>
      </c>
      <c r="D29" s="2783"/>
      <c r="F29" s="409" t="s">
        <v>4379</v>
      </c>
      <c r="G29" s="2798" t="s">
        <v>4381</v>
      </c>
      <c r="H29" s="2785" t="s">
        <v>4254</v>
      </c>
      <c r="I29" s="2785"/>
    </row>
    <row ht="12.75" r="30" spans="1:9" x14ac:dyDescent="0.2">
      <c r="A30" s="809" t="s">
        <v>59</v>
      </c>
      <c r="B30" s="2798" t="s">
        <v>3909</v>
      </c>
      <c r="C30" s="1188" t="s">
        <v>4206</v>
      </c>
      <c r="D30" s="2783"/>
      <c r="F30" s="409" t="s">
        <v>4380</v>
      </c>
      <c r="G30" s="2798" t="s">
        <v>4291</v>
      </c>
      <c r="H30" s="2785" t="s">
        <v>1558</v>
      </c>
      <c r="I30" s="2785"/>
    </row>
    <row ht="12.75" r="31" spans="1:9" x14ac:dyDescent="0.2">
      <c r="A31" s="809" t="s">
        <v>60</v>
      </c>
      <c r="B31" s="2798" t="s">
        <v>2326</v>
      </c>
      <c r="C31" s="1188" t="s">
        <v>4207</v>
      </c>
      <c r="D31" s="2783"/>
      <c r="F31" s="409" t="s">
        <v>2591</v>
      </c>
      <c r="G31" s="2799" t="s">
        <v>1347</v>
      </c>
      <c r="H31" s="2786" t="s">
        <v>1559</v>
      </c>
      <c r="I31" s="2786"/>
    </row>
    <row customHeight="1" ht="12.75" r="32" spans="1:9" x14ac:dyDescent="0.2">
      <c r="A32" s="809" t="s">
        <v>61</v>
      </c>
      <c r="B32" s="2798" t="s">
        <v>637</v>
      </c>
      <c r="C32" s="1188" t="s">
        <v>4248</v>
      </c>
      <c r="D32" s="2783"/>
      <c r="F32" s="409" t="s">
        <v>37</v>
      </c>
      <c r="G32" s="2799" t="s">
        <v>1349</v>
      </c>
      <c r="H32" s="2786" t="s">
        <v>1561</v>
      </c>
      <c r="I32" s="2786"/>
    </row>
    <row ht="12.75" r="33" spans="1:9" x14ac:dyDescent="0.2">
      <c r="A33" s="809" t="s">
        <v>62</v>
      </c>
      <c r="B33" s="2798" t="s">
        <v>3331</v>
      </c>
      <c r="C33" s="1188" t="s">
        <v>4338</v>
      </c>
      <c r="D33" s="2783"/>
      <c r="F33" s="409" t="s">
        <v>38</v>
      </c>
      <c r="G33" s="2799" t="s">
        <v>1350</v>
      </c>
      <c r="H33" s="2783" t="s">
        <v>2885</v>
      </c>
      <c r="I33" s="2786"/>
    </row>
    <row ht="12.75" r="34" spans="1:9" x14ac:dyDescent="0.2">
      <c r="A34" s="809" t="s">
        <v>64</v>
      </c>
      <c r="B34" s="2798" t="s">
        <v>3334</v>
      </c>
      <c r="C34" s="2782" t="s">
        <v>6206</v>
      </c>
      <c r="D34" s="2783"/>
      <c r="F34" s="3712" t="s">
        <v>7440</v>
      </c>
      <c r="G34" s="3333" t="s">
        <v>7441</v>
      </c>
      <c r="H34" s="3713" t="s">
        <v>7439</v>
      </c>
      <c r="I34" s="3335"/>
    </row>
    <row ht="12.75" r="35" spans="1:9" x14ac:dyDescent="0.2">
      <c r="A35" s="809" t="s">
        <v>67</v>
      </c>
      <c r="B35" s="2798" t="s">
        <v>1791</v>
      </c>
      <c r="C35" s="2783" t="s">
        <v>4194</v>
      </c>
      <c r="D35" s="2783"/>
      <c r="F35" s="409" t="s">
        <v>57</v>
      </c>
      <c r="G35" s="2799" t="s">
        <v>2470</v>
      </c>
      <c r="H35" s="2783" t="s">
        <v>2942</v>
      </c>
      <c r="I35" s="2786"/>
    </row>
    <row ht="12.75" r="36" spans="1:9" x14ac:dyDescent="0.2">
      <c r="A36" s="809" t="s">
        <v>67</v>
      </c>
      <c r="B36" s="2798" t="s">
        <v>2838</v>
      </c>
      <c r="C36" s="2782" t="s">
        <v>4193</v>
      </c>
      <c r="D36" s="2783"/>
      <c r="F36" s="809" t="s">
        <v>3296</v>
      </c>
      <c r="G36" s="2799" t="s">
        <v>2984</v>
      </c>
      <c r="H36" s="1188" t="s">
        <v>5889</v>
      </c>
      <c r="I36" s="2786"/>
    </row>
    <row ht="12.75" r="37" spans="1:9" x14ac:dyDescent="0.2">
      <c r="A37" s="809" t="s">
        <v>67</v>
      </c>
      <c r="B37" s="2798" t="s">
        <v>2841</v>
      </c>
      <c r="C37" s="2782" t="s">
        <v>7076</v>
      </c>
      <c r="D37" s="2783"/>
      <c r="F37" s="809" t="s">
        <v>3296</v>
      </c>
      <c r="G37" s="2799" t="s">
        <v>2985</v>
      </c>
      <c r="H37" s="1188" t="s">
        <v>5890</v>
      </c>
      <c r="I37" s="2786"/>
    </row>
    <row ht="12.75" r="38" spans="1:9" x14ac:dyDescent="0.2">
      <c r="A38" s="809" t="s">
        <v>6474</v>
      </c>
      <c r="B38" s="2798" t="s">
        <v>7037</v>
      </c>
      <c r="C38" s="2783" t="s">
        <v>6952</v>
      </c>
      <c r="D38" s="2783"/>
      <c r="F38" s="409" t="s">
        <v>3296</v>
      </c>
      <c r="G38" s="2799" t="s">
        <v>58</v>
      </c>
      <c r="H38" s="2783" t="s">
        <v>1510</v>
      </c>
      <c r="I38" s="2786"/>
    </row>
    <row ht="12.75" r="39" spans="1:9" x14ac:dyDescent="0.2">
      <c r="A39" s="809" t="s">
        <v>6474</v>
      </c>
      <c r="B39" s="2805" t="s">
        <v>2838</v>
      </c>
      <c r="C39" s="3109" t="s">
        <v>7071</v>
      </c>
      <c r="D39" s="2783"/>
      <c r="F39" s="409" t="s">
        <v>565</v>
      </c>
      <c r="G39" s="2799" t="s">
        <v>3297</v>
      </c>
      <c r="H39" s="2783" t="s">
        <v>2315</v>
      </c>
      <c r="I39" s="2783"/>
    </row>
    <row ht="12.75" r="40" spans="1:9" x14ac:dyDescent="0.2">
      <c r="A40" s="2060" t="s">
        <v>6474</v>
      </c>
      <c r="B40" s="2805" t="s">
        <v>6475</v>
      </c>
      <c r="C40" s="3109" t="s">
        <v>7071</v>
      </c>
      <c r="D40" s="2783"/>
      <c r="F40" s="409" t="s">
        <v>565</v>
      </c>
      <c r="G40" s="2799" t="s">
        <v>3298</v>
      </c>
      <c r="H40" s="2783" t="s">
        <v>2316</v>
      </c>
      <c r="I40" s="2796"/>
    </row>
    <row ht="12.75" r="41" spans="1:9" x14ac:dyDescent="0.2">
      <c r="A41" s="809" t="s">
        <v>67</v>
      </c>
      <c r="B41" s="2798" t="s">
        <v>1791</v>
      </c>
      <c r="C41" s="2783" t="s">
        <v>4201</v>
      </c>
      <c r="D41" s="2783"/>
      <c r="F41" s="409" t="s">
        <v>565</v>
      </c>
      <c r="G41" s="2799" t="s">
        <v>3299</v>
      </c>
      <c r="H41" s="2783" t="s">
        <v>1511</v>
      </c>
      <c r="I41" s="2786"/>
    </row>
    <row ht="12.75" r="42" spans="1:9" x14ac:dyDescent="0.2">
      <c r="A42" s="3110" t="s">
        <v>6773</v>
      </c>
      <c r="B42" s="2799" t="s">
        <v>6777</v>
      </c>
      <c r="C42" s="2793" t="s">
        <v>3520</v>
      </c>
      <c r="D42" s="3111"/>
      <c r="F42" s="809" t="s">
        <v>2469</v>
      </c>
      <c r="G42" s="2798" t="s">
        <v>566</v>
      </c>
      <c r="H42" s="2783" t="s">
        <v>3338</v>
      </c>
      <c r="I42" s="2785"/>
    </row>
    <row ht="12.75" r="43" spans="1:9" x14ac:dyDescent="0.2">
      <c r="A43" s="3110" t="s">
        <v>6773</v>
      </c>
      <c r="B43" s="2799" t="s">
        <v>6778</v>
      </c>
      <c r="C43" s="2793" t="s">
        <v>6768</v>
      </c>
      <c r="D43" s="3112"/>
      <c r="F43" s="809" t="s">
        <v>5901</v>
      </c>
      <c r="G43" s="2798" t="s">
        <v>5904</v>
      </c>
      <c r="H43" s="2783" t="s">
        <v>6483</v>
      </c>
      <c r="I43" s="2785"/>
    </row>
    <row ht="12.75" r="44" spans="1:9" x14ac:dyDescent="0.2">
      <c r="A44" s="809" t="s">
        <v>70</v>
      </c>
      <c r="B44" s="2799" t="s">
        <v>1514</v>
      </c>
      <c r="C44" s="2782" t="s">
        <v>6897</v>
      </c>
      <c r="D44" s="2783"/>
      <c r="F44" s="809" t="s">
        <v>5902</v>
      </c>
      <c r="G44" s="2798" t="s">
        <v>5905</v>
      </c>
      <c r="H44" s="2783" t="s">
        <v>6484</v>
      </c>
      <c r="I44" s="2785"/>
    </row>
    <row customHeight="1" ht="12" r="45" spans="1:9" x14ac:dyDescent="0.2">
      <c r="A45" s="809" t="s">
        <v>70</v>
      </c>
      <c r="B45" s="2799" t="s">
        <v>1529</v>
      </c>
      <c r="C45" s="2785" t="s">
        <v>2367</v>
      </c>
      <c r="D45" s="2786"/>
      <c r="F45" s="409" t="s">
        <v>39</v>
      </c>
      <c r="G45" s="2799" t="s">
        <v>3907</v>
      </c>
      <c r="H45" s="2786" t="s">
        <v>865</v>
      </c>
      <c r="I45" s="2786"/>
    </row>
    <row customHeight="1" ht="12" r="46" spans="1:9" x14ac:dyDescent="0.2">
      <c r="A46" s="3110" t="s">
        <v>6772</v>
      </c>
      <c r="B46" s="2799" t="s">
        <v>6779</v>
      </c>
      <c r="C46" s="2793" t="s">
        <v>6769</v>
      </c>
      <c r="D46" s="3111"/>
      <c r="F46" s="810" t="s">
        <v>2561</v>
      </c>
      <c r="G46" s="2804" t="s">
        <v>3908</v>
      </c>
      <c r="H46" s="2790" t="s">
        <v>1734</v>
      </c>
      <c r="I46" s="2791"/>
    </row>
    <row ht="12.75" r="47" spans="1:9" x14ac:dyDescent="0.2">
      <c r="A47" s="3110" t="s">
        <v>6772</v>
      </c>
      <c r="B47" s="2799" t="s">
        <v>6780</v>
      </c>
      <c r="C47" s="2793" t="s">
        <v>6898</v>
      </c>
      <c r="D47" s="3112"/>
      <c r="F47" s="809" t="s">
        <v>2066</v>
      </c>
      <c r="G47" s="2798" t="s">
        <v>2067</v>
      </c>
      <c r="H47" s="2791" t="s">
        <v>1417</v>
      </c>
      <c r="I47" s="2791"/>
    </row>
    <row ht="12.75" r="48" spans="1:9" x14ac:dyDescent="0.2">
      <c r="A48" s="809" t="s">
        <v>71</v>
      </c>
      <c r="B48" s="2799" t="s">
        <v>3585</v>
      </c>
      <c r="C48" s="2782" t="s">
        <v>2368</v>
      </c>
      <c r="D48" s="2783"/>
      <c r="F48" s="809" t="s">
        <v>2066</v>
      </c>
      <c r="G48" s="2798" t="s">
        <v>2068</v>
      </c>
      <c r="H48" s="2791" t="s">
        <v>2737</v>
      </c>
      <c r="I48" s="2791"/>
    </row>
    <row ht="12.75" r="49" spans="1:9" x14ac:dyDescent="0.2">
      <c r="A49" s="809" t="s">
        <v>71</v>
      </c>
      <c r="B49" s="2799" t="s">
        <v>3588</v>
      </c>
      <c r="C49" s="2785" t="s">
        <v>3521</v>
      </c>
      <c r="D49" s="2786"/>
      <c r="F49" s="809" t="s">
        <v>2069</v>
      </c>
      <c r="G49" s="2798" t="s">
        <v>2070</v>
      </c>
      <c r="H49" s="2791" t="s">
        <v>932</v>
      </c>
      <c r="I49" s="2791"/>
    </row>
    <row ht="12.75" r="50" spans="1:9" x14ac:dyDescent="0.2">
      <c r="A50" s="809" t="s">
        <v>3699</v>
      </c>
      <c r="B50" s="2799" t="s">
        <v>2994</v>
      </c>
      <c r="C50" s="2786" t="s">
        <v>3522</v>
      </c>
      <c r="D50" s="2782"/>
      <c r="F50" s="409" t="s">
        <v>3260</v>
      </c>
      <c r="G50" s="2799" t="s">
        <v>2325</v>
      </c>
      <c r="H50" s="2783" t="s">
        <v>890</v>
      </c>
      <c r="I50" s="2786"/>
    </row>
    <row ht="12.75" r="51" spans="1:9" x14ac:dyDescent="0.2">
      <c r="A51" s="809" t="s">
        <v>3699</v>
      </c>
      <c r="B51" s="2799" t="s">
        <v>2995</v>
      </c>
      <c r="C51" s="2786" t="s">
        <v>3523</v>
      </c>
      <c r="D51" s="2786"/>
      <c r="F51" s="409" t="s">
        <v>2327</v>
      </c>
      <c r="G51" s="2799" t="s">
        <v>636</v>
      </c>
      <c r="H51" s="1188" t="s">
        <v>891</v>
      </c>
      <c r="I51" s="2786"/>
    </row>
    <row ht="12.75" r="52" spans="1:9" x14ac:dyDescent="0.2">
      <c r="A52" s="809" t="s">
        <v>5048</v>
      </c>
      <c r="B52" s="2799" t="s">
        <v>3362</v>
      </c>
      <c r="C52" s="2782" t="s">
        <v>2919</v>
      </c>
      <c r="D52" s="2783"/>
      <c r="F52" s="409" t="s">
        <v>3329</v>
      </c>
      <c r="G52" s="2799" t="s">
        <v>3330</v>
      </c>
      <c r="H52" s="1188" t="s">
        <v>3943</v>
      </c>
      <c r="I52" s="2786"/>
    </row>
    <row ht="12.75" r="53" spans="1:9" x14ac:dyDescent="0.2">
      <c r="A53" s="809" t="s">
        <v>5048</v>
      </c>
      <c r="B53" s="2799" t="s">
        <v>1641</v>
      </c>
      <c r="C53" s="2785" t="s">
        <v>2920</v>
      </c>
      <c r="D53" s="2786"/>
      <c r="F53" s="409" t="s">
        <v>3332</v>
      </c>
      <c r="G53" s="2799" t="s">
        <v>3333</v>
      </c>
      <c r="H53" s="1188" t="s">
        <v>3944</v>
      </c>
      <c r="I53" s="2786"/>
    </row>
    <row ht="12.75" r="54" spans="1:9" x14ac:dyDescent="0.2">
      <c r="A54" s="2060" t="s">
        <v>5049</v>
      </c>
      <c r="B54" s="2805" t="s">
        <v>7070</v>
      </c>
      <c r="C54" s="3109" t="s">
        <v>7071</v>
      </c>
      <c r="D54" s="2783"/>
      <c r="F54" s="409" t="s">
        <v>692</v>
      </c>
      <c r="G54" s="2799" t="s">
        <v>1790</v>
      </c>
      <c r="H54" s="1188" t="s">
        <v>1407</v>
      </c>
      <c r="I54" s="2786"/>
    </row>
    <row ht="12.75" r="55" spans="1:9" x14ac:dyDescent="0.2">
      <c r="A55" s="809" t="s">
        <v>5049</v>
      </c>
      <c r="B55" s="2798" t="s">
        <v>6959</v>
      </c>
      <c r="C55" s="2782" t="s">
        <v>6966</v>
      </c>
      <c r="D55" s="2783"/>
      <c r="F55" s="409" t="s">
        <v>1792</v>
      </c>
      <c r="G55" s="2799" t="s">
        <v>2837</v>
      </c>
      <c r="H55" s="1188" t="s">
        <v>1466</v>
      </c>
      <c r="I55" s="2786"/>
    </row>
    <row ht="12.75" r="56" spans="1:9" x14ac:dyDescent="0.2">
      <c r="A56" s="809" t="s">
        <v>772</v>
      </c>
      <c r="B56" s="2799" t="s">
        <v>1642</v>
      </c>
      <c r="C56" s="2782" t="s">
        <v>3513</v>
      </c>
      <c r="D56" s="2783"/>
      <c r="F56" s="409" t="s">
        <v>2839</v>
      </c>
      <c r="G56" s="2799" t="s">
        <v>2840</v>
      </c>
      <c r="H56" s="2783" t="s">
        <v>6144</v>
      </c>
      <c r="I56" s="2786"/>
    </row>
    <row ht="12.75" r="57" spans="1:9" x14ac:dyDescent="0.2">
      <c r="A57" s="809" t="s">
        <v>772</v>
      </c>
      <c r="B57" s="2799" t="s">
        <v>1643</v>
      </c>
      <c r="C57" s="2785" t="s">
        <v>3514</v>
      </c>
      <c r="D57" s="2786"/>
      <c r="F57" s="409" t="s">
        <v>2842</v>
      </c>
      <c r="G57" s="2799" t="s">
        <v>2843</v>
      </c>
      <c r="H57" s="1188" t="s">
        <v>2064</v>
      </c>
      <c r="I57" s="2786"/>
    </row>
    <row ht="12.75" r="58" spans="1:9" x14ac:dyDescent="0.2">
      <c r="A58" s="809" t="s">
        <v>6960</v>
      </c>
      <c r="B58" s="2798" t="s">
        <v>6961</v>
      </c>
      <c r="C58" s="2782" t="s">
        <v>6967</v>
      </c>
      <c r="D58" s="2783"/>
      <c r="F58" s="409" t="s">
        <v>1512</v>
      </c>
      <c r="G58" s="2799" t="s">
        <v>1513</v>
      </c>
      <c r="H58" s="2783" t="s">
        <v>6142</v>
      </c>
      <c r="I58" s="2786"/>
    </row>
    <row ht="12.75" r="59" spans="1:9" x14ac:dyDescent="0.2">
      <c r="A59" s="809" t="s">
        <v>773</v>
      </c>
      <c r="B59" s="2799" t="s">
        <v>1644</v>
      </c>
      <c r="C59" s="2782" t="s">
        <v>3515</v>
      </c>
      <c r="D59" s="2783"/>
      <c r="F59" s="409" t="s">
        <v>1515</v>
      </c>
      <c r="G59" s="2799" t="s">
        <v>3584</v>
      </c>
      <c r="H59" s="2783" t="s">
        <v>867</v>
      </c>
      <c r="I59" s="2786"/>
    </row>
    <row ht="12.75" r="60" spans="1:9" x14ac:dyDescent="0.2">
      <c r="A60" s="809" t="s">
        <v>773</v>
      </c>
      <c r="B60" s="2799" t="s">
        <v>1645</v>
      </c>
      <c r="C60" s="2785" t="s">
        <v>3516</v>
      </c>
      <c r="D60" s="2786"/>
      <c r="F60" s="409" t="s">
        <v>2493</v>
      </c>
      <c r="G60" s="2799" t="s">
        <v>1516</v>
      </c>
      <c r="H60" s="2783" t="s">
        <v>868</v>
      </c>
      <c r="I60" s="2786"/>
    </row>
    <row ht="12.75" r="61" spans="1:9" x14ac:dyDescent="0.2">
      <c r="A61" s="809" t="s">
        <v>3018</v>
      </c>
      <c r="B61" s="2799" t="s">
        <v>3019</v>
      </c>
      <c r="C61" s="2786" t="s">
        <v>3517</v>
      </c>
      <c r="D61" s="2783"/>
      <c r="F61" s="3714" t="s">
        <v>6460</v>
      </c>
      <c r="G61" s="3715" t="s">
        <v>6522</v>
      </c>
      <c r="H61" s="3716" t="s">
        <v>4385</v>
      </c>
      <c r="I61" s="3717"/>
    </row>
    <row ht="12.75" r="62" spans="1:9" x14ac:dyDescent="0.2">
      <c r="A62" s="809" t="s">
        <v>3018</v>
      </c>
      <c r="B62" s="2799" t="s">
        <v>1410</v>
      </c>
      <c r="C62" s="2786" t="s">
        <v>3518</v>
      </c>
      <c r="D62" s="2786"/>
      <c r="F62" s="3714" t="s">
        <v>6461</v>
      </c>
      <c r="G62" s="3715" t="s">
        <v>6523</v>
      </c>
      <c r="H62" s="3716" t="s">
        <v>4386</v>
      </c>
      <c r="I62" s="3717"/>
    </row>
    <row ht="12.75" r="63" spans="1:9" x14ac:dyDescent="0.2">
      <c r="A63" s="809" t="s">
        <v>5065</v>
      </c>
      <c r="B63" s="2798" t="s">
        <v>6495</v>
      </c>
      <c r="C63" s="2782" t="s">
        <v>1405</v>
      </c>
      <c r="D63" s="2783"/>
      <c r="F63" s="3714" t="s">
        <v>6462</v>
      </c>
      <c r="G63" s="3715" t="s">
        <v>6524</v>
      </c>
      <c r="H63" s="3716" t="s">
        <v>3910</v>
      </c>
      <c r="I63" s="3717"/>
    </row>
    <row ht="12.75" r="64" spans="1:9" x14ac:dyDescent="0.2">
      <c r="A64" s="809" t="s">
        <v>5066</v>
      </c>
      <c r="B64" s="2799" t="s">
        <v>1646</v>
      </c>
      <c r="C64" s="2782" t="s">
        <v>2156</v>
      </c>
      <c r="D64" s="2783"/>
      <c r="F64" s="409" t="s">
        <v>3586</v>
      </c>
      <c r="G64" s="2799" t="s">
        <v>3587</v>
      </c>
      <c r="H64" s="1188" t="s">
        <v>4398</v>
      </c>
      <c r="I64" s="2786"/>
    </row>
    <row ht="12.75" r="65" spans="1:9" x14ac:dyDescent="0.2">
      <c r="A65" s="809" t="s">
        <v>5066</v>
      </c>
      <c r="B65" s="2799" t="s">
        <v>3773</v>
      </c>
      <c r="C65" s="2785" t="s">
        <v>769</v>
      </c>
      <c r="D65" s="2786"/>
      <c r="F65" s="409" t="s">
        <v>5367</v>
      </c>
      <c r="G65" s="2799" t="s">
        <v>3590</v>
      </c>
      <c r="H65" s="2782" t="s">
        <v>5824</v>
      </c>
      <c r="I65" s="2783"/>
    </row>
    <row ht="12.75" r="66" spans="1:9" x14ac:dyDescent="0.2">
      <c r="A66" s="2188" t="s">
        <v>6496</v>
      </c>
      <c r="B66" s="2798" t="s">
        <v>6498</v>
      </c>
      <c r="C66" s="2782" t="s">
        <v>2290</v>
      </c>
      <c r="D66" s="2793"/>
      <c r="F66" s="409" t="s">
        <v>3589</v>
      </c>
      <c r="G66" s="2798" t="s">
        <v>2299</v>
      </c>
      <c r="H66" s="1188" t="s">
        <v>2869</v>
      </c>
      <c r="I66" s="2785"/>
    </row>
    <row ht="12.75" r="67" spans="1:9" x14ac:dyDescent="0.2">
      <c r="A67" s="809" t="s">
        <v>775</v>
      </c>
      <c r="B67" s="2799" t="s">
        <v>3348</v>
      </c>
      <c r="C67" s="2782" t="s">
        <v>770</v>
      </c>
      <c r="D67" s="2783"/>
      <c r="F67" s="409" t="s">
        <v>3589</v>
      </c>
      <c r="G67" s="2798" t="s">
        <v>2300</v>
      </c>
      <c r="H67" s="1188" t="s">
        <v>2870</v>
      </c>
      <c r="I67" s="2785"/>
    </row>
    <row ht="12.75" r="68" spans="1:9" x14ac:dyDescent="0.2">
      <c r="A68" s="809" t="s">
        <v>775</v>
      </c>
      <c r="B68" s="2799" t="s">
        <v>3351</v>
      </c>
      <c r="C68" s="2785" t="s">
        <v>771</v>
      </c>
      <c r="D68" s="2786"/>
      <c r="F68" s="809" t="s">
        <v>2298</v>
      </c>
      <c r="G68" s="2798" t="s">
        <v>5370</v>
      </c>
      <c r="H68" s="1188" t="s">
        <v>5211</v>
      </c>
      <c r="I68" s="2785"/>
    </row>
    <row ht="12.75" r="69" spans="1:9" x14ac:dyDescent="0.2">
      <c r="A69" s="2188" t="s">
        <v>6497</v>
      </c>
      <c r="B69" s="2798" t="s">
        <v>6527</v>
      </c>
      <c r="C69" s="2782" t="s">
        <v>6502</v>
      </c>
      <c r="D69" s="2793"/>
      <c r="F69" s="809" t="s">
        <v>2298</v>
      </c>
      <c r="G69" s="2798" t="s">
        <v>5371</v>
      </c>
      <c r="H69" s="1188" t="s">
        <v>5212</v>
      </c>
      <c r="I69" s="2785"/>
    </row>
    <row ht="12.75" r="70" spans="1:9" x14ac:dyDescent="0.2">
      <c r="A70" s="809" t="s">
        <v>1411</v>
      </c>
      <c r="B70" s="2799" t="s">
        <v>1412</v>
      </c>
      <c r="C70" s="2786" t="s">
        <v>1651</v>
      </c>
      <c r="D70" s="2783"/>
      <c r="F70" s="809" t="s">
        <v>5368</v>
      </c>
      <c r="G70" s="2798" t="s">
        <v>5372</v>
      </c>
      <c r="H70" s="1188" t="s">
        <v>5213</v>
      </c>
      <c r="I70" s="2785"/>
    </row>
    <row ht="12.75" r="71" spans="1:9" x14ac:dyDescent="0.2">
      <c r="A71" s="809" t="s">
        <v>1411</v>
      </c>
      <c r="B71" s="2799" t="s">
        <v>2297</v>
      </c>
      <c r="C71" s="2786" t="s">
        <v>4407</v>
      </c>
      <c r="D71" s="2786"/>
      <c r="F71" s="809" t="s">
        <v>5368</v>
      </c>
      <c r="G71" s="2798" t="s">
        <v>5373</v>
      </c>
      <c r="H71" s="1188" t="s">
        <v>5214</v>
      </c>
      <c r="I71" s="2785"/>
    </row>
    <row ht="12.75" r="72" spans="1:9" x14ac:dyDescent="0.2">
      <c r="A72" s="809" t="s">
        <v>776</v>
      </c>
      <c r="B72" s="2798" t="s">
        <v>3334</v>
      </c>
      <c r="C72" s="1188" t="s">
        <v>6206</v>
      </c>
      <c r="D72" s="2782"/>
      <c r="F72" s="809" t="s">
        <v>2303</v>
      </c>
      <c r="G72" s="2798" t="s">
        <v>2304</v>
      </c>
      <c r="H72" s="1188" t="s">
        <v>5216</v>
      </c>
      <c r="I72" s="2785"/>
    </row>
    <row ht="12.75" r="73" spans="1:9" x14ac:dyDescent="0.2">
      <c r="A73" s="809" t="s">
        <v>778</v>
      </c>
      <c r="B73" s="2798" t="s">
        <v>3354</v>
      </c>
      <c r="C73" s="2786" t="s">
        <v>6053</v>
      </c>
      <c r="D73" s="2785"/>
      <c r="F73" s="809" t="s">
        <v>2303</v>
      </c>
      <c r="G73" s="2798" t="s">
        <v>2305</v>
      </c>
      <c r="H73" s="1188" t="s">
        <v>5217</v>
      </c>
      <c r="I73" s="2785"/>
    </row>
    <row ht="12.75" r="74" spans="1:9" x14ac:dyDescent="0.2">
      <c r="A74" s="809" t="s">
        <v>779</v>
      </c>
      <c r="B74" s="2798" t="s">
        <v>2897</v>
      </c>
      <c r="C74" s="2786" t="s">
        <v>6054</v>
      </c>
      <c r="D74" s="2786"/>
      <c r="F74" s="809" t="s">
        <v>5369</v>
      </c>
      <c r="G74" s="2798" t="s">
        <v>2306</v>
      </c>
      <c r="H74" s="1188" t="s">
        <v>5218</v>
      </c>
      <c r="I74" s="2785"/>
    </row>
    <row ht="12.75" r="75" spans="1:9" x14ac:dyDescent="0.2">
      <c r="A75" s="809" t="s">
        <v>2301</v>
      </c>
      <c r="B75" s="2798" t="s">
        <v>2302</v>
      </c>
      <c r="C75" s="2786" t="s">
        <v>2924</v>
      </c>
      <c r="D75" s="2786"/>
      <c r="F75" s="809" t="s">
        <v>5369</v>
      </c>
      <c r="G75" s="2798" t="s">
        <v>2307</v>
      </c>
      <c r="H75" s="1188" t="s">
        <v>5219</v>
      </c>
      <c r="I75" s="2785"/>
    </row>
    <row ht="12.75" r="76" spans="1:9" x14ac:dyDescent="0.2">
      <c r="A76" s="809" t="s">
        <v>2705</v>
      </c>
      <c r="B76" s="2798" t="s">
        <v>1520</v>
      </c>
      <c r="C76" s="2783" t="s">
        <v>2925</v>
      </c>
      <c r="D76" s="2786"/>
      <c r="F76" s="809" t="s">
        <v>1424</v>
      </c>
      <c r="G76" s="2798" t="s">
        <v>1425</v>
      </c>
      <c r="H76" s="1188" t="s">
        <v>5221</v>
      </c>
      <c r="I76" s="2785"/>
    </row>
    <row ht="12.75" r="77" spans="1:9" x14ac:dyDescent="0.2">
      <c r="A77" s="809" t="s">
        <v>2706</v>
      </c>
      <c r="B77" s="2798"/>
      <c r="C77" s="2783" t="s">
        <v>2927</v>
      </c>
      <c r="D77" s="2786"/>
      <c r="F77" s="809" t="s">
        <v>2610</v>
      </c>
      <c r="G77" s="2798" t="s">
        <v>2691</v>
      </c>
      <c r="H77" s="1188" t="s">
        <v>5222</v>
      </c>
      <c r="I77" s="2786"/>
    </row>
    <row ht="12.75" r="78" spans="1:9" x14ac:dyDescent="0.2">
      <c r="A78" s="809" t="s">
        <v>2707</v>
      </c>
      <c r="B78" s="2798"/>
      <c r="C78" s="2783" t="s">
        <v>2929</v>
      </c>
      <c r="D78" s="2786"/>
      <c r="F78" s="409" t="s">
        <v>1647</v>
      </c>
      <c r="G78" s="2799" t="s">
        <v>3347</v>
      </c>
      <c r="H78" s="1188" t="s">
        <v>5223</v>
      </c>
      <c r="I78" s="2786"/>
    </row>
    <row ht="12.75" r="79" spans="1:9" x14ac:dyDescent="0.2">
      <c r="A79" s="809" t="s">
        <v>3021</v>
      </c>
      <c r="B79" s="2798" t="s">
        <v>1340</v>
      </c>
      <c r="C79" s="2786" t="s">
        <v>2931</v>
      </c>
      <c r="D79" s="2786"/>
      <c r="F79" s="409" t="s">
        <v>3346</v>
      </c>
      <c r="G79" s="2799" t="s">
        <v>1648</v>
      </c>
      <c r="H79" s="1188" t="s">
        <v>5352</v>
      </c>
      <c r="I79" s="2786"/>
    </row>
    <row ht="12.75" r="80" spans="1:9" x14ac:dyDescent="0.2">
      <c r="A80" s="809" t="s">
        <v>2708</v>
      </c>
      <c r="B80" s="2799" t="s">
        <v>3489</v>
      </c>
      <c r="C80" s="2783" t="s">
        <v>2933</v>
      </c>
      <c r="D80" s="2786">
        <v>0</v>
      </c>
      <c r="F80" s="809" t="s">
        <v>3349</v>
      </c>
      <c r="G80" s="2798" t="s">
        <v>5375</v>
      </c>
      <c r="H80" s="1188" t="s">
        <v>6116</v>
      </c>
      <c r="I80" s="2785"/>
    </row>
    <row ht="12.75" r="81" spans="1:9" x14ac:dyDescent="0.2">
      <c r="A81" s="809" t="s">
        <v>1497</v>
      </c>
      <c r="B81" s="2799"/>
      <c r="C81" s="2783" t="s">
        <v>2935</v>
      </c>
      <c r="D81" s="2786">
        <v>0</v>
      </c>
      <c r="F81" s="409" t="s">
        <v>4445</v>
      </c>
      <c r="G81" s="2799" t="s">
        <v>3350</v>
      </c>
      <c r="H81" s="2783" t="s">
        <v>870</v>
      </c>
      <c r="I81" s="2786"/>
    </row>
    <row ht="12.75" r="82" spans="1:9" x14ac:dyDescent="0.2">
      <c r="A82" s="809" t="s">
        <v>2709</v>
      </c>
      <c r="B82" s="2798" t="s">
        <v>8755</v>
      </c>
      <c r="C82" s="2783" t="s">
        <v>5050</v>
      </c>
      <c r="D82" s="2786">
        <v>0</v>
      </c>
      <c r="F82" s="409" t="s">
        <v>3352</v>
      </c>
      <c r="G82" s="2799" t="s">
        <v>3353</v>
      </c>
      <c r="H82" s="1188" t="s">
        <v>4399</v>
      </c>
      <c r="I82" s="2786"/>
    </row>
    <row ht="12.75" r="83" spans="1:9" x14ac:dyDescent="0.2">
      <c r="A83" s="809" t="s">
        <v>1785</v>
      </c>
      <c r="B83" s="2798" t="s">
        <v>3491</v>
      </c>
      <c r="C83" s="2783" t="s">
        <v>2938</v>
      </c>
      <c r="D83" s="2783">
        <v>0</v>
      </c>
      <c r="F83" s="409" t="s">
        <v>3355</v>
      </c>
      <c r="G83" s="2799" t="s">
        <v>2896</v>
      </c>
      <c r="H83" s="2783" t="s">
        <v>815</v>
      </c>
      <c r="I83" s="2786">
        <v>0</v>
      </c>
    </row>
    <row ht="12.75" r="84" spans="1:9" x14ac:dyDescent="0.2">
      <c r="A84" s="809" t="s">
        <v>1785</v>
      </c>
      <c r="B84" s="2798" t="s">
        <v>3492</v>
      </c>
      <c r="C84" s="2783" t="s">
        <v>5051</v>
      </c>
      <c r="D84" s="2786">
        <v>0</v>
      </c>
      <c r="F84" s="409" t="s">
        <v>2898</v>
      </c>
      <c r="G84" s="2799" t="s">
        <v>2899</v>
      </c>
      <c r="H84" s="2783" t="s">
        <v>4295</v>
      </c>
      <c r="I84" s="2786">
        <v>0</v>
      </c>
    </row>
    <row ht="12.75" r="85" spans="1:9" x14ac:dyDescent="0.2">
      <c r="A85" s="409" t="s">
        <v>1786</v>
      </c>
      <c r="B85" s="2798" t="s">
        <v>7635</v>
      </c>
      <c r="C85" s="2783" t="s">
        <v>2939</v>
      </c>
      <c r="D85" s="2783">
        <v>0</v>
      </c>
      <c r="F85" s="409" t="s">
        <v>4427</v>
      </c>
      <c r="G85" s="2799" t="s">
        <v>6119</v>
      </c>
      <c r="H85" s="2783" t="s">
        <v>6121</v>
      </c>
      <c r="I85" s="2785">
        <v>8129.75</v>
      </c>
    </row>
    <row ht="12.75" r="86" spans="1:9" x14ac:dyDescent="0.2">
      <c r="A86" s="409" t="s">
        <v>1786</v>
      </c>
      <c r="B86" s="2798" t="s">
        <v>2476</v>
      </c>
      <c r="C86" s="2783" t="s">
        <v>5052</v>
      </c>
      <c r="D86" s="2786">
        <v>0</v>
      </c>
      <c r="G86" s="979"/>
      <c r="H86" s="979"/>
      <c r="I86" s="979"/>
    </row>
    <row ht="12.75" r="87" spans="1:9" x14ac:dyDescent="0.2">
      <c r="A87" s="409" t="s">
        <v>6120</v>
      </c>
      <c r="B87" s="2799" t="s">
        <v>4384</v>
      </c>
      <c r="C87" s="2783" t="s">
        <v>871</v>
      </c>
      <c r="D87" s="2783">
        <v>0</v>
      </c>
      <c r="G87" s="979"/>
      <c r="H87" s="979"/>
      <c r="I87" s="979"/>
    </row>
    <row ht="12.75" r="88" spans="1:9" x14ac:dyDescent="0.2">
      <c r="A88" s="409" t="s">
        <v>6120</v>
      </c>
      <c r="B88" s="2799" t="s">
        <v>4387</v>
      </c>
      <c r="C88" s="2783" t="s">
        <v>872</v>
      </c>
      <c r="D88" s="2785">
        <v>0</v>
      </c>
      <c r="G88" s="979"/>
      <c r="H88" s="979"/>
      <c r="I88" s="979"/>
    </row>
    <row ht="12.75" r="89" spans="1:9" x14ac:dyDescent="0.2">
      <c r="A89" s="409" t="s">
        <v>6266</v>
      </c>
      <c r="B89" s="2799" t="s">
        <v>6268</v>
      </c>
      <c r="C89" s="2783" t="s">
        <v>6546</v>
      </c>
      <c r="D89" s="2785">
        <v>0</v>
      </c>
      <c r="G89" s="979"/>
      <c r="H89" s="979"/>
      <c r="I89" s="979"/>
    </row>
    <row ht="12.75" r="90" spans="1:9" x14ac:dyDescent="0.2">
      <c r="A90" s="409" t="s">
        <v>6266</v>
      </c>
      <c r="B90" s="2799" t="s">
        <v>6269</v>
      </c>
      <c r="C90" s="2783" t="s">
        <v>873</v>
      </c>
      <c r="D90" s="2785">
        <v>0</v>
      </c>
      <c r="G90" s="979"/>
      <c r="H90" s="979"/>
      <c r="I90" s="979"/>
    </row>
    <row ht="12.75" r="91" spans="1:9" x14ac:dyDescent="0.2">
      <c r="A91" s="409" t="s">
        <v>6266</v>
      </c>
      <c r="B91" s="2799" t="s">
        <v>6267</v>
      </c>
      <c r="C91" s="2783" t="s">
        <v>874</v>
      </c>
      <c r="D91" s="2785">
        <v>0</v>
      </c>
      <c r="G91" s="979"/>
      <c r="H91" s="979"/>
      <c r="I91" s="979"/>
    </row>
    <row ht="12.75" r="92" spans="1:9" x14ac:dyDescent="0.2">
      <c r="A92" s="3106" t="s">
        <v>6849</v>
      </c>
      <c r="B92" s="3107" t="s">
        <v>6852</v>
      </c>
      <c r="C92" s="3108" t="s">
        <v>6848</v>
      </c>
      <c r="D92" s="3113">
        <v>0</v>
      </c>
      <c r="G92" s="979"/>
      <c r="H92" s="979"/>
      <c r="I92" s="979"/>
    </row>
    <row ht="12.75" r="93" spans="1:9" x14ac:dyDescent="0.2">
      <c r="A93" s="3106" t="s">
        <v>6849</v>
      </c>
      <c r="B93" s="3107" t="s">
        <v>6851</v>
      </c>
      <c r="C93" s="3108" t="s">
        <v>6847</v>
      </c>
      <c r="D93" s="3113">
        <v>0</v>
      </c>
      <c r="G93" s="979"/>
      <c r="H93" s="979"/>
      <c r="I93" s="979"/>
    </row>
    <row ht="12.75" r="94" spans="1:9" x14ac:dyDescent="0.2">
      <c r="A94" s="409" t="s">
        <v>1787</v>
      </c>
      <c r="B94" s="2798" t="s">
        <v>2477</v>
      </c>
      <c r="C94" s="2783" t="s">
        <v>876</v>
      </c>
      <c r="D94" s="2786">
        <v>0</v>
      </c>
      <c r="G94" s="979"/>
      <c r="H94" s="979"/>
      <c r="I94" s="979"/>
    </row>
    <row ht="12.75" r="95" spans="1:9" x14ac:dyDescent="0.2">
      <c r="A95" s="809" t="s">
        <v>1788</v>
      </c>
      <c r="B95" s="2798" t="s">
        <v>3341</v>
      </c>
      <c r="C95" s="2782" t="s">
        <v>879</v>
      </c>
      <c r="D95" s="2783">
        <v>0</v>
      </c>
    </row>
    <row ht="12.75" r="96" spans="1:9" x14ac:dyDescent="0.2">
      <c r="A96" s="1811" t="s">
        <v>6458</v>
      </c>
      <c r="B96" s="2800" t="s">
        <v>6459</v>
      </c>
      <c r="C96" s="2787" t="s">
        <v>7071</v>
      </c>
      <c r="D96" s="2794"/>
    </row>
    <row ht="12.75" r="97" spans="1:8" x14ac:dyDescent="0.2">
      <c r="B97" s="979"/>
      <c r="C97" s="979"/>
      <c r="D97" s="979"/>
    </row>
    <row ht="12.75" r="98" spans="1:8" x14ac:dyDescent="0.2">
      <c r="A98" s="2997"/>
      <c r="B98" s="979"/>
      <c r="C98" s="979"/>
      <c r="D98" s="979"/>
    </row>
    <row ht="12.75" r="99" spans="1:8" x14ac:dyDescent="0.2">
      <c r="A99" s="2997"/>
      <c r="B99" s="979"/>
      <c r="C99" s="979"/>
      <c r="D99" s="979"/>
    </row>
    <row ht="12.75" r="101" spans="1:8" x14ac:dyDescent="0.2">
      <c r="B101" s="3402" t="s">
        <v>8530</v>
      </c>
      <c r="C101" s="3403"/>
      <c r="D101" s="3403"/>
      <c r="E101" s="3404"/>
      <c r="F101" s="3405"/>
      <c r="G101" s="3403"/>
      <c r="H101" s="3406"/>
    </row>
    <row ht="12.75" r="102" spans="1:8" x14ac:dyDescent="0.2">
      <c r="B102" s="2801"/>
      <c r="C102" s="2789"/>
      <c r="D102" s="2789"/>
      <c r="E102" s="1069"/>
      <c r="F102" s="1068"/>
      <c r="G102" s="2789"/>
      <c r="H102" s="2792"/>
    </row>
    <row r="113" spans="2:5" x14ac:dyDescent="0.2">
      <c r="E113" s="2989"/>
    </row>
    <row r="117" spans="2:5" x14ac:dyDescent="0.2">
      <c r="E117" s="2989"/>
    </row>
    <row r="118" spans="2:5" x14ac:dyDescent="0.2">
      <c r="E118" s="2989"/>
    </row>
    <row r="119" spans="2:5" x14ac:dyDescent="0.2">
      <c r="E119" s="2989"/>
    </row>
    <row r="127" spans="2:5" x14ac:dyDescent="0.2">
      <c r="B127" s="406"/>
    </row>
    <row r="128" spans="2:5" x14ac:dyDescent="0.2">
      <c r="B128" s="406"/>
    </row>
    <row r="129" spans="2:2" x14ac:dyDescent="0.2">
      <c r="B129" s="406"/>
    </row>
    <row r="130" spans="2:2" x14ac:dyDescent="0.2">
      <c r="B130" s="406"/>
    </row>
  </sheetData>
  <phoneticPr fontId="67" type="noConversion"/>
  <pageMargins bottom="0.196850393700787" footer="0" header="0" left="0.196850393700787" right="0.196850393700787" top="0.196850393700787"/>
  <pageSetup orientation="portrait" paperSize="9" r:id="rId1"/>
  <headerFooter alignWithMargins="0"/>
</worksheet>
</file>

<file path=xl/worksheets/sheet2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46"/>
  <dimension ref="A1:J36"/>
  <sheetViews>
    <sheetView showGridLines="0" workbookViewId="0">
      <selection activeCell="O8" sqref="O8"/>
    </sheetView>
  </sheetViews>
  <sheetFormatPr defaultColWidth="9.140625" defaultRowHeight="12" x14ac:dyDescent="0.2"/>
  <cols>
    <col min="1" max="1" style="181" width="9.140625" collapsed="true"/>
    <col min="2" max="2" customWidth="true" style="181" width="4.5703125" collapsed="true"/>
    <col min="3" max="3" customWidth="true" style="181" width="12.85546875" collapsed="true"/>
    <col min="4" max="4" customWidth="true" style="181" width="24.0" collapsed="true"/>
    <col min="5" max="5" customWidth="true" style="181" width="11.140625" collapsed="true"/>
    <col min="6" max="6" customWidth="true" style="181" width="4.28515625" collapsed="true"/>
    <col min="7" max="7" customWidth="true" style="181" width="14.5703125" collapsed="true"/>
    <col min="8" max="8" customWidth="true" style="181" width="29.28515625" collapsed="true"/>
    <col min="9" max="9" customWidth="true" style="181" width="27.140625" collapsed="true"/>
    <col min="10" max="16384" style="181" width="9.140625" collapsed="true"/>
  </cols>
  <sheetData>
    <row customHeight="1" ht="12.75" r="1" spans="1:9" x14ac:dyDescent="0.2">
      <c r="A1" s="139"/>
      <c r="B1" s="139"/>
      <c r="C1" s="139"/>
      <c r="D1" s="139"/>
      <c r="E1" s="139"/>
      <c r="F1" s="139"/>
      <c r="G1" s="139"/>
      <c r="H1" s="476">
        <f>'Add pages'!I5</f>
        <v>0</v>
      </c>
      <c r="I1" s="139"/>
    </row>
    <row customHeight="1" ht="6.75" r="2" spans="1:9" x14ac:dyDescent="0.2">
      <c r="A2" s="139"/>
      <c r="B2" s="139"/>
      <c r="C2" s="139"/>
      <c r="D2" s="139"/>
      <c r="E2" s="139"/>
      <c r="F2" s="139"/>
      <c r="G2" s="139"/>
      <c r="H2" s="139"/>
      <c r="I2" s="139"/>
    </row>
    <row customHeight="1" ht="12.75" r="3" spans="1:9" x14ac:dyDescent="0.2">
      <c r="A3" s="139"/>
      <c r="B3" s="481"/>
      <c r="C3" s="155"/>
      <c r="D3" s="155"/>
      <c r="E3" s="155"/>
      <c r="F3" s="155"/>
      <c r="G3" s="155"/>
      <c r="H3" s="156"/>
      <c r="I3" s="139"/>
    </row>
    <row customHeight="1" ht="12.75" r="4" spans="1:9" x14ac:dyDescent="0.2">
      <c r="A4" s="139"/>
      <c r="B4" s="419">
        <v>1</v>
      </c>
      <c r="C4" s="204" t="s">
        <v>2832</v>
      </c>
      <c r="D4" s="141"/>
      <c r="E4" s="141"/>
      <c r="F4" s="419">
        <v>4</v>
      </c>
      <c r="G4" s="204" t="s">
        <v>2834</v>
      </c>
      <c r="H4" s="158"/>
      <c r="I4" s="139"/>
    </row>
    <row customHeight="1" ht="12.75" r="5" spans="1:9" x14ac:dyDescent="0.2">
      <c r="A5" s="139"/>
      <c r="B5" s="157"/>
      <c r="C5" s="480">
        <f>MAX(0,box_18_3)</f>
        <v>12908.429999999998</v>
      </c>
      <c r="D5" s="141"/>
      <c r="E5" s="141"/>
      <c r="F5" s="141"/>
      <c r="G5" s="480">
        <f>'Tax due (c12)'!G8</f>
        <v>500.22</v>
      </c>
      <c r="H5" s="158"/>
      <c r="I5" s="139"/>
    </row>
    <row customHeight="1" ht="9.75" r="6" spans="1:9" x14ac:dyDescent="0.2">
      <c r="A6" s="139"/>
      <c r="B6" s="157"/>
      <c r="C6" s="141"/>
      <c r="D6" s="141"/>
      <c r="E6" s="141"/>
      <c r="F6" s="141"/>
      <c r="G6" s="141"/>
      <c r="H6" s="158"/>
      <c r="I6" s="139"/>
    </row>
    <row customHeight="1" ht="12.75" r="7" spans="1:9" x14ac:dyDescent="0.2">
      <c r="A7" s="139"/>
      <c r="B7" s="419">
        <v>2</v>
      </c>
      <c r="C7" s="204" t="s">
        <v>2833</v>
      </c>
      <c r="D7" s="477"/>
      <c r="E7" s="477"/>
      <c r="F7" s="419">
        <v>4.0999999999999996</v>
      </c>
      <c r="G7" s="204" t="s">
        <v>4368</v>
      </c>
      <c r="H7" s="158"/>
      <c r="I7" s="139"/>
    </row>
    <row customHeight="1" ht="12.75" r="8" spans="1:9" x14ac:dyDescent="0.2">
      <c r="A8" s="139"/>
      <c r="B8" s="482"/>
      <c r="C8" s="480">
        <f>MAX(0,-1*box_18_3)</f>
        <v>0</v>
      </c>
      <c r="D8" s="477"/>
      <c r="E8" s="477"/>
      <c r="F8" s="141"/>
      <c r="G8" s="480">
        <f>'Tax due (c12)'!G16</f>
        <v>117</v>
      </c>
      <c r="H8" s="158"/>
      <c r="I8" s="139"/>
    </row>
    <row customHeight="1" ht="7.5" r="9" spans="1:9" x14ac:dyDescent="0.2">
      <c r="A9" s="139"/>
      <c r="B9" s="482"/>
      <c r="C9" s="479"/>
      <c r="D9" s="477"/>
      <c r="E9" s="477"/>
      <c r="F9" s="141"/>
      <c r="G9" s="141"/>
      <c r="H9" s="158"/>
      <c r="I9" s="139"/>
    </row>
    <row customHeight="1" ht="12.75" r="10" spans="1:9" x14ac:dyDescent="0.2">
      <c r="A10" s="139"/>
      <c r="B10" s="419">
        <v>3</v>
      </c>
      <c r="C10" s="204" t="s">
        <v>2835</v>
      </c>
      <c r="D10" s="477"/>
      <c r="E10" s="477"/>
      <c r="F10" s="419">
        <v>5</v>
      </c>
      <c r="G10" s="204" t="s">
        <v>892</v>
      </c>
      <c r="H10" s="483"/>
      <c r="I10" s="139"/>
    </row>
    <row customHeight="1" ht="12.75" r="11" spans="1:9" x14ac:dyDescent="0.2">
      <c r="A11" s="139"/>
      <c r="B11" s="484"/>
      <c r="C11" s="480">
        <f>'S loans(c27)'!K254</f>
        <v>0</v>
      </c>
      <c r="D11" s="477"/>
      <c r="E11" s="477"/>
      <c r="F11" s="141"/>
      <c r="G11" s="480">
        <f>'Tax due (c12)'!G64</f>
        <v>0</v>
      </c>
      <c r="H11" s="483"/>
      <c r="I11" s="139"/>
    </row>
    <row customHeight="1" ht="8.25" r="12" spans="1:9" x14ac:dyDescent="0.2">
      <c r="A12" s="139"/>
      <c r="B12" s="485"/>
      <c r="C12" s="204"/>
      <c r="D12" s="204"/>
      <c r="E12" s="477"/>
      <c r="F12" s="141"/>
      <c r="G12" s="141"/>
      <c r="H12" s="483"/>
      <c r="I12" s="139"/>
    </row>
    <row customHeight="1" ht="12.75" r="13" spans="1:9" x14ac:dyDescent="0.2">
      <c r="A13" s="139"/>
      <c r="B13" s="1224">
        <v>3.1</v>
      </c>
      <c r="C13" s="358" t="s">
        <v>9086</v>
      </c>
      <c r="D13" s="477"/>
      <c r="E13" s="477"/>
      <c r="F13" s="477"/>
      <c r="G13" s="204"/>
      <c r="H13" s="483"/>
      <c r="I13" s="139"/>
    </row>
    <row customHeight="1" ht="12.75" r="14" spans="1:9" x14ac:dyDescent="0.2">
      <c r="A14" s="139"/>
      <c r="B14" s="484"/>
      <c r="C14" s="480">
        <f>'S loans(c27)'!K273</f>
        <v>0</v>
      </c>
      <c r="D14" s="477"/>
      <c r="E14" s="477"/>
      <c r="F14" s="141"/>
      <c r="G14" s="477"/>
      <c r="H14" s="483"/>
      <c r="I14" s="139"/>
    </row>
    <row customHeight="1" ht="8.25" r="15" spans="1:9" x14ac:dyDescent="0.2">
      <c r="A15" s="139"/>
      <c r="B15" s="485"/>
      <c r="C15" s="204"/>
      <c r="D15" s="204"/>
      <c r="E15" s="477"/>
      <c r="F15" s="141"/>
      <c r="G15" s="141"/>
      <c r="H15" s="483"/>
      <c r="I15" s="139"/>
    </row>
    <row customHeight="1" ht="12.75" r="16" spans="1:9" x14ac:dyDescent="0.2">
      <c r="A16" s="139"/>
      <c r="B16" s="419">
        <v>7</v>
      </c>
      <c r="C16" s="477" t="str">
        <f>"Underpaid tax for earlier years included in "&amp;tax_year&amp;" tax code"</f>
        <v>Underpaid tax for earlier years included in 2019-20 tax code</v>
      </c>
      <c r="D16" s="477"/>
      <c r="E16" s="477"/>
      <c r="F16" s="419">
        <v>6</v>
      </c>
      <c r="G16" s="204" t="s">
        <v>2836</v>
      </c>
      <c r="H16" s="483"/>
      <c r="I16" s="139"/>
    </row>
    <row customHeight="1" ht="12.75" r="17" spans="1:9" x14ac:dyDescent="0.2">
      <c r="A17" s="139"/>
      <c r="B17" s="484"/>
      <c r="C17" s="400">
        <f>Box_CAL7</f>
        <v>2999</v>
      </c>
      <c r="D17" s="204"/>
      <c r="E17" s="477"/>
      <c r="F17" s="141"/>
      <c r="G17" s="480">
        <f>'Tax due (c12)'!G39</f>
        <v>0</v>
      </c>
      <c r="H17" s="483"/>
      <c r="I17" s="139"/>
    </row>
    <row customHeight="1" ht="8.25" r="18" spans="1:9" x14ac:dyDescent="0.2">
      <c r="A18" s="139"/>
      <c r="B18" s="484"/>
      <c r="C18" s="204"/>
      <c r="D18" s="204"/>
      <c r="E18" s="477"/>
      <c r="F18" s="477"/>
      <c r="G18" s="477"/>
      <c r="H18" s="483"/>
      <c r="I18" s="139"/>
    </row>
    <row customHeight="1" ht="12.75" r="19" spans="1:9" x14ac:dyDescent="0.2">
      <c r="A19" s="139"/>
      <c r="B19" s="419">
        <v>8</v>
      </c>
      <c r="C19" s="478" t="str">
        <f>tax_year&amp;" underpaid tax included in "&amp;next_year&amp;" tax code"</f>
        <v>2019-20 underpaid tax included in 2020-21 tax code</v>
      </c>
      <c r="D19" s="204"/>
      <c r="E19" s="477"/>
      <c r="F19" s="419">
        <v>9</v>
      </c>
      <c r="G19" s="204" t="str">
        <f>"Outstanding debt included in your tax code for "&amp;tax_year</f>
        <v>Outstanding debt included in your tax code for 2019-20</v>
      </c>
      <c r="H19" s="483"/>
      <c r="I19" s="139"/>
    </row>
    <row customHeight="1" ht="12.75" r="20" spans="1:9" x14ac:dyDescent="0.2">
      <c r="A20" s="139"/>
      <c r="B20" s="484"/>
      <c r="C20" s="400">
        <f>Box_CAL8</f>
        <v>0</v>
      </c>
      <c r="D20" s="204"/>
      <c r="E20" s="477"/>
      <c r="F20" s="477"/>
      <c r="G20" s="400">
        <f>Box_CAL9</f>
        <v>0</v>
      </c>
      <c r="H20" s="483"/>
      <c r="I20" s="139"/>
    </row>
    <row customHeight="1" ht="7.5" r="21" spans="1:9" x14ac:dyDescent="0.2">
      <c r="A21" s="139"/>
      <c r="B21" s="486"/>
      <c r="C21" s="487"/>
      <c r="D21" s="488"/>
      <c r="E21" s="488"/>
      <c r="F21" s="488"/>
      <c r="G21" s="488"/>
      <c r="H21" s="489"/>
      <c r="I21" s="139"/>
    </row>
    <row customHeight="1" ht="6.75" r="22" spans="1:9" x14ac:dyDescent="0.2">
      <c r="A22" s="139"/>
      <c r="B22" s="139"/>
      <c r="C22" s="139"/>
      <c r="D22" s="139"/>
      <c r="E22" s="139"/>
      <c r="F22" s="139"/>
      <c r="G22" s="139"/>
      <c r="H22" s="139"/>
      <c r="I22" s="139"/>
    </row>
    <row customHeight="1" ht="12.75" r="23" spans="1:9" x14ac:dyDescent="0.2">
      <c r="A23" s="139"/>
      <c r="B23" s="139"/>
      <c r="C23" s="139"/>
      <c r="D23" s="139"/>
      <c r="E23" s="139"/>
      <c r="F23" s="139"/>
      <c r="G23" s="139"/>
      <c r="H23" s="139"/>
      <c r="I23" s="139"/>
    </row>
    <row customHeight="1" ht="12.75" r="24" spans="1:9" x14ac:dyDescent="0.2">
      <c r="A24" s="139"/>
      <c r="B24" s="139"/>
      <c r="C24" s="139"/>
      <c r="D24" s="139"/>
      <c r="E24" s="139"/>
      <c r="F24" s="139"/>
      <c r="G24" s="139"/>
      <c r="H24" s="139"/>
      <c r="I24" s="139"/>
    </row>
    <row customHeight="1" ht="12.75" r="25" spans="1:9" x14ac:dyDescent="0.2">
      <c r="A25" s="139"/>
      <c r="B25" s="139"/>
      <c r="C25" s="139"/>
      <c r="D25" s="139"/>
      <c r="E25" s="139"/>
      <c r="F25" s="139"/>
      <c r="G25" s="139"/>
      <c r="H25" s="139"/>
      <c r="I25" s="139"/>
    </row>
    <row customHeight="1" ht="12.75" r="26" spans="1:9" x14ac:dyDescent="0.2">
      <c r="A26" s="139"/>
      <c r="B26" s="139"/>
      <c r="C26" s="139"/>
      <c r="D26" s="139"/>
      <c r="E26" s="139"/>
      <c r="F26" s="139"/>
      <c r="G26" s="139"/>
      <c r="H26" s="139"/>
      <c r="I26" s="139"/>
    </row>
    <row r="27" spans="1:9" x14ac:dyDescent="0.2">
      <c r="A27" s="139"/>
      <c r="B27" s="139"/>
      <c r="C27" s="139"/>
      <c r="D27" s="139"/>
      <c r="E27" s="139"/>
      <c r="F27" s="139"/>
      <c r="G27" s="139"/>
      <c r="H27" s="139"/>
      <c r="I27" s="139"/>
    </row>
    <row r="28" spans="1:9" x14ac:dyDescent="0.2">
      <c r="A28" s="139"/>
      <c r="B28" s="139"/>
      <c r="C28" s="139"/>
      <c r="D28" s="139"/>
      <c r="E28" s="139"/>
      <c r="F28" s="139"/>
      <c r="G28" s="139"/>
      <c r="H28" s="139"/>
      <c r="I28" s="139"/>
    </row>
    <row r="29" spans="1:9" x14ac:dyDescent="0.2">
      <c r="A29" s="139"/>
      <c r="B29" s="139"/>
      <c r="C29" s="139"/>
      <c r="D29" s="139"/>
      <c r="E29" s="139"/>
      <c r="F29" s="139"/>
      <c r="G29" s="139"/>
      <c r="H29" s="139"/>
      <c r="I29" s="139"/>
    </row>
    <row r="30" spans="1:9" x14ac:dyDescent="0.2">
      <c r="A30" s="139"/>
      <c r="B30" s="139"/>
      <c r="C30" s="139"/>
      <c r="D30" s="139"/>
      <c r="E30" s="139"/>
      <c r="F30" s="139"/>
      <c r="G30" s="139"/>
      <c r="H30" s="139"/>
      <c r="I30" s="139"/>
    </row>
    <row r="31" spans="1:9" x14ac:dyDescent="0.2">
      <c r="A31" s="139"/>
      <c r="B31" s="139"/>
      <c r="C31" s="139"/>
      <c r="D31" s="139"/>
      <c r="E31" s="139"/>
      <c r="F31" s="139"/>
      <c r="G31" s="139"/>
      <c r="H31" s="139"/>
      <c r="I31" s="139"/>
    </row>
    <row r="32" spans="1:9" x14ac:dyDescent="0.2">
      <c r="A32" s="139"/>
      <c r="B32" s="139"/>
      <c r="C32" s="139"/>
      <c r="D32" s="139"/>
      <c r="E32" s="139"/>
      <c r="F32" s="139"/>
      <c r="G32" s="139"/>
      <c r="H32" s="139"/>
      <c r="I32" s="139"/>
    </row>
    <row r="33" spans="1:9" x14ac:dyDescent="0.2">
      <c r="A33" s="139"/>
      <c r="B33" s="139"/>
      <c r="C33" s="139"/>
      <c r="D33" s="139"/>
      <c r="E33" s="139"/>
      <c r="F33" s="139"/>
      <c r="G33" s="139"/>
      <c r="H33" s="139"/>
      <c r="I33" s="139"/>
    </row>
    <row r="34" spans="1:9" x14ac:dyDescent="0.2">
      <c r="A34" s="139"/>
      <c r="B34" s="139"/>
      <c r="C34" s="139"/>
      <c r="D34" s="139"/>
      <c r="E34" s="139"/>
      <c r="F34" s="139"/>
      <c r="G34" s="139"/>
      <c r="H34" s="139"/>
      <c r="I34" s="139"/>
    </row>
    <row r="35" spans="1:9" x14ac:dyDescent="0.2">
      <c r="A35" s="139"/>
      <c r="B35" s="139"/>
      <c r="C35" s="139"/>
      <c r="D35" s="139"/>
      <c r="E35" s="139"/>
      <c r="F35" s="139"/>
      <c r="G35" s="139"/>
      <c r="H35" s="139"/>
      <c r="I35" s="139"/>
    </row>
    <row r="36" spans="1:9" x14ac:dyDescent="0.2">
      <c r="A36" s="139"/>
      <c r="B36" s="139"/>
      <c r="C36" s="139"/>
      <c r="D36" s="139"/>
      <c r="E36" s="139"/>
      <c r="F36" s="139"/>
      <c r="G36" s="139"/>
      <c r="H36" s="139"/>
      <c r="I36" s="139"/>
    </row>
  </sheetData>
  <phoneticPr fontId="67" type="noConversion"/>
  <pageMargins bottom="1" footer="0.5" header="0.5" left="0.75" right="0.75" top="1"/>
  <pageSetup orientation="portrait" paperSize="9" r:id="rId1"/>
  <headerFooter alignWithMargins="0"/>
</worksheet>
</file>

<file path=xl/worksheets/sheet29.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xmlns:xr="http://schemas.microsoft.com/office/spreadsheetml/2014/revision" xmlns:xr2="http://schemas.microsoft.com/office/spreadsheetml/2015/revision2" xmlns:xr3="http://schemas.microsoft.com/office/spreadsheetml/2016/revision3" mc:Ignorable="x14ac xr xr2 xr3" xr:uid="{00000000-0001-0000-1C00-000000000000}">
  <sheetPr codeName="Sheet52"/>
  <dimension ref="A1:P24"/>
  <sheetViews>
    <sheetView showGridLines="0" showRowColHeaders="0" topLeftCell="B1" workbookViewId="0">
      <selection activeCell="J16" sqref="J16"/>
    </sheetView>
  </sheetViews>
  <sheetFormatPr defaultRowHeight="12.75" x14ac:dyDescent="0.2"/>
  <cols>
    <col min="1" max="1" customWidth="true" hidden="true" width="13.5703125" collapsed="true"/>
    <col min="2" max="2" customWidth="true" width="18.85546875" collapsed="true"/>
    <col min="3" max="3" customWidth="true" width="4.85546875" collapsed="true"/>
    <col min="4" max="4" customWidth="true" width="12.7109375" collapsed="true"/>
    <col min="5" max="5" customWidth="true" width="0.85546875" collapsed="true"/>
    <col min="6" max="6" customWidth="true" width="2.5703125" collapsed="true"/>
    <col min="7" max="7" customWidth="true" width="21.5703125" collapsed="true"/>
    <col min="8" max="8" customWidth="true" width="9.7109375" collapsed="true"/>
    <col min="9" max="9" customWidth="true" width="5.140625" collapsed="true"/>
    <col min="10" max="10" customWidth="true" width="12.7109375" collapsed="true"/>
    <col min="11" max="11" customWidth="true" width="0.85546875" collapsed="true"/>
    <col min="12" max="12" customWidth="true" width="2.5703125" collapsed="true"/>
    <col min="13" max="13" customWidth="true" width="37.85546875" collapsed="true"/>
    <col min="14" max="14" customWidth="true" width="20.28515625" collapsed="true"/>
    <col min="15" max="15" customWidth="true" width="3.85546875" collapsed="true"/>
    <col min="16" max="16" customWidth="true" width="4.7109375" collapsed="true"/>
  </cols>
  <sheetData>
    <row customHeight="1" ht="27" r="1" spans="1:15" x14ac:dyDescent="0.2">
      <c r="A1" t="s">
        <v>650</v>
      </c>
      <c r="B1" s="139"/>
      <c r="C1" s="139"/>
      <c r="D1" s="139"/>
      <c r="E1" s="139"/>
      <c r="F1" s="139"/>
      <c r="G1" s="139"/>
      <c r="H1" s="139"/>
      <c r="I1" s="139"/>
      <c r="J1" s="139"/>
      <c r="K1" s="139"/>
      <c r="L1" s="139"/>
      <c r="M1" s="139"/>
      <c r="N1" s="139"/>
    </row>
    <row r="2" spans="1:15" x14ac:dyDescent="0.2">
      <c r="A2">
        <v>1</v>
      </c>
      <c r="B2" s="139"/>
      <c r="C2" s="186" t="s">
        <v>3554</v>
      </c>
      <c r="D2" s="155"/>
      <c r="E2" s="1244"/>
      <c r="F2" s="1244"/>
      <c r="G2" s="155"/>
      <c r="H2" s="155"/>
      <c r="I2" s="859" t="s">
        <v>1732</v>
      </c>
      <c r="J2" s="155"/>
      <c r="K2" s="1244"/>
      <c r="L2" s="155"/>
      <c r="M2" s="420" t="s">
        <v>650</v>
      </c>
      <c r="N2" s="139"/>
    </row>
    <row customHeight="1" ht="9" r="3" spans="1:15" x14ac:dyDescent="0.2">
      <c r="A3">
        <v>2</v>
      </c>
      <c r="B3" s="139"/>
      <c r="C3" s="157"/>
      <c r="D3" s="141"/>
      <c r="E3" s="141"/>
      <c r="F3" s="141"/>
      <c r="G3" s="142"/>
      <c r="H3" s="141"/>
      <c r="I3" s="860" t="s">
        <v>1733</v>
      </c>
      <c r="J3" s="141"/>
      <c r="K3" s="141"/>
      <c r="L3" s="142"/>
      <c r="M3" s="158"/>
      <c r="N3" s="139"/>
    </row>
    <row r="4" spans="1:15" x14ac:dyDescent="0.2">
      <c r="A4">
        <v>3</v>
      </c>
      <c r="B4" s="139"/>
      <c r="C4" s="165">
        <f>A2</f>
        <v>1</v>
      </c>
      <c r="D4" s="141" t="s">
        <v>2409</v>
      </c>
      <c r="E4" s="141"/>
      <c r="F4" s="141"/>
      <c r="G4" s="142"/>
      <c r="H4" s="141"/>
      <c r="I4" s="141"/>
      <c r="J4" s="1301" t="s">
        <v>5165</v>
      </c>
      <c r="K4" s="861"/>
      <c r="L4" s="142"/>
      <c r="M4" s="158"/>
      <c r="N4" s="139"/>
    </row>
    <row r="5" spans="1:15" x14ac:dyDescent="0.2">
      <c r="A5">
        <v>4</v>
      </c>
      <c r="B5" s="139"/>
      <c r="C5" s="157"/>
      <c r="D5" s="141"/>
      <c r="E5" s="141"/>
      <c r="F5" s="141"/>
      <c r="G5" s="142"/>
      <c r="H5" s="141"/>
      <c r="I5" s="862">
        <v>2</v>
      </c>
      <c r="J5" s="861" t="str">
        <f>"1) "&amp;data!C166</f>
        <v>1) Before 6/4/1935 (age over 84)</v>
      </c>
      <c r="K5" s="861"/>
      <c r="L5" s="142"/>
      <c r="M5" s="158"/>
      <c r="N5" s="139"/>
    </row>
    <row r="6" spans="1:15" x14ac:dyDescent="0.2">
      <c r="A6" s="864" t="s">
        <v>5166</v>
      </c>
      <c r="B6" s="139"/>
      <c r="C6" s="157"/>
      <c r="D6" s="141"/>
      <c r="E6" s="141"/>
      <c r="F6" s="141"/>
      <c r="G6" s="142"/>
      <c r="H6" s="141"/>
      <c r="I6" s="141"/>
      <c r="J6" s="861" t="str">
        <f>"2) "&amp;data!C167</f>
        <v>2) After 6/4/1935 (age 84 or under)</v>
      </c>
      <c r="K6" s="861"/>
      <c r="L6" s="142"/>
      <c r="M6" s="158"/>
      <c r="N6" s="139"/>
    </row>
    <row r="7" spans="1:15" x14ac:dyDescent="0.2">
      <c r="B7" s="139"/>
      <c r="C7" s="165" t="s">
        <v>5887</v>
      </c>
      <c r="D7" s="182" t="s">
        <v>7528</v>
      </c>
      <c r="E7" s="141"/>
      <c r="F7" s="141"/>
      <c r="G7" s="142"/>
      <c r="H7" s="141"/>
      <c r="I7" s="141"/>
      <c r="J7" s="861"/>
      <c r="K7" s="861"/>
      <c r="L7" s="142"/>
      <c r="M7" s="158"/>
      <c r="N7" s="139"/>
      <c r="O7" s="864"/>
    </row>
    <row r="8" spans="1:15" x14ac:dyDescent="0.2">
      <c r="B8" s="139"/>
      <c r="C8" s="157"/>
      <c r="D8" s="142"/>
      <c r="E8" s="141"/>
      <c r="F8" s="141"/>
      <c r="G8" s="142"/>
      <c r="H8" s="141"/>
      <c r="I8" s="862">
        <v>2</v>
      </c>
      <c r="J8" s="861" t="s">
        <v>5897</v>
      </c>
      <c r="K8" s="861"/>
      <c r="L8" s="142"/>
      <c r="M8" s="158"/>
      <c r="N8" s="139"/>
      <c r="O8" s="864"/>
    </row>
    <row customHeight="1" ht="11.25" r="9" spans="1:15" x14ac:dyDescent="0.2">
      <c r="B9" s="139"/>
      <c r="C9" s="157"/>
      <c r="D9" s="141"/>
      <c r="E9" s="141"/>
      <c r="F9" s="141"/>
      <c r="G9" s="3217"/>
      <c r="H9" s="141"/>
      <c r="I9" s="141"/>
      <c r="J9" s="861" t="s">
        <v>5898</v>
      </c>
      <c r="K9" s="141"/>
      <c r="L9" s="141"/>
      <c r="M9" s="158"/>
      <c r="N9" s="139"/>
    </row>
    <row customHeight="1" ht="11.25" r="10" spans="1:15" x14ac:dyDescent="0.2">
      <c r="A10" t="s">
        <v>5821</v>
      </c>
      <c r="B10" s="139"/>
      <c r="C10" s="3218"/>
      <c r="D10" s="3219"/>
      <c r="E10" s="3219"/>
      <c r="F10" s="3219"/>
      <c r="G10" s="3220"/>
      <c r="H10" s="3219"/>
      <c r="I10" s="3219"/>
      <c r="J10" s="3238" t="s">
        <v>7527</v>
      </c>
      <c r="K10" s="3219"/>
      <c r="L10" s="3219"/>
      <c r="M10" s="3221"/>
      <c r="N10" s="139"/>
    </row>
    <row r="11" spans="1:15" x14ac:dyDescent="0.2">
      <c r="A11" s="1438" t="s">
        <v>5896</v>
      </c>
      <c r="B11" s="1314"/>
      <c r="C11" s="1314"/>
      <c r="D11" s="1314"/>
      <c r="E11" s="1314"/>
      <c r="F11" s="1314"/>
      <c r="G11" s="1314"/>
      <c r="H11" s="1314"/>
      <c r="I11" s="1314"/>
      <c r="J11" s="1314"/>
      <c r="K11" s="1314"/>
      <c r="L11" s="1314"/>
      <c r="M11" s="1314"/>
      <c r="N11" s="1314"/>
    </row>
    <row r="12" spans="1:15" x14ac:dyDescent="0.2">
      <c r="A12" s="1438" t="s">
        <v>5895</v>
      </c>
      <c r="B12" s="1314"/>
      <c r="C12" s="1314"/>
      <c r="D12" s="1314"/>
      <c r="E12" s="1314"/>
      <c r="F12" s="1314"/>
      <c r="G12" s="1314"/>
      <c r="H12" s="1314"/>
      <c r="I12" s="1314"/>
      <c r="J12" s="1314"/>
      <c r="K12" s="1314"/>
      <c r="L12" s="1314"/>
      <c r="M12" s="1314"/>
      <c r="N12" s="1314"/>
    </row>
    <row r="13" spans="1:15" x14ac:dyDescent="0.2">
      <c r="A13" s="1438" t="s">
        <v>7518</v>
      </c>
      <c r="B13" s="139"/>
      <c r="C13" s="154" t="s">
        <v>2848</v>
      </c>
      <c r="D13" s="155"/>
      <c r="E13" s="1244"/>
      <c r="F13" s="1244"/>
      <c r="G13" s="155"/>
      <c r="H13" s="155"/>
      <c r="I13" s="155"/>
      <c r="J13" s="155"/>
      <c r="K13" s="1244"/>
      <c r="L13" s="155"/>
      <c r="M13" s="420" t="s">
        <v>2847</v>
      </c>
      <c r="N13" s="139"/>
    </row>
    <row customHeight="1" ht="12.75" r="14" spans="1:15" x14ac:dyDescent="0.2">
      <c r="A14" s="3156"/>
      <c r="B14" s="139"/>
      <c r="C14" s="157"/>
      <c r="D14" s="141"/>
      <c r="E14" s="141"/>
      <c r="F14" s="141"/>
      <c r="G14" s="142"/>
      <c r="H14" s="141"/>
      <c r="I14" s="141"/>
      <c r="J14" s="141"/>
      <c r="K14" s="141"/>
      <c r="L14" s="142"/>
      <c r="M14" s="158"/>
      <c r="N14" s="139"/>
    </row>
    <row r="15" spans="1:15" x14ac:dyDescent="0.2">
      <c r="B15" s="139"/>
      <c r="C15" s="143">
        <f>A19</f>
        <v>1</v>
      </c>
      <c r="D15" s="141" t="s">
        <v>4026</v>
      </c>
      <c r="E15" s="141"/>
      <c r="F15" s="141"/>
      <c r="G15" s="142"/>
      <c r="H15" s="141"/>
      <c r="I15" s="143">
        <f>A22</f>
        <v>4</v>
      </c>
      <c r="J15" s="265" t="s">
        <v>5766</v>
      </c>
      <c r="K15" s="144"/>
      <c r="L15" s="150"/>
      <c r="M15" s="158"/>
      <c r="N15" s="139"/>
    </row>
    <row r="16" spans="1:15" x14ac:dyDescent="0.2">
      <c r="B16" s="139"/>
      <c r="C16" s="159"/>
      <c r="D16" s="147"/>
      <c r="E16" s="1245" t="s">
        <v>5060</v>
      </c>
      <c r="F16" s="1246" t="s">
        <v>5061</v>
      </c>
      <c r="G16" s="146"/>
      <c r="H16" s="146"/>
      <c r="I16" s="146"/>
      <c r="J16" s="148"/>
      <c r="K16" s="1245" t="s">
        <v>5060</v>
      </c>
      <c r="L16" s="1246" t="s">
        <v>5061</v>
      </c>
      <c r="M16" s="158"/>
      <c r="N16" s="139"/>
    </row>
    <row customHeight="1" ht="12.75" r="17" spans="1:14" x14ac:dyDescent="0.2">
      <c r="A17" s="1"/>
      <c r="B17" s="139"/>
      <c r="C17" s="157"/>
      <c r="D17" s="141"/>
      <c r="E17" s="141"/>
      <c r="F17" s="141"/>
      <c r="G17" s="146"/>
      <c r="H17" s="146"/>
      <c r="I17" s="141"/>
      <c r="J17" s="141"/>
      <c r="K17" s="141"/>
      <c r="L17" s="142"/>
      <c r="M17" s="158"/>
      <c r="N17" s="139"/>
    </row>
    <row customHeight="1" ht="12.75" r="18" spans="1:14" x14ac:dyDescent="0.2">
      <c r="A18" t="s">
        <v>2847</v>
      </c>
      <c r="B18" s="139"/>
      <c r="C18" s="143">
        <f>A20</f>
        <v>2</v>
      </c>
      <c r="D18" s="141" t="s">
        <v>4027</v>
      </c>
      <c r="E18" s="141"/>
      <c r="F18" s="141"/>
      <c r="G18" s="142"/>
      <c r="H18" s="146"/>
      <c r="I18" s="145">
        <f>A23</f>
        <v>5</v>
      </c>
      <c r="J18" s="182" t="s">
        <v>5767</v>
      </c>
      <c r="K18" s="141"/>
      <c r="L18" s="142"/>
      <c r="M18" s="158"/>
      <c r="N18" s="139"/>
    </row>
    <row customHeight="1" ht="12.75" r="19" spans="1:14" x14ac:dyDescent="0.2">
      <c r="A19" s="138">
        <v>1</v>
      </c>
      <c r="B19" s="139"/>
      <c r="C19" s="160"/>
      <c r="D19" s="147">
        <v>3678</v>
      </c>
      <c r="E19" s="1245" t="s">
        <v>5060</v>
      </c>
      <c r="F19" s="1246" t="s">
        <v>5061</v>
      </c>
      <c r="G19" s="150"/>
      <c r="H19" s="146"/>
      <c r="I19" s="146"/>
      <c r="J19" s="148">
        <v>12750</v>
      </c>
      <c r="K19" s="1245" t="s">
        <v>5060</v>
      </c>
      <c r="L19" s="1246" t="s">
        <v>5061</v>
      </c>
      <c r="M19" s="158"/>
      <c r="N19" s="139"/>
    </row>
    <row r="20" spans="1:14" x14ac:dyDescent="0.2">
      <c r="A20" s="138">
        <v>2</v>
      </c>
      <c r="B20" s="139"/>
      <c r="C20" s="160"/>
      <c r="D20" s="146"/>
      <c r="E20" s="146"/>
      <c r="F20" s="146"/>
      <c r="G20" s="150"/>
      <c r="H20" s="146"/>
      <c r="I20" s="141"/>
      <c r="J20" s="141"/>
      <c r="K20" s="141"/>
      <c r="L20" s="142"/>
      <c r="M20" s="158"/>
      <c r="N20" s="139"/>
    </row>
    <row r="21" spans="1:14" x14ac:dyDescent="0.2">
      <c r="A21" s="138">
        <v>3</v>
      </c>
      <c r="B21" s="139"/>
      <c r="C21" s="143">
        <f>A21</f>
        <v>3</v>
      </c>
      <c r="D21" s="141" t="s">
        <v>4303</v>
      </c>
      <c r="E21" s="141"/>
      <c r="F21" s="141"/>
      <c r="G21" s="142"/>
      <c r="H21" s="146"/>
      <c r="I21" s="145">
        <f>A24</f>
        <v>6</v>
      </c>
      <c r="J21" s="141" t="s">
        <v>3898</v>
      </c>
      <c r="K21" s="141"/>
      <c r="L21" s="142"/>
      <c r="M21" s="158"/>
      <c r="N21" s="139"/>
    </row>
    <row r="22" spans="1:14" x14ac:dyDescent="0.2">
      <c r="A22" s="138">
        <v>4</v>
      </c>
      <c r="B22" s="139"/>
      <c r="C22" s="160"/>
      <c r="D22" s="147"/>
      <c r="E22" s="1245" t="s">
        <v>5060</v>
      </c>
      <c r="F22" s="1246" t="s">
        <v>5061</v>
      </c>
      <c r="G22" s="150"/>
      <c r="H22" s="151"/>
      <c r="I22" s="146"/>
      <c r="J22" s="148"/>
      <c r="K22" s="1245" t="s">
        <v>5060</v>
      </c>
      <c r="L22" s="1246" t="s">
        <v>5061</v>
      </c>
      <c r="M22" s="158"/>
      <c r="N22" s="139"/>
    </row>
    <row customHeight="1" ht="33" r="23" spans="1:14" x14ac:dyDescent="0.2">
      <c r="A23" s="138">
        <v>5</v>
      </c>
      <c r="B23" s="139"/>
      <c r="C23" s="162"/>
      <c r="D23" s="163"/>
      <c r="E23" s="163"/>
      <c r="F23" s="163"/>
      <c r="G23" s="163"/>
      <c r="H23" s="163"/>
      <c r="I23" s="163"/>
      <c r="J23" s="163"/>
      <c r="K23" s="163"/>
      <c r="L23" s="163"/>
      <c r="M23" s="164"/>
      <c r="N23" s="139"/>
    </row>
    <row r="24" spans="1:14" x14ac:dyDescent="0.2">
      <c r="A24" s="138">
        <v>6</v>
      </c>
      <c r="B24" s="139"/>
      <c r="C24" s="139"/>
      <c r="D24" s="139"/>
      <c r="E24" s="139"/>
      <c r="F24" s="139"/>
      <c r="G24" s="139"/>
      <c r="H24" s="139"/>
      <c r="I24" s="139"/>
      <c r="J24" s="139"/>
      <c r="K24" s="139"/>
      <c r="L24" s="139"/>
      <c r="M24" s="139"/>
      <c r="N24" s="139"/>
    </row>
  </sheetData>
  <sheetProtection objects="1" scenarios="1" sheet="1"/>
  <phoneticPr fontId="67" type="noConversion"/>
  <dataValidations count="1">
    <dataValidation allowBlank="1" error="Enter your figures in whole pounds – ignore the pence_x000a_• Round down income and round up expenses and tax paid,_x000a_it is to your benefit_x000a_Select OK to retain pence or Cancel to retype amount" errorStyle="information" operator="greaterThan" showErrorMessage="1" showInputMessage="1" sqref="D16" type="whole" xr:uid="{00000000-0002-0000-1C00-000000000000}">
      <formula1>0</formula1>
    </dataValidation>
  </dataValidations>
  <pageMargins bottom="1" footer="0.5" header="0.5" left="0.75" right="0.75" top="1"/>
  <pageSetup horizontalDpi="1200" orientation="landscape" paperSize="9" r:id="rId1" verticalDpi="1200"/>
  <headerFooter alignWithMargins="0"/>
  <drawing r:id="rId2"/>
  <legacyDrawing r:id="rId3"/>
  <mc:AlternateContent>
    <mc:Choice Requires="x14">
      <controls>
        <mc:AlternateContent>
          <mc:Choice Requires="x14">
            <control name="Drop Down 4" r:id="rId4" shapeId="40964">
              <controlPr autoLine="0" autoPict="0" defaultSize="0">
                <anchor moveWithCells="1">
                  <from>
                    <xdr:col>3</xdr:col>
                    <xdr:colOff>0</xdr:colOff>
                    <xdr:row>4</xdr:row>
                    <xdr:rowOff>9525</xdr:rowOff>
                  </from>
                  <to>
                    <xdr:col>6</xdr:col>
                    <xdr:colOff>809625</xdr:colOff>
                    <xdr:row>5</xdr:row>
                    <xdr:rowOff>9525</xdr:rowOff>
                  </to>
                </anchor>
              </controlPr>
            </control>
          </mc:Choice>
        </mc:AlternateContent>
        <mc:AlternateContent>
          <mc:Choice Requires="x14">
            <control name="Drop Down 11" r:id="rId5" shapeId="40971">
              <controlPr autoLine="0" autoPict="0" defaultSize="0">
                <anchor moveWithCells="1">
                  <from>
                    <xdr:col>3</xdr:col>
                    <xdr:colOff>0</xdr:colOff>
                    <xdr:row>7</xdr:row>
                    <xdr:rowOff>0</xdr:rowOff>
                  </from>
                  <to>
                    <xdr:col>3</xdr:col>
                    <xdr:colOff>609600</xdr:colOff>
                    <xdr:row>8</xdr:row>
                    <xdr:rowOff>0</xdr:rowOff>
                  </to>
                </anchor>
              </controlPr>
            </control>
          </mc:Choice>
        </mc:AlternateContent>
      </controls>
    </mc:Choice>
  </mc:AlternateContent>
</worksheet>
</file>

<file path=xl/worksheets/sheet30.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4"/>
  <dimension ref="A1:O35"/>
  <sheetViews>
    <sheetView showGridLines="0" showRowColHeaders="0" topLeftCell="B1" workbookViewId="0">
      <selection activeCell="D14" sqref="D14"/>
    </sheetView>
  </sheetViews>
  <sheetFormatPr defaultColWidth="9.140625" defaultRowHeight="12" x14ac:dyDescent="0.2"/>
  <cols>
    <col min="1" max="1" customWidth="true" hidden="true" style="138" width="3.0" collapsed="true"/>
    <col min="2" max="2" customWidth="true" style="138" width="18.42578125" collapsed="true"/>
    <col min="3" max="3" customWidth="true" style="138" width="4.7109375" collapsed="true"/>
    <col min="4" max="4" customWidth="true" style="138" width="13.5703125" collapsed="true"/>
    <col min="5" max="5" customWidth="true" style="138" width="13.28515625" collapsed="true"/>
    <col min="6" max="6" customWidth="true" style="138" width="32.5703125" collapsed="true"/>
    <col min="7" max="7" customWidth="true" style="138" width="4.7109375" collapsed="true"/>
    <col min="8" max="8" customWidth="true" style="138" width="13.5703125" collapsed="true"/>
    <col min="9" max="9" customWidth="true" style="138" width="10.5703125" collapsed="true"/>
    <col min="10" max="10" customWidth="true" style="138" width="3.5703125" collapsed="true"/>
    <col min="11" max="11" customWidth="true" style="138" width="22.140625" collapsed="true"/>
    <col min="12" max="12" customWidth="true" style="138" width="19.0" collapsed="true"/>
    <col min="13" max="16384" style="138" width="9.140625" collapsed="true"/>
  </cols>
  <sheetData>
    <row customHeight="1" ht="9" r="1" spans="1:14" x14ac:dyDescent="0.2">
      <c r="B1" s="139"/>
      <c r="C1" s="139"/>
      <c r="D1" s="139"/>
      <c r="E1" s="139"/>
      <c r="F1" s="139"/>
      <c r="G1" s="139"/>
      <c r="H1" s="139"/>
      <c r="I1" s="139"/>
      <c r="J1" s="139"/>
      <c r="K1" s="139"/>
      <c r="L1" s="139"/>
      <c r="M1" s="140"/>
      <c r="N1" s="140"/>
    </row>
    <row customHeight="1" ht="12.75" r="2" spans="1:14" x14ac:dyDescent="0.2">
      <c r="B2" s="139"/>
      <c r="C2" s="154" t="s">
        <v>2849</v>
      </c>
      <c r="D2" s="155"/>
      <c r="E2" s="155"/>
      <c r="F2" s="155"/>
      <c r="G2" s="155"/>
      <c r="H2" s="155"/>
      <c r="I2" s="155"/>
      <c r="J2" s="420" t="s">
        <v>2847</v>
      </c>
      <c r="K2" s="139"/>
      <c r="L2" s="139"/>
      <c r="M2" s="140"/>
      <c r="N2" s="140"/>
    </row>
    <row customHeight="1" ht="9" r="3" spans="1:14" x14ac:dyDescent="0.2">
      <c r="A3" s="138">
        <v>7</v>
      </c>
      <c r="B3" s="139"/>
      <c r="C3" s="159"/>
      <c r="D3" s="146"/>
      <c r="E3" s="146"/>
      <c r="F3" s="146"/>
      <c r="G3" s="146"/>
      <c r="H3" s="146"/>
      <c r="I3" s="142"/>
      <c r="J3" s="158"/>
      <c r="K3" s="139"/>
      <c r="L3" s="139"/>
      <c r="M3" s="140"/>
      <c r="N3" s="140"/>
    </row>
    <row customHeight="1" ht="12.75" r="4" spans="1:14" x14ac:dyDescent="0.2">
      <c r="A4" s="138">
        <v>8</v>
      </c>
      <c r="B4" s="139"/>
      <c r="C4" s="165">
        <f>A4</f>
        <v>8</v>
      </c>
      <c r="D4" s="144" t="s">
        <v>1167</v>
      </c>
      <c r="E4" s="146"/>
      <c r="F4" s="146"/>
      <c r="G4" s="165">
        <f>A8</f>
        <v>12</v>
      </c>
      <c r="H4" s="144" t="str">
        <f>"Tax taken off box "&amp;C13</f>
        <v>Tax taken off box 11</v>
      </c>
      <c r="I4" s="142"/>
      <c r="J4" s="158"/>
      <c r="K4" s="139"/>
      <c r="L4" s="139"/>
      <c r="M4" s="140"/>
      <c r="N4" s="140"/>
    </row>
    <row customHeight="1" ht="12.75" r="5" spans="1:14" x14ac:dyDescent="0.2">
      <c r="A5" s="138">
        <v>9</v>
      </c>
      <c r="B5" s="139"/>
      <c r="C5" s="159"/>
      <c r="D5" s="166"/>
      <c r="E5" s="146"/>
      <c r="F5" s="146"/>
      <c r="G5" s="146"/>
      <c r="H5" s="167"/>
      <c r="I5" s="142"/>
      <c r="J5" s="158"/>
      <c r="K5" s="139"/>
      <c r="L5" s="139"/>
      <c r="M5" s="140"/>
      <c r="N5" s="140"/>
    </row>
    <row customHeight="1" ht="9" r="6" spans="1:14" x14ac:dyDescent="0.2">
      <c r="A6" s="138">
        <v>10</v>
      </c>
      <c r="B6" s="139"/>
      <c r="C6" s="159"/>
      <c r="D6" s="146"/>
      <c r="E6" s="146"/>
      <c r="F6" s="146"/>
      <c r="G6" s="146"/>
      <c r="H6" s="146"/>
      <c r="I6" s="142"/>
      <c r="J6" s="158"/>
      <c r="K6" s="139"/>
      <c r="L6" s="139"/>
      <c r="M6" s="140"/>
      <c r="N6" s="140"/>
    </row>
    <row customHeight="1" ht="12.75" r="7" spans="1:14" x14ac:dyDescent="0.2">
      <c r="A7" s="138">
        <v>11</v>
      </c>
      <c r="B7" s="139"/>
      <c r="C7" s="165">
        <f>A5</f>
        <v>9</v>
      </c>
      <c r="D7" s="144" t="s">
        <v>1364</v>
      </c>
      <c r="E7" s="146"/>
      <c r="F7" s="146"/>
      <c r="G7" s="165">
        <f>A9</f>
        <v>13</v>
      </c>
      <c r="H7" s="144" t="s">
        <v>1381</v>
      </c>
      <c r="I7" s="149"/>
      <c r="J7" s="158"/>
      <c r="K7" s="139"/>
      <c r="L7" s="139"/>
      <c r="M7" s="140"/>
      <c r="N7" s="140"/>
    </row>
    <row customHeight="1" ht="12.75" r="8" spans="1:14" x14ac:dyDescent="0.2">
      <c r="A8" s="138">
        <v>12</v>
      </c>
      <c r="B8" s="139"/>
      <c r="C8" s="159"/>
      <c r="D8" s="166"/>
      <c r="E8" s="146"/>
      <c r="F8" s="146"/>
      <c r="G8" s="146"/>
      <c r="H8" s="166"/>
      <c r="I8" s="149"/>
      <c r="J8" s="158"/>
      <c r="K8" s="139"/>
      <c r="L8" s="139"/>
      <c r="M8" s="140"/>
      <c r="N8" s="140"/>
    </row>
    <row customHeight="1" ht="9" r="9" spans="1:14" x14ac:dyDescent="0.2">
      <c r="A9" s="138">
        <v>13</v>
      </c>
      <c r="B9" s="139"/>
      <c r="C9" s="159"/>
      <c r="D9" s="146"/>
      <c r="E9" s="146"/>
      <c r="F9" s="146"/>
      <c r="G9" s="146"/>
      <c r="H9" s="146"/>
      <c r="I9" s="149"/>
      <c r="J9" s="158"/>
      <c r="K9" s="139"/>
      <c r="L9" s="139"/>
      <c r="M9" s="140"/>
      <c r="N9" s="140"/>
    </row>
    <row customHeight="1" ht="12.75" r="10" spans="1:14" x14ac:dyDescent="0.2">
      <c r="A10" s="138">
        <v>14</v>
      </c>
      <c r="B10" s="139"/>
      <c r="C10" s="165">
        <f>A6</f>
        <v>10</v>
      </c>
      <c r="D10" s="144" t="str">
        <f>"Tax taken off box "&amp;C7</f>
        <v>Tax taken off box 9</v>
      </c>
      <c r="E10" s="146"/>
      <c r="F10" s="146"/>
      <c r="G10" s="165">
        <f>A10</f>
        <v>14</v>
      </c>
      <c r="H10" s="144" t="str">
        <f>"Tax taken off box "&amp;G7</f>
        <v>Tax taken off box 13</v>
      </c>
      <c r="I10" s="149"/>
      <c r="J10" s="158"/>
      <c r="K10" s="139"/>
      <c r="L10" s="139"/>
      <c r="M10" s="140"/>
      <c r="N10" s="140"/>
    </row>
    <row customHeight="1" ht="12.75" r="11" spans="1:14" x14ac:dyDescent="0.2">
      <c r="A11" s="138">
        <v>15</v>
      </c>
      <c r="B11" s="139"/>
      <c r="C11" s="159"/>
      <c r="D11" s="166"/>
      <c r="E11" s="146"/>
      <c r="F11" s="146"/>
      <c r="G11" s="146"/>
      <c r="H11" s="167"/>
      <c r="I11" s="149"/>
      <c r="J11" s="158"/>
      <c r="K11" s="139"/>
      <c r="L11" s="139"/>
      <c r="M11" s="140"/>
      <c r="N11" s="140"/>
    </row>
    <row customHeight="1" ht="9" r="12" spans="1:14" x14ac:dyDescent="0.2">
      <c r="A12" s="138">
        <v>16</v>
      </c>
      <c r="B12" s="139"/>
      <c r="C12" s="159"/>
      <c r="D12" s="146"/>
      <c r="E12" s="146"/>
      <c r="F12" s="146"/>
      <c r="G12" s="146"/>
      <c r="H12" s="146"/>
      <c r="I12" s="149"/>
      <c r="J12" s="158"/>
      <c r="K12" s="139"/>
      <c r="L12" s="139"/>
      <c r="M12" s="140"/>
      <c r="N12" s="140"/>
    </row>
    <row customHeight="1" ht="12.75" r="13" spans="1:14" x14ac:dyDescent="0.2">
      <c r="A13" s="138">
        <v>17</v>
      </c>
      <c r="B13" s="139"/>
      <c r="C13" s="165">
        <f>A7</f>
        <v>11</v>
      </c>
      <c r="D13" s="265" t="s">
        <v>5768</v>
      </c>
      <c r="E13" s="146"/>
      <c r="F13" s="146"/>
      <c r="G13" s="165">
        <f>A11</f>
        <v>15</v>
      </c>
      <c r="H13" s="265" t="s">
        <v>643</v>
      </c>
      <c r="I13" s="149"/>
      <c r="J13" s="158"/>
      <c r="K13" s="139"/>
      <c r="L13" s="139"/>
      <c r="M13" s="140"/>
      <c r="N13" s="140"/>
    </row>
    <row customHeight="1" ht="12.75" r="14" spans="1:14" x14ac:dyDescent="0.2">
      <c r="A14" s="138">
        <v>18</v>
      </c>
      <c r="B14" s="139"/>
      <c r="C14" s="159"/>
      <c r="D14" s="166"/>
      <c r="E14" s="146"/>
      <c r="F14" s="146"/>
      <c r="G14" s="657"/>
      <c r="H14" s="166"/>
      <c r="I14" s="149"/>
      <c r="J14" s="158"/>
      <c r="K14" s="139"/>
      <c r="L14" s="139"/>
      <c r="M14" s="140"/>
      <c r="N14" s="140"/>
    </row>
    <row customHeight="1" ht="12.75" r="15" spans="1:14" x14ac:dyDescent="0.2">
      <c r="A15" s="138">
        <v>19</v>
      </c>
      <c r="B15" s="139"/>
      <c r="C15" s="159"/>
      <c r="D15" s="146"/>
      <c r="E15" s="146"/>
      <c r="F15" s="146"/>
      <c r="G15" s="146"/>
      <c r="H15" s="146"/>
      <c r="I15" s="149"/>
      <c r="J15" s="158"/>
      <c r="K15" s="139"/>
      <c r="L15" s="139"/>
      <c r="M15" s="140"/>
      <c r="N15" s="140"/>
    </row>
    <row customHeight="1" ht="12.75" r="16" spans="1:14" x14ac:dyDescent="0.2">
      <c r="A16" s="138">
        <v>20</v>
      </c>
      <c r="B16" s="139"/>
      <c r="C16" s="159"/>
      <c r="D16" s="146"/>
      <c r="E16" s="146"/>
      <c r="F16" s="146"/>
      <c r="G16" s="165">
        <f>A12</f>
        <v>16</v>
      </c>
      <c r="H16" s="144" t="s">
        <v>3678</v>
      </c>
      <c r="I16" s="149"/>
      <c r="J16" s="158"/>
      <c r="K16" s="139"/>
      <c r="L16" s="139"/>
      <c r="M16" s="140"/>
      <c r="N16" s="140"/>
    </row>
    <row customHeight="1" ht="12.75" r="17" spans="1:14" x14ac:dyDescent="0.2">
      <c r="A17" s="138">
        <v>21</v>
      </c>
      <c r="B17" s="139"/>
      <c r="C17" s="159"/>
      <c r="D17" s="146"/>
      <c r="E17" s="146"/>
      <c r="F17" s="146"/>
      <c r="G17" s="146"/>
      <c r="H17" s="166"/>
      <c r="I17" s="149"/>
      <c r="J17" s="158"/>
      <c r="K17" s="139"/>
      <c r="L17" s="139"/>
      <c r="M17" s="140"/>
      <c r="N17" s="140"/>
    </row>
    <row customHeight="1" ht="9" r="18" spans="1:14" x14ac:dyDescent="0.2">
      <c r="B18" s="139"/>
      <c r="C18" s="162"/>
      <c r="D18" s="163"/>
      <c r="E18" s="163"/>
      <c r="F18" s="163"/>
      <c r="G18" s="163"/>
      <c r="H18" s="163"/>
      <c r="I18" s="163"/>
      <c r="J18" s="164"/>
      <c r="K18" s="139"/>
      <c r="L18" s="139"/>
      <c r="M18" s="140"/>
      <c r="N18" s="140"/>
    </row>
    <row customHeight="1" ht="9" r="19" spans="1:14" x14ac:dyDescent="0.2">
      <c r="B19" s="139"/>
      <c r="C19" s="139"/>
      <c r="D19" s="139"/>
      <c r="E19" s="139"/>
      <c r="F19" s="139"/>
      <c r="G19" s="139"/>
      <c r="H19" s="139"/>
      <c r="I19" s="153"/>
      <c r="J19" s="139"/>
      <c r="K19" s="139"/>
      <c r="L19" s="139"/>
      <c r="M19" s="140"/>
      <c r="N19" s="140"/>
    </row>
    <row customHeight="1" ht="12.75" r="20" spans="1:14" x14ac:dyDescent="0.2">
      <c r="B20" s="139"/>
      <c r="C20" s="154" t="s">
        <v>2850</v>
      </c>
      <c r="D20" s="155"/>
      <c r="E20" s="155"/>
      <c r="F20" s="155"/>
      <c r="G20" s="155"/>
      <c r="H20" s="155"/>
      <c r="I20" s="155"/>
      <c r="J20" s="420" t="s">
        <v>2847</v>
      </c>
      <c r="K20" s="139"/>
      <c r="L20" s="139"/>
      <c r="M20" s="140"/>
      <c r="N20" s="140"/>
    </row>
    <row customHeight="1" ht="9" r="21" spans="1:14" x14ac:dyDescent="0.2">
      <c r="B21" s="139"/>
      <c r="C21" s="157"/>
      <c r="D21" s="141"/>
      <c r="E21" s="142"/>
      <c r="F21" s="141"/>
      <c r="G21" s="141"/>
      <c r="H21" s="141"/>
      <c r="I21" s="142"/>
      <c r="J21" s="158"/>
      <c r="K21" s="139"/>
      <c r="L21" s="139"/>
    </row>
    <row customHeight="1" ht="12.75" r="22" spans="1:14" x14ac:dyDescent="0.2">
      <c r="B22" s="139"/>
      <c r="C22" s="165">
        <f>A13</f>
        <v>17</v>
      </c>
      <c r="D22" s="144" t="s">
        <v>3288</v>
      </c>
      <c r="E22" s="142"/>
      <c r="F22" s="141"/>
      <c r="G22" s="145">
        <f>A16</f>
        <v>20</v>
      </c>
      <c r="H22" s="144" t="s">
        <v>3679</v>
      </c>
      <c r="I22" s="142"/>
      <c r="J22" s="158"/>
      <c r="K22" s="139"/>
      <c r="L22" s="139"/>
    </row>
    <row customHeight="1" ht="12.75" r="23" spans="1:14" x14ac:dyDescent="0.2">
      <c r="B23" s="139"/>
      <c r="C23" s="159"/>
      <c r="D23" s="166"/>
      <c r="E23" s="146"/>
      <c r="F23" s="146"/>
      <c r="G23" s="146"/>
      <c r="H23" s="148"/>
      <c r="I23" s="142"/>
      <c r="J23" s="158"/>
      <c r="K23" s="139"/>
      <c r="L23" s="139"/>
    </row>
    <row customHeight="1" ht="9" r="24" spans="1:14" x14ac:dyDescent="0.2">
      <c r="B24" s="139"/>
      <c r="C24" s="157"/>
      <c r="D24" s="141"/>
      <c r="E24" s="146"/>
      <c r="F24" s="146"/>
      <c r="G24" s="141"/>
      <c r="H24" s="141"/>
      <c r="I24" s="142"/>
      <c r="J24" s="158"/>
      <c r="K24" s="139"/>
      <c r="L24" s="139"/>
    </row>
    <row customHeight="1" ht="12.75" r="25" spans="1:14" x14ac:dyDescent="0.2">
      <c r="B25" s="139"/>
      <c r="C25" s="143">
        <f>A14</f>
        <v>18</v>
      </c>
      <c r="D25" s="144" t="s">
        <v>2158</v>
      </c>
      <c r="E25" s="146"/>
      <c r="F25" s="146"/>
      <c r="G25" s="146"/>
      <c r="H25" s="146"/>
      <c r="I25" s="142"/>
      <c r="J25" s="158"/>
      <c r="K25" s="139"/>
      <c r="L25" s="139"/>
    </row>
    <row customHeight="1" ht="12.75" r="26" spans="1:14" x14ac:dyDescent="0.2">
      <c r="B26" s="139"/>
      <c r="C26" s="160"/>
      <c r="D26" s="147"/>
      <c r="E26" s="150"/>
      <c r="F26" s="146"/>
      <c r="G26" s="146"/>
      <c r="H26" s="146"/>
      <c r="I26" s="142"/>
      <c r="J26" s="158"/>
      <c r="K26" s="139"/>
      <c r="L26" s="139"/>
    </row>
    <row customHeight="1" ht="9" r="27" spans="1:14" x14ac:dyDescent="0.2">
      <c r="B27" s="139"/>
      <c r="C27" s="160"/>
      <c r="D27" s="146"/>
      <c r="E27" s="150"/>
      <c r="F27" s="146"/>
      <c r="G27" s="146"/>
      <c r="H27" s="146"/>
      <c r="I27" s="142"/>
      <c r="J27" s="158"/>
      <c r="K27" s="139"/>
      <c r="L27" s="139"/>
    </row>
    <row customHeight="1" ht="12.75" r="28" spans="1:14" x14ac:dyDescent="0.2">
      <c r="B28" s="139"/>
      <c r="C28" s="165">
        <f>A15</f>
        <v>19</v>
      </c>
      <c r="D28" s="144" t="str">
        <f>"Tax taken off box "&amp;C22</f>
        <v>Tax taken off box 17</v>
      </c>
      <c r="E28" s="150"/>
      <c r="F28" s="146"/>
      <c r="G28" s="146"/>
      <c r="H28" s="146"/>
      <c r="I28" s="142"/>
      <c r="J28" s="158"/>
      <c r="K28" s="139"/>
      <c r="L28" s="139"/>
    </row>
    <row customHeight="1" ht="12.75" r="29" spans="1:14" x14ac:dyDescent="0.2">
      <c r="B29" s="139"/>
      <c r="C29" s="161"/>
      <c r="D29" s="167"/>
      <c r="E29" s="151"/>
      <c r="F29" s="151"/>
      <c r="G29" s="151"/>
      <c r="H29" s="151"/>
      <c r="I29" s="152"/>
      <c r="J29" s="158"/>
      <c r="K29" s="139"/>
      <c r="L29" s="139"/>
    </row>
    <row customHeight="1" ht="9" r="30" spans="1:14" x14ac:dyDescent="0.2">
      <c r="B30" s="139"/>
      <c r="C30" s="162"/>
      <c r="D30" s="163"/>
      <c r="E30" s="163"/>
      <c r="F30" s="163"/>
      <c r="G30" s="163"/>
      <c r="H30" s="163"/>
      <c r="I30" s="163"/>
      <c r="J30" s="164"/>
      <c r="K30" s="139"/>
      <c r="L30" s="139"/>
    </row>
    <row customHeight="1" ht="12.75" r="31" spans="1:14" x14ac:dyDescent="0.2">
      <c r="B31" s="139"/>
      <c r="C31" s="139"/>
      <c r="D31" s="139"/>
      <c r="E31" s="139"/>
      <c r="F31" s="139"/>
      <c r="G31" s="139"/>
      <c r="H31" s="139"/>
      <c r="I31" s="153"/>
      <c r="J31" s="139"/>
      <c r="K31" s="139"/>
      <c r="L31" s="139"/>
      <c r="M31" s="140"/>
      <c r="N31" s="140"/>
    </row>
    <row r="32" spans="1:14" x14ac:dyDescent="0.2">
      <c r="B32" s="139"/>
      <c r="C32" s="139"/>
      <c r="D32" s="139"/>
      <c r="E32" s="139"/>
      <c r="F32" s="139"/>
      <c r="G32" s="139"/>
      <c r="H32" s="139"/>
      <c r="I32" s="153"/>
      <c r="J32" s="139"/>
      <c r="K32" s="139"/>
      <c r="L32" s="139"/>
      <c r="M32" s="140"/>
      <c r="N32" s="140"/>
    </row>
    <row r="33" spans="2:14" x14ac:dyDescent="0.2">
      <c r="B33" s="139"/>
      <c r="C33" s="139"/>
      <c r="D33" s="139"/>
      <c r="E33" s="139"/>
      <c r="F33" s="139"/>
      <c r="G33" s="139"/>
      <c r="H33" s="139"/>
      <c r="I33" s="153"/>
      <c r="J33" s="139"/>
      <c r="K33" s="139"/>
      <c r="L33" s="139"/>
      <c r="M33" s="140"/>
      <c r="N33" s="140"/>
    </row>
    <row r="34" spans="2:14" x14ac:dyDescent="0.2">
      <c r="B34" s="139"/>
      <c r="C34" s="139"/>
      <c r="D34" s="139"/>
      <c r="E34" s="139"/>
      <c r="F34" s="139"/>
      <c r="G34" s="139"/>
      <c r="H34" s="139"/>
      <c r="I34" s="153"/>
      <c r="J34" s="139"/>
      <c r="K34" s="139"/>
      <c r="L34" s="139"/>
    </row>
    <row r="35" spans="2:14" x14ac:dyDescent="0.2">
      <c r="B35" s="139"/>
      <c r="C35" s="139"/>
      <c r="D35" s="139"/>
      <c r="E35" s="139"/>
      <c r="F35" s="139"/>
      <c r="G35" s="139"/>
      <c r="H35" s="139"/>
      <c r="I35" s="153"/>
      <c r="J35" s="139"/>
      <c r="K35" s="139"/>
      <c r="L35" s="139"/>
    </row>
  </sheetData>
  <sheetProtection objects="1" scenarios="1" sheet="1"/>
  <phoneticPr fontId="67" type="noConversion"/>
  <pageMargins bottom="1" footer="0.5" header="0.5" left="0.75" right="0.75" top="1"/>
  <pageSetup orientation="landscape" paperSize="9" r:id="rId1"/>
  <headerFooter alignWithMargins="0"/>
</worksheet>
</file>

<file path=xl/worksheets/sheet31.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dimension ref="A1:M30"/>
  <sheetViews>
    <sheetView showGridLines="0" showRowColHeaders="0" topLeftCell="B1" workbookViewId="0">
      <selection activeCell="I17" sqref="I17"/>
    </sheetView>
  </sheetViews>
  <sheetFormatPr defaultRowHeight="12.75" x14ac:dyDescent="0.2"/>
  <cols>
    <col min="1" max="1" customWidth="true" hidden="true" width="6.5703125" collapsed="true"/>
    <col min="2" max="2" customWidth="true" width="5.85546875" collapsed="true"/>
    <col min="3" max="3" customWidth="true" width="3.7109375" collapsed="true"/>
    <col min="4" max="4" customWidth="true" width="14.0" collapsed="true"/>
    <col min="5" max="5" customWidth="true" width="17.0" collapsed="true"/>
    <col min="7" max="7" customWidth="true" width="3.5703125" collapsed="true"/>
    <col min="8" max="8" customWidth="true" width="4.5703125" collapsed="true"/>
    <col min="9" max="9" customWidth="true" width="14.140625" collapsed="true"/>
    <col min="11" max="11" customWidth="true" width="19.28515625" collapsed="true"/>
    <col min="12" max="12" customWidth="true" width="26.85546875" collapsed="true"/>
  </cols>
  <sheetData>
    <row r="1" spans="1:12" x14ac:dyDescent="0.2">
      <c r="B1" s="139"/>
      <c r="C1" s="139"/>
      <c r="D1" s="139"/>
      <c r="E1" s="139"/>
      <c r="F1" s="139"/>
      <c r="G1" s="139"/>
      <c r="H1" s="139"/>
      <c r="I1" s="139"/>
      <c r="J1" s="139"/>
      <c r="K1" s="139"/>
      <c r="L1" s="139"/>
    </row>
    <row r="2" spans="1:12" x14ac:dyDescent="0.2">
      <c r="A2" s="98" t="s">
        <v>2851</v>
      </c>
      <c r="B2" s="139"/>
      <c r="C2" s="376" t="s">
        <v>2852</v>
      </c>
      <c r="D2" s="124"/>
      <c r="E2" s="124"/>
      <c r="F2" s="75"/>
      <c r="G2" s="75"/>
      <c r="H2" s="75"/>
      <c r="I2" s="75"/>
      <c r="J2" s="75"/>
      <c r="K2" s="124"/>
      <c r="L2" s="139"/>
    </row>
    <row r="3" spans="1:12" x14ac:dyDescent="0.2">
      <c r="A3" s="98">
        <v>1</v>
      </c>
      <c r="B3" s="139"/>
      <c r="C3" s="75"/>
      <c r="D3" s="124"/>
      <c r="E3" s="124"/>
      <c r="F3" s="75"/>
      <c r="G3" s="75"/>
      <c r="H3" s="75"/>
      <c r="I3" s="75"/>
      <c r="J3" s="75"/>
      <c r="K3" s="124"/>
      <c r="L3" s="139"/>
    </row>
    <row r="4" spans="1:12" x14ac:dyDescent="0.2">
      <c r="A4" s="98">
        <v>2</v>
      </c>
      <c r="B4" s="139"/>
      <c r="C4" s="186" t="s">
        <v>1070</v>
      </c>
      <c r="D4" s="155"/>
      <c r="E4" s="155"/>
      <c r="F4" s="155"/>
      <c r="G4" s="155"/>
      <c r="H4" s="224"/>
      <c r="I4" s="155"/>
      <c r="J4" s="155"/>
      <c r="K4" s="420" t="s">
        <v>2851</v>
      </c>
      <c r="L4" s="139"/>
    </row>
    <row r="5" spans="1:12" x14ac:dyDescent="0.2">
      <c r="A5" s="98">
        <v>3</v>
      </c>
      <c r="B5" s="139"/>
      <c r="C5" s="227"/>
      <c r="D5" s="141"/>
      <c r="E5" s="141"/>
      <c r="F5" s="142"/>
      <c r="G5" s="142"/>
      <c r="H5" s="182"/>
      <c r="I5" s="141"/>
      <c r="J5" s="141"/>
      <c r="K5" s="158"/>
      <c r="L5" s="139"/>
    </row>
    <row r="6" spans="1:12" x14ac:dyDescent="0.2">
      <c r="A6" s="98">
        <v>4</v>
      </c>
      <c r="B6" s="139"/>
      <c r="C6" s="169">
        <f>'REL(1)'!A3</f>
        <v>1</v>
      </c>
      <c r="D6" s="141" t="s">
        <v>2894</v>
      </c>
      <c r="E6" s="141"/>
      <c r="F6" s="142"/>
      <c r="G6" s="142"/>
      <c r="H6" s="171">
        <f>'REL(1)'!A5</f>
        <v>3</v>
      </c>
      <c r="I6" s="141" t="s">
        <v>2308</v>
      </c>
      <c r="J6" s="141"/>
      <c r="K6" s="158"/>
      <c r="L6" s="139"/>
    </row>
    <row r="7" spans="1:12" x14ac:dyDescent="0.2">
      <c r="A7" s="98">
        <v>5</v>
      </c>
      <c r="B7" s="139"/>
      <c r="C7" s="227"/>
      <c r="D7" s="170">
        <v>1000</v>
      </c>
      <c r="E7" s="142"/>
      <c r="F7" s="142"/>
      <c r="G7" s="142"/>
      <c r="H7" s="182"/>
      <c r="I7" s="170"/>
      <c r="J7" s="141"/>
      <c r="K7" s="158"/>
      <c r="L7" s="139"/>
    </row>
    <row r="8" spans="1:12" x14ac:dyDescent="0.2">
      <c r="A8" s="98">
        <v>6</v>
      </c>
      <c r="B8" s="139"/>
      <c r="C8" s="227"/>
      <c r="D8" s="141"/>
      <c r="E8" s="141"/>
      <c r="F8" s="142"/>
      <c r="G8" s="142"/>
      <c r="H8" s="182"/>
      <c r="I8" s="141"/>
      <c r="J8" s="141"/>
      <c r="K8" s="158"/>
      <c r="L8" s="139"/>
    </row>
    <row r="9" spans="1:12" x14ac:dyDescent="0.2">
      <c r="A9" s="98">
        <v>7</v>
      </c>
      <c r="B9" s="139"/>
      <c r="C9" s="171">
        <f>'REL(1)'!A4</f>
        <v>2</v>
      </c>
      <c r="D9" s="141" t="s">
        <v>3745</v>
      </c>
      <c r="E9" s="141"/>
      <c r="F9" s="142"/>
      <c r="G9" s="142"/>
      <c r="H9" s="377">
        <f>'REL(1)'!A6</f>
        <v>4</v>
      </c>
      <c r="I9" s="141" t="s">
        <v>2488</v>
      </c>
      <c r="J9" s="141"/>
      <c r="K9" s="158"/>
      <c r="L9" s="139"/>
    </row>
    <row r="10" spans="1:12" x14ac:dyDescent="0.2">
      <c r="A10" s="98">
        <v>8</v>
      </c>
      <c r="B10" s="139"/>
      <c r="C10" s="227"/>
      <c r="D10" s="170">
        <v>1200</v>
      </c>
      <c r="E10" s="142"/>
      <c r="F10" s="142"/>
      <c r="G10" s="142"/>
      <c r="H10" s="182"/>
      <c r="I10" s="170"/>
      <c r="J10" s="141"/>
      <c r="K10" s="158"/>
      <c r="L10" s="139"/>
    </row>
    <row r="11" spans="1:12" x14ac:dyDescent="0.2">
      <c r="A11" s="98">
        <v>9</v>
      </c>
      <c r="B11" s="139"/>
      <c r="C11" s="230"/>
      <c r="D11" s="163"/>
      <c r="E11" s="163"/>
      <c r="F11" s="163"/>
      <c r="G11" s="163"/>
      <c r="H11" s="231"/>
      <c r="I11" s="163"/>
      <c r="J11" s="163"/>
      <c r="K11" s="164"/>
      <c r="L11" s="139"/>
    </row>
    <row r="12" spans="1:12" x14ac:dyDescent="0.2">
      <c r="A12" s="98">
        <v>10</v>
      </c>
      <c r="B12" s="139"/>
      <c r="C12" s="139"/>
      <c r="D12" s="139"/>
      <c r="E12" s="139"/>
      <c r="F12" s="139"/>
      <c r="G12" s="139"/>
      <c r="H12" s="139"/>
      <c r="I12" s="139"/>
      <c r="J12" s="139"/>
      <c r="K12" s="139"/>
      <c r="L12" s="139"/>
    </row>
    <row r="13" spans="1:12" x14ac:dyDescent="0.2">
      <c r="A13" s="98">
        <v>11</v>
      </c>
      <c r="B13" s="139"/>
      <c r="C13" s="139"/>
      <c r="D13" s="139"/>
      <c r="E13" s="139"/>
      <c r="F13" s="139"/>
      <c r="G13" s="139"/>
      <c r="H13" s="139"/>
      <c r="I13" s="139"/>
      <c r="J13" s="139"/>
      <c r="K13" s="139"/>
      <c r="L13" s="139"/>
    </row>
    <row r="14" spans="1:12" x14ac:dyDescent="0.2">
      <c r="A14" s="98">
        <v>12</v>
      </c>
      <c r="B14" s="139"/>
      <c r="C14" s="186" t="s">
        <v>1071</v>
      </c>
      <c r="D14" s="155"/>
      <c r="E14" s="155"/>
      <c r="F14" s="155"/>
      <c r="G14" s="224"/>
      <c r="H14" s="155"/>
      <c r="I14" s="155"/>
      <c r="J14" s="155"/>
      <c r="K14" s="420" t="s">
        <v>2851</v>
      </c>
      <c r="L14" s="75"/>
    </row>
    <row r="15" spans="1:12" x14ac:dyDescent="0.2">
      <c r="B15" s="139"/>
      <c r="C15" s="227"/>
      <c r="D15" s="141"/>
      <c r="E15" s="141"/>
      <c r="F15" s="142"/>
      <c r="G15" s="182"/>
      <c r="H15" s="141"/>
      <c r="I15" s="141"/>
      <c r="J15" s="142"/>
      <c r="K15" s="158"/>
      <c r="L15" s="75"/>
    </row>
    <row r="16" spans="1:12" x14ac:dyDescent="0.2">
      <c r="B16" s="139"/>
      <c r="C16" s="377">
        <f>'REL(1)'!A7</f>
        <v>5</v>
      </c>
      <c r="D16" s="141" t="str">
        <f>"Gift Aid payments made in "&amp;tax_year</f>
        <v>Gift Aid payments made in 2019-20</v>
      </c>
      <c r="E16" s="141"/>
      <c r="F16" s="142"/>
      <c r="G16" s="182"/>
      <c r="H16" s="417">
        <f>'REL(1)'!A10</f>
        <v>8</v>
      </c>
      <c r="I16" s="141" t="str">
        <f>"Gift Aid payments carried back to "&amp;tax_year</f>
        <v>Gift Aid payments carried back to 2019-20</v>
      </c>
      <c r="J16" s="141"/>
      <c r="K16" s="158"/>
      <c r="L16" s="75"/>
    </row>
    <row r="17" spans="2:12" x14ac:dyDescent="0.2">
      <c r="B17" s="139"/>
      <c r="C17" s="227"/>
      <c r="D17" s="172">
        <v>500</v>
      </c>
      <c r="E17" s="142"/>
      <c r="F17" s="142"/>
      <c r="G17" s="182"/>
      <c r="H17" s="182"/>
      <c r="I17" s="172"/>
      <c r="J17" s="141"/>
      <c r="K17" s="158"/>
      <c r="L17" s="75"/>
    </row>
    <row r="18" spans="2:12" x14ac:dyDescent="0.2">
      <c r="B18" s="139"/>
      <c r="C18" s="227"/>
      <c r="D18" s="141"/>
      <c r="E18" s="141"/>
      <c r="F18" s="142"/>
      <c r="G18" s="182"/>
      <c r="H18" s="182"/>
      <c r="I18" s="141"/>
      <c r="J18" s="141"/>
      <c r="K18" s="158"/>
      <c r="L18" s="75"/>
    </row>
    <row r="19" spans="2:12" x14ac:dyDescent="0.2">
      <c r="B19" s="139"/>
      <c r="C19" s="227"/>
      <c r="D19" s="141"/>
      <c r="E19" s="141"/>
      <c r="F19" s="142"/>
      <c r="G19" s="182"/>
      <c r="H19" s="417">
        <f>'REL(1)'!A11</f>
        <v>9</v>
      </c>
      <c r="I19" s="141" t="s">
        <v>587</v>
      </c>
      <c r="J19" s="141"/>
      <c r="K19" s="158"/>
      <c r="L19" s="75"/>
    </row>
    <row r="20" spans="2:12" x14ac:dyDescent="0.2">
      <c r="B20" s="139"/>
      <c r="C20" s="227"/>
      <c r="D20" s="141"/>
      <c r="E20" s="141"/>
      <c r="F20" s="142"/>
      <c r="G20" s="182"/>
      <c r="H20" s="182"/>
      <c r="I20" s="172"/>
      <c r="J20" s="141"/>
      <c r="K20" s="158"/>
      <c r="L20" s="75"/>
    </row>
    <row r="21" spans="2:12" x14ac:dyDescent="0.2">
      <c r="B21" s="139"/>
      <c r="C21" s="227"/>
      <c r="D21" s="141"/>
      <c r="E21" s="141"/>
      <c r="F21" s="142"/>
      <c r="G21" s="182"/>
      <c r="H21" s="182"/>
      <c r="I21" s="141"/>
      <c r="J21" s="141"/>
      <c r="K21" s="158"/>
      <c r="L21" s="75"/>
    </row>
    <row r="22" spans="2:12" x14ac:dyDescent="0.2">
      <c r="B22" s="139"/>
      <c r="C22" s="377">
        <f>'REL(1)'!A9</f>
        <v>7</v>
      </c>
      <c r="D22" s="141" t="str">
        <f>"Gift Aid payments carried back to "&amp;last_year</f>
        <v>Gift Aid payments carried back to 2018-19</v>
      </c>
      <c r="E22" s="141"/>
      <c r="F22" s="142"/>
      <c r="G22" s="182"/>
      <c r="H22" s="169">
        <f>'REL(1)'!A12</f>
        <v>10</v>
      </c>
      <c r="I22" s="141" t="s">
        <v>3553</v>
      </c>
      <c r="J22" s="141"/>
      <c r="K22" s="158"/>
      <c r="L22" s="75"/>
    </row>
    <row r="23" spans="2:12" x14ac:dyDescent="0.2">
      <c r="B23" s="139"/>
      <c r="C23" s="227"/>
      <c r="D23" s="172"/>
      <c r="E23" s="142"/>
      <c r="F23" s="142"/>
      <c r="G23" s="182"/>
      <c r="H23" s="182"/>
      <c r="I23" s="172"/>
      <c r="J23" s="141"/>
      <c r="K23" s="158"/>
      <c r="L23" s="75"/>
    </row>
    <row r="24" spans="2:12" x14ac:dyDescent="0.2">
      <c r="B24" s="139"/>
      <c r="C24" s="230"/>
      <c r="D24" s="163"/>
      <c r="E24" s="163"/>
      <c r="F24" s="163"/>
      <c r="G24" s="231"/>
      <c r="H24" s="163"/>
      <c r="I24" s="163"/>
      <c r="J24" s="163"/>
      <c r="K24" s="164"/>
      <c r="L24" s="139"/>
    </row>
    <row r="25" spans="2:12" x14ac:dyDescent="0.2">
      <c r="B25" s="139"/>
      <c r="C25" s="139"/>
      <c r="D25" s="139"/>
      <c r="E25" s="139"/>
      <c r="F25" s="139"/>
      <c r="G25" s="139"/>
      <c r="H25" s="139"/>
      <c r="I25" s="139"/>
      <c r="J25" s="139"/>
      <c r="K25" s="139"/>
      <c r="L25" s="139"/>
    </row>
    <row r="26" spans="2:12" x14ac:dyDescent="0.2">
      <c r="B26" s="139"/>
      <c r="C26" s="139"/>
      <c r="D26" s="139"/>
      <c r="E26" s="139"/>
      <c r="F26" s="139"/>
      <c r="G26" s="139"/>
      <c r="H26" s="139"/>
      <c r="I26" s="139"/>
      <c r="J26" s="139"/>
      <c r="K26" s="139"/>
      <c r="L26" s="139"/>
    </row>
    <row r="27" spans="2:12" x14ac:dyDescent="0.2">
      <c r="B27" s="139"/>
      <c r="C27" s="139"/>
      <c r="D27" s="139"/>
      <c r="E27" s="139"/>
      <c r="F27" s="139"/>
      <c r="G27" s="139"/>
      <c r="H27" s="139"/>
      <c r="I27" s="139"/>
      <c r="J27" s="139"/>
      <c r="K27" s="139"/>
      <c r="L27" s="139"/>
    </row>
    <row r="28" spans="2:12" x14ac:dyDescent="0.2">
      <c r="B28" s="139"/>
      <c r="C28" s="139"/>
      <c r="D28" s="139"/>
      <c r="E28" s="139"/>
      <c r="F28" s="139"/>
      <c r="G28" s="139"/>
      <c r="H28" s="139"/>
      <c r="I28" s="139"/>
      <c r="J28" s="139"/>
      <c r="K28" s="139"/>
      <c r="L28" s="139"/>
    </row>
    <row r="29" spans="2:12" x14ac:dyDescent="0.2">
      <c r="B29" s="139"/>
      <c r="C29" s="139"/>
      <c r="D29" s="139"/>
      <c r="E29" s="139"/>
      <c r="F29" s="139"/>
      <c r="G29" s="139"/>
      <c r="H29" s="139"/>
      <c r="I29" s="139"/>
      <c r="J29" s="139"/>
      <c r="K29" s="139"/>
      <c r="L29" s="139"/>
    </row>
    <row r="30" spans="2:12" x14ac:dyDescent="0.2">
      <c r="B30" s="139"/>
      <c r="C30" s="139"/>
      <c r="D30" s="139"/>
      <c r="E30" s="139"/>
      <c r="F30" s="139"/>
      <c r="G30" s="139"/>
      <c r="H30" s="139"/>
      <c r="I30" s="139"/>
      <c r="J30" s="139"/>
      <c r="K30" s="139"/>
      <c r="L30" s="139"/>
    </row>
  </sheetData>
  <sheetProtection objects="1" scenarios="1" sheet="1"/>
  <phoneticPr fontId="67" type="noConversion"/>
  <printOptions gridLines="1" headings="1"/>
  <pageMargins bottom="1" footer="0.5" header="0.5" left="0.75" right="0.75" top="1"/>
  <pageSetup orientation="landscape" paperSize="9" r:id="rId1"/>
  <headerFooter alignWithMargins="0"/>
</worksheet>
</file>

<file path=xl/worksheets/sheet32.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xmlns:xr="http://schemas.microsoft.com/office/spreadsheetml/2014/revision" xmlns:xr2="http://schemas.microsoft.com/office/spreadsheetml/2015/revision2" xmlns:xr3="http://schemas.microsoft.com/office/spreadsheetml/2016/revision3" mc:Ignorable="x14ac xr xr2 xr3" xr:uid="{00000000-0001-0000-1F00-000000000000}">
  <sheetPr codeName="Sheet27"/>
  <dimension ref="A1:Q54"/>
  <sheetViews>
    <sheetView showGridLines="0" showRowColHeaders="0" topLeftCell="B1" workbookViewId="0" zoomScaleNormal="100">
      <selection activeCell="Q26" sqref="Q26"/>
    </sheetView>
  </sheetViews>
  <sheetFormatPr defaultColWidth="9.140625" defaultRowHeight="12" x14ac:dyDescent="0.2"/>
  <cols>
    <col min="1" max="1" customWidth="true" hidden="true" style="98" width="6.140625" collapsed="true"/>
    <col min="2" max="2" customWidth="true" style="98" width="13.42578125" collapsed="true"/>
    <col min="3" max="3" customWidth="true" style="98" width="6.0" collapsed="true"/>
    <col min="4" max="4" customWidth="true" style="125" width="13.7109375" collapsed="true"/>
    <col min="5" max="5" customWidth="true" style="125" width="7.7109375" collapsed="true"/>
    <col min="6" max="6" customWidth="true" style="98" width="11.28515625" collapsed="true"/>
    <col min="7" max="7" customWidth="true" style="98" width="6.0" collapsed="true"/>
    <col min="8" max="8" customWidth="true" style="98" width="12.7109375" collapsed="true"/>
    <col min="9" max="9" customWidth="true" style="98" width="2.0" collapsed="true"/>
    <col min="10" max="10" customWidth="true" style="125" width="5.7109375" collapsed="true"/>
    <col min="11" max="11" customWidth="true" style="98" width="18.85546875" collapsed="true"/>
    <col min="12" max="12" customWidth="true" style="98" width="32.85546875" collapsed="true"/>
    <col min="13" max="13" customWidth="true" hidden="true" style="98" width="19.0" collapsed="true"/>
    <col min="14" max="14" customWidth="true" hidden="true" style="98" width="8.42578125" collapsed="true"/>
    <col min="15" max="17" customWidth="true" style="98" width="9.140625" collapsed="true"/>
    <col min="18" max="18" customWidth="true" style="98" width="8.28515625" collapsed="true"/>
    <col min="19" max="16384" style="98" width="9.140625" collapsed="true"/>
  </cols>
  <sheetData>
    <row customHeight="1" ht="12" r="1" spans="1:16" x14ac:dyDescent="0.2">
      <c r="A1" s="98" t="s">
        <v>3839</v>
      </c>
      <c r="B1" s="75"/>
      <c r="C1" s="376" t="s">
        <v>2852</v>
      </c>
      <c r="D1" s="75"/>
      <c r="E1" s="75"/>
      <c r="F1" s="75"/>
      <c r="G1" s="75"/>
      <c r="H1" s="75"/>
      <c r="I1" s="75"/>
      <c r="J1" s="75"/>
      <c r="K1" s="75"/>
      <c r="L1" s="75"/>
      <c r="M1" s="123"/>
      <c r="N1" s="123"/>
      <c r="O1" s="123"/>
      <c r="P1" s="123"/>
    </row>
    <row customHeight="1" ht="12" r="2" spans="1:16" x14ac:dyDescent="0.2">
      <c r="A2" s="98">
        <v>13</v>
      </c>
      <c r="B2" s="75"/>
      <c r="C2" s="186" t="s">
        <v>3413</v>
      </c>
      <c r="D2" s="155"/>
      <c r="E2" s="155"/>
      <c r="F2" s="155"/>
      <c r="G2" s="155"/>
      <c r="H2" s="155"/>
      <c r="I2" s="155"/>
      <c r="J2" s="155"/>
      <c r="K2" s="420" t="s">
        <v>2851</v>
      </c>
      <c r="L2" s="75"/>
      <c r="M2" s="123"/>
      <c r="N2" s="123"/>
      <c r="O2" s="123"/>
      <c r="P2" s="123"/>
    </row>
    <row customHeight="1" ht="12" r="3" spans="1:16" x14ac:dyDescent="0.2">
      <c r="A3" s="98">
        <v>14</v>
      </c>
      <c r="B3" s="75"/>
      <c r="C3" s="227"/>
      <c r="D3" s="141"/>
      <c r="E3" s="141"/>
      <c r="F3" s="142"/>
      <c r="G3" s="142"/>
      <c r="H3" s="142"/>
      <c r="I3" s="142"/>
      <c r="J3" s="142"/>
      <c r="K3" s="233"/>
      <c r="L3" s="75"/>
      <c r="O3" s="123"/>
      <c r="P3" s="123"/>
    </row>
    <row customHeight="1" ht="12" r="4" spans="1:16" x14ac:dyDescent="0.2">
      <c r="A4" s="98">
        <v>15</v>
      </c>
      <c r="B4" s="75"/>
      <c r="C4" s="378">
        <f>'REL(2)'!A2</f>
        <v>13</v>
      </c>
      <c r="D4" s="141"/>
      <c r="E4" s="141"/>
      <c r="F4" s="142"/>
      <c r="G4" s="142"/>
      <c r="H4" s="142"/>
      <c r="I4" s="142"/>
      <c r="J4" s="142"/>
      <c r="K4" s="233"/>
      <c r="L4" s="75"/>
      <c r="M4" s="123"/>
      <c r="N4" s="123"/>
      <c r="O4" s="123"/>
      <c r="P4" s="123"/>
    </row>
    <row customHeight="1" ht="12" r="5" spans="1:16" x14ac:dyDescent="0.2">
      <c r="A5" s="98">
        <v>16</v>
      </c>
      <c r="B5" s="75"/>
      <c r="C5" s="227"/>
      <c r="D5" s="141"/>
      <c r="E5" s="141"/>
      <c r="F5" s="855" t="str">
        <f>IF(BPA_claimed, "BPA claimed", "BPA not claimed")</f>
        <v>BPA not claimed</v>
      </c>
      <c r="G5" s="142"/>
      <c r="H5" s="142"/>
      <c r="I5" s="142"/>
      <c r="J5" s="142"/>
      <c r="K5" s="234"/>
      <c r="L5" s="75"/>
      <c r="M5" t="s">
        <v>2716</v>
      </c>
      <c r="N5" s="12" t="b">
        <v>0</v>
      </c>
      <c r="O5" s="123"/>
      <c r="P5" s="123"/>
    </row>
    <row customHeight="1" ht="12" r="6" spans="1:16" x14ac:dyDescent="0.2">
      <c r="B6" s="75"/>
      <c r="C6" s="230"/>
      <c r="D6" s="163"/>
      <c r="E6" s="163"/>
      <c r="F6" s="163"/>
      <c r="G6" s="163"/>
      <c r="H6" s="163"/>
      <c r="I6" s="163"/>
      <c r="J6" s="163"/>
      <c r="K6" s="164"/>
      <c r="L6" s="75"/>
      <c r="M6" s="123"/>
      <c r="N6" s="123"/>
      <c r="O6" s="123"/>
      <c r="P6" s="123"/>
    </row>
    <row customHeight="1" ht="12" r="7" spans="1:16" x14ac:dyDescent="0.2">
      <c r="B7" s="75"/>
      <c r="C7" s="75"/>
      <c r="D7" s="75"/>
      <c r="E7" s="75"/>
      <c r="F7" s="75"/>
      <c r="G7" s="75"/>
      <c r="H7" s="75"/>
      <c r="I7" s="75"/>
      <c r="J7" s="75"/>
      <c r="K7" s="75"/>
      <c r="L7" s="75"/>
      <c r="M7" s="123"/>
      <c r="N7" s="123"/>
      <c r="O7" s="123"/>
      <c r="P7" s="123"/>
    </row>
    <row customHeight="1" ht="12" r="8" spans="1:16" x14ac:dyDescent="0.2">
      <c r="A8" t="s">
        <v>2845</v>
      </c>
      <c r="B8" s="75"/>
      <c r="C8" s="75"/>
      <c r="D8" s="75"/>
      <c r="E8" s="75"/>
      <c r="F8" s="75"/>
      <c r="G8" s="75"/>
      <c r="H8" s="75"/>
      <c r="I8" s="75"/>
      <c r="J8" s="75"/>
      <c r="K8" s="75"/>
      <c r="L8" s="75"/>
      <c r="M8" s="123"/>
      <c r="N8" s="123"/>
      <c r="O8" s="123"/>
      <c r="P8" s="123"/>
    </row>
    <row customHeight="1" ht="12" r="9" spans="1:16" x14ac:dyDescent="0.2">
      <c r="A9">
        <v>1</v>
      </c>
      <c r="B9" s="75"/>
      <c r="C9" s="154" t="s">
        <v>2846</v>
      </c>
      <c r="D9" s="155"/>
      <c r="E9" s="155"/>
      <c r="F9" s="155"/>
      <c r="G9" s="155"/>
      <c r="H9" s="155"/>
      <c r="I9" s="155"/>
      <c r="J9" s="155"/>
      <c r="K9" s="420" t="s">
        <v>2845</v>
      </c>
      <c r="L9" s="75"/>
      <c r="O9" s="123"/>
      <c r="P9" s="123"/>
    </row>
    <row customHeight="1" ht="12" r="10" spans="1:16" x14ac:dyDescent="0.2">
      <c r="A10">
        <v>2</v>
      </c>
      <c r="B10" s="75"/>
      <c r="C10" s="157"/>
      <c r="D10" s="141"/>
      <c r="E10" s="142"/>
      <c r="F10" s="141"/>
      <c r="G10" s="141"/>
      <c r="H10" s="141"/>
      <c r="I10" s="141"/>
      <c r="J10" s="142"/>
      <c r="K10" s="158"/>
      <c r="L10" s="75"/>
      <c r="M10" s="123"/>
      <c r="N10" s="123"/>
      <c r="O10" s="123"/>
      <c r="P10" s="123"/>
    </row>
    <row customHeight="1" ht="12" r="11" spans="1:16" x14ac:dyDescent="0.2">
      <c r="A11">
        <v>3</v>
      </c>
      <c r="B11" s="75"/>
      <c r="C11" s="165">
        <f>'REL(2)'!A9</f>
        <v>1</v>
      </c>
      <c r="D11" s="141"/>
      <c r="E11" s="141"/>
      <c r="F11" s="141"/>
      <c r="G11" s="165">
        <f>'REL(2)'!A10</f>
        <v>2</v>
      </c>
      <c r="H11" s="141" t="s">
        <v>697</v>
      </c>
      <c r="I11" s="141"/>
      <c r="J11" s="141"/>
      <c r="K11" s="158"/>
      <c r="L11" s="75"/>
      <c r="M11" s="123"/>
      <c r="N11" s="123"/>
      <c r="O11" s="123"/>
      <c r="P11" s="123"/>
    </row>
    <row customHeight="1" ht="12" r="12" spans="1:16" x14ac:dyDescent="0.2">
      <c r="A12" s="864" t="s">
        <v>5906</v>
      </c>
      <c r="B12" s="75"/>
      <c r="C12" s="157"/>
      <c r="D12" s="141"/>
      <c r="E12" s="141"/>
      <c r="F12" s="141"/>
      <c r="G12" s="141"/>
      <c r="H12" s="166"/>
      <c r="I12" s="141"/>
      <c r="J12" s="141"/>
      <c r="K12" s="158"/>
      <c r="L12" s="75"/>
      <c r="M12" s="864" t="s">
        <v>4223</v>
      </c>
      <c r="N12" s="1302" t="b">
        <v>0</v>
      </c>
      <c r="O12" s="123"/>
      <c r="P12" s="123"/>
    </row>
    <row customHeight="1" ht="12" r="13" spans="1:16" x14ac:dyDescent="0.2">
      <c r="A13" s="138"/>
      <c r="B13" s="75"/>
      <c r="C13" s="165" t="str">
        <f>A12</f>
        <v>PT</v>
      </c>
      <c r="D13" s="141" t="s">
        <v>5168</v>
      </c>
      <c r="E13" s="141"/>
      <c r="F13" s="855"/>
      <c r="G13" s="142"/>
      <c r="H13" s="142"/>
      <c r="I13" s="142"/>
      <c r="J13" s="142"/>
      <c r="K13" s="234"/>
      <c r="L13" s="75"/>
      <c r="M13" s="864" t="s">
        <v>5167</v>
      </c>
      <c r="N13" s="14"/>
      <c r="O13" s="123"/>
      <c r="P13" s="123"/>
    </row>
    <row customHeight="1" ht="12" r="14" spans="1:16" x14ac:dyDescent="0.2">
      <c r="A14" s="1272" t="s">
        <v>5126</v>
      </c>
      <c r="B14" s="75"/>
      <c r="C14" s="227"/>
      <c r="D14" s="141"/>
      <c r="E14" s="141"/>
      <c r="F14" s="855"/>
      <c r="G14" s="182"/>
      <c r="H14" s="141" t="s">
        <v>7463</v>
      </c>
      <c r="I14" s="141"/>
      <c r="J14" s="141"/>
      <c r="K14" s="158"/>
      <c r="L14" s="75"/>
      <c r="M14" s="123"/>
      <c r="N14" s="123"/>
      <c r="O14" s="123"/>
      <c r="P14" s="123"/>
    </row>
    <row customHeight="1" ht="12" r="15" spans="1:16" x14ac:dyDescent="0.2">
      <c r="A15" s="1273" t="s">
        <v>5127</v>
      </c>
      <c r="B15" s="75"/>
      <c r="C15" s="157"/>
      <c r="D15" s="141"/>
      <c r="E15" s="141"/>
      <c r="F15" s="141"/>
      <c r="G15" s="2281">
        <f>A11</f>
        <v>3</v>
      </c>
      <c r="H15" s="141" t="s">
        <v>7462</v>
      </c>
      <c r="I15" s="1846"/>
      <c r="J15" s="1846"/>
      <c r="K15" s="2282"/>
      <c r="L15" s="75"/>
      <c r="M15" s="123"/>
      <c r="N15" s="123"/>
      <c r="O15" s="123"/>
      <c r="P15" s="123"/>
    </row>
    <row customHeight="1" ht="12" r="16" spans="1:16" x14ac:dyDescent="0.2">
      <c r="A16" s="1274" t="s">
        <v>5128</v>
      </c>
      <c r="B16" s="75"/>
      <c r="C16" s="3135"/>
      <c r="D16" s="3136"/>
      <c r="E16" s="3136"/>
      <c r="F16" s="3136"/>
      <c r="G16" s="228"/>
      <c r="H16" s="3101"/>
      <c r="I16" s="182"/>
      <c r="J16" s="182"/>
      <c r="K16" s="228"/>
      <c r="L16" s="75"/>
      <c r="M16" s="123"/>
      <c r="N16" s="123"/>
      <c r="O16" s="123"/>
      <c r="P16" s="123"/>
    </row>
    <row customHeight="1" ht="12" r="17" spans="1:16" x14ac:dyDescent="0.2">
      <c r="A17" s="1274" t="s">
        <v>5129</v>
      </c>
      <c r="B17" s="75"/>
      <c r="C17" s="165" t="str">
        <f>A21</f>
        <v>PT</v>
      </c>
      <c r="D17" s="3252" t="s">
        <v>7543</v>
      </c>
      <c r="E17" s="1846"/>
      <c r="F17" s="1846"/>
      <c r="G17" s="1846"/>
      <c r="H17" s="3253"/>
      <c r="I17" s="3136"/>
      <c r="J17" s="3136"/>
      <c r="K17" s="158"/>
      <c r="L17" s="75"/>
      <c r="O17" s="123"/>
      <c r="P17" s="123"/>
    </row>
    <row customHeight="1" ht="12" r="18" spans="1:16" x14ac:dyDescent="0.2">
      <c r="A18" s="3248"/>
      <c r="B18" s="75"/>
      <c r="C18" s="3262"/>
      <c r="D18" s="1846"/>
      <c r="E18" s="1846"/>
      <c r="F18" s="1846"/>
      <c r="G18" s="1846"/>
      <c r="H18" s="1846"/>
      <c r="I18" s="3136"/>
      <c r="J18" s="3136"/>
      <c r="K18" s="158"/>
      <c r="L18" s="75"/>
      <c r="O18" s="123"/>
      <c r="P18" s="123"/>
    </row>
    <row customHeight="1" ht="12" r="19" spans="1:16" x14ac:dyDescent="0.2">
      <c r="A19" s="3249"/>
      <c r="B19" s="75"/>
      <c r="C19" s="3252"/>
      <c r="D19" s="1846"/>
      <c r="E19" s="1846"/>
      <c r="F19" s="1846"/>
      <c r="G19" s="1846"/>
      <c r="H19" s="1846"/>
      <c r="I19" s="3136"/>
      <c r="J19" s="3136"/>
      <c r="K19" s="158"/>
      <c r="L19" s="75"/>
      <c r="O19" s="123"/>
      <c r="P19" s="123"/>
    </row>
    <row customHeight="1" ht="12" r="20" spans="1:16" x14ac:dyDescent="0.2">
      <c r="A20" s="98" t="s">
        <v>7539</v>
      </c>
      <c r="B20" s="75"/>
      <c r="C20" s="3137"/>
      <c r="D20" s="3138"/>
      <c r="E20" s="3138"/>
      <c r="F20" s="3138"/>
      <c r="G20" s="3138"/>
      <c r="H20" s="3138"/>
      <c r="I20" s="3138"/>
      <c r="J20" s="3138"/>
      <c r="K20" s="3221"/>
      <c r="L20" s="75"/>
      <c r="O20" s="123"/>
      <c r="P20" s="123"/>
    </row>
    <row customHeight="1" ht="12" r="21" spans="1:16" x14ac:dyDescent="0.2">
      <c r="A21" s="3250" t="s">
        <v>5906</v>
      </c>
      <c r="B21" s="75"/>
      <c r="C21" s="75"/>
      <c r="D21" s="75"/>
      <c r="E21" s="75"/>
      <c r="F21" s="75"/>
      <c r="G21" s="75"/>
      <c r="H21" s="75"/>
      <c r="I21" s="75"/>
      <c r="J21" s="75"/>
      <c r="K21" s="75"/>
      <c r="L21" s="75"/>
      <c r="O21" s="123"/>
      <c r="P21" s="123"/>
    </row>
    <row customHeight="1" ht="12" r="22" spans="1:16" x14ac:dyDescent="0.2">
      <c r="A22" s="3251" t="s">
        <v>7444</v>
      </c>
      <c r="B22" s="75"/>
      <c r="C22" s="75"/>
      <c r="D22" s="75"/>
      <c r="E22" s="75"/>
      <c r="F22" s="75"/>
      <c r="G22" s="75"/>
      <c r="H22" s="75"/>
      <c r="I22" s="75"/>
      <c r="J22" s="75"/>
      <c r="K22" s="75"/>
      <c r="L22" s="75"/>
      <c r="O22" s="123"/>
      <c r="P22" s="123"/>
    </row>
    <row customHeight="1" ht="12" r="23" spans="1:16" x14ac:dyDescent="0.2">
      <c r="A23" s="1273" t="s">
        <v>5127</v>
      </c>
      <c r="B23" s="75"/>
      <c r="C23" s="186" t="s">
        <v>3022</v>
      </c>
      <c r="D23" s="155"/>
      <c r="E23" s="155"/>
      <c r="F23" s="155"/>
      <c r="G23" s="155"/>
      <c r="H23" s="155"/>
      <c r="I23" s="155"/>
      <c r="J23" s="155"/>
      <c r="K23" s="420" t="s">
        <v>3023</v>
      </c>
      <c r="L23" s="75"/>
      <c r="O23" s="123"/>
      <c r="P23" s="123"/>
    </row>
    <row customHeight="1" ht="12" r="24" spans="1:16" x14ac:dyDescent="0.2">
      <c r="A24" s="1274"/>
      <c r="B24" s="75"/>
      <c r="C24" s="227"/>
      <c r="D24" s="849"/>
      <c r="E24" s="850"/>
      <c r="F24" s="850"/>
      <c r="G24" s="850"/>
      <c r="H24" s="850"/>
      <c r="I24" s="850"/>
      <c r="J24" s="850"/>
      <c r="K24" s="233"/>
      <c r="L24" s="75"/>
      <c r="O24" s="123"/>
      <c r="P24" s="123"/>
    </row>
    <row customHeight="1" ht="12" r="25" spans="1:16" x14ac:dyDescent="0.2">
      <c r="A25" s="4260"/>
      <c r="B25" s="75"/>
      <c r="C25" s="418">
        <f>'REL(2)'!A32</f>
        <v>1</v>
      </c>
      <c r="D25" s="853" t="s">
        <v>2266</v>
      </c>
      <c r="E25" s="850"/>
      <c r="F25" s="850"/>
      <c r="G25" s="850"/>
      <c r="H25" s="850"/>
      <c r="I25" s="850"/>
      <c r="J25" s="850"/>
      <c r="K25" s="233"/>
      <c r="L25" s="75"/>
      <c r="M25" s="98" t="s">
        <v>7540</v>
      </c>
      <c r="N25" s="12"/>
      <c r="O25" s="123"/>
      <c r="P25" s="123"/>
    </row>
    <row customHeight="1" ht="12" r="26" spans="1:16" x14ac:dyDescent="0.2">
      <c r="A26" s="4388" t="s">
        <v>8002</v>
      </c>
      <c r="B26" s="75"/>
      <c r="C26" s="227"/>
      <c r="D26" s="2814"/>
      <c r="E26" s="850"/>
      <c r="F26" s="850"/>
      <c r="G26" s="850"/>
      <c r="H26" s="850"/>
      <c r="I26" s="850"/>
      <c r="J26" s="850"/>
      <c r="K26" s="233"/>
      <c r="L26" s="75"/>
      <c r="O26" s="123"/>
      <c r="P26" s="123"/>
    </row>
    <row customHeight="1" ht="12" r="27" spans="1:16" x14ac:dyDescent="0.2">
      <c r="B27" s="75"/>
      <c r="C27" s="230"/>
      <c r="D27" s="163"/>
      <c r="E27" s="163"/>
      <c r="F27" s="163"/>
      <c r="G27" s="163"/>
      <c r="H27" s="163"/>
      <c r="I27" s="163"/>
      <c r="J27" s="163"/>
      <c r="K27" s="164"/>
      <c r="L27" s="75"/>
      <c r="O27" s="123"/>
      <c r="P27" s="123"/>
    </row>
    <row customHeight="1" ht="12" r="28" spans="1:16" x14ac:dyDescent="0.2">
      <c r="B28" s="75"/>
      <c r="C28" s="139"/>
      <c r="D28" s="139"/>
      <c r="E28" s="139"/>
      <c r="F28" s="139"/>
      <c r="G28" s="139"/>
      <c r="H28" s="139"/>
      <c r="I28" s="139"/>
      <c r="J28" s="139"/>
      <c r="K28" s="139"/>
      <c r="L28" s="75"/>
      <c r="O28" s="123"/>
      <c r="P28" s="123"/>
    </row>
    <row customHeight="1" ht="12" r="29" spans="1:16" x14ac:dyDescent="0.2">
      <c r="B29" s="75"/>
      <c r="C29" s="75"/>
      <c r="D29" s="75"/>
      <c r="E29" s="75"/>
      <c r="F29" s="75"/>
      <c r="G29" s="75"/>
      <c r="H29" s="75"/>
      <c r="I29" s="75"/>
      <c r="J29" s="139"/>
      <c r="K29" s="139"/>
      <c r="L29" s="75"/>
    </row>
    <row customHeight="1" ht="12" r="30" spans="1:16" x14ac:dyDescent="0.2">
      <c r="B30" s="75"/>
      <c r="C30" s="186" t="s">
        <v>4226</v>
      </c>
      <c r="D30" s="155"/>
      <c r="E30" s="155"/>
      <c r="F30" s="155"/>
      <c r="G30" s="155"/>
      <c r="H30" s="155"/>
      <c r="I30" s="155"/>
      <c r="J30" s="155"/>
      <c r="K30" s="420" t="s">
        <v>4225</v>
      </c>
      <c r="L30" s="75"/>
      <c r="M30" s="123"/>
      <c r="N30" s="123"/>
    </row>
    <row customHeight="1" ht="12" r="31" spans="1:16" x14ac:dyDescent="0.2">
      <c r="A31" s="98" t="s">
        <v>3023</v>
      </c>
      <c r="B31" s="75"/>
      <c r="C31" s="227"/>
      <c r="D31" s="141"/>
      <c r="E31" s="141"/>
      <c r="F31" s="142"/>
      <c r="G31" s="142"/>
      <c r="H31" s="142"/>
      <c r="I31" s="142"/>
      <c r="J31" s="142"/>
      <c r="K31" s="233"/>
      <c r="L31" s="75"/>
      <c r="M31" s="123"/>
      <c r="N31" s="123"/>
    </row>
    <row customHeight="1" ht="12" r="32" spans="1:16" x14ac:dyDescent="0.2">
      <c r="A32" s="98">
        <v>1</v>
      </c>
      <c r="B32" s="75"/>
      <c r="C32" s="378" t="str">
        <f>A37</f>
        <v>1-5</v>
      </c>
      <c r="D32" s="182" t="s">
        <v>7687</v>
      </c>
      <c r="E32" s="141"/>
      <c r="F32" s="142"/>
      <c r="G32" s="142"/>
      <c r="H32" s="142"/>
      <c r="I32" s="142"/>
      <c r="J32" s="142"/>
      <c r="K32" s="233"/>
      <c r="L32" s="75"/>
      <c r="M32" s="123"/>
      <c r="N32" s="123"/>
    </row>
    <row customHeight="1" ht="12" r="33" spans="1:14" x14ac:dyDescent="0.2">
      <c r="B33" s="75"/>
      <c r="C33" s="227"/>
      <c r="D33" s="141"/>
      <c r="E33" s="141"/>
      <c r="F33" s="855" t="str">
        <f>IF(MA_transfer, "MA transferred", "MA not transferred")</f>
        <v>MA not transferred</v>
      </c>
      <c r="G33" s="142"/>
      <c r="H33" s="142"/>
      <c r="I33" s="142"/>
      <c r="J33" s="142"/>
      <c r="K33" s="234"/>
      <c r="L33" s="75"/>
      <c r="M33" s="123"/>
      <c r="N33" s="123"/>
    </row>
    <row r="34" spans="1:14" x14ac:dyDescent="0.2">
      <c r="B34" s="75"/>
      <c r="C34" s="230"/>
      <c r="D34" s="163"/>
      <c r="E34" s="163"/>
      <c r="F34" s="163"/>
      <c r="G34" s="163"/>
      <c r="H34" s="1018" t="str">
        <f>IF(HR_case_MAT=1,"Election is invalid","")</f>
        <v>Election is invalid</v>
      </c>
      <c r="I34" s="163"/>
      <c r="J34" s="163"/>
      <c r="K34" s="164"/>
      <c r="L34" s="75"/>
    </row>
    <row customHeight="1" ht="12" r="35" spans="1:14" x14ac:dyDescent="0.2">
      <c r="B35" s="75"/>
      <c r="C35" s="75"/>
      <c r="D35" s="75"/>
      <c r="E35" s="75"/>
      <c r="F35" s="75"/>
      <c r="G35" s="75"/>
      <c r="H35" s="75"/>
      <c r="I35" s="75"/>
      <c r="J35" s="75"/>
      <c r="K35" s="75"/>
      <c r="L35" s="75"/>
    </row>
    <row customHeight="1" ht="12" r="36" spans="1:14" x14ac:dyDescent="0.2">
      <c r="A36" s="98" t="s">
        <v>4225</v>
      </c>
      <c r="B36" s="75"/>
      <c r="C36" s="186" t="s">
        <v>4463</v>
      </c>
      <c r="D36" s="155"/>
      <c r="E36" s="155"/>
      <c r="F36" s="155"/>
      <c r="G36" s="155"/>
      <c r="H36" s="155"/>
      <c r="I36" s="155"/>
      <c r="J36" s="155"/>
      <c r="K36" s="420" t="s">
        <v>4225</v>
      </c>
      <c r="L36" s="75"/>
      <c r="M36" s="123"/>
    </row>
    <row customHeight="1" ht="12" r="37" spans="1:14" x14ac:dyDescent="0.2">
      <c r="A37" s="1439" t="s">
        <v>4459</v>
      </c>
      <c r="B37" s="75"/>
      <c r="C37" s="227"/>
      <c r="D37" s="141"/>
      <c r="E37" s="141"/>
      <c r="F37" s="142"/>
      <c r="G37" s="142"/>
      <c r="H37" s="142"/>
      <c r="I37" s="142"/>
      <c r="J37" s="142"/>
      <c r="K37" s="233"/>
      <c r="L37" s="75"/>
      <c r="M37" s="123" t="s">
        <v>4224</v>
      </c>
      <c r="N37" s="12" t="b">
        <v>0</v>
      </c>
    </row>
    <row customHeight="1" ht="12" r="38" spans="1:14" x14ac:dyDescent="0.2">
      <c r="A38" s="98" t="s">
        <v>5172</v>
      </c>
      <c r="B38" s="75"/>
      <c r="C38" s="378" t="str">
        <f>A38</f>
        <v>M_O</v>
      </c>
      <c r="D38" s="182" t="s">
        <v>4461</v>
      </c>
      <c r="E38" s="141"/>
      <c r="F38" s="142"/>
      <c r="G38" s="378" t="str">
        <f>A39</f>
        <v>M_I</v>
      </c>
      <c r="H38" s="182" t="s">
        <v>4462</v>
      </c>
      <c r="I38" s="141"/>
      <c r="J38" s="142"/>
      <c r="K38" s="233"/>
      <c r="L38" s="75"/>
    </row>
    <row customHeight="1" ht="12" r="39" spans="1:14" x14ac:dyDescent="0.2">
      <c r="A39" s="98" t="s">
        <v>5173</v>
      </c>
      <c r="B39" s="75"/>
      <c r="C39" s="227"/>
      <c r="D39" s="141"/>
      <c r="E39" s="855" t="str">
        <f>IF(MAT_OUT, "MA transferred out", "MA not transferred out")</f>
        <v>MA not transferred out</v>
      </c>
      <c r="F39" s="855"/>
      <c r="G39" s="1051"/>
      <c r="H39" s="141"/>
      <c r="I39" s="855" t="str">
        <f>IF(MAT_IN, "MA transferred in", "MA not transferred in")</f>
        <v>MA not transferred in</v>
      </c>
      <c r="J39" s="142"/>
      <c r="K39" s="234"/>
      <c r="L39" s="75"/>
    </row>
    <row r="40" spans="1:14" x14ac:dyDescent="0.2">
      <c r="B40" s="75"/>
      <c r="C40" s="230"/>
      <c r="D40" s="163"/>
      <c r="E40" s="163"/>
      <c r="F40" s="163"/>
      <c r="G40" s="163"/>
      <c r="H40" s="1018" t="str">
        <f>IF(HR_case_MAT="Y","Election is invalid","")</f>
        <v/>
      </c>
      <c r="I40" s="163"/>
      <c r="J40" s="163"/>
      <c r="K40" s="164"/>
      <c r="L40" s="75"/>
      <c r="M40" s="98" t="s">
        <v>4460</v>
      </c>
    </row>
    <row r="41" spans="1:14" x14ac:dyDescent="0.2">
      <c r="B41" s="75"/>
      <c r="C41" s="75"/>
      <c r="D41" s="75"/>
      <c r="E41" s="75"/>
      <c r="F41" s="75"/>
      <c r="G41" s="75"/>
      <c r="H41" s="75"/>
      <c r="I41" s="75"/>
      <c r="J41" s="75"/>
      <c r="K41" s="75"/>
      <c r="L41" s="75"/>
      <c r="M41" s="98" t="s">
        <v>4461</v>
      </c>
      <c r="N41" s="1052" t="b">
        <v>0</v>
      </c>
    </row>
    <row r="42" spans="1:14" x14ac:dyDescent="0.2">
      <c r="B42" s="75"/>
      <c r="C42" s="1000"/>
      <c r="D42" s="1050"/>
      <c r="E42" s="1050"/>
      <c r="F42" s="1000"/>
      <c r="G42" s="1000"/>
      <c r="H42" s="1000"/>
      <c r="I42" s="1000"/>
      <c r="J42" s="1050"/>
      <c r="K42" s="1000"/>
      <c r="L42" s="75"/>
      <c r="M42" s="98" t="s">
        <v>4462</v>
      </c>
      <c r="N42" s="1052" t="b">
        <v>0</v>
      </c>
    </row>
    <row r="43" spans="1:14" x14ac:dyDescent="0.2">
      <c r="A43" s="98" t="s">
        <v>908</v>
      </c>
      <c r="B43" s="75"/>
      <c r="C43" s="186" t="s">
        <v>3767</v>
      </c>
      <c r="D43" s="155"/>
      <c r="E43" s="155"/>
      <c r="F43" s="155"/>
      <c r="G43" s="155"/>
      <c r="H43" s="155"/>
      <c r="I43" s="155"/>
      <c r="J43" s="155"/>
      <c r="K43" s="420" t="s">
        <v>908</v>
      </c>
      <c r="L43" s="75"/>
    </row>
    <row r="44" spans="1:14" x14ac:dyDescent="0.2">
      <c r="A44" s="98">
        <v>1</v>
      </c>
      <c r="B44" s="75"/>
      <c r="C44" s="227"/>
      <c r="D44" s="141"/>
      <c r="E44" s="142"/>
      <c r="F44" s="142"/>
      <c r="G44" s="142"/>
      <c r="H44" s="142"/>
      <c r="I44" s="142"/>
      <c r="J44" s="142"/>
      <c r="K44" s="158"/>
      <c r="L44" s="75"/>
    </row>
    <row r="45" spans="1:14" x14ac:dyDescent="0.2">
      <c r="A45" s="98">
        <v>2</v>
      </c>
      <c r="B45" s="75"/>
      <c r="C45" s="418">
        <f>A44</f>
        <v>1</v>
      </c>
      <c r="D45" s="141" t="str">
        <f>"If you have had any "&amp;tax_year&amp;" Income Tax refunded or set off by us or Jobcentre Plus"</f>
        <v>If you have had any 2019-20 Income Tax refunded or set off by us or Jobcentre Plus</v>
      </c>
      <c r="E45" s="142"/>
      <c r="F45" s="142"/>
      <c r="G45" s="142"/>
      <c r="H45" s="142"/>
      <c r="I45" s="142"/>
      <c r="J45" s="142"/>
      <c r="K45" s="158"/>
      <c r="L45" s="75"/>
    </row>
    <row ht="12.75" r="46" spans="1:14" x14ac:dyDescent="0.2">
      <c r="A46" s="98">
        <v>3</v>
      </c>
      <c r="B46" s="1000"/>
      <c r="C46" s="227"/>
      <c r="D46" s="235">
        <v>600</v>
      </c>
      <c r="E46" s="142"/>
      <c r="F46" s="142"/>
      <c r="G46" s="142"/>
      <c r="H46" s="142"/>
      <c r="I46" s="142"/>
      <c r="J46" s="142"/>
      <c r="K46" s="158"/>
      <c r="L46" s="1000"/>
    </row>
    <row r="47" spans="1:14" x14ac:dyDescent="0.2">
      <c r="B47" s="75"/>
      <c r="C47" s="230"/>
      <c r="D47" s="163"/>
      <c r="E47" s="163"/>
      <c r="F47" s="163"/>
      <c r="G47" s="163"/>
      <c r="H47" s="163"/>
      <c r="I47" s="163"/>
      <c r="J47" s="163"/>
      <c r="K47" s="164"/>
      <c r="L47" s="75"/>
    </row>
    <row r="48" spans="1:14" x14ac:dyDescent="0.2">
      <c r="B48" s="75"/>
      <c r="C48" s="75"/>
      <c r="D48" s="75"/>
      <c r="E48" s="75"/>
      <c r="F48" s="75"/>
      <c r="G48" s="75"/>
      <c r="H48" s="75"/>
      <c r="I48" s="75"/>
      <c r="J48" s="75"/>
      <c r="K48" s="75"/>
      <c r="L48" s="75"/>
    </row>
    <row r="49" spans="2:12" x14ac:dyDescent="0.2">
      <c r="B49" s="75"/>
      <c r="C49" s="75"/>
      <c r="D49" s="75"/>
      <c r="E49" s="75"/>
      <c r="F49" s="75"/>
      <c r="G49" s="75"/>
      <c r="H49" s="75"/>
      <c r="I49" s="75"/>
      <c r="J49" s="75"/>
      <c r="K49" s="75"/>
      <c r="L49" s="75"/>
    </row>
    <row r="50" spans="2:12" x14ac:dyDescent="0.2">
      <c r="B50" s="75"/>
      <c r="C50" s="75"/>
      <c r="D50" s="75"/>
      <c r="E50" s="75"/>
      <c r="F50" s="75"/>
      <c r="G50" s="75"/>
      <c r="H50" s="75"/>
      <c r="I50" s="75"/>
      <c r="J50" s="75"/>
      <c r="K50" s="75"/>
      <c r="L50" s="75"/>
    </row>
    <row r="51" spans="2:12" x14ac:dyDescent="0.2">
      <c r="B51" s="75"/>
      <c r="C51" s="75"/>
      <c r="D51" s="75"/>
      <c r="E51" s="75"/>
      <c r="F51" s="75"/>
      <c r="G51" s="75"/>
      <c r="H51" s="75"/>
      <c r="I51" s="75"/>
      <c r="J51" s="75"/>
      <c r="K51" s="75"/>
      <c r="L51" s="75"/>
    </row>
    <row r="52" spans="2:12" x14ac:dyDescent="0.2">
      <c r="B52" s="75"/>
      <c r="C52" s="75"/>
      <c r="D52" s="75"/>
      <c r="E52" s="75"/>
      <c r="F52" s="75"/>
      <c r="G52" s="75"/>
      <c r="H52" s="75"/>
      <c r="I52" s="75"/>
      <c r="J52" s="75"/>
      <c r="K52" s="75"/>
      <c r="L52" s="75"/>
    </row>
    <row r="53" spans="2:12" x14ac:dyDescent="0.2">
      <c r="B53" s="75"/>
      <c r="C53" s="75"/>
      <c r="D53" s="75"/>
      <c r="E53" s="75"/>
      <c r="F53" s="75"/>
      <c r="G53" s="75"/>
      <c r="H53" s="75"/>
      <c r="I53" s="75"/>
      <c r="J53" s="75"/>
      <c r="K53" s="75"/>
      <c r="L53" s="75"/>
    </row>
    <row r="54" spans="2:12" x14ac:dyDescent="0.2">
      <c r="B54" s="75"/>
      <c r="C54" s="75"/>
      <c r="D54" s="75"/>
      <c r="E54" s="75"/>
      <c r="F54" s="75"/>
      <c r="G54" s="75"/>
      <c r="H54" s="75"/>
      <c r="I54" s="75"/>
      <c r="J54" s="75"/>
      <c r="K54" s="75"/>
      <c r="L54" s="75"/>
    </row>
  </sheetData>
  <phoneticPr fontId="67" type="noConversion"/>
  <dataValidations count="1">
    <dataValidation allowBlank="1" prompt="Complete the SL_t box next by selecting Plan type" promptTitle="Student Loan Plan type" showErrorMessage="1" showInputMessage="1" sqref="H12" xr:uid="{00000000-0002-0000-1F00-000000000000}"/>
  </dataValidations>
  <pageMargins bottom="1" footer="0.5" header="0.5" left="0.75" right="0.75" top="1"/>
  <pageSetup orientation="landscape" paperSize="9" r:id="rId1"/>
  <headerFooter alignWithMargins="0"/>
  <drawing r:id="rId2"/>
  <legacyDrawing r:id="rId3"/>
  <mc:AlternateContent>
    <mc:Choice Requires="x14">
      <controls>
        <mc:AlternateContent>
          <mc:Choice Requires="x14">
            <control name="Check Box 1" r:id="rId4" shapeId="39937">
              <controlPr autoFill="0" autoLine="0" autoPict="0" defaultSize="0">
                <anchor moveWithCells="1">
                  <from>
                    <xdr:col>2</xdr:col>
                    <xdr:colOff>276225</xdr:colOff>
                    <xdr:row>3</xdr:row>
                    <xdr:rowOff>66675</xdr:rowOff>
                  </from>
                  <to>
                    <xdr:col>3</xdr:col>
                    <xdr:colOff>180975</xdr:colOff>
                    <xdr:row>5</xdr:row>
                    <xdr:rowOff>38100</xdr:rowOff>
                  </to>
                </anchor>
              </controlPr>
            </control>
          </mc:Choice>
        </mc:AlternateContent>
        <mc:AlternateContent>
          <mc:Choice Requires="x14">
            <control name="Check Box 7" r:id="rId5" shapeId="39943">
              <controlPr autoFill="0" autoLine="0" autoPict="0" defaultSize="0" macro="[0]!Checkboxes_MA_transfer">
                <anchor moveWithCells="1">
                  <from>
                    <xdr:col>2</xdr:col>
                    <xdr:colOff>266700</xdr:colOff>
                    <xdr:row>31</xdr:row>
                    <xdr:rowOff>66675</xdr:rowOff>
                  </from>
                  <to>
                    <xdr:col>3</xdr:col>
                    <xdr:colOff>171450</xdr:colOff>
                    <xdr:row>33</xdr:row>
                    <xdr:rowOff>38100</xdr:rowOff>
                  </to>
                </anchor>
              </controlPr>
            </control>
          </mc:Choice>
        </mc:AlternateContent>
        <mc:AlternateContent>
          <mc:Choice Requires="x14">
            <control name="Check Box 10" r:id="rId6" shapeId="39946">
              <controlPr autoFill="0" autoLine="0" autoPict="0" defaultSize="0" macro="[0]!Checkboxes_MAT_OUT">
                <anchor moveWithCells="1">
                  <from>
                    <xdr:col>2</xdr:col>
                    <xdr:colOff>266700</xdr:colOff>
                    <xdr:row>37</xdr:row>
                    <xdr:rowOff>66675</xdr:rowOff>
                  </from>
                  <to>
                    <xdr:col>3</xdr:col>
                    <xdr:colOff>171450</xdr:colOff>
                    <xdr:row>39</xdr:row>
                    <xdr:rowOff>38100</xdr:rowOff>
                  </to>
                </anchor>
              </controlPr>
            </control>
          </mc:Choice>
        </mc:AlternateContent>
        <mc:AlternateContent>
          <mc:Choice Requires="x14">
            <control name="Check Box 11" r:id="rId7" shapeId="39947">
              <controlPr autoFill="0" autoLine="0" autoPict="0" defaultSize="0" macro="[0]!Checkboxes_MAT_IN">
                <anchor moveWithCells="1">
                  <from>
                    <xdr:col>6</xdr:col>
                    <xdr:colOff>266700</xdr:colOff>
                    <xdr:row>37</xdr:row>
                    <xdr:rowOff>66675</xdr:rowOff>
                  </from>
                  <to>
                    <xdr:col>7</xdr:col>
                    <xdr:colOff>171450</xdr:colOff>
                    <xdr:row>39</xdr:row>
                    <xdr:rowOff>38100</xdr:rowOff>
                  </to>
                </anchor>
              </controlPr>
            </control>
          </mc:Choice>
        </mc:AlternateContent>
        <mc:AlternateContent>
          <mc:Choice Requires="x14">
            <control name="Drop Down 13" r:id="rId8" shapeId="39949">
              <controlPr autoLine="0" autoPict="0" defaultSize="0">
                <anchor moveWithCells="1">
                  <from>
                    <xdr:col>3</xdr:col>
                    <xdr:colOff>0</xdr:colOff>
                    <xdr:row>13</xdr:row>
                    <xdr:rowOff>28575</xdr:rowOff>
                  </from>
                  <to>
                    <xdr:col>3</xdr:col>
                    <xdr:colOff>409575</xdr:colOff>
                    <xdr:row>14</xdr:row>
                    <xdr:rowOff>66675</xdr:rowOff>
                  </to>
                </anchor>
              </controlPr>
            </control>
          </mc:Choice>
        </mc:AlternateContent>
        <mc:AlternateContent>
          <mc:Choice Requires="x14">
            <control name="Check Box 16" r:id="rId9" shapeId="39952">
              <controlPr autoFill="0" autoLine="0" autoPict="0" defaultSize="0">
                <anchor moveWithCells="1">
                  <from>
                    <xdr:col>2</xdr:col>
                    <xdr:colOff>276225</xdr:colOff>
                    <xdr:row>10</xdr:row>
                    <xdr:rowOff>95250</xdr:rowOff>
                  </from>
                  <to>
                    <xdr:col>3</xdr:col>
                    <xdr:colOff>180975</xdr:colOff>
                    <xdr:row>12</xdr:row>
                    <xdr:rowOff>9525</xdr:rowOff>
                  </to>
                </anchor>
              </controlPr>
            </control>
          </mc:Choice>
        </mc:AlternateContent>
        <mc:AlternateContent>
          <mc:Choice Requires="x14">
            <control name="Drop Down 25" r:id="rId10" shapeId="39961">
              <controlPr autoLine="0" autoPict="0" defaultSize="0">
                <anchor moveWithCells="1">
                  <from>
                    <xdr:col>3</xdr:col>
                    <xdr:colOff>9525</xdr:colOff>
                    <xdr:row>17</xdr:row>
                    <xdr:rowOff>28575</xdr:rowOff>
                  </from>
                  <to>
                    <xdr:col>3</xdr:col>
                    <xdr:colOff>419100</xdr:colOff>
                    <xdr:row>18</xdr:row>
                    <xdr:rowOff>66675</xdr:rowOff>
                  </to>
                </anchor>
              </controlPr>
            </control>
          </mc:Choice>
        </mc:AlternateContent>
      </controls>
    </mc:Choice>
  </mc:AlternateContent>
</worksheet>
</file>

<file path=xl/worksheets/sheet33.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xmlns:xr="http://schemas.microsoft.com/office/spreadsheetml/2014/revision" xmlns:xr2="http://schemas.microsoft.com/office/spreadsheetml/2015/revision2" xmlns:xr3="http://schemas.microsoft.com/office/spreadsheetml/2016/revision3" mc:Ignorable="x14ac xr xr2 xr3" xr:uid="{00000000-0001-0000-2000-000000000000}">
  <sheetPr codeName="Sheet26"/>
  <dimension ref="A1:P38"/>
  <sheetViews>
    <sheetView showGridLines="0" showRowColHeaders="0" topLeftCell="B1" workbookViewId="0">
      <selection activeCell="D6" sqref="D6"/>
    </sheetView>
  </sheetViews>
  <sheetFormatPr defaultColWidth="9.140625" defaultRowHeight="12" x14ac:dyDescent="0.2"/>
  <cols>
    <col min="1" max="1" customWidth="true" hidden="true" style="138" width="11.5703125" collapsed="true"/>
    <col min="2" max="2" customWidth="true" style="138" width="9.85546875" collapsed="true"/>
    <col min="3" max="3" customWidth="true" style="138" width="4.7109375" collapsed="true"/>
    <col min="4" max="4" customWidth="true" style="138" width="12.7109375" collapsed="true"/>
    <col min="5" max="5" customWidth="true" style="138" width="6.0" collapsed="true"/>
    <col min="6" max="6" customWidth="true" style="138" width="21.42578125" collapsed="true"/>
    <col min="7" max="7" customWidth="true" style="138" width="5.0" collapsed="true"/>
    <col min="8" max="8" customWidth="true" style="138" width="12.7109375" collapsed="true"/>
    <col min="9" max="9" customWidth="true" style="138" width="25.5703125" collapsed="true"/>
    <col min="10" max="10" customWidth="true" style="138" width="4.28515625" collapsed="true"/>
    <col min="11" max="11" customWidth="true" style="138" width="1.7109375" collapsed="true"/>
    <col min="12" max="12" customWidth="true" style="138" width="23.7109375" collapsed="true"/>
    <col min="13" max="13" customWidth="true" style="138" width="5.7109375" collapsed="true"/>
    <col min="14" max="16384" style="138" width="9.140625" collapsed="true"/>
  </cols>
  <sheetData>
    <row ht="12.75" r="1" spans="1:15" x14ac:dyDescent="0.2">
      <c r="A1" s="138" t="s">
        <v>3322</v>
      </c>
      <c r="B1" s="139"/>
      <c r="C1" s="58"/>
      <c r="D1" s="139"/>
      <c r="E1" s="139"/>
      <c r="F1" s="139"/>
      <c r="G1" s="139"/>
      <c r="H1" s="139"/>
      <c r="I1" s="139"/>
      <c r="J1" s="139"/>
      <c r="K1" s="139"/>
      <c r="L1" s="139"/>
      <c r="M1" s="139"/>
      <c r="N1" s="140"/>
      <c r="O1" s="140"/>
    </row>
    <row customHeight="1" ht="9" r="2" spans="1:15" x14ac:dyDescent="0.2">
      <c r="A2" s="138">
        <v>1</v>
      </c>
      <c r="B2" s="139"/>
      <c r="C2" s="139"/>
      <c r="D2" s="139"/>
      <c r="E2" s="139"/>
      <c r="F2" s="139"/>
      <c r="G2" s="139"/>
      <c r="H2" s="139"/>
      <c r="I2" s="139"/>
      <c r="J2" s="139"/>
      <c r="K2" s="139"/>
      <c r="L2" s="139"/>
      <c r="M2" s="139"/>
      <c r="N2" s="140"/>
      <c r="O2" s="140"/>
    </row>
    <row r="3" spans="1:15" x14ac:dyDescent="0.2">
      <c r="A3" s="138">
        <v>2</v>
      </c>
      <c r="B3" s="139"/>
      <c r="C3" s="154" t="s">
        <v>3323</v>
      </c>
      <c r="D3" s="155"/>
      <c r="E3" s="155"/>
      <c r="F3" s="155"/>
      <c r="G3" s="155"/>
      <c r="H3" s="155"/>
      <c r="I3" s="177"/>
      <c r="J3" s="346" t="s">
        <v>3322</v>
      </c>
      <c r="K3" s="139"/>
      <c r="L3" s="139"/>
      <c r="M3" s="139"/>
      <c r="N3" s="140"/>
      <c r="O3" s="140"/>
    </row>
    <row customHeight="1" ht="9" r="4" spans="1:15" x14ac:dyDescent="0.2">
      <c r="A4" s="138">
        <v>3</v>
      </c>
      <c r="B4" s="139"/>
      <c r="C4" s="180"/>
      <c r="D4" s="174"/>
      <c r="E4" s="141"/>
      <c r="F4" s="141"/>
      <c r="G4" s="141"/>
      <c r="H4" s="141"/>
      <c r="I4" s="173"/>
      <c r="J4" s="158"/>
      <c r="K4" s="139"/>
      <c r="L4" s="139"/>
      <c r="M4" s="139"/>
      <c r="N4" s="140"/>
      <c r="O4" s="140"/>
    </row>
    <row r="5" spans="1:15" x14ac:dyDescent="0.2">
      <c r="A5" s="138">
        <v>4</v>
      </c>
      <c r="B5" s="139"/>
      <c r="C5" s="143">
        <f>A3</f>
        <v>2</v>
      </c>
      <c r="D5" s="141" t="str">
        <f>"Tax taken off box "&amp;G7</f>
        <v>Tax taken off box 3</v>
      </c>
      <c r="E5" s="141"/>
      <c r="F5" s="149"/>
      <c r="G5" s="149"/>
      <c r="H5" s="149"/>
      <c r="I5" s="173"/>
      <c r="J5" s="158"/>
      <c r="K5" s="139"/>
      <c r="L5" s="139"/>
      <c r="M5" s="139"/>
      <c r="N5" s="140"/>
      <c r="O5" s="140"/>
    </row>
    <row r="6" spans="1:15" x14ac:dyDescent="0.2">
      <c r="A6" s="138">
        <v>5</v>
      </c>
      <c r="B6" s="139"/>
      <c r="C6" s="157"/>
      <c r="D6" s="148"/>
      <c r="E6" s="141"/>
      <c r="F6" s="149"/>
      <c r="G6" s="149"/>
      <c r="H6" s="149"/>
      <c r="I6" s="173"/>
      <c r="J6" s="158"/>
      <c r="K6" s="139"/>
      <c r="L6" s="139"/>
      <c r="M6" s="139"/>
      <c r="N6" s="140"/>
      <c r="O6" s="140"/>
    </row>
    <row r="7" spans="1:15" x14ac:dyDescent="0.2">
      <c r="A7" s="138">
        <v>6</v>
      </c>
      <c r="B7" s="139"/>
      <c r="C7" s="157"/>
      <c r="D7" s="141"/>
      <c r="E7" s="141"/>
      <c r="F7" s="202"/>
      <c r="G7" s="143">
        <f>A4</f>
        <v>3</v>
      </c>
      <c r="H7" s="144" t="s">
        <v>4872</v>
      </c>
      <c r="I7" s="173"/>
      <c r="J7" s="158"/>
      <c r="K7" s="139"/>
      <c r="L7" s="139"/>
      <c r="M7" s="139"/>
      <c r="N7" s="140"/>
      <c r="O7" s="140"/>
    </row>
    <row r="8" spans="1:15" x14ac:dyDescent="0.2">
      <c r="A8" s="138">
        <v>7</v>
      </c>
      <c r="B8" s="139"/>
      <c r="C8" s="157"/>
      <c r="D8" s="141"/>
      <c r="E8" s="141"/>
      <c r="F8" s="202"/>
      <c r="G8" s="141"/>
      <c r="H8" s="178"/>
      <c r="I8" s="173"/>
      <c r="J8" s="158"/>
      <c r="K8" s="139"/>
      <c r="L8" s="139"/>
      <c r="M8" s="139"/>
      <c r="N8" s="140"/>
      <c r="O8" s="140"/>
    </row>
    <row customHeight="1" ht="6" r="9" spans="1:15" x14ac:dyDescent="0.2">
      <c r="A9" s="138">
        <v>8</v>
      </c>
      <c r="B9" s="139"/>
      <c r="C9" s="162"/>
      <c r="D9" s="163"/>
      <c r="E9" s="163"/>
      <c r="F9" s="163"/>
      <c r="G9" s="163"/>
      <c r="H9" s="163"/>
      <c r="I9" s="163"/>
      <c r="J9" s="164"/>
      <c r="K9" s="139"/>
      <c r="L9" s="139"/>
      <c r="M9" s="139"/>
      <c r="N9" s="140"/>
      <c r="O9" s="140"/>
    </row>
    <row customHeight="1" ht="9" r="10" spans="1:15" x14ac:dyDescent="0.2">
      <c r="A10" s="138">
        <v>9</v>
      </c>
      <c r="B10" s="139"/>
      <c r="C10" s="139"/>
      <c r="D10" s="139"/>
      <c r="E10" s="139"/>
      <c r="F10" s="139"/>
      <c r="G10" s="139"/>
      <c r="H10" s="139"/>
      <c r="I10" s="139"/>
      <c r="J10" s="139"/>
      <c r="K10" s="139"/>
      <c r="L10" s="139"/>
      <c r="M10" s="139"/>
      <c r="N10" s="140"/>
      <c r="O10" s="140"/>
    </row>
    <row r="11" spans="1:15" x14ac:dyDescent="0.2">
      <c r="A11" s="138">
        <v>10</v>
      </c>
      <c r="B11" s="139"/>
      <c r="C11" s="154" t="s">
        <v>3324</v>
      </c>
      <c r="D11" s="155"/>
      <c r="E11" s="155"/>
      <c r="F11" s="155"/>
      <c r="G11" s="155"/>
      <c r="H11" s="155"/>
      <c r="I11" s="177"/>
      <c r="J11" s="346" t="s">
        <v>3322</v>
      </c>
      <c r="K11" s="139"/>
      <c r="L11" s="139"/>
      <c r="M11" s="139"/>
      <c r="N11" s="140"/>
      <c r="O11" s="140"/>
    </row>
    <row customHeight="1" ht="9" r="12" spans="1:15" x14ac:dyDescent="0.2">
      <c r="A12" s="138">
        <v>11</v>
      </c>
      <c r="B12" s="139"/>
      <c r="C12" s="157"/>
      <c r="D12" s="141"/>
      <c r="E12" s="141"/>
      <c r="F12" s="174"/>
      <c r="G12" s="144"/>
      <c r="H12" s="142"/>
      <c r="I12" s="173"/>
      <c r="J12" s="158"/>
      <c r="K12" s="139"/>
      <c r="L12" s="139"/>
      <c r="M12" s="139"/>
      <c r="N12" s="140"/>
      <c r="O12" s="140"/>
    </row>
    <row r="13" spans="1:15" x14ac:dyDescent="0.2">
      <c r="A13" s="138">
        <v>12</v>
      </c>
      <c r="B13" s="139"/>
      <c r="C13" s="143">
        <f>A5</f>
        <v>4</v>
      </c>
      <c r="D13" s="144" t="s">
        <v>3506</v>
      </c>
      <c r="E13" s="141"/>
      <c r="F13" s="174"/>
      <c r="G13" s="143">
        <f>A9</f>
        <v>8</v>
      </c>
      <c r="H13" s="144" t="s">
        <v>3508</v>
      </c>
      <c r="I13" s="173"/>
      <c r="J13" s="158"/>
      <c r="K13" s="139"/>
      <c r="L13" s="139"/>
      <c r="M13" s="139"/>
      <c r="N13" s="140"/>
      <c r="O13" s="140"/>
    </row>
    <row r="14" spans="1:15" x14ac:dyDescent="0.2">
      <c r="A14" s="138">
        <v>13</v>
      </c>
      <c r="B14" s="139"/>
      <c r="C14" s="157"/>
      <c r="D14" s="148"/>
      <c r="E14" s="141"/>
      <c r="F14" s="202"/>
      <c r="G14" s="141"/>
      <c r="H14" s="178"/>
      <c r="I14" s="173"/>
      <c r="J14" s="158"/>
      <c r="K14" s="139"/>
      <c r="L14" s="139"/>
      <c r="M14" s="139"/>
      <c r="N14" s="140"/>
      <c r="O14" s="140"/>
    </row>
    <row customHeight="1" ht="9" r="15" spans="1:15" x14ac:dyDescent="0.2">
      <c r="A15" s="4075">
        <v>13.1</v>
      </c>
      <c r="B15" s="139"/>
      <c r="C15" s="157"/>
      <c r="D15" s="141"/>
      <c r="E15" s="141"/>
      <c r="F15" s="202"/>
      <c r="G15" s="149"/>
      <c r="H15" s="149"/>
      <c r="I15" s="173"/>
      <c r="J15" s="158"/>
      <c r="K15" s="139"/>
      <c r="L15" s="139"/>
      <c r="M15" s="139"/>
      <c r="N15" s="140"/>
      <c r="O15" s="140"/>
    </row>
    <row r="16" spans="1:15" x14ac:dyDescent="0.2">
      <c r="A16" s="138">
        <v>14</v>
      </c>
      <c r="B16" s="139"/>
      <c r="C16" s="143">
        <f>A6</f>
        <v>5</v>
      </c>
      <c r="D16" s="141" t="str">
        <f>"Number of years for box "&amp;C13</f>
        <v>Number of years for box 4</v>
      </c>
      <c r="E16" s="141"/>
      <c r="F16" s="202"/>
      <c r="G16" s="143">
        <f>A10</f>
        <v>9</v>
      </c>
      <c r="H16" s="141" t="str">
        <f>"Number of years for box "&amp;G13</f>
        <v>Number of years for box 8</v>
      </c>
      <c r="I16" s="173"/>
      <c r="J16" s="158"/>
      <c r="K16" s="139"/>
      <c r="L16" s="139"/>
      <c r="M16" s="139"/>
      <c r="N16" s="140"/>
      <c r="O16" s="140"/>
    </row>
    <row r="17" spans="1:15" x14ac:dyDescent="0.2">
      <c r="A17" s="138">
        <v>15</v>
      </c>
      <c r="B17" s="139"/>
      <c r="C17" s="157"/>
      <c r="D17" s="178"/>
      <c r="E17" s="149"/>
      <c r="F17" s="141"/>
      <c r="G17" s="149"/>
      <c r="H17" s="178"/>
      <c r="I17" s="173"/>
      <c r="J17" s="158"/>
      <c r="K17" s="139"/>
      <c r="L17" s="139"/>
      <c r="M17" s="139"/>
      <c r="N17" s="140"/>
      <c r="O17" s="140"/>
    </row>
    <row customHeight="1" ht="9" r="18" spans="1:15" x14ac:dyDescent="0.2">
      <c r="B18" s="139"/>
      <c r="C18" s="157"/>
      <c r="D18" s="174"/>
      <c r="E18" s="141"/>
      <c r="F18" s="174"/>
      <c r="G18" s="149"/>
      <c r="H18" s="149"/>
      <c r="I18" s="173"/>
      <c r="J18" s="158"/>
      <c r="K18" s="139"/>
      <c r="L18" s="139"/>
      <c r="M18" s="139"/>
      <c r="N18" s="140"/>
      <c r="O18" s="140"/>
    </row>
    <row r="19" spans="1:15" x14ac:dyDescent="0.2">
      <c r="B19" s="139"/>
      <c r="C19" s="143">
        <f>A7</f>
        <v>6</v>
      </c>
      <c r="D19" s="144" t="s">
        <v>3507</v>
      </c>
      <c r="E19" s="141"/>
      <c r="F19" s="149"/>
      <c r="G19" s="143">
        <f>A11</f>
        <v>10</v>
      </c>
      <c r="H19" s="980" t="str">
        <f>"Tax taken off gain shown in box "&amp;G13</f>
        <v>Tax taken off gain shown in box 8</v>
      </c>
      <c r="I19" s="1239"/>
      <c r="J19" s="158"/>
      <c r="K19" s="139"/>
      <c r="L19" s="139"/>
      <c r="M19" s="139"/>
      <c r="N19" s="140"/>
      <c r="O19" s="140"/>
    </row>
    <row r="20" spans="1:15" x14ac:dyDescent="0.2">
      <c r="B20" s="139"/>
      <c r="C20" s="157"/>
      <c r="D20" s="148"/>
      <c r="E20" s="141"/>
      <c r="F20" s="141"/>
      <c r="G20" s="149"/>
      <c r="H20" s="179"/>
      <c r="I20" s="173"/>
      <c r="J20" s="158"/>
      <c r="K20" s="139"/>
      <c r="L20" s="139"/>
      <c r="M20" s="139"/>
      <c r="N20" s="140"/>
      <c r="O20" s="140"/>
    </row>
    <row customHeight="1" ht="9" r="21" spans="1:15" x14ac:dyDescent="0.2">
      <c r="B21" s="139"/>
      <c r="C21" s="157"/>
      <c r="D21" s="141"/>
      <c r="E21" s="142"/>
      <c r="F21" s="142"/>
      <c r="G21" s="149"/>
      <c r="H21" s="141"/>
      <c r="I21" s="173"/>
      <c r="J21" s="158"/>
      <c r="K21" s="139"/>
      <c r="L21" s="139"/>
      <c r="M21" s="139"/>
    </row>
    <row r="22" spans="1:15" x14ac:dyDescent="0.2">
      <c r="B22" s="139"/>
      <c r="C22" s="143">
        <f>A8</f>
        <v>7</v>
      </c>
      <c r="D22" s="141" t="str">
        <f>"Number of years for box "&amp;C19</f>
        <v>Number of years for box 6</v>
      </c>
      <c r="E22" s="142"/>
      <c r="F22" s="142"/>
      <c r="G22" s="419">
        <f>A12</f>
        <v>11</v>
      </c>
      <c r="H22" s="144" t="s">
        <v>1522</v>
      </c>
      <c r="I22" s="173"/>
      <c r="J22" s="158"/>
      <c r="K22" s="139"/>
      <c r="L22" s="139"/>
      <c r="M22" s="139"/>
    </row>
    <row customHeight="1" ht="12.75" r="23" spans="1:15" x14ac:dyDescent="0.2">
      <c r="B23" s="139"/>
      <c r="C23" s="157"/>
      <c r="D23" s="178"/>
      <c r="E23" s="142"/>
      <c r="F23" s="142"/>
      <c r="G23" s="149"/>
      <c r="H23" s="178"/>
      <c r="I23" s="173"/>
      <c r="J23" s="158"/>
      <c r="K23" s="139"/>
      <c r="L23" s="139"/>
      <c r="M23" s="139"/>
      <c r="N23" s="140"/>
      <c r="O23" s="140"/>
    </row>
    <row customHeight="1" ht="6" r="24" spans="1:15" x14ac:dyDescent="0.2">
      <c r="B24" s="139"/>
      <c r="C24" s="162"/>
      <c r="D24" s="163"/>
      <c r="E24" s="163"/>
      <c r="F24" s="163"/>
      <c r="G24" s="163"/>
      <c r="H24" s="163"/>
      <c r="I24" s="163"/>
      <c r="J24" s="164"/>
      <c r="K24" s="139"/>
      <c r="L24" s="139"/>
      <c r="M24" s="139"/>
      <c r="N24" s="140"/>
      <c r="O24" s="140"/>
    </row>
    <row customHeight="1" ht="9" r="25" spans="1:15" x14ac:dyDescent="0.2">
      <c r="B25" s="139"/>
      <c r="C25" s="139"/>
      <c r="D25" s="139"/>
      <c r="E25" s="139"/>
      <c r="F25" s="139"/>
      <c r="G25" s="139"/>
      <c r="H25" s="139"/>
      <c r="I25" s="139"/>
      <c r="J25" s="139"/>
      <c r="K25" s="139"/>
      <c r="L25" s="139"/>
      <c r="M25" s="139"/>
      <c r="N25" s="140"/>
      <c r="O25" s="140"/>
    </row>
    <row r="26" spans="1:15" x14ac:dyDescent="0.2">
      <c r="B26" s="139"/>
      <c r="C26" s="154" t="s">
        <v>3325</v>
      </c>
      <c r="D26" s="155"/>
      <c r="E26" s="155"/>
      <c r="F26" s="155"/>
      <c r="G26" s="155"/>
      <c r="H26" s="155"/>
      <c r="I26" s="177"/>
      <c r="J26" s="346" t="s">
        <v>3322</v>
      </c>
      <c r="K26" s="139"/>
      <c r="L26" s="139"/>
      <c r="M26" s="139"/>
      <c r="N26" s="140"/>
      <c r="O26" s="140"/>
    </row>
    <row r="27" spans="1:15" x14ac:dyDescent="0.2">
      <c r="B27" s="139"/>
      <c r="C27" s="157"/>
      <c r="D27" s="141"/>
      <c r="E27" s="141"/>
      <c r="F27" s="202"/>
      <c r="G27" s="149"/>
      <c r="H27" s="149"/>
      <c r="I27" s="173"/>
      <c r="J27" s="158"/>
      <c r="K27" s="139"/>
      <c r="L27" s="139"/>
      <c r="M27" s="139"/>
      <c r="N27" s="140"/>
      <c r="O27" s="140"/>
    </row>
    <row r="28" spans="1:15" x14ac:dyDescent="0.2">
      <c r="B28" s="139"/>
      <c r="C28" s="143">
        <f>A13</f>
        <v>12</v>
      </c>
      <c r="D28" s="265" t="s">
        <v>5769</v>
      </c>
      <c r="E28" s="980"/>
      <c r="F28" s="1396"/>
      <c r="G28" s="143">
        <f>A14</f>
        <v>13</v>
      </c>
      <c r="H28" s="1238" t="s">
        <v>5770</v>
      </c>
      <c r="I28" s="1239"/>
      <c r="J28" s="1226"/>
      <c r="K28" s="139"/>
      <c r="L28" s="139"/>
      <c r="M28" s="139"/>
      <c r="N28" s="140"/>
      <c r="O28" s="140"/>
    </row>
    <row r="29" spans="1:15" x14ac:dyDescent="0.2">
      <c r="B29" s="139"/>
      <c r="C29" s="157"/>
      <c r="D29" s="148"/>
      <c r="E29" s="141"/>
      <c r="F29" s="202"/>
      <c r="G29" s="202"/>
      <c r="H29" s="148"/>
      <c r="I29" s="173"/>
      <c r="J29" s="158"/>
      <c r="K29" s="139"/>
      <c r="L29" s="139"/>
      <c r="M29" s="139"/>
      <c r="N29" s="140"/>
      <c r="O29" s="140"/>
    </row>
    <row r="30" spans="1:15" x14ac:dyDescent="0.2">
      <c r="B30" s="139"/>
      <c r="C30" s="157"/>
      <c r="D30" s="141"/>
      <c r="E30" s="142"/>
      <c r="F30" s="142"/>
      <c r="G30" s="149"/>
      <c r="H30" s="141"/>
      <c r="I30" s="173"/>
      <c r="J30" s="158"/>
      <c r="K30" s="139"/>
      <c r="L30" s="139"/>
      <c r="M30" s="139"/>
      <c r="N30" s="140"/>
      <c r="O30" s="140"/>
    </row>
    <row r="31" spans="1:15" x14ac:dyDescent="0.2">
      <c r="B31" s="139"/>
      <c r="C31" s="157"/>
      <c r="D31" s="141"/>
      <c r="E31" s="142"/>
      <c r="F31" s="142"/>
      <c r="G31" s="143">
        <f>A15</f>
        <v>13.1</v>
      </c>
      <c r="H31" s="1238" t="s">
        <v>8490</v>
      </c>
      <c r="I31" s="1239"/>
      <c r="J31" s="158"/>
      <c r="K31" s="139"/>
      <c r="L31" s="139"/>
      <c r="M31" s="139"/>
      <c r="N31" s="140"/>
      <c r="O31" s="140"/>
    </row>
    <row r="32" spans="1:15" x14ac:dyDescent="0.2">
      <c r="B32" s="139"/>
      <c r="C32" s="157"/>
      <c r="D32" s="141"/>
      <c r="E32" s="142"/>
      <c r="F32" s="142"/>
      <c r="G32" s="202"/>
      <c r="H32" s="148"/>
      <c r="I32" s="173"/>
      <c r="J32" s="158"/>
      <c r="K32" s="139"/>
      <c r="L32" s="139"/>
      <c r="M32" s="139"/>
      <c r="N32" s="140"/>
      <c r="O32" s="140"/>
    </row>
    <row customHeight="1" ht="6" r="33" spans="2:13" x14ac:dyDescent="0.2">
      <c r="B33" s="139"/>
      <c r="C33" s="162"/>
      <c r="D33" s="163"/>
      <c r="E33" s="163"/>
      <c r="F33" s="163"/>
      <c r="G33" s="163"/>
      <c r="H33" s="163"/>
      <c r="I33" s="163"/>
      <c r="J33" s="164"/>
      <c r="K33" s="139"/>
      <c r="L33" s="139"/>
      <c r="M33" s="139"/>
    </row>
    <row r="34" spans="2:13" x14ac:dyDescent="0.2">
      <c r="B34" s="139"/>
      <c r="C34" s="139"/>
      <c r="D34" s="139"/>
      <c r="E34" s="139"/>
      <c r="F34" s="139"/>
      <c r="G34" s="139"/>
      <c r="H34" s="139"/>
      <c r="I34" s="139"/>
      <c r="J34" s="139"/>
      <c r="K34" s="139"/>
      <c r="L34" s="139"/>
      <c r="M34" s="139"/>
    </row>
    <row r="35" spans="2:13" x14ac:dyDescent="0.2">
      <c r="B35" s="139"/>
      <c r="C35" s="139"/>
      <c r="D35" s="139"/>
      <c r="E35" s="139"/>
      <c r="F35" s="139"/>
      <c r="G35" s="139"/>
      <c r="H35" s="139"/>
      <c r="I35" s="139"/>
      <c r="J35" s="139"/>
      <c r="K35" s="139"/>
      <c r="L35" s="139"/>
      <c r="M35" s="139"/>
    </row>
    <row r="36" spans="2:13" x14ac:dyDescent="0.2">
      <c r="B36" s="139"/>
      <c r="C36" s="139"/>
      <c r="D36" s="139"/>
      <c r="E36" s="139"/>
      <c r="F36" s="139"/>
      <c r="G36" s="139"/>
      <c r="H36" s="139"/>
      <c r="I36" s="139"/>
      <c r="J36" s="139"/>
      <c r="K36" s="139"/>
      <c r="L36" s="139"/>
      <c r="M36" s="139"/>
    </row>
    <row r="37" spans="2:13" x14ac:dyDescent="0.2">
      <c r="B37" s="139"/>
      <c r="C37" s="139"/>
      <c r="D37" s="139"/>
      <c r="E37" s="139"/>
      <c r="F37" s="139"/>
      <c r="G37" s="139"/>
      <c r="H37" s="139"/>
      <c r="I37" s="139"/>
      <c r="J37" s="139"/>
      <c r="K37" s="139"/>
      <c r="L37" s="139"/>
      <c r="M37" s="139"/>
    </row>
    <row r="38" spans="2:13" x14ac:dyDescent="0.2">
      <c r="B38" s="139"/>
      <c r="C38" s="139"/>
      <c r="D38" s="139"/>
      <c r="E38" s="139"/>
      <c r="F38" s="139"/>
      <c r="G38" s="139"/>
      <c r="H38" s="139"/>
      <c r="I38" s="139"/>
      <c r="J38" s="139"/>
      <c r="K38" s="139"/>
      <c r="L38" s="139"/>
      <c r="M38" s="139"/>
    </row>
  </sheetData>
  <sheetProtection objects="1" scenarios="1" sheet="1"/>
  <phoneticPr fontId="67" type="noConversion"/>
  <pageMargins bottom="0.98425196850393704" footer="0.51181102362204722" header="0.51181102362204722" left="0.74803149606299213" right="0.74803149606299213" top="0.98425196850393704"/>
  <pageSetup orientation="landscape" paperSize="9" r:id="rId1"/>
  <headerFooter alignWithMargins="0"/>
  <drawing r:id="rId2"/>
  <legacyDrawing r:id="rId3"/>
  <mc:AlternateContent>
    <mc:Choice Requires="x14">
      <controls>
        <mc:AlternateContent>
          <mc:Choice Requires="x14">
            <control name="Button 1" r:id="rId4" shapeId="25601">
              <controlPr autoFill="0" autoPict="0" defaultSize="0" macro="[0]!Show_multi_gains" print="0">
                <anchor moveWithCells="1" sizeWithCells="1">
                  <from>
                    <xdr:col>8</xdr:col>
                    <xdr:colOff>485775</xdr:colOff>
                    <xdr:row>11</xdr:row>
                    <xdr:rowOff>76200</xdr:rowOff>
                  </from>
                  <to>
                    <xdr:col>9</xdr:col>
                    <xdr:colOff>19050</xdr:colOff>
                    <xdr:row>13</xdr:row>
                    <xdr:rowOff>47625</xdr:rowOff>
                  </to>
                </anchor>
              </controlPr>
            </control>
          </mc:Choice>
        </mc:AlternateContent>
      </controls>
    </mc:Choice>
  </mc:AlternateContent>
</worksheet>
</file>

<file path=xl/worksheets/sheet34.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xmlns:xr="http://schemas.microsoft.com/office/spreadsheetml/2014/revision" xmlns:xr2="http://schemas.microsoft.com/office/spreadsheetml/2015/revision2" xmlns:xr3="http://schemas.microsoft.com/office/spreadsheetml/2016/revision3" mc:Ignorable="x14ac xr xr2 xr3" xr:uid="{00000000-0001-0000-2100-000000000000}">
  <sheetPr codeName="Sheet50"/>
  <dimension ref="A1:X33"/>
  <sheetViews>
    <sheetView showGridLines="0" showRowColHeaders="0" workbookViewId="0">
      <selection activeCell="F6" sqref="F6"/>
    </sheetView>
  </sheetViews>
  <sheetFormatPr defaultRowHeight="12.75" x14ac:dyDescent="0.2"/>
  <cols>
    <col min="1" max="1" customWidth="true" width="16.7109375" collapsed="true"/>
    <col min="2" max="2" customWidth="true" width="5.42578125" collapsed="true"/>
    <col min="3" max="3" customWidth="true" width="6.28515625" collapsed="true"/>
    <col min="4" max="4" customWidth="true" width="8.28515625" collapsed="true"/>
    <col min="5" max="5" customWidth="true" width="5.42578125" collapsed="true"/>
    <col min="6" max="6" customWidth="true" width="13.5703125" collapsed="true"/>
    <col min="7" max="7" customWidth="true" width="6.85546875" collapsed="true"/>
    <col min="8" max="8" customWidth="true" width="3.0" collapsed="true"/>
    <col min="9" max="9" customWidth="true" width="4.0" collapsed="true"/>
    <col min="10" max="10" customWidth="true" width="6.28515625" collapsed="true"/>
    <col min="11" max="11" customWidth="true" width="7.85546875" collapsed="true"/>
    <col min="12" max="12" customWidth="true" width="5.5703125" collapsed="true"/>
    <col min="13" max="13" customWidth="true" width="14.0" collapsed="true"/>
    <col min="14" max="14" customWidth="true" width="4.85546875" collapsed="true"/>
    <col min="15" max="15" customWidth="true" width="18.5703125" collapsed="true"/>
    <col min="16" max="16" customWidth="true" hidden="true" style="7" width="2.5703125" collapsed="true"/>
    <col min="17" max="17" customWidth="true" hidden="true" width="11.0" collapsed="true"/>
    <col min="18" max="18" customWidth="true" hidden="true" width="10.28515625" collapsed="true"/>
    <col min="19" max="19" customWidth="true" hidden="true" width="10.0" collapsed="true"/>
    <col min="20" max="20" customWidth="true" hidden="true" width="2.0" collapsed="true"/>
    <col min="21" max="21" customWidth="true" hidden="true" width="10.28515625" collapsed="true"/>
    <col min="22" max="22" customWidth="true" hidden="true" width="10.140625" collapsed="true"/>
    <col min="23" max="23" customWidth="true" hidden="true" width="10.0" collapsed="true"/>
    <col min="24" max="24" customWidth="true" width="2.28515625" collapsed="true"/>
  </cols>
  <sheetData>
    <row r="1" spans="1:23" x14ac:dyDescent="0.2">
      <c r="A1" s="57"/>
      <c r="B1" s="65" t="s">
        <v>588</v>
      </c>
      <c r="C1" s="57"/>
      <c r="D1" s="57"/>
      <c r="E1" s="57"/>
      <c r="F1" s="57"/>
      <c r="G1" s="57"/>
      <c r="H1" s="57"/>
      <c r="I1" s="57"/>
      <c r="J1" s="57"/>
      <c r="K1" s="57"/>
      <c r="L1" s="57"/>
      <c r="M1" s="57"/>
      <c r="N1" s="57"/>
      <c r="O1" s="57"/>
    </row>
    <row customHeight="1" ht="9" r="2" spans="1:23" x14ac:dyDescent="0.2">
      <c r="A2" s="57"/>
      <c r="B2" s="57"/>
      <c r="C2" s="57"/>
      <c r="D2" s="57"/>
      <c r="E2" s="57"/>
      <c r="F2" s="57"/>
      <c r="G2" s="57"/>
      <c r="H2" s="59"/>
      <c r="I2" s="57"/>
      <c r="J2" s="57"/>
      <c r="K2" s="57"/>
      <c r="L2" s="57"/>
      <c r="M2" s="57"/>
      <c r="N2" s="57"/>
      <c r="O2" s="57"/>
    </row>
    <row r="3" spans="1:23" x14ac:dyDescent="0.2">
      <c r="A3" s="57"/>
      <c r="B3" s="351" t="s">
        <v>3505</v>
      </c>
      <c r="C3" s="352"/>
      <c r="D3" s="352"/>
      <c r="E3" s="352"/>
      <c r="F3" s="352"/>
      <c r="G3" s="66"/>
      <c r="H3" s="59"/>
      <c r="I3" s="351" t="s">
        <v>3314</v>
      </c>
      <c r="J3" s="352"/>
      <c r="K3" s="352"/>
      <c r="L3" s="352"/>
      <c r="M3" s="352"/>
      <c r="N3" s="66"/>
      <c r="O3" s="57"/>
    </row>
    <row r="4" spans="1:23" x14ac:dyDescent="0.2">
      <c r="A4" s="57"/>
      <c r="B4" s="67"/>
      <c r="C4" s="353"/>
      <c r="D4" s="353"/>
      <c r="E4" s="353"/>
      <c r="F4" s="353"/>
      <c r="G4" s="68"/>
      <c r="H4" s="59"/>
      <c r="I4" s="67"/>
      <c r="J4" s="353"/>
      <c r="K4" s="353"/>
      <c r="L4" s="353"/>
      <c r="M4" s="353"/>
      <c r="N4" s="68"/>
      <c r="O4" s="57"/>
    </row>
    <row r="5" spans="1:23" x14ac:dyDescent="0.2">
      <c r="A5" s="57"/>
      <c r="B5" s="67"/>
      <c r="C5" s="354" t="s">
        <v>3414</v>
      </c>
      <c r="D5" s="353"/>
      <c r="E5" s="353"/>
      <c r="F5" s="355" t="s">
        <v>1415</v>
      </c>
      <c r="G5" s="68"/>
      <c r="H5" s="59"/>
      <c r="I5" s="67"/>
      <c r="J5" s="354" t="s">
        <v>3414</v>
      </c>
      <c r="K5" s="353"/>
      <c r="L5" s="353"/>
      <c r="M5" s="355" t="s">
        <v>1415</v>
      </c>
      <c r="N5" s="68"/>
      <c r="O5" s="57"/>
      <c r="R5" s="5" t="s">
        <v>1049</v>
      </c>
      <c r="V5" s="5" t="s">
        <v>1050</v>
      </c>
    </row>
    <row r="6" spans="1:23" x14ac:dyDescent="0.2">
      <c r="A6" s="57"/>
      <c r="B6" s="67"/>
      <c r="C6" s="12"/>
      <c r="D6" s="356"/>
      <c r="E6" s="353"/>
      <c r="F6" s="12"/>
      <c r="G6" s="68"/>
      <c r="H6" s="59"/>
      <c r="I6" s="67"/>
      <c r="J6" s="12"/>
      <c r="K6" s="353"/>
      <c r="L6" s="353"/>
      <c r="M6" s="12"/>
      <c r="N6" s="68"/>
      <c r="O6" s="57"/>
      <c r="Q6" s="27" t="s">
        <v>969</v>
      </c>
      <c r="R6" s="29" t="s">
        <v>970</v>
      </c>
      <c r="S6" s="28" t="s">
        <v>1048</v>
      </c>
      <c r="U6" s="27" t="s">
        <v>969</v>
      </c>
      <c r="V6" s="29" t="s">
        <v>970</v>
      </c>
      <c r="W6" s="28" t="s">
        <v>1048</v>
      </c>
    </row>
    <row r="7" spans="1:23" x14ac:dyDescent="0.2">
      <c r="A7" s="57"/>
      <c r="B7" s="67"/>
      <c r="C7" s="12"/>
      <c r="D7" s="356"/>
      <c r="E7" s="353"/>
      <c r="F7" s="12"/>
      <c r="G7" s="68"/>
      <c r="H7" s="59"/>
      <c r="I7" s="67"/>
      <c r="J7" s="12"/>
      <c r="K7" s="353"/>
      <c r="L7" s="353"/>
      <c r="M7" s="12"/>
      <c r="N7" s="68"/>
      <c r="O7" s="57"/>
      <c r="Q7" s="30">
        <f ref="Q7:Q16" si="0" t="shared">IF(C6&gt;0,1,0)</f>
        <v>0</v>
      </c>
      <c r="R7" s="1">
        <f ref="R7:R16" si="1" t="shared">MAX(C6,1)</f>
        <v>1</v>
      </c>
      <c r="S7" s="31">
        <f ref="S7:S16" si="2" t="shared">TRUNC(F6/R7,0)</f>
        <v>0</v>
      </c>
      <c r="U7" s="30">
        <f ref="U7:U21" si="3" t="shared">IF(J6&gt;0,1,0)</f>
        <v>0</v>
      </c>
      <c r="V7" s="1">
        <f ref="V7:V21" si="4" t="shared">MAX(J6,1)</f>
        <v>1</v>
      </c>
      <c r="W7" s="31">
        <f ref="W7:W21" si="5" t="shared">TRUNC(M6/V7,0)</f>
        <v>0</v>
      </c>
    </row>
    <row r="8" spans="1:23" x14ac:dyDescent="0.2">
      <c r="A8" s="57"/>
      <c r="B8" s="67"/>
      <c r="C8" s="12"/>
      <c r="D8" s="356"/>
      <c r="E8" s="353"/>
      <c r="F8" s="12"/>
      <c r="G8" s="68"/>
      <c r="H8" s="59"/>
      <c r="I8" s="67"/>
      <c r="J8" s="12"/>
      <c r="K8" s="353"/>
      <c r="L8" s="353"/>
      <c r="M8" s="12"/>
      <c r="N8" s="68"/>
      <c r="O8" s="57"/>
      <c r="Q8" s="30">
        <f si="0" t="shared"/>
        <v>0</v>
      </c>
      <c r="R8" s="1">
        <f si="1" t="shared"/>
        <v>1</v>
      </c>
      <c r="S8" s="31">
        <f si="2" t="shared"/>
        <v>0</v>
      </c>
      <c r="U8" s="30">
        <f si="3" t="shared"/>
        <v>0</v>
      </c>
      <c r="V8" s="1">
        <f si="4" t="shared"/>
        <v>1</v>
      </c>
      <c r="W8" s="31">
        <f si="5" t="shared"/>
        <v>0</v>
      </c>
    </row>
    <row r="9" spans="1:23" x14ac:dyDescent="0.2">
      <c r="A9" s="57"/>
      <c r="B9" s="67"/>
      <c r="C9" s="12"/>
      <c r="D9" s="356"/>
      <c r="E9" s="353"/>
      <c r="F9" s="12"/>
      <c r="G9" s="68"/>
      <c r="H9" s="59"/>
      <c r="I9" s="67"/>
      <c r="J9" s="12"/>
      <c r="K9" s="353"/>
      <c r="L9" s="353"/>
      <c r="M9" s="12"/>
      <c r="N9" s="68"/>
      <c r="O9" s="57"/>
      <c r="Q9" s="30">
        <f si="0" t="shared"/>
        <v>0</v>
      </c>
      <c r="R9" s="1">
        <f si="1" t="shared"/>
        <v>1</v>
      </c>
      <c r="S9" s="31">
        <f si="2" t="shared"/>
        <v>0</v>
      </c>
      <c r="U9" s="30">
        <f si="3" t="shared"/>
        <v>0</v>
      </c>
      <c r="V9" s="1">
        <f si="4" t="shared"/>
        <v>1</v>
      </c>
      <c r="W9" s="31">
        <f si="5" t="shared"/>
        <v>0</v>
      </c>
    </row>
    <row r="10" spans="1:23" x14ac:dyDescent="0.2">
      <c r="A10" s="57"/>
      <c r="B10" s="67"/>
      <c r="C10" s="12"/>
      <c r="D10" s="356"/>
      <c r="E10" s="353"/>
      <c r="F10" s="12"/>
      <c r="G10" s="68"/>
      <c r="H10" s="59"/>
      <c r="I10" s="67"/>
      <c r="J10" s="12"/>
      <c r="K10" s="353"/>
      <c r="L10" s="353"/>
      <c r="M10" s="12"/>
      <c r="N10" s="68"/>
      <c r="O10" s="57"/>
      <c r="Q10" s="30">
        <f si="0" t="shared"/>
        <v>0</v>
      </c>
      <c r="R10" s="1">
        <f si="1" t="shared"/>
        <v>1</v>
      </c>
      <c r="S10" s="31">
        <f si="2" t="shared"/>
        <v>0</v>
      </c>
      <c r="U10" s="30">
        <f si="3" t="shared"/>
        <v>0</v>
      </c>
      <c r="V10" s="1">
        <f si="4" t="shared"/>
        <v>1</v>
      </c>
      <c r="W10" s="31">
        <f si="5" t="shared"/>
        <v>0</v>
      </c>
    </row>
    <row r="11" spans="1:23" x14ac:dyDescent="0.2">
      <c r="A11" s="57"/>
      <c r="B11" s="67"/>
      <c r="C11" s="12"/>
      <c r="D11" s="356"/>
      <c r="E11" s="353"/>
      <c r="F11" s="12"/>
      <c r="G11" s="68"/>
      <c r="H11" s="59"/>
      <c r="I11" s="67"/>
      <c r="J11" s="12"/>
      <c r="K11" s="353"/>
      <c r="L11" s="353"/>
      <c r="M11" s="12"/>
      <c r="N11" s="68"/>
      <c r="O11" s="57"/>
      <c r="Q11" s="30">
        <f>IF(C10&gt;0,1,0)</f>
        <v>0</v>
      </c>
      <c r="R11" s="1">
        <f>MAX(C10,1)</f>
        <v>1</v>
      </c>
      <c r="S11" s="31">
        <f>TRUNC(F10/R11,0)</f>
        <v>0</v>
      </c>
      <c r="U11" s="30">
        <f si="3" t="shared"/>
        <v>0</v>
      </c>
      <c r="V11" s="1">
        <f si="4" t="shared"/>
        <v>1</v>
      </c>
      <c r="W11" s="31">
        <f si="5" t="shared"/>
        <v>0</v>
      </c>
    </row>
    <row r="12" spans="1:23" x14ac:dyDescent="0.2">
      <c r="A12" s="57"/>
      <c r="B12" s="67"/>
      <c r="C12" s="12"/>
      <c r="D12" s="356"/>
      <c r="E12" s="353"/>
      <c r="F12" s="12"/>
      <c r="G12" s="68"/>
      <c r="H12" s="59"/>
      <c r="I12" s="67"/>
      <c r="J12" s="12"/>
      <c r="K12" s="353"/>
      <c r="L12" s="353"/>
      <c r="M12" s="12"/>
      <c r="N12" s="68"/>
      <c r="O12" s="57"/>
      <c r="Q12" s="30">
        <f>IF(C11&gt;0,1,0)</f>
        <v>0</v>
      </c>
      <c r="R12" s="1">
        <f>MAX(C11,1)</f>
        <v>1</v>
      </c>
      <c r="S12" s="31">
        <f>TRUNC(F11/R12,0)</f>
        <v>0</v>
      </c>
      <c r="U12" s="30">
        <f si="3" t="shared"/>
        <v>0</v>
      </c>
      <c r="V12" s="1">
        <f si="4" t="shared"/>
        <v>1</v>
      </c>
      <c r="W12" s="31">
        <f si="5" t="shared"/>
        <v>0</v>
      </c>
    </row>
    <row r="13" spans="1:23" x14ac:dyDescent="0.2">
      <c r="A13" s="57"/>
      <c r="B13" s="67"/>
      <c r="C13" s="12"/>
      <c r="D13" s="356"/>
      <c r="E13" s="353"/>
      <c r="F13" s="12"/>
      <c r="G13" s="68"/>
      <c r="H13" s="57"/>
      <c r="I13" s="67"/>
      <c r="J13" s="12"/>
      <c r="K13" s="353"/>
      <c r="L13" s="353"/>
      <c r="M13" s="12"/>
      <c r="N13" s="68"/>
      <c r="O13" s="57"/>
      <c r="Q13" s="30">
        <f>IF(C12&gt;0,1,0)</f>
        <v>0</v>
      </c>
      <c r="R13" s="1">
        <f>MAX(C12,1)</f>
        <v>1</v>
      </c>
      <c r="S13" s="31">
        <f>TRUNC(F12/R13,0)</f>
        <v>0</v>
      </c>
      <c r="U13" s="30">
        <f si="3" t="shared"/>
        <v>0</v>
      </c>
      <c r="V13" s="1">
        <f si="4" t="shared"/>
        <v>1</v>
      </c>
      <c r="W13" s="31">
        <f si="5" t="shared"/>
        <v>0</v>
      </c>
    </row>
    <row r="14" spans="1:23" x14ac:dyDescent="0.2">
      <c r="A14" s="57"/>
      <c r="B14" s="67"/>
      <c r="C14" s="12"/>
      <c r="D14" s="356"/>
      <c r="E14" s="353"/>
      <c r="F14" s="12"/>
      <c r="G14" s="68"/>
      <c r="H14" s="57"/>
      <c r="I14" s="67"/>
      <c r="J14" s="12"/>
      <c r="K14" s="353"/>
      <c r="L14" s="353"/>
      <c r="M14" s="12"/>
      <c r="N14" s="68"/>
      <c r="O14" s="57"/>
      <c r="Q14" s="30">
        <f si="0" t="shared"/>
        <v>0</v>
      </c>
      <c r="R14" s="1">
        <f si="1" t="shared"/>
        <v>1</v>
      </c>
      <c r="S14" s="31">
        <f si="2" t="shared"/>
        <v>0</v>
      </c>
      <c r="U14" s="30">
        <f si="3" t="shared"/>
        <v>0</v>
      </c>
      <c r="V14" s="1">
        <f si="4" t="shared"/>
        <v>1</v>
      </c>
      <c r="W14" s="31">
        <f si="5" t="shared"/>
        <v>0</v>
      </c>
    </row>
    <row r="15" spans="1:23" x14ac:dyDescent="0.2">
      <c r="A15" s="57"/>
      <c r="B15" s="67"/>
      <c r="C15" s="12"/>
      <c r="D15" s="356"/>
      <c r="E15" s="353"/>
      <c r="F15" s="12"/>
      <c r="G15" s="68"/>
      <c r="H15" s="57"/>
      <c r="I15" s="67"/>
      <c r="J15" s="12"/>
      <c r="K15" s="353"/>
      <c r="L15" s="353"/>
      <c r="M15" s="12"/>
      <c r="N15" s="68"/>
      <c r="O15" s="57"/>
      <c r="Q15" s="30">
        <f si="0" t="shared"/>
        <v>0</v>
      </c>
      <c r="R15" s="1">
        <f si="1" t="shared"/>
        <v>1</v>
      </c>
      <c r="S15" s="31">
        <f si="2" t="shared"/>
        <v>0</v>
      </c>
      <c r="U15" s="30">
        <f si="3" t="shared"/>
        <v>0</v>
      </c>
      <c r="V15" s="1">
        <f si="4" t="shared"/>
        <v>1</v>
      </c>
      <c r="W15" s="31">
        <f si="5" t="shared"/>
        <v>0</v>
      </c>
    </row>
    <row r="16" spans="1:23" x14ac:dyDescent="0.2">
      <c r="A16" s="57"/>
      <c r="B16" s="67"/>
      <c r="C16" s="353"/>
      <c r="D16" s="353"/>
      <c r="E16" s="176">
        <f>AOI!C19</f>
        <v>6</v>
      </c>
      <c r="F16" s="39">
        <f>SUM(F6:F15)</f>
        <v>0</v>
      </c>
      <c r="G16" s="68"/>
      <c r="H16" s="57"/>
      <c r="I16" s="67"/>
      <c r="J16" s="12"/>
      <c r="K16" s="353"/>
      <c r="L16" s="353"/>
      <c r="M16" s="12"/>
      <c r="N16" s="68"/>
      <c r="O16" s="57"/>
      <c r="Q16" s="30">
        <f si="0" t="shared"/>
        <v>0</v>
      </c>
      <c r="R16" s="1">
        <f si="1" t="shared"/>
        <v>1</v>
      </c>
      <c r="S16" s="31">
        <f si="2" t="shared"/>
        <v>0</v>
      </c>
      <c r="U16" s="30">
        <f si="3" t="shared"/>
        <v>0</v>
      </c>
      <c r="V16" s="1">
        <f si="4" t="shared"/>
        <v>1</v>
      </c>
      <c r="W16" s="31">
        <f si="5" t="shared"/>
        <v>0</v>
      </c>
    </row>
    <row r="17" spans="1:23" x14ac:dyDescent="0.2">
      <c r="A17" s="57"/>
      <c r="B17" s="69"/>
      <c r="C17" s="357"/>
      <c r="D17" s="357"/>
      <c r="E17" s="357"/>
      <c r="F17" s="357"/>
      <c r="G17" s="70"/>
      <c r="H17" s="57"/>
      <c r="I17" s="67"/>
      <c r="J17" s="12"/>
      <c r="K17" s="353"/>
      <c r="L17" s="353"/>
      <c r="M17" s="12"/>
      <c r="N17" s="68"/>
      <c r="O17" s="57"/>
      <c r="Q17" s="3">
        <f>SUM(Q7:Q16)</f>
        <v>0</v>
      </c>
      <c r="R17" s="3">
        <f>SUM(C6:C15)</f>
        <v>0</v>
      </c>
      <c r="S17" s="3">
        <f>SUM(S7:S16)</f>
        <v>0</v>
      </c>
      <c r="U17" s="30">
        <f si="3" t="shared"/>
        <v>0</v>
      </c>
      <c r="V17" s="1">
        <f si="4" t="shared"/>
        <v>1</v>
      </c>
      <c r="W17" s="31">
        <f si="5" t="shared"/>
        <v>0</v>
      </c>
    </row>
    <row r="18" spans="1:23" x14ac:dyDescent="0.2">
      <c r="A18" s="57"/>
      <c r="B18" s="57"/>
      <c r="C18" s="57"/>
      <c r="D18" s="57"/>
      <c r="E18" s="57"/>
      <c r="F18" s="57"/>
      <c r="G18" s="57"/>
      <c r="H18" s="57"/>
      <c r="I18" s="67"/>
      <c r="J18" s="12"/>
      <c r="K18" s="353"/>
      <c r="L18" s="353"/>
      <c r="M18" s="12"/>
      <c r="N18" s="68"/>
      <c r="O18" s="57"/>
      <c r="U18" s="30">
        <f si="3" t="shared"/>
        <v>0</v>
      </c>
      <c r="V18" s="1">
        <f si="4" t="shared"/>
        <v>1</v>
      </c>
      <c r="W18" s="31">
        <f si="5" t="shared"/>
        <v>0</v>
      </c>
    </row>
    <row r="19" spans="1:23" x14ac:dyDescent="0.2">
      <c r="A19" s="57"/>
      <c r="B19" s="57"/>
      <c r="C19" s="57"/>
      <c r="D19" s="57"/>
      <c r="E19" s="57"/>
      <c r="F19" s="57"/>
      <c r="G19" s="57"/>
      <c r="H19" s="57"/>
      <c r="I19" s="67"/>
      <c r="J19" s="12"/>
      <c r="K19" s="353"/>
      <c r="L19" s="353"/>
      <c r="M19" s="12"/>
      <c r="N19" s="68"/>
      <c r="O19" s="57"/>
      <c r="U19" s="30">
        <f si="3" t="shared"/>
        <v>0</v>
      </c>
      <c r="V19" s="1">
        <f si="4" t="shared"/>
        <v>1</v>
      </c>
      <c r="W19" s="31">
        <f si="5" t="shared"/>
        <v>0</v>
      </c>
    </row>
    <row r="20" spans="1:23" x14ac:dyDescent="0.2">
      <c r="A20" s="57"/>
      <c r="B20" s="57"/>
      <c r="C20" s="57"/>
      <c r="D20" s="64" t="s">
        <v>2372</v>
      </c>
      <c r="E20" s="176" t="s">
        <v>2520</v>
      </c>
      <c r="F20" s="40" t="str">
        <f>IF(total_all_gains,'TSR (c17)'!M101,"")</f>
        <v/>
      </c>
      <c r="G20" s="57"/>
      <c r="H20" s="57"/>
      <c r="I20" s="67"/>
      <c r="J20" s="12"/>
      <c r="K20" s="353"/>
      <c r="L20" s="353"/>
      <c r="M20" s="12"/>
      <c r="N20" s="68"/>
      <c r="O20" s="57"/>
      <c r="Q20" t="b">
        <f>OR(Q17&gt;1,U22&gt;1,No_of_for_gains&gt;1)</f>
        <v>0</v>
      </c>
      <c r="U20" s="30">
        <f si="3" t="shared"/>
        <v>0</v>
      </c>
      <c r="V20" s="1">
        <f si="4" t="shared"/>
        <v>1</v>
      </c>
      <c r="W20" s="31">
        <f si="5" t="shared"/>
        <v>0</v>
      </c>
    </row>
    <row r="21" spans="1:23" x14ac:dyDescent="0.2">
      <c r="A21" s="57"/>
      <c r="B21" s="57"/>
      <c r="C21" s="57"/>
      <c r="D21" s="57"/>
      <c r="E21" s="57"/>
      <c r="F21" s="57"/>
      <c r="G21" s="57"/>
      <c r="H21" s="57"/>
      <c r="I21" s="67"/>
      <c r="J21" s="353"/>
      <c r="K21" s="353"/>
      <c r="L21" s="176">
        <f>AOI!C13</f>
        <v>4</v>
      </c>
      <c r="M21" s="39">
        <f>SUM(M6:M20)</f>
        <v>0</v>
      </c>
      <c r="N21" s="68"/>
      <c r="O21" s="57"/>
      <c r="U21" s="30">
        <f si="3" t="shared"/>
        <v>0</v>
      </c>
      <c r="V21" s="1">
        <f si="4" t="shared"/>
        <v>1</v>
      </c>
      <c r="W21" s="31">
        <f si="5" t="shared"/>
        <v>0</v>
      </c>
    </row>
    <row r="22" spans="1:23" x14ac:dyDescent="0.2">
      <c r="A22" s="57"/>
      <c r="B22" s="57"/>
      <c r="C22" s="57"/>
      <c r="D22" s="57"/>
      <c r="E22" s="57"/>
      <c r="F22" s="57"/>
      <c r="G22" s="57"/>
      <c r="H22" s="57"/>
      <c r="I22" s="69"/>
      <c r="J22" s="357"/>
      <c r="K22" s="357"/>
      <c r="L22" s="357"/>
      <c r="M22" s="357"/>
      <c r="N22" s="70"/>
      <c r="O22" s="57"/>
      <c r="U22" s="3">
        <f>SUM(U7:U21)</f>
        <v>0</v>
      </c>
      <c r="V22" s="3">
        <f>SUM(J6:J20)</f>
        <v>0</v>
      </c>
      <c r="W22" s="3">
        <f>SUM(W7:W21)</f>
        <v>0</v>
      </c>
    </row>
    <row r="23" spans="1:23" x14ac:dyDescent="0.2">
      <c r="A23" s="504" t="s">
        <v>1858</v>
      </c>
      <c r="B23" s="66"/>
      <c r="C23" s="57"/>
      <c r="D23" s="57"/>
      <c r="E23" s="57"/>
      <c r="F23" s="57"/>
      <c r="G23" s="57"/>
      <c r="H23" s="57"/>
      <c r="I23" s="57"/>
      <c r="J23" s="57"/>
      <c r="K23" s="57"/>
      <c r="L23" s="57"/>
      <c r="M23" s="57"/>
      <c r="N23" s="57"/>
      <c r="O23" s="57"/>
    </row>
    <row r="24" spans="1:23" x14ac:dyDescent="0.2">
      <c r="A24" s="505" t="s">
        <v>1859</v>
      </c>
      <c r="B24" s="68"/>
      <c r="C24" s="57"/>
      <c r="D24" s="57"/>
      <c r="E24" s="57"/>
      <c r="F24" s="57"/>
      <c r="G24" s="57"/>
      <c r="H24" s="57"/>
      <c r="I24" s="57"/>
      <c r="J24" s="57"/>
      <c r="K24" s="57"/>
      <c r="L24" s="62"/>
      <c r="M24" s="61"/>
      <c r="N24" s="57"/>
      <c r="O24" s="57"/>
    </row>
    <row r="25" spans="1:23" x14ac:dyDescent="0.2">
      <c r="A25" s="505" t="s">
        <v>1860</v>
      </c>
      <c r="B25" s="68"/>
      <c r="C25" s="57"/>
      <c r="D25" s="57"/>
      <c r="E25" s="57"/>
      <c r="F25" s="57"/>
      <c r="G25" s="57"/>
      <c r="H25" s="57"/>
      <c r="I25" s="57"/>
      <c r="J25" s="57"/>
      <c r="K25" s="57"/>
      <c r="L25" s="57"/>
      <c r="M25" s="57"/>
      <c r="N25" s="57"/>
      <c r="O25" s="57"/>
    </row>
    <row r="26" spans="1:23" x14ac:dyDescent="0.2">
      <c r="A26" s="506" t="s">
        <v>1861</v>
      </c>
      <c r="B26" s="70"/>
      <c r="C26" s="57"/>
      <c r="D26" s="57"/>
      <c r="E26" s="57"/>
      <c r="F26" s="57"/>
      <c r="G26" s="57"/>
      <c r="H26" s="57"/>
      <c r="I26" s="57"/>
      <c r="J26" s="57"/>
      <c r="K26" s="57"/>
      <c r="L26" s="62"/>
      <c r="M26" s="61"/>
      <c r="N26" s="57"/>
      <c r="O26" s="57"/>
    </row>
    <row r="27" spans="1:23" x14ac:dyDescent="0.2">
      <c r="A27" s="57"/>
      <c r="B27" s="57"/>
      <c r="C27" s="57"/>
      <c r="D27" s="57"/>
      <c r="E27" s="57"/>
      <c r="F27" s="57"/>
      <c r="G27" s="57"/>
      <c r="H27" s="57"/>
      <c r="I27" s="57"/>
      <c r="J27" s="57"/>
      <c r="K27" s="57"/>
      <c r="L27" s="57"/>
      <c r="M27" s="57"/>
      <c r="N27" s="57"/>
      <c r="O27" s="57"/>
    </row>
    <row r="28" spans="1:23" x14ac:dyDescent="0.2">
      <c r="A28" s="57"/>
      <c r="B28" s="57"/>
      <c r="C28" s="57"/>
      <c r="D28" s="57"/>
      <c r="E28" s="57"/>
      <c r="F28" s="57"/>
      <c r="G28" s="57"/>
      <c r="H28" s="57"/>
      <c r="I28" s="57"/>
      <c r="J28" s="57"/>
      <c r="K28" s="57"/>
      <c r="L28" s="62"/>
      <c r="M28" s="61"/>
      <c r="N28" s="57"/>
      <c r="O28" s="57"/>
    </row>
    <row r="29" spans="1:23" x14ac:dyDescent="0.2">
      <c r="A29" s="57"/>
      <c r="B29" s="57"/>
      <c r="C29" s="57"/>
      <c r="D29" s="57"/>
      <c r="E29" s="57"/>
      <c r="F29" s="57"/>
      <c r="G29" s="57"/>
      <c r="H29" s="57"/>
      <c r="I29" s="57"/>
      <c r="J29" s="57"/>
      <c r="K29" s="57"/>
      <c r="L29" s="62"/>
      <c r="M29" s="61"/>
      <c r="N29" s="57"/>
      <c r="O29" s="57"/>
    </row>
    <row r="30" spans="1:23" x14ac:dyDescent="0.2">
      <c r="A30" s="57"/>
      <c r="B30" s="57"/>
      <c r="C30" s="57"/>
      <c r="D30" s="57"/>
      <c r="E30" s="57"/>
      <c r="F30" s="57"/>
      <c r="G30" s="57"/>
      <c r="H30" s="57"/>
      <c r="I30" s="57"/>
      <c r="J30" s="57"/>
      <c r="K30" s="57"/>
      <c r="L30" s="62"/>
      <c r="M30" s="61"/>
      <c r="N30" s="57"/>
      <c r="O30" s="57"/>
    </row>
    <row r="31" spans="1:23" x14ac:dyDescent="0.2">
      <c r="A31" s="57"/>
      <c r="B31" s="57"/>
      <c r="C31" s="57"/>
      <c r="D31" s="57"/>
      <c r="E31" s="57"/>
      <c r="F31" s="57"/>
      <c r="G31" s="57"/>
      <c r="H31" s="57"/>
      <c r="I31" s="57"/>
      <c r="J31" s="57"/>
      <c r="K31" s="57"/>
      <c r="L31" s="62"/>
      <c r="M31" s="61"/>
      <c r="N31" s="57"/>
      <c r="O31" s="57"/>
    </row>
    <row r="32" spans="1:23" x14ac:dyDescent="0.2">
      <c r="A32" s="57"/>
      <c r="B32" s="57"/>
      <c r="C32" s="57"/>
      <c r="D32" s="57"/>
      <c r="E32" s="57"/>
      <c r="F32" s="57"/>
      <c r="G32" s="57"/>
      <c r="H32" s="57"/>
      <c r="I32" s="57"/>
      <c r="J32" s="57"/>
      <c r="K32" s="57"/>
      <c r="L32" s="62"/>
      <c r="M32" s="61"/>
      <c r="N32" s="57"/>
      <c r="O32" s="57"/>
    </row>
    <row r="33" spans="1:15" x14ac:dyDescent="0.2">
      <c r="A33" s="57"/>
      <c r="B33" s="57"/>
      <c r="C33" s="57"/>
      <c r="D33" s="57"/>
      <c r="E33" s="57"/>
      <c r="F33" s="57"/>
      <c r="G33" s="57"/>
      <c r="H33" s="57"/>
      <c r="I33" s="57"/>
      <c r="J33" s="57"/>
      <c r="K33" s="57"/>
      <c r="L33" s="62"/>
      <c r="M33" s="61"/>
      <c r="N33" s="57"/>
      <c r="O33" s="57"/>
    </row>
  </sheetData>
  <sheetProtection objects="1" scenarios="1" sheet="1"/>
  <phoneticPr fontId="67" type="noConversion"/>
  <pageMargins bottom="1" footer="0.5" header="0.5" left="0.75" right="0.75" top="1"/>
  <pageSetup orientation="landscape" paperSize="9" r:id="rId1"/>
  <headerFooter alignWithMargins="0"/>
  <drawing r:id="rId2"/>
  <legacyDrawing r:id="rId3"/>
  <mc:AlternateContent>
    <mc:Choice Requires="x14">
      <controls>
        <mc:AlternateContent>
          <mc:Choice Requires="x14">
            <control name="Button 1" r:id="rId4" shapeId="26625">
              <controlPr autoFill="0" autoPict="0" defaultSize="0" macro="[0]!Multi_UK_Gains" print="0">
                <anchor moveWithCells="1" sizeWithCells="1">
                  <from>
                    <xdr:col>3</xdr:col>
                    <xdr:colOff>200025</xdr:colOff>
                    <xdr:row>22</xdr:row>
                    <xdr:rowOff>142875</xdr:rowOff>
                  </from>
                  <to>
                    <xdr:col>7</xdr:col>
                    <xdr:colOff>38100</xdr:colOff>
                    <xdr:row>24</xdr:row>
                    <xdr:rowOff>152400</xdr:rowOff>
                  </to>
                </anchor>
              </controlPr>
            </control>
          </mc:Choice>
        </mc:AlternateContent>
      </controls>
    </mc:Choice>
  </mc:AlternateContent>
</worksheet>
</file>

<file path=xl/worksheets/sheet35.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6"/>
  <dimension ref="A1:L30"/>
  <sheetViews>
    <sheetView showGridLines="0" showRowColHeaders="0" topLeftCell="B1" workbookViewId="0">
      <selection activeCell="H21" sqref="H21"/>
    </sheetView>
  </sheetViews>
  <sheetFormatPr defaultColWidth="9.140625" defaultRowHeight="12" x14ac:dyDescent="0.2"/>
  <cols>
    <col min="1" max="1" customWidth="true" hidden="true" style="181" width="10.0" collapsed="true"/>
    <col min="2" max="2" customWidth="true" style="181" width="12.5703125" collapsed="true"/>
    <col min="3" max="3" customWidth="true" style="34" width="4.5703125" collapsed="true"/>
    <col min="4" max="4" customWidth="true" style="181" width="12.7109375" collapsed="true"/>
    <col min="5" max="5" style="181" width="9.140625" collapsed="true"/>
    <col min="6" max="6" customWidth="true" style="181" width="16.7109375" collapsed="true"/>
    <col min="7" max="7" customWidth="true" style="197" width="5.0" collapsed="true"/>
    <col min="8" max="8" customWidth="true" style="181" width="12.7109375" collapsed="true"/>
    <col min="9" max="9" customWidth="true" style="181" width="26.42578125" collapsed="true"/>
    <col min="10" max="10" customWidth="true" style="181" width="3.28515625" collapsed="true"/>
    <col min="11" max="11" customWidth="true" style="181" width="27.42578125" collapsed="true"/>
    <col min="12" max="16384" style="181" width="9.140625" collapsed="true"/>
  </cols>
  <sheetData>
    <row ht="12.75" r="1" spans="1:11" x14ac:dyDescent="0.2">
      <c r="A1" s="181" t="s">
        <v>6</v>
      </c>
      <c r="B1" s="139"/>
      <c r="C1" s="58" t="s">
        <v>2482</v>
      </c>
      <c r="D1" s="139"/>
      <c r="E1" s="139"/>
      <c r="F1" s="139"/>
      <c r="G1" s="193"/>
      <c r="H1" s="139"/>
      <c r="I1" s="139"/>
      <c r="J1" s="139"/>
      <c r="K1" s="139"/>
    </row>
    <row customHeight="1" ht="14.25" r="2" spans="1:11" x14ac:dyDescent="0.2">
      <c r="B2" s="139"/>
      <c r="C2" s="75"/>
      <c r="D2" s="139"/>
      <c r="E2" s="139"/>
      <c r="F2" s="139"/>
      <c r="G2" s="193"/>
      <c r="H2" s="139"/>
      <c r="I2" s="139"/>
      <c r="J2" s="139"/>
      <c r="K2" s="139"/>
    </row>
    <row r="3" spans="1:11" x14ac:dyDescent="0.2">
      <c r="A3" s="181">
        <v>1</v>
      </c>
      <c r="B3" s="139"/>
      <c r="C3" s="186" t="s">
        <v>7</v>
      </c>
      <c r="D3" s="155"/>
      <c r="E3" s="155"/>
      <c r="F3" s="155"/>
      <c r="G3" s="194"/>
      <c r="H3" s="155"/>
      <c r="I3" s="155"/>
      <c r="J3" s="420" t="s">
        <v>6</v>
      </c>
      <c r="K3" s="139"/>
    </row>
    <row r="4" spans="1:11" x14ac:dyDescent="0.2">
      <c r="A4" s="181">
        <v>2</v>
      </c>
      <c r="B4" s="139"/>
      <c r="C4" s="183"/>
      <c r="D4" s="174"/>
      <c r="E4" s="141"/>
      <c r="F4" s="141"/>
      <c r="G4" s="195"/>
      <c r="H4" s="141"/>
      <c r="I4" s="173"/>
      <c r="J4" s="158"/>
      <c r="K4" s="139"/>
    </row>
    <row r="5" spans="1:11" x14ac:dyDescent="0.2">
      <c r="A5" s="181">
        <v>3</v>
      </c>
      <c r="B5" s="139"/>
      <c r="C5" s="165">
        <f>A3</f>
        <v>1</v>
      </c>
      <c r="D5" s="141" t="s">
        <v>648</v>
      </c>
      <c r="E5" s="141"/>
      <c r="F5" s="141"/>
      <c r="G5" s="195"/>
      <c r="H5" s="141"/>
      <c r="I5" s="173"/>
      <c r="J5" s="158"/>
      <c r="K5" s="139"/>
    </row>
    <row ht="12.75" r="6" spans="1:11" x14ac:dyDescent="0.2">
      <c r="A6" s="181">
        <v>4</v>
      </c>
      <c r="B6" s="139"/>
      <c r="C6" s="183"/>
      <c r="D6" s="184"/>
      <c r="E6" s="141"/>
      <c r="F6" s="141"/>
      <c r="G6" s="195"/>
      <c r="H6" s="141"/>
      <c r="I6" s="173"/>
      <c r="J6" s="158"/>
      <c r="K6" s="139"/>
    </row>
    <row r="7" spans="1:11" x14ac:dyDescent="0.2">
      <c r="A7" s="181">
        <v>5</v>
      </c>
      <c r="B7" s="139"/>
      <c r="C7" s="183"/>
      <c r="D7" s="174"/>
      <c r="E7" s="141"/>
      <c r="F7" s="141"/>
      <c r="G7" s="195"/>
      <c r="H7" s="141"/>
      <c r="I7" s="173"/>
      <c r="J7" s="158"/>
      <c r="K7" s="139"/>
    </row>
    <row r="8" spans="1:11" x14ac:dyDescent="0.2">
      <c r="A8" s="181">
        <v>6</v>
      </c>
      <c r="B8" s="139"/>
      <c r="C8" s="418">
        <f>A5</f>
        <v>3</v>
      </c>
      <c r="D8" s="182" t="s">
        <v>1369</v>
      </c>
      <c r="E8" s="141"/>
      <c r="F8" s="141"/>
      <c r="G8" s="195"/>
      <c r="H8" s="141"/>
      <c r="I8" s="173"/>
      <c r="J8" s="158"/>
      <c r="K8" s="139"/>
    </row>
    <row r="9" spans="1:11" x14ac:dyDescent="0.2">
      <c r="A9" s="181">
        <v>7</v>
      </c>
      <c r="B9" s="139"/>
      <c r="C9" s="421"/>
      <c r="D9" s="166"/>
      <c r="E9" s="141"/>
      <c r="F9" s="141"/>
      <c r="G9" s="195"/>
      <c r="H9" s="141"/>
      <c r="I9" s="173"/>
      <c r="J9" s="158"/>
      <c r="K9" s="139"/>
    </row>
    <row r="10" spans="1:11" x14ac:dyDescent="0.2">
      <c r="A10" s="181">
        <v>8</v>
      </c>
      <c r="B10" s="139"/>
      <c r="C10" s="421"/>
      <c r="D10" s="174"/>
      <c r="E10" s="141"/>
      <c r="F10" s="141"/>
      <c r="G10" s="195"/>
      <c r="H10" s="141"/>
      <c r="I10" s="173"/>
      <c r="J10" s="158"/>
      <c r="K10" s="139"/>
    </row>
    <row r="11" spans="1:11" x14ac:dyDescent="0.2">
      <c r="A11" s="181">
        <v>9</v>
      </c>
      <c r="B11" s="139"/>
      <c r="C11" s="418">
        <f>A6</f>
        <v>4</v>
      </c>
      <c r="D11" s="182" t="s">
        <v>649</v>
      </c>
      <c r="E11" s="141"/>
      <c r="F11" s="141"/>
      <c r="G11" s="198">
        <f>A13</f>
        <v>11</v>
      </c>
      <c r="H11" s="190" t="s">
        <v>3290</v>
      </c>
      <c r="I11" s="173"/>
      <c r="J11" s="158"/>
      <c r="K11" s="139"/>
    </row>
    <row r="12" spans="1:11" x14ac:dyDescent="0.2">
      <c r="A12" s="181">
        <v>10</v>
      </c>
      <c r="B12" s="139"/>
      <c r="C12" s="421"/>
      <c r="D12" s="166"/>
      <c r="E12" s="141"/>
      <c r="F12" s="141"/>
      <c r="G12" s="195"/>
      <c r="H12" s="199"/>
      <c r="I12" s="173"/>
      <c r="J12" s="158"/>
      <c r="K12" s="139"/>
    </row>
    <row r="13" spans="1:11" x14ac:dyDescent="0.2">
      <c r="A13" s="181">
        <v>11</v>
      </c>
      <c r="B13" s="139"/>
      <c r="C13" s="421"/>
      <c r="D13" s="174"/>
      <c r="E13" s="141"/>
      <c r="F13" s="141"/>
      <c r="G13" s="195"/>
      <c r="H13" s="141"/>
      <c r="I13" s="173"/>
      <c r="J13" s="158"/>
      <c r="K13" s="139"/>
    </row>
    <row r="14" spans="1:11" x14ac:dyDescent="0.2">
      <c r="A14" s="181">
        <v>12</v>
      </c>
      <c r="B14" s="139"/>
      <c r="C14" s="418">
        <f>A7</f>
        <v>5</v>
      </c>
      <c r="D14" s="182" t="s">
        <v>1368</v>
      </c>
      <c r="E14" s="141"/>
      <c r="F14" s="191"/>
      <c r="G14" s="198">
        <f>A14</f>
        <v>12</v>
      </c>
      <c r="H14" s="192" t="s">
        <v>3289</v>
      </c>
      <c r="I14" s="173"/>
      <c r="J14" s="158"/>
      <c r="K14" s="139"/>
    </row>
    <row r="15" spans="1:11" x14ac:dyDescent="0.2">
      <c r="A15" s="181">
        <v>13</v>
      </c>
      <c r="B15" s="139"/>
      <c r="C15" s="421"/>
      <c r="D15" s="166"/>
      <c r="E15" s="141"/>
      <c r="F15" s="141"/>
      <c r="G15" s="195"/>
      <c r="H15" s="199"/>
      <c r="I15" s="173"/>
      <c r="J15" s="158"/>
      <c r="K15" s="139"/>
    </row>
    <row r="16" spans="1:11" x14ac:dyDescent="0.2">
      <c r="A16" s="181">
        <v>14</v>
      </c>
      <c r="B16" s="139"/>
      <c r="C16" s="421"/>
      <c r="D16" s="174"/>
      <c r="E16" s="141"/>
      <c r="F16" s="141"/>
      <c r="G16" s="195"/>
      <c r="H16" s="141"/>
      <c r="I16" s="173"/>
      <c r="J16" s="158"/>
      <c r="K16" s="139"/>
    </row>
    <row r="17" spans="1:11" x14ac:dyDescent="0.2">
      <c r="A17" s="181">
        <v>15</v>
      </c>
      <c r="B17" s="139"/>
      <c r="C17" s="418">
        <f>A8</f>
        <v>6</v>
      </c>
      <c r="D17" s="141" t="str">
        <f>"Tax taken off boxes "&amp;C8&amp;" to "&amp;C14</f>
        <v>Tax taken off boxes 3 to 5</v>
      </c>
      <c r="E17" s="141"/>
      <c r="F17" s="141"/>
      <c r="G17" s="198">
        <f>A15</f>
        <v>13</v>
      </c>
      <c r="H17" s="192" t="s">
        <v>576</v>
      </c>
      <c r="I17" s="173"/>
      <c r="J17" s="158"/>
      <c r="K17" s="139"/>
    </row>
    <row r="18" spans="1:11" x14ac:dyDescent="0.2">
      <c r="B18" s="139"/>
      <c r="C18" s="183"/>
      <c r="D18" s="876"/>
      <c r="E18" s="141"/>
      <c r="F18" s="141"/>
      <c r="G18" s="195"/>
      <c r="H18" s="199"/>
      <c r="I18" s="173"/>
      <c r="J18" s="158"/>
      <c r="K18" s="139"/>
    </row>
    <row r="19" spans="1:11" x14ac:dyDescent="0.2">
      <c r="B19" s="139"/>
      <c r="C19" s="183"/>
      <c r="D19" s="141"/>
      <c r="E19" s="141"/>
      <c r="F19" s="141"/>
      <c r="G19" s="141"/>
      <c r="H19" s="141"/>
      <c r="I19" s="173"/>
      <c r="J19" s="158"/>
      <c r="K19" s="139"/>
    </row>
    <row r="20" spans="1:11" x14ac:dyDescent="0.2">
      <c r="B20" s="139"/>
      <c r="C20" s="183"/>
      <c r="D20" s="141"/>
      <c r="E20" s="141"/>
      <c r="F20" s="141"/>
      <c r="G20" s="198">
        <f>A17</f>
        <v>15</v>
      </c>
      <c r="H20" s="192" t="s">
        <v>711</v>
      </c>
      <c r="I20" s="173"/>
      <c r="J20" s="158"/>
      <c r="K20" s="139"/>
    </row>
    <row r="21" spans="1:11" x14ac:dyDescent="0.2">
      <c r="B21" s="139"/>
      <c r="C21" s="183"/>
      <c r="D21" s="141"/>
      <c r="E21" s="141"/>
      <c r="F21" s="141"/>
      <c r="G21" s="195"/>
      <c r="H21" s="199"/>
      <c r="I21" s="173"/>
      <c r="J21" s="158"/>
      <c r="K21" s="139"/>
    </row>
    <row r="22" spans="1:11" x14ac:dyDescent="0.2">
      <c r="B22" s="139"/>
      <c r="C22" s="187"/>
      <c r="D22" s="188"/>
      <c r="E22" s="163"/>
      <c r="F22" s="163"/>
      <c r="G22" s="196"/>
      <c r="H22" s="163"/>
      <c r="I22" s="189"/>
      <c r="J22" s="164"/>
      <c r="K22" s="139"/>
    </row>
    <row r="23" spans="1:11" x14ac:dyDescent="0.2">
      <c r="B23" s="139"/>
      <c r="C23" s="139"/>
      <c r="D23" s="139"/>
      <c r="E23" s="139"/>
      <c r="F23" s="139"/>
      <c r="G23" s="139"/>
      <c r="H23" s="139"/>
      <c r="I23" s="139"/>
      <c r="J23" s="139"/>
      <c r="K23" s="139"/>
    </row>
    <row r="24" spans="1:11" x14ac:dyDescent="0.2">
      <c r="B24" s="139"/>
      <c r="C24" s="75"/>
      <c r="D24" s="139"/>
      <c r="E24" s="139"/>
      <c r="F24" s="139"/>
      <c r="G24" s="193"/>
      <c r="H24" s="139"/>
      <c r="I24" s="139"/>
      <c r="J24" s="139"/>
      <c r="K24" s="139"/>
    </row>
    <row r="25" spans="1:11" x14ac:dyDescent="0.2">
      <c r="B25" s="139"/>
      <c r="C25" s="75"/>
      <c r="D25" s="139"/>
      <c r="E25" s="139"/>
      <c r="F25" s="139"/>
      <c r="G25" s="193"/>
      <c r="H25" s="139"/>
      <c r="I25" s="139"/>
      <c r="J25" s="139"/>
      <c r="K25" s="139"/>
    </row>
    <row r="26" spans="1:11" x14ac:dyDescent="0.2">
      <c r="B26" s="139"/>
      <c r="C26" s="75"/>
      <c r="D26" s="139"/>
      <c r="E26" s="139"/>
      <c r="F26" s="139"/>
      <c r="G26" s="193"/>
      <c r="H26" s="139"/>
      <c r="I26" s="139"/>
      <c r="J26" s="139"/>
      <c r="K26" s="139"/>
    </row>
    <row r="27" spans="1:11" x14ac:dyDescent="0.2">
      <c r="B27" s="139"/>
      <c r="C27" s="75"/>
      <c r="D27" s="139"/>
      <c r="E27" s="139"/>
      <c r="F27" s="139"/>
      <c r="G27" s="193"/>
      <c r="H27" s="139"/>
      <c r="I27" s="139"/>
      <c r="J27" s="139"/>
      <c r="K27" s="139"/>
    </row>
    <row r="28" spans="1:11" x14ac:dyDescent="0.2">
      <c r="B28" s="139"/>
      <c r="C28" s="75"/>
      <c r="D28" s="139"/>
      <c r="E28" s="139"/>
      <c r="F28" s="139"/>
      <c r="G28" s="193"/>
      <c r="H28" s="139"/>
      <c r="I28" s="139"/>
      <c r="J28" s="139"/>
      <c r="K28" s="139"/>
    </row>
    <row r="29" spans="1:11" x14ac:dyDescent="0.2">
      <c r="B29" s="139"/>
      <c r="C29" s="75"/>
      <c r="D29" s="139"/>
      <c r="E29" s="139"/>
      <c r="F29" s="139"/>
      <c r="G29" s="193"/>
      <c r="H29" s="139"/>
      <c r="I29" s="139"/>
      <c r="J29" s="139"/>
      <c r="K29" s="139"/>
    </row>
    <row r="30" spans="1:11" x14ac:dyDescent="0.2">
      <c r="B30" s="139"/>
      <c r="C30" s="75"/>
      <c r="D30" s="139"/>
      <c r="E30" s="139"/>
      <c r="F30" s="139"/>
      <c r="G30" s="193"/>
      <c r="H30" s="139"/>
      <c r="I30" s="139"/>
      <c r="J30" s="139"/>
      <c r="K30" s="139"/>
    </row>
  </sheetData>
  <sheetProtection objects="1" scenarios="1" sheet="1"/>
  <phoneticPr fontId="67" type="noConversion"/>
  <pageMargins bottom="1" footer="0.5" header="0.5" left="0.75" right="0.75" top="1"/>
  <pageSetup horizontalDpi="1200" orientation="landscape" paperSize="9" r:id="rId1" verticalDpi="1200"/>
  <headerFooter alignWithMargins="0"/>
</worksheet>
</file>

<file path=xl/worksheets/sheet36.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8"/>
  <dimension ref="A1:W33"/>
  <sheetViews>
    <sheetView showGridLines="0" showRowColHeaders="0" topLeftCell="B1" workbookViewId="0">
      <selection activeCell="E22" sqref="E22"/>
    </sheetView>
  </sheetViews>
  <sheetFormatPr defaultColWidth="9.140625" defaultRowHeight="12" x14ac:dyDescent="0.2"/>
  <cols>
    <col min="1" max="1" customWidth="true" hidden="true" style="138" width="5.28515625" collapsed="true"/>
    <col min="2" max="2" customWidth="true" style="138" width="12.42578125" collapsed="true"/>
    <col min="3" max="3" customWidth="true" style="138" width="5.42578125" collapsed="true"/>
    <col min="4" max="4" customWidth="true" style="138" width="15.7109375" collapsed="true"/>
    <col min="5" max="6" customWidth="true" style="138" width="13.140625" collapsed="true"/>
    <col min="7" max="7" customWidth="true" style="138" width="5.0" collapsed="true"/>
    <col min="8" max="8" customWidth="true" style="138" width="13.7109375" collapsed="true"/>
    <col min="9" max="9" customWidth="true" style="138" width="9.7109375" collapsed="true"/>
    <col min="10" max="10" customWidth="true" style="138" width="18.5703125" collapsed="true"/>
    <col min="11" max="11" customWidth="true" style="138" width="26.85546875" collapsed="true"/>
    <col min="12" max="12" customWidth="true" style="138" width="7.7109375" collapsed="true"/>
    <col min="13" max="13" style="138" width="9.140625" collapsed="true"/>
    <col min="14" max="14" customWidth="true" style="138" width="4.5703125" collapsed="true"/>
    <col min="15" max="16" customWidth="true" style="138" width="5.140625" collapsed="true"/>
    <col min="17" max="17" customWidth="true" style="138" width="10.42578125" collapsed="true"/>
    <col min="18" max="18" customWidth="true" style="138" width="3.140625" collapsed="true"/>
    <col min="19" max="19" customWidth="true" style="138" width="2.28515625" collapsed="true"/>
    <col min="20" max="20" customWidth="true" hidden="true" style="138" width="15.85546875" collapsed="true"/>
    <col min="21" max="21" customWidth="true" hidden="true" style="138" width="5.0" collapsed="true"/>
    <col min="22" max="22" customWidth="true" hidden="true" style="138" width="7.28515625" collapsed="true"/>
    <col min="23" max="16384" style="138" width="9.140625" collapsed="true"/>
  </cols>
  <sheetData>
    <row ht="12.75" r="1" spans="1:22" x14ac:dyDescent="0.2">
      <c r="A1" s="138" t="s">
        <v>3830</v>
      </c>
      <c r="B1" s="139"/>
      <c r="C1" s="58" t="s">
        <v>2483</v>
      </c>
      <c r="D1" s="203"/>
      <c r="E1" s="203"/>
      <c r="F1" s="203"/>
      <c r="G1" s="203"/>
      <c r="H1" s="203"/>
      <c r="I1" s="203"/>
      <c r="J1" s="203"/>
      <c r="K1" s="139"/>
    </row>
    <row customHeight="1" ht="18" r="2" spans="1:22" x14ac:dyDescent="0.2">
      <c r="A2" s="138">
        <v>1</v>
      </c>
      <c r="B2" s="139"/>
      <c r="C2" s="139"/>
      <c r="D2" s="203"/>
      <c r="E2" s="203"/>
      <c r="F2" s="203"/>
      <c r="G2" s="203"/>
      <c r="H2" s="203"/>
      <c r="I2" s="203"/>
      <c r="J2" s="203"/>
      <c r="K2" s="139"/>
      <c r="L2" s="140"/>
      <c r="M2" s="140"/>
      <c r="N2" s="140"/>
      <c r="O2" s="140"/>
      <c r="P2" s="140"/>
      <c r="Q2" s="140"/>
    </row>
    <row customHeight="1" ht="12.75" r="3" spans="1:22" x14ac:dyDescent="0.2">
      <c r="A3" s="138">
        <v>2</v>
      </c>
      <c r="B3" s="139"/>
      <c r="C3" s="206" t="s">
        <v>3831</v>
      </c>
      <c r="D3" s="155"/>
      <c r="E3" s="155"/>
      <c r="F3" s="155"/>
      <c r="G3" s="155"/>
      <c r="H3" s="155"/>
      <c r="I3" s="155"/>
      <c r="J3" s="420" t="s">
        <v>3830</v>
      </c>
      <c r="K3" s="139"/>
      <c r="L3" s="140"/>
      <c r="M3" s="140"/>
      <c r="N3" s="140"/>
      <c r="O3" s="140"/>
      <c r="P3" s="140"/>
      <c r="Q3" s="140"/>
      <c r="T3" s="138" t="s">
        <v>3211</v>
      </c>
      <c r="U3" s="138">
        <v>2</v>
      </c>
      <c r="V3" s="138" t="b">
        <f>U3=1</f>
        <v>0</v>
      </c>
    </row>
    <row customHeight="1" ht="12.75" r="4" spans="1:22" x14ac:dyDescent="0.2">
      <c r="A4" s="138">
        <v>3</v>
      </c>
      <c r="B4" s="139"/>
      <c r="C4" s="157"/>
      <c r="D4" s="141"/>
      <c r="E4" s="144"/>
      <c r="F4" s="144"/>
      <c r="G4" s="141"/>
      <c r="H4" s="141"/>
      <c r="I4" s="141"/>
      <c r="J4" s="158"/>
      <c r="K4" s="139"/>
      <c r="L4" s="140"/>
      <c r="M4" s="140"/>
      <c r="N4" s="140"/>
      <c r="O4" s="140"/>
      <c r="P4" s="140"/>
      <c r="Q4" s="140"/>
      <c r="T4" s="138" t="s">
        <v>1775</v>
      </c>
    </row>
    <row customHeight="1" ht="12.75" r="5" spans="1:22" x14ac:dyDescent="0.2">
      <c r="A5" s="138">
        <v>4</v>
      </c>
      <c r="B5" s="139"/>
      <c r="C5" s="419">
        <f>A2</f>
        <v>1</v>
      </c>
      <c r="D5" s="204" t="s">
        <v>577</v>
      </c>
      <c r="E5" s="201"/>
      <c r="F5" s="201"/>
      <c r="G5" s="419">
        <f>A8</f>
        <v>7</v>
      </c>
      <c r="H5" s="204" t="s">
        <v>1064</v>
      </c>
      <c r="I5" s="141"/>
      <c r="J5" s="158"/>
      <c r="K5" s="139"/>
      <c r="L5" s="140"/>
      <c r="M5" s="140"/>
      <c r="N5" s="140"/>
      <c r="O5" s="140"/>
      <c r="P5" s="140"/>
      <c r="Q5" s="140"/>
    </row>
    <row customHeight="1" ht="12.75" r="6" spans="1:22" x14ac:dyDescent="0.2">
      <c r="A6" s="138">
        <v>5</v>
      </c>
      <c r="B6" s="139"/>
      <c r="C6" s="207"/>
      <c r="D6" s="147"/>
      <c r="E6" s="141"/>
      <c r="F6" s="141"/>
      <c r="G6" s="195"/>
      <c r="H6" s="147"/>
      <c r="I6" s="141"/>
      <c r="J6" s="158"/>
      <c r="K6" s="139"/>
      <c r="L6" s="140"/>
      <c r="M6" s="140"/>
      <c r="N6" s="140"/>
      <c r="O6" s="140"/>
      <c r="P6" s="140"/>
      <c r="Q6" s="140"/>
      <c r="T6" s="138" t="s">
        <v>2309</v>
      </c>
      <c r="U6" s="138">
        <v>2</v>
      </c>
      <c r="V6" s="138" t="b">
        <f>U6=1</f>
        <v>0</v>
      </c>
    </row>
    <row customHeight="1" ht="12.75" r="7" spans="1:22" x14ac:dyDescent="0.2">
      <c r="A7" s="138">
        <v>6</v>
      </c>
      <c r="B7" s="139"/>
      <c r="C7" s="157"/>
      <c r="D7" s="175"/>
      <c r="E7" s="201"/>
      <c r="F7" s="201"/>
      <c r="G7" s="141"/>
      <c r="H7" s="141"/>
      <c r="I7" s="141"/>
      <c r="J7" s="158"/>
      <c r="K7" s="139"/>
      <c r="L7" s="140"/>
      <c r="M7" s="200"/>
      <c r="N7" s="140"/>
      <c r="O7" s="140"/>
      <c r="P7" s="140"/>
      <c r="Q7" s="140"/>
      <c r="T7" s="138" t="s">
        <v>2310</v>
      </c>
    </row>
    <row customHeight="1" ht="12.75" r="8" spans="1:22" x14ac:dyDescent="0.2">
      <c r="A8" s="138">
        <v>7</v>
      </c>
      <c r="B8" s="139"/>
      <c r="C8" s="419">
        <f>A3</f>
        <v>2</v>
      </c>
      <c r="D8" s="175" t="s">
        <v>1062</v>
      </c>
      <c r="E8" s="141"/>
      <c r="F8" s="141"/>
      <c r="G8" s="145">
        <f>A9</f>
        <v>8</v>
      </c>
      <c r="H8" s="144" t="s">
        <v>1598</v>
      </c>
      <c r="I8" s="141"/>
      <c r="J8" s="158"/>
      <c r="K8" s="139"/>
      <c r="L8" s="140"/>
      <c r="N8" s="140"/>
      <c r="O8" s="140"/>
      <c r="P8" s="140"/>
      <c r="Q8" s="140"/>
    </row>
    <row customHeight="1" ht="12.75" r="9" spans="1:22" x14ac:dyDescent="0.2">
      <c r="A9" s="138">
        <v>8</v>
      </c>
      <c r="B9" s="139"/>
      <c r="C9" s="208"/>
      <c r="D9" s="147"/>
      <c r="E9" s="201"/>
      <c r="F9" s="201"/>
      <c r="G9" s="202"/>
      <c r="H9" s="147"/>
      <c r="I9" s="141"/>
      <c r="J9" s="158"/>
      <c r="K9" s="139"/>
      <c r="L9" s="140"/>
      <c r="M9" s="140"/>
      <c r="N9" s="140"/>
      <c r="O9" s="140"/>
      <c r="P9" s="140"/>
      <c r="Q9" s="140"/>
      <c r="T9" s="138" t="s">
        <v>2438</v>
      </c>
      <c r="U9" s="138">
        <v>2</v>
      </c>
      <c r="V9" s="138" t="b">
        <f>U9=1</f>
        <v>0</v>
      </c>
    </row>
    <row customHeight="1" ht="12.75" r="10" spans="1:22" x14ac:dyDescent="0.2">
      <c r="A10" s="138">
        <v>9</v>
      </c>
      <c r="B10" s="139"/>
      <c r="C10" s="157"/>
      <c r="D10" s="141"/>
      <c r="E10" s="141"/>
      <c r="F10" s="141"/>
      <c r="G10" s="195"/>
      <c r="H10" s="195"/>
      <c r="I10" s="141"/>
      <c r="J10" s="158"/>
      <c r="K10" s="139"/>
      <c r="L10" s="140"/>
      <c r="M10" s="140"/>
      <c r="N10" s="140"/>
      <c r="O10" s="140"/>
      <c r="P10" s="140"/>
      <c r="Q10" s="140"/>
      <c r="T10" s="138" t="s">
        <v>2439</v>
      </c>
    </row>
    <row customHeight="1" ht="12.75" r="11" spans="1:22" x14ac:dyDescent="0.2">
      <c r="A11" s="138">
        <v>10</v>
      </c>
      <c r="B11" s="139"/>
      <c r="C11" s="143">
        <f>A4</f>
        <v>3</v>
      </c>
      <c r="D11" s="141" t="s">
        <v>1496</v>
      </c>
      <c r="E11" s="201"/>
      <c r="F11" s="201"/>
      <c r="G11" s="419">
        <f>A10</f>
        <v>9</v>
      </c>
      <c r="H11" s="141" t="s">
        <v>52</v>
      </c>
      <c r="I11" s="141"/>
      <c r="J11" s="158"/>
      <c r="K11" s="139"/>
      <c r="L11" s="140"/>
      <c r="M11" s="140"/>
      <c r="N11" s="140"/>
      <c r="O11" s="140"/>
      <c r="P11" s="140"/>
      <c r="Q11" s="140"/>
    </row>
    <row customHeight="1" ht="12.75" r="12" spans="1:22" x14ac:dyDescent="0.2">
      <c r="A12" s="138">
        <v>11</v>
      </c>
      <c r="B12" s="139"/>
      <c r="C12" s="209"/>
      <c r="D12" s="147"/>
      <c r="E12" s="195"/>
      <c r="F12" s="195"/>
      <c r="G12" s="141"/>
      <c r="H12" s="147"/>
      <c r="I12" s="141"/>
      <c r="J12" s="158"/>
      <c r="K12" s="139"/>
      <c r="L12" s="140"/>
      <c r="M12" s="140"/>
      <c r="N12" s="140"/>
      <c r="O12" s="140"/>
      <c r="P12" s="140"/>
      <c r="Q12" s="140"/>
    </row>
    <row customHeight="1" ht="12.75" r="13" spans="1:22" x14ac:dyDescent="0.2">
      <c r="A13" s="138">
        <v>12</v>
      </c>
      <c r="B13" s="139"/>
      <c r="C13" s="157"/>
      <c r="D13" s="141"/>
      <c r="E13" s="201"/>
      <c r="F13" s="201"/>
      <c r="G13" s="141"/>
      <c r="H13" s="141"/>
      <c r="I13" s="141"/>
      <c r="J13" s="158"/>
      <c r="K13" s="139"/>
      <c r="L13" s="140"/>
      <c r="M13" s="140"/>
      <c r="N13" s="140"/>
      <c r="O13" s="140"/>
      <c r="P13" s="140"/>
      <c r="Q13" s="140"/>
    </row>
    <row customHeight="1" ht="12.75" r="14" spans="1:22" x14ac:dyDescent="0.2">
      <c r="B14" s="139"/>
      <c r="C14" s="143">
        <f>A5</f>
        <v>4</v>
      </c>
      <c r="D14" s="144" t="s">
        <v>1518</v>
      </c>
      <c r="E14" s="175"/>
      <c r="F14" s="175"/>
      <c r="G14" s="419">
        <f>A11</f>
        <v>10</v>
      </c>
      <c r="H14" s="175" t="s">
        <v>2318</v>
      </c>
      <c r="I14" s="141"/>
      <c r="J14" s="158"/>
      <c r="K14" s="139"/>
      <c r="L14" s="140"/>
      <c r="M14" s="140"/>
      <c r="N14" s="140"/>
      <c r="O14" s="140"/>
      <c r="P14" s="140"/>
      <c r="Q14" s="140"/>
    </row>
    <row customHeight="1" ht="12.75" r="15" spans="1:22" x14ac:dyDescent="0.2">
      <c r="B15" s="139"/>
      <c r="C15" s="210"/>
      <c r="D15" s="147"/>
      <c r="E15" s="201"/>
      <c r="F15" s="201"/>
      <c r="G15" s="201"/>
      <c r="H15" s="147"/>
      <c r="I15" s="141"/>
      <c r="J15" s="158"/>
      <c r="K15" s="139"/>
      <c r="L15" s="140"/>
      <c r="M15" s="140"/>
      <c r="N15" s="140"/>
      <c r="O15" s="140"/>
      <c r="P15" s="140"/>
      <c r="Q15" s="140"/>
    </row>
    <row customHeight="1" ht="12.75" r="16" spans="1:22" x14ac:dyDescent="0.2">
      <c r="B16" s="139"/>
      <c r="C16" s="157"/>
      <c r="D16" s="141"/>
      <c r="E16" s="144"/>
      <c r="F16" s="144"/>
      <c r="G16" s="144"/>
      <c r="H16" s="144"/>
      <c r="I16" s="141"/>
      <c r="J16" s="158"/>
      <c r="K16" s="139"/>
      <c r="L16" s="140"/>
      <c r="M16" s="140"/>
      <c r="N16" s="140"/>
      <c r="O16" s="140"/>
      <c r="P16" s="140"/>
      <c r="Q16" s="140"/>
    </row>
    <row customHeight="1" ht="12.75" r="17" spans="2:17" x14ac:dyDescent="0.2">
      <c r="B17" s="139"/>
      <c r="C17" s="205">
        <f>A6</f>
        <v>5</v>
      </c>
      <c r="D17" s="175" t="s">
        <v>1063</v>
      </c>
      <c r="E17" s="201"/>
      <c r="F17" s="201"/>
      <c r="G17" s="419">
        <f>A12</f>
        <v>11</v>
      </c>
      <c r="H17" s="939" t="s">
        <v>1493</v>
      </c>
      <c r="I17" s="141"/>
      <c r="J17" s="158"/>
      <c r="K17" s="139"/>
      <c r="L17" s="140"/>
      <c r="M17" s="140"/>
      <c r="N17" s="140"/>
      <c r="O17" s="140"/>
      <c r="P17" s="140"/>
      <c r="Q17" s="140"/>
    </row>
    <row customHeight="1" ht="12.75" r="18" spans="2:17" x14ac:dyDescent="0.2">
      <c r="B18" s="139"/>
      <c r="C18" s="207"/>
      <c r="D18" s="147"/>
      <c r="E18" s="144"/>
      <c r="F18" s="144"/>
      <c r="G18" s="144"/>
      <c r="H18" s="147"/>
      <c r="I18" s="141"/>
      <c r="J18" s="158"/>
      <c r="K18" s="139"/>
      <c r="L18" s="140"/>
      <c r="M18" s="140"/>
      <c r="N18" s="140"/>
      <c r="O18" s="140"/>
      <c r="P18" s="140"/>
      <c r="Q18" s="140"/>
    </row>
    <row customHeight="1" ht="12.75" r="19" spans="2:17" x14ac:dyDescent="0.2">
      <c r="B19" s="139"/>
      <c r="C19" s="207"/>
      <c r="D19" s="175"/>
      <c r="E19" s="201"/>
      <c r="F19" s="144"/>
      <c r="G19" s="144"/>
      <c r="H19" s="144"/>
      <c r="I19" s="144"/>
      <c r="J19" s="158"/>
      <c r="K19" s="139"/>
      <c r="L19" s="140"/>
      <c r="M19" s="140"/>
      <c r="N19" s="140"/>
      <c r="O19" s="140"/>
      <c r="P19" s="140"/>
      <c r="Q19" s="140"/>
    </row>
    <row customHeight="1" ht="12.75" r="20" spans="2:17" x14ac:dyDescent="0.2">
      <c r="B20" s="139"/>
      <c r="C20" s="143">
        <f>A7</f>
        <v>6</v>
      </c>
      <c r="D20" s="175" t="s">
        <v>1882</v>
      </c>
      <c r="E20" s="201"/>
      <c r="F20" s="144"/>
      <c r="G20" s="2212">
        <f>A13</f>
        <v>12</v>
      </c>
      <c r="H20" s="2213" t="s">
        <v>6820</v>
      </c>
      <c r="I20" s="2214"/>
      <c r="J20" s="2215"/>
      <c r="K20" s="139"/>
      <c r="L20" s="140"/>
      <c r="M20" s="140"/>
      <c r="N20" s="140"/>
      <c r="O20" s="140"/>
      <c r="P20" s="140"/>
      <c r="Q20" s="140"/>
    </row>
    <row customHeight="1" ht="12.75" r="21" spans="2:17" x14ac:dyDescent="0.2">
      <c r="B21" s="139"/>
      <c r="C21" s="207"/>
      <c r="D21" s="147"/>
      <c r="E21" s="144"/>
      <c r="F21" s="144"/>
      <c r="G21" s="2214"/>
      <c r="H21" s="147"/>
      <c r="I21" s="2214"/>
      <c r="J21" s="2215"/>
      <c r="K21" s="139"/>
      <c r="L21" s="140"/>
      <c r="M21" s="140"/>
      <c r="N21" s="140"/>
      <c r="O21" s="140"/>
      <c r="P21" s="140"/>
      <c r="Q21" s="140"/>
    </row>
    <row customHeight="1" ht="12.75" r="22" spans="2:17" x14ac:dyDescent="0.2">
      <c r="B22" s="139"/>
      <c r="C22" s="162"/>
      <c r="D22" s="163"/>
      <c r="E22" s="211"/>
      <c r="F22" s="211"/>
      <c r="G22" s="212"/>
      <c r="H22" s="212"/>
      <c r="I22" s="163"/>
      <c r="J22" s="213"/>
      <c r="K22" s="139"/>
      <c r="L22" s="140"/>
      <c r="M22" s="140"/>
      <c r="N22" s="140"/>
      <c r="O22" s="140"/>
      <c r="P22" s="140"/>
      <c r="Q22" s="140"/>
    </row>
    <row customHeight="1" ht="12.75" r="23" spans="2:17" x14ac:dyDescent="0.2">
      <c r="B23" s="139"/>
      <c r="C23" s="139"/>
      <c r="D23" s="139"/>
      <c r="E23" s="139"/>
      <c r="F23" s="139"/>
      <c r="G23" s="139"/>
      <c r="H23" s="139"/>
      <c r="I23" s="139"/>
      <c r="J23" s="139"/>
      <c r="K23" s="139"/>
      <c r="L23" s="140"/>
      <c r="M23" s="140"/>
      <c r="N23" s="140"/>
      <c r="O23" s="140"/>
      <c r="P23" s="140"/>
      <c r="Q23" s="140"/>
    </row>
    <row customHeight="1" ht="12.75" r="24" spans="2:17" x14ac:dyDescent="0.2">
      <c r="B24" s="139"/>
      <c r="C24" s="139"/>
      <c r="D24" s="139"/>
      <c r="E24" s="139"/>
      <c r="F24" s="139"/>
      <c r="G24" s="139"/>
      <c r="H24" s="139"/>
      <c r="I24" s="139"/>
      <c r="J24" s="139"/>
      <c r="K24" s="139"/>
      <c r="L24" s="140"/>
      <c r="M24" s="140"/>
      <c r="N24" s="140"/>
      <c r="O24" s="140"/>
      <c r="P24" s="140"/>
      <c r="Q24" s="140"/>
    </row>
    <row customHeight="1" ht="12.75" r="25" spans="2:17" x14ac:dyDescent="0.2">
      <c r="B25" s="139"/>
      <c r="C25" s="139"/>
      <c r="D25" s="139"/>
      <c r="E25" s="139"/>
      <c r="F25" s="139"/>
      <c r="G25" s="139"/>
      <c r="H25" s="139"/>
      <c r="I25" s="139"/>
      <c r="J25" s="139"/>
      <c r="K25" s="139"/>
      <c r="L25" s="140"/>
      <c r="M25" s="140"/>
      <c r="N25" s="140"/>
      <c r="O25" s="140"/>
      <c r="P25" s="140"/>
      <c r="Q25" s="140"/>
    </row>
    <row customHeight="1" ht="12.75" r="26" spans="2:17" x14ac:dyDescent="0.2">
      <c r="B26" s="139"/>
      <c r="C26" s="139"/>
      <c r="D26" s="139"/>
      <c r="E26" s="139"/>
      <c r="F26" s="139"/>
      <c r="G26" s="153"/>
      <c r="H26" s="139"/>
      <c r="I26" s="139"/>
      <c r="J26" s="139"/>
      <c r="K26" s="139"/>
      <c r="L26" s="140"/>
      <c r="M26" s="140"/>
      <c r="N26" s="140"/>
      <c r="O26" s="140"/>
      <c r="P26" s="140"/>
      <c r="Q26" s="140"/>
    </row>
    <row customHeight="1" ht="12.75" r="27" spans="2:17" x14ac:dyDescent="0.2">
      <c r="B27" s="139"/>
      <c r="C27" s="139"/>
      <c r="D27" s="139"/>
      <c r="E27" s="139"/>
      <c r="F27" s="139"/>
      <c r="G27" s="139"/>
      <c r="H27" s="139"/>
      <c r="I27" s="139"/>
      <c r="J27" s="139"/>
      <c r="K27" s="139"/>
      <c r="L27" s="140"/>
      <c r="M27" s="140"/>
      <c r="N27" s="140"/>
      <c r="O27" s="140"/>
      <c r="P27" s="140"/>
      <c r="Q27" s="140"/>
    </row>
    <row customHeight="1" ht="12.75" r="28" spans="2:17" x14ac:dyDescent="0.2">
      <c r="B28" s="139"/>
      <c r="C28" s="139"/>
      <c r="D28" s="139"/>
      <c r="E28" s="139"/>
      <c r="F28" s="139"/>
      <c r="G28" s="153"/>
      <c r="H28" s="139"/>
      <c r="I28" s="139"/>
      <c r="J28" s="139"/>
      <c r="K28" s="139"/>
      <c r="L28" s="140"/>
      <c r="M28" s="140"/>
      <c r="N28" s="140"/>
      <c r="O28" s="140"/>
      <c r="P28" s="140"/>
      <c r="Q28" s="140"/>
    </row>
    <row customHeight="1" ht="12.75" r="29" spans="2:17" x14ac:dyDescent="0.2">
      <c r="B29" s="139"/>
      <c r="C29" s="139"/>
      <c r="D29" s="139"/>
      <c r="E29" s="139"/>
      <c r="F29" s="139"/>
      <c r="G29" s="139"/>
      <c r="H29" s="139"/>
      <c r="I29" s="139"/>
      <c r="J29" s="139"/>
      <c r="K29" s="139"/>
      <c r="L29" s="140"/>
      <c r="M29" s="140"/>
      <c r="N29" s="140"/>
      <c r="O29" s="140"/>
      <c r="P29" s="140"/>
      <c r="Q29" s="140"/>
    </row>
    <row customHeight="1" ht="12.75" r="30" spans="2:17" x14ac:dyDescent="0.2">
      <c r="B30" s="139"/>
      <c r="C30" s="139"/>
      <c r="D30" s="139"/>
      <c r="E30" s="139"/>
      <c r="F30" s="139"/>
      <c r="G30" s="153"/>
      <c r="H30" s="139"/>
      <c r="I30" s="139"/>
      <c r="J30" s="139"/>
      <c r="K30" s="139"/>
    </row>
    <row r="31" spans="2:17" x14ac:dyDescent="0.2">
      <c r="B31" s="139"/>
      <c r="C31" s="139"/>
      <c r="D31" s="139"/>
      <c r="E31" s="139"/>
      <c r="F31" s="139"/>
      <c r="G31" s="139"/>
      <c r="H31" s="139"/>
      <c r="I31" s="139"/>
      <c r="J31" s="139"/>
      <c r="K31" s="139"/>
    </row>
    <row r="32" spans="2:17" x14ac:dyDescent="0.2">
      <c r="B32" s="139"/>
      <c r="C32" s="139"/>
      <c r="D32" s="139"/>
      <c r="E32" s="139"/>
      <c r="F32" s="139"/>
      <c r="G32" s="139"/>
      <c r="H32" s="139"/>
      <c r="I32" s="139"/>
      <c r="J32" s="139"/>
      <c r="K32" s="139"/>
    </row>
    <row r="33" spans="2:11" x14ac:dyDescent="0.2">
      <c r="B33" s="139"/>
      <c r="C33" s="139"/>
      <c r="D33" s="139"/>
      <c r="E33" s="139"/>
      <c r="F33" s="139"/>
      <c r="G33" s="139"/>
      <c r="H33" s="139"/>
      <c r="I33" s="139"/>
      <c r="J33" s="139"/>
      <c r="K33" s="139"/>
    </row>
  </sheetData>
  <phoneticPr fontId="67" type="noConversion"/>
  <pageMargins bottom="1" footer="0.5" header="0.5" left="0.75" right="0.75" top="1"/>
  <pageSetup orientation="landscape" paperSize="9" r:id="rId1"/>
  <headerFooter alignWithMargins="0"/>
</worksheet>
</file>

<file path=xl/worksheets/sheet37.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xmlns:xr="http://schemas.microsoft.com/office/spreadsheetml/2014/revision" xmlns:xr2="http://schemas.microsoft.com/office/spreadsheetml/2015/revision2" xmlns:xr3="http://schemas.microsoft.com/office/spreadsheetml/2016/revision3" mc:Ignorable="x14ac xr xr2 xr3" xr:uid="{00000000-0001-0000-2400-000000000000}">
  <sheetPr codeName="Sheet31"/>
  <dimension ref="A1:M33"/>
  <sheetViews>
    <sheetView showGridLines="0" showRowColHeaders="0" topLeftCell="B1" workbookViewId="0">
      <selection activeCell="E21" sqref="E21"/>
    </sheetView>
  </sheetViews>
  <sheetFormatPr defaultColWidth="9.140625" defaultRowHeight="12" x14ac:dyDescent="0.2"/>
  <cols>
    <col min="1" max="1" customWidth="true" hidden="true" style="181" width="17.7109375" collapsed="true"/>
    <col min="2" max="2" customWidth="true" style="181" width="20.28515625" collapsed="true"/>
    <col min="3" max="3" customWidth="true" style="197" width="4.85546875" collapsed="true"/>
    <col min="4" max="4" customWidth="true" style="181" width="14.28515625" collapsed="true"/>
    <col min="5" max="5" customWidth="true" style="181" width="26.28515625" collapsed="true"/>
    <col min="6" max="6" customWidth="true" style="181" width="3.5703125" collapsed="true"/>
    <col min="7" max="7" customWidth="true" style="181" width="37.28515625" collapsed="true"/>
    <col min="8" max="8" customWidth="true" style="181" width="44.0" collapsed="true"/>
    <col min="9" max="9" customWidth="true" style="181" width="15.28515625" collapsed="true"/>
    <col min="10" max="10" customWidth="true" style="181" width="7.0" collapsed="true"/>
    <col min="11" max="11" customWidth="true" style="181" width="9.5703125" collapsed="true"/>
    <col min="12" max="12" customWidth="true" style="181" width="8.85546875" collapsed="true"/>
    <col min="13" max="13" customWidth="true" style="181" width="9.42578125" collapsed="true"/>
    <col min="14" max="16384" style="181" width="9.140625" collapsed="true"/>
  </cols>
  <sheetData>
    <row customHeight="1" ht="12" r="1" spans="1:12" x14ac:dyDescent="0.2">
      <c r="A1" s="181" t="s">
        <v>614</v>
      </c>
      <c r="B1" s="139"/>
      <c r="C1" s="193"/>
      <c r="D1" s="139"/>
      <c r="E1" s="139"/>
      <c r="F1" s="139"/>
      <c r="G1" s="139"/>
      <c r="H1" s="139"/>
    </row>
    <row customHeight="1" ht="12" r="2" spans="1:12" x14ac:dyDescent="0.2">
      <c r="A2" s="181">
        <v>1</v>
      </c>
      <c r="B2" s="139"/>
      <c r="C2" s="423" t="s">
        <v>2405</v>
      </c>
      <c r="D2" s="155"/>
      <c r="E2" s="359"/>
      <c r="F2" s="859" t="s">
        <v>1732</v>
      </c>
      <c r="G2" s="863" t="s">
        <v>614</v>
      </c>
      <c r="H2" s="139"/>
      <c r="I2" s="864"/>
    </row>
    <row customHeight="1" ht="12" r="3" spans="1:12" x14ac:dyDescent="0.2">
      <c r="A3" s="181">
        <v>2</v>
      </c>
      <c r="B3" s="139"/>
      <c r="C3" s="210"/>
      <c r="D3" s="141"/>
      <c r="E3" s="141"/>
      <c r="F3" s="860" t="s">
        <v>1537</v>
      </c>
      <c r="G3" s="158"/>
      <c r="H3" s="139"/>
      <c r="I3" s="865"/>
    </row>
    <row customHeight="1" ht="12" r="4" spans="1:12" x14ac:dyDescent="0.2">
      <c r="A4" s="181">
        <v>3</v>
      </c>
      <c r="B4" s="139"/>
      <c r="C4" s="307">
        <f>A2</f>
        <v>1</v>
      </c>
      <c r="D4" s="141" t="s">
        <v>2283</v>
      </c>
      <c r="E4" s="141"/>
      <c r="F4" s="141"/>
      <c r="G4" s="866" t="s">
        <v>1538</v>
      </c>
      <c r="H4" s="139"/>
      <c r="I4" s="864"/>
    </row>
    <row customHeight="1" ht="12" r="5" spans="1:12" x14ac:dyDescent="0.2">
      <c r="A5" s="181">
        <v>4</v>
      </c>
      <c r="B5" s="139"/>
      <c r="C5" s="307">
        <f>A9</f>
        <v>8</v>
      </c>
      <c r="D5" s="174"/>
      <c r="E5" s="141"/>
      <c r="F5" s="867">
        <v>1</v>
      </c>
      <c r="G5" s="866" t="s">
        <v>2722</v>
      </c>
      <c r="H5" s="139"/>
      <c r="I5" s="864"/>
    </row>
    <row customHeight="1" ht="12" r="6" spans="1:12" x14ac:dyDescent="0.2">
      <c r="A6" s="181">
        <v>5</v>
      </c>
      <c r="B6" s="139"/>
      <c r="C6" s="210"/>
      <c r="D6" s="141"/>
      <c r="E6" s="141"/>
      <c r="F6" s="141"/>
      <c r="G6" s="866" t="s">
        <v>2723</v>
      </c>
      <c r="H6" s="139"/>
      <c r="K6" s="138"/>
    </row>
    <row customHeight="1" ht="12" r="7" spans="1:12" x14ac:dyDescent="0.2">
      <c r="A7" s="181">
        <v>6</v>
      </c>
      <c r="B7" s="139"/>
      <c r="C7" s="210"/>
      <c r="D7" s="141"/>
      <c r="E7" s="141"/>
      <c r="F7" s="141"/>
      <c r="G7" s="158"/>
      <c r="H7" s="139"/>
      <c r="K7" s="138"/>
    </row>
    <row customHeight="1" ht="12" r="8" spans="1:12" x14ac:dyDescent="0.2">
      <c r="A8" s="181">
        <v>7</v>
      </c>
      <c r="B8" s="139"/>
      <c r="C8" s="307">
        <f>A3</f>
        <v>2</v>
      </c>
      <c r="D8" s="350" t="s">
        <v>2724</v>
      </c>
      <c r="E8" s="141"/>
      <c r="F8" s="141"/>
      <c r="G8" s="158"/>
      <c r="H8" s="139"/>
    </row>
    <row customHeight="1" ht="12" r="9" spans="1:12" x14ac:dyDescent="0.2">
      <c r="A9" s="181">
        <v>8</v>
      </c>
      <c r="B9" s="139"/>
      <c r="C9" s="307">
        <f>A6</f>
        <v>5</v>
      </c>
      <c r="D9" s="141"/>
      <c r="E9" s="141"/>
      <c r="F9" s="868">
        <v>2</v>
      </c>
      <c r="G9" s="866" t="s">
        <v>2725</v>
      </c>
      <c r="H9" s="139"/>
    </row>
    <row customHeight="1" ht="12" r="10" spans="1:12" x14ac:dyDescent="0.2">
      <c r="A10" s="181">
        <v>9</v>
      </c>
      <c r="B10" s="139"/>
      <c r="C10" s="210"/>
      <c r="D10" s="141"/>
      <c r="E10" s="174"/>
      <c r="F10" s="174"/>
      <c r="G10" s="866" t="s">
        <v>2726</v>
      </c>
      <c r="H10" s="139"/>
      <c r="K10" s="138"/>
    </row>
    <row customHeight="1" ht="12" r="11" spans="1:12" x14ac:dyDescent="0.2">
      <c r="A11" s="181">
        <v>10</v>
      </c>
      <c r="B11" s="139"/>
      <c r="C11" s="210"/>
      <c r="D11" s="141"/>
      <c r="E11" s="141"/>
      <c r="F11" s="141"/>
      <c r="G11" s="158"/>
      <c r="H11" s="139"/>
      <c r="L11" s="138"/>
    </row>
    <row customHeight="1" ht="12" r="12" spans="1:12" x14ac:dyDescent="0.2">
      <c r="A12" s="181">
        <v>11</v>
      </c>
      <c r="B12" s="139"/>
      <c r="C12" s="307">
        <f>IF(MCA_claim=3,A7,A4)</f>
        <v>3</v>
      </c>
      <c r="D12" s="141" t="s">
        <v>2727</v>
      </c>
      <c r="E12" s="141"/>
      <c r="F12" s="141"/>
      <c r="G12" s="866" t="s">
        <v>2728</v>
      </c>
      <c r="H12" s="139"/>
    </row>
    <row customHeight="1" ht="12" r="13" spans="1:12" x14ac:dyDescent="0.2">
      <c r="B13" s="139"/>
      <c r="C13" s="307">
        <f>IF(MCA_claim=3,A8,A5)</f>
        <v>4</v>
      </c>
      <c r="D13" s="141"/>
      <c r="E13" s="141"/>
      <c r="F13" s="868">
        <v>1</v>
      </c>
      <c r="G13" s="866" t="s">
        <v>2729</v>
      </c>
      <c r="H13" s="139"/>
    </row>
    <row customHeight="1" ht="12" r="14" spans="1:12" x14ac:dyDescent="0.2">
      <c r="B14" s="139"/>
      <c r="C14" s="210"/>
      <c r="D14" s="141"/>
      <c r="E14" s="141"/>
      <c r="F14" s="141"/>
      <c r="G14" s="866" t="s">
        <v>2730</v>
      </c>
      <c r="H14" s="139"/>
      <c r="L14" s="138"/>
    </row>
    <row customHeight="1" ht="12" r="15" spans="1:12" x14ac:dyDescent="0.2">
      <c r="B15" s="139"/>
      <c r="C15" s="210"/>
      <c r="D15" s="141"/>
      <c r="E15" s="141"/>
      <c r="F15" s="141"/>
      <c r="G15" s="158"/>
      <c r="H15" s="139"/>
    </row>
    <row customHeight="1" ht="12" r="16" spans="1:12" x14ac:dyDescent="0.2">
      <c r="B16" s="139"/>
      <c r="C16" s="307">
        <f>A10</f>
        <v>9</v>
      </c>
      <c r="D16" s="141" t="str">
        <f>"Date of marriage / civil partnership (if after 5 April "&amp;Tax_year_start&amp;")"</f>
        <v>Date of marriage / civil partnership (if after 5 April 2019)</v>
      </c>
      <c r="E16" s="141"/>
      <c r="F16" s="141"/>
      <c r="G16" s="866" t="str">
        <f>data!C184</f>
        <v/>
      </c>
      <c r="H16" s="139"/>
    </row>
    <row customHeight="1" ht="12" r="17" spans="2:8" x14ac:dyDescent="0.2">
      <c r="B17" s="139"/>
      <c r="C17" s="210"/>
      <c r="D17" s="141"/>
      <c r="E17" s="141"/>
      <c r="F17" s="869">
        <v>1</v>
      </c>
      <c r="G17" s="866" t="str">
        <f>data!C185</f>
        <v/>
      </c>
      <c r="H17" s="139"/>
    </row>
    <row customHeight="1" ht="12" r="18" spans="2:8" x14ac:dyDescent="0.2">
      <c r="B18" s="139"/>
      <c r="C18" s="210"/>
      <c r="D18" s="141"/>
      <c r="E18" s="141"/>
      <c r="F18" s="141"/>
      <c r="G18" s="866" t="str">
        <f>data!C186</f>
        <v/>
      </c>
      <c r="H18" s="139"/>
    </row>
    <row customHeight="1" ht="12" r="19" spans="2:8" x14ac:dyDescent="0.2">
      <c r="B19" s="139"/>
      <c r="C19" s="210"/>
      <c r="D19" s="149"/>
      <c r="E19" s="141"/>
      <c r="F19" s="141"/>
      <c r="G19" s="866" t="str">
        <f>data!C187</f>
        <v/>
      </c>
      <c r="H19" s="139"/>
    </row>
    <row customHeight="1" ht="12" r="20" spans="2:8" x14ac:dyDescent="0.2">
      <c r="B20" s="139"/>
      <c r="C20" s="210"/>
      <c r="D20" s="141"/>
      <c r="E20" s="141"/>
      <c r="F20" s="141"/>
      <c r="G20" s="866" t="str">
        <f>data!C188</f>
        <v/>
      </c>
      <c r="H20" s="139"/>
    </row>
    <row customHeight="1" ht="12" r="21" spans="2:8" x14ac:dyDescent="0.2">
      <c r="B21" s="139"/>
      <c r="C21" s="210"/>
      <c r="D21" s="141"/>
      <c r="E21" s="141"/>
      <c r="F21" s="141"/>
      <c r="G21" s="866" t="str">
        <f>data!C189</f>
        <v/>
      </c>
      <c r="H21" s="139"/>
    </row>
    <row customHeight="1" ht="12" r="22" spans="2:8" x14ac:dyDescent="0.2">
      <c r="B22" s="139"/>
      <c r="C22" s="210"/>
      <c r="D22" s="141"/>
      <c r="E22" s="141"/>
      <c r="F22" s="141"/>
      <c r="G22" s="866" t="str">
        <f>data!C190</f>
        <v/>
      </c>
      <c r="H22" s="139"/>
    </row>
    <row customHeight="1" ht="12" r="23" spans="2:8" x14ac:dyDescent="0.2">
      <c r="B23" s="139"/>
      <c r="C23" s="210"/>
      <c r="D23" s="141"/>
      <c r="E23" s="141"/>
      <c r="F23" s="141"/>
      <c r="G23" s="866" t="str">
        <f>data!C191</f>
        <v/>
      </c>
      <c r="H23" s="139"/>
    </row>
    <row customHeight="1" ht="12" r="24" spans="2:8" x14ac:dyDescent="0.2">
      <c r="B24" s="139"/>
      <c r="C24" s="210"/>
      <c r="D24" s="141"/>
      <c r="E24" s="141"/>
      <c r="F24" s="141"/>
      <c r="G24" s="866" t="str">
        <f>data!C192</f>
        <v/>
      </c>
      <c r="H24" s="139"/>
    </row>
    <row customHeight="1" ht="12" r="25" spans="2:8" x14ac:dyDescent="0.2">
      <c r="B25" s="139"/>
      <c r="C25" s="210"/>
      <c r="D25" s="141"/>
      <c r="E25" s="141"/>
      <c r="F25" s="141"/>
      <c r="G25" s="866" t="str">
        <f>data!C193</f>
        <v/>
      </c>
      <c r="H25" s="139"/>
    </row>
    <row customHeight="1" ht="12" r="26" spans="2:8" x14ac:dyDescent="0.2">
      <c r="B26" s="139"/>
      <c r="C26" s="210"/>
      <c r="D26" s="141"/>
      <c r="E26" s="141"/>
      <c r="F26" s="141"/>
      <c r="G26" s="866" t="str">
        <f>data!C194</f>
        <v/>
      </c>
      <c r="H26" s="139"/>
    </row>
    <row customHeight="1" ht="12" r="27" spans="2:8" x14ac:dyDescent="0.2">
      <c r="B27" s="139"/>
      <c r="C27" s="210"/>
      <c r="D27" s="141"/>
      <c r="E27" s="141"/>
      <c r="F27" s="141"/>
      <c r="G27" s="866" t="str">
        <f>data!C195</f>
        <v/>
      </c>
      <c r="H27" s="139"/>
    </row>
    <row r="28" spans="2:8" x14ac:dyDescent="0.2">
      <c r="B28" s="139"/>
      <c r="C28" s="210"/>
      <c r="D28" s="141"/>
      <c r="E28" s="141"/>
      <c r="F28" s="141"/>
      <c r="G28" s="866" t="str">
        <f>data!C196</f>
        <v/>
      </c>
      <c r="H28" s="139"/>
    </row>
    <row r="29" spans="2:8" x14ac:dyDescent="0.2">
      <c r="B29" s="139"/>
      <c r="C29" s="422"/>
      <c r="D29" s="163"/>
      <c r="E29" s="163"/>
      <c r="F29" s="163"/>
      <c r="G29" s="164"/>
      <c r="H29" s="139"/>
    </row>
    <row r="30" spans="2:8" x14ac:dyDescent="0.2">
      <c r="B30" s="139"/>
      <c r="C30" s="139"/>
      <c r="D30" s="139"/>
      <c r="E30" s="139"/>
      <c r="F30" s="139"/>
      <c r="G30" s="139"/>
      <c r="H30" s="139"/>
    </row>
    <row r="31" spans="2:8" x14ac:dyDescent="0.2">
      <c r="B31" s="139"/>
      <c r="C31" s="193"/>
      <c r="D31" s="139"/>
      <c r="E31" s="153"/>
      <c r="F31" s="153"/>
      <c r="G31" s="139"/>
      <c r="H31" s="139"/>
    </row>
    <row r="32" spans="2:8" x14ac:dyDescent="0.2">
      <c r="B32" s="139"/>
      <c r="C32" s="193"/>
      <c r="D32" s="139"/>
      <c r="E32" s="153"/>
      <c r="F32" s="153"/>
      <c r="G32" s="139"/>
      <c r="H32" s="139"/>
    </row>
    <row r="33" spans="2:8" x14ac:dyDescent="0.2">
      <c r="B33" s="139"/>
      <c r="C33" s="193"/>
      <c r="D33" s="139"/>
      <c r="E33" s="153"/>
      <c r="F33" s="153"/>
      <c r="G33" s="139"/>
      <c r="H33" s="139"/>
    </row>
  </sheetData>
  <sheetProtection objects="1" scenarios="1" sheet="1"/>
  <phoneticPr fontId="67" type="noConversion"/>
  <dataValidations count="4">
    <dataValidation allowBlank="1" error="Must be in range 1-3" errorTitle="MCA claimed by" showErrorMessage="1" showInputMessage="1" sqref="F5" type="whole" xr:uid="{00000000-0002-0000-2400-000000000000}">
      <formula1>1</formula1>
      <formula2>3</formula2>
    </dataValidation>
    <dataValidation allowBlank="1" error="Must be in range 1 - 13" errorTitle="Date of marriage" showErrorMessage="1" showInputMessage="1" sqref="F17" type="whole" xr:uid="{00000000-0002-0000-2400-000001000000}">
      <formula1>1</formula1>
      <formula2>13</formula2>
    </dataValidation>
    <dataValidation allowBlank="1" error="Must be in range 1 - 2" errorTitle="Date of birth of older spouse" showErrorMessage="1" showInputMessage="1" sqref="F9" type="whole" xr:uid="{00000000-0002-0000-2400-000002000000}">
      <formula1>1</formula1>
      <formula2>2</formula2>
    </dataValidation>
    <dataValidation allowBlank="1" error="Must be in range 1 - 3_x000a_" errorTitle="Amount allocated to spouse" showErrorMessage="1" showInputMessage="1" sqref="F13" type="whole" xr:uid="{00000000-0002-0000-2400-000003000000}">
      <formula1>1</formula1>
      <formula2>3</formula2>
    </dataValidation>
  </dataValidations>
  <pageMargins bottom="1" footer="0.5" header="0.5" left="0.75" right="0.75" top="1"/>
  <headerFooter alignWithMargins="0"/>
  <drawing r:id="rId1"/>
  <legacyDrawing r:id="rId2"/>
  <mc:AlternateContent>
    <mc:Choice Requires="x14">
      <controls>
        <mc:AlternateContent>
          <mc:Choice Requires="x14">
            <control name="Drop Down 1" r:id="rId3" shapeId="50177">
              <controlPr altText="MCA Claim" autoLine="0" autoPict="0" defaultSize="0">
                <anchor moveWithCells="1">
                  <from>
                    <xdr:col>3</xdr:col>
                    <xdr:colOff>9525</xdr:colOff>
                    <xdr:row>4</xdr:row>
                    <xdr:rowOff>0</xdr:rowOff>
                  </from>
                  <to>
                    <xdr:col>4</xdr:col>
                    <xdr:colOff>1704975</xdr:colOff>
                    <xdr:row>5</xdr:row>
                    <xdr:rowOff>47625</xdr:rowOff>
                  </to>
                </anchor>
              </controlPr>
            </control>
          </mc:Choice>
        </mc:AlternateContent>
        <mc:AlternateContent>
          <mc:Choice Requires="x14">
            <control name="Drop Down 2" r:id="rId4" shapeId="50178">
              <controlPr altText="Date of birth of older spouse" autoLine="0" autoPict="0" defaultSize="0">
                <anchor moveWithCells="1">
                  <from>
                    <xdr:col>3</xdr:col>
                    <xdr:colOff>0</xdr:colOff>
                    <xdr:row>8</xdr:row>
                    <xdr:rowOff>0</xdr:rowOff>
                  </from>
                  <to>
                    <xdr:col>4</xdr:col>
                    <xdr:colOff>1695450</xdr:colOff>
                    <xdr:row>9</xdr:row>
                    <xdr:rowOff>47625</xdr:rowOff>
                  </to>
                </anchor>
              </controlPr>
            </control>
          </mc:Choice>
        </mc:AlternateContent>
        <mc:AlternateContent>
          <mc:Choice Requires="x14">
            <control name="Drop Down 3" r:id="rId5" shapeId="50179">
              <controlPr altText="Amount allocated to lower income partner_x000a_" autoLine="0" autoPict="0" defaultSize="0">
                <anchor moveWithCells="1">
                  <from>
                    <xdr:col>3</xdr:col>
                    <xdr:colOff>0</xdr:colOff>
                    <xdr:row>12</xdr:row>
                    <xdr:rowOff>9525</xdr:rowOff>
                  </from>
                  <to>
                    <xdr:col>4</xdr:col>
                    <xdr:colOff>1695450</xdr:colOff>
                    <xdr:row>13</xdr:row>
                    <xdr:rowOff>57150</xdr:rowOff>
                  </to>
                </anchor>
              </controlPr>
            </control>
          </mc:Choice>
        </mc:AlternateContent>
        <mc:AlternateContent>
          <mc:Choice Requires="x14">
            <control name="Drop Down 4" r:id="rId6" shapeId="50180">
              <controlPr altText="Number of months married_x000a_" autoLine="0" autoPict="0" defaultSize="0">
                <anchor moveWithCells="1">
                  <from>
                    <xdr:col>3</xdr:col>
                    <xdr:colOff>9525</xdr:colOff>
                    <xdr:row>16</xdr:row>
                    <xdr:rowOff>9525</xdr:rowOff>
                  </from>
                  <to>
                    <xdr:col>4</xdr:col>
                    <xdr:colOff>1704975</xdr:colOff>
                    <xdr:row>17</xdr:row>
                    <xdr:rowOff>57150</xdr:rowOff>
                  </to>
                </anchor>
              </controlPr>
            </control>
          </mc:Choice>
        </mc:AlternateContent>
      </controls>
    </mc:Choice>
  </mc:AlternateContent>
</worksheet>
</file>

<file path=xl/worksheets/sheet3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70">
    <tabColor rgb="FF66FFFF"/>
  </sheetPr>
  <dimension ref="A1:L38"/>
  <sheetViews>
    <sheetView showGridLines="0" showRowColHeaders="0" topLeftCell="B1" workbookViewId="0" zoomScale="96">
      <selection activeCell="D20" sqref="D20"/>
    </sheetView>
  </sheetViews>
  <sheetFormatPr defaultRowHeight="12.75" x14ac:dyDescent="0.2"/>
  <cols>
    <col min="1" max="1" customWidth="true" hidden="true" width="4.140625" collapsed="true"/>
    <col min="2" max="2" customWidth="true" width="6.5703125" collapsed="true"/>
    <col min="3" max="3" customWidth="true" width="5.140625" collapsed="true"/>
    <col min="4" max="4" customWidth="true" width="14.28515625" collapsed="true"/>
    <col min="5" max="5" customWidth="true" width="28.7109375" collapsed="true"/>
    <col min="6" max="6" customWidth="true" width="3.7109375" collapsed="true"/>
    <col min="7" max="7" customWidth="true" width="5.28515625" collapsed="true"/>
    <col min="8" max="8" customWidth="true" width="14.140625" collapsed="true"/>
    <col min="9" max="9" customWidth="true" width="12.42578125" collapsed="true"/>
    <col min="10" max="10" customWidth="true" width="23.42578125" collapsed="true"/>
    <col min="11" max="11" customWidth="true" width="29.5703125" collapsed="true"/>
    <col min="12" max="12" customWidth="true" width="23.42578125" collapsed="true"/>
  </cols>
  <sheetData>
    <row customHeight="1" ht="9" r="1" spans="1:11" x14ac:dyDescent="0.2">
      <c r="A1" t="s">
        <v>3832</v>
      </c>
      <c r="B1" s="57"/>
      <c r="C1" s="57"/>
      <c r="D1" s="57"/>
      <c r="E1" s="57"/>
      <c r="F1" s="57"/>
      <c r="G1" s="57"/>
      <c r="H1" s="57"/>
      <c r="I1" s="57"/>
      <c r="J1" s="57"/>
      <c r="K1" s="57"/>
    </row>
    <row customHeight="1" ht="9" r="2" spans="1:11" x14ac:dyDescent="0.2">
      <c r="B2" s="57"/>
      <c r="C2" s="57"/>
      <c r="D2" s="57"/>
      <c r="E2" s="57"/>
      <c r="F2" s="57"/>
      <c r="G2" s="57"/>
      <c r="H2" s="57"/>
      <c r="I2" s="57"/>
      <c r="J2" s="57"/>
      <c r="K2" s="57"/>
    </row>
    <row customHeight="1" ht="12.75" r="3" spans="1:11" x14ac:dyDescent="0.2">
      <c r="A3" s="138">
        <v>1</v>
      </c>
      <c r="B3" s="57"/>
      <c r="C3" s="206" t="s">
        <v>567</v>
      </c>
      <c r="D3" s="155"/>
      <c r="E3" s="155"/>
      <c r="F3" s="155"/>
      <c r="G3" s="155"/>
      <c r="H3" s="155"/>
      <c r="I3" s="155"/>
      <c r="J3" s="420" t="str">
        <f>AIL</f>
        <v>AIL</v>
      </c>
      <c r="K3" s="57"/>
    </row>
    <row customHeight="1" ht="9" r="4" spans="1:11" x14ac:dyDescent="0.2">
      <c r="A4" s="138">
        <v>2</v>
      </c>
      <c r="B4" s="57"/>
      <c r="C4" s="157"/>
      <c r="D4" s="141"/>
      <c r="E4" s="144"/>
      <c r="F4" s="144"/>
      <c r="G4" s="141"/>
      <c r="H4" s="144"/>
      <c r="I4" s="144"/>
      <c r="J4" s="158"/>
      <c r="K4" s="57"/>
    </row>
    <row customHeight="1" ht="12.75" r="5" spans="1:11" x14ac:dyDescent="0.2">
      <c r="A5" s="138">
        <v>3</v>
      </c>
      <c r="B5" s="57"/>
      <c r="C5" s="165">
        <f>AIL!A3</f>
        <v>1</v>
      </c>
      <c r="D5" s="141" t="str">
        <f>"Earlier years losses - set against certain "&amp;tax_year&amp;" income"</f>
        <v>Earlier years losses - set against certain 2019-20 income</v>
      </c>
      <c r="E5" s="144"/>
      <c r="F5" s="144"/>
      <c r="G5" s="419">
        <f>A8</f>
        <v>6</v>
      </c>
      <c r="H5" s="175" t="s">
        <v>3336</v>
      </c>
      <c r="I5" s="144"/>
      <c r="J5" s="158"/>
      <c r="K5" s="57"/>
    </row>
    <row customHeight="1" ht="12.75" r="6" spans="1:11" x14ac:dyDescent="0.2">
      <c r="A6" s="138">
        <v>4</v>
      </c>
      <c r="B6" s="57"/>
      <c r="C6" s="157"/>
      <c r="D6" s="168"/>
      <c r="E6" s="144"/>
      <c r="F6" s="144"/>
      <c r="G6" s="144"/>
      <c r="H6" s="147"/>
      <c r="I6" s="144"/>
      <c r="J6" s="158"/>
      <c r="K6" s="57"/>
    </row>
    <row customHeight="1" ht="9" r="7" spans="1:11" x14ac:dyDescent="0.2">
      <c r="A7" s="138">
        <v>5</v>
      </c>
      <c r="B7" s="57"/>
      <c r="C7" s="162"/>
      <c r="D7" s="163"/>
      <c r="E7" s="211"/>
      <c r="F7" s="211"/>
      <c r="G7" s="212"/>
      <c r="H7" s="212"/>
      <c r="I7" s="163"/>
      <c r="J7" s="213"/>
      <c r="K7" s="57"/>
    </row>
    <row customHeight="1" ht="12.75" r="8" spans="1:11" x14ac:dyDescent="0.2">
      <c r="A8" s="138">
        <v>6</v>
      </c>
      <c r="B8" s="57"/>
      <c r="C8" s="57"/>
      <c r="D8" s="57"/>
      <c r="E8" s="57"/>
      <c r="F8" s="57"/>
      <c r="G8" s="57"/>
      <c r="H8" s="57"/>
      <c r="I8" s="57"/>
      <c r="J8" s="57"/>
      <c r="K8" s="57"/>
    </row>
    <row customHeight="1" ht="12.75" r="9" spans="1:11" x14ac:dyDescent="0.2">
      <c r="A9" s="138">
        <v>7</v>
      </c>
      <c r="B9" s="57"/>
      <c r="C9" s="186" t="s">
        <v>821</v>
      </c>
      <c r="D9" s="224"/>
      <c r="E9" s="224"/>
      <c r="F9" s="224"/>
      <c r="G9" s="225"/>
      <c r="H9" s="226"/>
      <c r="I9" s="224"/>
      <c r="J9" s="420" t="str">
        <f>AIL</f>
        <v>AIL</v>
      </c>
      <c r="K9" s="57"/>
    </row>
    <row customHeight="1" ht="9" r="10" spans="1:11" x14ac:dyDescent="0.2">
      <c r="A10" s="138">
        <v>8</v>
      </c>
      <c r="B10" s="57"/>
      <c r="C10" s="227"/>
      <c r="D10" s="182"/>
      <c r="E10" s="182"/>
      <c r="F10" s="182"/>
      <c r="G10" s="214"/>
      <c r="H10" s="182"/>
      <c r="I10" s="182"/>
      <c r="J10" s="228"/>
      <c r="K10" s="57"/>
    </row>
    <row customHeight="1" ht="12.75" r="11" spans="1:11" x14ac:dyDescent="0.2">
      <c r="A11" s="138">
        <v>9</v>
      </c>
      <c r="B11" s="57"/>
      <c r="C11" s="222">
        <f>A9</f>
        <v>7</v>
      </c>
      <c r="D11" s="217" t="s">
        <v>1664</v>
      </c>
      <c r="E11" s="215"/>
      <c r="F11" s="215"/>
      <c r="G11" s="222">
        <f>A17</f>
        <v>13</v>
      </c>
      <c r="H11" s="219" t="s">
        <v>3419</v>
      </c>
      <c r="I11" s="218"/>
      <c r="J11" s="228"/>
      <c r="K11" s="57"/>
    </row>
    <row customHeight="1" ht="12.75" r="12" spans="1:11" x14ac:dyDescent="0.2">
      <c r="A12" s="138">
        <v>10</v>
      </c>
      <c r="B12" s="57"/>
      <c r="C12" s="227"/>
      <c r="D12" s="223"/>
      <c r="E12" s="182"/>
      <c r="F12" s="182"/>
      <c r="G12" s="214"/>
      <c r="H12" s="223"/>
      <c r="I12" s="182"/>
      <c r="J12" s="228"/>
      <c r="K12" s="57"/>
    </row>
    <row customHeight="1" ht="12.75" r="13" spans="1:11" x14ac:dyDescent="0.2">
      <c r="A13" s="138">
        <v>11</v>
      </c>
      <c r="B13" s="57"/>
      <c r="C13" s="227"/>
      <c r="D13" s="217"/>
      <c r="E13" s="217"/>
      <c r="F13" s="217"/>
      <c r="G13" s="214"/>
      <c r="H13" s="182"/>
      <c r="I13" s="218"/>
      <c r="J13" s="228"/>
      <c r="K13" s="57"/>
    </row>
    <row customHeight="1" ht="12.75" r="14" spans="1:11" x14ac:dyDescent="0.2">
      <c r="A14" s="98">
        <v>11.1</v>
      </c>
      <c r="B14" s="57"/>
      <c r="C14" s="222">
        <f>A10</f>
        <v>8</v>
      </c>
      <c r="D14" s="217" t="s">
        <v>1665</v>
      </c>
      <c r="E14" s="217"/>
      <c r="F14" s="217"/>
      <c r="G14" s="222">
        <f>A18</f>
        <v>14</v>
      </c>
      <c r="H14" s="219" t="s">
        <v>1672</v>
      </c>
      <c r="I14" s="218"/>
      <c r="J14" s="228"/>
      <c r="K14" s="57"/>
    </row>
    <row customHeight="1" ht="12.75" r="15" spans="1:11" x14ac:dyDescent="0.2">
      <c r="A15" s="98">
        <v>11.2</v>
      </c>
      <c r="B15" s="57"/>
      <c r="C15" s="227"/>
      <c r="D15" s="223"/>
      <c r="E15" s="221"/>
      <c r="F15" s="221"/>
      <c r="G15" s="214"/>
      <c r="H15" s="223"/>
      <c r="I15" s="182"/>
      <c r="J15" s="228"/>
      <c r="K15" s="57"/>
    </row>
    <row customHeight="1" ht="12.75" r="16" spans="1:11" x14ac:dyDescent="0.2">
      <c r="A16" s="138">
        <v>12</v>
      </c>
      <c r="B16" s="57"/>
      <c r="C16" s="227"/>
      <c r="D16" s="182"/>
      <c r="E16" s="182"/>
      <c r="F16" s="182"/>
      <c r="G16" s="214"/>
      <c r="H16" s="182"/>
      <c r="I16" s="218"/>
      <c r="J16" s="228"/>
      <c r="K16" s="57"/>
    </row>
    <row customHeight="1" ht="12.75" r="17" spans="1:11" x14ac:dyDescent="0.2">
      <c r="A17" s="138">
        <v>13</v>
      </c>
      <c r="B17" s="57"/>
      <c r="C17" s="222">
        <f>A11</f>
        <v>9</v>
      </c>
      <c r="D17" s="141" t="str">
        <f>"Tax taken off boxes "&amp;C11&amp;" and "&amp;C14</f>
        <v>Tax taken off boxes 7 and 8</v>
      </c>
      <c r="E17" s="217"/>
      <c r="F17" s="217"/>
      <c r="G17" s="222">
        <f>A19</f>
        <v>15</v>
      </c>
      <c r="H17" s="141" t="str">
        <f>"Foreign tax taken off boxes "&amp;G11&amp;" and "&amp;G14</f>
        <v>Foreign tax taken off boxes 13 and 14</v>
      </c>
      <c r="I17" s="218"/>
      <c r="J17" s="228"/>
      <c r="K17" s="57"/>
    </row>
    <row customHeight="1" ht="12.75" r="18" spans="1:11" x14ac:dyDescent="0.2">
      <c r="A18" s="138">
        <v>14</v>
      </c>
      <c r="B18" s="57"/>
      <c r="C18" s="227"/>
      <c r="D18" s="223"/>
      <c r="E18" s="182"/>
      <c r="F18" s="182"/>
      <c r="G18" s="214"/>
      <c r="H18" s="223"/>
      <c r="I18" s="182"/>
      <c r="J18" s="228"/>
      <c r="K18" s="57"/>
    </row>
    <row r="19" spans="1:11" x14ac:dyDescent="0.2">
      <c r="A19" s="138">
        <v>15</v>
      </c>
      <c r="B19" s="57"/>
      <c r="C19" s="227"/>
      <c r="D19" s="182"/>
      <c r="E19" s="217"/>
      <c r="F19" s="217"/>
      <c r="G19" s="214"/>
      <c r="H19" s="182"/>
      <c r="I19" s="182"/>
      <c r="J19" s="228"/>
      <c r="K19" s="57"/>
    </row>
    <row r="20" spans="1:11" x14ac:dyDescent="0.2">
      <c r="A20" s="138">
        <v>16</v>
      </c>
      <c r="B20" s="57"/>
      <c r="C20" s="198">
        <f>A12</f>
        <v>10</v>
      </c>
      <c r="D20" s="219" t="s">
        <v>1054</v>
      </c>
      <c r="E20" s="182"/>
      <c r="F20" s="182"/>
      <c r="G20" s="222">
        <f>A20</f>
        <v>16</v>
      </c>
      <c r="H20" s="217" t="s">
        <v>3263</v>
      </c>
      <c r="I20" s="182"/>
      <c r="J20" s="228"/>
      <c r="K20" s="57"/>
    </row>
    <row r="21" spans="1:11" x14ac:dyDescent="0.2">
      <c r="A21" s="138">
        <v>17</v>
      </c>
      <c r="B21" s="57"/>
      <c r="C21" s="227"/>
      <c r="D21" s="239"/>
      <c r="E21" s="182"/>
      <c r="F21" s="182"/>
      <c r="G21" s="214"/>
      <c r="H21" s="223"/>
      <c r="I21" s="182"/>
      <c r="J21" s="228"/>
      <c r="K21" s="57"/>
    </row>
    <row r="22" spans="1:11" x14ac:dyDescent="0.2">
      <c r="A22" s="138">
        <v>18</v>
      </c>
      <c r="B22" s="57"/>
      <c r="C22" s="227"/>
      <c r="D22" s="182"/>
      <c r="E22" s="182"/>
      <c r="F22" s="182"/>
      <c r="G22" s="214"/>
      <c r="H22" s="182"/>
      <c r="I22" s="182"/>
      <c r="J22" s="228"/>
      <c r="K22" s="57"/>
    </row>
    <row r="23" spans="1:11" x14ac:dyDescent="0.2">
      <c r="A23" s="138">
        <v>19</v>
      </c>
      <c r="B23" s="57"/>
      <c r="C23" s="198">
        <f>A13</f>
        <v>11</v>
      </c>
      <c r="D23" s="219" t="str">
        <f>"Tax paid by the pension scheme"</f>
        <v>Tax paid by the pension scheme</v>
      </c>
      <c r="E23" s="182"/>
      <c r="F23" s="182"/>
      <c r="G23" s="222">
        <f>A22</f>
        <v>18</v>
      </c>
      <c r="H23" s="217" t="str">
        <f>"Foreign tax taken off box "&amp;G20</f>
        <v>Foreign tax taken off box 16</v>
      </c>
      <c r="I23" s="182"/>
      <c r="J23" s="228"/>
      <c r="K23" s="57"/>
    </row>
    <row customHeight="1" ht="12.75" r="24" spans="1:11" x14ac:dyDescent="0.2">
      <c r="A24" s="98">
        <v>21</v>
      </c>
      <c r="B24" s="57"/>
      <c r="C24" s="227"/>
      <c r="D24" s="239"/>
      <c r="E24" s="182"/>
      <c r="F24" s="182"/>
      <c r="G24" s="214"/>
      <c r="H24" s="223"/>
      <c r="I24" s="182"/>
      <c r="J24" s="228"/>
      <c r="K24" s="57"/>
    </row>
    <row customHeight="1" ht="12.75" r="25" spans="1:11" x14ac:dyDescent="0.2">
      <c r="A25" s="98">
        <v>22</v>
      </c>
      <c r="B25" s="57"/>
      <c r="C25" s="227"/>
      <c r="D25" s="182"/>
      <c r="E25" s="182"/>
      <c r="F25" s="182"/>
      <c r="G25" s="216"/>
      <c r="H25" s="217"/>
      <c r="I25" s="220"/>
      <c r="J25" s="229"/>
      <c r="K25" s="57"/>
    </row>
    <row r="26" spans="1:11" x14ac:dyDescent="0.2">
      <c r="B26" s="57"/>
      <c r="C26" s="198">
        <f>A14</f>
        <v>11.1</v>
      </c>
      <c r="D26" s="219" t="s">
        <v>6485</v>
      </c>
      <c r="E26" s="182"/>
      <c r="F26" s="182"/>
      <c r="G26" s="182"/>
      <c r="H26" s="182"/>
      <c r="I26" s="182"/>
      <c r="J26" s="228"/>
      <c r="K26" s="57"/>
    </row>
    <row r="27" spans="1:11" x14ac:dyDescent="0.2">
      <c r="B27" s="57"/>
      <c r="C27" s="227"/>
      <c r="D27" s="239"/>
      <c r="E27" s="182" t="s">
        <v>6486</v>
      </c>
      <c r="F27" s="182"/>
      <c r="G27" s="182"/>
      <c r="H27" s="182"/>
      <c r="I27" s="182"/>
      <c r="J27" s="228"/>
      <c r="K27" s="57"/>
    </row>
    <row r="28" spans="1:11" x14ac:dyDescent="0.2">
      <c r="B28" s="57"/>
      <c r="C28" s="227"/>
      <c r="D28" s="182"/>
      <c r="E28" s="182"/>
      <c r="F28" s="182"/>
      <c r="G28" s="182"/>
      <c r="H28" s="182"/>
      <c r="I28" s="182"/>
      <c r="J28" s="228"/>
      <c r="K28" s="57"/>
    </row>
    <row r="29" spans="1:11" x14ac:dyDescent="0.2">
      <c r="B29" s="57"/>
      <c r="C29" s="198">
        <f>A15</f>
        <v>11.2</v>
      </c>
      <c r="D29" s="219" t="str">
        <f>"Tax paid by the pension scheme"</f>
        <v>Tax paid by the pension scheme</v>
      </c>
      <c r="E29" s="182"/>
      <c r="F29" s="182"/>
      <c r="G29" s="182"/>
      <c r="H29" s="182"/>
      <c r="I29" s="182"/>
      <c r="J29" s="228"/>
      <c r="K29" s="57"/>
    </row>
    <row r="30" spans="1:11" x14ac:dyDescent="0.2">
      <c r="B30" s="57"/>
      <c r="C30" s="227"/>
      <c r="D30" s="239"/>
      <c r="E30" s="182"/>
      <c r="F30" s="182"/>
      <c r="G30" s="182"/>
      <c r="H30" s="182"/>
      <c r="I30" s="182"/>
      <c r="J30" s="228"/>
      <c r="K30" s="57"/>
    </row>
    <row r="31" spans="1:11" x14ac:dyDescent="0.2">
      <c r="B31" s="57"/>
      <c r="C31" s="230"/>
      <c r="D31" s="231"/>
      <c r="E31" s="231"/>
      <c r="F31" s="231"/>
      <c r="G31" s="231"/>
      <c r="H31" s="231"/>
      <c r="I31" s="231"/>
      <c r="J31" s="2262"/>
      <c r="K31" s="57"/>
    </row>
    <row r="32" spans="1:11" x14ac:dyDescent="0.2">
      <c r="B32" s="57"/>
      <c r="C32" s="57"/>
      <c r="D32" s="57"/>
      <c r="E32" s="57"/>
      <c r="F32" s="57"/>
      <c r="G32" s="57"/>
      <c r="H32" s="57"/>
      <c r="I32" s="57"/>
      <c r="J32" s="57"/>
      <c r="K32" s="57"/>
    </row>
    <row r="33" spans="2:11" x14ac:dyDescent="0.2">
      <c r="B33" s="1314"/>
      <c r="C33" s="2272" t="s">
        <v>6891</v>
      </c>
      <c r="D33" s="2273"/>
      <c r="E33" s="2273"/>
      <c r="F33" s="155"/>
      <c r="G33" s="155"/>
      <c r="H33" s="155"/>
      <c r="I33" s="155"/>
      <c r="J33" s="420" t="str">
        <f>AIL</f>
        <v>AIL</v>
      </c>
      <c r="K33" s="1314"/>
    </row>
    <row r="34" spans="2:11" x14ac:dyDescent="0.2">
      <c r="B34" s="1314"/>
      <c r="C34" s="157"/>
      <c r="D34" s="141"/>
      <c r="E34" s="144"/>
      <c r="F34" s="144"/>
      <c r="G34" s="141"/>
      <c r="H34" s="144"/>
      <c r="I34" s="144"/>
      <c r="J34" s="158"/>
      <c r="K34" s="1314"/>
    </row>
    <row r="35" spans="2:11" x14ac:dyDescent="0.2">
      <c r="B35" s="1314"/>
      <c r="C35" s="2263">
        <f>A24</f>
        <v>21</v>
      </c>
      <c r="D35" s="2266" t="s">
        <v>6885</v>
      </c>
      <c r="E35" s="2264"/>
      <c r="F35" s="2265"/>
      <c r="G35" s="2263">
        <f>A25</f>
        <v>22</v>
      </c>
      <c r="H35" s="2266" t="s">
        <v>6886</v>
      </c>
      <c r="I35" s="2264"/>
      <c r="J35" s="2265"/>
      <c r="K35" s="1314"/>
    </row>
    <row r="36" spans="2:11" x14ac:dyDescent="0.2">
      <c r="B36" s="1314"/>
      <c r="C36" s="2271"/>
      <c r="D36" s="239"/>
      <c r="E36" s="2264"/>
      <c r="F36" s="2264"/>
      <c r="G36" s="2266"/>
      <c r="H36" s="239"/>
      <c r="I36" s="2267" t="s">
        <v>6887</v>
      </c>
      <c r="J36" s="2265"/>
      <c r="K36" s="1314"/>
    </row>
    <row r="37" spans="2:11" x14ac:dyDescent="0.2">
      <c r="B37" s="1314"/>
      <c r="C37" s="162"/>
      <c r="D37" s="163"/>
      <c r="E37" s="211"/>
      <c r="F37" s="211"/>
      <c r="G37" s="212"/>
      <c r="H37" s="212"/>
      <c r="I37" s="163"/>
      <c r="J37" s="213"/>
      <c r="K37" s="1314"/>
    </row>
    <row r="38" spans="2:11" x14ac:dyDescent="0.2">
      <c r="B38" s="1314"/>
      <c r="C38" s="1314"/>
      <c r="D38" s="1314"/>
      <c r="E38" s="1314"/>
      <c r="F38" s="1314"/>
      <c r="G38" s="1314"/>
      <c r="H38" s="1314"/>
      <c r="I38" s="1314"/>
      <c r="J38" s="1314"/>
      <c r="K38" s="1314"/>
    </row>
  </sheetData>
  <sheetProtection objects="1" scenarios="1" sheet="1"/>
  <phoneticPr fontId="67" type="noConversion"/>
  <pageMargins bottom="1" footer="0.5" header="0.5" left="0.75" right="0.75" top="1"/>
  <pageSetup orientation="landscape" paperSize="9" r:id="rId1"/>
  <headerFooter alignWithMargins="0"/>
</worksheet>
</file>

<file path=xl/worksheets/sheet39.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xmlns:xr="http://schemas.microsoft.com/office/spreadsheetml/2014/revision" xmlns:xr2="http://schemas.microsoft.com/office/spreadsheetml/2015/revision2" xmlns:xr3="http://schemas.microsoft.com/office/spreadsheetml/2016/revision3" mc:Ignorable="x14ac xr xr2 xr3" xr:uid="{00000000-0001-0000-2600-000000000000}">
  <sheetPr codeName="Sheet13"/>
  <dimension ref="A1:U40"/>
  <sheetViews>
    <sheetView showGridLines="0" showRowColHeaders="0" topLeftCell="B1" workbookViewId="0">
      <selection activeCell="G8" sqref="G8"/>
    </sheetView>
  </sheetViews>
  <sheetFormatPr defaultColWidth="9.140625" defaultRowHeight="12" x14ac:dyDescent="0.2"/>
  <cols>
    <col min="1" max="1" customWidth="true" hidden="true" style="98" width="4.85546875" collapsed="true"/>
    <col min="2" max="2" customWidth="true" style="98" width="7.0" collapsed="true"/>
    <col min="3" max="3" customWidth="true" style="125" width="5.140625" collapsed="true"/>
    <col min="4" max="4" customWidth="true" style="98" width="14.0" collapsed="true"/>
    <col min="5" max="5" customWidth="true" style="98" width="7.5703125" collapsed="true"/>
    <col min="6" max="6" customWidth="true" style="98" width="4.28515625" collapsed="true"/>
    <col min="7" max="7" customWidth="true" style="98" width="5.140625" collapsed="true"/>
    <col min="8" max="8" customWidth="true" style="98" width="14.0" collapsed="true"/>
    <col min="9" max="9" customWidth="true" style="98" width="6.28515625" collapsed="true"/>
    <col min="10" max="10" customWidth="true" style="98" width="4.42578125" collapsed="true"/>
    <col min="11" max="11" customWidth="true" style="125" width="5.140625" collapsed="true"/>
    <col min="12" max="12" customWidth="true" style="98" width="14.0" collapsed="true"/>
    <col min="13" max="13" customWidth="true" style="98" width="7.85546875" collapsed="true"/>
    <col min="14" max="14" customWidth="true" style="98" width="4.140625" collapsed="true"/>
    <col min="15" max="15" customWidth="true" style="125" width="5.140625" collapsed="true"/>
    <col min="16" max="16" customWidth="true" style="98" width="14.0" collapsed="true"/>
    <col min="17" max="17" customWidth="true" style="98" width="6.85546875" collapsed="true"/>
    <col min="18" max="18" customWidth="true" style="98" width="37.0" collapsed="true"/>
    <col min="19" max="19" customWidth="true" hidden="true" style="98" width="14.42578125" collapsed="true"/>
    <col min="20" max="20" customWidth="true" hidden="true" style="98" width="26.85546875" collapsed="true"/>
    <col min="21" max="16384" style="98" width="9.140625" collapsed="true"/>
  </cols>
  <sheetData>
    <row customHeight="1" ht="6" r="1" spans="1:20" x14ac:dyDescent="0.2">
      <c r="A1" s="98" t="s">
        <v>3768</v>
      </c>
      <c r="B1" s="75"/>
      <c r="C1" s="124"/>
      <c r="D1" s="75"/>
      <c r="E1" s="75"/>
      <c r="F1" s="75"/>
      <c r="G1" s="75"/>
      <c r="H1" s="75"/>
      <c r="I1" s="75"/>
      <c r="J1" s="75"/>
      <c r="K1" s="124"/>
      <c r="L1" s="75"/>
      <c r="M1" s="75"/>
      <c r="N1" s="75"/>
      <c r="O1" s="124"/>
      <c r="P1" s="75"/>
      <c r="Q1" s="75"/>
      <c r="R1" s="75"/>
    </row>
    <row customHeight="1" ht="12.75" r="2" spans="1:20" x14ac:dyDescent="0.2">
      <c r="B2" s="75"/>
      <c r="C2" s="241" t="s">
        <v>1525</v>
      </c>
      <c r="D2" s="243"/>
      <c r="E2" s="243"/>
      <c r="F2" s="243"/>
      <c r="G2" s="243"/>
      <c r="H2" s="243"/>
      <c r="I2" s="424" t="s">
        <v>3768</v>
      </c>
      <c r="J2" s="75"/>
      <c r="K2" s="241" t="s">
        <v>3165</v>
      </c>
      <c r="L2" s="243"/>
      <c r="M2" s="242"/>
      <c r="N2" s="242"/>
      <c r="O2" s="254"/>
      <c r="P2" s="242"/>
      <c r="Q2" s="424" t="s">
        <v>3768</v>
      </c>
      <c r="R2" s="75"/>
    </row>
    <row customHeight="1" ht="8.1" r="3" spans="1:20" x14ac:dyDescent="0.2">
      <c r="A3" s="98">
        <v>1</v>
      </c>
      <c r="B3" s="63"/>
      <c r="C3" s="250"/>
      <c r="D3" s="236"/>
      <c r="E3" s="236"/>
      <c r="F3" s="236"/>
      <c r="G3" s="236"/>
      <c r="H3" s="236"/>
      <c r="I3" s="244"/>
      <c r="J3" s="75"/>
      <c r="K3" s="250"/>
      <c r="L3" s="237"/>
      <c r="M3" s="236"/>
      <c r="N3" s="236"/>
      <c r="O3" s="251"/>
      <c r="P3" s="236"/>
      <c r="Q3" s="244"/>
      <c r="R3" s="63"/>
      <c r="S3" s="98" t="s">
        <v>4283</v>
      </c>
    </row>
    <row customHeight="1" ht="12.75" r="4" spans="1:20" x14ac:dyDescent="0.2">
      <c r="A4" s="98">
        <v>2</v>
      </c>
      <c r="B4" s="63"/>
      <c r="C4" s="165">
        <f>A3</f>
        <v>1</v>
      </c>
      <c r="D4" s="236" t="s">
        <v>1523</v>
      </c>
      <c r="E4" s="236"/>
      <c r="F4" s="236"/>
      <c r="G4" s="236"/>
      <c r="H4" s="236"/>
      <c r="I4" s="244"/>
      <c r="J4" s="75"/>
      <c r="K4" s="165">
        <f>A3</f>
        <v>1</v>
      </c>
      <c r="L4" s="236" t="s">
        <v>1523</v>
      </c>
      <c r="M4" s="236"/>
      <c r="N4" s="236"/>
      <c r="O4" s="251"/>
      <c r="P4" s="236"/>
      <c r="Q4" s="244"/>
      <c r="R4" s="63"/>
      <c r="S4" s="126" t="s">
        <v>2478</v>
      </c>
      <c r="T4" s="127"/>
    </row>
    <row customHeight="1" ht="12.75" r="5" spans="1:20" x14ac:dyDescent="0.2">
      <c r="A5" s="98">
        <v>3</v>
      </c>
      <c r="B5" s="63"/>
      <c r="C5" s="250"/>
      <c r="D5" s="239">
        <v>33254</v>
      </c>
      <c r="E5" s="236"/>
      <c r="F5" s="236"/>
      <c r="G5" s="236"/>
      <c r="H5" s="236"/>
      <c r="I5" s="244"/>
      <c r="J5" s="75"/>
      <c r="K5" s="362"/>
      <c r="L5" s="239"/>
      <c r="M5" s="236"/>
      <c r="N5" s="236"/>
      <c r="O5" s="251"/>
      <c r="P5" s="236"/>
      <c r="Q5" s="252"/>
      <c r="R5" s="63"/>
      <c r="S5" s="96">
        <f>TRUNC(D5+D11,0)</f>
        <v>33254</v>
      </c>
      <c r="T5" s="96">
        <f>TRUNC(L5+L11,0)</f>
        <v>0</v>
      </c>
    </row>
    <row customHeight="1" ht="8.1" r="6" spans="1:20" x14ac:dyDescent="0.2">
      <c r="A6" s="98">
        <v>4</v>
      </c>
      <c r="B6" s="63"/>
      <c r="C6" s="250"/>
      <c r="D6" s="237"/>
      <c r="E6" s="237"/>
      <c r="F6" s="237"/>
      <c r="G6" s="237"/>
      <c r="H6" s="237"/>
      <c r="I6" s="245"/>
      <c r="J6" s="75"/>
      <c r="K6" s="362"/>
      <c r="L6" s="237"/>
      <c r="M6" s="237"/>
      <c r="N6" s="237"/>
      <c r="O6" s="251"/>
      <c r="P6" s="236"/>
      <c r="Q6" s="252"/>
      <c r="R6" s="63"/>
      <c r="S6" s="97"/>
      <c r="T6" s="97"/>
    </row>
    <row customHeight="1" ht="12.75" r="7" spans="1:20" x14ac:dyDescent="0.2">
      <c r="A7" s="98">
        <v>5</v>
      </c>
      <c r="B7" s="63"/>
      <c r="C7" s="165">
        <f>A4</f>
        <v>2</v>
      </c>
      <c r="D7" s="238" t="str">
        <f>"Tax taken off box "&amp;C4</f>
        <v>Tax taken off box 1</v>
      </c>
      <c r="E7" s="237"/>
      <c r="F7" s="237"/>
      <c r="G7" s="237"/>
      <c r="H7" s="237"/>
      <c r="I7" s="245"/>
      <c r="J7" s="75"/>
      <c r="K7" s="165">
        <f>A4</f>
        <v>2</v>
      </c>
      <c r="L7" s="238" t="str">
        <f>"Tax taken off box "&amp;K4</f>
        <v>Tax taken off box 1</v>
      </c>
      <c r="M7" s="237"/>
      <c r="N7" s="237"/>
      <c r="O7" s="251"/>
      <c r="P7" s="236"/>
      <c r="Q7" s="252"/>
      <c r="R7" s="63"/>
    </row>
    <row customHeight="1" ht="12.75" r="8" spans="1:20" x14ac:dyDescent="0.2">
      <c r="A8" s="98">
        <v>6</v>
      </c>
      <c r="B8" s="63"/>
      <c r="C8" s="250"/>
      <c r="D8" s="843">
        <v>2000</v>
      </c>
      <c r="E8" s="236"/>
      <c r="F8" s="236"/>
      <c r="G8" s="236"/>
      <c r="H8" s="236"/>
      <c r="I8" s="244"/>
      <c r="J8" s="75"/>
      <c r="K8" s="362"/>
      <c r="L8" s="843"/>
      <c r="M8" s="236"/>
      <c r="N8" s="236"/>
      <c r="O8" s="251"/>
      <c r="P8" s="236"/>
      <c r="Q8" s="252"/>
      <c r="R8" s="63"/>
    </row>
    <row customHeight="1" ht="8.1" r="9" spans="1:20" x14ac:dyDescent="0.2">
      <c r="A9" s="98">
        <v>7</v>
      </c>
      <c r="B9" s="63"/>
      <c r="C9" s="250"/>
      <c r="D9" s="236"/>
      <c r="E9" s="236"/>
      <c r="F9" s="236"/>
      <c r="G9" s="236"/>
      <c r="H9" s="236"/>
      <c r="I9" s="244"/>
      <c r="J9" s="75"/>
      <c r="K9" s="362"/>
      <c r="L9" s="236"/>
      <c r="M9" s="236"/>
      <c r="N9" s="236"/>
      <c r="O9" s="251"/>
      <c r="P9" s="236"/>
      <c r="Q9" s="252"/>
      <c r="R9" s="63"/>
    </row>
    <row customHeight="1" ht="12.75" r="10" spans="1:20" x14ac:dyDescent="0.2">
      <c r="A10" s="98">
        <v>8</v>
      </c>
      <c r="B10" s="63"/>
      <c r="C10" s="165">
        <f>A5</f>
        <v>3</v>
      </c>
      <c r="D10" s="236" t="s">
        <v>1526</v>
      </c>
      <c r="E10" s="236"/>
      <c r="F10" s="236"/>
      <c r="G10" s="236"/>
      <c r="H10" s="236"/>
      <c r="I10" s="244"/>
      <c r="J10" s="75"/>
      <c r="K10" s="165">
        <f>A5</f>
        <v>3</v>
      </c>
      <c r="L10" s="236" t="s">
        <v>1526</v>
      </c>
      <c r="M10" s="236"/>
      <c r="N10" s="236"/>
      <c r="O10" s="251"/>
      <c r="P10" s="236"/>
      <c r="Q10" s="252"/>
      <c r="R10" s="63"/>
      <c r="S10" s="98" t="s">
        <v>4284</v>
      </c>
    </row>
    <row customHeight="1" ht="12.75" r="11" spans="1:20" x14ac:dyDescent="0.2">
      <c r="A11" s="98">
        <v>9</v>
      </c>
      <c r="B11" s="63"/>
      <c r="C11" s="250"/>
      <c r="D11" s="239"/>
      <c r="E11" s="237"/>
      <c r="F11" s="237"/>
      <c r="G11" s="237"/>
      <c r="H11" s="237"/>
      <c r="I11" s="245"/>
      <c r="J11" s="75"/>
      <c r="K11" s="362"/>
      <c r="L11" s="239"/>
      <c r="M11" s="237"/>
      <c r="N11" s="237"/>
      <c r="O11" s="236"/>
      <c r="P11" s="238"/>
      <c r="Q11" s="252"/>
      <c r="R11" s="63"/>
      <c r="S11" s="99"/>
      <c r="T11" s="99"/>
    </row>
    <row customHeight="1" ht="9" r="12" spans="1:20" x14ac:dyDescent="0.2">
      <c r="A12" s="98">
        <v>10</v>
      </c>
      <c r="B12" s="63"/>
      <c r="C12" s="250"/>
      <c r="D12" s="237"/>
      <c r="E12" s="237"/>
      <c r="F12" s="237"/>
      <c r="G12" s="237"/>
      <c r="H12" s="237"/>
      <c r="I12" s="248"/>
      <c r="J12" s="75"/>
      <c r="K12" s="362"/>
      <c r="L12" s="237"/>
      <c r="M12" s="237"/>
      <c r="N12" s="237"/>
      <c r="O12" s="364"/>
      <c r="P12" s="237"/>
      <c r="Q12" s="252"/>
      <c r="R12" s="63"/>
    </row>
    <row customHeight="1" ht="6" r="13" spans="1:20" x14ac:dyDescent="0.2">
      <c r="A13" s="98">
        <v>11</v>
      </c>
      <c r="B13" s="63"/>
      <c r="C13" s="257"/>
      <c r="D13" s="246"/>
      <c r="E13" s="246"/>
      <c r="F13" s="246"/>
      <c r="G13" s="246"/>
      <c r="H13" s="246"/>
      <c r="I13" s="247"/>
      <c r="J13" s="75"/>
      <c r="K13" s="363"/>
      <c r="L13" s="246"/>
      <c r="M13" s="246"/>
      <c r="N13" s="246"/>
      <c r="O13" s="365"/>
      <c r="P13" s="246"/>
      <c r="Q13" s="253"/>
      <c r="R13" s="63"/>
    </row>
    <row customHeight="1" ht="12.75" r="14" spans="1:20" x14ac:dyDescent="0.2">
      <c r="A14" s="98">
        <v>12</v>
      </c>
      <c r="B14" s="63"/>
      <c r="C14" s="241" t="s">
        <v>1524</v>
      </c>
      <c r="D14" s="242"/>
      <c r="E14" s="242"/>
      <c r="F14" s="242"/>
      <c r="G14" s="242"/>
      <c r="H14" s="242"/>
      <c r="I14" s="424" t="s">
        <v>3768</v>
      </c>
      <c r="J14" s="75"/>
      <c r="K14" s="241" t="s">
        <v>2410</v>
      </c>
      <c r="L14" s="242"/>
      <c r="M14" s="242"/>
      <c r="N14" s="242"/>
      <c r="O14" s="366"/>
      <c r="P14" s="242"/>
      <c r="Q14" s="424" t="s">
        <v>3768</v>
      </c>
      <c r="R14" s="63"/>
    </row>
    <row customHeight="1" ht="8.1" r="15" spans="1:20" x14ac:dyDescent="0.2">
      <c r="A15" s="98">
        <v>13</v>
      </c>
      <c r="B15" s="63"/>
      <c r="C15" s="250"/>
      <c r="D15" s="236"/>
      <c r="E15" s="236"/>
      <c r="F15" s="236"/>
      <c r="G15" s="236"/>
      <c r="H15" s="236"/>
      <c r="I15" s="244"/>
      <c r="J15" s="75"/>
      <c r="K15" s="362"/>
      <c r="L15" s="236"/>
      <c r="M15" s="236"/>
      <c r="N15" s="236"/>
      <c r="O15" s="364"/>
      <c r="P15" s="236"/>
      <c r="Q15" s="252"/>
      <c r="R15" s="63"/>
      <c r="S15" s="98" t="s">
        <v>4285</v>
      </c>
    </row>
    <row customHeight="1" ht="12.75" r="16" spans="1:20" x14ac:dyDescent="0.2">
      <c r="A16" s="98">
        <v>14</v>
      </c>
      <c r="B16" s="63"/>
      <c r="C16" s="165">
        <f>A11</f>
        <v>9</v>
      </c>
      <c r="D16" s="236" t="s">
        <v>3166</v>
      </c>
      <c r="E16" s="236"/>
      <c r="F16" s="236"/>
      <c r="G16" s="165">
        <f>A15</f>
        <v>13</v>
      </c>
      <c r="H16" s="236" t="s">
        <v>3777</v>
      </c>
      <c r="I16" s="244"/>
      <c r="J16" s="75"/>
      <c r="K16" s="165">
        <f>A11</f>
        <v>9</v>
      </c>
      <c r="L16" s="236" t="s">
        <v>3166</v>
      </c>
      <c r="M16" s="236"/>
      <c r="N16" s="236"/>
      <c r="O16" s="165">
        <f>A15</f>
        <v>13</v>
      </c>
      <c r="P16" s="236" t="s">
        <v>3777</v>
      </c>
      <c r="Q16" s="252"/>
      <c r="R16" s="75"/>
      <c r="S16" s="256" t="s">
        <v>915</v>
      </c>
    </row>
    <row customHeight="1" ht="12.75" r="17" spans="1:20" x14ac:dyDescent="0.2">
      <c r="A17" s="98">
        <v>15</v>
      </c>
      <c r="B17" s="75"/>
      <c r="C17" s="250"/>
      <c r="D17" s="239"/>
      <c r="E17" s="236"/>
      <c r="F17" s="236"/>
      <c r="G17" s="236"/>
      <c r="H17" s="239"/>
      <c r="I17" s="244"/>
      <c r="J17" s="75"/>
      <c r="K17" s="362"/>
      <c r="L17" s="240"/>
      <c r="M17" s="236"/>
      <c r="N17" s="236"/>
      <c r="O17" s="367"/>
      <c r="P17" s="239"/>
      <c r="Q17" s="244"/>
      <c r="R17" s="75"/>
      <c r="S17" s="96">
        <f>TRUNC(D17+D20+D23+D26+H17+H20+H23+H26,0)</f>
        <v>0</v>
      </c>
      <c r="T17" s="96">
        <f>TRUNC(L17+L20+L23+L26+P17+P20+P23+P26,0)</f>
        <v>0</v>
      </c>
    </row>
    <row customHeight="1" ht="8.1" r="18" spans="1:20" x14ac:dyDescent="0.2">
      <c r="A18" s="98">
        <v>16</v>
      </c>
      <c r="B18" s="75"/>
      <c r="C18" s="250"/>
      <c r="D18" s="236"/>
      <c r="E18" s="236"/>
      <c r="F18" s="236"/>
      <c r="G18" s="236"/>
      <c r="H18" s="236"/>
      <c r="I18" s="244"/>
      <c r="J18" s="75"/>
      <c r="K18" s="362"/>
      <c r="L18" s="236"/>
      <c r="M18" s="236"/>
      <c r="N18" s="236"/>
      <c r="O18" s="367"/>
      <c r="P18" s="236"/>
      <c r="Q18" s="244"/>
      <c r="R18" s="75"/>
    </row>
    <row customHeight="1" ht="12.75" r="19" spans="1:20" x14ac:dyDescent="0.2">
      <c r="A19" s="98">
        <v>17</v>
      </c>
      <c r="B19" s="75"/>
      <c r="C19" s="165">
        <f>A12</f>
        <v>10</v>
      </c>
      <c r="D19" s="236" t="s">
        <v>3774</v>
      </c>
      <c r="E19" s="236"/>
      <c r="F19" s="236"/>
      <c r="G19" s="165">
        <f>A16</f>
        <v>14</v>
      </c>
      <c r="H19" s="236" t="s">
        <v>3778</v>
      </c>
      <c r="I19" s="244"/>
      <c r="J19" s="75"/>
      <c r="K19" s="165">
        <f>A12</f>
        <v>10</v>
      </c>
      <c r="L19" s="236" t="s">
        <v>3774</v>
      </c>
      <c r="M19" s="236"/>
      <c r="N19" s="236"/>
      <c r="O19" s="165">
        <f>A16</f>
        <v>14</v>
      </c>
      <c r="P19" s="236" t="s">
        <v>3778</v>
      </c>
      <c r="Q19" s="244"/>
      <c r="R19" s="75"/>
    </row>
    <row customHeight="1" ht="12.75" r="20" spans="1:20" x14ac:dyDescent="0.2">
      <c r="A20" s="98">
        <v>18</v>
      </c>
      <c r="B20" s="75"/>
      <c r="C20" s="250"/>
      <c r="D20" s="239"/>
      <c r="E20" s="236"/>
      <c r="F20" s="236"/>
      <c r="G20" s="236"/>
      <c r="H20" s="239"/>
      <c r="I20" s="244"/>
      <c r="J20" s="75"/>
      <c r="K20" s="362"/>
      <c r="L20" s="239"/>
      <c r="M20" s="236"/>
      <c r="N20" s="236"/>
      <c r="O20" s="367"/>
      <c r="P20" s="239"/>
      <c r="Q20" s="244"/>
      <c r="R20" s="75"/>
    </row>
    <row customHeight="1" ht="8.1" r="21" spans="1:20" x14ac:dyDescent="0.2">
      <c r="A21" s="98">
        <v>19</v>
      </c>
      <c r="B21" s="75"/>
      <c r="C21" s="250"/>
      <c r="D21" s="236"/>
      <c r="E21" s="236"/>
      <c r="F21" s="236"/>
      <c r="G21" s="236"/>
      <c r="H21" s="236"/>
      <c r="I21" s="244"/>
      <c r="J21" s="75"/>
      <c r="K21" s="362"/>
      <c r="L21" s="236"/>
      <c r="M21" s="236"/>
      <c r="N21" s="236"/>
      <c r="O21" s="367"/>
      <c r="P21" s="236"/>
      <c r="Q21" s="244"/>
      <c r="R21" s="75"/>
    </row>
    <row customHeight="1" ht="12.75" r="22" spans="1:20" x14ac:dyDescent="0.2">
      <c r="A22" s="98">
        <v>20</v>
      </c>
      <c r="B22" s="75"/>
      <c r="C22" s="165">
        <f>A13</f>
        <v>11</v>
      </c>
      <c r="D22" s="236" t="s">
        <v>3775</v>
      </c>
      <c r="E22" s="236"/>
      <c r="F22" s="236"/>
      <c r="G22" s="165">
        <f>A17</f>
        <v>15</v>
      </c>
      <c r="H22" s="236" t="s">
        <v>972</v>
      </c>
      <c r="I22" s="244"/>
      <c r="J22" s="75"/>
      <c r="K22" s="165">
        <f>A13</f>
        <v>11</v>
      </c>
      <c r="L22" s="236" t="s">
        <v>3775</v>
      </c>
      <c r="M22" s="236"/>
      <c r="N22" s="236"/>
      <c r="O22" s="165">
        <f>A17</f>
        <v>15</v>
      </c>
      <c r="P22" s="236" t="s">
        <v>972</v>
      </c>
      <c r="Q22" s="244"/>
      <c r="R22" s="75"/>
    </row>
    <row customHeight="1" ht="12.75" r="23" spans="1:20" x14ac:dyDescent="0.2">
      <c r="B23" s="75"/>
      <c r="C23" s="250"/>
      <c r="D23" s="239"/>
      <c r="E23" s="236"/>
      <c r="F23" s="236"/>
      <c r="G23" s="236"/>
      <c r="H23" s="239"/>
      <c r="I23" s="244"/>
      <c r="J23" s="75"/>
      <c r="K23" s="362"/>
      <c r="L23" s="239"/>
      <c r="M23" s="236"/>
      <c r="N23" s="236"/>
      <c r="O23" s="367"/>
      <c r="P23" s="239"/>
      <c r="Q23" s="244"/>
      <c r="R23" s="75"/>
    </row>
    <row customHeight="1" ht="8.1" r="24" spans="1:20" x14ac:dyDescent="0.2">
      <c r="B24" s="75"/>
      <c r="C24" s="250"/>
      <c r="D24" s="236"/>
      <c r="E24" s="236"/>
      <c r="F24" s="236"/>
      <c r="G24" s="236"/>
      <c r="H24" s="236"/>
      <c r="I24" s="244"/>
      <c r="J24" s="75"/>
      <c r="K24" s="362"/>
      <c r="L24" s="236"/>
      <c r="M24" s="236"/>
      <c r="N24" s="236"/>
      <c r="O24" s="367"/>
      <c r="P24" s="236"/>
      <c r="Q24" s="244"/>
      <c r="R24" s="75"/>
    </row>
    <row customHeight="1" ht="12.75" r="25" spans="1:20" x14ac:dyDescent="0.2">
      <c r="B25" s="75"/>
      <c r="C25" s="165">
        <f>A14</f>
        <v>12</v>
      </c>
      <c r="D25" s="236" t="s">
        <v>3776</v>
      </c>
      <c r="E25" s="236"/>
      <c r="F25" s="236"/>
      <c r="G25" s="165">
        <f>A18</f>
        <v>16</v>
      </c>
      <c r="H25" s="236" t="s">
        <v>3779</v>
      </c>
      <c r="I25" s="244"/>
      <c r="J25" s="75"/>
      <c r="K25" s="165">
        <f>A14</f>
        <v>12</v>
      </c>
      <c r="L25" s="236" t="s">
        <v>3776</v>
      </c>
      <c r="M25" s="236"/>
      <c r="N25" s="236"/>
      <c r="O25" s="165">
        <f>A18</f>
        <v>16</v>
      </c>
      <c r="P25" s="236" t="s">
        <v>3779</v>
      </c>
      <c r="Q25" s="244"/>
      <c r="R25" s="75"/>
    </row>
    <row customHeight="1" ht="12.75" r="26" spans="1:20" x14ac:dyDescent="0.2">
      <c r="B26" s="75"/>
      <c r="C26" s="250"/>
      <c r="D26" s="239"/>
      <c r="E26" s="236"/>
      <c r="F26" s="236"/>
      <c r="G26" s="236"/>
      <c r="H26" s="239"/>
      <c r="I26" s="244"/>
      <c r="J26" s="75"/>
      <c r="K26" s="362"/>
      <c r="L26" s="239"/>
      <c r="M26" s="236"/>
      <c r="N26" s="236"/>
      <c r="O26" s="367"/>
      <c r="P26" s="239"/>
      <c r="Q26" s="244"/>
      <c r="R26" s="75"/>
    </row>
    <row customHeight="1" ht="6" r="27" spans="1:20" x14ac:dyDescent="0.2">
      <c r="B27" s="75"/>
      <c r="C27" s="257"/>
      <c r="D27" s="246"/>
      <c r="E27" s="246"/>
      <c r="F27" s="246"/>
      <c r="G27" s="246"/>
      <c r="H27" s="246"/>
      <c r="I27" s="247"/>
      <c r="J27" s="76"/>
      <c r="K27" s="363"/>
      <c r="L27" s="246"/>
      <c r="M27" s="246"/>
      <c r="N27" s="246"/>
      <c r="O27" s="368"/>
      <c r="P27" s="246"/>
      <c r="Q27" s="247"/>
      <c r="R27" s="75"/>
    </row>
    <row r="28" spans="1:20" x14ac:dyDescent="0.2">
      <c r="B28" s="75"/>
      <c r="C28" s="241" t="s">
        <v>3780</v>
      </c>
      <c r="D28" s="242"/>
      <c r="E28" s="242"/>
      <c r="F28" s="242"/>
      <c r="G28" s="242"/>
      <c r="H28" s="242"/>
      <c r="I28" s="424" t="s">
        <v>3768</v>
      </c>
      <c r="J28" s="76"/>
      <c r="K28" s="241" t="s">
        <v>1378</v>
      </c>
      <c r="L28" s="242"/>
      <c r="M28" s="242"/>
      <c r="N28" s="242"/>
      <c r="O28" s="369"/>
      <c r="P28" s="242"/>
      <c r="Q28" s="424" t="s">
        <v>3768</v>
      </c>
      <c r="R28" s="75"/>
    </row>
    <row customHeight="1" ht="8.1" r="29" spans="1:20" x14ac:dyDescent="0.2">
      <c r="B29" s="75"/>
      <c r="C29" s="250"/>
      <c r="D29" s="236"/>
      <c r="E29" s="236"/>
      <c r="F29" s="236"/>
      <c r="G29" s="236"/>
      <c r="H29" s="236"/>
      <c r="I29" s="244"/>
      <c r="J29" s="76"/>
      <c r="K29" s="362"/>
      <c r="L29" s="236"/>
      <c r="M29" s="236"/>
      <c r="N29" s="236"/>
      <c r="O29" s="367"/>
      <c r="P29" s="236"/>
      <c r="Q29" s="244"/>
      <c r="R29" s="75"/>
    </row>
    <row r="30" spans="1:20" x14ac:dyDescent="0.2">
      <c r="B30" s="75"/>
      <c r="C30" s="165">
        <f>A19</f>
        <v>17</v>
      </c>
      <c r="D30" s="236" t="s">
        <v>3782</v>
      </c>
      <c r="E30" s="236"/>
      <c r="F30" s="236"/>
      <c r="G30" s="165">
        <f>A21</f>
        <v>19</v>
      </c>
      <c r="H30" s="236" t="s">
        <v>3783</v>
      </c>
      <c r="I30" s="244"/>
      <c r="J30" s="76"/>
      <c r="K30" s="165">
        <f>A19</f>
        <v>17</v>
      </c>
      <c r="L30" s="236" t="s">
        <v>3782</v>
      </c>
      <c r="M30" s="236"/>
      <c r="N30" s="236"/>
      <c r="O30" s="165">
        <f>A21</f>
        <v>19</v>
      </c>
      <c r="P30" s="236" t="s">
        <v>3783</v>
      </c>
      <c r="Q30" s="244"/>
      <c r="R30" s="75"/>
      <c r="S30" s="126" t="s">
        <v>916</v>
      </c>
    </row>
    <row r="31" spans="1:20" x14ac:dyDescent="0.2">
      <c r="B31" s="75"/>
      <c r="C31" s="250"/>
      <c r="D31" s="239"/>
      <c r="E31" s="236"/>
      <c r="F31" s="236"/>
      <c r="G31" s="236"/>
      <c r="H31" s="239"/>
      <c r="I31" s="244"/>
      <c r="J31" s="76"/>
      <c r="K31" s="362"/>
      <c r="L31" s="239"/>
      <c r="M31" s="236"/>
      <c r="N31" s="236"/>
      <c r="O31" s="367"/>
      <c r="P31" s="239"/>
      <c r="Q31" s="244"/>
      <c r="R31" s="75"/>
      <c r="S31" s="96">
        <f>TRUNC((D31+D34+H31+H34)+0.99,0)</f>
        <v>0</v>
      </c>
      <c r="T31" s="96">
        <f>TRUNC((L31+L34+P31+P34)+0.99,0)</f>
        <v>0</v>
      </c>
    </row>
    <row customHeight="1" ht="8.1" r="32" spans="1:20" x14ac:dyDescent="0.2">
      <c r="B32" s="75"/>
      <c r="C32" s="250"/>
      <c r="D32" s="236"/>
      <c r="E32" s="236"/>
      <c r="F32" s="236"/>
      <c r="G32" s="236"/>
      <c r="H32" s="236"/>
      <c r="I32" s="244"/>
      <c r="J32" s="76"/>
      <c r="K32" s="362"/>
      <c r="L32" s="236"/>
      <c r="M32" s="236"/>
      <c r="N32" s="236"/>
      <c r="O32" s="367"/>
      <c r="P32" s="236"/>
      <c r="Q32" s="244"/>
      <c r="R32" s="75"/>
    </row>
    <row r="33" spans="2:20" x14ac:dyDescent="0.2">
      <c r="B33" s="75"/>
      <c r="C33" s="165">
        <f>A20</f>
        <v>18</v>
      </c>
      <c r="D33" s="236" t="s">
        <v>3781</v>
      </c>
      <c r="E33" s="236"/>
      <c r="F33" s="236"/>
      <c r="G33" s="165">
        <f>A22</f>
        <v>20</v>
      </c>
      <c r="H33" s="236" t="s">
        <v>1865</v>
      </c>
      <c r="I33" s="244"/>
      <c r="J33" s="76"/>
      <c r="K33" s="165">
        <f>A20</f>
        <v>18</v>
      </c>
      <c r="L33" s="236" t="s">
        <v>3781</v>
      </c>
      <c r="M33" s="236"/>
      <c r="N33" s="236"/>
      <c r="O33" s="165">
        <f>A22</f>
        <v>20</v>
      </c>
      <c r="P33" s="236" t="s">
        <v>1865</v>
      </c>
      <c r="Q33" s="244"/>
      <c r="R33" s="75"/>
      <c r="S33" s="460"/>
      <c r="T33" s="461"/>
    </row>
    <row r="34" spans="2:20" x14ac:dyDescent="0.2">
      <c r="B34" s="75"/>
      <c r="C34" s="250"/>
      <c r="D34" s="239"/>
      <c r="E34" s="236"/>
      <c r="F34" s="236"/>
      <c r="G34" s="236"/>
      <c r="H34" s="239"/>
      <c r="I34" s="244"/>
      <c r="J34" s="76"/>
      <c r="K34" s="250"/>
      <c r="L34" s="239"/>
      <c r="M34" s="236"/>
      <c r="N34" s="236"/>
      <c r="O34" s="236"/>
      <c r="P34" s="239"/>
      <c r="Q34" s="244"/>
      <c r="R34" s="75"/>
      <c r="S34" s="462"/>
      <c r="T34" s="462"/>
    </row>
    <row customHeight="1" ht="6" r="35" spans="2:20" x14ac:dyDescent="0.2">
      <c r="B35" s="75"/>
      <c r="C35" s="257"/>
      <c r="D35" s="246"/>
      <c r="E35" s="246"/>
      <c r="F35" s="246"/>
      <c r="G35" s="246"/>
      <c r="H35" s="246"/>
      <c r="I35" s="247"/>
      <c r="J35" s="76"/>
      <c r="K35" s="257"/>
      <c r="L35" s="246"/>
      <c r="M35" s="246"/>
      <c r="N35" s="246"/>
      <c r="O35" s="246"/>
      <c r="P35" s="246"/>
      <c r="Q35" s="247"/>
      <c r="R35" s="75"/>
      <c r="S35" s="461"/>
      <c r="T35" s="461"/>
    </row>
    <row r="36" spans="2:20" x14ac:dyDescent="0.2">
      <c r="B36" s="75"/>
      <c r="C36" s="124"/>
      <c r="D36" s="75"/>
      <c r="E36" s="76"/>
      <c r="F36" s="76"/>
      <c r="G36" s="76"/>
      <c r="H36" s="76"/>
      <c r="I36" s="76"/>
      <c r="J36" s="76"/>
      <c r="K36" s="124"/>
      <c r="L36" s="75"/>
      <c r="M36" s="75"/>
      <c r="N36" s="75"/>
      <c r="O36" s="124"/>
      <c r="P36" s="75"/>
      <c r="Q36" s="75"/>
      <c r="R36" s="75"/>
      <c r="T36" s="461"/>
    </row>
    <row r="37" spans="2:20" x14ac:dyDescent="0.2">
      <c r="B37" s="75"/>
      <c r="C37" s="124"/>
      <c r="D37" s="75"/>
      <c r="E37" s="76"/>
      <c r="F37" s="76"/>
      <c r="G37" s="76"/>
      <c r="H37" s="76"/>
      <c r="I37" s="76"/>
      <c r="J37" s="76"/>
      <c r="K37" s="124"/>
      <c r="L37" s="75"/>
      <c r="M37" s="75"/>
      <c r="N37" s="75"/>
      <c r="O37" s="124"/>
      <c r="P37" s="75"/>
      <c r="Q37" s="75"/>
      <c r="R37" s="75"/>
      <c r="S37" s="460"/>
      <c r="T37" s="461"/>
    </row>
    <row r="38" spans="2:20" x14ac:dyDescent="0.2">
      <c r="B38" s="75"/>
      <c r="C38" s="124"/>
      <c r="D38" s="75"/>
      <c r="E38" s="76"/>
      <c r="F38" s="76"/>
      <c r="G38" s="76"/>
      <c r="H38" s="76"/>
      <c r="I38" s="76"/>
      <c r="J38" s="76"/>
      <c r="K38" s="124"/>
      <c r="L38" s="75"/>
      <c r="M38" s="75"/>
      <c r="N38" s="75"/>
      <c r="O38" s="124"/>
      <c r="P38" s="75"/>
      <c r="Q38" s="75"/>
      <c r="R38" s="75"/>
      <c r="S38" s="462"/>
      <c r="T38" s="462"/>
    </row>
    <row r="39" spans="2:20" x14ac:dyDescent="0.2">
      <c r="B39" s="75"/>
      <c r="C39" s="124"/>
      <c r="D39" s="75"/>
      <c r="E39" s="76"/>
      <c r="F39" s="76"/>
      <c r="G39" s="76"/>
      <c r="H39" s="76"/>
      <c r="I39" s="76"/>
      <c r="J39" s="76"/>
      <c r="K39" s="124"/>
      <c r="L39" s="75"/>
      <c r="M39" s="75"/>
      <c r="N39" s="75"/>
      <c r="O39" s="124"/>
      <c r="P39" s="75"/>
      <c r="Q39" s="75"/>
      <c r="R39" s="75"/>
      <c r="S39" s="461"/>
      <c r="T39" s="461"/>
    </row>
    <row customHeight="1" ht="6" r="40" spans="2:20" x14ac:dyDescent="0.2">
      <c r="B40" s="75"/>
      <c r="C40" s="124"/>
      <c r="D40" s="75"/>
      <c r="E40" s="76"/>
      <c r="F40" s="76"/>
      <c r="G40" s="76"/>
      <c r="H40" s="76"/>
      <c r="I40" s="76"/>
      <c r="J40" s="76"/>
      <c r="K40" s="124"/>
      <c r="L40" s="75"/>
      <c r="M40" s="75"/>
      <c r="N40" s="75"/>
      <c r="O40" s="124"/>
      <c r="P40" s="75"/>
      <c r="Q40" s="75"/>
      <c r="R40" s="75"/>
    </row>
  </sheetData>
  <phoneticPr fontId="67" type="noConversion"/>
  <pageMargins bottom="0.196850393700787" footer="0" header="0" left="0.196850393700787" right="0.196850393700787" top="0.196850393700787"/>
  <pageSetup orientation="landscape" paperSize="9" r:id="rId1"/>
  <headerFooter alignWithMargins="0"/>
  <drawing r:id="rId2"/>
  <legacyDrawing r:id="rId3"/>
  <mc:AlternateContent>
    <mc:Choice Requires="x14">
      <controls>
        <mc:AlternateContent>
          <mc:Choice Requires="x14">
            <control name="Button 4" r:id="rId4" shapeId="2052">
              <controlPr autoFill="0" autoPict="0" defaultSize="0" macro="[0]!Show_Page_NI">
                <anchor>
                  <from>
                    <xdr:col>15</xdr:col>
                    <xdr:colOff>285750</xdr:colOff>
                    <xdr:row>35</xdr:row>
                    <xdr:rowOff>19050</xdr:rowOff>
                  </from>
                  <to>
                    <xdr:col>17</xdr:col>
                    <xdr:colOff>1333500</xdr:colOff>
                    <xdr:row>39</xdr:row>
                    <xdr:rowOff>66675</xdr:rowOff>
                  </to>
                </anchor>
              </controlPr>
            </control>
          </mc:Choice>
        </mc:AlternateContent>
      </controls>
    </mc:Choice>
  </mc:AlternateContent>
</worksheet>
</file>

<file path=xl/worksheets/sheet40.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xmlns:xr="http://schemas.microsoft.com/office/spreadsheetml/2014/revision" xmlns:xr2="http://schemas.microsoft.com/office/spreadsheetml/2015/revision2" xmlns:xr3="http://schemas.microsoft.com/office/spreadsheetml/2016/revision3" mc:Ignorable="x14ac xr xr2 xr3" xr:uid="{00000000-0001-0000-2700-000000000000}">
  <sheetPr codeName="Sheet17"/>
  <dimension ref="A1:R33"/>
  <sheetViews>
    <sheetView showGridLines="0" showRowColHeaders="0" topLeftCell="B1" workbookViewId="0">
      <selection activeCell="S3" sqref="S3"/>
    </sheetView>
  </sheetViews>
  <sheetFormatPr defaultColWidth="9.140625" defaultRowHeight="12" x14ac:dyDescent="0.2"/>
  <cols>
    <col min="1" max="1" customWidth="true" hidden="true" style="138" width="6.85546875" collapsed="true"/>
    <col min="2" max="2" customWidth="true" style="138" width="23.85546875" collapsed="true"/>
    <col min="3" max="3" customWidth="true" style="138" width="4.85546875" collapsed="true"/>
    <col min="4" max="4" customWidth="true" style="138" width="12.5703125" collapsed="true"/>
    <col min="5" max="5" customWidth="true" style="138" width="7.0" collapsed="true"/>
    <col min="6" max="6" customWidth="true" style="138" width="13.0" collapsed="true"/>
    <col min="7" max="7" customWidth="true" style="138" width="5.28515625" collapsed="true"/>
    <col min="8" max="8" customWidth="true" style="138" width="12.0" collapsed="true"/>
    <col min="9" max="9" customWidth="true" style="138" width="15.42578125" collapsed="true"/>
    <col min="10" max="10" customWidth="true" style="138" width="34.7109375" collapsed="true"/>
    <col min="11" max="11" customWidth="true" style="138" width="12.42578125" collapsed="true"/>
    <col min="12" max="16384" style="138" width="9.140625" collapsed="true"/>
  </cols>
  <sheetData>
    <row customHeight="1" ht="12" r="1" spans="1:17" x14ac:dyDescent="0.2">
      <c r="A1" s="138" t="s">
        <v>2075</v>
      </c>
      <c r="B1" s="203"/>
      <c r="C1" s="203"/>
      <c r="D1" s="203"/>
      <c r="E1" s="203"/>
      <c r="F1" s="203"/>
      <c r="G1" s="203"/>
      <c r="H1" s="203"/>
      <c r="I1" s="203"/>
      <c r="J1" s="203"/>
      <c r="K1" s="140"/>
      <c r="L1" s="140"/>
      <c r="M1" s="140"/>
      <c r="N1" s="140"/>
      <c r="O1" s="140"/>
      <c r="P1" s="140"/>
      <c r="Q1" s="140"/>
    </row>
    <row customHeight="1" ht="12" r="2" spans="1:17" x14ac:dyDescent="0.2">
      <c r="B2" s="203"/>
      <c r="C2" s="203"/>
      <c r="D2" s="203"/>
      <c r="E2" s="203"/>
      <c r="F2" s="203"/>
      <c r="G2" s="203"/>
      <c r="H2" s="203"/>
      <c r="I2" s="203"/>
      <c r="J2" s="203"/>
      <c r="L2" s="140"/>
      <c r="M2" s="140"/>
      <c r="N2" s="140"/>
      <c r="O2" s="140"/>
      <c r="P2" s="140"/>
      <c r="Q2" s="140"/>
    </row>
    <row customHeight="1" ht="12" r="3" spans="1:17" x14ac:dyDescent="0.2">
      <c r="A3" s="138">
        <v>6</v>
      </c>
      <c r="B3" s="203"/>
      <c r="C3" s="203"/>
      <c r="D3" s="203"/>
      <c r="E3" s="203"/>
      <c r="F3" s="203"/>
      <c r="G3" s="203"/>
      <c r="H3" s="203"/>
      <c r="I3" s="203"/>
      <c r="J3" s="203"/>
      <c r="L3" s="140"/>
      <c r="M3" s="140"/>
      <c r="N3" s="140"/>
      <c r="O3" s="140"/>
      <c r="P3" s="140"/>
      <c r="Q3" s="140"/>
    </row>
    <row customHeight="1" ht="12" r="4" spans="1:17" x14ac:dyDescent="0.2">
      <c r="A4" s="138">
        <v>17</v>
      </c>
      <c r="B4" s="203"/>
      <c r="C4" s="203"/>
      <c r="D4" s="203"/>
      <c r="E4" s="203"/>
      <c r="F4" s="203"/>
      <c r="G4" s="203"/>
      <c r="H4" s="203"/>
      <c r="I4" s="203"/>
      <c r="J4" s="203"/>
      <c r="L4" s="140"/>
      <c r="M4" s="140"/>
      <c r="N4" s="140"/>
      <c r="O4" s="140"/>
      <c r="P4" s="140"/>
      <c r="Q4" s="140"/>
    </row>
    <row customHeight="1" ht="12" r="5" spans="1:17" x14ac:dyDescent="0.2">
      <c r="A5" s="138">
        <v>19</v>
      </c>
      <c r="B5" s="203"/>
      <c r="C5" s="241" t="s">
        <v>3378</v>
      </c>
      <c r="D5" s="254"/>
      <c r="E5" s="254"/>
      <c r="F5" s="254"/>
      <c r="G5" s="254"/>
      <c r="H5" s="254"/>
      <c r="I5" s="424" t="str">
        <f>MOR</f>
        <v>MOR</v>
      </c>
      <c r="J5" s="203"/>
      <c r="K5" s="140"/>
      <c r="L5" s="140"/>
      <c r="M5" s="140"/>
      <c r="N5" s="140"/>
      <c r="O5" s="140"/>
      <c r="P5" s="140"/>
      <c r="Q5" s="140"/>
    </row>
    <row customHeight="1" ht="12" r="6" spans="1:17" x14ac:dyDescent="0.2">
      <c r="A6" s="138">
        <v>38</v>
      </c>
      <c r="B6" s="203"/>
      <c r="C6" s="259"/>
      <c r="D6" s="251"/>
      <c r="E6" s="251"/>
      <c r="F6" s="251"/>
      <c r="G6" s="251"/>
      <c r="H6" s="251"/>
      <c r="I6" s="260"/>
      <c r="J6" s="203"/>
      <c r="K6" s="140"/>
      <c r="L6" s="140"/>
      <c r="M6" s="140"/>
      <c r="N6" s="140"/>
      <c r="O6" s="140"/>
      <c r="P6" s="140"/>
      <c r="Q6" s="140"/>
    </row>
    <row customHeight="1" ht="12" r="7" spans="1:17" x14ac:dyDescent="0.2">
      <c r="A7" s="138">
        <v>39</v>
      </c>
      <c r="B7" s="203"/>
      <c r="C7" s="250"/>
      <c r="D7" s="251"/>
      <c r="E7" s="251"/>
      <c r="F7" s="251"/>
      <c r="G7" s="251"/>
      <c r="H7" s="251"/>
      <c r="I7" s="260"/>
      <c r="J7" s="203"/>
      <c r="K7" s="140"/>
      <c r="L7" s="140"/>
      <c r="M7" s="140"/>
      <c r="N7" s="140"/>
      <c r="O7" s="140"/>
      <c r="P7" s="140"/>
      <c r="Q7" s="140"/>
    </row>
    <row customHeight="1" ht="12" r="8" spans="1:17" x14ac:dyDescent="0.2">
      <c r="B8" s="203"/>
      <c r="C8" s="143">
        <f>A3</f>
        <v>6</v>
      </c>
      <c r="D8" s="238" t="s">
        <v>4013</v>
      </c>
      <c r="E8" s="251"/>
      <c r="F8" s="251"/>
      <c r="G8" s="251"/>
      <c r="H8" s="251"/>
      <c r="I8" s="260"/>
      <c r="J8" s="203"/>
      <c r="K8" s="140"/>
      <c r="L8" s="140"/>
      <c r="M8" s="140"/>
      <c r="N8" s="140"/>
      <c r="O8" s="140"/>
      <c r="P8" s="140"/>
      <c r="Q8" s="140"/>
    </row>
    <row customHeight="1" ht="12" r="9" spans="1:17" x14ac:dyDescent="0.2">
      <c r="B9" s="203"/>
      <c r="C9" s="250"/>
      <c r="D9" s="148"/>
      <c r="E9" s="251"/>
      <c r="F9" s="251"/>
      <c r="G9" s="251"/>
      <c r="H9" s="251"/>
      <c r="I9" s="260"/>
      <c r="J9" s="203"/>
      <c r="K9" s="140"/>
      <c r="L9" s="140"/>
      <c r="M9" s="140"/>
      <c r="N9" s="140"/>
      <c r="O9" s="140"/>
      <c r="P9" s="140"/>
      <c r="Q9" s="140"/>
    </row>
    <row customHeight="1" ht="12" r="10" spans="1:17" x14ac:dyDescent="0.2">
      <c r="B10" s="203"/>
      <c r="C10" s="250"/>
      <c r="D10" s="251"/>
      <c r="E10" s="251"/>
      <c r="F10" s="251"/>
      <c r="G10" s="251"/>
      <c r="H10" s="251"/>
      <c r="I10" s="260"/>
      <c r="J10" s="203"/>
      <c r="K10" s="140"/>
      <c r="L10" s="140"/>
      <c r="M10" s="140"/>
      <c r="N10" s="140"/>
      <c r="O10" s="140"/>
      <c r="P10" s="140"/>
      <c r="Q10" s="140"/>
    </row>
    <row customHeight="1" ht="12" r="11" spans="1:17" x14ac:dyDescent="0.2">
      <c r="B11" s="203"/>
      <c r="C11" s="250"/>
      <c r="D11" s="251"/>
      <c r="E11" s="251"/>
      <c r="F11" s="251"/>
      <c r="G11" s="143">
        <f>A4</f>
        <v>17</v>
      </c>
      <c r="H11" s="238" t="s">
        <v>2770</v>
      </c>
      <c r="I11" s="260"/>
      <c r="J11" s="203"/>
      <c r="K11" s="140"/>
      <c r="L11" s="140"/>
      <c r="M11" s="140"/>
      <c r="N11" s="140"/>
      <c r="O11" s="140"/>
      <c r="P11" s="140"/>
      <c r="Q11" s="140"/>
    </row>
    <row customHeight="1" ht="12" r="12" spans="1:17" x14ac:dyDescent="0.2">
      <c r="B12" s="203"/>
      <c r="C12" s="250"/>
      <c r="D12" s="251"/>
      <c r="E12" s="251"/>
      <c r="F12" s="251"/>
      <c r="G12" s="251"/>
      <c r="H12" s="148"/>
      <c r="I12" s="260"/>
      <c r="J12" s="203"/>
      <c r="K12" s="140"/>
      <c r="L12" s="140"/>
      <c r="M12" s="140"/>
      <c r="N12" s="140"/>
      <c r="O12" s="140"/>
      <c r="P12" s="140"/>
      <c r="Q12" s="140"/>
    </row>
    <row customHeight="1" ht="12" r="13" spans="1:17" x14ac:dyDescent="0.2">
      <c r="B13" s="203"/>
      <c r="C13" s="250"/>
      <c r="D13" s="251"/>
      <c r="E13" s="251"/>
      <c r="F13" s="251"/>
      <c r="G13" s="251"/>
      <c r="H13" s="251"/>
      <c r="I13" s="260"/>
      <c r="J13" s="203"/>
      <c r="K13" s="140"/>
      <c r="L13" s="140"/>
      <c r="M13" s="140"/>
      <c r="N13" s="140"/>
      <c r="O13" s="140"/>
      <c r="P13" s="140"/>
      <c r="Q13" s="140"/>
    </row>
    <row customHeight="1" ht="12" r="14" spans="1:17" x14ac:dyDescent="0.2">
      <c r="B14" s="203"/>
      <c r="C14" s="250"/>
      <c r="D14" s="251"/>
      <c r="E14" s="251"/>
      <c r="F14" s="251"/>
      <c r="G14" s="251"/>
      <c r="H14" s="251"/>
      <c r="I14" s="260"/>
      <c r="J14" s="203"/>
      <c r="K14" s="140"/>
      <c r="L14" s="140"/>
      <c r="M14" s="140"/>
      <c r="N14" s="140"/>
      <c r="O14" s="140"/>
      <c r="P14" s="140"/>
      <c r="Q14" s="140"/>
    </row>
    <row customHeight="1" ht="12" r="15" spans="1:17" x14ac:dyDescent="0.2">
      <c r="B15" s="203"/>
      <c r="C15" s="250"/>
      <c r="D15" s="251"/>
      <c r="E15" s="251"/>
      <c r="F15" s="251"/>
      <c r="G15" s="143">
        <f>A5</f>
        <v>19</v>
      </c>
      <c r="H15" s="238" t="s">
        <v>953</v>
      </c>
      <c r="I15" s="260"/>
      <c r="J15" s="203"/>
      <c r="K15" s="140"/>
      <c r="L15" s="140"/>
      <c r="M15" s="140"/>
      <c r="N15" s="140"/>
      <c r="O15" s="140"/>
      <c r="P15" s="140"/>
      <c r="Q15" s="140"/>
    </row>
    <row customHeight="1" ht="12" r="16" spans="1:17" x14ac:dyDescent="0.2">
      <c r="B16" s="203"/>
      <c r="C16" s="250"/>
      <c r="D16" s="251"/>
      <c r="E16" s="251"/>
      <c r="F16" s="251"/>
      <c r="G16" s="251"/>
      <c r="H16" s="148"/>
      <c r="I16" s="260"/>
      <c r="J16" s="203"/>
      <c r="K16" s="140"/>
      <c r="L16" s="140"/>
      <c r="M16" s="140"/>
      <c r="N16" s="140"/>
      <c r="O16" s="140"/>
      <c r="P16" s="140"/>
      <c r="Q16" s="140"/>
    </row>
    <row customHeight="1" ht="12" r="17" spans="1:17" x14ac:dyDescent="0.2">
      <c r="B17" s="203"/>
      <c r="C17" s="250"/>
      <c r="D17" s="251"/>
      <c r="E17" s="251"/>
      <c r="F17" s="251"/>
      <c r="G17" s="251"/>
      <c r="H17" s="251"/>
      <c r="I17" s="260"/>
      <c r="J17" s="203"/>
      <c r="K17" s="140"/>
      <c r="L17" s="140"/>
      <c r="M17" s="140"/>
      <c r="N17" s="140"/>
      <c r="O17" s="140"/>
      <c r="P17" s="140"/>
      <c r="Q17" s="140"/>
    </row>
    <row customHeight="1" ht="12" r="18" spans="1:17" x14ac:dyDescent="0.2">
      <c r="B18" s="203"/>
      <c r="C18" s="250"/>
      <c r="D18" s="251"/>
      <c r="E18" s="251"/>
      <c r="F18" s="251"/>
      <c r="G18" s="251"/>
      <c r="H18" s="251"/>
      <c r="I18" s="260"/>
      <c r="J18" s="203"/>
      <c r="K18" s="140"/>
      <c r="L18" s="140"/>
      <c r="M18" s="140"/>
      <c r="N18" s="140"/>
      <c r="O18" s="140"/>
      <c r="P18" s="140"/>
      <c r="Q18" s="140"/>
    </row>
    <row customHeight="1" ht="12" r="19" spans="1:17" x14ac:dyDescent="0.2">
      <c r="B19" s="203"/>
      <c r="C19" s="143">
        <f>A6</f>
        <v>38</v>
      </c>
      <c r="D19" s="238" t="s">
        <v>4012</v>
      </c>
      <c r="E19" s="251"/>
      <c r="F19" s="251"/>
      <c r="G19" s="143">
        <f>A7</f>
        <v>39</v>
      </c>
      <c r="H19" s="238" t="s">
        <v>2763</v>
      </c>
      <c r="I19" s="260"/>
      <c r="J19" s="203"/>
      <c r="K19" s="140"/>
      <c r="L19" s="140"/>
      <c r="M19" s="140"/>
      <c r="N19" s="140"/>
      <c r="O19" s="140"/>
      <c r="P19" s="140"/>
      <c r="Q19" s="140"/>
    </row>
    <row customHeight="1" ht="12" r="20" spans="1:17" x14ac:dyDescent="0.2">
      <c r="B20" s="203"/>
      <c r="C20" s="250"/>
      <c r="D20" s="148"/>
      <c r="E20" s="251"/>
      <c r="F20" s="251"/>
      <c r="G20" s="251"/>
      <c r="H20" s="258"/>
      <c r="I20" s="260"/>
      <c r="J20" s="203"/>
      <c r="K20" s="140"/>
      <c r="L20" s="140"/>
      <c r="M20" s="140"/>
      <c r="N20" s="140"/>
      <c r="O20" s="140"/>
      <c r="P20" s="140"/>
      <c r="Q20" s="140"/>
    </row>
    <row customHeight="1" ht="12" r="21" spans="1:17" x14ac:dyDescent="0.2">
      <c r="B21" s="203"/>
      <c r="C21" s="261"/>
      <c r="D21" s="251"/>
      <c r="E21" s="251"/>
      <c r="F21" s="251"/>
      <c r="G21" s="251"/>
      <c r="H21" s="251"/>
      <c r="I21" s="260"/>
      <c r="J21" s="203"/>
      <c r="K21" s="140"/>
      <c r="L21" s="140"/>
      <c r="M21" s="140"/>
      <c r="N21" s="140"/>
      <c r="O21" s="140"/>
      <c r="P21" s="140"/>
      <c r="Q21" s="140"/>
    </row>
    <row customHeight="1" ht="12" r="22" spans="1:17" x14ac:dyDescent="0.2">
      <c r="B22" s="139"/>
      <c r="C22" s="262"/>
      <c r="D22" s="255"/>
      <c r="E22" s="255"/>
      <c r="F22" s="255"/>
      <c r="G22" s="255"/>
      <c r="H22" s="255"/>
      <c r="I22" s="263"/>
      <c r="J22" s="139"/>
      <c r="K22" s="140"/>
      <c r="L22" s="140"/>
      <c r="M22" s="140"/>
      <c r="N22" s="140"/>
      <c r="O22" s="140"/>
      <c r="P22" s="140"/>
      <c r="Q22" s="140"/>
    </row>
    <row customHeight="1" ht="12" r="23" spans="1:17" x14ac:dyDescent="0.2">
      <c r="B23" s="139"/>
      <c r="C23" s="139"/>
      <c r="D23" s="139"/>
      <c r="E23" s="139"/>
      <c r="F23" s="139"/>
      <c r="G23" s="139"/>
      <c r="H23" s="139"/>
      <c r="I23" s="139"/>
      <c r="J23" s="139"/>
      <c r="K23" s="140"/>
      <c r="L23" s="140"/>
      <c r="M23" s="140"/>
      <c r="N23" s="140"/>
      <c r="O23" s="140"/>
      <c r="P23" s="140"/>
      <c r="Q23" s="140"/>
    </row>
    <row customHeight="1" ht="12" r="24" spans="1:17" x14ac:dyDescent="0.2">
      <c r="B24" s="139"/>
      <c r="C24" s="139"/>
      <c r="D24" s="139"/>
      <c r="E24" s="153"/>
      <c r="F24" s="139"/>
      <c r="G24" s="139"/>
      <c r="H24" s="139"/>
      <c r="I24" s="139"/>
      <c r="J24" s="139"/>
      <c r="K24" s="140"/>
      <c r="L24" s="140"/>
      <c r="M24" s="140"/>
      <c r="N24" s="140"/>
      <c r="O24" s="140"/>
      <c r="P24" s="140"/>
      <c r="Q24" s="140"/>
    </row>
    <row customHeight="1" ht="12" r="25" spans="1:17" x14ac:dyDescent="0.2">
      <c r="B25" s="139"/>
      <c r="C25" s="139"/>
      <c r="D25" s="139"/>
      <c r="E25" s="153"/>
      <c r="F25" s="139"/>
      <c r="G25" s="139"/>
      <c r="H25" s="139"/>
      <c r="I25" s="139"/>
      <c r="J25" s="139"/>
      <c r="K25" s="140"/>
      <c r="L25" s="140"/>
      <c r="M25" s="140"/>
      <c r="N25" s="140"/>
      <c r="O25" s="140"/>
      <c r="P25" s="140"/>
      <c r="Q25" s="140"/>
    </row>
    <row customHeight="1" ht="12" r="26" spans="1:17" x14ac:dyDescent="0.2">
      <c r="B26" s="139"/>
      <c r="C26" s="139"/>
      <c r="D26" s="139"/>
      <c r="E26" s="153"/>
      <c r="F26" s="139"/>
      <c r="G26" s="139"/>
      <c r="H26" s="139"/>
      <c r="I26" s="139"/>
      <c r="J26" s="139"/>
      <c r="K26" s="140"/>
      <c r="L26" s="140"/>
      <c r="M26" s="140"/>
      <c r="N26" s="140"/>
      <c r="O26" s="140"/>
      <c r="P26" s="140"/>
      <c r="Q26" s="140"/>
    </row>
    <row customHeight="1" ht="12" r="27" spans="1:17" x14ac:dyDescent="0.2">
      <c r="B27" s="139"/>
      <c r="C27" s="139"/>
      <c r="D27" s="139"/>
      <c r="E27" s="153"/>
      <c r="F27" s="139"/>
      <c r="G27" s="139"/>
      <c r="H27" s="139"/>
      <c r="I27" s="139"/>
      <c r="J27" s="139"/>
      <c r="K27" s="140"/>
      <c r="L27" s="140"/>
      <c r="M27" s="140"/>
      <c r="N27" s="140"/>
      <c r="O27" s="140"/>
      <c r="P27" s="140"/>
      <c r="Q27" s="140"/>
    </row>
    <row r="28" spans="1:17" x14ac:dyDescent="0.2">
      <c r="B28" s="139"/>
      <c r="C28" s="139"/>
      <c r="D28" s="139"/>
      <c r="E28" s="153"/>
      <c r="F28" s="139"/>
      <c r="G28" s="139"/>
      <c r="H28" s="139"/>
      <c r="I28" s="139"/>
      <c r="J28" s="139"/>
      <c r="K28" s="140"/>
      <c r="L28" s="140"/>
      <c r="M28" s="140"/>
      <c r="N28" s="140"/>
      <c r="O28" s="140"/>
      <c r="P28" s="140"/>
      <c r="Q28" s="140"/>
    </row>
    <row r="29" spans="1:17" x14ac:dyDescent="0.2">
      <c r="B29" s="139"/>
      <c r="C29" s="139"/>
      <c r="D29" s="139"/>
      <c r="E29" s="153"/>
      <c r="F29" s="139"/>
      <c r="G29" s="139"/>
      <c r="H29" s="139"/>
      <c r="I29" s="139"/>
      <c r="J29" s="139"/>
      <c r="K29" s="140"/>
      <c r="L29" s="140"/>
      <c r="M29" s="140"/>
      <c r="N29" s="140"/>
      <c r="O29" s="140"/>
      <c r="P29" s="140"/>
      <c r="Q29" s="140"/>
    </row>
    <row r="30" spans="1:17" x14ac:dyDescent="0.2">
      <c r="A30" s="140"/>
      <c r="B30" s="140"/>
      <c r="C30" s="140"/>
      <c r="D30" s="140"/>
      <c r="E30" s="342"/>
      <c r="F30" s="140"/>
      <c r="G30" s="140"/>
      <c r="H30" s="140"/>
      <c r="I30" s="140"/>
      <c r="J30" s="140"/>
      <c r="K30" s="140"/>
      <c r="L30" s="140"/>
      <c r="M30" s="140"/>
      <c r="N30" s="140"/>
      <c r="O30" s="140"/>
      <c r="P30" s="140"/>
      <c r="Q30" s="140"/>
    </row>
    <row r="31" spans="1:17" x14ac:dyDescent="0.2">
      <c r="A31" s="140"/>
      <c r="B31" s="140"/>
      <c r="C31" s="140"/>
      <c r="D31" s="140"/>
      <c r="E31" s="342"/>
      <c r="F31" s="140"/>
      <c r="G31" s="140"/>
      <c r="H31" s="140"/>
      <c r="I31" s="140"/>
      <c r="J31" s="140"/>
      <c r="K31" s="140"/>
      <c r="L31" s="140"/>
      <c r="M31" s="140"/>
      <c r="N31" s="140"/>
      <c r="O31" s="140"/>
      <c r="P31" s="140"/>
      <c r="Q31" s="140"/>
    </row>
    <row r="32" spans="1:17" x14ac:dyDescent="0.2">
      <c r="A32" s="140"/>
      <c r="B32" s="140"/>
      <c r="C32" s="140"/>
      <c r="D32" s="140"/>
      <c r="E32" s="342"/>
      <c r="F32" s="140"/>
      <c r="G32" s="140"/>
      <c r="H32" s="140"/>
      <c r="I32" s="140"/>
      <c r="J32" s="140"/>
      <c r="K32" s="140"/>
      <c r="L32" s="140"/>
      <c r="M32" s="140"/>
      <c r="N32" s="140"/>
      <c r="O32" s="140"/>
      <c r="P32" s="140"/>
      <c r="Q32" s="140"/>
    </row>
    <row r="33" spans="1:10" x14ac:dyDescent="0.2">
      <c r="A33" s="140"/>
      <c r="B33" s="140"/>
      <c r="C33" s="140"/>
      <c r="D33" s="140"/>
      <c r="E33" s="342"/>
      <c r="F33" s="140"/>
      <c r="G33" s="140"/>
      <c r="H33" s="140"/>
      <c r="I33" s="140"/>
      <c r="J33" s="140"/>
    </row>
  </sheetData>
  <sheetProtection objects="1" scenarios="1" sheet="1"/>
  <phoneticPr fontId="67" type="noConversion"/>
  <pageMargins bottom="1" footer="0.5" header="0.5" left="0.75" right="0.75" top="1"/>
  <pageSetup orientation="landscape" paperSize="9" r:id="rId1"/>
  <headerFooter alignWithMargins="0"/>
  <drawing r:id="rId2"/>
  <legacyDrawing r:id="rId3"/>
  <mc:AlternateContent>
    <mc:Choice Requires="x14">
      <controls>
        <mc:AlternateContent>
          <mc:Choice Requires="x14">
            <control name="Button 1" r:id="rId4" shapeId="165889">
              <controlPr autoFill="0" autoPict="0" defaultSize="0" macro="[0]!Show_Page_NI">
                <anchor>
                  <from>
                    <xdr:col>8</xdr:col>
                    <xdr:colOff>876300</xdr:colOff>
                    <xdr:row>24</xdr:row>
                    <xdr:rowOff>47625</xdr:rowOff>
                  </from>
                  <to>
                    <xdr:col>9</xdr:col>
                    <xdr:colOff>2286000</xdr:colOff>
                    <xdr:row>28</xdr:row>
                    <xdr:rowOff>95250</xdr:rowOff>
                  </to>
                </anchor>
              </controlPr>
            </control>
          </mc:Choice>
        </mc:AlternateContent>
      </controls>
    </mc:Choice>
  </mc:AlternateContent>
</worksheet>
</file>

<file path=xl/worksheets/sheet41.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xmlns:xr="http://schemas.microsoft.com/office/spreadsheetml/2014/revision" xmlns:xr2="http://schemas.microsoft.com/office/spreadsheetml/2015/revision2" xmlns:xr3="http://schemas.microsoft.com/office/spreadsheetml/2016/revision3" mc:Ignorable="x14ac xr xr2 xr3" xr:uid="{00000000-0001-0000-2800-000000000000}">
  <sheetPr codeName="Sheet16"/>
  <dimension ref="A1:Q41"/>
  <sheetViews>
    <sheetView showGridLines="0" showRowColHeaders="0" topLeftCell="B4" workbookViewId="0">
      <selection activeCell="D12" sqref="D12"/>
    </sheetView>
  </sheetViews>
  <sheetFormatPr defaultColWidth="9.140625" defaultRowHeight="12" x14ac:dyDescent="0.2"/>
  <cols>
    <col min="1" max="1" customWidth="true" hidden="true" style="98" width="6.140625" collapsed="true"/>
    <col min="2" max="2" customWidth="true" style="98" width="15.7109375" collapsed="true"/>
    <col min="3" max="3" customWidth="true" style="125" width="5.85546875" collapsed="true"/>
    <col min="4" max="4" customWidth="true" style="98" width="17.42578125" collapsed="true"/>
    <col min="5" max="5" customWidth="true" style="98" width="27.5703125" collapsed="true"/>
    <col min="6" max="6" customWidth="true" style="98" width="9.85546875" collapsed="true"/>
    <col min="7" max="7" customWidth="true" style="125" width="5.85546875" collapsed="true"/>
    <col min="8" max="8" customWidth="true" style="98" width="17.42578125" collapsed="true"/>
    <col min="9" max="9" customWidth="true" style="98" width="27.5703125" collapsed="true"/>
    <col min="10" max="10" customWidth="true" style="98" width="34.0" collapsed="true"/>
    <col min="11" max="11" customWidth="true" hidden="true" style="98" width="4.140625" collapsed="true"/>
    <col min="12" max="12" customWidth="true" hidden="true" style="98" width="5.7109375" collapsed="true"/>
    <col min="13" max="13" customWidth="true" hidden="true" style="98" width="6.0" collapsed="true"/>
    <col min="14" max="14" customWidth="true" style="98" width="10.7109375" collapsed="true"/>
    <col min="15" max="15" customWidth="true" style="98" width="2.85546875" collapsed="true"/>
    <col min="16" max="16384" style="98" width="9.140625" collapsed="true"/>
  </cols>
  <sheetData>
    <row customHeight="1" ht="12" r="1" spans="1:16" x14ac:dyDescent="0.2">
      <c r="A1" s="98" t="s">
        <v>2076</v>
      </c>
      <c r="B1" s="75"/>
      <c r="C1" s="124"/>
      <c r="D1" s="75"/>
      <c r="E1" s="75"/>
      <c r="F1" s="75"/>
      <c r="G1" s="124"/>
      <c r="H1" s="75"/>
      <c r="I1" s="75"/>
      <c r="J1" s="75"/>
      <c r="K1" s="123"/>
      <c r="L1" s="123"/>
      <c r="M1" s="123"/>
      <c r="N1" s="123"/>
      <c r="O1" s="123"/>
      <c r="P1" s="123"/>
    </row>
    <row customHeight="1" ht="12" r="2" spans="1:16" x14ac:dyDescent="0.2">
      <c r="A2" s="98">
        <v>29</v>
      </c>
      <c r="B2" s="75"/>
      <c r="C2" s="267" t="s">
        <v>2077</v>
      </c>
      <c r="D2" s="224"/>
      <c r="E2" s="420" t="str">
        <f>SSE</f>
        <v>SSE</v>
      </c>
      <c r="F2" s="75"/>
      <c r="G2" s="267" t="s">
        <v>3664</v>
      </c>
      <c r="H2" s="224"/>
      <c r="I2" s="420" t="str">
        <f>FSE</f>
        <v>FSE</v>
      </c>
      <c r="J2" s="75"/>
      <c r="K2" s="123"/>
      <c r="L2" s="123"/>
      <c r="M2" s="123"/>
      <c r="N2" s="123"/>
      <c r="O2" s="123"/>
      <c r="P2" s="123"/>
    </row>
    <row customHeight="1" ht="9" r="3" spans="1:16" x14ac:dyDescent="0.2">
      <c r="A3" s="98">
        <v>31</v>
      </c>
      <c r="B3" s="75"/>
      <c r="C3" s="268"/>
      <c r="D3" s="182"/>
      <c r="E3" s="228"/>
      <c r="F3" s="75"/>
      <c r="G3" s="268"/>
      <c r="H3" s="182"/>
      <c r="I3" s="228"/>
      <c r="J3" s="75"/>
      <c r="K3" s="123"/>
      <c r="L3" s="123"/>
      <c r="M3" s="123"/>
      <c r="N3" s="123"/>
      <c r="O3" s="123"/>
      <c r="P3" s="123"/>
    </row>
    <row customHeight="1" ht="10.5" r="4" spans="1:16" x14ac:dyDescent="0.2">
      <c r="A4" s="98">
        <v>33</v>
      </c>
      <c r="B4" s="75"/>
      <c r="C4" s="347" t="s">
        <v>4404</v>
      </c>
      <c r="D4" s="182"/>
      <c r="E4" s="228"/>
      <c r="F4" s="75"/>
      <c r="G4" s="347" t="s">
        <v>4401</v>
      </c>
      <c r="H4" s="265"/>
      <c r="I4" s="228"/>
      <c r="J4" s="75"/>
      <c r="M4" s="123"/>
      <c r="N4" s="123"/>
      <c r="O4" s="123"/>
      <c r="P4" s="123"/>
    </row>
    <row customHeight="1" ht="12" r="5" spans="1:16" x14ac:dyDescent="0.2">
      <c r="A5" s="98">
        <v>36</v>
      </c>
      <c r="B5" s="75"/>
      <c r="C5" s="249">
        <f>A2</f>
        <v>29</v>
      </c>
      <c r="D5" s="182" t="s">
        <v>4166</v>
      </c>
      <c r="E5" s="228"/>
      <c r="F5" s="75"/>
      <c r="G5" s="1986">
        <f>A10</f>
        <v>54</v>
      </c>
      <c r="H5" s="1984" t="s">
        <v>3700</v>
      </c>
      <c r="I5" s="1985"/>
      <c r="J5" s="75"/>
      <c r="M5" s="123"/>
      <c r="N5" s="123"/>
      <c r="O5" s="123"/>
      <c r="P5" s="123"/>
    </row>
    <row customHeight="1" ht="12" r="6" spans="1:16" x14ac:dyDescent="0.2">
      <c r="A6" s="98">
        <v>37</v>
      </c>
      <c r="B6" s="75"/>
      <c r="C6" s="268"/>
      <c r="D6" s="239"/>
      <c r="E6" s="269"/>
      <c r="F6" s="75"/>
      <c r="G6" s="1987"/>
      <c r="H6" s="1988"/>
      <c r="I6" s="1985"/>
      <c r="J6" s="75"/>
      <c r="K6" s="123"/>
      <c r="L6" s="123"/>
      <c r="M6" s="123"/>
      <c r="N6" s="123"/>
      <c r="O6" s="123"/>
      <c r="P6" s="123"/>
    </row>
    <row customHeight="1" ht="10.5" r="7" spans="1:16" x14ac:dyDescent="0.2">
      <c r="A7" s="98">
        <v>38</v>
      </c>
      <c r="B7" s="75"/>
      <c r="C7" s="347" t="s">
        <v>4405</v>
      </c>
      <c r="D7" s="182"/>
      <c r="E7" s="228"/>
      <c r="F7" s="75"/>
      <c r="G7" s="347" t="s">
        <v>4402</v>
      </c>
      <c r="H7" s="265"/>
      <c r="I7" s="228"/>
      <c r="J7" s="75"/>
      <c r="K7" s="123"/>
      <c r="L7" s="123"/>
      <c r="M7" s="123"/>
      <c r="N7" s="123"/>
      <c r="O7" s="123"/>
      <c r="P7" s="123"/>
    </row>
    <row customHeight="1" ht="12" r="8" spans="1:16" x14ac:dyDescent="0.2">
      <c r="B8" s="75"/>
      <c r="C8" s="249">
        <f>A3</f>
        <v>31</v>
      </c>
      <c r="D8" s="182" t="s">
        <v>2764</v>
      </c>
      <c r="E8" s="228"/>
      <c r="F8" s="75"/>
      <c r="G8" s="272">
        <f>A11</f>
        <v>69</v>
      </c>
      <c r="H8" s="182" t="s">
        <v>3337</v>
      </c>
      <c r="I8" s="228"/>
      <c r="J8" s="75"/>
      <c r="K8" s="123"/>
      <c r="L8" s="123"/>
      <c r="M8" s="123"/>
      <c r="N8" s="123"/>
      <c r="O8" s="123"/>
      <c r="P8" s="123"/>
    </row>
    <row customHeight="1" ht="12" r="9" spans="1:16" x14ac:dyDescent="0.2">
      <c r="A9" s="98" t="s">
        <v>3663</v>
      </c>
      <c r="B9" s="75"/>
      <c r="C9" s="268"/>
      <c r="D9" s="239"/>
      <c r="E9" s="269"/>
      <c r="F9" s="75"/>
      <c r="G9" s="268"/>
      <c r="H9" s="239"/>
      <c r="I9" s="228"/>
      <c r="J9" s="75"/>
      <c r="K9" s="123"/>
      <c r="L9" s="123"/>
      <c r="M9" s="123"/>
      <c r="N9" s="123"/>
      <c r="O9" s="123"/>
      <c r="P9" s="123"/>
    </row>
    <row customHeight="1" ht="10.5" r="10" spans="1:16" x14ac:dyDescent="0.2">
      <c r="A10" s="98">
        <v>54</v>
      </c>
      <c r="B10" s="75"/>
      <c r="C10" s="347" t="s">
        <v>3906</v>
      </c>
      <c r="D10" s="182"/>
      <c r="E10" s="228"/>
      <c r="F10" s="75"/>
      <c r="G10" s="268"/>
      <c r="H10" s="265"/>
      <c r="I10" s="228"/>
      <c r="J10" s="75"/>
      <c r="K10" s="123"/>
      <c r="L10" s="123"/>
      <c r="M10" s="123"/>
      <c r="N10" s="123"/>
      <c r="O10" s="123"/>
      <c r="P10" s="123"/>
    </row>
    <row customHeight="1" ht="12" r="11" spans="1:16" x14ac:dyDescent="0.2">
      <c r="A11" s="98">
        <v>69</v>
      </c>
      <c r="B11" s="75"/>
      <c r="C11" s="249">
        <f>A4</f>
        <v>33</v>
      </c>
      <c r="D11" s="182" t="str">
        <f>"Loss set against "&amp;tax_year&amp;" income"</f>
        <v>Loss set against 2019-20 income</v>
      </c>
      <c r="E11" s="228"/>
      <c r="F11" s="75"/>
      <c r="G11" s="272">
        <f>A13</f>
        <v>74</v>
      </c>
      <c r="H11" s="182" t="s">
        <v>4166</v>
      </c>
      <c r="I11" s="228"/>
      <c r="J11" s="75"/>
      <c r="K11" s="123"/>
      <c r="L11" s="123"/>
      <c r="M11" s="123"/>
      <c r="N11" s="123"/>
      <c r="O11" s="123"/>
      <c r="P11" s="123"/>
    </row>
    <row customHeight="1" ht="12" r="12" spans="1:16" x14ac:dyDescent="0.2">
      <c r="A12" s="98">
        <v>71</v>
      </c>
      <c r="B12" s="75"/>
      <c r="C12" s="268"/>
      <c r="D12" s="239"/>
      <c r="E12" s="269"/>
      <c r="F12" s="75"/>
      <c r="G12" s="268"/>
      <c r="H12" s="239"/>
      <c r="I12" s="228"/>
      <c r="J12" s="75"/>
      <c r="K12" s="123"/>
      <c r="L12" s="123"/>
      <c r="M12" s="123"/>
      <c r="N12" s="123"/>
      <c r="O12" s="123"/>
      <c r="P12" s="123"/>
    </row>
    <row customHeight="1" ht="10.5" r="13" spans="1:16" x14ac:dyDescent="0.2">
      <c r="A13" s="98">
        <v>74</v>
      </c>
      <c r="B13" s="75"/>
      <c r="C13" s="347" t="s">
        <v>4314</v>
      </c>
      <c r="D13" s="182"/>
      <c r="E13" s="269"/>
      <c r="F13" s="75"/>
      <c r="G13" s="268"/>
      <c r="H13" s="265"/>
      <c r="I13" s="228"/>
      <c r="J13" s="75"/>
      <c r="K13" s="123"/>
      <c r="L13" s="123"/>
      <c r="M13" s="123"/>
      <c r="N13" s="123"/>
      <c r="O13" s="123"/>
      <c r="P13" s="123"/>
    </row>
    <row customHeight="1" ht="12" r="14" spans="1:16" x14ac:dyDescent="0.2">
      <c r="A14" s="98">
        <v>76</v>
      </c>
      <c r="B14" s="75"/>
      <c r="C14" s="249">
        <f>A5</f>
        <v>36</v>
      </c>
      <c r="D14" s="182" t="s">
        <v>4209</v>
      </c>
      <c r="E14" s="228"/>
      <c r="F14" s="75"/>
      <c r="G14" s="249">
        <f>A14</f>
        <v>76</v>
      </c>
      <c r="H14" s="182" t="s">
        <v>2764</v>
      </c>
      <c r="I14" s="228"/>
      <c r="J14" s="75"/>
      <c r="K14" s="123"/>
      <c r="L14" s="123"/>
      <c r="M14" s="123"/>
      <c r="N14" s="123"/>
      <c r="O14" s="123"/>
      <c r="P14" s="123"/>
    </row>
    <row customHeight="1" ht="12" r="15" spans="1:16" x14ac:dyDescent="0.2">
      <c r="A15" s="98">
        <v>78</v>
      </c>
      <c r="B15" s="75"/>
      <c r="C15" s="268"/>
      <c r="D15" s="182"/>
      <c r="E15" s="228"/>
      <c r="F15" s="75"/>
      <c r="G15" s="268"/>
      <c r="H15" s="239">
        <v>14190</v>
      </c>
      <c r="I15" s="228"/>
      <c r="J15" s="75"/>
      <c r="K15" s="123"/>
      <c r="L15" s="123"/>
      <c r="M15" s="123"/>
      <c r="N15" s="123"/>
      <c r="O15" s="123"/>
      <c r="P15" s="123"/>
    </row>
    <row customHeight="1" ht="10.5" r="16" spans="1:16" x14ac:dyDescent="0.2">
      <c r="A16" s="98">
        <v>81</v>
      </c>
      <c r="B16" s="75"/>
      <c r="C16" s="268"/>
      <c r="D16" s="182"/>
      <c r="E16" s="228"/>
      <c r="F16" s="75"/>
      <c r="G16" s="347" t="s">
        <v>3906</v>
      </c>
      <c r="H16" s="266"/>
      <c r="I16" s="228"/>
      <c r="J16" s="75"/>
      <c r="K16" s="123"/>
      <c r="L16" s="123"/>
      <c r="M16" s="123"/>
      <c r="N16" s="123"/>
      <c r="O16" s="123"/>
      <c r="P16" s="123"/>
    </row>
    <row customHeight="1" ht="12" r="17" spans="1:16" x14ac:dyDescent="0.2">
      <c r="A17" s="98">
        <v>82</v>
      </c>
      <c r="B17" s="75"/>
      <c r="C17" s="249">
        <f>A6</f>
        <v>37</v>
      </c>
      <c r="D17" s="182"/>
      <c r="E17" s="228"/>
      <c r="F17" s="75"/>
      <c r="G17" s="249">
        <f>A15</f>
        <v>78</v>
      </c>
      <c r="H17" s="182" t="str">
        <f>"Loss set against "&amp;tax_year&amp;" income"</f>
        <v>Loss set against 2019-20 income</v>
      </c>
      <c r="I17" s="228"/>
      <c r="J17" s="75"/>
      <c r="K17" s="123"/>
      <c r="L17" s="123"/>
      <c r="M17" s="123"/>
      <c r="N17" s="123"/>
      <c r="O17" s="123"/>
      <c r="P17" s="123"/>
    </row>
    <row customHeight="1" ht="12" r="18" spans="1:16" x14ac:dyDescent="0.2">
      <c r="A18" s="98">
        <v>100</v>
      </c>
      <c r="B18" s="75"/>
      <c r="C18" s="268"/>
      <c r="D18" s="182"/>
      <c r="E18" s="228"/>
      <c r="F18" s="75"/>
      <c r="G18" s="268"/>
      <c r="H18" s="239"/>
      <c r="I18" s="228"/>
      <c r="J18" s="75"/>
      <c r="K18" s="123"/>
      <c r="L18" s="986" t="s">
        <v>2076</v>
      </c>
      <c r="M18" s="987" t="s">
        <v>3663</v>
      </c>
      <c r="N18" s="123"/>
      <c r="O18" s="123"/>
      <c r="P18" s="123"/>
    </row>
    <row customHeight="1" ht="10.5" r="19" spans="1:16" x14ac:dyDescent="0.2">
      <c r="A19" s="98">
        <v>101</v>
      </c>
      <c r="B19" s="75"/>
      <c r="C19" s="347" t="s">
        <v>4406</v>
      </c>
      <c r="D19" s="182"/>
      <c r="E19" s="228"/>
      <c r="F19" s="75"/>
      <c r="G19" s="347" t="s">
        <v>4403</v>
      </c>
      <c r="H19" s="266"/>
      <c r="I19" s="228"/>
      <c r="J19" s="75"/>
      <c r="N19" s="123"/>
      <c r="O19" s="123"/>
      <c r="P19" s="123"/>
    </row>
    <row customHeight="1" ht="12" r="20" spans="1:16" x14ac:dyDescent="0.2">
      <c r="A20" s="98">
        <v>102</v>
      </c>
      <c r="B20" s="75"/>
      <c r="C20" s="249">
        <f>A7</f>
        <v>38</v>
      </c>
      <c r="D20" s="182" t="s">
        <v>2645</v>
      </c>
      <c r="E20" s="228"/>
      <c r="F20" s="75"/>
      <c r="G20" s="249">
        <f>A16</f>
        <v>81</v>
      </c>
      <c r="H20" s="182" t="s">
        <v>2645</v>
      </c>
      <c r="I20" s="228"/>
      <c r="J20" s="75"/>
      <c r="K20" s="987" t="s">
        <v>4562</v>
      </c>
      <c r="L20" s="264" t="b">
        <v>0</v>
      </c>
      <c r="M20" s="264" t="b">
        <v>0</v>
      </c>
      <c r="N20" s="123"/>
      <c r="O20" s="123"/>
      <c r="P20" s="123"/>
    </row>
    <row customHeight="1" ht="12" r="21" spans="1:16" x14ac:dyDescent="0.2">
      <c r="B21" s="75"/>
      <c r="C21" s="268"/>
      <c r="D21" s="843"/>
      <c r="E21" s="228"/>
      <c r="F21" s="75"/>
      <c r="G21" s="268"/>
      <c r="H21" s="185"/>
      <c r="I21" s="228"/>
      <c r="J21" s="75"/>
      <c r="K21" s="986" t="s">
        <v>4286</v>
      </c>
      <c r="L21" s="264" t="b">
        <v>0</v>
      </c>
      <c r="M21" s="264" t="b">
        <v>0</v>
      </c>
      <c r="N21" s="123"/>
      <c r="O21" s="123"/>
      <c r="P21" s="123"/>
    </row>
    <row customHeight="1" ht="10.5" r="22" spans="1:16" x14ac:dyDescent="0.2">
      <c r="B22" s="75"/>
      <c r="C22" s="270"/>
      <c r="D22" s="271"/>
      <c r="E22" s="232"/>
      <c r="F22" s="75"/>
      <c r="G22" s="347"/>
      <c r="H22" s="221"/>
      <c r="I22" s="228"/>
      <c r="J22" s="75"/>
      <c r="K22" s="264"/>
      <c r="L22" s="264"/>
      <c r="M22" s="123"/>
      <c r="N22" s="123"/>
      <c r="O22" s="123"/>
      <c r="P22" s="123"/>
    </row>
    <row r="23" spans="1:16" x14ac:dyDescent="0.2">
      <c r="B23" s="1000"/>
      <c r="C23" s="1050"/>
      <c r="D23" s="1000"/>
      <c r="E23" s="1000"/>
      <c r="F23" s="75"/>
      <c r="G23" s="249">
        <f>A17</f>
        <v>82</v>
      </c>
      <c r="H23" s="182" t="s">
        <v>4549</v>
      </c>
      <c r="I23" s="228"/>
      <c r="J23" s="75"/>
      <c r="K23" s="123"/>
      <c r="L23" s="123"/>
      <c r="M23" s="123"/>
      <c r="N23" s="123"/>
      <c r="O23" s="123"/>
    </row>
    <row r="24" spans="1:16" x14ac:dyDescent="0.2">
      <c r="B24" s="1000"/>
      <c r="C24" s="1050"/>
      <c r="D24" s="1000"/>
      <c r="E24" s="1000"/>
      <c r="F24" s="75"/>
      <c r="G24" s="268"/>
      <c r="H24" s="843"/>
      <c r="I24" s="228"/>
      <c r="J24" s="75"/>
      <c r="K24" s="123"/>
      <c r="L24" s="123"/>
      <c r="M24" s="123"/>
      <c r="N24" s="123"/>
      <c r="O24" s="123"/>
    </row>
    <row customHeight="1" ht="10.5" r="25" spans="1:16" x14ac:dyDescent="0.2">
      <c r="B25" s="1000"/>
      <c r="C25" s="1050"/>
      <c r="D25" s="1000"/>
      <c r="E25" s="1000"/>
      <c r="F25" s="75"/>
      <c r="G25" s="347" t="s">
        <v>4314</v>
      </c>
      <c r="H25" s="182"/>
      <c r="I25" s="228"/>
      <c r="J25" s="75"/>
      <c r="K25" s="123"/>
      <c r="L25" s="123"/>
      <c r="M25" s="123"/>
      <c r="N25" s="123"/>
      <c r="O25" s="123"/>
    </row>
    <row r="26" spans="1:16" x14ac:dyDescent="0.2">
      <c r="B26" s="75"/>
      <c r="C26" s="124"/>
      <c r="D26" s="75"/>
      <c r="E26" s="75"/>
      <c r="F26" s="75"/>
      <c r="G26" s="249">
        <f>A18</f>
        <v>100</v>
      </c>
      <c r="H26" s="182" t="s">
        <v>4209</v>
      </c>
      <c r="I26" s="228"/>
      <c r="J26" s="75"/>
      <c r="K26" s="123"/>
      <c r="L26" s="123"/>
      <c r="M26" s="123"/>
      <c r="N26" s="123"/>
      <c r="O26" s="123"/>
    </row>
    <row r="27" spans="1:16" x14ac:dyDescent="0.2">
      <c r="B27" s="75"/>
      <c r="C27" s="124"/>
      <c r="D27" s="75"/>
      <c r="E27" s="75"/>
      <c r="F27" s="75"/>
      <c r="G27" s="268"/>
      <c r="H27" s="182"/>
      <c r="I27" s="228"/>
      <c r="J27" s="75"/>
      <c r="K27" s="123"/>
      <c r="L27" s="123"/>
      <c r="M27" s="123"/>
      <c r="N27" s="123"/>
      <c r="O27" s="123"/>
    </row>
    <row customHeight="1" ht="9" r="28" spans="1:16" x14ac:dyDescent="0.2">
      <c r="B28" s="75"/>
      <c r="C28" s="124"/>
      <c r="D28" s="75"/>
      <c r="E28" s="75"/>
      <c r="F28" s="75"/>
      <c r="G28" s="268"/>
      <c r="H28" s="182"/>
      <c r="I28" s="228"/>
      <c r="J28" s="75"/>
      <c r="K28" s="123"/>
      <c r="L28" s="123"/>
      <c r="M28" s="123"/>
      <c r="N28" s="123"/>
      <c r="O28" s="123"/>
    </row>
    <row r="29" spans="1:16" x14ac:dyDescent="0.2">
      <c r="B29" s="75"/>
      <c r="C29" s="124"/>
      <c r="D29" s="75"/>
      <c r="E29" s="75"/>
      <c r="F29" s="75"/>
      <c r="G29" s="249">
        <f>A19</f>
        <v>101</v>
      </c>
      <c r="H29" s="182"/>
      <c r="I29" s="228"/>
      <c r="J29" s="75"/>
      <c r="K29" s="123"/>
      <c r="L29" s="123"/>
      <c r="M29" s="123"/>
      <c r="N29" s="123"/>
      <c r="O29" s="123"/>
    </row>
    <row r="30" spans="1:16" x14ac:dyDescent="0.2">
      <c r="B30" s="75"/>
      <c r="C30" s="124"/>
      <c r="D30" s="75"/>
      <c r="E30" s="75"/>
      <c r="F30" s="75"/>
      <c r="G30" s="268"/>
      <c r="H30" s="182"/>
      <c r="I30" s="228"/>
      <c r="J30" s="75"/>
    </row>
    <row customHeight="1" ht="9" r="31" spans="1:16" x14ac:dyDescent="0.2">
      <c r="B31" s="75"/>
      <c r="C31" s="124"/>
      <c r="D31" s="75"/>
      <c r="E31" s="75"/>
      <c r="F31" s="75"/>
      <c r="G31" s="268"/>
      <c r="H31" s="182"/>
      <c r="I31" s="228"/>
      <c r="J31" s="75"/>
    </row>
    <row r="32" spans="1:16" x14ac:dyDescent="0.2">
      <c r="B32" s="75"/>
      <c r="C32" s="124"/>
      <c r="D32" s="75"/>
      <c r="E32" s="75"/>
      <c r="F32" s="75"/>
      <c r="G32" s="272">
        <f>A20</f>
        <v>102</v>
      </c>
      <c r="H32" s="182" t="s">
        <v>1067</v>
      </c>
      <c r="I32" s="228"/>
      <c r="J32" s="75"/>
    </row>
    <row r="33" spans="2:10" x14ac:dyDescent="0.2">
      <c r="B33" s="75"/>
      <c r="C33" s="124"/>
      <c r="D33" s="75"/>
      <c r="E33" s="75"/>
      <c r="F33" s="75"/>
      <c r="G33" s="268"/>
      <c r="H33" s="843"/>
      <c r="I33" s="228"/>
      <c r="J33" s="75"/>
    </row>
    <row customHeight="1" ht="9" r="34" spans="2:10" x14ac:dyDescent="0.2">
      <c r="B34" s="75"/>
      <c r="C34" s="124"/>
      <c r="D34" s="75"/>
      <c r="E34" s="75"/>
      <c r="F34" s="75"/>
      <c r="G34" s="270"/>
      <c r="H34" s="231"/>
      <c r="I34" s="232"/>
      <c r="J34" s="75"/>
    </row>
    <row r="35" spans="2:10" x14ac:dyDescent="0.2">
      <c r="B35" s="75"/>
      <c r="C35" s="124"/>
      <c r="D35" s="75"/>
      <c r="E35" s="75"/>
      <c r="F35" s="75"/>
      <c r="G35" s="1050"/>
      <c r="H35" s="1000"/>
      <c r="I35" s="1000"/>
      <c r="J35" s="75"/>
    </row>
    <row r="36" spans="2:10" x14ac:dyDescent="0.2">
      <c r="B36" s="75"/>
      <c r="C36" s="124"/>
      <c r="D36" s="75"/>
      <c r="E36" s="75"/>
      <c r="F36" s="75"/>
      <c r="G36" s="1050"/>
      <c r="H36" s="1000"/>
      <c r="I36" s="1000"/>
      <c r="J36" s="75"/>
    </row>
    <row customHeight="1" ht="9" r="37" spans="2:10" x14ac:dyDescent="0.2">
      <c r="B37" s="75"/>
      <c r="C37" s="124"/>
      <c r="D37" s="75"/>
      <c r="E37" s="75"/>
      <c r="F37" s="75"/>
      <c r="G37" s="1050"/>
      <c r="H37" s="1000"/>
      <c r="I37" s="1000"/>
      <c r="J37" s="75"/>
    </row>
    <row r="38" spans="2:10" x14ac:dyDescent="0.2">
      <c r="B38" s="75"/>
      <c r="C38" s="124"/>
      <c r="D38" s="75"/>
      <c r="E38" s="75"/>
      <c r="F38" s="75"/>
      <c r="G38" s="124"/>
      <c r="H38" s="75"/>
      <c r="I38" s="75"/>
      <c r="J38" s="75"/>
    </row>
    <row r="39" spans="2:10" x14ac:dyDescent="0.2">
      <c r="B39" s="75"/>
      <c r="C39" s="124"/>
      <c r="D39" s="75"/>
      <c r="E39" s="75"/>
      <c r="F39" s="75"/>
      <c r="G39" s="124"/>
      <c r="H39" s="75"/>
      <c r="I39" s="75"/>
      <c r="J39" s="75"/>
    </row>
    <row r="40" spans="2:10" x14ac:dyDescent="0.2">
      <c r="B40" s="1000"/>
      <c r="C40" s="1050"/>
      <c r="D40" s="1000"/>
      <c r="E40" s="1000"/>
      <c r="F40" s="1000"/>
      <c r="G40" s="1050"/>
      <c r="H40" s="1000"/>
      <c r="I40" s="1000"/>
      <c r="J40" s="1000"/>
    </row>
    <row r="41" spans="2:10" x14ac:dyDescent="0.2">
      <c r="B41" s="1000"/>
      <c r="C41" s="1050"/>
      <c r="D41" s="1000"/>
      <c r="E41" s="1000"/>
      <c r="F41" s="1000"/>
      <c r="G41" s="1050"/>
      <c r="H41" s="1000"/>
      <c r="I41" s="1000"/>
      <c r="J41" s="1000"/>
    </row>
  </sheetData>
  <sheetProtection objects="1" scenarios="1" sheet="1"/>
  <phoneticPr fontId="67" type="noConversion"/>
  <pageMargins bottom="0.98425196850393704" footer="0.51181102362204722" header="0.51181102362204722" left="0.74803149606299213" right="0.74803149606299213" top="0.98425196850393704"/>
  <pageSetup orientation="landscape" paperSize="9" r:id="rId1"/>
  <headerFooter alignWithMargins="0"/>
  <drawing r:id="rId2"/>
  <legacyDrawing r:id="rId3"/>
  <mc:AlternateContent>
    <mc:Choice Requires="x14">
      <controls>
        <mc:AlternateContent>
          <mc:Choice Requires="x14">
            <control name="Check Box 1" r:id="rId4" shapeId="7169">
              <controlPr autoFill="0" autoLine="0" autoPict="0" defaultSize="0">
                <anchor moveWithCells="1">
                  <from>
                    <xdr:col>6</xdr:col>
                    <xdr:colOff>342900</xdr:colOff>
                    <xdr:row>28</xdr:row>
                    <xdr:rowOff>104775</xdr:rowOff>
                  </from>
                  <to>
                    <xdr:col>7</xdr:col>
                    <xdr:colOff>257175</xdr:colOff>
                    <xdr:row>30</xdr:row>
                    <xdr:rowOff>19050</xdr:rowOff>
                  </to>
                </anchor>
              </controlPr>
            </control>
          </mc:Choice>
        </mc:AlternateContent>
        <mc:AlternateContent>
          <mc:Choice Requires="x14">
            <control name="Check Box 2" r:id="rId5" shapeId="7170">
              <controlPr autoFill="0" autoLine="0" autoPict="0" defaultSize="0">
                <anchor moveWithCells="1">
                  <from>
                    <xdr:col>2</xdr:col>
                    <xdr:colOff>323850</xdr:colOff>
                    <xdr:row>16</xdr:row>
                    <xdr:rowOff>95250</xdr:rowOff>
                  </from>
                  <to>
                    <xdr:col>3</xdr:col>
                    <xdr:colOff>238125</xdr:colOff>
                    <xdr:row>18</xdr:row>
                    <xdr:rowOff>9525</xdr:rowOff>
                  </to>
                </anchor>
              </controlPr>
            </control>
          </mc:Choice>
        </mc:AlternateContent>
        <mc:AlternateContent>
          <mc:Choice Requires="x14">
            <control name="Check Box 5" r:id="rId6" shapeId="7173">
              <controlPr autoFill="0" autoLine="0" autoPict="0" defaultSize="0">
                <anchor moveWithCells="1">
                  <from>
                    <xdr:col>2</xdr:col>
                    <xdr:colOff>314325</xdr:colOff>
                    <xdr:row>13</xdr:row>
                    <xdr:rowOff>95250</xdr:rowOff>
                  </from>
                  <to>
                    <xdr:col>3</xdr:col>
                    <xdr:colOff>228600</xdr:colOff>
                    <xdr:row>15</xdr:row>
                    <xdr:rowOff>9525</xdr:rowOff>
                  </to>
                </anchor>
              </controlPr>
            </control>
          </mc:Choice>
        </mc:AlternateContent>
        <mc:AlternateContent>
          <mc:Choice Requires="x14">
            <control name="Button 10" r:id="rId7" shapeId="7178">
              <controlPr autoFill="0" autoPict="0" defaultSize="0" macro="[0]!Show_Page_NI">
                <anchor>
                  <from>
                    <xdr:col>8</xdr:col>
                    <xdr:colOff>1619250</xdr:colOff>
                    <xdr:row>35</xdr:row>
                    <xdr:rowOff>0</xdr:rowOff>
                  </from>
                  <to>
                    <xdr:col>9</xdr:col>
                    <xdr:colOff>2219325</xdr:colOff>
                    <xdr:row>39</xdr:row>
                    <xdr:rowOff>85725</xdr:rowOff>
                  </to>
                </anchor>
              </controlPr>
            </control>
          </mc:Choice>
        </mc:AlternateContent>
        <mc:AlternateContent>
          <mc:Choice Requires="x14">
            <control name="Check Box 11" r:id="rId8" shapeId="2">
              <controlPr autoFill="0" autoLine="0" autoPict="0" defaultSize="0">
                <anchor moveWithCells="1">
                  <from>
                    <xdr:col>6</xdr:col>
                    <xdr:colOff>342900</xdr:colOff>
                    <xdr:row>25</xdr:row>
                    <xdr:rowOff>104775</xdr:rowOff>
                  </from>
                  <to>
                    <xdr:col>7</xdr:col>
                    <xdr:colOff>257175</xdr:colOff>
                    <xdr:row>27</xdr:row>
                    <xdr:rowOff>19050</xdr:rowOff>
                  </to>
                </anchor>
              </controlPr>
            </control>
          </mc:Choice>
        </mc:AlternateContent>
      </controls>
    </mc:Choice>
  </mc:AlternateContent>
</worksheet>
</file>

<file path=xl/worksheets/sheet42.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xmlns:xr="http://schemas.microsoft.com/office/spreadsheetml/2014/revision" xmlns:xr2="http://schemas.microsoft.com/office/spreadsheetml/2015/revision2" xmlns:xr3="http://schemas.microsoft.com/office/spreadsheetml/2016/revision3" mc:Ignorable="x14ac xr xr2 xr3" xr:uid="{00000000-0001-0000-2900-000000000000}">
  <sheetPr codeName="Sheet18"/>
  <dimension ref="A1:S35"/>
  <sheetViews>
    <sheetView showGridLines="0" topLeftCell="B1" workbookViewId="0">
      <selection activeCell="I28" sqref="I28"/>
    </sheetView>
  </sheetViews>
  <sheetFormatPr defaultColWidth="9.140625" defaultRowHeight="12" x14ac:dyDescent="0.2"/>
  <cols>
    <col min="1" max="1" customWidth="true" hidden="true" style="98" width="7.42578125" collapsed="true"/>
    <col min="2" max="2" customWidth="true" style="98" width="5.5703125" collapsed="true"/>
    <col min="3" max="3" customWidth="true" style="98" width="5.140625" collapsed="true"/>
    <col min="4" max="4" customWidth="true" style="98" width="13.7109375" collapsed="true"/>
    <col min="5" max="5" customWidth="true" style="98" width="30.140625" collapsed="true"/>
    <col min="6" max="6" customWidth="true" style="98" width="2.0" collapsed="true"/>
    <col min="7" max="7" customWidth="true" style="98" width="5.85546875" collapsed="true"/>
    <col min="8" max="8" customWidth="true" style="98" width="13.7109375" collapsed="true"/>
    <col min="9" max="9" customWidth="true" style="98" width="30.140625" collapsed="true"/>
    <col min="10" max="10" customWidth="true" style="98" width="2.28515625" collapsed="true"/>
    <col min="11" max="11" customWidth="true" style="98" width="6.140625" collapsed="true"/>
    <col min="12" max="12" customWidth="true" style="98" width="13.7109375" collapsed="true"/>
    <col min="13" max="13" customWidth="true" style="98" width="31.85546875" collapsed="true"/>
    <col min="14" max="14" customWidth="true" style="98" width="26.28515625" collapsed="true"/>
    <col min="15" max="15" customWidth="true" hidden="true" style="98" width="16.42578125" collapsed="true"/>
    <col min="16" max="16" customWidth="true" hidden="true" style="98" width="11.140625" collapsed="true"/>
    <col min="17" max="16384" style="98" width="9.140625" collapsed="true"/>
  </cols>
  <sheetData>
    <row customHeight="1" ht="12.75" r="1" spans="1:17" x14ac:dyDescent="0.2">
      <c r="A1" s="98" t="s">
        <v>3665</v>
      </c>
      <c r="B1" s="75"/>
      <c r="C1" s="63"/>
      <c r="D1" s="63"/>
      <c r="E1" s="63"/>
      <c r="F1" s="63"/>
      <c r="G1" s="63"/>
      <c r="H1" s="63"/>
      <c r="I1" s="75"/>
      <c r="J1" s="75"/>
      <c r="K1" s="75"/>
      <c r="L1" s="75"/>
      <c r="M1" s="75"/>
      <c r="N1" s="75"/>
      <c r="O1" s="123"/>
      <c r="P1" s="123"/>
      <c r="Q1" s="123"/>
    </row>
    <row customHeight="1" ht="12.75" r="2" spans="1:17" x14ac:dyDescent="0.2">
      <c r="B2" s="63"/>
      <c r="C2" s="273" t="s">
        <v>578</v>
      </c>
      <c r="D2" s="224"/>
      <c r="E2" s="420" t="s">
        <v>3665</v>
      </c>
      <c r="F2" s="63"/>
      <c r="G2" s="277"/>
      <c r="H2" s="224"/>
      <c r="I2" s="420" t="s">
        <v>3665</v>
      </c>
      <c r="J2" s="75"/>
      <c r="K2" s="277"/>
      <c r="L2" s="224"/>
      <c r="M2" s="420" t="s">
        <v>3665</v>
      </c>
      <c r="N2" s="75"/>
      <c r="O2" s="123"/>
      <c r="P2" s="123"/>
      <c r="Q2" s="123"/>
    </row>
    <row customHeight="1" ht="12.75" r="3" spans="1:17" x14ac:dyDescent="0.2">
      <c r="B3" s="1002" t="s">
        <v>2181</v>
      </c>
      <c r="C3" s="347" t="s">
        <v>4332</v>
      </c>
      <c r="D3" s="182"/>
      <c r="E3" s="228"/>
      <c r="F3" s="63"/>
      <c r="G3" s="347" t="s">
        <v>4333</v>
      </c>
      <c r="H3" s="221"/>
      <c r="I3" s="269"/>
      <c r="J3" s="75"/>
      <c r="K3" s="347" t="s">
        <v>4334</v>
      </c>
      <c r="L3" s="182"/>
      <c r="M3" s="228"/>
      <c r="N3" s="75"/>
      <c r="O3" s="123"/>
      <c r="P3" s="123"/>
      <c r="Q3" s="123"/>
    </row>
    <row customHeight="1" ht="12.75" r="4" spans="1:17" x14ac:dyDescent="0.2">
      <c r="A4" s="98">
        <v>4</v>
      </c>
      <c r="B4" s="1002" t="s">
        <v>2182</v>
      </c>
      <c r="C4" s="249">
        <f>A4</f>
        <v>4</v>
      </c>
      <c r="D4" s="182" t="s">
        <v>1379</v>
      </c>
      <c r="E4" s="228"/>
      <c r="F4" s="63"/>
      <c r="G4" s="249">
        <f>A14</f>
        <v>14</v>
      </c>
      <c r="H4" s="182" t="s">
        <v>1380</v>
      </c>
      <c r="I4" s="269"/>
      <c r="J4" s="75"/>
      <c r="K4" s="249">
        <f>A21</f>
        <v>51</v>
      </c>
      <c r="L4" s="182" t="s">
        <v>4310</v>
      </c>
      <c r="M4" s="228"/>
      <c r="N4" s="75"/>
      <c r="O4" s="123"/>
      <c r="P4" s="123"/>
      <c r="Q4" s="123"/>
    </row>
    <row customHeight="1" ht="12.75" r="5" spans="1:17" x14ac:dyDescent="0.2">
      <c r="B5" s="1002" t="s">
        <v>2183</v>
      </c>
      <c r="C5" s="274"/>
      <c r="D5" s="185"/>
      <c r="E5" s="228"/>
      <c r="F5" s="63"/>
      <c r="G5" s="227"/>
      <c r="H5" s="185"/>
      <c r="I5" s="269"/>
      <c r="J5" s="75"/>
      <c r="K5" s="274"/>
      <c r="L5" s="239"/>
      <c r="M5" s="228"/>
      <c r="N5" s="75"/>
      <c r="O5" s="123"/>
      <c r="P5" s="123"/>
      <c r="Q5" s="123"/>
    </row>
    <row customHeight="1" ht="12.75" r="6" spans="1:17" x14ac:dyDescent="0.2">
      <c r="A6" s="98">
        <v>6</v>
      </c>
      <c r="B6" s="1002" t="s">
        <v>2184</v>
      </c>
      <c r="C6" s="347" t="s">
        <v>2996</v>
      </c>
      <c r="D6" s="182"/>
      <c r="E6" s="228"/>
      <c r="F6" s="63"/>
      <c r="G6" s="227"/>
      <c r="H6" s="221"/>
      <c r="I6" s="269"/>
      <c r="J6" s="75"/>
      <c r="K6" s="227"/>
      <c r="L6" s="182"/>
      <c r="M6" s="228"/>
      <c r="N6" s="75"/>
      <c r="O6" s="123"/>
      <c r="P6" s="123"/>
      <c r="Q6" s="123"/>
    </row>
    <row customHeight="1" ht="12.75" r="7" spans="1:17" x14ac:dyDescent="0.2">
      <c r="A7" s="98">
        <v>7</v>
      </c>
      <c r="B7" s="1002" t="s">
        <v>2192</v>
      </c>
      <c r="C7" s="249">
        <f>A6</f>
        <v>6</v>
      </c>
      <c r="D7" s="182" t="s">
        <v>579</v>
      </c>
      <c r="E7" s="228"/>
      <c r="F7" s="63"/>
      <c r="G7" s="249">
        <f>A15</f>
        <v>15</v>
      </c>
      <c r="H7" s="265" t="s">
        <v>1839</v>
      </c>
      <c r="I7" s="269"/>
      <c r="J7" s="75"/>
      <c r="K7" s="249">
        <f>A22</f>
        <v>52</v>
      </c>
      <c r="L7" s="182" t="s">
        <v>2764</v>
      </c>
      <c r="M7" s="228"/>
      <c r="N7" s="75"/>
      <c r="O7" s="123"/>
      <c r="P7" s="123"/>
      <c r="Q7" s="123"/>
    </row>
    <row customHeight="1" ht="12.75" r="8" spans="1:17" x14ac:dyDescent="0.2">
      <c r="A8" s="98">
        <v>8</v>
      </c>
      <c r="B8" s="1002"/>
      <c r="C8" s="227"/>
      <c r="D8" s="239"/>
      <c r="E8" s="228"/>
      <c r="F8" s="63"/>
      <c r="G8" s="227"/>
      <c r="H8" s="185"/>
      <c r="I8" s="269"/>
      <c r="J8" s="75"/>
      <c r="K8" s="274"/>
      <c r="L8" s="239"/>
      <c r="M8" s="228"/>
      <c r="N8" s="75"/>
      <c r="O8" s="123"/>
      <c r="P8" s="123"/>
      <c r="Q8" s="123"/>
    </row>
    <row customHeight="1" ht="12.75" r="9" spans="1:17" x14ac:dyDescent="0.2">
      <c r="A9" s="98">
        <v>9</v>
      </c>
      <c r="B9" s="1002" t="s">
        <v>665</v>
      </c>
      <c r="C9" s="227"/>
      <c r="D9" s="182"/>
      <c r="E9" s="228"/>
      <c r="F9" s="63"/>
      <c r="G9" s="227"/>
      <c r="H9" s="221"/>
      <c r="I9" s="269"/>
      <c r="J9" s="75"/>
      <c r="K9" s="227"/>
      <c r="L9" s="182"/>
      <c r="M9" s="228"/>
      <c r="N9" s="75"/>
      <c r="O9" s="123"/>
      <c r="P9" s="123"/>
      <c r="Q9" s="123"/>
    </row>
    <row customHeight="1" ht="12.75" r="10" spans="1:17" x14ac:dyDescent="0.2">
      <c r="A10" s="98">
        <v>10</v>
      </c>
      <c r="B10" s="1002" t="s">
        <v>2783</v>
      </c>
      <c r="C10" s="1989">
        <f>A7</f>
        <v>7</v>
      </c>
      <c r="D10" s="1982" t="s">
        <v>2640</v>
      </c>
      <c r="E10" s="1983"/>
      <c r="F10" s="63"/>
      <c r="G10" s="249">
        <f>A16</f>
        <v>16</v>
      </c>
      <c r="H10" s="182" t="s">
        <v>1342</v>
      </c>
      <c r="I10" s="269"/>
      <c r="J10" s="75"/>
      <c r="K10" s="249">
        <f>A23</f>
        <v>56</v>
      </c>
      <c r="L10" s="182" t="str">
        <f>"Loss set against "&amp;tax_year&amp;" income"</f>
        <v>Loss set against 2019-20 income</v>
      </c>
      <c r="M10" s="228"/>
      <c r="N10" s="75"/>
      <c r="O10" s="123"/>
      <c r="P10" s="123"/>
      <c r="Q10" s="123"/>
    </row>
    <row customHeight="1" ht="12.75" r="11" spans="1:17" x14ac:dyDescent="0.2">
      <c r="B11" s="1002" t="s">
        <v>662</v>
      </c>
      <c r="C11" s="1990"/>
      <c r="D11" s="1991"/>
      <c r="E11" s="1992"/>
      <c r="F11" s="63"/>
      <c r="G11" s="227"/>
      <c r="H11" s="185"/>
      <c r="I11" s="269"/>
      <c r="J11" s="75"/>
      <c r="K11" s="227"/>
      <c r="L11" s="223"/>
      <c r="M11" s="228"/>
      <c r="N11" s="75"/>
      <c r="O11" s="123"/>
      <c r="P11" s="123"/>
      <c r="Q11" s="123"/>
    </row>
    <row customHeight="1" ht="12.75" r="12" spans="1:17" x14ac:dyDescent="0.2">
      <c r="B12" s="1002" t="s">
        <v>666</v>
      </c>
      <c r="C12" s="227"/>
      <c r="D12" s="182"/>
      <c r="E12" s="228"/>
      <c r="F12" s="63"/>
      <c r="G12" s="227"/>
      <c r="H12" s="221"/>
      <c r="I12" s="269"/>
      <c r="J12" s="75"/>
      <c r="K12" s="347" t="s">
        <v>4335</v>
      </c>
      <c r="L12" s="182"/>
      <c r="M12" s="228"/>
      <c r="N12" s="75"/>
      <c r="O12" s="123"/>
      <c r="P12" s="123"/>
      <c r="Q12" s="123"/>
    </row>
    <row customHeight="1" ht="12.75" r="13" spans="1:17" x14ac:dyDescent="0.2">
      <c r="B13" s="1002" t="s">
        <v>1880</v>
      </c>
      <c r="C13" s="249">
        <f>A8</f>
        <v>8</v>
      </c>
      <c r="D13" s="1284" t="s">
        <v>5770</v>
      </c>
      <c r="E13" s="1395"/>
      <c r="F13" s="63"/>
      <c r="G13" s="249">
        <f>A17</f>
        <v>17</v>
      </c>
      <c r="H13" s="182" t="s">
        <v>2761</v>
      </c>
      <c r="I13" s="269"/>
      <c r="J13" s="75"/>
      <c r="K13" s="249">
        <f>A24</f>
        <v>63</v>
      </c>
      <c r="L13" s="182" t="s">
        <v>4209</v>
      </c>
      <c r="M13" s="228"/>
      <c r="N13" s="75"/>
      <c r="O13" s="123"/>
      <c r="P13" s="123"/>
      <c r="Q13" s="123"/>
    </row>
    <row customHeight="1" ht="12.75" r="14" spans="1:17" x14ac:dyDescent="0.2">
      <c r="A14" s="98">
        <v>14</v>
      </c>
      <c r="B14" s="1002"/>
      <c r="C14" s="227"/>
      <c r="D14" s="239"/>
      <c r="E14" s="228"/>
      <c r="F14" s="63"/>
      <c r="G14" s="227"/>
      <c r="H14" s="185"/>
      <c r="I14" s="269"/>
      <c r="J14" s="75"/>
      <c r="K14" s="227"/>
      <c r="L14" s="182"/>
      <c r="M14" s="228"/>
      <c r="N14" s="75"/>
      <c r="O14" s="123"/>
      <c r="P14" s="123"/>
      <c r="Q14" s="123"/>
    </row>
    <row customHeight="1" ht="12.75" r="15" spans="1:17" x14ac:dyDescent="0.2">
      <c r="A15" s="98">
        <v>15</v>
      </c>
      <c r="B15" s="1002" t="s">
        <v>617</v>
      </c>
      <c r="C15" s="227"/>
      <c r="D15" s="182"/>
      <c r="E15" s="228"/>
      <c r="F15" s="63"/>
      <c r="G15" s="227"/>
      <c r="H15" s="221"/>
      <c r="I15" s="269"/>
      <c r="J15" s="75"/>
      <c r="K15" s="227"/>
      <c r="L15" s="182"/>
      <c r="M15" s="228"/>
      <c r="N15" s="75"/>
      <c r="O15" s="123"/>
      <c r="P15" s="123"/>
      <c r="Q15" s="123"/>
    </row>
    <row customHeight="1" ht="12.75" r="16" spans="1:17" x14ac:dyDescent="0.2">
      <c r="A16" s="98">
        <v>16</v>
      </c>
      <c r="B16" s="1002" t="s">
        <v>620</v>
      </c>
      <c r="C16" s="249">
        <f>A9</f>
        <v>9</v>
      </c>
      <c r="D16" s="1284" t="s">
        <v>5771</v>
      </c>
      <c r="E16" s="1395"/>
      <c r="F16" s="63"/>
      <c r="G16" s="1990"/>
      <c r="H16" s="1982" t="str">
        <f>"Amount received (before 6 April "&amp;Tax_year_start&amp;") and tax taken"</f>
        <v>Amount received (before 6 April 2019) and tax taken</v>
      </c>
      <c r="I16" s="1992"/>
      <c r="J16" s="75"/>
      <c r="K16" s="249">
        <f>A26</f>
        <v>64</v>
      </c>
      <c r="L16" s="182"/>
      <c r="M16" s="228"/>
      <c r="N16" s="75"/>
      <c r="O16" s="123"/>
      <c r="P16" s="123"/>
      <c r="Q16" s="123"/>
    </row>
    <row customHeight="1" ht="12.75" r="17" spans="1:18" x14ac:dyDescent="0.2">
      <c r="A17" s="98">
        <v>17</v>
      </c>
      <c r="B17" s="1002" t="s">
        <v>623</v>
      </c>
      <c r="C17" s="227"/>
      <c r="D17" s="239"/>
      <c r="E17" s="269"/>
      <c r="F17" s="63"/>
      <c r="G17" s="1989">
        <f>A19</f>
        <v>19</v>
      </c>
      <c r="H17" s="1948" t="s">
        <v>5772</v>
      </c>
      <c r="I17" s="1992"/>
      <c r="J17" s="75"/>
      <c r="K17" s="227"/>
      <c r="L17" s="182"/>
      <c r="M17" s="228"/>
      <c r="N17" s="75"/>
      <c r="O17" s="123"/>
      <c r="P17" s="123"/>
      <c r="Q17" s="123"/>
    </row>
    <row customHeight="1" ht="12.75" r="18" spans="1:18" x14ac:dyDescent="0.2">
      <c r="B18" s="1002" t="s">
        <v>4213</v>
      </c>
      <c r="C18" s="1990"/>
      <c r="D18" s="1982" t="s">
        <v>5233</v>
      </c>
      <c r="E18" s="1983"/>
      <c r="F18" s="63"/>
      <c r="G18" s="1990"/>
      <c r="H18" s="1993"/>
      <c r="I18" s="1992"/>
      <c r="J18" s="75"/>
      <c r="K18" s="227"/>
      <c r="L18" s="182"/>
      <c r="M18" s="228"/>
      <c r="N18" s="75"/>
      <c r="O18" s="123"/>
      <c r="P18" s="123"/>
      <c r="Q18" s="123"/>
    </row>
    <row customHeight="1" ht="12.75" r="19" spans="1:18" x14ac:dyDescent="0.2">
      <c r="A19" s="98">
        <v>19</v>
      </c>
      <c r="B19" s="1002" t="s">
        <v>886</v>
      </c>
      <c r="C19" s="1989">
        <f>A10</f>
        <v>10</v>
      </c>
      <c r="D19" s="1982" t="s">
        <v>5234</v>
      </c>
      <c r="E19" s="1983"/>
      <c r="F19" s="63"/>
      <c r="G19" s="227"/>
      <c r="H19" s="221"/>
      <c r="I19" s="269"/>
      <c r="J19" s="75"/>
      <c r="K19" s="249">
        <f>A27</f>
        <v>65</v>
      </c>
      <c r="L19" s="182" t="s">
        <v>1067</v>
      </c>
      <c r="M19" s="228"/>
      <c r="N19" s="75"/>
      <c r="O19" s="986" t="s">
        <v>4212</v>
      </c>
      <c r="P19" s="264" t="b">
        <v>0</v>
      </c>
      <c r="Q19" s="123"/>
    </row>
    <row customHeight="1" ht="12.75" r="20" spans="1:18" x14ac:dyDescent="0.2">
      <c r="B20" s="1002" t="s">
        <v>796</v>
      </c>
      <c r="C20" s="1990"/>
      <c r="D20" s="1991"/>
      <c r="E20" s="1992"/>
      <c r="F20" s="63"/>
      <c r="G20" s="227"/>
      <c r="H20" s="221"/>
      <c r="I20" s="269"/>
      <c r="J20" s="75"/>
      <c r="K20" s="274"/>
      <c r="L20" s="223"/>
      <c r="M20" s="269"/>
      <c r="N20" s="75"/>
      <c r="O20" s="986" t="s">
        <v>4214</v>
      </c>
      <c r="P20" s="264" t="b">
        <v>0</v>
      </c>
      <c r="Q20" s="123"/>
    </row>
    <row customHeight="1" ht="12.75" r="21" spans="1:18" x14ac:dyDescent="0.2">
      <c r="A21" s="98">
        <v>51</v>
      </c>
      <c r="B21" s="1002" t="s">
        <v>2549</v>
      </c>
      <c r="C21" s="230"/>
      <c r="D21" s="275"/>
      <c r="E21" s="276"/>
      <c r="F21" s="63"/>
      <c r="G21" s="230"/>
      <c r="H21" s="275"/>
      <c r="I21" s="276"/>
      <c r="J21" s="75"/>
      <c r="K21" s="278"/>
      <c r="L21" s="275"/>
      <c r="M21" s="276"/>
      <c r="N21" s="75"/>
      <c r="O21" s="123"/>
      <c r="P21" s="123"/>
      <c r="Q21" s="123"/>
    </row>
    <row customHeight="1" ht="12.75" r="22" spans="1:18" x14ac:dyDescent="0.2">
      <c r="A22" s="98">
        <v>52</v>
      </c>
      <c r="B22" s="63"/>
      <c r="C22" s="63"/>
      <c r="D22" s="63"/>
      <c r="E22" s="63"/>
      <c r="F22" s="63"/>
      <c r="G22" s="63"/>
      <c r="H22" s="63"/>
      <c r="I22" s="63"/>
      <c r="J22" s="75"/>
      <c r="K22" s="1000"/>
      <c r="L22" s="1000"/>
      <c r="M22" s="1000"/>
      <c r="N22" s="75"/>
      <c r="O22" s="123"/>
      <c r="P22" s="123"/>
      <c r="Q22" s="123"/>
    </row>
    <row r="23" spans="1:18" x14ac:dyDescent="0.2">
      <c r="A23" s="98">
        <v>56</v>
      </c>
      <c r="B23" s="63"/>
      <c r="C23" s="63"/>
      <c r="D23" s="63"/>
      <c r="E23" s="63"/>
      <c r="F23" s="63"/>
      <c r="G23" s="63"/>
      <c r="H23" s="63"/>
      <c r="I23" s="63"/>
      <c r="J23" s="63"/>
      <c r="K23" s="1000"/>
      <c r="L23" s="1000"/>
      <c r="M23" s="1000"/>
      <c r="N23" s="75"/>
      <c r="O23" s="123"/>
      <c r="P23" s="123"/>
      <c r="Q23" s="123"/>
    </row>
    <row customHeight="1" ht="12.75" r="24" spans="1:18" x14ac:dyDescent="0.2">
      <c r="A24" s="98">
        <v>63</v>
      </c>
      <c r="B24" s="63"/>
      <c r="C24" s="63"/>
      <c r="D24" s="63"/>
      <c r="E24" s="63"/>
      <c r="F24" s="63"/>
      <c r="G24" s="63"/>
      <c r="H24" s="63"/>
      <c r="I24" s="63"/>
      <c r="J24" s="63"/>
      <c r="K24" s="1000"/>
      <c r="L24" s="1000"/>
      <c r="M24" s="1000"/>
      <c r="N24" s="75"/>
      <c r="O24" s="123"/>
      <c r="P24" s="123"/>
      <c r="Q24" s="123"/>
    </row>
    <row customHeight="1" ht="12.75" r="25" spans="1:18" x14ac:dyDescent="0.2">
      <c r="A25" s="98" t="s">
        <v>4326</v>
      </c>
      <c r="B25" s="63"/>
      <c r="C25" s="63"/>
      <c r="D25" s="63"/>
      <c r="E25" s="63"/>
      <c r="F25" s="63"/>
      <c r="G25" s="63"/>
      <c r="H25" s="63"/>
      <c r="I25" s="63"/>
      <c r="J25" s="63"/>
      <c r="K25" s="63"/>
      <c r="L25" s="63"/>
      <c r="M25" s="63"/>
      <c r="N25" s="75"/>
      <c r="O25" s="123"/>
      <c r="P25" s="123"/>
      <c r="Q25" s="123"/>
    </row>
    <row customHeight="1" ht="8.25" r="26" spans="1:18" x14ac:dyDescent="0.2">
      <c r="A26" s="98">
        <v>64</v>
      </c>
      <c r="B26" s="63"/>
      <c r="C26" s="63"/>
      <c r="D26" s="63"/>
      <c r="E26" s="63"/>
      <c r="F26" s="63"/>
      <c r="G26" s="63"/>
      <c r="H26" s="63"/>
      <c r="I26" s="63"/>
      <c r="J26" s="63"/>
      <c r="K26" s="63"/>
      <c r="L26" s="63"/>
      <c r="M26" s="63"/>
      <c r="N26" s="75"/>
      <c r="O26" s="123"/>
      <c r="P26" s="123"/>
      <c r="Q26" s="123"/>
    </row>
    <row r="27" spans="1:18" x14ac:dyDescent="0.2">
      <c r="A27" s="98">
        <v>65</v>
      </c>
      <c r="B27" s="75"/>
      <c r="C27" s="63"/>
      <c r="D27" s="63"/>
      <c r="E27" s="63"/>
      <c r="F27" s="75"/>
      <c r="G27" s="75"/>
      <c r="H27" s="75"/>
      <c r="I27" s="75"/>
      <c r="J27" s="75"/>
      <c r="K27" s="75"/>
      <c r="L27" s="75"/>
      <c r="M27" s="75"/>
      <c r="N27" s="75"/>
      <c r="O27" s="123"/>
      <c r="P27" s="123"/>
      <c r="Q27" s="123"/>
    </row>
    <row r="28" spans="1:18" x14ac:dyDescent="0.2">
      <c r="B28" s="75"/>
      <c r="C28" s="63"/>
      <c r="D28" s="63"/>
      <c r="E28" s="63"/>
      <c r="F28" s="75"/>
      <c r="G28" s="75"/>
      <c r="H28" s="75"/>
      <c r="I28" s="75"/>
      <c r="J28" s="75"/>
      <c r="K28" s="75"/>
      <c r="L28" s="75"/>
      <c r="M28" s="75"/>
      <c r="N28" s="75"/>
      <c r="O28" s="123"/>
      <c r="P28" s="123"/>
      <c r="Q28" s="123"/>
    </row>
    <row customHeight="1" ht="8.25" r="29" spans="1:18" x14ac:dyDescent="0.2">
      <c r="B29" s="75"/>
      <c r="C29" s="63"/>
      <c r="D29" s="63"/>
      <c r="E29" s="63"/>
      <c r="F29" s="75"/>
      <c r="G29" s="75"/>
      <c r="H29" s="75"/>
      <c r="I29" s="75"/>
      <c r="J29" s="75"/>
      <c r="K29" s="75"/>
      <c r="L29" s="75"/>
      <c r="M29" s="75"/>
      <c r="N29" s="75"/>
      <c r="O29" s="123"/>
      <c r="P29" s="123"/>
      <c r="Q29" s="123"/>
    </row>
    <row r="30" spans="1:18" x14ac:dyDescent="0.2">
      <c r="B30" s="75"/>
      <c r="C30" s="63"/>
      <c r="D30" s="63"/>
      <c r="E30" s="63"/>
      <c r="F30" s="75"/>
      <c r="G30" s="75"/>
      <c r="H30" s="75"/>
      <c r="I30" s="75"/>
      <c r="J30" s="75"/>
      <c r="K30" s="75"/>
      <c r="L30" s="75"/>
      <c r="M30" s="75"/>
      <c r="N30" s="75"/>
      <c r="O30" s="123"/>
      <c r="P30" s="123"/>
      <c r="Q30" s="123"/>
    </row>
    <row r="31" spans="1:18" x14ac:dyDescent="0.2">
      <c r="B31" s="75"/>
      <c r="C31" s="63"/>
      <c r="D31" s="63"/>
      <c r="E31" s="63"/>
      <c r="F31" s="75"/>
      <c r="G31" s="75"/>
      <c r="H31" s="75"/>
      <c r="I31" s="75"/>
      <c r="J31" s="75"/>
      <c r="K31" s="75"/>
      <c r="L31" s="75"/>
      <c r="M31" s="75"/>
      <c r="N31" s="75"/>
      <c r="O31" s="123"/>
      <c r="P31" s="123"/>
      <c r="Q31" s="123"/>
    </row>
    <row r="32" spans="1:18" x14ac:dyDescent="0.2">
      <c r="B32" s="75"/>
      <c r="C32" s="63"/>
      <c r="D32" s="63"/>
      <c r="E32" s="63"/>
      <c r="F32" s="76"/>
      <c r="G32" s="75"/>
      <c r="H32" s="75"/>
      <c r="I32" s="63"/>
      <c r="J32" s="63"/>
      <c r="K32" s="63"/>
      <c r="L32" s="63"/>
      <c r="M32" s="63"/>
      <c r="N32" s="75"/>
      <c r="O32" s="123"/>
      <c r="P32" s="123"/>
      <c r="Q32" s="123"/>
      <c r="R32" s="123"/>
    </row>
    <row r="33" spans="2:14" x14ac:dyDescent="0.2">
      <c r="B33" s="75"/>
      <c r="C33" s="75"/>
      <c r="D33" s="75"/>
      <c r="E33" s="75"/>
      <c r="F33" s="76"/>
      <c r="G33" s="75"/>
      <c r="H33" s="75"/>
      <c r="I33" s="63"/>
      <c r="J33" s="63"/>
      <c r="K33" s="63"/>
      <c r="L33" s="63"/>
      <c r="M33" s="63"/>
      <c r="N33" s="75"/>
    </row>
    <row r="34" spans="2:14" x14ac:dyDescent="0.2">
      <c r="B34" s="75"/>
      <c r="C34" s="75"/>
      <c r="D34" s="75"/>
      <c r="E34" s="75"/>
      <c r="F34" s="76"/>
      <c r="G34" s="75"/>
      <c r="H34" s="75"/>
      <c r="I34" s="63"/>
      <c r="J34" s="63"/>
      <c r="K34" s="63"/>
      <c r="L34" s="63"/>
      <c r="M34" s="63"/>
      <c r="N34" s="75"/>
    </row>
    <row r="35" spans="2:14" x14ac:dyDescent="0.2">
      <c r="B35" s="75"/>
      <c r="C35" s="75"/>
      <c r="D35" s="75"/>
      <c r="E35" s="75"/>
      <c r="F35" s="76"/>
      <c r="G35" s="75"/>
      <c r="H35" s="75"/>
      <c r="I35" s="63"/>
      <c r="J35" s="63"/>
      <c r="K35" s="63"/>
      <c r="L35" s="63"/>
      <c r="M35" s="63"/>
      <c r="N35" s="75"/>
    </row>
  </sheetData>
  <phoneticPr fontId="67" type="noConversion"/>
  <pageMargins bottom="1" footer="0.5" header="0.5" left="0.75" right="0.75" top="1"/>
  <pageSetup orientation="landscape" paperSize="9" r:id="rId1"/>
  <headerFooter alignWithMargins="0"/>
  <drawing r:id="rId2"/>
  <legacyDrawing r:id="rId3"/>
  <mc:AlternateContent>
    <mc:Choice Requires="x14">
      <controls>
        <mc:AlternateContent>
          <mc:Choice Requires="x14">
            <control name="Check Box 2" r:id="rId4" shapeId="8194">
              <controlPr autoFill="0" autoLine="0" autoPict="0" defaultSize="0">
                <anchor moveWithCells="1">
                  <from>
                    <xdr:col>10</xdr:col>
                    <xdr:colOff>371475</xdr:colOff>
                    <xdr:row>15</xdr:row>
                    <xdr:rowOff>133350</xdr:rowOff>
                  </from>
                  <to>
                    <xdr:col>11</xdr:col>
                    <xdr:colOff>266700</xdr:colOff>
                    <xdr:row>17</xdr:row>
                    <xdr:rowOff>0</xdr:rowOff>
                  </to>
                </anchor>
              </controlPr>
            </control>
          </mc:Choice>
        </mc:AlternateContent>
        <mc:AlternateContent>
          <mc:Choice Requires="x14">
            <control name="Check Box 4" r:id="rId5" shapeId="2">
              <controlPr autoFill="0" autoLine="0" autoPict="0" defaultSize="0">
                <anchor moveWithCells="1">
                  <from>
                    <xdr:col>10</xdr:col>
                    <xdr:colOff>371475</xdr:colOff>
                    <xdr:row>12</xdr:row>
                    <xdr:rowOff>123825</xdr:rowOff>
                  </from>
                  <to>
                    <xdr:col>11</xdr:col>
                    <xdr:colOff>266700</xdr:colOff>
                    <xdr:row>13</xdr:row>
                    <xdr:rowOff>152400</xdr:rowOff>
                  </to>
                </anchor>
              </controlPr>
            </control>
          </mc:Choice>
        </mc:AlternateContent>
        <mc:AlternateContent>
          <mc:Choice Requires="x14">
            <control name="Button 6" r:id="rId6" shapeId="8198">
              <controlPr autoFill="0" autoPict="0" defaultSize="0" macro="[0]!Show_Page_NI">
                <anchor>
                  <from>
                    <xdr:col>11</xdr:col>
                    <xdr:colOff>895350</xdr:colOff>
                    <xdr:row>22</xdr:row>
                    <xdr:rowOff>28575</xdr:rowOff>
                  </from>
                  <to>
                    <xdr:col>13</xdr:col>
                    <xdr:colOff>295275</xdr:colOff>
                    <xdr:row>26</xdr:row>
                    <xdr:rowOff>104775</xdr:rowOff>
                  </to>
                </anchor>
              </controlPr>
            </control>
          </mc:Choice>
        </mc:AlternateContent>
      </controls>
    </mc:Choice>
  </mc:AlternateContent>
</worksheet>
</file>

<file path=xl/worksheets/sheet43.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xmlns:xr="http://schemas.microsoft.com/office/spreadsheetml/2014/revision" xmlns:xr2="http://schemas.microsoft.com/office/spreadsheetml/2015/revision2" xmlns:xr3="http://schemas.microsoft.com/office/spreadsheetml/2016/revision3" mc:Ignorable="x14ac xr xr2 xr3" xr:uid="{00000000-0001-0000-2A00-000000000000}">
  <sheetPr codeName="Sheet19"/>
  <dimension ref="A1:Y52"/>
  <sheetViews>
    <sheetView showGridLines="0" showRowColHeaders="0" topLeftCell="B7" workbookViewId="0" zoomScale="101" zoomScaleNormal="96">
      <selection activeCell="K28" sqref="K28"/>
    </sheetView>
  </sheetViews>
  <sheetFormatPr defaultColWidth="9.140625" defaultRowHeight="12" x14ac:dyDescent="0.2"/>
  <cols>
    <col min="1" max="1" customWidth="true" hidden="true" style="98" width="7.28515625" collapsed="true"/>
    <col min="2" max="2" customWidth="true" style="98" width="4.5703125" collapsed="true"/>
    <col min="3" max="3" customWidth="true" style="98" width="5.0" collapsed="true"/>
    <col min="4" max="4" customWidth="true" style="98" width="15.28515625" collapsed="true"/>
    <col min="5" max="5" customWidth="true" style="98" width="27.5703125" collapsed="true"/>
    <col min="6" max="6" customWidth="true" style="98" width="4.7109375" collapsed="true"/>
    <col min="7" max="7" customWidth="true" style="98" width="5.28515625" collapsed="true"/>
    <col min="8" max="8" customWidth="true" style="98" width="15.28515625" collapsed="true"/>
    <col min="9" max="9" customWidth="true" style="98" width="23.140625" collapsed="true"/>
    <col min="10" max="10" customWidth="true" style="98" width="5.0" collapsed="true"/>
    <col min="11" max="11" customWidth="true" style="98" width="15.28515625" collapsed="true"/>
    <col min="12" max="12" customWidth="true" style="98" width="23.140625" collapsed="true"/>
    <col min="13" max="13" customWidth="true" style="98" width="5.0" collapsed="true"/>
    <col min="14" max="14" customWidth="true" style="98" width="15.28515625" collapsed="true"/>
    <col min="15" max="15" customWidth="true" style="98" width="18.140625" collapsed="true"/>
    <col min="16" max="16" customWidth="true" style="98" width="4.5703125" collapsed="true"/>
    <col min="17" max="17" customWidth="true" hidden="true" style="98" width="9.85546875" collapsed="true"/>
    <col min="18" max="18" customWidth="true" hidden="true" style="98" width="14.0" collapsed="true"/>
    <col min="19" max="19" customWidth="true" hidden="true" style="98" width="9.140625" collapsed="true"/>
    <col min="20" max="16384" style="98" width="9.140625" collapsed="true"/>
  </cols>
  <sheetData>
    <row customHeight="1" ht="9" r="1" spans="1:21" x14ac:dyDescent="0.2">
      <c r="A1" s="98" t="s">
        <v>2261</v>
      </c>
      <c r="B1" s="1001" t="s">
        <v>4320</v>
      </c>
      <c r="C1" s="75"/>
      <c r="D1" s="75"/>
      <c r="E1" s="75"/>
      <c r="F1" s="75"/>
      <c r="G1" s="75"/>
      <c r="H1" s="75"/>
      <c r="I1" s="75"/>
      <c r="J1" s="75"/>
      <c r="K1" s="75"/>
      <c r="L1" s="75"/>
      <c r="M1" s="75"/>
      <c r="N1" s="75"/>
      <c r="O1" s="75"/>
      <c r="P1" s="75"/>
      <c r="Q1" s="123"/>
      <c r="R1" s="123"/>
      <c r="S1" s="123"/>
      <c r="T1" s="123"/>
      <c r="U1" s="123"/>
    </row>
    <row customHeight="1" ht="12.75" r="2" spans="1:21" x14ac:dyDescent="0.2">
      <c r="A2" s="98">
        <v>13</v>
      </c>
      <c r="B2" s="1001" t="s">
        <v>2181</v>
      </c>
      <c r="C2" s="273" t="s">
        <v>1123</v>
      </c>
      <c r="D2" s="224"/>
      <c r="E2" s="420" t="s">
        <v>2261</v>
      </c>
      <c r="F2" s="75"/>
      <c r="G2" s="273" t="s">
        <v>3317</v>
      </c>
      <c r="H2" s="224"/>
      <c r="I2" s="224"/>
      <c r="J2" s="224"/>
      <c r="K2" s="224"/>
      <c r="L2" s="224"/>
      <c r="M2" s="224"/>
      <c r="N2" s="1847"/>
      <c r="O2" s="420" t="s">
        <v>3316</v>
      </c>
      <c r="P2" s="75"/>
      <c r="Q2" s="123"/>
      <c r="R2" s="123"/>
      <c r="S2" s="123"/>
      <c r="T2" s="123"/>
      <c r="U2" s="123"/>
    </row>
    <row customHeight="1" ht="9.75" r="3" spans="1:21" x14ac:dyDescent="0.2">
      <c r="A3" s="98">
        <v>15</v>
      </c>
      <c r="B3" s="1001" t="s">
        <v>2182</v>
      </c>
      <c r="C3" s="347" t="s">
        <v>4312</v>
      </c>
      <c r="D3" s="182"/>
      <c r="E3" s="228"/>
      <c r="F3" s="75"/>
      <c r="G3" s="347" t="s">
        <v>4312</v>
      </c>
      <c r="H3" s="182"/>
      <c r="I3" s="182"/>
      <c r="J3" s="182"/>
      <c r="K3" s="182"/>
      <c r="L3" s="1845"/>
      <c r="M3" s="182"/>
      <c r="N3" s="182"/>
      <c r="O3" s="228"/>
      <c r="P3" s="75"/>
      <c r="Q3" s="123"/>
      <c r="R3" s="123"/>
      <c r="S3" s="123"/>
      <c r="T3" s="123"/>
      <c r="U3" s="123"/>
    </row>
    <row customHeight="1" ht="12.75" r="4" spans="1:21" x14ac:dyDescent="0.2">
      <c r="A4" s="98">
        <v>17</v>
      </c>
      <c r="B4" s="1001" t="s">
        <v>2183</v>
      </c>
      <c r="C4" s="249">
        <f>A2</f>
        <v>13</v>
      </c>
      <c r="D4" s="182" t="s">
        <v>710</v>
      </c>
      <c r="E4" s="228"/>
      <c r="F4" s="75"/>
      <c r="G4" s="249">
        <f>A17</f>
        <v>13</v>
      </c>
      <c r="H4" s="182" t="s">
        <v>710</v>
      </c>
      <c r="I4" s="182"/>
      <c r="J4" s="249">
        <f>A19</f>
        <v>17</v>
      </c>
      <c r="K4" s="182" t="s">
        <v>4310</v>
      </c>
      <c r="L4" s="1845"/>
      <c r="M4" s="182"/>
      <c r="N4" s="182"/>
      <c r="O4" s="228"/>
      <c r="P4" s="75"/>
      <c r="Q4" s="123"/>
      <c r="R4" s="123"/>
      <c r="S4" s="123"/>
      <c r="T4" s="123"/>
      <c r="U4" s="123"/>
    </row>
    <row customHeight="1" ht="12.75" r="5" spans="1:21" x14ac:dyDescent="0.2">
      <c r="A5" s="98">
        <v>20</v>
      </c>
      <c r="B5" s="1001" t="s">
        <v>2184</v>
      </c>
      <c r="C5" s="227"/>
      <c r="D5" s="223"/>
      <c r="E5" s="228"/>
      <c r="F5" s="75"/>
      <c r="G5" s="227"/>
      <c r="H5" s="223"/>
      <c r="I5" s="182"/>
      <c r="J5" s="182"/>
      <c r="K5" s="279"/>
      <c r="L5" s="1845"/>
      <c r="M5" s="182"/>
      <c r="N5" s="182"/>
      <c r="O5" s="228"/>
      <c r="P5" s="75"/>
      <c r="Q5" s="123"/>
      <c r="R5" s="123"/>
      <c r="S5" s="123"/>
      <c r="T5" s="123"/>
      <c r="U5" s="123"/>
    </row>
    <row customHeight="1" ht="12.75" r="6" spans="1:21" x14ac:dyDescent="0.2">
      <c r="A6" s="98">
        <v>22</v>
      </c>
      <c r="B6" s="1001" t="s">
        <v>2192</v>
      </c>
      <c r="C6" s="227"/>
      <c r="D6" s="182"/>
      <c r="E6" s="228"/>
      <c r="F6" s="75"/>
      <c r="G6" s="227"/>
      <c r="H6" s="182"/>
      <c r="I6" s="182"/>
      <c r="J6" s="182"/>
      <c r="K6" s="182"/>
      <c r="L6" s="1845"/>
      <c r="M6" s="182"/>
      <c r="N6" s="182"/>
      <c r="O6" s="228"/>
      <c r="P6" s="75"/>
      <c r="Q6" s="123"/>
      <c r="R6" s="123"/>
      <c r="S6" s="123"/>
      <c r="T6" s="123"/>
      <c r="U6" s="123"/>
    </row>
    <row customHeight="1" ht="12.75" r="7" spans="1:21" x14ac:dyDescent="0.2">
      <c r="A7" s="98">
        <v>25</v>
      </c>
      <c r="B7" s="1001" t="s">
        <v>4251</v>
      </c>
      <c r="C7" s="2228"/>
      <c r="D7" s="2225"/>
      <c r="E7" s="228"/>
      <c r="F7" s="75"/>
      <c r="G7" s="227"/>
      <c r="H7" s="2225"/>
      <c r="I7" s="182"/>
      <c r="J7" s="249">
        <f>A20</f>
        <v>20</v>
      </c>
      <c r="K7" s="182" t="s">
        <v>818</v>
      </c>
      <c r="L7" s="1845"/>
      <c r="M7" s="182"/>
      <c r="N7" s="182"/>
      <c r="O7" s="228"/>
      <c r="P7" s="1000"/>
      <c r="Q7" s="123"/>
      <c r="R7" s="123"/>
      <c r="S7" s="123"/>
      <c r="T7" s="123"/>
      <c r="U7" s="123"/>
    </row>
    <row customHeight="1" ht="12.75" r="8" spans="1:21" x14ac:dyDescent="0.2">
      <c r="A8" s="98" t="s">
        <v>4326</v>
      </c>
      <c r="B8" s="1001" t="s">
        <v>2186</v>
      </c>
      <c r="C8" s="2226"/>
      <c r="D8" s="2227"/>
      <c r="E8" s="228"/>
      <c r="F8" s="75"/>
      <c r="G8" s="227"/>
      <c r="H8" s="2225"/>
      <c r="I8" s="182"/>
      <c r="J8" s="182"/>
      <c r="K8" s="279"/>
      <c r="L8" s="1845"/>
      <c r="M8" s="182"/>
      <c r="N8" s="182"/>
      <c r="O8" s="228"/>
      <c r="P8" s="1000"/>
      <c r="Q8" s="123"/>
      <c r="R8" s="123"/>
      <c r="S8" s="123"/>
      <c r="T8" s="123"/>
      <c r="U8" s="123"/>
    </row>
    <row customHeight="1" ht="9.75" r="9" spans="1:21" x14ac:dyDescent="0.2">
      <c r="A9" s="98">
        <v>26</v>
      </c>
      <c r="B9" s="1001" t="s">
        <v>4321</v>
      </c>
      <c r="C9" s="227"/>
      <c r="D9" s="182"/>
      <c r="E9" s="228"/>
      <c r="F9" s="75"/>
      <c r="G9" s="347" t="s">
        <v>4313</v>
      </c>
      <c r="H9" s="182"/>
      <c r="I9" s="182"/>
      <c r="J9" s="182"/>
      <c r="K9" s="182"/>
      <c r="L9" s="1845"/>
      <c r="M9" s="182"/>
      <c r="N9" s="182"/>
      <c r="O9" s="228"/>
      <c r="P9" s="75"/>
      <c r="Q9" s="123"/>
      <c r="R9" s="123"/>
      <c r="S9" s="123"/>
      <c r="T9" s="123"/>
      <c r="U9" s="123"/>
    </row>
    <row customHeight="1" ht="12.75" r="10" spans="1:21" x14ac:dyDescent="0.2">
      <c r="A10" s="98">
        <v>27</v>
      </c>
      <c r="B10" s="1001" t="s">
        <v>2194</v>
      </c>
      <c r="C10" s="249">
        <f>A4</f>
        <v>17</v>
      </c>
      <c r="D10" s="182" t="s">
        <v>4310</v>
      </c>
      <c r="E10" s="228"/>
      <c r="F10" s="75"/>
      <c r="G10" s="249">
        <f>A21</f>
        <v>22</v>
      </c>
      <c r="H10" s="182" t="str">
        <f>"Loss set against "&amp;tax_year&amp;" income"</f>
        <v>Loss set against 2019-20 income</v>
      </c>
      <c r="I10" s="182"/>
      <c r="J10" s="182"/>
      <c r="K10" s="182"/>
      <c r="L10" s="1845"/>
      <c r="M10" s="182"/>
      <c r="N10" s="182"/>
      <c r="O10" s="228"/>
      <c r="P10" s="75"/>
      <c r="Q10" s="123"/>
      <c r="R10" s="123"/>
      <c r="S10" s="123"/>
      <c r="T10" s="123"/>
      <c r="U10" s="123"/>
    </row>
    <row customHeight="1" ht="12.75" r="11" spans="1:21" x14ac:dyDescent="0.2">
      <c r="A11" s="98">
        <v>28</v>
      </c>
      <c r="B11" s="1001" t="s">
        <v>803</v>
      </c>
      <c r="C11" s="227"/>
      <c r="D11" s="223"/>
      <c r="E11" s="228"/>
      <c r="F11" s="75"/>
      <c r="G11" s="227"/>
      <c r="H11" s="239"/>
      <c r="I11" s="182"/>
      <c r="J11" s="182"/>
      <c r="K11" s="182"/>
      <c r="L11" s="1845"/>
      <c r="M11" s="182"/>
      <c r="N11" s="182"/>
      <c r="O11" s="228"/>
      <c r="P11" s="75"/>
      <c r="Q11" s="123"/>
      <c r="R11" s="123"/>
      <c r="S11" s="123"/>
      <c r="T11" s="123"/>
      <c r="U11" s="123"/>
    </row>
    <row customHeight="1" ht="9.75" r="12" spans="1:21" x14ac:dyDescent="0.2">
      <c r="A12" s="98">
        <v>29</v>
      </c>
      <c r="B12" s="1001" t="s">
        <v>767</v>
      </c>
      <c r="C12" s="227"/>
      <c r="D12" s="182"/>
      <c r="E12" s="228"/>
      <c r="F12" s="75"/>
      <c r="G12" s="347" t="s">
        <v>4314</v>
      </c>
      <c r="H12" s="182"/>
      <c r="I12" s="182"/>
      <c r="J12" s="182"/>
      <c r="K12" s="182"/>
      <c r="L12" s="1845"/>
      <c r="M12" s="182"/>
      <c r="N12" s="182"/>
      <c r="O12" s="228"/>
      <c r="P12" s="75"/>
      <c r="Q12" s="123"/>
      <c r="R12" s="123"/>
      <c r="S12" s="123"/>
      <c r="T12" s="123"/>
      <c r="U12" s="123"/>
    </row>
    <row customHeight="1" ht="12.75" r="13" spans="1:21" x14ac:dyDescent="0.2">
      <c r="A13" s="98">
        <v>30</v>
      </c>
      <c r="B13" s="1001" t="s">
        <v>4252</v>
      </c>
      <c r="C13" s="249">
        <f>A5</f>
        <v>20</v>
      </c>
      <c r="D13" s="182" t="s">
        <v>818</v>
      </c>
      <c r="E13" s="228"/>
      <c r="F13" s="75"/>
      <c r="G13" s="249">
        <f>A7</f>
        <v>25</v>
      </c>
      <c r="H13" s="182" t="s">
        <v>4209</v>
      </c>
      <c r="I13" s="182"/>
      <c r="J13" s="249">
        <f>A9</f>
        <v>26</v>
      </c>
      <c r="K13" s="265"/>
      <c r="L13" s="1845"/>
      <c r="M13" s="249">
        <f>A25</f>
        <v>27</v>
      </c>
      <c r="N13" s="182" t="s">
        <v>1067</v>
      </c>
      <c r="O13" s="228"/>
      <c r="P13" s="75"/>
      <c r="Q13" s="123"/>
      <c r="R13" s="123"/>
      <c r="S13" s="123"/>
      <c r="T13" s="123"/>
      <c r="U13" s="123"/>
    </row>
    <row customHeight="1" ht="12.75" r="14" spans="1:21" x14ac:dyDescent="0.2">
      <c r="A14" s="98">
        <v>31</v>
      </c>
      <c r="B14" s="1001" t="s">
        <v>4311</v>
      </c>
      <c r="C14" s="227"/>
      <c r="D14" s="279"/>
      <c r="E14" s="228"/>
      <c r="F14" s="75"/>
      <c r="G14" s="227"/>
      <c r="H14" s="182"/>
      <c r="I14" s="182"/>
      <c r="J14" s="182"/>
      <c r="K14" s="182"/>
      <c r="L14" s="1845"/>
      <c r="M14" s="182"/>
      <c r="N14" s="223"/>
      <c r="O14" s="228"/>
      <c r="P14" s="75"/>
      <c r="Q14" s="123"/>
      <c r="R14" s="123"/>
      <c r="S14" s="123"/>
      <c r="T14" s="123"/>
      <c r="U14" s="123"/>
    </row>
    <row customHeight="1" ht="9.75" r="15" spans="1:21" x14ac:dyDescent="0.2">
      <c r="B15" s="1001"/>
      <c r="C15" s="347" t="s">
        <v>4313</v>
      </c>
      <c r="D15" s="182"/>
      <c r="E15" s="228"/>
      <c r="F15" s="75"/>
      <c r="G15" s="347" t="s">
        <v>4315</v>
      </c>
      <c r="H15" s="182"/>
      <c r="I15" s="182"/>
      <c r="J15" s="182"/>
      <c r="K15" s="182"/>
      <c r="L15" s="1845"/>
      <c r="M15" s="182"/>
      <c r="N15" s="182"/>
      <c r="O15" s="228"/>
      <c r="P15" s="75"/>
      <c r="Q15" s="123"/>
      <c r="R15" s="123"/>
      <c r="S15" s="123"/>
      <c r="T15" s="123"/>
      <c r="U15" s="123"/>
    </row>
    <row customHeight="1" ht="12.75" r="16" spans="1:21" x14ac:dyDescent="0.2">
      <c r="A16" s="98" t="s">
        <v>3316</v>
      </c>
      <c r="B16" s="1001"/>
      <c r="C16" s="249">
        <f>A6</f>
        <v>22</v>
      </c>
      <c r="D16" s="182" t="str">
        <f>"Loss set against "&amp;tax_year&amp;" income"</f>
        <v>Loss set against 2019-20 income</v>
      </c>
      <c r="E16" s="228"/>
      <c r="F16" s="75"/>
      <c r="G16" s="425">
        <f>A26</f>
        <v>35</v>
      </c>
      <c r="H16" s="182" t="s">
        <v>2312</v>
      </c>
      <c r="I16" s="182"/>
      <c r="J16" s="182"/>
      <c r="K16" s="182"/>
      <c r="L16" s="1845"/>
      <c r="M16" s="182"/>
      <c r="N16" s="182"/>
      <c r="O16" s="228"/>
      <c r="P16" s="75"/>
      <c r="Q16" s="123"/>
      <c r="R16" s="123"/>
      <c r="S16" s="123"/>
      <c r="T16" s="123"/>
      <c r="U16" s="123"/>
    </row>
    <row customHeight="1" ht="12.75" r="17" spans="1:24" x14ac:dyDescent="0.2">
      <c r="A17" s="98">
        <v>13</v>
      </c>
      <c r="B17" s="1001" t="s">
        <v>665</v>
      </c>
      <c r="C17" s="227"/>
      <c r="D17" s="239"/>
      <c r="E17" s="280"/>
      <c r="F17" s="75"/>
      <c r="G17" s="227"/>
      <c r="H17" s="239"/>
      <c r="I17" s="182"/>
      <c r="J17" s="182"/>
      <c r="K17" s="182"/>
      <c r="L17" s="1845"/>
      <c r="M17" s="182"/>
      <c r="N17" s="182"/>
      <c r="O17" s="228"/>
      <c r="P17" s="75"/>
      <c r="Q17" s="123"/>
      <c r="R17" s="986" t="s">
        <v>2261</v>
      </c>
      <c r="S17" s="987" t="s">
        <v>3316</v>
      </c>
      <c r="T17" s="123"/>
      <c r="U17" s="123"/>
    </row>
    <row r="18" spans="1:24" x14ac:dyDescent="0.2">
      <c r="A18" s="98">
        <v>15</v>
      </c>
      <c r="B18" s="1001" t="s">
        <v>2783</v>
      </c>
      <c r="C18" s="347" t="s">
        <v>4314</v>
      </c>
      <c r="D18" s="182"/>
      <c r="E18" s="269"/>
      <c r="F18" s="75"/>
      <c r="G18" s="347" t="s">
        <v>4316</v>
      </c>
      <c r="H18" s="182"/>
      <c r="I18" s="182"/>
      <c r="J18" s="182"/>
      <c r="K18" s="182"/>
      <c r="L18" s="1845"/>
      <c r="M18" s="182"/>
      <c r="N18" s="182"/>
      <c r="O18" s="228"/>
      <c r="P18" s="75"/>
      <c r="Q18" s="123"/>
      <c r="R18" s="123"/>
      <c r="S18" s="123"/>
      <c r="T18" s="123"/>
      <c r="U18" s="123"/>
    </row>
    <row customHeight="1" ht="12.75" r="19" spans="1:24" x14ac:dyDescent="0.2">
      <c r="A19" s="98">
        <v>17</v>
      </c>
      <c r="B19" s="1001" t="s">
        <v>4323</v>
      </c>
      <c r="C19" s="249">
        <f>A7</f>
        <v>25</v>
      </c>
      <c r="D19" s="265" t="s">
        <v>4209</v>
      </c>
      <c r="E19" s="269"/>
      <c r="F19" s="75"/>
      <c r="G19" s="249">
        <f>A27</f>
        <v>38</v>
      </c>
      <c r="H19" s="182" t="s">
        <v>4310</v>
      </c>
      <c r="I19" s="182"/>
      <c r="J19" s="249">
        <f>A28</f>
        <v>39</v>
      </c>
      <c r="K19" s="182" t="str">
        <f>"Loss set against "&amp;tax_year&amp;" total income"</f>
        <v>Loss set against 2019-20 total income</v>
      </c>
      <c r="L19" s="1845"/>
      <c r="M19" s="182"/>
      <c r="N19" s="182"/>
      <c r="O19" s="228"/>
      <c r="P19" s="75"/>
      <c r="Q19" s="987" t="s">
        <v>4546</v>
      </c>
      <c r="R19" s="264" t="b">
        <v>0</v>
      </c>
      <c r="S19" s="264" t="b">
        <v>0</v>
      </c>
      <c r="T19" s="123"/>
      <c r="U19" s="123"/>
    </row>
    <row customHeight="1" ht="12.75" r="20" spans="1:24" x14ac:dyDescent="0.2">
      <c r="A20" s="98">
        <v>20</v>
      </c>
      <c r="B20" s="1001" t="s">
        <v>4324</v>
      </c>
      <c r="C20" s="227"/>
      <c r="D20" s="182"/>
      <c r="E20" s="280"/>
      <c r="F20" s="75"/>
      <c r="G20" s="227"/>
      <c r="H20" s="239"/>
      <c r="I20" s="182"/>
      <c r="J20" s="182"/>
      <c r="K20" s="239"/>
      <c r="L20" s="1845"/>
      <c r="M20" s="182"/>
      <c r="N20" s="182"/>
      <c r="O20" s="228"/>
      <c r="P20" s="75"/>
      <c r="Q20" s="986" t="s">
        <v>4286</v>
      </c>
      <c r="R20" s="264" t="b">
        <v>0</v>
      </c>
      <c r="S20" s="264" t="b">
        <v>0</v>
      </c>
      <c r="T20" s="123"/>
      <c r="U20" s="123"/>
    </row>
    <row r="21" spans="1:24" x14ac:dyDescent="0.2">
      <c r="A21" s="98">
        <v>22</v>
      </c>
      <c r="B21" s="1001" t="s">
        <v>662</v>
      </c>
      <c r="C21" s="227"/>
      <c r="D21" s="182"/>
      <c r="E21" s="269"/>
      <c r="F21" s="75"/>
      <c r="G21" s="347"/>
      <c r="H21" s="182"/>
      <c r="I21" s="182"/>
      <c r="J21" s="182"/>
      <c r="K21" s="182"/>
      <c r="L21" s="1845"/>
      <c r="M21" s="182"/>
      <c r="N21" s="182"/>
      <c r="O21" s="228"/>
      <c r="P21" s="75"/>
      <c r="Q21" s="123"/>
      <c r="R21" s="123"/>
      <c r="S21" s="123"/>
      <c r="T21" s="123"/>
      <c r="U21" s="123"/>
    </row>
    <row customHeight="1" ht="12.75" r="22" spans="1:24" x14ac:dyDescent="0.2">
      <c r="A22" s="98">
        <v>25</v>
      </c>
      <c r="B22" s="1001" t="s">
        <v>4213</v>
      </c>
      <c r="C22" s="249">
        <f>A9</f>
        <v>26</v>
      </c>
      <c r="D22" s="265"/>
      <c r="E22" s="269"/>
      <c r="F22" s="75"/>
      <c r="G22" s="249">
        <f>A29</f>
        <v>41</v>
      </c>
      <c r="H22" s="182" t="s">
        <v>6281</v>
      </c>
      <c r="I22" s="182"/>
      <c r="J22" s="249">
        <f>A30</f>
        <v>41.1</v>
      </c>
      <c r="K22" s="182" t="s">
        <v>6279</v>
      </c>
      <c r="L22" s="182"/>
      <c r="M22" s="2231">
        <f>A31</f>
        <v>41.2</v>
      </c>
      <c r="N22" s="2222" t="s">
        <v>6842</v>
      </c>
      <c r="O22" s="2233"/>
      <c r="P22" s="75"/>
      <c r="Q22" s="123"/>
      <c r="R22" s="123"/>
      <c r="S22" s="123"/>
      <c r="T22" s="123"/>
      <c r="U22" s="123"/>
    </row>
    <row customHeight="1" ht="12.75" r="23" spans="1:24" x14ac:dyDescent="0.2">
      <c r="A23" s="98" t="s">
        <v>4326</v>
      </c>
      <c r="B23" s="1001" t="s">
        <v>629</v>
      </c>
      <c r="C23" s="227"/>
      <c r="D23" s="182"/>
      <c r="E23" s="280"/>
      <c r="F23" s="75"/>
      <c r="G23" s="227"/>
      <c r="H23" s="1952"/>
      <c r="I23" s="182"/>
      <c r="J23" s="182"/>
      <c r="K23" s="1952"/>
      <c r="L23" s="1845"/>
      <c r="M23" s="182"/>
      <c r="N23" s="1952"/>
      <c r="O23" s="228"/>
      <c r="P23" s="75"/>
      <c r="Q23" s="98">
        <v>0</v>
      </c>
      <c r="R23" s="123"/>
      <c r="S23" s="123"/>
      <c r="T23" s="123"/>
      <c r="U23" s="123"/>
    </row>
    <row r="24" spans="1:24" x14ac:dyDescent="0.2">
      <c r="A24" s="98">
        <v>26</v>
      </c>
      <c r="B24" s="1001" t="s">
        <v>796</v>
      </c>
      <c r="C24" s="227"/>
      <c r="D24" s="182"/>
      <c r="E24" s="280"/>
      <c r="F24" s="75"/>
      <c r="G24" s="227"/>
      <c r="H24" s="1922" t="s">
        <v>6860</v>
      </c>
      <c r="I24" s="1845"/>
      <c r="J24" s="1845"/>
      <c r="K24" s="1845"/>
      <c r="L24" s="1845"/>
      <c r="M24" s="182"/>
      <c r="N24" s="214" t="s">
        <v>6861</v>
      </c>
      <c r="O24" s="228"/>
      <c r="P24" s="75"/>
      <c r="Q24" s="123"/>
      <c r="R24" s="123"/>
      <c r="S24" s="123"/>
      <c r="T24" s="123"/>
      <c r="U24" s="123"/>
    </row>
    <row customHeight="1" ht="12.75" r="25" spans="1:24" x14ac:dyDescent="0.2">
      <c r="A25" s="98">
        <v>27</v>
      </c>
      <c r="B25" s="1001" t="s">
        <v>810</v>
      </c>
      <c r="C25" s="249">
        <f>A10</f>
        <v>27</v>
      </c>
      <c r="D25" s="182" t="s">
        <v>1067</v>
      </c>
      <c r="E25" s="280"/>
      <c r="F25" s="75"/>
      <c r="G25" s="347"/>
      <c r="H25" s="182"/>
      <c r="I25" s="1845"/>
      <c r="J25" s="1845"/>
      <c r="K25" s="1845"/>
      <c r="L25" s="1845"/>
      <c r="M25" s="2229" t="s">
        <v>6446</v>
      </c>
      <c r="N25" s="2232" t="s">
        <v>6843</v>
      </c>
      <c r="O25" s="2233"/>
      <c r="P25" s="75"/>
      <c r="Q25" s="123"/>
      <c r="R25" s="123"/>
      <c r="S25" s="123"/>
      <c r="T25" s="123"/>
      <c r="U25" s="123"/>
    </row>
    <row customHeight="1" ht="12.75" r="26" spans="1:24" x14ac:dyDescent="0.2">
      <c r="A26" s="98">
        <v>35</v>
      </c>
      <c r="B26" s="1001" t="s">
        <v>2188</v>
      </c>
      <c r="C26" s="227"/>
      <c r="D26" s="223"/>
      <c r="E26" s="280"/>
      <c r="F26" s="75"/>
      <c r="G26" s="227"/>
      <c r="H26" s="1922"/>
      <c r="I26" s="1845"/>
      <c r="J26" s="182"/>
      <c r="K26" s="182"/>
      <c r="L26" s="1845"/>
      <c r="M26" s="182"/>
      <c r="N26" s="239"/>
      <c r="O26" s="228"/>
      <c r="P26" s="75"/>
      <c r="T26" s="123"/>
      <c r="U26" s="123"/>
    </row>
    <row r="27" spans="1:24" x14ac:dyDescent="0.2">
      <c r="A27" s="98">
        <v>38</v>
      </c>
      <c r="B27" s="1001" t="s">
        <v>2193</v>
      </c>
      <c r="C27" s="347" t="s">
        <v>4315</v>
      </c>
      <c r="D27" s="265"/>
      <c r="E27" s="269"/>
      <c r="F27" s="75"/>
      <c r="G27" s="347" t="s">
        <v>4327</v>
      </c>
      <c r="H27" s="182"/>
      <c r="I27" s="1845"/>
      <c r="J27" s="1845"/>
      <c r="K27" s="1845"/>
      <c r="L27" s="1845"/>
      <c r="M27" s="182"/>
      <c r="N27" s="182"/>
      <c r="O27" s="228"/>
      <c r="P27" s="75"/>
      <c r="T27" s="123"/>
      <c r="U27" s="123"/>
    </row>
    <row customHeight="1" ht="12.75" r="28" spans="1:24" x14ac:dyDescent="0.2">
      <c r="A28" s="98">
        <v>39</v>
      </c>
      <c r="B28" s="1001" t="s">
        <v>811</v>
      </c>
      <c r="C28" s="249">
        <f>A11</f>
        <v>28</v>
      </c>
      <c r="D28" s="182" t="s">
        <v>6081</v>
      </c>
      <c r="E28" s="228"/>
      <c r="F28" s="75"/>
      <c r="G28" s="249">
        <f>A32</f>
        <v>47</v>
      </c>
      <c r="H28" s="182" t="s">
        <v>4310</v>
      </c>
      <c r="I28" s="182"/>
      <c r="J28" s="182"/>
      <c r="K28" s="182"/>
      <c r="L28" s="1845"/>
      <c r="M28" s="182"/>
      <c r="N28" s="182"/>
      <c r="O28" s="228"/>
      <c r="P28" s="75"/>
      <c r="Q28" s="123"/>
      <c r="R28" s="123"/>
      <c r="S28" s="123"/>
      <c r="T28" s="123"/>
      <c r="U28" s="123"/>
    </row>
    <row customHeight="1" ht="12.75" r="29" spans="1:24" x14ac:dyDescent="0.2">
      <c r="A29" s="98">
        <v>41</v>
      </c>
      <c r="B29" s="1001" t="s">
        <v>789</v>
      </c>
      <c r="C29" s="227"/>
      <c r="D29" s="239"/>
      <c r="E29" s="228"/>
      <c r="F29" s="75"/>
      <c r="G29" s="227"/>
      <c r="H29" s="239"/>
      <c r="I29" s="182"/>
      <c r="J29" s="182"/>
      <c r="K29" s="1845"/>
      <c r="L29" s="1845"/>
      <c r="M29" s="182"/>
      <c r="N29" s="182"/>
      <c r="O29" s="228"/>
      <c r="P29" s="75"/>
      <c r="Q29" s="123"/>
      <c r="R29" s="123"/>
      <c r="S29" s="123"/>
      <c r="T29" s="123"/>
      <c r="U29" s="123"/>
    </row>
    <row r="30" spans="1:24" x14ac:dyDescent="0.2">
      <c r="A30" s="98">
        <v>41.1</v>
      </c>
      <c r="B30" s="1001"/>
      <c r="C30" s="347" t="s">
        <v>4319</v>
      </c>
      <c r="D30" s="265"/>
      <c r="E30" s="228"/>
      <c r="F30" s="75"/>
      <c r="G30" s="347" t="s">
        <v>4330</v>
      </c>
      <c r="H30" s="182"/>
      <c r="I30" s="182"/>
      <c r="J30" s="182"/>
      <c r="K30" s="1845"/>
      <c r="L30" s="1846"/>
      <c r="M30" s="1845"/>
      <c r="N30" s="1845"/>
      <c r="O30" s="228"/>
      <c r="P30" s="75"/>
      <c r="Q30" s="123"/>
      <c r="R30" s="123"/>
      <c r="S30" s="123"/>
      <c r="T30" s="123"/>
      <c r="U30" s="1954"/>
      <c r="V30" s="123"/>
      <c r="W30" s="123"/>
      <c r="X30" s="1951"/>
    </row>
    <row customHeight="1" ht="12.75" r="31" spans="1:24" x14ac:dyDescent="0.2">
      <c r="A31" s="98">
        <v>41.2</v>
      </c>
      <c r="B31" s="1001" t="s">
        <v>2195</v>
      </c>
      <c r="C31" s="249">
        <f>A13</f>
        <v>30</v>
      </c>
      <c r="D31" s="182" t="s">
        <v>2311</v>
      </c>
      <c r="E31" s="228"/>
      <c r="F31" s="75"/>
      <c r="G31" s="249">
        <f>A34</f>
        <v>58</v>
      </c>
      <c r="H31" s="182" t="s">
        <v>4310</v>
      </c>
      <c r="I31" s="182"/>
      <c r="J31" s="182"/>
      <c r="K31" s="1845"/>
      <c r="L31" s="182"/>
      <c r="M31" s="182"/>
      <c r="N31" s="182"/>
      <c r="O31" s="228"/>
      <c r="P31" s="75"/>
      <c r="Q31" s="123"/>
      <c r="R31" s="123"/>
      <c r="S31" s="123"/>
      <c r="T31" s="123"/>
      <c r="U31" s="1957"/>
      <c r="V31" s="123"/>
      <c r="W31" s="123"/>
      <c r="X31" s="1951"/>
    </row>
    <row customHeight="1" ht="12" r="32" spans="1:24" x14ac:dyDescent="0.2">
      <c r="A32" s="98">
        <v>47</v>
      </c>
      <c r="B32" s="1001"/>
      <c r="C32" s="227"/>
      <c r="D32" s="185"/>
      <c r="E32" s="228"/>
      <c r="F32" s="75"/>
      <c r="G32" s="227"/>
      <c r="H32" s="239"/>
      <c r="I32" s="182"/>
      <c r="J32" s="182"/>
      <c r="K32" s="1845"/>
      <c r="L32" s="1845"/>
      <c r="M32" s="1845"/>
      <c r="N32" s="1845"/>
      <c r="O32" s="228"/>
      <c r="P32" s="75"/>
      <c r="Q32" s="123"/>
      <c r="R32" s="123"/>
      <c r="S32" s="123"/>
      <c r="T32" s="123"/>
      <c r="U32" s="1955"/>
      <c r="V32" s="123"/>
      <c r="W32" s="123"/>
      <c r="X32" s="1951"/>
    </row>
    <row customHeight="1" ht="12" r="33" spans="1:24" x14ac:dyDescent="0.2">
      <c r="A33" s="98">
        <v>48</v>
      </c>
      <c r="B33" s="1001" t="s">
        <v>809</v>
      </c>
      <c r="C33" s="227"/>
      <c r="D33" s="265"/>
      <c r="E33" s="228"/>
      <c r="F33" s="75"/>
      <c r="G33" s="227"/>
      <c r="H33" s="1845"/>
      <c r="I33" s="182"/>
      <c r="J33" s="182"/>
      <c r="K33" s="1845"/>
      <c r="L33" s="1845"/>
      <c r="M33" s="1845"/>
      <c r="N33" s="1845"/>
      <c r="O33" s="228"/>
      <c r="P33" s="75"/>
      <c r="Q33" s="123"/>
      <c r="R33" s="123"/>
      <c r="S33" s="123"/>
      <c r="T33" s="123"/>
      <c r="U33" s="1956"/>
      <c r="V33" s="123"/>
      <c r="W33" s="123"/>
      <c r="X33" s="1951"/>
    </row>
    <row r="34" spans="1:24" x14ac:dyDescent="0.2">
      <c r="A34" s="98">
        <v>58</v>
      </c>
      <c r="B34" s="1001" t="s">
        <v>4325</v>
      </c>
      <c r="C34" s="249">
        <f>A14</f>
        <v>31</v>
      </c>
      <c r="D34" s="182" t="s">
        <v>2311</v>
      </c>
      <c r="E34" s="228"/>
      <c r="F34" s="75"/>
      <c r="G34" s="249">
        <f>A35</f>
        <v>60</v>
      </c>
      <c r="H34" s="1846" t="s">
        <v>6282</v>
      </c>
      <c r="I34" s="182"/>
      <c r="J34" s="249">
        <f>A36</f>
        <v>63.1</v>
      </c>
      <c r="K34" s="1846" t="s">
        <v>6279</v>
      </c>
      <c r="L34" s="1845"/>
      <c r="M34" s="2231">
        <f>A37</f>
        <v>63.2</v>
      </c>
      <c r="N34" s="2222" t="s">
        <v>6842</v>
      </c>
      <c r="O34" s="2233"/>
      <c r="P34" s="75"/>
      <c r="Q34" s="123"/>
      <c r="R34" s="123"/>
      <c r="S34" s="123"/>
      <c r="T34" s="123"/>
      <c r="U34" s="1955"/>
      <c r="V34" s="1951"/>
      <c r="W34" s="123"/>
      <c r="X34" s="1951"/>
    </row>
    <row customHeight="1" ht="12" r="35" spans="1:24" x14ac:dyDescent="0.2">
      <c r="A35" s="98">
        <v>60</v>
      </c>
      <c r="B35" s="1001" t="s">
        <v>4253</v>
      </c>
      <c r="C35" s="227"/>
      <c r="D35" s="185"/>
      <c r="E35" s="228"/>
      <c r="F35" s="75"/>
      <c r="G35" s="227"/>
      <c r="H35" s="1952"/>
      <c r="I35" s="182"/>
      <c r="J35" s="182"/>
      <c r="K35" s="1953"/>
      <c r="L35" s="1845"/>
      <c r="M35" s="182"/>
      <c r="N35" s="1953"/>
      <c r="O35" s="228"/>
      <c r="P35" s="75"/>
      <c r="Q35" s="123"/>
      <c r="R35" s="123"/>
      <c r="S35" s="123"/>
      <c r="T35" s="123"/>
      <c r="U35" s="123"/>
    </row>
    <row customHeight="1" ht="12" r="36" spans="1:24" x14ac:dyDescent="0.2">
      <c r="A36" s="98">
        <v>63.1</v>
      </c>
      <c r="B36" s="1001" t="s">
        <v>4322</v>
      </c>
      <c r="C36" s="230"/>
      <c r="D36" s="231"/>
      <c r="E36" s="232"/>
      <c r="F36" s="75"/>
      <c r="G36" s="227"/>
      <c r="H36" s="1922" t="s">
        <v>6862</v>
      </c>
      <c r="I36" s="1845"/>
      <c r="J36" s="1845"/>
      <c r="K36" s="1845"/>
      <c r="L36" s="1845"/>
      <c r="M36" s="182"/>
      <c r="N36" s="214" t="s">
        <v>6863</v>
      </c>
      <c r="O36" s="228"/>
      <c r="P36" s="75"/>
    </row>
    <row r="37" spans="1:24" x14ac:dyDescent="0.2">
      <c r="A37" s="98">
        <v>63.2</v>
      </c>
      <c r="B37" s="1001" t="s">
        <v>4328</v>
      </c>
      <c r="C37" s="1000"/>
      <c r="D37" s="1000"/>
      <c r="E37" s="1000"/>
      <c r="F37" s="75"/>
      <c r="G37" s="347"/>
      <c r="H37" s="182"/>
      <c r="I37" s="1845"/>
      <c r="J37" s="1845"/>
      <c r="K37" s="1845"/>
      <c r="L37" s="1845"/>
      <c r="M37" s="2230" t="s">
        <v>6447</v>
      </c>
      <c r="N37" s="2232" t="s">
        <v>6844</v>
      </c>
      <c r="O37" s="2233"/>
      <c r="P37" s="75"/>
    </row>
    <row r="38" spans="1:24" x14ac:dyDescent="0.2">
      <c r="A38" s="98">
        <v>70</v>
      </c>
      <c r="B38" s="1001" t="s">
        <v>4331</v>
      </c>
      <c r="C38" s="1000"/>
      <c r="D38" s="1000"/>
      <c r="E38" s="1000"/>
      <c r="F38" s="75"/>
      <c r="G38" s="227"/>
      <c r="H38" s="1922"/>
      <c r="I38" s="1845"/>
      <c r="J38" s="182"/>
      <c r="K38" s="182"/>
      <c r="L38" s="1845"/>
      <c r="M38" s="182"/>
      <c r="N38" s="223"/>
      <c r="O38" s="228"/>
      <c r="P38" s="75"/>
    </row>
    <row r="39" spans="1:24" x14ac:dyDescent="0.2">
      <c r="A39" s="98">
        <v>73</v>
      </c>
      <c r="B39" s="1001" t="s">
        <v>4329</v>
      </c>
      <c r="C39" s="1000"/>
      <c r="D39" s="1000"/>
      <c r="E39" s="1000"/>
      <c r="F39" s="75"/>
      <c r="G39" s="347" t="s">
        <v>4317</v>
      </c>
      <c r="H39" s="182"/>
      <c r="I39" s="182"/>
      <c r="J39" s="1845"/>
      <c r="K39" s="1845"/>
      <c r="L39" s="1845"/>
      <c r="M39" s="182"/>
      <c r="N39" s="182"/>
      <c r="O39" s="228"/>
      <c r="P39" s="75"/>
    </row>
    <row r="40" spans="1:24" x14ac:dyDescent="0.2">
      <c r="A40" s="98">
        <v>76</v>
      </c>
      <c r="B40" s="75"/>
      <c r="C40" s="1000"/>
      <c r="D40" s="1000"/>
      <c r="E40" s="1000"/>
      <c r="F40" s="75"/>
      <c r="G40" s="426">
        <f>A38</f>
        <v>70</v>
      </c>
      <c r="H40" s="182" t="s">
        <v>5754</v>
      </c>
      <c r="I40" s="1846"/>
      <c r="J40" s="182"/>
      <c r="K40" s="182"/>
      <c r="L40" s="1845"/>
      <c r="M40" s="182"/>
      <c r="N40" s="182"/>
      <c r="O40" s="228"/>
      <c r="P40" s="75"/>
    </row>
    <row r="41" spans="1:24" x14ac:dyDescent="0.2">
      <c r="A41" s="98">
        <v>77</v>
      </c>
      <c r="B41" s="1001"/>
      <c r="C41" s="1000"/>
      <c r="D41" s="1000"/>
      <c r="E41" s="1000"/>
      <c r="F41" s="75"/>
      <c r="G41" s="227"/>
      <c r="H41" s="2249"/>
      <c r="I41" s="182"/>
      <c r="J41" s="182"/>
      <c r="K41" s="182"/>
      <c r="L41" s="1845"/>
      <c r="M41" s="1845"/>
      <c r="N41" s="1845"/>
      <c r="O41" s="228"/>
      <c r="P41" s="75"/>
    </row>
    <row r="42" spans="1:24" x14ac:dyDescent="0.2">
      <c r="A42" s="98">
        <v>78</v>
      </c>
      <c r="B42" s="1088"/>
      <c r="C42" s="1000"/>
      <c r="D42" s="1000"/>
      <c r="E42" s="1000"/>
      <c r="F42" s="75"/>
      <c r="G42" s="347" t="s">
        <v>4318</v>
      </c>
      <c r="H42" s="182"/>
      <c r="I42" s="182"/>
      <c r="J42" s="182"/>
      <c r="K42" s="182"/>
      <c r="L42" s="1845"/>
      <c r="M42" s="182"/>
      <c r="N42" s="182"/>
      <c r="O42" s="228"/>
      <c r="P42" s="75"/>
    </row>
    <row r="43" spans="1:24" x14ac:dyDescent="0.2">
      <c r="A43" s="98">
        <v>79</v>
      </c>
      <c r="B43" s="1088"/>
      <c r="C43" s="1000"/>
      <c r="D43" s="1000"/>
      <c r="E43" s="1000"/>
      <c r="F43" s="75"/>
      <c r="G43" s="249">
        <f>A40</f>
        <v>76</v>
      </c>
      <c r="H43" s="265" t="s">
        <v>6859</v>
      </c>
      <c r="I43" s="182"/>
      <c r="J43" s="182"/>
      <c r="K43" s="182"/>
      <c r="L43" s="1845"/>
      <c r="M43" s="182"/>
      <c r="N43" s="182"/>
      <c r="O43" s="228"/>
      <c r="P43" s="1000"/>
    </row>
    <row r="44" spans="1:24" x14ac:dyDescent="0.2">
      <c r="A44" s="98">
        <v>80</v>
      </c>
      <c r="B44" s="1000"/>
      <c r="C44" s="1000"/>
      <c r="D44" s="1000"/>
      <c r="E44" s="1000"/>
      <c r="F44" s="75"/>
      <c r="G44" s="227"/>
      <c r="H44" s="2250"/>
      <c r="I44" s="182"/>
      <c r="J44" s="182"/>
      <c r="K44" s="182"/>
      <c r="L44" s="1845"/>
      <c r="M44" s="1845"/>
      <c r="N44" s="1845"/>
      <c r="O44" s="228"/>
      <c r="P44" s="75"/>
    </row>
    <row r="45" spans="1:24" x14ac:dyDescent="0.2">
      <c r="A45" s="98">
        <v>82</v>
      </c>
      <c r="B45" s="1088"/>
      <c r="C45" s="1000"/>
      <c r="D45" s="1000"/>
      <c r="E45" s="1000"/>
      <c r="F45" s="75"/>
      <c r="G45" s="347" t="s">
        <v>4319</v>
      </c>
      <c r="H45" s="182"/>
      <c r="I45" s="182"/>
      <c r="J45" s="182"/>
      <c r="K45" s="182"/>
      <c r="L45" s="1845"/>
      <c r="M45" s="182"/>
      <c r="N45" s="182"/>
      <c r="O45" s="228"/>
      <c r="P45" s="1000"/>
    </row>
    <row r="46" spans="1:24" x14ac:dyDescent="0.2">
      <c r="B46" s="1000"/>
      <c r="C46" s="1089"/>
      <c r="D46" s="1000"/>
      <c r="E46" s="1089"/>
      <c r="F46" s="75"/>
      <c r="G46" s="249">
        <f>A41</f>
        <v>77</v>
      </c>
      <c r="H46" s="182" t="s">
        <v>2311</v>
      </c>
      <c r="I46" s="228"/>
      <c r="J46" s="426">
        <f>A39</f>
        <v>73</v>
      </c>
      <c r="K46" s="265" t="str">
        <f>"Taxed income taxable @ "&amp;BR_rate*100&amp;"%"</f>
        <v>Taxed income taxable @ 20%</v>
      </c>
      <c r="L46" s="1845"/>
      <c r="M46" s="182"/>
      <c r="N46" s="182"/>
      <c r="O46" s="228"/>
      <c r="P46" s="63"/>
    </row>
    <row r="47" spans="1:24" x14ac:dyDescent="0.2">
      <c r="B47" s="1000"/>
      <c r="C47" s="1089"/>
      <c r="D47" s="1000"/>
      <c r="E47" s="1089"/>
      <c r="F47" s="75"/>
      <c r="G47" s="227"/>
      <c r="H47" s="2251"/>
      <c r="I47" s="182"/>
      <c r="J47" s="182"/>
      <c r="K47" s="239"/>
      <c r="L47" s="1845"/>
      <c r="M47" s="1845"/>
      <c r="N47" s="1845"/>
      <c r="O47" s="228"/>
      <c r="P47" s="75"/>
    </row>
    <row r="48" spans="1:24" x14ac:dyDescent="0.2">
      <c r="B48" s="1000"/>
      <c r="C48" s="1089"/>
      <c r="D48" s="1000"/>
      <c r="E48" s="1089"/>
      <c r="F48" s="75"/>
      <c r="G48" s="227"/>
      <c r="H48" s="182"/>
      <c r="I48" s="182"/>
      <c r="J48" s="182"/>
      <c r="K48" s="182"/>
      <c r="L48" s="1845"/>
      <c r="M48" s="1845"/>
      <c r="N48" s="1845"/>
      <c r="O48" s="228"/>
      <c r="P48" s="75"/>
    </row>
    <row r="49" spans="2:16" x14ac:dyDescent="0.2">
      <c r="B49" s="1000"/>
      <c r="C49" s="1089"/>
      <c r="D49" s="1000"/>
      <c r="E49" s="1089"/>
      <c r="F49" s="75"/>
      <c r="G49" s="249">
        <f>A42</f>
        <v>78</v>
      </c>
      <c r="H49" s="182" t="s">
        <v>2311</v>
      </c>
      <c r="I49" s="1845"/>
      <c r="J49" s="249">
        <f>A43</f>
        <v>79</v>
      </c>
      <c r="K49" s="182" t="s">
        <v>2311</v>
      </c>
      <c r="L49" s="182"/>
      <c r="M49" s="1845"/>
      <c r="N49" s="1845"/>
      <c r="O49" s="228"/>
      <c r="P49" s="75"/>
    </row>
    <row r="50" spans="2:16" x14ac:dyDescent="0.2">
      <c r="B50" s="1000"/>
      <c r="C50" s="1089"/>
      <c r="D50" s="1000"/>
      <c r="E50" s="1089"/>
      <c r="F50" s="75"/>
      <c r="G50" s="227"/>
      <c r="H50" s="185"/>
      <c r="I50" s="182"/>
      <c r="J50" s="182"/>
      <c r="K50" s="239"/>
      <c r="L50" s="1845"/>
      <c r="M50" s="1845"/>
      <c r="N50" s="1845"/>
      <c r="O50" s="228"/>
      <c r="P50" s="75"/>
    </row>
    <row r="51" spans="2:16" x14ac:dyDescent="0.2">
      <c r="B51" s="1000"/>
      <c r="C51" s="1089"/>
      <c r="D51" s="1000"/>
      <c r="E51" s="1089"/>
      <c r="F51" s="75"/>
      <c r="G51" s="230"/>
      <c r="H51" s="281"/>
      <c r="I51" s="281"/>
      <c r="J51" s="281"/>
      <c r="K51" s="281"/>
      <c r="L51" s="281"/>
      <c r="M51" s="281"/>
      <c r="N51" s="1848"/>
      <c r="O51" s="232"/>
      <c r="P51" s="75"/>
    </row>
    <row r="52" spans="2:16" x14ac:dyDescent="0.2">
      <c r="F52" s="75"/>
      <c r="G52" s="75"/>
      <c r="H52" s="75"/>
      <c r="I52" s="75"/>
      <c r="J52" s="75"/>
      <c r="K52" s="75"/>
      <c r="L52" s="75"/>
      <c r="M52" s="75"/>
      <c r="N52" s="75"/>
      <c r="O52" s="75"/>
      <c r="P52" s="75"/>
    </row>
  </sheetData>
  <sheetProtection objects="1" scenarios="1" sheet="1"/>
  <phoneticPr fontId="67" type="noConversion"/>
  <pageMargins bottom="1" footer="0.5" header="0.5" left="0.75" right="0.75" top="1"/>
  <pageSetup orientation="landscape" paperSize="9" r:id="rId1"/>
  <headerFooter alignWithMargins="0"/>
  <drawing r:id="rId2"/>
  <legacyDrawing r:id="rId3"/>
  <mc:AlternateContent>
    <mc:Choice Requires="x14">
      <controls>
        <mc:AlternateContent>
          <mc:Choice Requires="x14">
            <control name="Check Box 1" r:id="rId4" shapeId="9217">
              <controlPr autoFill="0" autoLine="0" autoPict="0" defaultSize="0">
                <anchor moveWithCells="1">
                  <from>
                    <xdr:col>2</xdr:col>
                    <xdr:colOff>295275</xdr:colOff>
                    <xdr:row>21</xdr:row>
                    <xdr:rowOff>104775</xdr:rowOff>
                  </from>
                  <to>
                    <xdr:col>3</xdr:col>
                    <xdr:colOff>266700</xdr:colOff>
                    <xdr:row>23</xdr:row>
                    <xdr:rowOff>0</xdr:rowOff>
                  </to>
                </anchor>
              </controlPr>
            </control>
          </mc:Choice>
        </mc:AlternateContent>
        <mc:AlternateContent>
          <mc:Choice Requires="x14">
            <control name="Check Box 3" r:id="rId5" shapeId="9219">
              <controlPr autoFill="0" autoLine="0" autoPict="0" defaultSize="0">
                <anchor moveWithCells="1">
                  <from>
                    <xdr:col>9</xdr:col>
                    <xdr:colOff>314325</xdr:colOff>
                    <xdr:row>12</xdr:row>
                    <xdr:rowOff>104775</xdr:rowOff>
                  </from>
                  <to>
                    <xdr:col>10</xdr:col>
                    <xdr:colOff>285750</xdr:colOff>
                    <xdr:row>14</xdr:row>
                    <xdr:rowOff>0</xdr:rowOff>
                  </to>
                </anchor>
              </controlPr>
            </control>
          </mc:Choice>
        </mc:AlternateContent>
        <mc:AlternateContent>
          <mc:Choice Requires="x14">
            <control name="Check Box 4" r:id="rId6" shapeId="9220">
              <controlPr autoFill="0" autoLine="0" autoPict="0" defaultSize="0">
                <anchor moveWithCells="1">
                  <from>
                    <xdr:col>2</xdr:col>
                    <xdr:colOff>285750</xdr:colOff>
                    <xdr:row>18</xdr:row>
                    <xdr:rowOff>114300</xdr:rowOff>
                  </from>
                  <to>
                    <xdr:col>3</xdr:col>
                    <xdr:colOff>257175</xdr:colOff>
                    <xdr:row>20</xdr:row>
                    <xdr:rowOff>9525</xdr:rowOff>
                  </to>
                </anchor>
              </controlPr>
            </control>
          </mc:Choice>
        </mc:AlternateContent>
        <mc:AlternateContent>
          <mc:Choice Requires="x14">
            <control name="Check Box 5" r:id="rId7" shapeId="2">
              <controlPr autoFill="0" autoLine="0" autoPict="0" defaultSize="0">
                <anchor moveWithCells="1">
                  <from>
                    <xdr:col>6</xdr:col>
                    <xdr:colOff>285750</xdr:colOff>
                    <xdr:row>12</xdr:row>
                    <xdr:rowOff>114300</xdr:rowOff>
                  </from>
                  <to>
                    <xdr:col>7</xdr:col>
                    <xdr:colOff>238125</xdr:colOff>
                    <xdr:row>14</xdr:row>
                    <xdr:rowOff>9525</xdr:rowOff>
                  </to>
                </anchor>
              </controlPr>
            </control>
          </mc:Choice>
        </mc:AlternateContent>
        <mc:AlternateContent>
          <mc:Choice Requires="x14">
            <control name="Button 6" r:id="rId8" shapeId="9222">
              <controlPr autoFill="0" autoPict="0" defaultSize="0" macro="[0]!Show_Page_NI">
                <anchor>
                  <from>
                    <xdr:col>12</xdr:col>
                    <xdr:colOff>85725</xdr:colOff>
                    <xdr:row>5</xdr:row>
                    <xdr:rowOff>57150</xdr:rowOff>
                  </from>
                  <to>
                    <xdr:col>14</xdr:col>
                    <xdr:colOff>1171575</xdr:colOff>
                    <xdr:row>9</xdr:row>
                    <xdr:rowOff>104775</xdr:rowOff>
                  </to>
                </anchor>
              </controlPr>
            </control>
          </mc:Choice>
        </mc:AlternateContent>
      </controls>
    </mc:Choice>
  </mc:AlternateContent>
</worksheet>
</file>

<file path=xl/worksheets/sheet44.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xmlns:xr="http://schemas.microsoft.com/office/spreadsheetml/2014/revision" xmlns:xr2="http://schemas.microsoft.com/office/spreadsheetml/2015/revision2" xmlns:xr3="http://schemas.microsoft.com/office/spreadsheetml/2016/revision3" mc:Ignorable="x14ac xr xr2 xr3" xr:uid="{00000000-0001-0000-2B00-000000000000}">
  <sheetPr codeName="Sheet85"/>
  <dimension ref="A1:R52"/>
  <sheetViews>
    <sheetView showGridLines="0" topLeftCell="B1" workbookViewId="0" zoomScale="96" zoomScaleNormal="96">
      <selection activeCell="H40" sqref="H40"/>
    </sheetView>
  </sheetViews>
  <sheetFormatPr defaultColWidth="9.140625" defaultRowHeight="12.75" x14ac:dyDescent="0.2"/>
  <cols>
    <col min="1" max="2" style="1083" width="9.140625" collapsed="true"/>
    <col min="3" max="3" customWidth="true" style="1083" width="8.0" collapsed="true"/>
    <col min="4" max="4" customWidth="true" style="1083" width="21.0" collapsed="true"/>
    <col min="5" max="5" customWidth="true" style="1083" width="8.7109375" collapsed="true"/>
    <col min="6" max="6" customWidth="true" style="1083" width="8.0" collapsed="true"/>
    <col min="7" max="7" customWidth="true" style="1083" width="21.0" collapsed="true"/>
    <col min="8" max="8" customWidth="true" style="1083" width="13.0" collapsed="true"/>
    <col min="9" max="9" style="1083" width="9.140625" collapsed="true"/>
    <col min="10" max="10" customWidth="true" style="1083" width="18.7109375" collapsed="true"/>
    <col min="11" max="11" customWidth="true" style="1083" width="8.0" collapsed="true"/>
    <col min="12" max="12" customWidth="true" style="1083" width="21.0" collapsed="true"/>
    <col min="13" max="13" customWidth="true" style="1083" width="35.5703125" collapsed="true"/>
    <col min="14" max="14" customWidth="true" style="1083" width="9.140625" collapsed="true"/>
    <col min="15" max="15" customWidth="true" hidden="true" style="1083" width="7.42578125" collapsed="true"/>
    <col min="16" max="16" customWidth="true" hidden="true" style="1083" width="6.0" collapsed="true"/>
    <col min="17" max="16384" style="1083" width="9.140625" collapsed="true"/>
  </cols>
  <sheetData>
    <row r="1" spans="1:17" x14ac:dyDescent="0.2">
      <c r="A1" s="1086"/>
      <c r="B1" s="1086"/>
      <c r="C1" s="1086"/>
      <c r="D1" s="1086"/>
      <c r="E1" s="1086"/>
      <c r="F1" s="1086"/>
      <c r="G1" s="1086"/>
      <c r="H1" s="1086"/>
      <c r="I1" s="1086"/>
      <c r="J1" s="1086"/>
      <c r="K1" s="1086"/>
      <c r="L1" s="1086"/>
      <c r="M1" s="1493"/>
      <c r="N1" s="1283"/>
      <c r="O1" s="1084"/>
      <c r="P1" s="1084"/>
      <c r="Q1" s="1084"/>
    </row>
    <row r="2" spans="1:17" x14ac:dyDescent="0.2">
      <c r="A2" s="1086"/>
      <c r="B2" s="1086"/>
      <c r="C2" s="1850" t="s">
        <v>4563</v>
      </c>
      <c r="D2" s="1851"/>
      <c r="E2" s="1851"/>
      <c r="F2" s="1851"/>
      <c r="G2" s="1851"/>
      <c r="H2" s="1852" t="s">
        <v>4560</v>
      </c>
      <c r="I2" s="1086"/>
      <c r="J2" s="1921" t="s">
        <v>6308</v>
      </c>
      <c r="K2" s="1851"/>
      <c r="L2" s="1853"/>
      <c r="M2" s="1852"/>
      <c r="N2" s="1283"/>
      <c r="O2" s="1084"/>
      <c r="P2" s="1084"/>
      <c r="Q2" s="1084"/>
    </row>
    <row r="3" spans="1:17" x14ac:dyDescent="0.2">
      <c r="A3" s="1086"/>
      <c r="B3" s="1086"/>
      <c r="C3" s="347"/>
      <c r="D3" s="182"/>
      <c r="E3" s="182"/>
      <c r="F3" s="182"/>
      <c r="G3" s="182"/>
      <c r="H3" s="269"/>
      <c r="I3" s="1086"/>
      <c r="J3" s="347" t="s">
        <v>6368</v>
      </c>
      <c r="K3" s="182"/>
      <c r="L3" s="221"/>
      <c r="M3" s="269"/>
      <c r="N3" s="1283"/>
      <c r="O3" s="1084"/>
      <c r="P3" s="1084"/>
      <c r="Q3" s="1084"/>
    </row>
    <row r="4" spans="1:17" x14ac:dyDescent="0.2">
      <c r="A4" s="1086"/>
      <c r="B4" s="1086"/>
      <c r="C4" s="347" t="s">
        <v>4314</v>
      </c>
      <c r="D4" s="182"/>
      <c r="E4" s="182"/>
      <c r="F4" s="182"/>
      <c r="G4" s="182"/>
      <c r="H4" s="228"/>
      <c r="I4" s="1086"/>
      <c r="J4" s="347"/>
      <c r="K4" s="1854" t="s">
        <v>6154</v>
      </c>
      <c r="L4" s="1928" t="str">
        <f>"(UEL ("&amp;DOLLAR(NIC_UEL_Wk,0)&amp;") minus PT ("&amp;DOLLAR(NIC_PT_Wk,0)&amp;")) x 53"</f>
        <v>(UEL ($962) minus PT ($166)) x 53</v>
      </c>
      <c r="M4" s="1926"/>
      <c r="N4" s="1283"/>
      <c r="O4" s="1084"/>
      <c r="P4" s="1084"/>
      <c r="Q4" s="1084"/>
    </row>
    <row r="5" spans="1:17" x14ac:dyDescent="0.2">
      <c r="A5" s="1086"/>
      <c r="B5" s="1086"/>
      <c r="C5" s="347"/>
      <c r="D5" s="1846"/>
      <c r="E5" s="1846"/>
      <c r="F5" s="182"/>
      <c r="G5" s="182"/>
      <c r="H5" s="228"/>
      <c r="I5" s="1086"/>
      <c r="J5" s="347"/>
      <c r="K5" s="1856"/>
      <c r="L5" s="1871">
        <f>(NIC_UEL_Wk-NIC_PT_Wk)*53</f>
        <v>42188</v>
      </c>
      <c r="M5" s="269"/>
      <c r="N5" s="1283"/>
      <c r="O5" s="1084"/>
      <c r="P5" s="1084"/>
      <c r="Q5" s="1084"/>
    </row>
    <row r="6" spans="1:17" x14ac:dyDescent="0.2">
      <c r="A6" s="1086"/>
      <c r="B6" s="1086"/>
      <c r="C6" s="347"/>
      <c r="D6" s="1922" t="s">
        <v>6309</v>
      </c>
      <c r="E6" s="1923"/>
      <c r="F6" s="1869"/>
      <c r="G6" s="1922" t="s">
        <v>6369</v>
      </c>
      <c r="H6" s="1926"/>
      <c r="I6" s="1086"/>
      <c r="J6" s="347"/>
      <c r="K6" s="182"/>
      <c r="L6" s="1857"/>
      <c r="M6" s="269"/>
      <c r="N6" s="1283"/>
      <c r="O6" s="1084"/>
      <c r="P6" s="1084"/>
      <c r="Q6" s="1084"/>
    </row>
    <row r="7" spans="1:17" x14ac:dyDescent="0.2">
      <c r="A7" s="1086"/>
      <c r="B7" s="1086"/>
      <c r="C7" s="1854" t="s">
        <v>6310</v>
      </c>
      <c r="D7" s="1924" t="s">
        <v>6311</v>
      </c>
      <c r="E7" s="1925"/>
      <c r="F7" s="1854" t="s">
        <v>6312</v>
      </c>
      <c r="G7" s="1924" t="str">
        <f>"calculation box "&amp;K40&amp;" opposite"</f>
        <v>calculation box Adj CL2 opposite</v>
      </c>
      <c r="H7" s="1927"/>
      <c r="I7" s="1086"/>
      <c r="J7" s="347"/>
      <c r="K7" s="1854" t="s">
        <v>6153</v>
      </c>
      <c r="L7" s="1928" t="str">
        <f>"Multiply the result of Step 1 by "&amp;NIC1_rate*100&amp;"%"</f>
        <v>Multiply the result of Step 1 by 12%</v>
      </c>
      <c r="M7" s="1926"/>
      <c r="N7" s="1283"/>
      <c r="O7" s="1084"/>
      <c r="P7" s="1084"/>
      <c r="Q7" s="1084"/>
    </row>
    <row r="8" spans="1:17" x14ac:dyDescent="0.2">
      <c r="A8" s="1086"/>
      <c r="B8" s="1086"/>
      <c r="C8" s="1087"/>
      <c r="D8" s="1855"/>
      <c r="E8" s="221"/>
      <c r="F8" s="1870"/>
      <c r="G8" s="1859">
        <f>L41</f>
        <v>0</v>
      </c>
      <c r="H8" s="1867"/>
      <c r="I8" s="1086"/>
      <c r="J8" s="347"/>
      <c r="K8" s="1856"/>
      <c r="L8" s="1859">
        <f>L5*12%</f>
        <v>5062.5599999999995</v>
      </c>
      <c r="M8" s="269"/>
      <c r="N8" s="1283"/>
      <c r="O8" s="1084"/>
      <c r="P8" s="1084"/>
      <c r="Q8" s="1084"/>
    </row>
    <row r="9" spans="1:17" x14ac:dyDescent="0.2">
      <c r="A9" s="1086"/>
      <c r="B9" s="1086"/>
      <c r="C9" s="347"/>
      <c r="D9" s="182"/>
      <c r="E9" s="221"/>
      <c r="F9" s="221"/>
      <c r="G9" s="221"/>
      <c r="H9" s="1867"/>
      <c r="I9" s="1086"/>
      <c r="J9" s="347"/>
      <c r="K9" s="182"/>
      <c r="L9" s="1857"/>
      <c r="M9" s="269"/>
      <c r="N9" s="1283"/>
      <c r="O9" s="1084"/>
      <c r="P9" s="1084"/>
      <c r="Q9" s="1084"/>
    </row>
    <row r="10" spans="1:17" x14ac:dyDescent="0.2">
      <c r="A10" s="1086"/>
      <c r="B10" s="1086"/>
      <c r="C10" s="347"/>
      <c r="D10" s="1922" t="s">
        <v>6371</v>
      </c>
      <c r="E10" s="1923"/>
      <c r="F10" s="221"/>
      <c r="G10" s="221"/>
      <c r="H10" s="1867"/>
      <c r="I10" s="1086"/>
      <c r="J10" s="347"/>
      <c r="K10" s="1854" t="s">
        <v>6295</v>
      </c>
      <c r="L10" s="1846" t="s">
        <v>5149</v>
      </c>
      <c r="M10" s="1926"/>
      <c r="N10" s="1283"/>
      <c r="O10" s="1084"/>
      <c r="P10" s="1084"/>
      <c r="Q10" s="1084"/>
    </row>
    <row r="11" spans="1:17" x14ac:dyDescent="0.2">
      <c r="A11" s="1086"/>
      <c r="B11" s="1086"/>
      <c r="C11" s="1854" t="s">
        <v>4444</v>
      </c>
      <c r="D11" s="1924" t="s">
        <v>6370</v>
      </c>
      <c r="E11" s="1923"/>
      <c r="F11" s="221"/>
      <c r="G11" s="221"/>
      <c r="H11" s="1867"/>
      <c r="I11" s="1086"/>
      <c r="J11" s="347"/>
      <c r="K11" s="1856"/>
      <c r="L11" s="1855">
        <f>D20+D27</f>
        <v>24622</v>
      </c>
      <c r="M11" s="269"/>
      <c r="N11" s="1283"/>
      <c r="O11" s="1084"/>
      <c r="P11" s="1084"/>
      <c r="Q11" s="1084"/>
    </row>
    <row r="12" spans="1:17" x14ac:dyDescent="0.2">
      <c r="A12" s="1086"/>
      <c r="B12" s="1086"/>
      <c r="C12" s="1087"/>
      <c r="D12" s="1855">
        <v>117</v>
      </c>
      <c r="E12" s="221"/>
      <c r="F12" s="221"/>
      <c r="G12" s="221"/>
      <c r="H12" s="1867"/>
      <c r="I12" s="1086"/>
      <c r="J12" s="347"/>
      <c r="K12" s="182"/>
      <c r="L12" s="1857"/>
      <c r="M12" s="269"/>
      <c r="N12" s="1283"/>
      <c r="O12" s="1084"/>
      <c r="P12" s="1084"/>
      <c r="Q12" s="1084"/>
    </row>
    <row r="13" spans="1:17" x14ac:dyDescent="0.2">
      <c r="A13" s="1086"/>
      <c r="B13" s="1086"/>
      <c r="C13" s="347"/>
      <c r="D13" s="182"/>
      <c r="E13" s="221"/>
      <c r="F13" s="221"/>
      <c r="G13" s="221"/>
      <c r="H13" s="1867"/>
      <c r="I13" s="1086"/>
      <c r="J13" s="347"/>
      <c r="K13" s="1854" t="s">
        <v>6296</v>
      </c>
      <c r="L13" s="1928" t="s">
        <v>6313</v>
      </c>
      <c r="M13" s="1926"/>
      <c r="N13" s="1283"/>
      <c r="O13" s="1084"/>
      <c r="P13" s="1084"/>
      <c r="Q13" s="1084"/>
    </row>
    <row r="14" spans="1:17" x14ac:dyDescent="0.2">
      <c r="A14" s="1086"/>
      <c r="B14" s="1086"/>
      <c r="C14" s="347" t="s">
        <v>6365</v>
      </c>
      <c r="D14" s="182"/>
      <c r="E14" s="182"/>
      <c r="F14" s="269"/>
      <c r="G14" s="221"/>
      <c r="H14" s="1867"/>
      <c r="I14" s="1086"/>
      <c r="J14" s="347"/>
      <c r="K14" s="1856"/>
      <c r="L14" s="1859">
        <f>MAX(0,L11-L5)</f>
        <v>0</v>
      </c>
      <c r="M14" s="269"/>
      <c r="N14" s="1283"/>
      <c r="O14" s="1084"/>
      <c r="P14" s="1084"/>
      <c r="Q14" s="1084"/>
    </row>
    <row r="15" spans="1:17" x14ac:dyDescent="0.2">
      <c r="A15" s="1086"/>
      <c r="B15" s="1086"/>
      <c r="C15" s="347" t="s">
        <v>6366</v>
      </c>
      <c r="D15" s="182"/>
      <c r="E15" s="182"/>
      <c r="F15" s="221"/>
      <c r="G15" s="221"/>
      <c r="H15" s="1867"/>
      <c r="I15" s="1086"/>
      <c r="J15" s="347"/>
      <c r="K15" s="182"/>
      <c r="L15" s="221"/>
      <c r="M15" s="269"/>
      <c r="N15" s="1283"/>
      <c r="O15" s="1084"/>
      <c r="P15" s="1084"/>
      <c r="Q15" s="1084"/>
    </row>
    <row r="16" spans="1:17" x14ac:dyDescent="0.2">
      <c r="A16" s="1086"/>
      <c r="B16" s="1086"/>
      <c r="C16" s="347" t="s">
        <v>6367</v>
      </c>
      <c r="D16" s="182"/>
      <c r="E16" s="182"/>
      <c r="F16" s="221"/>
      <c r="G16" s="221"/>
      <c r="H16" s="1867"/>
      <c r="I16" s="1086"/>
      <c r="J16" s="347"/>
      <c r="K16" s="1854" t="s">
        <v>6297</v>
      </c>
      <c r="L16" s="1928" t="s">
        <v>7667</v>
      </c>
      <c r="M16" s="1926"/>
      <c r="N16" s="1283"/>
      <c r="O16" s="1084"/>
      <c r="P16" s="1084"/>
      <c r="Q16" s="1084"/>
    </row>
    <row r="17" spans="1:17" x14ac:dyDescent="0.2">
      <c r="A17" s="1086"/>
      <c r="B17" s="1086"/>
      <c r="C17" s="347"/>
      <c r="D17" s="182"/>
      <c r="E17" s="221"/>
      <c r="F17" s="221"/>
      <c r="G17" s="221"/>
      <c r="H17" s="1867"/>
      <c r="I17" s="1086"/>
      <c r="J17" s="347"/>
      <c r="K17" s="1856"/>
      <c r="L17" s="1859">
        <f>L14*2%</f>
        <v>0</v>
      </c>
      <c r="M17" s="269"/>
      <c r="N17" s="1283"/>
      <c r="O17" s="1084"/>
      <c r="P17" s="1084"/>
      <c r="Q17" s="1084"/>
    </row>
    <row r="18" spans="1:17" x14ac:dyDescent="0.2">
      <c r="A18" s="1086"/>
      <c r="B18" s="1086"/>
      <c r="C18" s="347" t="s">
        <v>2074</v>
      </c>
      <c r="D18" s="182"/>
      <c r="E18" s="182"/>
      <c r="F18" s="221"/>
      <c r="G18" s="221"/>
      <c r="H18" s="1867"/>
      <c r="I18" s="1086"/>
      <c r="J18" s="347"/>
      <c r="K18" s="182"/>
      <c r="L18" s="221"/>
      <c r="M18" s="269"/>
      <c r="N18" s="1283"/>
      <c r="O18" s="1084"/>
      <c r="P18" s="1084"/>
      <c r="Q18" s="1084"/>
    </row>
    <row r="19" spans="1:17" x14ac:dyDescent="0.2">
      <c r="A19" s="1086"/>
      <c r="B19" s="1086"/>
      <c r="C19" s="1854" t="s">
        <v>5880</v>
      </c>
      <c r="D19" s="2904" t="s">
        <v>7280</v>
      </c>
      <c r="E19" s="182"/>
      <c r="F19" s="221"/>
      <c r="G19" s="221"/>
      <c r="H19" s="1867"/>
      <c r="I19" s="1086"/>
      <c r="J19" s="1494"/>
      <c r="K19" s="1854" t="s">
        <v>6298</v>
      </c>
      <c r="L19" s="1928" t="str">
        <f><![CDATA["("&C19&" + "&C26&") minus (Step 3 x "&NIC1_rate*100&"%) / 2%"]]></f>
        <v>(EMPCL1 + MORCL1) minus (Step 3 x 12%) / 2%</v>
      </c>
      <c r="M19" s="1926"/>
      <c r="N19" s="1283"/>
      <c r="O19" s="1084"/>
      <c r="P19" s="1084"/>
      <c r="Q19" s="1084"/>
    </row>
    <row r="20" spans="1:17" x14ac:dyDescent="0.2">
      <c r="A20" s="1086"/>
      <c r="B20" s="1086"/>
      <c r="C20" s="1087"/>
      <c r="D20" s="1929">
        <v>24622</v>
      </c>
      <c r="E20" s="221"/>
      <c r="F20" s="221"/>
      <c r="G20" s="221"/>
      <c r="H20" s="1867"/>
      <c r="I20" s="1086"/>
      <c r="J20" s="1494"/>
      <c r="K20" s="182"/>
      <c r="L20" s="1858">
        <f>MAX(0,((D20+D27)-(L11*NIC1_rate))/2%)</f>
        <v>1083368</v>
      </c>
      <c r="M20" s="269"/>
      <c r="N20" s="1283"/>
      <c r="O20" s="1861"/>
      <c r="P20" s="1100" t="s">
        <v>4572</v>
      </c>
      <c r="Q20" s="1084"/>
    </row>
    <row r="21" spans="1:17" x14ac:dyDescent="0.2">
      <c r="A21" s="1086"/>
      <c r="B21" s="1086"/>
      <c r="C21" s="347"/>
      <c r="D21" s="182"/>
      <c r="E21" s="221"/>
      <c r="F21" s="221"/>
      <c r="G21" s="221"/>
      <c r="H21" s="1867"/>
      <c r="I21" s="1086"/>
      <c r="J21" s="1494"/>
      <c r="K21" s="182"/>
      <c r="L21" s="221"/>
      <c r="M21" s="269"/>
      <c r="N21" s="1860"/>
      <c r="O21" s="1862">
        <f>NIC2_weekamt</f>
        <v>3</v>
      </c>
      <c r="P21" s="1100" t="s">
        <v>4443</v>
      </c>
      <c r="Q21" s="1084"/>
    </row>
    <row r="22" spans="1:17" x14ac:dyDescent="0.2">
      <c r="A22" s="1086"/>
      <c r="B22" s="1493"/>
      <c r="C22" s="347"/>
      <c r="D22" s="221"/>
      <c r="E22" s="221"/>
      <c r="F22" s="221"/>
      <c r="G22" s="221"/>
      <c r="H22" s="1867"/>
      <c r="I22" s="1086"/>
      <c r="J22" s="1494"/>
      <c r="K22" s="1854" t="s">
        <v>6299</v>
      </c>
      <c r="L22" s="1928" t="s">
        <v>6300</v>
      </c>
      <c r="M22" s="1926"/>
      <c r="N22" s="1860"/>
      <c r="O22" s="1862">
        <f>NIC2SF_weekamt</f>
        <v>3.65</v>
      </c>
      <c r="P22" s="1100" t="s">
        <v>4569</v>
      </c>
      <c r="Q22" s="1084"/>
    </row>
    <row r="23" spans="1:17" x14ac:dyDescent="0.2">
      <c r="A23" s="1086"/>
      <c r="B23" s="1493"/>
      <c r="C23" s="347"/>
      <c r="D23" s="221"/>
      <c r="E23" s="221"/>
      <c r="F23" s="221"/>
      <c r="G23" s="221"/>
      <c r="H23" s="1867"/>
      <c r="I23" s="1086"/>
      <c r="J23" s="1494"/>
      <c r="K23" s="1856"/>
      <c r="L23" s="1871">
        <f>L20*2%</f>
        <v>21667.360000000001</v>
      </c>
      <c r="M23" s="269"/>
      <c r="N23" s="1860"/>
      <c r="O23" s="1861">
        <v>2</v>
      </c>
      <c r="P23" s="1100" t="s">
        <v>4571</v>
      </c>
      <c r="Q23" s="1084"/>
    </row>
    <row r="24" spans="1:17" x14ac:dyDescent="0.2">
      <c r="A24" s="1086"/>
      <c r="B24" s="1493"/>
      <c r="C24" s="347"/>
      <c r="D24" s="221"/>
      <c r="E24" s="221"/>
      <c r="F24" s="221"/>
      <c r="G24" s="221"/>
      <c r="H24" s="1867"/>
      <c r="I24" s="1086"/>
      <c r="J24" s="1494"/>
      <c r="K24" s="182"/>
      <c r="L24" s="221"/>
      <c r="M24" s="269"/>
      <c r="N24" s="1860"/>
      <c r="O24" s="1861"/>
      <c r="P24" s="1084"/>
      <c r="Q24" s="1084"/>
    </row>
    <row r="25" spans="1:17" x14ac:dyDescent="0.2">
      <c r="A25" s="1086"/>
      <c r="B25" s="1493"/>
      <c r="C25" s="347" t="s">
        <v>2391</v>
      </c>
      <c r="D25" s="182"/>
      <c r="E25" s="221"/>
      <c r="F25" s="221"/>
      <c r="G25" s="221"/>
      <c r="H25" s="1867"/>
      <c r="I25" s="1086"/>
      <c r="J25" s="1494"/>
      <c r="K25" s="1854" t="s">
        <v>6301</v>
      </c>
      <c r="L25" s="1928" t="s">
        <v>6302</v>
      </c>
      <c r="M25" s="1926"/>
      <c r="N25" s="1283"/>
      <c r="O25" s="1084"/>
      <c r="P25" s="1084"/>
      <c r="Q25" s="1084"/>
    </row>
    <row r="26" spans="1:17" x14ac:dyDescent="0.2">
      <c r="A26" s="1086"/>
      <c r="B26" s="1493"/>
      <c r="C26" s="1854" t="s">
        <v>5881</v>
      </c>
      <c r="D26" s="2904" t="s">
        <v>7280</v>
      </c>
      <c r="E26" s="182"/>
      <c r="F26" s="221"/>
      <c r="G26" s="221"/>
      <c r="H26" s="1867"/>
      <c r="I26" s="1086"/>
      <c r="J26" s="1494"/>
      <c r="K26" s="1856"/>
      <c r="L26" s="1859">
        <f>L8+L17+L23</f>
        <v>26729.919999999998</v>
      </c>
      <c r="M26" s="269"/>
      <c r="N26" s="1283"/>
      <c r="O26" s="1084"/>
      <c r="P26" s="1084"/>
      <c r="Q26" s="1084"/>
    </row>
    <row r="27" spans="1:17" x14ac:dyDescent="0.2">
      <c r="A27" s="1086"/>
      <c r="B27" s="1086"/>
      <c r="C27" s="1087"/>
      <c r="D27" s="1929"/>
      <c r="E27" s="221"/>
      <c r="F27" s="221"/>
      <c r="G27" s="221"/>
      <c r="H27" s="1867"/>
      <c r="I27" s="1086"/>
      <c r="J27" s="1494"/>
      <c r="K27" s="182"/>
      <c r="L27" s="1925"/>
      <c r="M27" s="1926"/>
      <c r="N27" s="1283"/>
      <c r="O27" s="1084"/>
      <c r="P27" s="1084"/>
      <c r="Q27" s="1084"/>
    </row>
    <row r="28" spans="1:17" x14ac:dyDescent="0.2">
      <c r="A28" s="1086"/>
      <c r="B28" s="1086"/>
      <c r="C28" s="347"/>
      <c r="D28" s="182"/>
      <c r="E28" s="182"/>
      <c r="F28" s="221"/>
      <c r="G28" s="221"/>
      <c r="H28" s="1867"/>
      <c r="I28" s="1086"/>
      <c r="J28" s="1494"/>
      <c r="K28" s="182"/>
      <c r="L28" s="1928" t="str">
        <f>"Balance Step 8 minus "&amp;C19&amp;" + "&amp;C26</f>
        <v>Balance Step 8 minus EMPCL1 + MORCL1</v>
      </c>
      <c r="M28" s="1926"/>
      <c r="N28" s="1283"/>
      <c r="O28" s="1084"/>
      <c r="P28" s="1084"/>
      <c r="Q28" s="1084"/>
    </row>
    <row r="29" spans="1:17" x14ac:dyDescent="0.2">
      <c r="A29" s="1086"/>
      <c r="B29" s="1086"/>
      <c r="C29" s="347"/>
      <c r="D29" s="221"/>
      <c r="E29" s="221"/>
      <c r="F29" s="221"/>
      <c r="G29" s="221"/>
      <c r="H29" s="1867"/>
      <c r="I29" s="1086"/>
      <c r="J29" s="1494"/>
      <c r="K29" s="182"/>
      <c r="L29" s="1859">
        <f>MAX(0,L26-(D20+D27))</f>
        <v>2107.9199999999983</v>
      </c>
      <c r="M29" s="269"/>
      <c r="N29" s="1283"/>
      <c r="O29" s="1084"/>
      <c r="P29" s="1084"/>
      <c r="Q29" s="1084"/>
    </row>
    <row r="30" spans="1:17" x14ac:dyDescent="0.2">
      <c r="A30" s="1086"/>
      <c r="B30" s="1086"/>
      <c r="C30" s="347"/>
      <c r="D30" s="221"/>
      <c r="E30" s="221"/>
      <c r="F30" s="221"/>
      <c r="G30" s="221"/>
      <c r="H30" s="1867"/>
      <c r="I30" s="1086"/>
      <c r="J30" s="1494"/>
      <c r="K30" s="182"/>
      <c r="L30" s="221"/>
      <c r="M30" s="269"/>
      <c r="N30" s="1283"/>
      <c r="O30" s="1084"/>
      <c r="P30" s="1084"/>
      <c r="Q30" s="1084"/>
    </row>
    <row r="31" spans="1:17" x14ac:dyDescent="0.2">
      <c r="A31" s="1086"/>
      <c r="B31" s="1086"/>
      <c r="C31" s="227"/>
      <c r="D31" s="182"/>
      <c r="E31" s="182"/>
      <c r="F31" s="221"/>
      <c r="G31" s="221"/>
      <c r="H31" s="1867"/>
      <c r="I31" s="1086"/>
      <c r="J31" s="1494"/>
      <c r="K31" s="182"/>
      <c r="L31" s="1928" t="str">
        <f>"Class 2 due from "&amp;C7</f>
        <v>Class 2 due from CL2A</v>
      </c>
      <c r="M31" s="1926"/>
      <c r="N31" s="1283"/>
      <c r="O31" s="1084"/>
      <c r="P31" s="1084"/>
      <c r="Q31" s="1084"/>
    </row>
    <row r="32" spans="1:17" x14ac:dyDescent="0.2">
      <c r="A32" s="1086"/>
      <c r="B32" s="1086"/>
      <c r="C32" s="1863" t="s">
        <v>4444</v>
      </c>
      <c r="D32" s="182" t="s">
        <v>4570</v>
      </c>
      <c r="E32" s="182"/>
      <c r="F32" s="221"/>
      <c r="G32" s="221"/>
      <c r="H32" s="1867"/>
      <c r="I32" s="1086"/>
      <c r="J32" s="1494"/>
      <c r="K32" s="182"/>
      <c r="L32" s="1859">
        <f>D8</f>
        <v>0</v>
      </c>
      <c r="M32" s="269"/>
      <c r="N32" s="1283"/>
      <c r="O32" s="1084"/>
      <c r="P32" s="1084"/>
      <c r="Q32" s="1084"/>
    </row>
    <row r="33" spans="1:17" x14ac:dyDescent="0.2">
      <c r="A33" s="1086"/>
      <c r="B33" s="1086"/>
      <c r="C33" s="1494"/>
      <c r="D33" s="182"/>
      <c r="E33" s="1922" t="s">
        <v>6373</v>
      </c>
      <c r="F33" s="221"/>
      <c r="G33" s="221"/>
      <c r="H33" s="1867"/>
      <c r="I33" s="1086"/>
      <c r="J33" s="1494"/>
      <c r="K33" s="182"/>
      <c r="L33" s="221"/>
      <c r="M33" s="269"/>
      <c r="N33" s="1283"/>
      <c r="O33" s="1084"/>
      <c r="P33" s="1084"/>
      <c r="Q33" s="1084"/>
    </row>
    <row r="34" spans="1:17" x14ac:dyDescent="0.2">
      <c r="A34" s="1086"/>
      <c r="B34" s="1086"/>
      <c r="C34" s="1494"/>
      <c r="D34" s="182"/>
      <c r="E34" s="182"/>
      <c r="F34" s="221"/>
      <c r="G34" s="221"/>
      <c r="H34" s="1867"/>
      <c r="I34" s="1086"/>
      <c r="J34" s="1494"/>
      <c r="K34" s="182"/>
      <c r="L34" s="1928" t="str">
        <f>"Class 2 due equals lower of "&amp;K25&amp;" and "&amp;C7</f>
        <v>Class 2 due equals lower of Step 8 and CL2A</v>
      </c>
      <c r="M34" s="1926"/>
      <c r="N34" s="1283"/>
      <c r="O34" s="1084"/>
      <c r="P34" s="1084"/>
      <c r="Q34" s="1084"/>
    </row>
    <row r="35" spans="1:17" x14ac:dyDescent="0.2">
      <c r="A35" s="1086"/>
      <c r="B35" s="1086"/>
      <c r="C35" s="1495"/>
      <c r="D35" s="1496" t="str">
        <f>IF(O23=1,"",IF(O23=2,"'standard' Class 2 NICs rate selected",IF(O23=3,"Share fishermen Class 2 NICs rate selected","")))</f>
        <v>'standard' Class 2 NICs rate selected</v>
      </c>
      <c r="E35" s="1496"/>
      <c r="F35" s="1868"/>
      <c r="G35" s="1496"/>
      <c r="H35" s="1874"/>
      <c r="I35" s="1086"/>
      <c r="J35" s="1494"/>
      <c r="K35" s="182"/>
      <c r="L35" s="1859">
        <f>IF(D8="",0,MIN(L29,D8))</f>
        <v>0</v>
      </c>
      <c r="M35" s="269"/>
      <c r="N35" s="1283"/>
      <c r="O35" s="1084"/>
      <c r="P35" s="1084"/>
      <c r="Q35" s="1084"/>
    </row>
    <row r="36" spans="1:17" x14ac:dyDescent="0.2">
      <c r="A36" s="1086"/>
      <c r="B36" s="1086"/>
      <c r="C36" s="1086"/>
      <c r="D36" s="1086"/>
      <c r="E36" s="1086"/>
      <c r="F36" s="1086"/>
      <c r="G36" s="1086"/>
      <c r="H36" s="1086"/>
      <c r="I36" s="1086"/>
      <c r="J36" s="1494"/>
      <c r="K36" s="182"/>
      <c r="L36" s="221"/>
      <c r="M36" s="1926"/>
      <c r="N36" s="1283"/>
      <c r="O36" s="1084"/>
      <c r="P36" s="1084"/>
      <c r="Q36" s="1084"/>
    </row>
    <row r="37" spans="1:17" x14ac:dyDescent="0.2">
      <c r="A37" s="1086"/>
      <c r="B37" s="1086"/>
      <c r="C37" s="1086"/>
      <c r="D37" s="1086"/>
      <c r="E37" s="1086"/>
      <c r="F37" s="1086"/>
      <c r="G37" s="1086"/>
      <c r="H37" s="1086"/>
      <c r="I37" s="1086"/>
      <c r="J37" s="1494"/>
      <c r="K37" s="182"/>
      <c r="L37" s="1928" t="str">
        <f>"No of weeks (Class 2 due divided by weekly Class 2 rate ("&amp;DOLLAR(NIC2_weekamt,2)&amp;"))"</f>
        <v>No of weeks (Class 2 due divided by weekly Class 2 rate ($3.00))</v>
      </c>
      <c r="M37" s="1926"/>
      <c r="N37" s="1283"/>
      <c r="O37" s="1865"/>
      <c r="P37" s="1085"/>
    </row>
    <row r="38" spans="1:17" x14ac:dyDescent="0.2">
      <c r="A38" s="1086"/>
      <c r="B38" s="1086"/>
      <c r="C38" s="1086"/>
      <c r="D38" s="1086"/>
      <c r="E38" s="1086"/>
      <c r="F38" s="1086"/>
      <c r="G38" s="1086"/>
      <c r="H38" s="1086"/>
      <c r="I38" s="1086"/>
      <c r="J38" s="1494"/>
      <c r="K38" s="182"/>
      <c r="L38" s="1871">
        <f>ROUNDDOWN(L35/NIC2_weekamt,0)</f>
        <v>0</v>
      </c>
      <c r="M38" s="269"/>
      <c r="N38" s="1283"/>
      <c r="O38" s="1084"/>
    </row>
    <row r="39" spans="1:17" x14ac:dyDescent="0.2">
      <c r="A39" s="1086"/>
      <c r="B39" s="1086"/>
      <c r="C39" s="1086"/>
      <c r="D39" s="1086"/>
      <c r="E39" s="1086"/>
      <c r="F39" s="1086"/>
      <c r="G39" s="1086"/>
      <c r="H39" s="1086"/>
      <c r="I39" s="1086"/>
      <c r="J39" s="1494"/>
      <c r="K39" s="182"/>
      <c r="L39" s="221"/>
      <c r="M39" s="269"/>
      <c r="N39" s="1283"/>
      <c r="O39" s="1865"/>
      <c r="P39" s="1085"/>
    </row>
    <row r="40" spans="1:17" x14ac:dyDescent="0.2">
      <c r="A40" s="1086"/>
      <c r="B40" s="1086"/>
      <c r="C40" s="1086"/>
      <c r="D40" s="1086"/>
      <c r="E40" s="1086"/>
      <c r="F40" s="1086"/>
      <c r="G40" s="1086"/>
      <c r="H40" s="1086"/>
      <c r="I40" s="1086"/>
      <c r="J40" s="1494"/>
      <c r="K40" s="1854" t="s">
        <v>6314</v>
      </c>
      <c r="L40" s="1928" t="str">
        <f>"No of weeks Class 2 due x weekly Class 2 rate ("&amp;DOLLAR(NIC2_weekamt,2)&amp;")"</f>
        <v>No of weeks Class 2 due x weekly Class 2 rate ($3.00)</v>
      </c>
      <c r="M40" s="1926"/>
      <c r="N40" s="1283"/>
      <c r="O40" s="1084"/>
    </row>
    <row r="41" spans="1:17" x14ac:dyDescent="0.2">
      <c r="A41" s="1086"/>
      <c r="B41" s="1086"/>
      <c r="C41" s="1086"/>
      <c r="D41" s="1086"/>
      <c r="E41" s="1086"/>
      <c r="F41" s="1086"/>
      <c r="G41" s="1086"/>
      <c r="H41" s="1086"/>
      <c r="I41" s="1086"/>
      <c r="J41" s="1494"/>
      <c r="K41" s="182"/>
      <c r="L41" s="1859">
        <f>L38*NIC2_weekamt</f>
        <v>0</v>
      </c>
      <c r="M41" s="269"/>
      <c r="N41" s="1283"/>
      <c r="O41" s="1865"/>
      <c r="P41" s="1085"/>
    </row>
    <row r="42" spans="1:17" x14ac:dyDescent="0.2">
      <c r="A42" s="1086"/>
      <c r="B42" s="1086"/>
      <c r="C42" s="1086"/>
      <c r="D42" s="1086"/>
      <c r="E42" s="1086"/>
      <c r="F42" s="1086"/>
      <c r="G42" s="1086"/>
      <c r="H42" s="1086"/>
      <c r="I42" s="1086"/>
      <c r="J42" s="1495"/>
      <c r="K42" s="1496"/>
      <c r="L42" s="1868"/>
      <c r="M42" s="1864" t="s">
        <v>6372</v>
      </c>
      <c r="N42" s="1283"/>
      <c r="O42" s="1865"/>
      <c r="P42" s="1085"/>
    </row>
    <row r="43" spans="1:17" x14ac:dyDescent="0.2">
      <c r="A43" s="1086"/>
      <c r="B43" s="1086"/>
      <c r="C43" s="1086"/>
      <c r="D43" s="1086"/>
      <c r="E43" s="1086"/>
      <c r="F43" s="1086"/>
      <c r="G43" s="1086"/>
      <c r="H43" s="1086"/>
      <c r="I43" s="1086"/>
      <c r="J43" s="1086"/>
      <c r="K43" s="1086"/>
      <c r="L43" s="1086"/>
      <c r="M43" s="1086"/>
      <c r="N43" s="1086"/>
      <c r="O43" s="1086"/>
    </row>
    <row r="44" spans="1:17" x14ac:dyDescent="0.2">
      <c r="A44" s="1086"/>
      <c r="B44" s="1086"/>
      <c r="C44" s="1086"/>
      <c r="D44" s="1086"/>
      <c r="E44" s="1086"/>
      <c r="F44" s="1086"/>
      <c r="G44" s="1086"/>
      <c r="H44" s="1086"/>
      <c r="I44" s="1086"/>
      <c r="J44" s="1086"/>
      <c r="K44" s="1086"/>
      <c r="L44" s="1086"/>
      <c r="M44" s="1086"/>
      <c r="N44" s="1086"/>
      <c r="O44" s="1086"/>
    </row>
    <row r="45" spans="1:17" x14ac:dyDescent="0.2">
      <c r="A45" s="1086"/>
      <c r="B45" s="1086"/>
      <c r="C45" s="1086"/>
      <c r="D45" s="1086"/>
      <c r="E45" s="1086"/>
      <c r="F45" s="1086"/>
      <c r="G45" s="1086"/>
      <c r="H45" s="1086"/>
      <c r="I45" s="1086"/>
      <c r="J45" s="1086"/>
      <c r="K45" s="1086"/>
      <c r="L45" s="1086"/>
      <c r="M45" s="1086"/>
      <c r="N45" s="1086"/>
      <c r="O45" s="1086"/>
    </row>
    <row r="46" spans="1:17" x14ac:dyDescent="0.2">
      <c r="A46" s="1086"/>
      <c r="B46" s="1866"/>
      <c r="C46" s="1866"/>
      <c r="D46" s="1866"/>
      <c r="E46" s="1866"/>
      <c r="F46" s="1866"/>
      <c r="G46" s="1866"/>
      <c r="H46" s="1866"/>
      <c r="I46" s="1866"/>
      <c r="J46" s="1872"/>
      <c r="K46" s="1872"/>
      <c r="L46" s="1872"/>
      <c r="M46" s="1872"/>
      <c r="N46" s="1283"/>
      <c r="O46" s="1084"/>
    </row>
    <row r="47" spans="1:17" x14ac:dyDescent="0.2">
      <c r="A47" s="1086"/>
      <c r="B47" s="1086"/>
      <c r="C47" s="1086"/>
      <c r="D47" s="1086"/>
      <c r="E47" s="1086"/>
      <c r="F47" s="1086"/>
      <c r="G47" s="1086"/>
      <c r="H47" s="1086"/>
      <c r="I47" s="1086"/>
      <c r="J47" s="1872"/>
      <c r="K47" s="1872"/>
      <c r="L47" s="1872"/>
      <c r="M47" s="1872"/>
      <c r="N47" s="1283"/>
      <c r="O47" s="1084"/>
    </row>
    <row r="48" spans="1:17" x14ac:dyDescent="0.2">
      <c r="A48" s="1086"/>
      <c r="B48" s="1086"/>
      <c r="C48" s="1086"/>
      <c r="D48" s="1086"/>
      <c r="E48" s="1086"/>
      <c r="F48" s="1086"/>
      <c r="G48" s="1086"/>
      <c r="H48" s="1086"/>
      <c r="I48" s="1086"/>
      <c r="J48" s="1872"/>
      <c r="K48" s="1872"/>
      <c r="L48" s="1872"/>
      <c r="M48" s="1872"/>
      <c r="N48" s="1283"/>
      <c r="O48" s="1084"/>
    </row>
    <row r="49" spans="1:15" x14ac:dyDescent="0.2">
      <c r="A49" s="1086"/>
      <c r="B49" s="1086"/>
      <c r="C49" s="1086"/>
      <c r="D49" s="1086"/>
      <c r="E49" s="1086"/>
      <c r="F49" s="1086"/>
      <c r="G49" s="1086"/>
      <c r="H49" s="1086"/>
      <c r="I49" s="1086"/>
      <c r="J49" s="1872"/>
      <c r="K49" s="1872"/>
      <c r="L49" s="1872"/>
      <c r="M49" s="1872"/>
      <c r="N49" s="1283"/>
      <c r="O49" s="1084"/>
    </row>
    <row r="50" spans="1:15" x14ac:dyDescent="0.2">
      <c r="A50" s="1086"/>
      <c r="B50" s="1086"/>
      <c r="C50" s="1086"/>
      <c r="D50" s="1086"/>
      <c r="E50" s="1086"/>
      <c r="F50" s="1086"/>
      <c r="G50" s="1086"/>
      <c r="H50" s="1086"/>
      <c r="I50" s="1086"/>
      <c r="J50" s="1872"/>
      <c r="K50" s="1872"/>
      <c r="L50" s="1872"/>
      <c r="M50" s="1872"/>
      <c r="N50" s="1283"/>
      <c r="O50" s="1084"/>
    </row>
    <row r="51" spans="1:15" x14ac:dyDescent="0.2">
      <c r="A51" s="1086"/>
      <c r="B51" s="1086"/>
      <c r="C51" s="1086"/>
      <c r="D51" s="1086"/>
      <c r="E51" s="1086"/>
      <c r="F51" s="1086"/>
      <c r="G51" s="1086"/>
      <c r="H51" s="1086"/>
      <c r="I51" s="1086"/>
      <c r="J51" s="1872"/>
      <c r="K51" s="1872"/>
      <c r="L51" s="1872"/>
      <c r="M51" s="1872"/>
      <c r="N51" s="1283"/>
      <c r="O51" s="1084"/>
    </row>
    <row r="52" spans="1:15" x14ac:dyDescent="0.2">
      <c r="J52" s="1873"/>
      <c r="K52" s="1873"/>
      <c r="L52" s="1873"/>
      <c r="M52" s="1873"/>
      <c r="O52" s="1084"/>
    </row>
  </sheetData>
  <sheetProtection objects="1" scenarios="1" sheet="1"/>
  <pageMargins bottom="0.75" footer="0.3" header="0.3" left="0.7" right="0.7" top="0.75"/>
  <pageSetup orientation="portrait" paperSize="9" r:id="rId1"/>
  <drawing r:id="rId2"/>
  <legacyDrawing r:id="rId3"/>
  <mc:AlternateContent>
    <mc:Choice Requires="x14">
      <controls>
        <mc:AlternateContent>
          <mc:Choice Requires="x14">
            <control name="Drop Down 1" r:id="rId4" shapeId="84993">
              <controlPr autoLine="0" autoPict="0" defaultSize="0">
                <anchor moveWithCells="1">
                  <from>
                    <xdr:col>3</xdr:col>
                    <xdr:colOff>28575</xdr:colOff>
                    <xdr:row>32</xdr:row>
                    <xdr:rowOff>19050</xdr:rowOff>
                  </from>
                  <to>
                    <xdr:col>3</xdr:col>
                    <xdr:colOff>504825</xdr:colOff>
                    <xdr:row>33</xdr:row>
                    <xdr:rowOff>57150</xdr:rowOff>
                  </to>
                </anchor>
              </controlPr>
            </control>
          </mc:Choice>
        </mc:AlternateContent>
      </controls>
    </mc:Choice>
  </mc:AlternateContent>
</worksheet>
</file>

<file path=xl/worksheets/sheet45.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20"/>
  <dimension ref="A1:U48"/>
  <sheetViews>
    <sheetView showGridLines="0" showRowColHeaders="0" topLeftCell="B1" workbookViewId="0">
      <selection activeCell="K38" sqref="K38"/>
    </sheetView>
  </sheetViews>
  <sheetFormatPr defaultColWidth="9.140625" defaultRowHeight="12" x14ac:dyDescent="0.2"/>
  <cols>
    <col min="1" max="1" customWidth="true" hidden="true" style="138" width="3.85546875" collapsed="true"/>
    <col min="2" max="2" customWidth="true" style="138" width="21.42578125" collapsed="true"/>
    <col min="3" max="3" customWidth="true" style="138" width="5.28515625" collapsed="true"/>
    <col min="4" max="4" customWidth="true" style="138" width="15.140625" collapsed="true"/>
    <col min="5" max="5" customWidth="true" style="138" width="7.7109375" collapsed="true"/>
    <col min="6" max="6" customWidth="true" style="138" width="5.7109375" collapsed="true"/>
    <col min="7" max="7" customWidth="true" style="138" width="5.28515625" collapsed="true"/>
    <col min="8" max="8" customWidth="true" style="138" width="15.140625" collapsed="true"/>
    <col min="9" max="9" customWidth="true" style="138" width="9.85546875" collapsed="true"/>
    <col min="10" max="10" customWidth="true" style="138" width="17.140625" collapsed="true"/>
    <col min="11" max="11" customWidth="true" style="138" width="30.140625" collapsed="true"/>
    <col min="12" max="12" customWidth="true" style="138" width="8.0" collapsed="true"/>
    <col min="13" max="13" customWidth="true" style="138" width="5.28515625" collapsed="true"/>
    <col min="14" max="14" customWidth="true" style="138" width="10.7109375" collapsed="true"/>
    <col min="15" max="15" customWidth="true" style="138" width="5.0" collapsed="true"/>
    <col min="16" max="16" customWidth="true" style="138" width="5.28515625" collapsed="true"/>
    <col min="17" max="17" customWidth="true" style="138" width="9.85546875" collapsed="true"/>
    <col min="18" max="18" customWidth="true" style="138" width="3.85546875" collapsed="true"/>
    <col min="19" max="19" customWidth="true" style="138" width="3.28515625" collapsed="true"/>
    <col min="20" max="20" customWidth="true" style="138" width="5.28515625" collapsed="true"/>
    <col min="21" max="21" customWidth="true" style="138" width="5.85546875" collapsed="true"/>
    <col min="22" max="22" customWidth="true" style="138" width="10.7109375" collapsed="true"/>
    <col min="23" max="23" customWidth="true" style="138" width="9.28515625" collapsed="true"/>
    <col min="24" max="16384" style="138" width="9.140625" collapsed="true"/>
  </cols>
  <sheetData>
    <row customHeight="1" ht="9" r="1" spans="1:19" x14ac:dyDescent="0.2">
      <c r="A1" s="139" t="s">
        <v>3318</v>
      </c>
      <c r="B1" s="139"/>
      <c r="C1" s="139"/>
      <c r="D1" s="139"/>
      <c r="E1" s="139"/>
      <c r="F1" s="139"/>
      <c r="G1" s="139"/>
      <c r="H1" s="139"/>
      <c r="I1" s="139"/>
      <c r="J1" s="139"/>
      <c r="K1" s="139"/>
      <c r="L1" s="140"/>
      <c r="M1" s="140"/>
      <c r="N1" s="140"/>
      <c r="O1" s="140"/>
      <c r="P1" s="140"/>
      <c r="Q1" s="140"/>
      <c r="R1" s="140"/>
      <c r="S1" s="140"/>
    </row>
    <row customHeight="1" ht="9" r="2" spans="1:19" x14ac:dyDescent="0.2">
      <c r="A2" s="139">
        <v>13</v>
      </c>
      <c r="B2" s="1001" t="s">
        <v>2182</v>
      </c>
      <c r="C2" s="139"/>
      <c r="D2" s="139"/>
      <c r="E2" s="139"/>
      <c r="F2" s="139"/>
      <c r="G2" s="139"/>
      <c r="H2" s="139"/>
      <c r="I2" s="139"/>
      <c r="J2" s="139"/>
      <c r="K2" s="139"/>
      <c r="L2" s="140"/>
      <c r="M2" s="140"/>
      <c r="N2" s="140"/>
      <c r="O2" s="140"/>
      <c r="P2" s="282"/>
      <c r="Q2" s="283"/>
      <c r="R2" s="282"/>
      <c r="S2" s="140"/>
    </row>
    <row customHeight="1" ht="9" r="3" spans="1:19" x14ac:dyDescent="0.2">
      <c r="A3" s="139">
        <v>13</v>
      </c>
      <c r="B3" s="1001" t="s">
        <v>2183</v>
      </c>
      <c r="C3" s="139"/>
      <c r="D3" s="139"/>
      <c r="E3" s="139"/>
      <c r="F3" s="139"/>
      <c r="G3" s="139"/>
      <c r="H3" s="139"/>
      <c r="I3" s="139"/>
      <c r="J3" s="139"/>
      <c r="K3" s="139"/>
      <c r="L3" s="140"/>
      <c r="M3" s="140"/>
      <c r="N3" s="140"/>
      <c r="O3" s="140"/>
      <c r="P3" s="282"/>
      <c r="Q3" s="282"/>
      <c r="R3" s="282"/>
      <c r="S3" s="140"/>
    </row>
    <row customHeight="1" ht="12" r="4" spans="1:19" x14ac:dyDescent="0.2">
      <c r="A4" s="139">
        <v>14</v>
      </c>
      <c r="B4" s="1001" t="s">
        <v>2783</v>
      </c>
      <c r="C4" s="293" t="s">
        <v>1504</v>
      </c>
      <c r="D4" s="294"/>
      <c r="E4" s="294"/>
      <c r="F4" s="294"/>
      <c r="G4" s="294"/>
      <c r="H4" s="294"/>
      <c r="I4" s="294"/>
      <c r="J4" s="870" t="s">
        <v>3318</v>
      </c>
      <c r="K4" s="139"/>
      <c r="L4" s="140"/>
      <c r="M4" s="140"/>
      <c r="N4" s="140"/>
      <c r="O4" s="140"/>
      <c r="P4" s="289"/>
      <c r="Q4" s="287"/>
      <c r="R4" s="282"/>
      <c r="S4" s="140"/>
    </row>
    <row customHeight="1" ht="9.75" r="5" spans="1:19" x14ac:dyDescent="0.2">
      <c r="A5" s="139">
        <v>14</v>
      </c>
      <c r="B5" s="1001" t="s">
        <v>662</v>
      </c>
      <c r="C5" s="284"/>
      <c r="D5" s="285"/>
      <c r="E5" s="285"/>
      <c r="F5" s="285"/>
      <c r="G5" s="285"/>
      <c r="H5" s="285"/>
      <c r="I5" s="285"/>
      <c r="J5" s="286"/>
      <c r="K5" s="139"/>
      <c r="L5" s="140"/>
      <c r="M5" s="140"/>
      <c r="N5" s="140"/>
      <c r="O5" s="140"/>
      <c r="P5" s="289"/>
      <c r="Q5" s="287"/>
      <c r="R5" s="282"/>
      <c r="S5" s="140"/>
    </row>
    <row customHeight="1" ht="12.75" r="6" spans="1:19" x14ac:dyDescent="0.2">
      <c r="A6" s="139">
        <v>15</v>
      </c>
      <c r="B6" s="1001" t="s">
        <v>1502</v>
      </c>
      <c r="C6" s="1008" t="s">
        <v>5828</v>
      </c>
      <c r="D6" s="285"/>
      <c r="E6" s="285"/>
      <c r="F6" s="285"/>
      <c r="G6" s="285"/>
      <c r="H6" s="285"/>
      <c r="I6" s="285"/>
      <c r="J6" s="286"/>
      <c r="K6" s="139"/>
      <c r="L6" s="140"/>
      <c r="M6" s="140"/>
      <c r="N6" s="140"/>
      <c r="O6" s="140"/>
      <c r="P6" s="282"/>
      <c r="Q6" s="287"/>
      <c r="R6" s="282"/>
      <c r="S6" s="140"/>
    </row>
    <row customHeight="1" ht="12.75" r="7" spans="1:19" x14ac:dyDescent="0.2">
      <c r="A7" s="139">
        <v>15</v>
      </c>
      <c r="B7" s="1001"/>
      <c r="C7" s="143">
        <f>A2</f>
        <v>13</v>
      </c>
      <c r="D7" s="292" t="s">
        <v>5826</v>
      </c>
      <c r="E7" s="285"/>
      <c r="F7" s="285"/>
      <c r="G7" s="285"/>
      <c r="H7" s="285"/>
      <c r="I7" s="285"/>
      <c r="J7" s="286"/>
      <c r="K7" s="139"/>
      <c r="L7" s="140"/>
      <c r="M7" s="140"/>
      <c r="N7" s="140"/>
      <c r="O7" s="140"/>
      <c r="P7" s="289"/>
      <c r="Q7" s="287"/>
      <c r="R7" s="282"/>
      <c r="S7" s="140"/>
    </row>
    <row customHeight="1" ht="12.75" r="8" spans="1:19" x14ac:dyDescent="0.2">
      <c r="A8" s="139">
        <v>21</v>
      </c>
      <c r="B8" s="1001"/>
      <c r="C8" s="297"/>
      <c r="D8" s="301"/>
      <c r="E8" s="285"/>
      <c r="F8" s="285"/>
      <c r="G8" s="285"/>
      <c r="H8" s="285"/>
      <c r="I8" s="285"/>
      <c r="J8" s="286"/>
      <c r="K8" s="139"/>
      <c r="L8" s="140"/>
      <c r="M8" s="140"/>
      <c r="N8" s="140"/>
      <c r="O8" s="140"/>
      <c r="P8" s="282"/>
      <c r="Q8" s="287"/>
      <c r="R8" s="282"/>
      <c r="S8" s="140"/>
    </row>
    <row customHeight="1" ht="12.75" r="9" spans="1:19" x14ac:dyDescent="0.2">
      <c r="A9" s="139">
        <v>22</v>
      </c>
      <c r="B9" s="1001"/>
      <c r="C9" s="284"/>
      <c r="D9" s="285"/>
      <c r="E9" s="285"/>
      <c r="F9" s="285"/>
      <c r="G9" s="285"/>
      <c r="H9" s="285"/>
      <c r="I9" s="285"/>
      <c r="J9" s="286"/>
      <c r="K9" s="139"/>
      <c r="L9" s="140"/>
      <c r="M9" s="140"/>
      <c r="N9" s="140"/>
      <c r="O9" s="140"/>
      <c r="P9" s="282"/>
      <c r="Q9" s="287"/>
      <c r="R9" s="282"/>
      <c r="S9" s="140"/>
    </row>
    <row customHeight="1" ht="12.75" r="10" spans="1:19" x14ac:dyDescent="0.2">
      <c r="A10" s="139">
        <v>33</v>
      </c>
      <c r="B10" s="1001" t="s">
        <v>664</v>
      </c>
      <c r="C10" s="143">
        <f>A4</f>
        <v>14</v>
      </c>
      <c r="D10" s="292" t="s">
        <v>4339</v>
      </c>
      <c r="E10" s="285"/>
      <c r="F10" s="285"/>
      <c r="G10" s="143">
        <f>A6</f>
        <v>15</v>
      </c>
      <c r="H10" s="292" t="s">
        <v>1655</v>
      </c>
      <c r="I10" s="285"/>
      <c r="J10" s="286"/>
      <c r="K10" s="139"/>
      <c r="L10" s="140"/>
      <c r="M10" s="140"/>
      <c r="N10" s="140"/>
      <c r="O10" s="140"/>
      <c r="P10" s="289"/>
      <c r="Q10" s="288"/>
      <c r="R10" s="282"/>
      <c r="S10" s="140"/>
    </row>
    <row customHeight="1" ht="12.75" r="11" spans="1:19" x14ac:dyDescent="0.2">
      <c r="A11" s="139">
        <v>38</v>
      </c>
      <c r="B11" s="1001" t="s">
        <v>1880</v>
      </c>
      <c r="C11" s="297"/>
      <c r="D11" s="301"/>
      <c r="E11" s="285"/>
      <c r="F11" s="285"/>
      <c r="G11" s="285"/>
      <c r="H11" s="301"/>
      <c r="I11" s="285"/>
      <c r="J11" s="286"/>
      <c r="K11" s="139"/>
      <c r="L11" s="140"/>
      <c r="M11" s="140"/>
      <c r="N11" s="140"/>
      <c r="O11" s="140"/>
      <c r="P11" s="289"/>
      <c r="Q11" s="288"/>
      <c r="R11" s="282"/>
      <c r="S11" s="140"/>
    </row>
    <row r="12" spans="1:19" x14ac:dyDescent="0.2">
      <c r="A12" s="139">
        <v>39</v>
      </c>
      <c r="B12" s="1001"/>
      <c r="C12" s="284"/>
      <c r="D12" s="285"/>
      <c r="E12" s="285"/>
      <c r="F12" s="285"/>
      <c r="G12" s="285"/>
      <c r="H12" s="285"/>
      <c r="I12" s="285"/>
      <c r="J12" s="286"/>
      <c r="K12" s="139"/>
      <c r="L12" s="140"/>
      <c r="M12" s="140"/>
      <c r="N12" s="140"/>
      <c r="O12" s="140"/>
      <c r="P12" s="140"/>
      <c r="Q12" s="140"/>
      <c r="R12" s="140"/>
      <c r="S12" s="140"/>
    </row>
    <row customHeight="1" ht="12.75" r="13" spans="1:19" x14ac:dyDescent="0.2">
      <c r="A13" s="139">
        <v>40</v>
      </c>
      <c r="B13" s="1001" t="s">
        <v>3784</v>
      </c>
      <c r="C13" s="1008" t="s">
        <v>5829</v>
      </c>
      <c r="D13" s="285"/>
      <c r="E13" s="285"/>
      <c r="F13" s="285"/>
      <c r="G13" s="285"/>
      <c r="H13" s="285"/>
      <c r="I13" s="285"/>
      <c r="J13" s="286"/>
      <c r="K13" s="139"/>
      <c r="L13" s="140"/>
      <c r="M13" s="140"/>
      <c r="N13" s="140"/>
      <c r="O13" s="140"/>
      <c r="P13" s="282"/>
      <c r="Q13" s="287"/>
      <c r="R13" s="282"/>
      <c r="S13" s="140"/>
    </row>
    <row r="14" spans="1:19" x14ac:dyDescent="0.2">
      <c r="A14" s="139">
        <v>42</v>
      </c>
      <c r="B14" s="1001"/>
      <c r="C14" s="143">
        <f>A3</f>
        <v>13</v>
      </c>
      <c r="D14" s="292" t="s">
        <v>5827</v>
      </c>
      <c r="E14" s="285"/>
      <c r="F14" s="285"/>
      <c r="G14" s="285"/>
      <c r="H14" s="285"/>
      <c r="I14" s="285"/>
      <c r="J14" s="286"/>
      <c r="K14" s="139"/>
      <c r="L14" s="140"/>
      <c r="M14" s="140"/>
      <c r="N14" s="140"/>
      <c r="O14" s="140"/>
      <c r="P14" s="282"/>
      <c r="Q14" s="287"/>
      <c r="R14" s="282"/>
      <c r="S14" s="140"/>
    </row>
    <row customHeight="1" ht="12.75" r="15" spans="1:19" x14ac:dyDescent="0.2">
      <c r="A15" s="139">
        <v>44</v>
      </c>
      <c r="B15" s="1001"/>
      <c r="C15" s="297"/>
      <c r="D15" s="301"/>
      <c r="E15" s="285"/>
      <c r="F15" s="285"/>
      <c r="G15" s="285"/>
      <c r="H15" s="285"/>
      <c r="I15" s="285"/>
      <c r="J15" s="286"/>
      <c r="K15" s="139"/>
      <c r="L15" s="140"/>
      <c r="M15" s="140"/>
      <c r="N15" s="140"/>
      <c r="O15" s="140"/>
      <c r="P15" s="282"/>
      <c r="Q15" s="287"/>
      <c r="R15" s="282"/>
      <c r="S15" s="140"/>
    </row>
    <row customHeight="1" ht="12.75" r="16" spans="1:19" x14ac:dyDescent="0.2">
      <c r="A16" s="139">
        <v>45</v>
      </c>
      <c r="B16" s="1001"/>
      <c r="C16" s="284"/>
      <c r="D16" s="285"/>
      <c r="E16" s="285"/>
      <c r="F16" s="285"/>
      <c r="G16" s="285"/>
      <c r="H16" s="285"/>
      <c r="I16" s="285"/>
      <c r="J16" s="286"/>
      <c r="K16" s="139"/>
      <c r="L16" s="140"/>
      <c r="M16" s="140"/>
      <c r="N16" s="140"/>
      <c r="O16" s="140"/>
      <c r="P16" s="282"/>
      <c r="Q16" s="287"/>
      <c r="R16" s="282"/>
      <c r="S16" s="140"/>
    </row>
    <row customHeight="1" ht="12.75" r="17" spans="1:20" x14ac:dyDescent="0.2">
      <c r="A17" s="139"/>
      <c r="B17" s="1001" t="s">
        <v>3339</v>
      </c>
      <c r="C17" s="143">
        <f>A5</f>
        <v>14</v>
      </c>
      <c r="D17" s="292" t="s">
        <v>4340</v>
      </c>
      <c r="E17" s="285"/>
      <c r="F17" s="285"/>
      <c r="G17" s="143">
        <f>A6</f>
        <v>15</v>
      </c>
      <c r="H17" s="292" t="s">
        <v>1656</v>
      </c>
      <c r="I17" s="285"/>
      <c r="J17" s="286"/>
      <c r="K17" s="139"/>
      <c r="L17" s="140"/>
      <c r="M17" s="140"/>
      <c r="N17" s="140"/>
      <c r="O17" s="140"/>
      <c r="P17" s="282"/>
      <c r="Q17" s="290"/>
      <c r="R17" s="282"/>
      <c r="S17" s="140"/>
    </row>
    <row customHeight="1" ht="12.75" r="18" spans="1:20" x14ac:dyDescent="0.2">
      <c r="A18" s="139"/>
      <c r="B18" s="1001" t="s">
        <v>3340</v>
      </c>
      <c r="C18" s="297"/>
      <c r="D18" s="301"/>
      <c r="E18" s="285"/>
      <c r="F18" s="285"/>
      <c r="G18" s="285"/>
      <c r="H18" s="147"/>
      <c r="I18" s="285"/>
      <c r="J18" s="286"/>
      <c r="K18" s="139"/>
      <c r="L18" s="140"/>
      <c r="M18" s="140"/>
      <c r="N18" s="140"/>
      <c r="O18" s="140"/>
      <c r="P18" s="282"/>
      <c r="Q18" s="290"/>
      <c r="R18" s="282"/>
      <c r="S18" s="140"/>
    </row>
    <row customHeight="1" ht="12.75" r="19" spans="1:20" x14ac:dyDescent="0.2">
      <c r="A19" s="139"/>
      <c r="B19" s="139"/>
      <c r="C19" s="297"/>
      <c r="D19" s="285"/>
      <c r="E19" s="285"/>
      <c r="F19" s="285"/>
      <c r="G19" s="285"/>
      <c r="H19" s="285"/>
      <c r="I19" s="285"/>
      <c r="J19" s="286"/>
      <c r="K19" s="139"/>
      <c r="L19" s="140"/>
      <c r="M19" s="140"/>
      <c r="N19" s="140"/>
      <c r="O19" s="140"/>
      <c r="P19" s="282"/>
      <c r="Q19" s="290"/>
      <c r="R19" s="282"/>
      <c r="S19" s="140"/>
    </row>
    <row r="20" spans="1:20" x14ac:dyDescent="0.2">
      <c r="A20" s="139"/>
      <c r="B20" s="139"/>
      <c r="C20" s="1008" t="s">
        <v>1505</v>
      </c>
      <c r="D20" s="285"/>
      <c r="E20" s="285"/>
      <c r="F20" s="285"/>
      <c r="G20" s="285"/>
      <c r="H20" s="285"/>
      <c r="I20" s="285"/>
      <c r="J20" s="286"/>
      <c r="K20" s="139"/>
      <c r="L20" s="140"/>
      <c r="M20" s="140"/>
      <c r="N20" s="140"/>
      <c r="O20" s="140"/>
      <c r="P20" s="282"/>
      <c r="Q20" s="290"/>
      <c r="R20" s="282"/>
      <c r="S20" s="140"/>
    </row>
    <row customHeight="1" ht="12.75" r="21" spans="1:20" x14ac:dyDescent="0.2">
      <c r="A21" s="139"/>
      <c r="B21" s="139"/>
      <c r="C21" s="143">
        <f>A8</f>
        <v>21</v>
      </c>
      <c r="D21" s="292" t="s">
        <v>1506</v>
      </c>
      <c r="E21" s="285"/>
      <c r="F21" s="285"/>
      <c r="G21" s="143">
        <f>A9</f>
        <v>22</v>
      </c>
      <c r="H21" s="292" t="s">
        <v>1507</v>
      </c>
      <c r="I21" s="285"/>
      <c r="J21" s="286"/>
      <c r="K21" s="139"/>
      <c r="L21" s="140"/>
      <c r="M21" s="140"/>
      <c r="N21" s="140"/>
      <c r="O21" s="140"/>
      <c r="P21" s="282"/>
      <c r="Q21" s="290"/>
      <c r="R21" s="282"/>
      <c r="S21" s="140"/>
    </row>
    <row customHeight="1" ht="12.75" r="22" spans="1:20" x14ac:dyDescent="0.2">
      <c r="A22" s="139"/>
      <c r="B22" s="139"/>
      <c r="C22" s="297"/>
      <c r="D22" s="258"/>
      <c r="E22" s="285"/>
      <c r="F22" s="285"/>
      <c r="G22" s="285"/>
      <c r="H22" s="301"/>
      <c r="I22" s="285"/>
      <c r="J22" s="286"/>
      <c r="K22" s="139"/>
      <c r="L22" s="140"/>
      <c r="M22" s="140"/>
      <c r="N22" s="140"/>
      <c r="O22" s="140"/>
      <c r="P22" s="282"/>
      <c r="Q22" s="287"/>
      <c r="R22" s="282"/>
      <c r="S22" s="140"/>
    </row>
    <row customHeight="1" ht="12.75" r="23" spans="1:20" x14ac:dyDescent="0.2">
      <c r="A23" s="139"/>
      <c r="B23" s="139"/>
      <c r="C23" s="1440" t="s">
        <v>4402</v>
      </c>
      <c r="D23" s="285"/>
      <c r="E23" s="285"/>
      <c r="F23" s="285"/>
      <c r="G23" s="285"/>
      <c r="H23" s="285"/>
      <c r="I23" s="285"/>
      <c r="J23" s="286"/>
      <c r="K23" s="139"/>
      <c r="L23" s="140"/>
      <c r="M23" s="140"/>
      <c r="N23" s="140"/>
      <c r="O23" s="140"/>
      <c r="P23" s="282"/>
      <c r="Q23" s="282"/>
      <c r="R23" s="282"/>
      <c r="S23" s="140"/>
      <c r="T23" s="291"/>
    </row>
    <row customHeight="1" ht="12.75" r="24" spans="1:20" x14ac:dyDescent="0.2">
      <c r="A24" s="139"/>
      <c r="B24" s="139"/>
      <c r="C24" s="297"/>
      <c r="D24" s="285"/>
      <c r="E24" s="285"/>
      <c r="F24" s="285"/>
      <c r="G24" s="2895">
        <f>A10</f>
        <v>33</v>
      </c>
      <c r="H24" s="2894" t="s">
        <v>7242</v>
      </c>
      <c r="I24" s="285"/>
      <c r="J24" s="286"/>
      <c r="K24" s="139"/>
      <c r="L24" s="140"/>
      <c r="M24" s="140"/>
      <c r="N24" s="140"/>
      <c r="O24" s="140"/>
      <c r="P24" s="140"/>
      <c r="Q24" s="140"/>
      <c r="R24" s="282"/>
      <c r="S24" s="140"/>
      <c r="T24" s="291"/>
    </row>
    <row customHeight="1" ht="12.75" r="25" spans="1:20" x14ac:dyDescent="0.2">
      <c r="A25" s="139"/>
      <c r="B25" s="139"/>
      <c r="C25" s="297"/>
      <c r="D25" s="285"/>
      <c r="E25" s="285"/>
      <c r="F25" s="285"/>
      <c r="G25" s="285"/>
      <c r="H25" s="301"/>
      <c r="I25" s="285"/>
      <c r="J25" s="286"/>
      <c r="K25" s="139"/>
      <c r="L25" s="140"/>
      <c r="M25" s="140"/>
      <c r="N25" s="140"/>
      <c r="O25" s="140"/>
      <c r="P25" s="140"/>
      <c r="Q25" s="140"/>
      <c r="R25" s="282"/>
      <c r="S25" s="140"/>
      <c r="T25" s="291"/>
    </row>
    <row r="26" spans="1:20" x14ac:dyDescent="0.2">
      <c r="A26" s="139"/>
      <c r="B26" s="139"/>
      <c r="C26" s="284"/>
      <c r="D26" s="285"/>
      <c r="E26" s="285"/>
      <c r="F26" s="285"/>
      <c r="G26" s="285"/>
      <c r="H26" s="285"/>
      <c r="I26" s="285"/>
      <c r="J26" s="286"/>
      <c r="K26" s="139"/>
      <c r="L26" s="140"/>
      <c r="M26" s="140"/>
      <c r="N26" s="140"/>
      <c r="O26" s="140"/>
      <c r="P26" s="140"/>
      <c r="Q26" s="140"/>
      <c r="R26" s="282"/>
      <c r="S26" s="140"/>
      <c r="T26" s="291"/>
    </row>
    <row r="27" spans="1:20" x14ac:dyDescent="0.2">
      <c r="A27" s="139"/>
      <c r="B27" s="139"/>
      <c r="C27" s="297"/>
      <c r="D27" s="285"/>
      <c r="E27" s="285"/>
      <c r="F27" s="285"/>
      <c r="G27" s="143">
        <f>A11</f>
        <v>38</v>
      </c>
      <c r="H27" s="292" t="s">
        <v>5230</v>
      </c>
      <c r="I27" s="285"/>
      <c r="J27" s="286"/>
      <c r="K27" s="139"/>
      <c r="L27" s="140"/>
      <c r="M27" s="140"/>
      <c r="N27" s="140"/>
      <c r="O27" s="140"/>
      <c r="P27" s="282"/>
      <c r="Q27" s="282"/>
      <c r="R27" s="282"/>
      <c r="S27" s="140"/>
      <c r="T27" s="291"/>
    </row>
    <row r="28" spans="1:20" x14ac:dyDescent="0.2">
      <c r="A28" s="139"/>
      <c r="B28" s="139"/>
      <c r="C28" s="297"/>
      <c r="D28" s="285"/>
      <c r="E28" s="285"/>
      <c r="F28" s="285"/>
      <c r="G28" s="285"/>
      <c r="H28" s="301"/>
      <c r="I28" s="285"/>
      <c r="J28" s="286"/>
      <c r="K28" s="139"/>
      <c r="L28" s="140"/>
      <c r="M28" s="140"/>
      <c r="N28" s="140"/>
      <c r="O28" s="140"/>
      <c r="P28" s="140"/>
      <c r="Q28" s="140"/>
      <c r="R28" s="282"/>
      <c r="S28" s="140"/>
      <c r="T28" s="291"/>
    </row>
    <row r="29" spans="1:20" x14ac:dyDescent="0.2">
      <c r="A29" s="139"/>
      <c r="B29" s="139"/>
      <c r="C29" s="284"/>
      <c r="D29" s="285"/>
      <c r="E29" s="285"/>
      <c r="F29" s="285"/>
      <c r="G29" s="285"/>
      <c r="H29" s="285"/>
      <c r="I29" s="285"/>
      <c r="J29" s="286"/>
      <c r="K29" s="139"/>
      <c r="L29" s="140"/>
      <c r="M29" s="140"/>
      <c r="N29" s="140"/>
      <c r="O29" s="140"/>
      <c r="P29" s="140"/>
      <c r="Q29" s="140"/>
      <c r="R29" s="282"/>
      <c r="S29" s="140"/>
      <c r="T29" s="291"/>
    </row>
    <row r="30" spans="1:20" x14ac:dyDescent="0.2">
      <c r="A30" s="139"/>
      <c r="B30" s="139"/>
      <c r="C30" s="297"/>
      <c r="D30" s="285"/>
      <c r="E30" s="285"/>
      <c r="F30" s="285"/>
      <c r="G30" s="143">
        <f>A12</f>
        <v>39</v>
      </c>
      <c r="H30" s="292" t="s">
        <v>4168</v>
      </c>
      <c r="I30" s="285"/>
      <c r="J30" s="286"/>
      <c r="K30" s="139"/>
      <c r="L30" s="140"/>
      <c r="M30" s="140"/>
      <c r="N30" s="140"/>
      <c r="O30" s="140"/>
      <c r="P30" s="140"/>
      <c r="Q30" s="140"/>
      <c r="R30" s="282"/>
      <c r="S30" s="140"/>
      <c r="T30" s="291"/>
    </row>
    <row r="31" spans="1:20" x14ac:dyDescent="0.2">
      <c r="B31" s="139"/>
      <c r="C31" s="297"/>
      <c r="D31" s="285"/>
      <c r="E31" s="285"/>
      <c r="F31" s="285"/>
      <c r="G31" s="285"/>
      <c r="H31" s="301"/>
      <c r="I31" s="285"/>
      <c r="J31" s="286"/>
      <c r="K31" s="139"/>
      <c r="L31" s="140"/>
      <c r="M31" s="140"/>
      <c r="N31" s="140"/>
      <c r="O31" s="140"/>
      <c r="P31" s="140"/>
      <c r="Q31" s="140"/>
      <c r="R31" s="140"/>
      <c r="S31" s="140"/>
    </row>
    <row r="32" spans="1:20" x14ac:dyDescent="0.2">
      <c r="B32" s="203"/>
      <c r="C32" s="296"/>
      <c r="D32" s="285"/>
      <c r="E32" s="285"/>
      <c r="F32" s="285"/>
      <c r="G32" s="285"/>
      <c r="H32" s="285"/>
      <c r="I32" s="285"/>
      <c r="J32" s="286"/>
      <c r="K32" s="203"/>
    </row>
    <row r="33" spans="2:11" x14ac:dyDescent="0.2">
      <c r="B33" s="203"/>
      <c r="C33" s="296"/>
      <c r="D33" s="292"/>
      <c r="E33" s="285"/>
      <c r="F33" s="285"/>
      <c r="G33" s="143">
        <f>A13</f>
        <v>40</v>
      </c>
      <c r="H33" s="292" t="s">
        <v>3326</v>
      </c>
      <c r="I33" s="285"/>
      <c r="J33" s="286"/>
      <c r="K33" s="203"/>
    </row>
    <row r="34" spans="2:11" x14ac:dyDescent="0.2">
      <c r="B34" s="203"/>
      <c r="C34" s="296"/>
      <c r="D34" s="292"/>
      <c r="E34" s="285"/>
      <c r="F34" s="285"/>
      <c r="G34" s="285"/>
      <c r="H34" s="301"/>
      <c r="I34" s="285"/>
      <c r="J34" s="286"/>
      <c r="K34" s="203"/>
    </row>
    <row r="35" spans="2:11" x14ac:dyDescent="0.2">
      <c r="B35" s="203"/>
      <c r="C35" s="297"/>
      <c r="D35" s="285"/>
      <c r="E35" s="285"/>
      <c r="F35" s="285"/>
      <c r="G35" s="285"/>
      <c r="H35" s="285"/>
      <c r="I35" s="285"/>
      <c r="J35" s="286"/>
      <c r="K35" s="203"/>
    </row>
    <row r="36" spans="2:11" x14ac:dyDescent="0.2">
      <c r="B36" s="203"/>
      <c r="C36" s="297"/>
      <c r="D36" s="285"/>
      <c r="E36" s="285"/>
      <c r="F36" s="285"/>
      <c r="G36" s="143">
        <f>A14</f>
        <v>42</v>
      </c>
      <c r="H36" s="236" t="str">
        <f>"Loss set against "&amp;tax_year&amp;" income"</f>
        <v>Loss set against 2019-20 income</v>
      </c>
      <c r="I36" s="285"/>
      <c r="J36" s="286"/>
      <c r="K36" s="203"/>
    </row>
    <row r="37" spans="2:11" x14ac:dyDescent="0.2">
      <c r="B37" s="203"/>
      <c r="C37" s="297"/>
      <c r="D37" s="285"/>
      <c r="E37" s="285"/>
      <c r="F37" s="285"/>
      <c r="G37" s="285"/>
      <c r="H37" s="147"/>
      <c r="I37" s="285"/>
      <c r="J37" s="286"/>
      <c r="K37" s="203"/>
    </row>
    <row r="38" spans="2:11" x14ac:dyDescent="0.2">
      <c r="B38" s="203"/>
      <c r="C38" s="297"/>
      <c r="D38" s="285"/>
      <c r="E38" s="285"/>
      <c r="F38" s="285"/>
      <c r="G38" s="285"/>
      <c r="H38" s="285"/>
      <c r="I38" s="285"/>
      <c r="J38" s="286"/>
      <c r="K38" s="203"/>
    </row>
    <row r="39" spans="2:11" x14ac:dyDescent="0.2">
      <c r="B39" s="203"/>
      <c r="C39" s="297"/>
      <c r="D39" s="285"/>
      <c r="E39" s="285"/>
      <c r="F39" s="285"/>
      <c r="G39" s="143">
        <f>A15</f>
        <v>44</v>
      </c>
      <c r="H39" s="236" t="s">
        <v>6279</v>
      </c>
      <c r="I39" s="285"/>
      <c r="J39" s="286"/>
      <c r="K39" s="203"/>
    </row>
    <row r="40" spans="2:11" x14ac:dyDescent="0.2">
      <c r="B40" s="203"/>
      <c r="C40" s="297"/>
      <c r="D40" s="285"/>
      <c r="E40" s="285"/>
      <c r="F40" s="285"/>
      <c r="G40" s="285"/>
      <c r="H40" s="147"/>
      <c r="I40" s="285"/>
      <c r="J40" s="286"/>
      <c r="K40" s="203"/>
    </row>
    <row r="41" spans="2:11" x14ac:dyDescent="0.2">
      <c r="B41" s="203"/>
      <c r="C41" s="297"/>
      <c r="D41" s="285"/>
      <c r="E41" s="285"/>
      <c r="F41" s="285"/>
      <c r="G41" s="285"/>
      <c r="H41" s="285"/>
      <c r="I41" s="285"/>
      <c r="J41" s="286"/>
      <c r="K41" s="203"/>
    </row>
    <row r="42" spans="2:11" x14ac:dyDescent="0.2">
      <c r="B42" s="203"/>
      <c r="C42" s="297"/>
      <c r="D42" s="285"/>
      <c r="E42" s="285"/>
      <c r="F42" s="285"/>
      <c r="G42" s="2221">
        <f>A16</f>
        <v>45</v>
      </c>
      <c r="H42" s="2222" t="s">
        <v>6841</v>
      </c>
      <c r="I42" s="2223"/>
      <c r="J42" s="2224"/>
      <c r="K42" s="203"/>
    </row>
    <row r="43" spans="2:11" x14ac:dyDescent="0.2">
      <c r="B43" s="203"/>
      <c r="C43" s="297"/>
      <c r="D43" s="285"/>
      <c r="E43" s="285"/>
      <c r="F43" s="285"/>
      <c r="G43" s="285"/>
      <c r="H43" s="147"/>
      <c r="I43" s="285"/>
      <c r="J43" s="286"/>
      <c r="K43" s="203"/>
    </row>
    <row r="44" spans="2:11" x14ac:dyDescent="0.2">
      <c r="B44" s="203"/>
      <c r="C44" s="2218"/>
      <c r="D44" s="2219"/>
      <c r="E44" s="2219"/>
      <c r="F44" s="2219"/>
      <c r="G44" s="2219"/>
      <c r="H44" s="2219"/>
      <c r="I44" s="2219"/>
      <c r="J44" s="2220"/>
      <c r="K44" s="203"/>
    </row>
    <row r="45" spans="2:11" x14ac:dyDescent="0.2">
      <c r="B45" s="203"/>
      <c r="C45" s="203"/>
      <c r="D45" s="203"/>
      <c r="E45" s="139"/>
      <c r="F45" s="139"/>
      <c r="G45" s="153"/>
      <c r="H45" s="139"/>
      <c r="I45" s="139"/>
      <c r="J45" s="139"/>
      <c r="K45" s="203"/>
    </row>
    <row r="46" spans="2:11" x14ac:dyDescent="0.2">
      <c r="B46" s="203"/>
      <c r="C46" s="203"/>
      <c r="D46" s="203"/>
      <c r="E46" s="139"/>
      <c r="F46" s="139"/>
      <c r="G46" s="153"/>
      <c r="H46" s="139"/>
      <c r="I46" s="139"/>
      <c r="J46" s="139"/>
      <c r="K46" s="203"/>
    </row>
    <row r="47" spans="2:11" x14ac:dyDescent="0.2">
      <c r="B47" s="203"/>
      <c r="C47" s="203"/>
      <c r="D47" s="203"/>
      <c r="E47" s="139"/>
      <c r="F47" s="139"/>
      <c r="G47" s="153"/>
      <c r="H47" s="139"/>
      <c r="I47" s="139"/>
      <c r="J47" s="139"/>
      <c r="K47" s="203"/>
    </row>
    <row r="48" spans="2:11" x14ac:dyDescent="0.2">
      <c r="B48" s="203"/>
      <c r="C48" s="203"/>
      <c r="D48" s="203"/>
      <c r="E48" s="139"/>
      <c r="F48" s="139"/>
      <c r="G48" s="153"/>
      <c r="H48" s="139"/>
      <c r="I48" s="139"/>
      <c r="J48" s="139"/>
      <c r="K48" s="203"/>
    </row>
  </sheetData>
  <sheetProtection objects="1" scenarios="1" sheet="1"/>
  <phoneticPr fontId="67" type="noConversion"/>
  <pageMargins bottom="1" footer="0.5" header="0.5" left="0.75" right="0.75" top="1"/>
  <pageSetup orientation="landscape" paperSize="9" r:id="rId1"/>
  <headerFooter alignWithMargins="0"/>
</worksheet>
</file>

<file path=xl/worksheets/sheet46.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xmlns:xr="http://schemas.microsoft.com/office/spreadsheetml/2014/revision" xmlns:xr2="http://schemas.microsoft.com/office/spreadsheetml/2015/revision2" xmlns:xr3="http://schemas.microsoft.com/office/spreadsheetml/2016/revision3" mc:Ignorable="x14ac xr xr2 xr3" xr:uid="{00000000-0001-0000-2D00-000000000000}">
  <sheetPr codeName="Sheet21"/>
  <dimension ref="A1:X46"/>
  <sheetViews>
    <sheetView showGridLines="0" showRowColHeaders="0" topLeftCell="B1" workbookViewId="0">
      <selection activeCell="U41" sqref="U41"/>
    </sheetView>
  </sheetViews>
  <sheetFormatPr defaultColWidth="9.140625" defaultRowHeight="12" x14ac:dyDescent="0.2"/>
  <cols>
    <col min="1" max="1" customWidth="true" hidden="true" style="98" width="5.7109375" collapsed="true"/>
    <col min="2" max="2" customWidth="true" style="98" width="1.5703125" collapsed="true"/>
    <col min="3" max="3" customWidth="true" style="98" width="4.7109375" collapsed="true"/>
    <col min="4" max="4" customWidth="true" style="305" width="13.5703125" collapsed="true"/>
    <col min="5" max="5" customWidth="true" style="98" width="7.0" collapsed="true"/>
    <col min="6" max="6" customWidth="true" style="98" width="6.5703125" collapsed="true"/>
    <col min="7" max="7" customWidth="true" style="98" width="5.42578125" collapsed="true"/>
    <col min="8" max="8" customWidth="true" style="98" width="15.140625" collapsed="true"/>
    <col min="9" max="9" customWidth="true" style="98" width="7.5703125" collapsed="true"/>
    <col min="10" max="10" customWidth="true" style="98" width="5.140625" collapsed="true"/>
    <col min="11" max="11" customWidth="true" style="98" width="5.42578125" collapsed="true"/>
    <col min="12" max="12" customWidth="true" style="98" width="13.5703125" collapsed="true"/>
    <col min="13" max="13" customWidth="true" style="98" width="5.140625" collapsed="true"/>
    <col min="14" max="14" customWidth="true" style="98" width="4.140625" collapsed="true"/>
    <col min="15" max="15" customWidth="true" style="98" width="4.7109375" collapsed="true"/>
    <col min="16" max="16" customWidth="true" style="98" width="13.85546875" collapsed="true"/>
    <col min="17" max="17" customWidth="true" style="98" width="14.42578125" collapsed="true"/>
    <col min="18" max="18" customWidth="true" style="98" width="1.5703125" collapsed="true"/>
    <col min="19" max="19" customWidth="true" hidden="true" style="98" width="6.28515625" collapsed="true"/>
    <col min="20" max="16384" style="98" width="9.140625" collapsed="true"/>
  </cols>
  <sheetData>
    <row customHeight="1" ht="7.15" r="1" spans="1:23" x14ac:dyDescent="0.2">
      <c r="A1" s="98" t="s">
        <v>3319</v>
      </c>
      <c r="B1" s="75"/>
      <c r="C1" s="75"/>
      <c r="D1" s="303"/>
      <c r="E1" s="75"/>
      <c r="F1" s="75"/>
      <c r="G1" s="75"/>
      <c r="H1" s="75"/>
      <c r="I1" s="75"/>
      <c r="J1" s="75"/>
      <c r="K1" s="75"/>
      <c r="L1" s="75"/>
      <c r="M1" s="75"/>
      <c r="N1" s="75"/>
      <c r="O1" s="75"/>
      <c r="P1" s="75"/>
      <c r="Q1" s="75"/>
      <c r="R1" s="75"/>
      <c r="T1" s="123"/>
      <c r="U1" s="123"/>
      <c r="V1" s="123"/>
      <c r="W1" s="123"/>
    </row>
    <row customHeight="1" ht="12" r="2" spans="1:23" x14ac:dyDescent="0.2">
      <c r="A2" s="98">
        <v>2</v>
      </c>
      <c r="B2" s="75"/>
      <c r="C2" s="293" t="s">
        <v>3327</v>
      </c>
      <c r="D2" s="304"/>
      <c r="E2" s="294"/>
      <c r="F2" s="294"/>
      <c r="G2" s="294"/>
      <c r="H2" s="294"/>
      <c r="I2" s="294"/>
      <c r="J2" s="427" t="s">
        <v>3319</v>
      </c>
      <c r="K2" s="315"/>
      <c r="L2" s="294"/>
      <c r="M2" s="294"/>
      <c r="N2" s="294"/>
      <c r="O2" s="294"/>
      <c r="P2" s="294"/>
      <c r="Q2" s="424" t="s">
        <v>3319</v>
      </c>
      <c r="R2" s="75"/>
      <c r="S2" s="123"/>
      <c r="T2" s="123"/>
      <c r="U2" s="123"/>
      <c r="V2" s="123"/>
      <c r="W2" s="123"/>
    </row>
    <row customHeight="1" ht="12" r="3" spans="1:23" x14ac:dyDescent="0.2">
      <c r="A3" s="98">
        <v>3</v>
      </c>
      <c r="B3" s="75"/>
      <c r="C3" s="310"/>
      <c r="D3" s="292"/>
      <c r="E3" s="285"/>
      <c r="F3" s="285"/>
      <c r="G3" s="285"/>
      <c r="H3" s="285"/>
      <c r="I3" s="285"/>
      <c r="J3" s="285"/>
      <c r="K3" s="317" t="s">
        <v>4337</v>
      </c>
      <c r="L3" s="285"/>
      <c r="M3" s="285"/>
      <c r="N3" s="285"/>
      <c r="O3" s="285"/>
      <c r="P3" s="285"/>
      <c r="Q3" s="286"/>
      <c r="R3" s="75"/>
      <c r="S3" s="123"/>
      <c r="T3" s="123"/>
      <c r="U3" s="123"/>
      <c r="V3" s="123"/>
      <c r="W3" s="123"/>
    </row>
    <row r="4" spans="1:23" x14ac:dyDescent="0.2">
      <c r="A4" s="98">
        <v>4</v>
      </c>
      <c r="B4" s="75"/>
      <c r="C4" s="284"/>
      <c r="D4" s="292"/>
      <c r="E4" s="285"/>
      <c r="F4" s="285"/>
      <c r="G4" s="285"/>
      <c r="H4" s="285"/>
      <c r="I4" s="285"/>
      <c r="J4" s="285"/>
      <c r="K4" s="297"/>
      <c r="L4" s="285"/>
      <c r="M4" s="285"/>
      <c r="N4" s="285"/>
      <c r="O4" s="285"/>
      <c r="P4" s="285"/>
      <c r="Q4" s="286"/>
      <c r="R4" s="75"/>
      <c r="S4" s="123"/>
      <c r="T4" s="123"/>
      <c r="U4" s="123"/>
      <c r="V4" s="123"/>
      <c r="W4" s="123"/>
    </row>
    <row customHeight="1" ht="12" r="5" spans="1:23" x14ac:dyDescent="0.2">
      <c r="A5" s="98">
        <v>5</v>
      </c>
      <c r="B5" s="75"/>
      <c r="C5" s="284"/>
      <c r="D5" s="292"/>
      <c r="E5" s="285"/>
      <c r="F5" s="285"/>
      <c r="G5" s="285"/>
      <c r="H5" s="285"/>
      <c r="I5" s="285"/>
      <c r="J5" s="285"/>
      <c r="K5" s="165">
        <f>A16</f>
        <v>24</v>
      </c>
      <c r="L5" s="292" t="s">
        <v>5607</v>
      </c>
      <c r="M5" s="285"/>
      <c r="N5" s="285"/>
      <c r="O5" s="165">
        <f>A17</f>
        <v>24.1</v>
      </c>
      <c r="P5" s="292" t="s">
        <v>6279</v>
      </c>
      <c r="Q5" s="286"/>
      <c r="R5" s="75"/>
      <c r="S5" s="123"/>
      <c r="T5" s="123"/>
      <c r="U5" s="123"/>
      <c r="V5" s="123"/>
      <c r="W5" s="123"/>
    </row>
    <row customHeight="1" ht="12" r="6" spans="1:23" x14ac:dyDescent="0.2">
      <c r="A6" s="98">
        <v>6</v>
      </c>
      <c r="B6" s="75"/>
      <c r="C6" s="284"/>
      <c r="D6" s="292"/>
      <c r="E6" s="285"/>
      <c r="F6" s="285"/>
      <c r="G6" s="285"/>
      <c r="H6" s="285"/>
      <c r="I6" s="285"/>
      <c r="J6" s="285"/>
      <c r="K6" s="296"/>
      <c r="L6" s="1105"/>
      <c r="M6" s="285"/>
      <c r="N6" s="292"/>
      <c r="O6" s="292"/>
      <c r="P6" s="1105"/>
      <c r="Q6" s="286"/>
      <c r="R6" s="75"/>
      <c r="S6" s="123"/>
      <c r="T6" s="123"/>
      <c r="U6" s="123"/>
      <c r="V6" s="123"/>
      <c r="W6" s="123"/>
    </row>
    <row customHeight="1" ht="12" r="7" spans="1:23" x14ac:dyDescent="0.2">
      <c r="A7" s="98">
        <v>7</v>
      </c>
      <c r="B7" s="75"/>
      <c r="C7" s="296"/>
      <c r="D7" s="292"/>
      <c r="E7" s="285"/>
      <c r="F7" s="285"/>
      <c r="G7" s="285"/>
      <c r="H7" s="285"/>
      <c r="I7" s="285"/>
      <c r="J7" s="285"/>
      <c r="K7" s="297"/>
      <c r="L7" s="285"/>
      <c r="M7" s="285"/>
      <c r="N7" s="285"/>
      <c r="O7" s="285"/>
      <c r="P7" s="285"/>
      <c r="Q7" s="286"/>
      <c r="R7" s="75"/>
      <c r="S7" s="123"/>
      <c r="T7" s="123"/>
      <c r="U7" s="123"/>
      <c r="V7" s="123"/>
      <c r="W7" s="123"/>
    </row>
    <row customHeight="1" ht="12" r="8" spans="1:23" x14ac:dyDescent="0.2">
      <c r="A8" s="98">
        <v>8</v>
      </c>
      <c r="B8" s="75"/>
      <c r="C8" s="296"/>
      <c r="D8" s="292"/>
      <c r="E8" s="285"/>
      <c r="F8" s="285"/>
      <c r="G8" s="285"/>
      <c r="H8" s="285"/>
      <c r="I8" s="285"/>
      <c r="J8" s="285"/>
      <c r="K8" s="297"/>
      <c r="L8" s="285"/>
      <c r="M8" s="285"/>
      <c r="N8" s="285"/>
      <c r="O8" s="2236">
        <f>A18</f>
        <v>24.2</v>
      </c>
      <c r="P8" s="2234" t="s">
        <v>6846</v>
      </c>
      <c r="Q8" s="2224"/>
      <c r="R8" s="75"/>
      <c r="S8" s="123"/>
      <c r="T8" s="123"/>
      <c r="U8" s="123"/>
      <c r="V8" s="123"/>
      <c r="W8" s="123"/>
    </row>
    <row customHeight="1" ht="12" r="9" spans="1:23" x14ac:dyDescent="0.2">
      <c r="A9" s="98">
        <v>9</v>
      </c>
      <c r="B9" s="75"/>
      <c r="C9" s="296"/>
      <c r="D9" s="292"/>
      <c r="E9" s="285"/>
      <c r="F9" s="285"/>
      <c r="G9" s="285"/>
      <c r="H9" s="285"/>
      <c r="I9" s="285"/>
      <c r="J9" s="285"/>
      <c r="K9" s="297"/>
      <c r="L9" s="285"/>
      <c r="M9" s="285"/>
      <c r="N9" s="285"/>
      <c r="O9" s="292"/>
      <c r="P9" s="166"/>
      <c r="Q9" s="286"/>
      <c r="R9" s="75"/>
      <c r="S9" s="123"/>
      <c r="T9" s="123"/>
      <c r="U9" s="123"/>
      <c r="V9" s="123"/>
      <c r="W9" s="123"/>
    </row>
    <row customHeight="1" ht="12" r="10" spans="1:23" x14ac:dyDescent="0.2">
      <c r="A10" s="98">
        <v>10</v>
      </c>
      <c r="B10" s="75"/>
      <c r="C10" s="165">
        <f>A2</f>
        <v>2</v>
      </c>
      <c r="D10" s="292" t="s">
        <v>1731</v>
      </c>
      <c r="E10" s="285"/>
      <c r="F10" s="285"/>
      <c r="G10" s="285"/>
      <c r="H10" s="285"/>
      <c r="I10" s="285"/>
      <c r="J10" s="285"/>
      <c r="K10" s="165">
        <f>A19</f>
        <v>26</v>
      </c>
      <c r="L10" s="238" t="s">
        <v>4170</v>
      </c>
      <c r="M10" s="285"/>
      <c r="N10" s="285"/>
      <c r="O10" s="285"/>
      <c r="P10" s="285"/>
      <c r="Q10" s="286"/>
      <c r="R10" s="75"/>
      <c r="S10" s="123"/>
      <c r="T10" s="123"/>
      <c r="U10" s="123"/>
      <c r="V10" s="123"/>
      <c r="W10" s="123"/>
    </row>
    <row customHeight="1" ht="12" r="11" spans="1:23" x14ac:dyDescent="0.2">
      <c r="A11" s="98">
        <v>11</v>
      </c>
      <c r="B11" s="75"/>
      <c r="C11" s="296"/>
      <c r="D11" s="1432"/>
      <c r="E11" s="285"/>
      <c r="F11" s="285"/>
      <c r="G11" s="285"/>
      <c r="H11" s="285"/>
      <c r="I11" s="285"/>
      <c r="J11" s="286"/>
      <c r="K11" s="296"/>
      <c r="L11" s="1105"/>
      <c r="M11" s="285" t="s">
        <v>4589</v>
      </c>
      <c r="N11" s="285"/>
      <c r="O11" s="2236">
        <f>A20</f>
        <v>27</v>
      </c>
      <c r="P11" s="2234" t="s">
        <v>2764</v>
      </c>
      <c r="Q11" s="2224"/>
      <c r="R11" s="75"/>
      <c r="S11" s="123"/>
      <c r="T11" s="123"/>
      <c r="U11" s="123"/>
      <c r="V11" s="123"/>
      <c r="W11" s="123"/>
    </row>
    <row customHeight="1" ht="12" r="12" spans="1:23" x14ac:dyDescent="0.2">
      <c r="A12" s="98">
        <v>12</v>
      </c>
      <c r="B12" s="75"/>
      <c r="C12" s="298"/>
      <c r="D12" s="1005"/>
      <c r="E12" s="1006"/>
      <c r="F12" s="1006"/>
      <c r="G12" s="1006"/>
      <c r="H12" s="1006"/>
      <c r="I12" s="1006"/>
      <c r="J12" s="1007"/>
      <c r="K12" s="285"/>
      <c r="L12" s="285"/>
      <c r="M12" s="1004"/>
      <c r="N12" s="285"/>
      <c r="O12" s="292"/>
      <c r="P12" s="166"/>
      <c r="Q12" s="286"/>
      <c r="R12" s="75"/>
      <c r="S12" s="123"/>
      <c r="T12" s="123"/>
      <c r="U12" s="123"/>
      <c r="V12" s="123"/>
      <c r="W12" s="123"/>
    </row>
    <row customHeight="1" ht="12" r="13" spans="1:23" x14ac:dyDescent="0.2">
      <c r="A13" s="98">
        <v>13</v>
      </c>
      <c r="B13" s="75"/>
      <c r="C13" s="315"/>
      <c r="D13" s="312"/>
      <c r="E13" s="312"/>
      <c r="F13" s="312"/>
      <c r="G13" s="312"/>
      <c r="H13" s="312"/>
      <c r="I13" s="312"/>
      <c r="J13" s="424" t="str">
        <f>FOR</f>
        <v>FOR</v>
      </c>
      <c r="K13" s="285"/>
      <c r="L13" s="285"/>
      <c r="M13" s="1004"/>
      <c r="N13" s="285"/>
      <c r="O13" s="285"/>
      <c r="P13" s="285"/>
      <c r="Q13" s="286"/>
      <c r="R13" s="75"/>
      <c r="S13" s="123"/>
      <c r="T13" s="123"/>
      <c r="U13" s="123"/>
      <c r="V13" s="123"/>
      <c r="W13" s="123"/>
    </row>
    <row customHeight="1" ht="12" r="14" spans="1:23" x14ac:dyDescent="0.2">
      <c r="A14" s="98">
        <v>13.1</v>
      </c>
      <c r="B14" s="75"/>
      <c r="C14" s="316" t="s">
        <v>4336</v>
      </c>
      <c r="D14" s="1004"/>
      <c r="E14" s="1004"/>
      <c r="F14" s="1004"/>
      <c r="G14" s="1004"/>
      <c r="H14" s="1004"/>
      <c r="I14" s="1004"/>
      <c r="J14" s="286"/>
      <c r="K14" s="317" t="s">
        <v>2890</v>
      </c>
      <c r="L14" s="285"/>
      <c r="M14" s="292"/>
      <c r="N14" s="292"/>
      <c r="O14" s="308" t="s">
        <v>946</v>
      </c>
      <c r="P14" s="292"/>
      <c r="Q14" s="286"/>
      <c r="R14" s="75"/>
      <c r="S14" s="123"/>
      <c r="T14" s="123"/>
      <c r="U14" s="123"/>
      <c r="V14" s="123"/>
      <c r="W14" s="123"/>
    </row>
    <row customHeight="1" ht="12" r="15" spans="1:23" x14ac:dyDescent="0.2">
      <c r="A15" s="98">
        <v>13.2</v>
      </c>
      <c r="B15" s="75"/>
      <c r="C15" s="296"/>
      <c r="D15" s="1004"/>
      <c r="E15" s="1004"/>
      <c r="F15" s="1004"/>
      <c r="G15" s="1004"/>
      <c r="H15" s="1004"/>
      <c r="I15" s="1004"/>
      <c r="J15" s="286"/>
      <c r="K15" s="165">
        <f>A21</f>
        <v>29</v>
      </c>
      <c r="L15" s="292" t="s">
        <v>1013</v>
      </c>
      <c r="M15" s="292"/>
      <c r="N15" s="292"/>
      <c r="O15" s="165">
        <f>A22</f>
        <v>30</v>
      </c>
      <c r="P15" s="292" t="s">
        <v>1013</v>
      </c>
      <c r="Q15" s="286"/>
      <c r="R15" s="75"/>
      <c r="S15" s="123"/>
      <c r="T15" s="123"/>
      <c r="U15" s="123"/>
      <c r="V15" s="123"/>
      <c r="W15" s="123"/>
    </row>
    <row customHeight="1" ht="12" r="16" spans="1:23" x14ac:dyDescent="0.2">
      <c r="A16" s="98">
        <v>24</v>
      </c>
      <c r="B16" s="75"/>
      <c r="C16" s="296"/>
      <c r="D16" s="1003" t="s">
        <v>2890</v>
      </c>
      <c r="E16" s="292"/>
      <c r="F16" s="292"/>
      <c r="G16" s="292"/>
      <c r="H16" s="1003" t="s">
        <v>946</v>
      </c>
      <c r="I16" s="292"/>
      <c r="J16" s="286"/>
      <c r="K16" s="296"/>
      <c r="L16" s="876"/>
      <c r="M16" s="292"/>
      <c r="N16" s="292"/>
      <c r="O16" s="292"/>
      <c r="P16" s="876"/>
      <c r="Q16" s="286"/>
      <c r="R16" s="75"/>
      <c r="S16" s="123"/>
      <c r="T16" s="123"/>
      <c r="U16" s="123"/>
      <c r="V16" s="123"/>
      <c r="W16" s="123"/>
    </row>
    <row customHeight="1" ht="12" r="17" spans="1:23" x14ac:dyDescent="0.2">
      <c r="A17" s="98">
        <v>24.1</v>
      </c>
      <c r="B17" s="75"/>
      <c r="C17" s="165">
        <f>A3</f>
        <v>3</v>
      </c>
      <c r="D17" s="292" t="s">
        <v>2734</v>
      </c>
      <c r="E17" s="285"/>
      <c r="F17" s="285"/>
      <c r="G17" s="165">
        <f>A4</f>
        <v>4</v>
      </c>
      <c r="H17" s="292" t="s">
        <v>2734</v>
      </c>
      <c r="I17" s="292"/>
      <c r="J17" s="286"/>
      <c r="K17" s="296"/>
      <c r="L17" s="292"/>
      <c r="M17" s="292"/>
      <c r="N17" s="292"/>
      <c r="O17" s="292"/>
      <c r="P17" s="292"/>
      <c r="Q17" s="286"/>
      <c r="R17" s="75"/>
      <c r="S17" s="123"/>
      <c r="T17" s="123"/>
      <c r="U17" s="123"/>
      <c r="V17" s="123"/>
      <c r="W17" s="123"/>
    </row>
    <row customHeight="1" ht="12" r="18" spans="1:23" x14ac:dyDescent="0.2">
      <c r="A18" s="98">
        <v>24.2</v>
      </c>
      <c r="B18" s="302"/>
      <c r="C18" s="296"/>
      <c r="D18" s="876"/>
      <c r="E18" s="285"/>
      <c r="F18" s="285"/>
      <c r="G18" s="285"/>
      <c r="H18" s="1342"/>
      <c r="I18" s="292"/>
      <c r="J18" s="286"/>
      <c r="K18" s="320" t="s">
        <v>3906</v>
      </c>
      <c r="L18" s="285"/>
      <c r="M18" s="285"/>
      <c r="N18" s="285"/>
      <c r="O18" s="292"/>
      <c r="P18" s="292"/>
      <c r="Q18" s="286"/>
      <c r="R18" s="75"/>
      <c r="S18" s="123"/>
      <c r="T18" s="123"/>
      <c r="U18" s="123"/>
      <c r="V18" s="123"/>
      <c r="W18" s="123"/>
    </row>
    <row customHeight="1" ht="12" r="19" spans="1:23" x14ac:dyDescent="0.2">
      <c r="A19" s="98">
        <v>26</v>
      </c>
      <c r="B19" s="75"/>
      <c r="C19" s="296"/>
      <c r="D19" s="292"/>
      <c r="E19" s="285"/>
      <c r="F19" s="285"/>
      <c r="G19" s="285"/>
      <c r="H19" s="285"/>
      <c r="I19" s="285"/>
      <c r="J19" s="286"/>
      <c r="K19" s="165">
        <f>A23</f>
        <v>31</v>
      </c>
      <c r="L19" s="292" t="s">
        <v>1017</v>
      </c>
      <c r="M19" s="285"/>
      <c r="N19" s="285"/>
      <c r="O19" s="309">
        <f>A24</f>
        <v>32</v>
      </c>
      <c r="P19" s="292" t="s">
        <v>4586</v>
      </c>
      <c r="Q19" s="286"/>
      <c r="R19" s="75"/>
      <c r="S19" s="123"/>
      <c r="T19" s="123"/>
      <c r="U19" s="123"/>
      <c r="V19" s="123"/>
      <c r="W19" s="123"/>
    </row>
    <row customHeight="1" ht="12" r="20" spans="1:23" x14ac:dyDescent="0.2">
      <c r="A20" s="98">
        <v>27</v>
      </c>
      <c r="B20" s="75"/>
      <c r="C20" s="165">
        <f>A5</f>
        <v>5</v>
      </c>
      <c r="D20" s="292" t="s">
        <v>690</v>
      </c>
      <c r="E20" s="285"/>
      <c r="F20" s="285"/>
      <c r="G20" s="165">
        <f>A6</f>
        <v>6</v>
      </c>
      <c r="H20" s="292" t="s">
        <v>690</v>
      </c>
      <c r="I20" s="292"/>
      <c r="J20" s="286"/>
      <c r="K20" s="296"/>
      <c r="L20" s="1435"/>
      <c r="M20" s="285"/>
      <c r="N20" s="285"/>
      <c r="O20" s="285"/>
      <c r="P20" s="1436"/>
      <c r="Q20" s="286"/>
      <c r="R20" s="75"/>
      <c r="S20" s="122" t="b">
        <v>0</v>
      </c>
      <c r="T20" s="123"/>
      <c r="U20" s="123"/>
      <c r="V20" s="123"/>
      <c r="W20" s="123"/>
    </row>
    <row customHeight="1" ht="12" r="21" spans="1:23" x14ac:dyDescent="0.2">
      <c r="A21" s="98">
        <v>29</v>
      </c>
      <c r="B21" s="75"/>
      <c r="C21" s="296"/>
      <c r="D21" s="876"/>
      <c r="E21" s="285"/>
      <c r="F21" s="285"/>
      <c r="G21" s="285"/>
      <c r="H21" s="1433"/>
      <c r="I21" s="292"/>
      <c r="J21" s="286"/>
      <c r="K21" s="298"/>
      <c r="L21" s="299"/>
      <c r="M21" s="299"/>
      <c r="N21" s="299"/>
      <c r="O21" s="299"/>
      <c r="P21" s="299"/>
      <c r="Q21" s="300"/>
      <c r="R21" s="75"/>
      <c r="S21" s="123"/>
      <c r="T21" s="123"/>
      <c r="U21" s="123"/>
      <c r="V21" s="123"/>
      <c r="W21" s="123"/>
    </row>
    <row customHeight="1" ht="12" r="22" spans="1:23" x14ac:dyDescent="0.2">
      <c r="A22" s="98">
        <v>30</v>
      </c>
      <c r="B22" s="75"/>
      <c r="C22" s="296"/>
      <c r="D22" s="292"/>
      <c r="E22" s="285"/>
      <c r="F22" s="285"/>
      <c r="G22" s="285"/>
      <c r="H22" s="285"/>
      <c r="I22" s="292"/>
      <c r="J22" s="286"/>
      <c r="K22" s="294"/>
      <c r="L22" s="294"/>
      <c r="M22" s="294"/>
      <c r="N22" s="294"/>
      <c r="O22" s="294"/>
      <c r="P22" s="294"/>
      <c r="Q22" s="424" t="str">
        <f>FOR</f>
        <v>FOR</v>
      </c>
      <c r="R22" s="75"/>
      <c r="S22" s="123"/>
      <c r="T22" s="123"/>
      <c r="U22" s="123"/>
      <c r="V22" s="123"/>
      <c r="W22" s="123"/>
    </row>
    <row customHeight="1" ht="12" r="23" spans="1:23" x14ac:dyDescent="0.2">
      <c r="A23" s="98">
        <v>31</v>
      </c>
      <c r="B23" s="75"/>
      <c r="C23" s="296"/>
      <c r="D23" s="292"/>
      <c r="E23" s="285"/>
      <c r="F23" s="285"/>
      <c r="G23" s="285"/>
      <c r="H23" s="285"/>
      <c r="I23" s="285"/>
      <c r="J23" s="286"/>
      <c r="K23" s="308" t="s">
        <v>965</v>
      </c>
      <c r="L23" s="285"/>
      <c r="M23" s="285"/>
      <c r="N23" s="285"/>
      <c r="O23" s="285"/>
      <c r="P23" s="285"/>
      <c r="Q23" s="286"/>
      <c r="R23" s="75"/>
      <c r="S23" s="123"/>
      <c r="T23" s="123"/>
      <c r="U23" s="123"/>
      <c r="V23" s="123"/>
      <c r="W23" s="123"/>
    </row>
    <row customHeight="1" ht="12" r="24" spans="1:23" x14ac:dyDescent="0.2">
      <c r="A24" s="98">
        <v>32</v>
      </c>
      <c r="B24" s="75"/>
      <c r="C24" s="296"/>
      <c r="D24" s="292"/>
      <c r="E24" s="285"/>
      <c r="F24" s="285"/>
      <c r="G24" s="285"/>
      <c r="H24" s="285"/>
      <c r="I24" s="285"/>
      <c r="J24" s="286"/>
      <c r="K24" s="285"/>
      <c r="L24" s="285"/>
      <c r="M24" s="285"/>
      <c r="N24" s="285"/>
      <c r="O24" s="285"/>
      <c r="P24" s="285"/>
      <c r="Q24" s="286"/>
      <c r="R24" s="75"/>
    </row>
    <row customHeight="1" ht="12" r="25" spans="1:23" x14ac:dyDescent="0.2">
      <c r="A25" s="98">
        <v>39</v>
      </c>
      <c r="B25" s="75"/>
      <c r="C25" s="296"/>
      <c r="D25" s="292"/>
      <c r="E25" s="285"/>
      <c r="F25" s="285"/>
      <c r="G25" s="285"/>
      <c r="H25" s="285"/>
      <c r="I25" s="285"/>
      <c r="J25" s="286"/>
      <c r="K25" s="309">
        <f>A25</f>
        <v>39</v>
      </c>
      <c r="L25" s="292" t="s">
        <v>1019</v>
      </c>
      <c r="M25" s="285"/>
      <c r="N25" s="285"/>
      <c r="O25" s="309">
        <f>A26</f>
        <v>40</v>
      </c>
      <c r="P25" s="292" t="s">
        <v>1168</v>
      </c>
      <c r="Q25" s="286"/>
      <c r="R25" s="75"/>
    </row>
    <row customHeight="1" ht="12" r="26" spans="1:23" x14ac:dyDescent="0.2">
      <c r="A26" s="98">
        <v>40</v>
      </c>
      <c r="B26" s="75"/>
      <c r="C26" s="296"/>
      <c r="D26" s="292"/>
      <c r="E26" s="285"/>
      <c r="F26" s="285"/>
      <c r="G26" s="285"/>
      <c r="H26" s="285"/>
      <c r="I26" s="292"/>
      <c r="J26" s="286"/>
      <c r="K26" s="285"/>
      <c r="L26" s="1434"/>
      <c r="M26" s="285"/>
      <c r="N26" s="285"/>
      <c r="O26" s="285"/>
      <c r="P26" s="1434"/>
      <c r="Q26" s="286"/>
      <c r="R26" s="75"/>
    </row>
    <row customHeight="1" ht="12" r="27" spans="1:23" x14ac:dyDescent="0.2">
      <c r="A27" s="98">
        <v>41</v>
      </c>
      <c r="B27" s="75"/>
      <c r="C27" s="296"/>
      <c r="D27" s="292"/>
      <c r="E27" s="285"/>
      <c r="F27" s="285"/>
      <c r="G27" s="285"/>
      <c r="H27" s="285"/>
      <c r="I27" s="292"/>
      <c r="J27" s="286"/>
      <c r="K27" s="299"/>
      <c r="L27" s="299"/>
      <c r="M27" s="299"/>
      <c r="N27" s="299"/>
      <c r="O27" s="299"/>
      <c r="P27" s="299"/>
      <c r="Q27" s="300"/>
      <c r="R27" s="75"/>
    </row>
    <row customHeight="1" ht="12" r="28" spans="1:23" x14ac:dyDescent="0.2">
      <c r="A28" s="98">
        <v>42</v>
      </c>
      <c r="B28" s="75"/>
      <c r="C28" s="165">
        <f>A8</f>
        <v>8</v>
      </c>
      <c r="D28" s="292" t="s">
        <v>2735</v>
      </c>
      <c r="E28" s="285"/>
      <c r="F28" s="285"/>
      <c r="G28" s="165">
        <f>A9</f>
        <v>9</v>
      </c>
      <c r="H28" s="292" t="s">
        <v>2735</v>
      </c>
      <c r="I28" s="292"/>
      <c r="J28" s="286"/>
      <c r="K28" s="285"/>
      <c r="L28" s="285"/>
      <c r="M28" s="285"/>
      <c r="N28" s="285"/>
      <c r="O28" s="285"/>
      <c r="P28" s="285"/>
      <c r="Q28" s="424" t="str">
        <f>FOR</f>
        <v>FOR</v>
      </c>
      <c r="R28" s="75"/>
    </row>
    <row customHeight="1" ht="12" r="29" spans="1:23" x14ac:dyDescent="0.2">
      <c r="A29" s="98">
        <v>43</v>
      </c>
      <c r="B29" s="75"/>
      <c r="C29" s="296"/>
      <c r="D29" s="876"/>
      <c r="E29" s="285"/>
      <c r="F29" s="285"/>
      <c r="G29" s="292"/>
      <c r="H29" s="166"/>
      <c r="I29" s="292"/>
      <c r="J29" s="286"/>
      <c r="K29" s="285"/>
      <c r="L29" s="285"/>
      <c r="M29" s="285"/>
      <c r="N29" s="285"/>
      <c r="O29" s="285"/>
      <c r="P29" s="285"/>
      <c r="Q29" s="286"/>
      <c r="R29" s="75"/>
    </row>
    <row r="30" spans="1:23" x14ac:dyDescent="0.2">
      <c r="A30" s="98">
        <v>44</v>
      </c>
      <c r="B30" s="75"/>
      <c r="C30" s="296"/>
      <c r="D30" s="292"/>
      <c r="E30" s="285"/>
      <c r="F30" s="285"/>
      <c r="G30" s="292"/>
      <c r="H30" s="285"/>
      <c r="I30" s="292"/>
      <c r="J30" s="286"/>
      <c r="K30" s="285"/>
      <c r="L30" s="285"/>
      <c r="M30" s="285"/>
      <c r="N30" s="285"/>
      <c r="O30" s="285"/>
      <c r="P30" s="285"/>
      <c r="Q30" s="286"/>
      <c r="R30" s="75"/>
    </row>
    <row customHeight="1" ht="12" r="31" spans="1:23" x14ac:dyDescent="0.2">
      <c r="A31" s="98">
        <v>45</v>
      </c>
      <c r="B31" s="75"/>
      <c r="C31" s="165">
        <f>A10</f>
        <v>10</v>
      </c>
      <c r="D31" s="238" t="s">
        <v>9024</v>
      </c>
      <c r="E31" s="285"/>
      <c r="F31" s="285"/>
      <c r="G31" s="165">
        <f>A11</f>
        <v>11</v>
      </c>
      <c r="H31" s="238" t="s">
        <v>9024</v>
      </c>
      <c r="I31" s="292"/>
      <c r="J31" s="286"/>
      <c r="K31" s="285"/>
      <c r="L31" s="285"/>
      <c r="M31" s="285"/>
      <c r="N31" s="285"/>
      <c r="O31" s="285"/>
      <c r="P31" s="285"/>
      <c r="Q31" s="286"/>
      <c r="R31" s="75"/>
    </row>
    <row customHeight="1" ht="12" r="32" spans="1:23" x14ac:dyDescent="0.2">
      <c r="B32" s="75"/>
      <c r="C32" s="296"/>
      <c r="D32" s="876"/>
      <c r="E32" s="292"/>
      <c r="F32" s="292"/>
      <c r="G32" s="292"/>
      <c r="H32" s="166"/>
      <c r="I32" s="292"/>
      <c r="J32" s="286"/>
      <c r="K32" s="285"/>
      <c r="L32" s="292" t="s">
        <v>1015</v>
      </c>
      <c r="M32" s="285"/>
      <c r="N32" s="285"/>
      <c r="O32" s="285"/>
      <c r="P32" s="285"/>
      <c r="Q32" s="286"/>
      <c r="R32" s="75"/>
    </row>
    <row r="33" spans="2:18" x14ac:dyDescent="0.2">
      <c r="B33" s="75"/>
      <c r="C33" s="296"/>
      <c r="D33" s="292"/>
      <c r="E33" s="292"/>
      <c r="F33" s="292"/>
      <c r="G33" s="292"/>
      <c r="H33" s="285"/>
      <c r="I33" s="236"/>
      <c r="J33" s="244"/>
      <c r="K33" s="319">
        <f>A27</f>
        <v>41</v>
      </c>
      <c r="L33" s="285" t="s">
        <v>1016</v>
      </c>
      <c r="M33" s="285"/>
      <c r="N33" s="285"/>
      <c r="O33" s="165">
        <f>A30</f>
        <v>44</v>
      </c>
      <c r="P33" s="292" t="s">
        <v>1014</v>
      </c>
      <c r="Q33" s="286"/>
      <c r="R33" s="75"/>
    </row>
    <row r="34" spans="2:18" x14ac:dyDescent="0.2">
      <c r="B34" s="75"/>
      <c r="C34" s="165">
        <f>A12</f>
        <v>12</v>
      </c>
      <c r="D34" s="238" t="s">
        <v>9025</v>
      </c>
      <c r="E34" s="292"/>
      <c r="F34" s="292"/>
      <c r="G34" s="165">
        <f>A13</f>
        <v>13</v>
      </c>
      <c r="H34" s="238" t="s">
        <v>9025</v>
      </c>
      <c r="I34" s="236"/>
      <c r="J34" s="244"/>
      <c r="K34" s="285"/>
      <c r="L34" s="166"/>
      <c r="M34" s="285"/>
      <c r="N34" s="285"/>
      <c r="O34" s="292"/>
      <c r="P34" s="528"/>
      <c r="Q34" s="286"/>
      <c r="R34" s="75"/>
    </row>
    <row r="35" spans="2:18" x14ac:dyDescent="0.2">
      <c r="B35" s="75"/>
      <c r="C35" s="296"/>
      <c r="D35" s="876"/>
      <c r="E35" s="292"/>
      <c r="F35" s="292"/>
      <c r="G35" s="292"/>
      <c r="H35" s="166"/>
      <c r="I35" s="236"/>
      <c r="J35" s="244"/>
      <c r="K35" s="285"/>
      <c r="L35" s="285"/>
      <c r="M35" s="285"/>
      <c r="N35" s="285"/>
      <c r="O35" s="285"/>
      <c r="P35" s="285"/>
      <c r="Q35" s="286"/>
      <c r="R35" s="75"/>
    </row>
    <row r="36" spans="2:18" x14ac:dyDescent="0.2">
      <c r="B36" s="75"/>
      <c r="C36" s="296"/>
      <c r="D36" s="1004"/>
      <c r="E36" s="1004"/>
      <c r="F36" s="1004"/>
      <c r="G36" s="1004"/>
      <c r="H36" s="1004"/>
      <c r="I36" s="1004"/>
      <c r="J36" s="286"/>
      <c r="K36" s="319">
        <f>A28</f>
        <v>42</v>
      </c>
      <c r="L36" s="292" t="s">
        <v>3918</v>
      </c>
      <c r="M36" s="285"/>
      <c r="N36" s="285"/>
      <c r="O36" s="165">
        <f>A31</f>
        <v>45</v>
      </c>
      <c r="P36" s="306" t="s">
        <v>845</v>
      </c>
      <c r="Q36" s="286"/>
      <c r="R36" s="75"/>
    </row>
    <row r="37" spans="2:18" x14ac:dyDescent="0.2">
      <c r="B37" s="75"/>
      <c r="C37" s="296"/>
      <c r="D37" s="238" t="s">
        <v>9022</v>
      </c>
      <c r="E37" s="292"/>
      <c r="F37" s="1004"/>
      <c r="G37" s="285"/>
      <c r="H37" s="285"/>
      <c r="I37" s="285"/>
      <c r="J37" s="286"/>
      <c r="K37" s="285"/>
      <c r="L37" s="166"/>
      <c r="M37" s="285"/>
      <c r="N37" s="285"/>
      <c r="O37" s="285"/>
      <c r="P37" s="1437"/>
      <c r="Q37" s="286"/>
      <c r="R37" s="75"/>
    </row>
    <row r="38" spans="2:18" x14ac:dyDescent="0.2">
      <c r="B38" s="75"/>
      <c r="C38" s="165">
        <f>A14</f>
        <v>13.1</v>
      </c>
      <c r="D38" s="238" t="s">
        <v>9023</v>
      </c>
      <c r="E38" s="292"/>
      <c r="F38" s="1004"/>
      <c r="G38" s="2236">
        <f>A15</f>
        <v>13.2</v>
      </c>
      <c r="H38" s="2234" t="s">
        <v>6846</v>
      </c>
      <c r="I38" s="2223"/>
      <c r="J38" s="286"/>
      <c r="K38" s="318"/>
      <c r="L38" s="318"/>
      <c r="M38" s="318"/>
      <c r="N38" s="318"/>
      <c r="O38" s="318"/>
      <c r="P38" s="318"/>
      <c r="Q38" s="286"/>
      <c r="R38" s="75"/>
    </row>
    <row r="39" spans="2:18" x14ac:dyDescent="0.2">
      <c r="B39" s="75"/>
      <c r="C39" s="296"/>
      <c r="D39" s="876"/>
      <c r="E39" s="236"/>
      <c r="F39" s="1004"/>
      <c r="G39" s="292"/>
      <c r="H39" s="166"/>
      <c r="I39" s="292"/>
      <c r="J39" s="286"/>
      <c r="K39" s="319">
        <f>A29</f>
        <v>43</v>
      </c>
      <c r="L39" s="238" t="s">
        <v>1320</v>
      </c>
      <c r="M39" s="318"/>
      <c r="N39" s="318"/>
      <c r="O39" s="318"/>
      <c r="P39" s="318"/>
      <c r="Q39" s="286"/>
      <c r="R39" s="75"/>
    </row>
    <row r="40" spans="2:18" x14ac:dyDescent="0.2">
      <c r="B40" s="75"/>
      <c r="C40" s="296"/>
      <c r="D40" s="1004"/>
      <c r="E40" s="1004"/>
      <c r="F40" s="1004"/>
      <c r="G40" s="1004"/>
      <c r="H40" s="285"/>
      <c r="I40" s="285"/>
      <c r="J40" s="286"/>
      <c r="K40" s="285"/>
      <c r="L40" s="1342"/>
      <c r="M40" s="318"/>
      <c r="N40" s="318"/>
      <c r="O40" s="318"/>
      <c r="P40" s="318"/>
      <c r="Q40" s="286"/>
      <c r="R40" s="75"/>
    </row>
    <row r="41" spans="2:18" x14ac:dyDescent="0.2">
      <c r="B41" s="75"/>
      <c r="C41" s="296"/>
      <c r="D41" s="1004"/>
      <c r="E41" s="1004"/>
      <c r="F41" s="1004"/>
      <c r="G41" s="285"/>
      <c r="H41" s="285"/>
      <c r="I41" s="285"/>
      <c r="J41" s="286"/>
      <c r="K41" s="285"/>
      <c r="L41" s="285"/>
      <c r="M41" s="1004"/>
      <c r="N41" s="1004"/>
      <c r="O41" s="1004"/>
      <c r="P41" s="1004"/>
      <c r="Q41" s="286"/>
      <c r="R41" s="75"/>
    </row>
    <row r="42" spans="2:18" x14ac:dyDescent="0.2">
      <c r="B42" s="75"/>
      <c r="C42" s="296"/>
      <c r="D42" s="1004"/>
      <c r="E42" s="1004"/>
      <c r="F42" s="1004"/>
      <c r="G42" s="285"/>
      <c r="H42" s="285"/>
      <c r="I42" s="285"/>
      <c r="J42" s="286"/>
      <c r="K42" s="285"/>
      <c r="L42" s="285"/>
      <c r="M42" s="1004"/>
      <c r="N42" s="1004"/>
      <c r="O42" s="1004"/>
      <c r="P42" s="1004"/>
      <c r="Q42" s="286"/>
      <c r="R42" s="75"/>
    </row>
    <row r="43" spans="2:18" x14ac:dyDescent="0.2">
      <c r="B43" s="75"/>
      <c r="C43" s="296"/>
      <c r="D43" s="1004"/>
      <c r="E43" s="1004"/>
      <c r="F43" s="1004"/>
      <c r="G43" s="1004"/>
      <c r="H43" s="285"/>
      <c r="I43" s="285"/>
      <c r="J43" s="286"/>
      <c r="K43" s="285"/>
      <c r="L43" s="285"/>
      <c r="M43" s="1004"/>
      <c r="N43" s="1004"/>
      <c r="O43" s="1004"/>
      <c r="P43" s="1004"/>
      <c r="Q43" s="286"/>
      <c r="R43" s="75"/>
    </row>
    <row r="44" spans="2:18" x14ac:dyDescent="0.2">
      <c r="B44" s="75"/>
      <c r="C44" s="296"/>
      <c r="D44" s="1004"/>
      <c r="E44" s="1004"/>
      <c r="F44" s="1004"/>
      <c r="G44" s="1004"/>
      <c r="H44" s="285"/>
      <c r="I44" s="285"/>
      <c r="J44" s="286"/>
      <c r="K44" s="285"/>
      <c r="L44" s="285"/>
      <c r="M44" s="1004"/>
      <c r="N44" s="1004"/>
      <c r="O44" s="1004"/>
      <c r="P44" s="1004"/>
      <c r="Q44" s="286"/>
      <c r="R44" s="75"/>
    </row>
    <row r="45" spans="2:18" x14ac:dyDescent="0.2">
      <c r="B45" s="75"/>
      <c r="C45" s="313"/>
      <c r="D45" s="314"/>
      <c r="E45" s="314"/>
      <c r="F45" s="314"/>
      <c r="G45" s="314"/>
      <c r="H45" s="314"/>
      <c r="I45" s="299"/>
      <c r="J45" s="300"/>
      <c r="K45" s="299"/>
      <c r="L45" s="314"/>
      <c r="M45" s="299"/>
      <c r="N45" s="299"/>
      <c r="O45" s="299"/>
      <c r="P45" s="299"/>
      <c r="Q45" s="300"/>
      <c r="R45" s="75"/>
    </row>
    <row r="46" spans="2:18" x14ac:dyDescent="0.2">
      <c r="C46" s="75"/>
      <c r="D46" s="75"/>
      <c r="E46" s="75"/>
      <c r="F46" s="75"/>
      <c r="G46" s="75"/>
      <c r="H46" s="75"/>
      <c r="I46" s="75"/>
      <c r="J46" s="75"/>
      <c r="K46" s="75"/>
      <c r="L46" s="75"/>
      <c r="M46" s="75"/>
      <c r="N46" s="75"/>
      <c r="O46" s="75"/>
      <c r="P46" s="75"/>
      <c r="Q46" s="75"/>
    </row>
  </sheetData>
  <sheetProtection objects="1" scenarios="1" sheet="1"/>
  <phoneticPr fontId="67" type="noConversion"/>
  <pageMargins bottom="0.196850393700787" footer="0" header="0" left="0.196850393700787" right="0.196850393700787" top="0.196850393700787"/>
  <pageSetup orientation="landscape" paperSize="9" r:id="rId1"/>
  <headerFooter alignWithMargins="0"/>
  <drawing r:id="rId2"/>
  <legacyDrawing r:id="rId3"/>
  <mc:AlternateContent>
    <mc:Choice Requires="x14">
      <controls>
        <mc:AlternateContent>
          <mc:Choice Requires="x14">
            <control name="Button 9" r:id="rId4" shapeId="23561">
              <controlPr autoFill="0" autoPict="0" defaultSize="0" macro="[0]!Show_TCR">
                <anchor>
                  <from>
                    <xdr:col>6</xdr:col>
                    <xdr:colOff>190500</xdr:colOff>
                    <xdr:row>7</xdr:row>
                    <xdr:rowOff>104775</xdr:rowOff>
                  </from>
                  <to>
                    <xdr:col>8</xdr:col>
                    <xdr:colOff>457200</xdr:colOff>
                    <xdr:row>10</xdr:row>
                    <xdr:rowOff>57150</xdr:rowOff>
                  </to>
                </anchor>
              </controlPr>
            </control>
          </mc:Choice>
        </mc:AlternateContent>
        <mc:AlternateContent>
          <mc:Choice Requires="x14">
            <control name="Button 11" r:id="rId5" shapeId="23563">
              <controlPr autoFill="0" autoPict="0" defaultSize="0" macro="[0]!show_multi_foreign_gains" print="0">
                <anchor>
                  <from>
                    <xdr:col>14</xdr:col>
                    <xdr:colOff>19050</xdr:colOff>
                    <xdr:row>38</xdr:row>
                    <xdr:rowOff>38100</xdr:rowOff>
                  </from>
                  <to>
                    <xdr:col>16</xdr:col>
                    <xdr:colOff>781050</xdr:colOff>
                    <xdr:row>39</xdr:row>
                    <xdr:rowOff>152400</xdr:rowOff>
                  </to>
                </anchor>
              </controlPr>
            </control>
          </mc:Choice>
        </mc:AlternateContent>
        <mc:AlternateContent>
          <mc:Choice Requires="x14">
            <control name="Check Box 15" r:id="rId6" shapeId="23567">
              <controlPr autoFill="0" autoLine="0" autoPict="0" defaultSize="0" macro="[0]!show_swiss">
                <anchor moveWithCells="1">
                  <from>
                    <xdr:col>4</xdr:col>
                    <xdr:colOff>333375</xdr:colOff>
                    <xdr:row>21</xdr:row>
                    <xdr:rowOff>123825</xdr:rowOff>
                  </from>
                  <to>
                    <xdr:col>5</xdr:col>
                    <xdr:colOff>171450</xdr:colOff>
                    <xdr:row>23</xdr:row>
                    <xdr:rowOff>85725</xdr:rowOff>
                  </to>
                </anchor>
              </controlPr>
            </control>
          </mc:Choice>
        </mc:AlternateContent>
      </controls>
    </mc:Choice>
  </mc:AlternateContent>
</worksheet>
</file>

<file path=xl/worksheets/sheet47.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29"/>
  <dimension ref="A1:P30"/>
  <sheetViews>
    <sheetView showRowColHeaders="0" workbookViewId="0">
      <selection activeCell="H9" sqref="H9"/>
    </sheetView>
  </sheetViews>
  <sheetFormatPr defaultRowHeight="12.75" x14ac:dyDescent="0.2"/>
  <cols>
    <col min="1" max="1" customWidth="true" width="3.7109375" collapsed="true"/>
    <col min="4" max="4" customWidth="true" width="4.5703125" collapsed="true"/>
    <col min="7" max="7" customWidth="true" width="5.28515625" collapsed="true"/>
    <col min="8" max="8" customWidth="true" width="13.140625" collapsed="true"/>
    <col min="10" max="10" customWidth="true" width="14.85546875" collapsed="true"/>
    <col min="11" max="11" customWidth="true" width="4.42578125" collapsed="true"/>
    <col min="12" max="12" customWidth="true" width="5.42578125" collapsed="true"/>
    <col min="13" max="13" customWidth="true" style="881" width="8.42578125" collapsed="true"/>
    <col min="14" max="14" customWidth="true" width="10.28515625" collapsed="true"/>
    <col min="15" max="15" customWidth="true" width="15.140625" collapsed="true"/>
  </cols>
  <sheetData>
    <row r="1" spans="1:15" x14ac:dyDescent="0.2">
      <c r="A1" s="75"/>
      <c r="B1" s="75"/>
      <c r="C1" s="75"/>
      <c r="D1" s="75"/>
      <c r="E1" s="75"/>
      <c r="F1" s="75"/>
      <c r="G1" s="75"/>
      <c r="H1" s="75"/>
      <c r="I1" s="75"/>
      <c r="J1" s="75"/>
      <c r="K1" s="75"/>
      <c r="L1" s="75"/>
      <c r="M1" s="871"/>
      <c r="N1" s="75"/>
      <c r="O1" s="75"/>
    </row>
    <row r="2" spans="1:15" x14ac:dyDescent="0.2">
      <c r="A2" s="75"/>
      <c r="B2" s="75"/>
      <c r="C2" s="491" t="s">
        <v>3682</v>
      </c>
      <c r="D2" s="75"/>
      <c r="E2" s="75"/>
      <c r="F2" s="75"/>
      <c r="G2" s="75"/>
      <c r="H2" s="75"/>
      <c r="I2" s="75"/>
      <c r="J2" s="75"/>
      <c r="K2" s="75"/>
      <c r="L2" s="75"/>
      <c r="M2" s="871"/>
      <c r="N2" s="75"/>
      <c r="O2" s="75"/>
    </row>
    <row r="3" spans="1:15" x14ac:dyDescent="0.2">
      <c r="A3" s="75"/>
      <c r="B3" s="75"/>
      <c r="C3" s="491" t="str">
        <f>"meet his total UK tax liability."</f>
        <v>meet his total UK tax liability.</v>
      </c>
      <c r="D3" s="75"/>
      <c r="E3" s="75"/>
      <c r="F3" s="75"/>
      <c r="G3" s="75"/>
      <c r="H3" s="75"/>
      <c r="I3" s="75"/>
      <c r="J3" s="75"/>
      <c r="K3" s="75"/>
      <c r="L3" s="75"/>
      <c r="M3" s="871"/>
      <c r="N3" s="75"/>
      <c r="O3" s="75"/>
    </row>
    <row r="4" spans="1:15" x14ac:dyDescent="0.2">
      <c r="A4" s="75"/>
      <c r="B4" s="75"/>
      <c r="C4" s="75" t="str">
        <f>"Swiss income included in boxes "&amp;FOR!G17&amp;" and "&amp;FOR!G20&amp;" of the foreign pages."</f>
        <v>Swiss income included in boxes 4 and 6 of the foreign pages.</v>
      </c>
      <c r="D4" s="75"/>
      <c r="E4" s="75"/>
      <c r="F4" s="75"/>
      <c r="G4" s="75"/>
      <c r="H4" s="75"/>
      <c r="I4" s="75"/>
      <c r="J4" s="75"/>
      <c r="K4" s="75"/>
      <c r="L4" s="75"/>
      <c r="M4" s="871"/>
      <c r="N4" s="872" t="s">
        <v>3683</v>
      </c>
      <c r="O4" s="75"/>
    </row>
    <row r="5" spans="1:15" x14ac:dyDescent="0.2">
      <c r="A5" s="75"/>
      <c r="B5" s="75"/>
      <c r="C5" s="75"/>
      <c r="D5" s="75"/>
      <c r="E5" s="75"/>
      <c r="F5" s="75"/>
      <c r="G5" s="75"/>
      <c r="H5" s="75"/>
      <c r="I5" s="75"/>
      <c r="J5" s="75"/>
      <c r="K5" s="75"/>
      <c r="L5" s="75"/>
      <c r="M5" s="871"/>
      <c r="N5" s="872" t="s">
        <v>3684</v>
      </c>
      <c r="O5" s="75"/>
    </row>
    <row r="6" spans="1:15" x14ac:dyDescent="0.2">
      <c r="A6" s="75"/>
      <c r="B6" s="75"/>
      <c r="C6" s="491" t="s">
        <v>3685</v>
      </c>
      <c r="D6" s="75"/>
      <c r="E6" s="75"/>
      <c r="F6" s="75"/>
      <c r="G6" s="75"/>
      <c r="H6" s="75"/>
      <c r="I6" s="75"/>
      <c r="J6" s="75"/>
      <c r="K6" s="75"/>
      <c r="L6" s="75"/>
      <c r="M6" s="871"/>
      <c r="N6" s="75"/>
      <c r="O6" s="75"/>
    </row>
    <row r="7" spans="1:15" x14ac:dyDescent="0.2">
      <c r="A7" s="75"/>
      <c r="B7" s="75"/>
      <c r="C7" s="873" t="s">
        <v>3686</v>
      </c>
      <c r="D7" s="294"/>
      <c r="E7" s="294"/>
      <c r="F7" s="294"/>
      <c r="G7" s="311" t="s">
        <v>2890</v>
      </c>
      <c r="H7" s="294"/>
      <c r="I7" s="294"/>
      <c r="J7" s="312" t="s">
        <v>946</v>
      </c>
      <c r="K7" s="295"/>
      <c r="L7" s="75"/>
      <c r="M7" s="871"/>
      <c r="N7" s="75"/>
      <c r="O7" s="75"/>
    </row>
    <row r="8" spans="1:15" x14ac:dyDescent="0.2">
      <c r="A8" s="75"/>
      <c r="B8" s="75"/>
      <c r="C8" s="296"/>
      <c r="D8" s="292"/>
      <c r="E8" s="292"/>
      <c r="F8" s="292"/>
      <c r="G8" s="292"/>
      <c r="H8" s="292"/>
      <c r="I8" s="292"/>
      <c r="J8" s="292"/>
      <c r="K8" s="874"/>
      <c r="L8" s="75"/>
      <c r="M8" s="871"/>
      <c r="N8" s="75"/>
      <c r="O8" s="75"/>
    </row>
    <row r="9" spans="1:15" x14ac:dyDescent="0.2">
      <c r="A9" s="75"/>
      <c r="B9" s="75"/>
      <c r="C9" s="296"/>
      <c r="D9" s="875" t="s">
        <v>3687</v>
      </c>
      <c r="E9" s="292"/>
      <c r="F9" s="292"/>
      <c r="G9" s="292"/>
      <c r="H9" s="876"/>
      <c r="I9" s="292"/>
      <c r="J9" s="166"/>
      <c r="K9" s="874"/>
      <c r="L9" s="75"/>
      <c r="M9" s="877">
        <f>FOR!G17</f>
        <v>4</v>
      </c>
      <c r="N9" s="878">
        <f>FOR!H18</f>
        <v>0</v>
      </c>
      <c r="O9" s="75"/>
    </row>
    <row r="10" spans="1:15" x14ac:dyDescent="0.2">
      <c r="A10" s="75"/>
      <c r="B10" s="75"/>
      <c r="C10" s="313"/>
      <c r="D10" s="314"/>
      <c r="E10" s="314"/>
      <c r="F10" s="314"/>
      <c r="G10" s="314"/>
      <c r="H10" s="314"/>
      <c r="I10" s="314"/>
      <c r="J10" s="314"/>
      <c r="K10" s="879"/>
      <c r="L10" s="75"/>
      <c r="M10" s="871"/>
      <c r="N10" s="75"/>
      <c r="O10" s="75"/>
    </row>
    <row r="11" spans="1:15" x14ac:dyDescent="0.2">
      <c r="A11" s="75"/>
      <c r="B11" s="75"/>
      <c r="C11" s="75"/>
      <c r="D11" s="75"/>
      <c r="E11" s="75"/>
      <c r="F11" s="75"/>
      <c r="G11" s="75"/>
      <c r="H11" s="75"/>
      <c r="I11" s="75"/>
      <c r="J11" s="75"/>
      <c r="K11" s="75"/>
      <c r="L11" s="75"/>
      <c r="M11" s="871"/>
      <c r="N11" s="75"/>
      <c r="O11" s="75"/>
    </row>
    <row r="12" spans="1:15" x14ac:dyDescent="0.2">
      <c r="A12" s="75"/>
      <c r="B12" s="75"/>
      <c r="C12" s="491" t="s">
        <v>3003</v>
      </c>
      <c r="D12" s="75"/>
      <c r="E12" s="75"/>
      <c r="F12" s="75"/>
      <c r="G12" s="75"/>
      <c r="H12" s="75"/>
      <c r="I12" s="75"/>
      <c r="J12" s="75"/>
      <c r="K12" s="75"/>
      <c r="L12" s="75"/>
      <c r="M12" s="871"/>
      <c r="N12" s="75"/>
      <c r="O12" s="75"/>
    </row>
    <row r="13" spans="1:15" x14ac:dyDescent="0.2">
      <c r="A13" s="75"/>
      <c r="B13" s="75"/>
      <c r="C13" s="75" t="s">
        <v>924</v>
      </c>
      <c r="D13" s="75"/>
      <c r="E13" s="75"/>
      <c r="F13" s="75"/>
      <c r="G13" s="75"/>
      <c r="H13" s="75"/>
      <c r="I13" s="75"/>
      <c r="J13" s="75"/>
      <c r="K13" s="75"/>
      <c r="L13" s="75"/>
      <c r="M13" s="871"/>
      <c r="N13" s="75"/>
      <c r="O13" s="75"/>
    </row>
    <row r="14" spans="1:15" x14ac:dyDescent="0.2">
      <c r="A14" s="75"/>
      <c r="B14" s="75"/>
      <c r="C14" s="873" t="s">
        <v>3686</v>
      </c>
      <c r="D14" s="294"/>
      <c r="E14" s="294"/>
      <c r="F14" s="294"/>
      <c r="G14" s="311" t="s">
        <v>2890</v>
      </c>
      <c r="H14" s="294"/>
      <c r="I14" s="294"/>
      <c r="J14" s="312" t="s">
        <v>946</v>
      </c>
      <c r="K14" s="295"/>
      <c r="L14" s="75"/>
      <c r="M14" s="871"/>
      <c r="N14" s="75"/>
      <c r="O14" s="75"/>
    </row>
    <row r="15" spans="1:15" x14ac:dyDescent="0.2">
      <c r="A15" s="75"/>
      <c r="B15" s="75"/>
      <c r="C15" s="296"/>
      <c r="D15" s="292"/>
      <c r="E15" s="292"/>
      <c r="F15" s="292"/>
      <c r="G15" s="292"/>
      <c r="H15" s="292"/>
      <c r="I15" s="292"/>
      <c r="J15" s="292"/>
      <c r="K15" s="874"/>
      <c r="L15" s="75"/>
      <c r="M15" s="871"/>
      <c r="N15" s="75"/>
      <c r="O15" s="75"/>
    </row>
    <row r="16" spans="1:15" x14ac:dyDescent="0.2">
      <c r="A16" s="75"/>
      <c r="B16" s="75"/>
      <c r="C16" s="296"/>
      <c r="D16" s="875" t="s">
        <v>3687</v>
      </c>
      <c r="E16" s="292"/>
      <c r="F16" s="292"/>
      <c r="G16" s="292"/>
      <c r="H16" s="876"/>
      <c r="I16" s="292"/>
      <c r="J16" s="166"/>
      <c r="K16" s="874"/>
      <c r="L16" s="75"/>
      <c r="M16" s="877" t="str">
        <f>FOR!G20&amp;" minus "&amp;FOR!G24</f>
        <v xml:space="preserve">6 minus </v>
      </c>
      <c r="N16" s="878">
        <f>MAX(FOR!H21-FOR!H25,0)</f>
        <v>0</v>
      </c>
      <c r="O16" s="75"/>
    </row>
    <row r="17" spans="1:15" x14ac:dyDescent="0.2">
      <c r="A17" s="75"/>
      <c r="B17" s="75"/>
      <c r="C17" s="313"/>
      <c r="D17" s="314"/>
      <c r="E17" s="314"/>
      <c r="F17" s="314"/>
      <c r="G17" s="314"/>
      <c r="H17" s="314"/>
      <c r="I17" s="314"/>
      <c r="J17" s="314"/>
      <c r="K17" s="879"/>
      <c r="L17" s="75"/>
      <c r="M17" s="871"/>
      <c r="N17" s="75"/>
      <c r="O17" s="75"/>
    </row>
    <row r="18" spans="1:15" x14ac:dyDescent="0.2">
      <c r="A18" s="75"/>
      <c r="B18" s="75"/>
      <c r="C18" s="880" t="s">
        <v>3688</v>
      </c>
      <c r="D18" s="75"/>
      <c r="E18" s="75"/>
      <c r="F18" s="75"/>
      <c r="G18" s="75"/>
      <c r="H18" s="75"/>
      <c r="I18" s="75"/>
      <c r="J18" s="75"/>
      <c r="K18" s="75"/>
      <c r="L18" s="75"/>
      <c r="M18" s="871"/>
      <c r="N18" s="75"/>
      <c r="O18" s="75"/>
    </row>
    <row r="19" spans="1:15" x14ac:dyDescent="0.2">
      <c r="A19" s="75"/>
      <c r="B19" s="75"/>
      <c r="C19" s="75"/>
      <c r="D19" s="75"/>
      <c r="E19" s="75"/>
      <c r="F19" s="75"/>
      <c r="G19" s="75"/>
      <c r="H19" s="75"/>
      <c r="I19" s="75"/>
      <c r="J19" s="75"/>
      <c r="K19" s="75"/>
      <c r="L19" s="75"/>
      <c r="M19" s="871"/>
      <c r="N19" s="75"/>
      <c r="O19" s="75"/>
    </row>
    <row r="20" spans="1:15" x14ac:dyDescent="0.2">
      <c r="A20" s="75"/>
      <c r="B20" s="75"/>
      <c r="C20" s="75" t="s">
        <v>3689</v>
      </c>
      <c r="D20" s="75"/>
      <c r="E20" s="75"/>
      <c r="F20" s="75"/>
      <c r="G20" s="75"/>
      <c r="H20" s="75"/>
      <c r="I20" s="75"/>
      <c r="J20" s="75"/>
      <c r="K20" s="75"/>
      <c r="L20" s="75"/>
      <c r="M20" s="871"/>
      <c r="N20" s="75"/>
      <c r="O20" s="75"/>
    </row>
    <row r="21" spans="1:15" x14ac:dyDescent="0.2">
      <c r="A21" s="75"/>
      <c r="B21" s="75"/>
      <c r="C21" s="873" t="s">
        <v>3686</v>
      </c>
      <c r="D21" s="294"/>
      <c r="E21" s="294"/>
      <c r="F21" s="294"/>
      <c r="G21" s="311" t="s">
        <v>2890</v>
      </c>
      <c r="H21" s="294"/>
      <c r="I21" s="294"/>
      <c r="J21" s="312" t="s">
        <v>946</v>
      </c>
      <c r="K21" s="295"/>
      <c r="L21" s="75"/>
      <c r="M21" s="871"/>
      <c r="N21" s="75"/>
      <c r="O21" s="75"/>
    </row>
    <row r="22" spans="1:15" x14ac:dyDescent="0.2">
      <c r="A22" s="75"/>
      <c r="B22" s="75"/>
      <c r="C22" s="296"/>
      <c r="D22" s="292"/>
      <c r="E22" s="292"/>
      <c r="F22" s="292"/>
      <c r="G22" s="292"/>
      <c r="H22" s="292"/>
      <c r="I22" s="292"/>
      <c r="J22" s="292"/>
      <c r="K22" s="874"/>
      <c r="L22" s="75"/>
      <c r="M22" s="871"/>
      <c r="N22" s="75"/>
      <c r="O22" s="75"/>
    </row>
    <row r="23" spans="1:15" x14ac:dyDescent="0.2">
      <c r="A23" s="75"/>
      <c r="B23" s="75"/>
      <c r="C23" s="296"/>
      <c r="D23" s="875" t="s">
        <v>3687</v>
      </c>
      <c r="E23" s="292"/>
      <c r="F23" s="292"/>
      <c r="G23" s="292"/>
      <c r="H23" s="876"/>
      <c r="I23" s="292"/>
      <c r="J23" s="166"/>
      <c r="K23" s="874"/>
      <c r="L23" s="75"/>
      <c r="M23" s="877">
        <f>FOR!G24</f>
        <v>0</v>
      </c>
      <c r="N23" s="878">
        <f>FOR!H25</f>
        <v>0</v>
      </c>
      <c r="O23" s="75"/>
    </row>
    <row r="24" spans="1:15" x14ac:dyDescent="0.2">
      <c r="A24" s="75"/>
      <c r="B24" s="75"/>
      <c r="C24" s="313"/>
      <c r="D24" s="314"/>
      <c r="E24" s="314"/>
      <c r="F24" s="314"/>
      <c r="G24" s="314"/>
      <c r="H24" s="314"/>
      <c r="I24" s="314"/>
      <c r="J24" s="314"/>
      <c r="K24" s="879"/>
      <c r="L24" s="75"/>
      <c r="M24" s="871"/>
      <c r="N24" s="75"/>
      <c r="O24" s="75"/>
    </row>
    <row r="25" spans="1:15" x14ac:dyDescent="0.2">
      <c r="A25" s="75"/>
      <c r="B25" s="75"/>
      <c r="C25" s="880" t="s">
        <v>3690</v>
      </c>
      <c r="D25" s="75"/>
      <c r="E25" s="75"/>
      <c r="F25" s="75"/>
      <c r="G25" s="75"/>
      <c r="H25" s="75"/>
      <c r="I25" s="75"/>
      <c r="J25" s="75"/>
      <c r="K25" s="75"/>
      <c r="L25" s="75"/>
      <c r="M25" s="871"/>
      <c r="N25" s="75"/>
      <c r="O25" s="75"/>
    </row>
    <row r="26" spans="1:15" x14ac:dyDescent="0.2">
      <c r="A26" s="75"/>
      <c r="B26" s="75"/>
      <c r="C26" s="880"/>
      <c r="D26" s="75"/>
      <c r="E26" s="75"/>
      <c r="F26" s="75"/>
      <c r="G26" s="75"/>
      <c r="H26" s="75"/>
      <c r="I26" s="75"/>
      <c r="J26" s="75"/>
      <c r="K26" s="75"/>
      <c r="L26" s="75"/>
      <c r="M26" s="871"/>
      <c r="N26" s="75"/>
      <c r="O26" s="75"/>
    </row>
    <row r="27" spans="1:15" x14ac:dyDescent="0.2">
      <c r="A27" s="75"/>
      <c r="B27" s="75"/>
      <c r="C27" s="75"/>
      <c r="D27" s="75"/>
      <c r="E27" s="75"/>
      <c r="F27" s="75"/>
      <c r="G27" s="75"/>
      <c r="H27" s="75"/>
      <c r="I27" s="75"/>
      <c r="J27" s="75"/>
      <c r="K27" s="75"/>
      <c r="L27" s="75"/>
      <c r="M27" s="871"/>
      <c r="N27" s="75"/>
      <c r="O27" s="75"/>
    </row>
    <row r="28" spans="1:15" x14ac:dyDescent="0.2">
      <c r="A28" s="75"/>
      <c r="B28" s="75"/>
      <c r="C28" s="75"/>
      <c r="D28" s="75"/>
      <c r="E28" s="75"/>
      <c r="F28" s="75"/>
      <c r="G28" s="75"/>
      <c r="H28" s="75"/>
      <c r="I28" s="75"/>
      <c r="J28" s="75"/>
      <c r="K28" s="75"/>
      <c r="L28" s="75"/>
      <c r="M28" s="871"/>
      <c r="N28" s="75"/>
      <c r="O28" s="75"/>
    </row>
    <row r="29" spans="1:15" x14ac:dyDescent="0.2">
      <c r="A29" s="75"/>
      <c r="B29" s="75"/>
      <c r="C29" s="75"/>
      <c r="D29" s="75"/>
      <c r="E29" s="75"/>
      <c r="F29" s="75"/>
      <c r="G29" s="75"/>
      <c r="H29" s="75"/>
      <c r="I29" s="75"/>
      <c r="J29" s="75"/>
      <c r="K29" s="75"/>
      <c r="L29" s="75"/>
      <c r="M29" s="871"/>
      <c r="N29" s="75"/>
      <c r="O29" s="75"/>
    </row>
    <row r="30" spans="1:15" x14ac:dyDescent="0.2">
      <c r="A30" s="75"/>
      <c r="B30" s="75"/>
      <c r="C30" s="75"/>
      <c r="D30" s="75"/>
      <c r="E30" s="75"/>
      <c r="F30" s="75"/>
      <c r="G30" s="75"/>
      <c r="H30" s="75"/>
      <c r="I30" s="75"/>
      <c r="J30" s="75"/>
      <c r="K30" s="75"/>
      <c r="L30" s="75"/>
      <c r="M30" s="871"/>
      <c r="N30" s="75"/>
      <c r="O30" s="75"/>
    </row>
  </sheetData>
  <sheetProtection objects="1" scenarios="1" sheet="1"/>
  <phoneticPr fontId="67" type="noConversion"/>
  <dataValidations count="3">
    <dataValidation allowBlank="1" error="Taxable amount cannot exceed box FOR7" operator="lessThanOrEqual" prompt="Taxable amount cannot exceed box 7" showErrorMessage="1" sqref="J23" type="whole" xr:uid="{00000000-0002-0000-2E00-000000000000}">
      <formula1>N23</formula1>
    </dataValidation>
    <dataValidation allowBlank="1" error="Taxable amount cannot exceed box FOR6 minus box FOR7" operator="lessThanOrEqual" prompt="Taxable amount cannot exceed box FOR6" showErrorMessage="1" sqref="J16" type="whole" xr:uid="{00000000-0002-0000-2E00-000001000000}">
      <formula1>N16</formula1>
    </dataValidation>
    <dataValidation allowBlank="1" error="Taxable amount cannot exceed box FOR4" operator="lessThanOrEqual" prompt="Taxable amount cannot exceed box FOR4" showErrorMessage="1" sqref="J9" type="whole" xr:uid="{00000000-0002-0000-2E00-000002000000}">
      <formula1>N9</formula1>
    </dataValidation>
  </dataValidations>
  <pageMargins bottom="1" footer="0.5" header="0.5" left="0.75" right="0.75" top="1"/>
  <headerFooter alignWithMargins="0"/>
</worksheet>
</file>

<file path=xl/worksheets/sheet48.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xmlns:xr="http://schemas.microsoft.com/office/spreadsheetml/2014/revision" xmlns:xr2="http://schemas.microsoft.com/office/spreadsheetml/2015/revision2" xmlns:xr3="http://schemas.microsoft.com/office/spreadsheetml/2016/revision3" mc:Ignorable="x14ac xr xr2 xr3" xr:uid="{00000000-0001-0000-2F00-000000000000}">
  <sheetPr codeName="Sheet48">
    <pageSetUpPr fitToPage="1"/>
  </sheetPr>
  <dimension ref="A1:AI245"/>
  <sheetViews>
    <sheetView showGridLines="0" showRowColHeaders="0" workbookViewId="0" zoomScale="90">
      <selection activeCell="I4" sqref="I4"/>
    </sheetView>
  </sheetViews>
  <sheetFormatPr defaultRowHeight="12.75" x14ac:dyDescent="0.2"/>
  <cols>
    <col min="1" max="1" customWidth="true" width="2.140625" collapsed="true"/>
    <col min="2" max="2" customWidth="true" width="7.28515625" collapsed="true"/>
    <col min="3" max="3" customWidth="true" width="33.0" collapsed="true"/>
    <col min="4" max="4" customWidth="true" width="6.140625" collapsed="true"/>
    <col min="5" max="5" bestFit="true" customWidth="true" width="13.85546875" collapsed="true"/>
    <col min="6" max="6" customWidth="true" width="6.140625" collapsed="true"/>
    <col min="7" max="7" customWidth="true" width="14.7109375" collapsed="true"/>
    <col min="8" max="8" customWidth="true" width="6.140625" collapsed="true"/>
    <col min="9" max="9" customWidth="true" width="14.7109375" collapsed="true"/>
    <col min="10" max="10" customWidth="true" width="6.140625" collapsed="true"/>
    <col min="11" max="11" customWidth="true" width="16.7109375" collapsed="true"/>
    <col min="12" max="12" customWidth="true" width="6.140625" collapsed="true"/>
    <col min="13" max="13" customWidth="true" width="14.7109375" collapsed="true"/>
    <col min="14" max="14" customWidth="true" width="1.7109375" collapsed="true"/>
    <col min="15" max="15" customWidth="true" width="35.85546875" collapsed="true"/>
    <col min="16" max="16" customWidth="true" hidden="true" width="7.5703125" collapsed="true"/>
    <col min="17" max="17" customWidth="true" hidden="true" width="7.28515625" collapsed="true"/>
    <col min="18" max="18" customWidth="true" hidden="true" width="6.7109375" collapsed="true"/>
    <col min="19" max="19" customWidth="true" hidden="true" width="38.140625" collapsed="true"/>
    <col min="20" max="20" customWidth="true" hidden="true" width="2.140625" collapsed="true"/>
    <col min="21" max="21" customWidth="true" hidden="true" width="7.7109375" collapsed="true"/>
    <col min="22" max="22" customWidth="true" hidden="true" width="13.42578125" collapsed="true"/>
    <col min="23" max="23" customWidth="true" hidden="true" width="26.42578125" collapsed="true"/>
    <col min="24" max="24" customWidth="true" hidden="true" width="4.7109375" collapsed="true"/>
    <col min="25" max="25" customWidth="true" hidden="true" width="39.7109375" collapsed="true"/>
    <col min="26" max="26" customWidth="true" hidden="true" width="19.7109375" collapsed="true"/>
    <col min="27" max="27" customWidth="true" hidden="true" width="11.7109375" collapsed="true"/>
    <col min="28" max="28" customWidth="true" hidden="true" width="17.85546875" collapsed="true"/>
    <col min="29" max="29" customWidth="true" hidden="true" width="37.5703125" collapsed="true"/>
    <col min="30" max="30" customWidth="true" hidden="true" width="8.7109375" collapsed="true"/>
    <col min="31" max="31" customWidth="true" hidden="true" width="9.42578125" collapsed="true"/>
    <col min="32" max="32" customWidth="true" hidden="true" width="12.42578125" collapsed="true"/>
    <col min="33" max="33" customWidth="true" hidden="true" width="14.5703125" collapsed="true"/>
    <col min="34" max="34" customWidth="true" hidden="true" width="8.140625" collapsed="true"/>
  </cols>
  <sheetData>
    <row customHeight="1" ht="12.75" r="1" spans="1:34" x14ac:dyDescent="0.2">
      <c r="A1" s="57"/>
      <c r="B1" s="57"/>
      <c r="C1" s="57"/>
      <c r="D1" s="57"/>
      <c r="E1" s="57"/>
      <c r="F1" s="57"/>
      <c r="G1" s="57"/>
      <c r="H1" s="57"/>
      <c r="I1" s="57"/>
      <c r="J1" s="57"/>
      <c r="K1" s="57"/>
      <c r="L1" s="57"/>
      <c r="M1" s="57"/>
      <c r="N1" s="57"/>
      <c r="O1" s="57"/>
      <c r="P1" s="791"/>
      <c r="Q1" s="791"/>
      <c r="R1" s="892" t="s">
        <v>3474</v>
      </c>
      <c r="S1" s="791"/>
      <c r="T1" s="791"/>
      <c r="V1" s="4506" t="s">
        <v>1196</v>
      </c>
      <c r="W1" s="4506" t="s">
        <v>4622</v>
      </c>
      <c r="X1" s="4506" t="s">
        <v>2501</v>
      </c>
      <c r="Y1" s="4506" t="s">
        <v>2500</v>
      </c>
      <c r="Z1" s="4503" t="s">
        <v>2660</v>
      </c>
      <c r="AA1" s="4503" t="s">
        <v>901</v>
      </c>
      <c r="AB1" s="4503" t="s">
        <v>902</v>
      </c>
      <c r="AC1" s="4503" t="s">
        <v>924</v>
      </c>
      <c r="AD1" s="4503" t="s">
        <v>925</v>
      </c>
      <c r="AE1" s="4503" t="s">
        <v>950</v>
      </c>
      <c r="AF1" s="4503" t="s">
        <v>1047</v>
      </c>
      <c r="AG1" s="4503" t="s">
        <v>4623</v>
      </c>
      <c r="AH1" s="4503" t="s">
        <v>4624</v>
      </c>
    </row>
    <row customHeight="1" ht="12.75" r="2" spans="1:34" x14ac:dyDescent="0.2">
      <c r="A2" s="57"/>
      <c r="B2" s="333" t="s">
        <v>846</v>
      </c>
      <c r="C2" s="321"/>
      <c r="D2" s="321"/>
      <c r="E2" s="321"/>
      <c r="F2" s="321"/>
      <c r="G2" s="321"/>
      <c r="H2" s="1143" t="s">
        <v>4953</v>
      </c>
      <c r="I2" s="321"/>
      <c r="J2" s="321"/>
      <c r="K2" s="321"/>
      <c r="L2" s="321"/>
      <c r="M2" s="321"/>
      <c r="N2" s="322"/>
      <c r="O2" s="57"/>
      <c r="R2">
        <v>1</v>
      </c>
      <c r="S2" t="s">
        <v>2660</v>
      </c>
      <c r="V2" s="4507"/>
      <c r="W2" s="4507"/>
      <c r="X2" s="4507"/>
      <c r="Y2" s="4507"/>
      <c r="Z2" s="4504"/>
      <c r="AA2" s="4504"/>
      <c r="AB2" s="4504"/>
      <c r="AC2" s="4504"/>
      <c r="AD2" s="4504"/>
      <c r="AE2" s="4504"/>
      <c r="AF2" s="4504"/>
      <c r="AG2" s="4504"/>
      <c r="AH2" s="4504"/>
    </row>
    <row customHeight="1" ht="12.75" r="3" spans="1:34" x14ac:dyDescent="0.2">
      <c r="A3" s="57"/>
      <c r="B3" s="336" t="s">
        <v>4955</v>
      </c>
      <c r="C3" s="323"/>
      <c r="D3" s="323"/>
      <c r="E3" s="323"/>
      <c r="F3" s="323"/>
      <c r="G3" s="323"/>
      <c r="H3" s="1144" t="s">
        <v>4956</v>
      </c>
      <c r="I3" s="323"/>
      <c r="J3" s="323"/>
      <c r="K3" s="323"/>
      <c r="L3" s="323"/>
      <c r="M3" s="323"/>
      <c r="N3" s="325"/>
      <c r="O3" s="57"/>
      <c r="R3">
        <v>2</v>
      </c>
      <c r="S3" t="s">
        <v>901</v>
      </c>
      <c r="V3" s="4507"/>
      <c r="W3" s="4507"/>
      <c r="X3" s="4507"/>
      <c r="Y3" s="4507"/>
      <c r="Z3" s="4504"/>
      <c r="AA3" s="4504"/>
      <c r="AB3" s="4504"/>
      <c r="AC3" s="4504"/>
      <c r="AD3" s="4504"/>
      <c r="AE3" s="4504"/>
      <c r="AF3" s="4504"/>
      <c r="AG3" s="4504"/>
      <c r="AH3" s="4504"/>
    </row>
    <row customHeight="1" ht="12.75" r="4" spans="1:34" x14ac:dyDescent="0.2">
      <c r="A4" s="57"/>
      <c r="B4" s="336" t="s">
        <v>4954</v>
      </c>
      <c r="C4" s="323"/>
      <c r="D4" s="323"/>
      <c r="E4" s="323"/>
      <c r="F4" s="323"/>
      <c r="G4" s="323"/>
      <c r="H4" s="1145" t="s">
        <v>964</v>
      </c>
      <c r="I4" s="954" t="s">
        <v>3530</v>
      </c>
      <c r="J4" s="323"/>
      <c r="K4" s="323"/>
      <c r="L4" s="1146" t="s">
        <v>4967</v>
      </c>
      <c r="M4" s="323"/>
      <c r="N4" s="325"/>
      <c r="O4" s="57"/>
      <c r="R4">
        <v>3</v>
      </c>
      <c r="S4" t="s">
        <v>902</v>
      </c>
      <c r="V4" s="4508"/>
      <c r="W4" s="4508"/>
      <c r="X4" s="4508"/>
      <c r="Y4" s="4508"/>
      <c r="Z4" s="4505"/>
      <c r="AA4" s="4505"/>
      <c r="AB4" s="4505"/>
      <c r="AC4" s="4505"/>
      <c r="AD4" s="4505"/>
      <c r="AE4" s="4505"/>
      <c r="AF4" s="4505"/>
      <c r="AG4" s="4505"/>
      <c r="AH4" s="4505"/>
    </row>
    <row customHeight="1" ht="12.75" r="5" spans="1:34" x14ac:dyDescent="0.2">
      <c r="A5" s="57"/>
      <c r="B5" s="336" t="s">
        <v>4957</v>
      </c>
      <c r="C5" s="954"/>
      <c r="D5" s="954"/>
      <c r="E5" s="954"/>
      <c r="F5" s="955"/>
      <c r="G5" s="955"/>
      <c r="H5" s="1145" t="s">
        <v>4965</v>
      </c>
      <c r="I5" s="954" t="s">
        <v>4966</v>
      </c>
      <c r="J5" s="323"/>
      <c r="K5" s="1146" t="s">
        <v>4971</v>
      </c>
      <c r="L5" s="323"/>
      <c r="M5" s="323"/>
      <c r="N5" s="325"/>
      <c r="O5" s="57"/>
      <c r="R5" s="963">
        <v>4</v>
      </c>
      <c r="S5" s="992" t="s">
        <v>690</v>
      </c>
      <c r="V5" s="957" t="s">
        <v>4601</v>
      </c>
      <c r="W5" s="957" t="s">
        <v>4601</v>
      </c>
      <c r="X5" s="3"/>
      <c r="Y5" s="3"/>
      <c r="Z5" s="1108"/>
      <c r="AA5" s="1108"/>
      <c r="AB5" s="1109"/>
      <c r="AC5" s="1109"/>
      <c r="AD5" s="1109"/>
      <c r="AE5" s="1108"/>
      <c r="AF5" s="1108"/>
      <c r="AG5" s="1107"/>
      <c r="AH5" s="1110"/>
    </row>
    <row customHeight="1" ht="12.75" r="6" spans="1:34" x14ac:dyDescent="0.2">
      <c r="A6" s="57"/>
      <c r="B6" s="336" t="s">
        <v>4958</v>
      </c>
      <c r="C6" s="954"/>
      <c r="D6" s="954"/>
      <c r="E6" s="954"/>
      <c r="F6" s="323"/>
      <c r="G6" s="323"/>
      <c r="H6" s="323"/>
      <c r="I6" s="323"/>
      <c r="J6" s="323"/>
      <c r="K6" s="323"/>
      <c r="L6" s="323"/>
      <c r="M6" s="324"/>
      <c r="N6" s="325"/>
      <c r="O6" s="57"/>
      <c r="R6" s="963">
        <v>5</v>
      </c>
      <c r="S6" s="963" t="s">
        <v>950</v>
      </c>
      <c r="V6" s="958" t="s">
        <v>1197</v>
      </c>
      <c r="W6" s="957" t="s">
        <v>1197</v>
      </c>
      <c r="X6" s="956" t="s">
        <v>1189</v>
      </c>
      <c r="Y6" s="957" t="s">
        <v>296</v>
      </c>
      <c r="Z6" s="1108"/>
      <c r="AA6" s="1108"/>
      <c r="AB6" s="1109"/>
      <c r="AC6" s="1109"/>
      <c r="AD6" s="1109"/>
      <c r="AE6" s="1108"/>
      <c r="AF6" s="1108"/>
      <c r="AG6" s="1107" t="s">
        <v>1197</v>
      </c>
      <c r="AH6" s="1110"/>
    </row>
    <row customHeight="1" ht="12.75" r="7" spans="1:34" x14ac:dyDescent="0.2">
      <c r="A7" s="57"/>
      <c r="B7" s="336" t="s">
        <v>4959</v>
      </c>
      <c r="C7" s="323"/>
      <c r="D7" s="323"/>
      <c r="E7" s="323"/>
      <c r="F7" s="323"/>
      <c r="G7" s="323"/>
      <c r="H7" s="323"/>
      <c r="I7" s="323"/>
      <c r="J7" s="323"/>
      <c r="K7" s="323"/>
      <c r="L7" s="323"/>
      <c r="M7" s="507"/>
      <c r="N7" s="325"/>
      <c r="O7" s="57"/>
      <c r="R7" s="963">
        <v>6</v>
      </c>
      <c r="S7" s="963" t="s">
        <v>1047</v>
      </c>
      <c r="V7" s="956" t="s">
        <v>1198</v>
      </c>
      <c r="W7" s="957" t="s">
        <v>1198</v>
      </c>
      <c r="X7" s="956" t="s">
        <v>1189</v>
      </c>
      <c r="Y7" s="957" t="s">
        <v>297</v>
      </c>
      <c r="Z7" s="1108"/>
      <c r="AA7" s="1108"/>
      <c r="AB7" s="1112"/>
      <c r="AC7" s="1112"/>
      <c r="AD7" s="1112"/>
      <c r="AE7" s="1108"/>
      <c r="AF7" s="1108"/>
      <c r="AG7" s="1111" t="s">
        <v>1198</v>
      </c>
      <c r="AH7" s="1113"/>
    </row>
    <row customHeight="1" ht="12.75" r="8" spans="1:34" x14ac:dyDescent="0.2">
      <c r="A8" s="57"/>
      <c r="B8" s="326"/>
      <c r="C8" s="334" t="s">
        <v>1043</v>
      </c>
      <c r="D8" s="334"/>
      <c r="E8" s="334" t="s">
        <v>1191</v>
      </c>
      <c r="F8" s="514"/>
      <c r="G8" s="334" t="s">
        <v>3005</v>
      </c>
      <c r="H8" s="514"/>
      <c r="I8" s="334" t="s">
        <v>3006</v>
      </c>
      <c r="J8" s="323"/>
      <c r="K8" s="334" t="s">
        <v>2450</v>
      </c>
      <c r="L8" s="323"/>
      <c r="M8" s="508" t="s">
        <v>1190</v>
      </c>
      <c r="N8" s="325"/>
      <c r="O8" s="57"/>
      <c r="V8" s="956" t="s">
        <v>1199</v>
      </c>
      <c r="W8" s="957" t="s">
        <v>1199</v>
      </c>
      <c r="X8" s="956" t="s">
        <v>1189</v>
      </c>
      <c r="Y8" s="957" t="s">
        <v>298</v>
      </c>
      <c r="Z8" s="1108"/>
      <c r="AA8" s="1108"/>
      <c r="AB8" s="1112"/>
      <c r="AC8" s="1112"/>
      <c r="AD8" s="1112"/>
      <c r="AE8" s="1108"/>
      <c r="AF8" s="1108"/>
      <c r="AG8" s="1111" t="s">
        <v>1199</v>
      </c>
      <c r="AH8" s="1113"/>
    </row>
    <row customHeight="1" ht="12.75" r="9" spans="1:34" x14ac:dyDescent="0.2">
      <c r="A9" s="57"/>
      <c r="B9" s="327"/>
      <c r="C9" s="514"/>
      <c r="D9" s="514"/>
      <c r="E9" s="334" t="s">
        <v>1192</v>
      </c>
      <c r="F9" s="328"/>
      <c r="G9" s="762" t="s">
        <v>2545</v>
      </c>
      <c r="H9" s="328"/>
      <c r="I9" s="762" t="s">
        <v>3473</v>
      </c>
      <c r="J9" s="323"/>
      <c r="K9" s="792" t="s">
        <v>19</v>
      </c>
      <c r="L9" s="323"/>
      <c r="M9" s="507" t="s">
        <v>951</v>
      </c>
      <c r="N9" s="325"/>
      <c r="O9" s="57"/>
      <c r="V9" s="956" t="s">
        <v>1200</v>
      </c>
      <c r="W9" s="957" t="s">
        <v>1200</v>
      </c>
      <c r="X9" s="956" t="s">
        <v>1189</v>
      </c>
      <c r="Y9" s="957" t="s">
        <v>299</v>
      </c>
      <c r="Z9" s="1108"/>
      <c r="AA9" s="1108"/>
      <c r="AB9" s="1112"/>
      <c r="AC9" s="1112"/>
      <c r="AD9" s="1112"/>
      <c r="AE9" s="1108"/>
      <c r="AF9" s="1108"/>
      <c r="AG9" s="1111" t="s">
        <v>1200</v>
      </c>
      <c r="AH9" s="1113"/>
    </row>
    <row customHeight="1" ht="12.75" r="10" spans="1:34" x14ac:dyDescent="0.2">
      <c r="A10" s="57"/>
      <c r="B10" s="329" t="s">
        <v>1044</v>
      </c>
      <c r="C10" s="323"/>
      <c r="D10" s="323"/>
      <c r="E10" s="1106" t="s">
        <v>4601</v>
      </c>
      <c r="F10" s="323"/>
      <c r="G10" s="641"/>
      <c r="H10" s="323"/>
      <c r="I10" s="640"/>
      <c r="J10" s="323"/>
      <c r="K10" s="323"/>
      <c r="L10" s="323"/>
      <c r="M10" s="641"/>
      <c r="N10" s="325"/>
      <c r="O10" s="57"/>
      <c r="Q10" t="s">
        <v>1195</v>
      </c>
      <c r="R10" t="s">
        <v>3474</v>
      </c>
      <c r="S10" s="790" t="s">
        <v>19</v>
      </c>
      <c r="U10" t="s">
        <v>20</v>
      </c>
      <c r="V10" s="956" t="s">
        <v>1201</v>
      </c>
      <c r="W10" s="957" t="s">
        <v>1201</v>
      </c>
      <c r="X10" s="956" t="s">
        <v>1189</v>
      </c>
      <c r="Y10" s="957" t="s">
        <v>300</v>
      </c>
      <c r="Z10" s="1108"/>
      <c r="AA10" s="1108"/>
      <c r="AB10" s="1112"/>
      <c r="AC10" s="1112"/>
      <c r="AD10" s="1112"/>
      <c r="AE10" s="1108"/>
      <c r="AF10" s="1108"/>
      <c r="AG10" s="1111" t="s">
        <v>1201</v>
      </c>
      <c r="AH10" s="1113"/>
    </row>
    <row customHeight="1" ht="12.75" r="11" spans="1:34" x14ac:dyDescent="0.2">
      <c r="A11" s="57"/>
      <c r="B11" s="327"/>
      <c r="C11" s="323"/>
      <c r="D11" s="323"/>
      <c r="E11" s="323"/>
      <c r="F11" s="323"/>
      <c r="G11" s="323"/>
      <c r="H11" s="323"/>
      <c r="I11" s="323"/>
      <c r="J11" s="323"/>
      <c r="K11" s="520" t="s">
        <v>4832</v>
      </c>
      <c r="L11" s="323"/>
      <c r="M11" s="323"/>
      <c r="N11" s="325"/>
      <c r="O11" s="57"/>
      <c r="P11" s="8" t="s">
        <v>2900</v>
      </c>
      <c r="Q11" s="12">
        <v>1</v>
      </c>
      <c r="R11" s="788">
        <v>1</v>
      </c>
      <c r="S11" s="3">
        <f>VLOOKUP(T11,Q$22:R$33,2,FALSE)</f>
        <v>1</v>
      </c>
      <c r="T11" s="788">
        <v>1</v>
      </c>
      <c r="U11" s="789">
        <f>MIN(TRUNC(G10*S11,2),I10)</f>
        <v>0</v>
      </c>
      <c r="V11" s="956" t="s">
        <v>1202</v>
      </c>
      <c r="W11" s="957" t="s">
        <v>1202</v>
      </c>
      <c r="X11" s="956" t="s">
        <v>1189</v>
      </c>
      <c r="Y11" s="957" t="s">
        <v>301</v>
      </c>
      <c r="Z11" s="1108"/>
      <c r="AA11" s="1108"/>
      <c r="AB11" s="1112"/>
      <c r="AC11" s="1112"/>
      <c r="AD11" s="1112"/>
      <c r="AE11" s="1108"/>
      <c r="AF11" s="1108"/>
      <c r="AG11" s="1111" t="s">
        <v>1202</v>
      </c>
      <c r="AH11" s="1113"/>
    </row>
    <row customHeight="1" ht="12.75" r="12" spans="1:34" x14ac:dyDescent="0.2">
      <c r="A12" s="57"/>
      <c r="B12" s="326"/>
      <c r="C12" s="323"/>
      <c r="D12" s="323"/>
      <c r="E12" s="323"/>
      <c r="F12" s="323"/>
      <c r="G12" s="323"/>
      <c r="H12" s="335" t="s">
        <v>3301</v>
      </c>
      <c r="I12" s="543"/>
      <c r="J12" s="323"/>
      <c r="K12" s="1124" t="str">
        <f>IF(ISNA(VLOOKUP(E10,V$5:AF$245,R11+4,FALSE)),"",IF(VLOOKUP(E10,V$5:AF$245,R11+4,FALSE)="","",VLOOKUP(E10,V$5:AF$245,R11+4,FALSE)))</f>
        <v/>
      </c>
      <c r="L12" s="323"/>
      <c r="M12" s="324"/>
      <c r="N12" s="325"/>
      <c r="O12" s="57"/>
      <c r="P12" s="8" t="s">
        <v>2901</v>
      </c>
      <c r="Q12" s="12">
        <v>1</v>
      </c>
      <c r="R12" s="788">
        <v>1</v>
      </c>
      <c r="S12" s="3">
        <f ref="S12:S20" si="0" t="shared">VLOOKUP(T12,Q$22:R$33,2,FALSE)</f>
        <v>1</v>
      </c>
      <c r="T12" s="788">
        <v>1</v>
      </c>
      <c r="U12" s="789">
        <f>MIN(TRUNC(G14*S12,2),I14)</f>
        <v>0</v>
      </c>
      <c r="V12" s="956" t="s">
        <v>1203</v>
      </c>
      <c r="W12" s="957" t="s">
        <v>1203</v>
      </c>
      <c r="X12" s="956" t="s">
        <v>1189</v>
      </c>
      <c r="Y12" s="957" t="s">
        <v>302</v>
      </c>
      <c r="Z12" s="1108"/>
      <c r="AA12" s="1108"/>
      <c r="AB12" s="1114"/>
      <c r="AC12" s="1114"/>
      <c r="AD12" s="1114"/>
      <c r="AE12" s="1108"/>
      <c r="AF12" s="1108"/>
      <c r="AG12" s="1111" t="s">
        <v>1203</v>
      </c>
      <c r="AH12" s="1113"/>
    </row>
    <row customHeight="1" ht="12.75" r="13" spans="1:34" x14ac:dyDescent="0.2">
      <c r="A13" s="57"/>
      <c r="B13" s="327"/>
      <c r="C13" s="323"/>
      <c r="D13" s="323"/>
      <c r="E13" s="323"/>
      <c r="F13" s="323"/>
      <c r="G13" s="323"/>
      <c r="H13" s="323"/>
      <c r="I13" s="323"/>
      <c r="J13" s="323"/>
      <c r="K13" s="323"/>
      <c r="L13" s="323"/>
      <c r="M13" s="323"/>
      <c r="N13" s="325"/>
      <c r="O13" s="57"/>
      <c r="P13" s="8" t="s">
        <v>2902</v>
      </c>
      <c r="Q13" s="12">
        <v>1</v>
      </c>
      <c r="R13" s="788">
        <v>1</v>
      </c>
      <c r="S13" s="3">
        <f si="0" t="shared"/>
        <v>1</v>
      </c>
      <c r="T13" s="788">
        <v>1</v>
      </c>
      <c r="U13" s="789">
        <f>MIN(TRUNC(G18*S13,2),I18)</f>
        <v>0</v>
      </c>
      <c r="V13" s="956" t="s">
        <v>2788</v>
      </c>
      <c r="W13" s="957" t="s">
        <v>166</v>
      </c>
      <c r="X13" s="956" t="s">
        <v>572</v>
      </c>
      <c r="Y13" s="957" t="s">
        <v>303</v>
      </c>
      <c r="Z13" s="1108"/>
      <c r="AA13" s="1108"/>
      <c r="AB13" s="1115">
        <v>0.12</v>
      </c>
      <c r="AC13" s="1115">
        <v>0.15</v>
      </c>
      <c r="AD13" s="1115"/>
      <c r="AE13" s="1108"/>
      <c r="AF13" s="1108"/>
      <c r="AG13" s="1111" t="s">
        <v>4625</v>
      </c>
      <c r="AH13" s="1116"/>
    </row>
    <row customHeight="1" ht="12.75" r="14" spans="1:34" x14ac:dyDescent="0.2">
      <c r="A14" s="57"/>
      <c r="B14" s="329" t="s">
        <v>1045</v>
      </c>
      <c r="C14" s="323"/>
      <c r="D14" s="323"/>
      <c r="E14" s="1106" t="s">
        <v>4601</v>
      </c>
      <c r="F14" s="323"/>
      <c r="G14" s="641"/>
      <c r="H14" s="323"/>
      <c r="I14" s="640"/>
      <c r="J14" s="323"/>
      <c r="K14" s="323"/>
      <c r="L14" s="323"/>
      <c r="M14" s="641"/>
      <c r="N14" s="325"/>
      <c r="O14" s="57"/>
      <c r="P14" s="8" t="s">
        <v>2168</v>
      </c>
      <c r="Q14" s="12">
        <v>1</v>
      </c>
      <c r="R14" s="788">
        <v>1</v>
      </c>
      <c r="S14" s="3">
        <f si="0" t="shared"/>
        <v>1</v>
      </c>
      <c r="T14" s="788">
        <v>1</v>
      </c>
      <c r="U14" s="789">
        <f>MIN(TRUNC(G22*S14,2),I22)</f>
        <v>0</v>
      </c>
      <c r="V14" s="956" t="s">
        <v>1883</v>
      </c>
      <c r="W14" s="957" t="s">
        <v>2496</v>
      </c>
      <c r="X14" s="956" t="s">
        <v>572</v>
      </c>
      <c r="Y14" s="957" t="s">
        <v>304</v>
      </c>
      <c r="Z14" s="1108"/>
      <c r="AA14" s="1108"/>
      <c r="AB14" s="1115">
        <v>0.05</v>
      </c>
      <c r="AC14" s="1115">
        <v>0.1</v>
      </c>
      <c r="AD14" s="1115"/>
      <c r="AE14" s="1108"/>
      <c r="AF14" s="1108"/>
      <c r="AG14" s="1111" t="s">
        <v>4626</v>
      </c>
      <c r="AH14" s="1116" t="s">
        <v>4627</v>
      </c>
    </row>
    <row customHeight="1" ht="12.75" r="15" spans="1:34" x14ac:dyDescent="0.2">
      <c r="A15" s="57"/>
      <c r="B15" s="327"/>
      <c r="C15" s="323"/>
      <c r="D15" s="323"/>
      <c r="E15" s="323"/>
      <c r="F15" s="323"/>
      <c r="G15" s="323"/>
      <c r="H15" s="323"/>
      <c r="I15" s="323"/>
      <c r="J15" s="323"/>
      <c r="K15" s="520" t="s">
        <v>4832</v>
      </c>
      <c r="L15" s="323"/>
      <c r="M15" s="323"/>
      <c r="N15" s="325"/>
      <c r="O15" s="57"/>
      <c r="P15" s="8" t="s">
        <v>2206</v>
      </c>
      <c r="Q15" s="12">
        <v>1</v>
      </c>
      <c r="R15" s="788">
        <v>1</v>
      </c>
      <c r="S15" s="3">
        <f si="0" t="shared"/>
        <v>1</v>
      </c>
      <c r="T15" s="788">
        <v>1</v>
      </c>
      <c r="U15" s="789">
        <f>MIN(TRUNC(G26*S15,2),I26)</f>
        <v>0</v>
      </c>
      <c r="V15" s="956" t="s">
        <v>1204</v>
      </c>
      <c r="W15" s="957" t="s">
        <v>1204</v>
      </c>
      <c r="X15" s="956" t="s">
        <v>1189</v>
      </c>
      <c r="Y15" s="957" t="s">
        <v>305</v>
      </c>
      <c r="Z15" s="1108"/>
      <c r="AA15" s="1108"/>
      <c r="AB15" s="1112"/>
      <c r="AC15" s="1112"/>
      <c r="AD15" s="1112"/>
      <c r="AE15" s="1108"/>
      <c r="AF15" s="1108"/>
      <c r="AG15" s="1111" t="s">
        <v>1204</v>
      </c>
      <c r="AH15" s="1113"/>
    </row>
    <row customHeight="1" ht="12.75" r="16" spans="1:34" x14ac:dyDescent="0.2">
      <c r="A16" s="57"/>
      <c r="B16" s="327"/>
      <c r="C16" s="323"/>
      <c r="D16" s="323"/>
      <c r="E16" s="323"/>
      <c r="F16" s="323"/>
      <c r="G16" s="323"/>
      <c r="H16" s="335" t="s">
        <v>3639</v>
      </c>
      <c r="I16" s="543"/>
      <c r="J16" s="323"/>
      <c r="K16" s="1124" t="str">
        <f>IF(ISNA(VLOOKUP(E14,V$5:AF$245,R12+4,FALSE)),"",IF(VLOOKUP(E14,V$5:AF$245,R12+4,FALSE)="","",VLOOKUP(E14,V$5:AF$245,R12+4,FALSE)))</f>
        <v/>
      </c>
      <c r="L16" s="323"/>
      <c r="M16" s="323"/>
      <c r="N16" s="325"/>
      <c r="O16" s="57"/>
      <c r="P16" s="8" t="s">
        <v>2207</v>
      </c>
      <c r="Q16" s="12">
        <v>1</v>
      </c>
      <c r="R16" s="788">
        <v>1</v>
      </c>
      <c r="S16" s="3">
        <f si="0" t="shared"/>
        <v>1</v>
      </c>
      <c r="T16" s="788">
        <v>1</v>
      </c>
      <c r="U16" s="789">
        <f>MIN(TRUNC(G30*S16,2),I30)</f>
        <v>0</v>
      </c>
      <c r="V16" s="956" t="s">
        <v>1884</v>
      </c>
      <c r="W16" s="957" t="s">
        <v>167</v>
      </c>
      <c r="X16" s="956" t="s">
        <v>572</v>
      </c>
      <c r="Y16" s="957" t="s">
        <v>306</v>
      </c>
      <c r="Z16" s="1108"/>
      <c r="AA16" s="1108"/>
      <c r="AB16" s="1117" t="s">
        <v>4628</v>
      </c>
      <c r="AC16" s="1117" t="s">
        <v>4629</v>
      </c>
      <c r="AD16" s="1117" t="s">
        <v>4629</v>
      </c>
      <c r="AE16" s="1108"/>
      <c r="AF16" s="1108"/>
      <c r="AG16" s="1111" t="s">
        <v>4630</v>
      </c>
      <c r="AH16" s="1116"/>
    </row>
    <row customHeight="1" ht="12.75" r="17" spans="1:34" x14ac:dyDescent="0.2">
      <c r="A17" s="57"/>
      <c r="B17" s="327"/>
      <c r="C17" s="323"/>
      <c r="D17" s="323"/>
      <c r="E17" s="323"/>
      <c r="F17" s="323"/>
      <c r="G17" s="323"/>
      <c r="H17" s="323"/>
      <c r="I17" s="323"/>
      <c r="J17" s="323"/>
      <c r="K17" s="323"/>
      <c r="L17" s="323"/>
      <c r="M17" s="323"/>
      <c r="N17" s="325"/>
      <c r="O17" s="57"/>
      <c r="P17" s="8" t="s">
        <v>2208</v>
      </c>
      <c r="Q17" s="12">
        <v>1</v>
      </c>
      <c r="R17" s="788">
        <v>1</v>
      </c>
      <c r="S17" s="3">
        <f si="0" t="shared"/>
        <v>1</v>
      </c>
      <c r="T17" s="788">
        <v>1</v>
      </c>
      <c r="U17" s="789">
        <f>MIN(TRUNC(G34*S17,2),I34)</f>
        <v>0</v>
      </c>
      <c r="V17" s="956" t="s">
        <v>1885</v>
      </c>
      <c r="W17" s="957" t="s">
        <v>168</v>
      </c>
      <c r="X17" s="956" t="s">
        <v>572</v>
      </c>
      <c r="Y17" s="957" t="s">
        <v>307</v>
      </c>
      <c r="Z17" s="1108"/>
      <c r="AA17" s="1108"/>
      <c r="AB17" s="1115">
        <v>0.1</v>
      </c>
      <c r="AC17" s="1115" t="s">
        <v>4631</v>
      </c>
      <c r="AD17" s="1115"/>
      <c r="AE17" s="1108"/>
      <c r="AF17" s="1108"/>
      <c r="AG17" s="1111" t="s">
        <v>4632</v>
      </c>
      <c r="AH17" s="1116" t="s">
        <v>4633</v>
      </c>
    </row>
    <row customHeight="1" ht="12.75" r="18" spans="1:34" x14ac:dyDescent="0.2">
      <c r="A18" s="57"/>
      <c r="B18" s="329" t="s">
        <v>1046</v>
      </c>
      <c r="C18" s="323"/>
      <c r="D18" s="323"/>
      <c r="E18" s="1106" t="s">
        <v>4601</v>
      </c>
      <c r="F18" s="323"/>
      <c r="G18" s="641"/>
      <c r="H18" s="323"/>
      <c r="I18" s="640"/>
      <c r="J18" s="323"/>
      <c r="K18" s="323"/>
      <c r="L18" s="323"/>
      <c r="M18" s="641"/>
      <c r="N18" s="325"/>
      <c r="O18" s="57"/>
      <c r="P18" s="8" t="s">
        <v>2209</v>
      </c>
      <c r="Q18" s="12">
        <v>1</v>
      </c>
      <c r="R18" s="788">
        <v>1</v>
      </c>
      <c r="S18" s="3">
        <f si="0" t="shared"/>
        <v>1</v>
      </c>
      <c r="T18" s="788">
        <v>1</v>
      </c>
      <c r="U18" s="789">
        <f>MIN(TRUNC(G38*S18,2),I38)</f>
        <v>0</v>
      </c>
      <c r="V18" s="956" t="s">
        <v>1886</v>
      </c>
      <c r="W18" s="957" t="s">
        <v>169</v>
      </c>
      <c r="X18" s="956" t="s">
        <v>572</v>
      </c>
      <c r="Y18" s="957" t="s">
        <v>308</v>
      </c>
      <c r="Z18" s="1108"/>
      <c r="AA18" s="1108"/>
      <c r="AB18" s="1115">
        <v>0</v>
      </c>
      <c r="AC18" s="1115">
        <v>0.15</v>
      </c>
      <c r="AD18" s="1115"/>
      <c r="AE18" s="1108"/>
      <c r="AF18" s="1108"/>
      <c r="AG18" s="1111" t="s">
        <v>4634</v>
      </c>
      <c r="AH18" s="1116"/>
    </row>
    <row customHeight="1" ht="12.75" r="19" spans="1:34" x14ac:dyDescent="0.2">
      <c r="A19" s="57"/>
      <c r="B19" s="327"/>
      <c r="C19" s="323"/>
      <c r="D19" s="323"/>
      <c r="E19" s="323"/>
      <c r="F19" s="323"/>
      <c r="G19" s="323"/>
      <c r="H19" s="323"/>
      <c r="I19" s="323"/>
      <c r="J19" s="323"/>
      <c r="K19" s="520" t="s">
        <v>4832</v>
      </c>
      <c r="L19" s="323"/>
      <c r="M19" s="323"/>
      <c r="N19" s="325"/>
      <c r="O19" s="57"/>
      <c r="P19" s="8" t="s">
        <v>1193</v>
      </c>
      <c r="Q19" s="12">
        <v>1</v>
      </c>
      <c r="R19" s="788">
        <v>1</v>
      </c>
      <c r="S19" s="3">
        <f si="0" t="shared"/>
        <v>1</v>
      </c>
      <c r="T19" s="788">
        <v>1</v>
      </c>
      <c r="U19" s="789">
        <f>MIN(TRUNC(G36*S19,2),I36)</f>
        <v>0</v>
      </c>
      <c r="V19" s="956" t="s">
        <v>1887</v>
      </c>
      <c r="W19" s="957" t="s">
        <v>170</v>
      </c>
      <c r="X19" s="956" t="s">
        <v>572</v>
      </c>
      <c r="Y19" s="957" t="s">
        <v>309</v>
      </c>
      <c r="Z19" s="1108"/>
      <c r="AA19" s="1108"/>
      <c r="AB19" s="1115">
        <v>0.1</v>
      </c>
      <c r="AC19" s="1115">
        <v>0.15</v>
      </c>
      <c r="AD19" s="1115"/>
      <c r="AE19" s="1108"/>
      <c r="AF19" s="1108"/>
      <c r="AG19" s="1111" t="s">
        <v>4635</v>
      </c>
      <c r="AH19" s="1116" t="s">
        <v>4636</v>
      </c>
    </row>
    <row customHeight="1" ht="12.75" r="20" spans="1:34" x14ac:dyDescent="0.2">
      <c r="A20" s="57"/>
      <c r="B20" s="327"/>
      <c r="C20" s="323"/>
      <c r="D20" s="323"/>
      <c r="E20" s="323"/>
      <c r="F20" s="323"/>
      <c r="G20" s="323"/>
      <c r="H20" s="335" t="s">
        <v>536</v>
      </c>
      <c r="I20" s="543"/>
      <c r="J20" s="323"/>
      <c r="K20" s="1124" t="str">
        <f>IF(ISNA(VLOOKUP(E18,V$5:AF$245,R13+4,FALSE)),"",IF(VLOOKUP(E18,V$5:AF$245,R13+4,FALSE)="","",VLOOKUP(E18,V$5:AF$245,R13+4,FALSE)))</f>
        <v/>
      </c>
      <c r="L20" s="323"/>
      <c r="M20" s="323"/>
      <c r="N20" s="325"/>
      <c r="O20" s="57"/>
      <c r="P20" s="8" t="s">
        <v>1194</v>
      </c>
      <c r="Q20" s="12">
        <v>1</v>
      </c>
      <c r="R20" s="788">
        <v>1</v>
      </c>
      <c r="S20" s="3">
        <f si="0" t="shared"/>
        <v>1</v>
      </c>
      <c r="T20" s="788">
        <v>1</v>
      </c>
      <c r="U20" s="789">
        <f>MIN(TRUNC(G40*S20,2),I40)</f>
        <v>0</v>
      </c>
      <c r="V20" s="956" t="s">
        <v>1205</v>
      </c>
      <c r="W20" s="957" t="s">
        <v>1205</v>
      </c>
      <c r="X20" s="956" t="s">
        <v>1189</v>
      </c>
      <c r="Y20" s="957" t="s">
        <v>310</v>
      </c>
      <c r="Z20" s="1108"/>
      <c r="AA20" s="1108"/>
      <c r="AB20" s="1118"/>
      <c r="AC20" s="1118"/>
      <c r="AD20" s="1118"/>
      <c r="AE20" s="1108"/>
      <c r="AF20" s="1108"/>
      <c r="AG20" s="1111" t="s">
        <v>1205</v>
      </c>
      <c r="AH20" s="1119"/>
    </row>
    <row customHeight="1" ht="12.75" r="21" spans="1:34" x14ac:dyDescent="0.2">
      <c r="A21" s="57"/>
      <c r="B21" s="327"/>
      <c r="C21" s="323"/>
      <c r="D21" s="323"/>
      <c r="E21" s="323"/>
      <c r="F21" s="323"/>
      <c r="G21" s="323"/>
      <c r="H21" s="323"/>
      <c r="I21" s="323"/>
      <c r="J21" s="323"/>
      <c r="K21" s="323"/>
      <c r="L21" s="323"/>
      <c r="M21" s="323"/>
      <c r="N21" s="325"/>
      <c r="O21" s="57"/>
      <c r="V21" s="956" t="s">
        <v>1149</v>
      </c>
      <c r="W21" s="957" t="s">
        <v>171</v>
      </c>
      <c r="X21" s="956" t="s">
        <v>572</v>
      </c>
      <c r="Y21" s="957" t="s">
        <v>311</v>
      </c>
      <c r="Z21" s="1120"/>
      <c r="AA21" s="1120"/>
      <c r="AB21" s="1121">
        <v>0.15</v>
      </c>
      <c r="AC21" s="1121">
        <v>0.1</v>
      </c>
      <c r="AD21" s="1121"/>
      <c r="AE21" s="1120"/>
      <c r="AF21" s="1120"/>
      <c r="AG21" s="1111" t="s">
        <v>4637</v>
      </c>
      <c r="AH21" s="1113"/>
    </row>
    <row customHeight="1" ht="12.75" r="22" spans="1:34" x14ac:dyDescent="0.2">
      <c r="A22" s="57"/>
      <c r="B22" s="329" t="s">
        <v>1318</v>
      </c>
      <c r="C22" s="323"/>
      <c r="D22" s="323"/>
      <c r="E22" s="1106" t="s">
        <v>4601</v>
      </c>
      <c r="F22" s="323"/>
      <c r="G22" s="641"/>
      <c r="H22" s="323"/>
      <c r="I22" s="640"/>
      <c r="J22" s="323"/>
      <c r="K22" s="323"/>
      <c r="L22" s="323"/>
      <c r="M22" s="641"/>
      <c r="N22" s="325"/>
      <c r="O22" s="57"/>
      <c r="Q22" s="26">
        <v>1</v>
      </c>
      <c r="R22" s="787">
        <v>1</v>
      </c>
      <c r="V22" s="956" t="s">
        <v>1206</v>
      </c>
      <c r="W22" s="957" t="s">
        <v>1206</v>
      </c>
      <c r="X22" s="956" t="s">
        <v>1189</v>
      </c>
      <c r="Y22" s="957" t="s">
        <v>312</v>
      </c>
      <c r="Z22" s="1120"/>
      <c r="AA22" s="1120"/>
      <c r="AB22" s="1114"/>
      <c r="AC22" s="1114"/>
      <c r="AD22" s="1114"/>
      <c r="AE22" s="1120"/>
      <c r="AF22" s="1120"/>
      <c r="AG22" s="1111" t="s">
        <v>1206</v>
      </c>
      <c r="AH22" s="1113"/>
    </row>
    <row customHeight="1" ht="12.75" r="23" spans="1:34" x14ac:dyDescent="0.2">
      <c r="A23" s="57"/>
      <c r="B23" s="327"/>
      <c r="C23" s="323"/>
      <c r="D23" s="323"/>
      <c r="E23" s="323"/>
      <c r="F23" s="323"/>
      <c r="G23" s="323"/>
      <c r="H23" s="323"/>
      <c r="I23" s="323"/>
      <c r="J23" s="323"/>
      <c r="K23" s="520" t="s">
        <v>4832</v>
      </c>
      <c r="L23" s="323"/>
      <c r="M23" s="323"/>
      <c r="N23" s="325"/>
      <c r="O23" s="57"/>
      <c r="Q23" s="26">
        <v>2</v>
      </c>
      <c r="R23" s="785">
        <v>0</v>
      </c>
      <c r="V23" s="956" t="s">
        <v>1888</v>
      </c>
      <c r="W23" s="957" t="s">
        <v>172</v>
      </c>
      <c r="X23" s="956" t="s">
        <v>572</v>
      </c>
      <c r="Y23" s="957" t="s">
        <v>313</v>
      </c>
      <c r="Z23" s="1120"/>
      <c r="AA23" s="1120"/>
      <c r="AB23" s="1114"/>
      <c r="AC23" s="1114"/>
      <c r="AD23" s="1114"/>
      <c r="AE23" s="1120"/>
      <c r="AF23" s="1120"/>
      <c r="AG23" s="1111" t="s">
        <v>4638</v>
      </c>
      <c r="AH23" s="1113"/>
    </row>
    <row customHeight="1" ht="12.75" r="24" spans="1:34" x14ac:dyDescent="0.2">
      <c r="A24" s="57"/>
      <c r="B24" s="327"/>
      <c r="C24" s="323"/>
      <c r="D24" s="323"/>
      <c r="E24" s="323"/>
      <c r="F24" s="323"/>
      <c r="G24" s="323"/>
      <c r="H24" s="335" t="s">
        <v>537</v>
      </c>
      <c r="I24" s="543"/>
      <c r="J24" s="323"/>
      <c r="K24" s="1124" t="str">
        <f>IF(ISNA(VLOOKUP(E22,V$5:AF$245,R14+4,FALSE)),"",IF(VLOOKUP(E22,V$5:AF$245,R14+4,FALSE)="","",VLOOKUP(E22,V$5:AF$245,R14+4,FALSE)))</f>
        <v/>
      </c>
      <c r="L24" s="323"/>
      <c r="M24" s="323"/>
      <c r="N24" s="325"/>
      <c r="O24" s="57"/>
      <c r="Q24" s="26">
        <v>3</v>
      </c>
      <c r="R24" s="785">
        <v>0.05</v>
      </c>
      <c r="V24" s="956" t="s">
        <v>1888</v>
      </c>
      <c r="W24" s="957" t="s">
        <v>172</v>
      </c>
      <c r="X24" s="956" t="s">
        <v>572</v>
      </c>
      <c r="Y24" s="957" t="s">
        <v>314</v>
      </c>
      <c r="Z24" s="1120"/>
      <c r="AA24" s="1120"/>
      <c r="AB24" s="1114"/>
      <c r="AC24" s="1114"/>
      <c r="AD24" s="1114"/>
      <c r="AE24" s="1120"/>
      <c r="AF24" s="1120"/>
      <c r="AG24" s="1111" t="s">
        <v>4638</v>
      </c>
      <c r="AH24" s="1113"/>
    </row>
    <row customHeight="1" ht="12.75" r="25" spans="1:34" x14ac:dyDescent="0.2">
      <c r="A25" s="57"/>
      <c r="B25" s="327"/>
      <c r="C25" s="323"/>
      <c r="D25" s="323"/>
      <c r="E25" s="323"/>
      <c r="F25" s="323"/>
      <c r="G25" s="323"/>
      <c r="H25" s="323"/>
      <c r="I25" s="323"/>
      <c r="J25" s="323"/>
      <c r="K25" s="323"/>
      <c r="L25" s="323"/>
      <c r="M25" s="323"/>
      <c r="N25" s="325"/>
      <c r="O25" s="57"/>
      <c r="Q25" s="26">
        <v>4</v>
      </c>
      <c r="R25" s="787">
        <v>7.0000000000000007E-2</v>
      </c>
      <c r="V25" s="956" t="s">
        <v>1888</v>
      </c>
      <c r="W25" s="957" t="s">
        <v>172</v>
      </c>
      <c r="X25" s="956" t="s">
        <v>572</v>
      </c>
      <c r="Y25" s="957" t="s">
        <v>315</v>
      </c>
      <c r="Z25" s="1120"/>
      <c r="AA25" s="1120"/>
      <c r="AB25" s="1114"/>
      <c r="AC25" s="1114"/>
      <c r="AD25" s="1114"/>
      <c r="AE25" s="1120"/>
      <c r="AF25" s="1120"/>
      <c r="AG25" s="1111" t="s">
        <v>4638</v>
      </c>
      <c r="AH25" s="1113"/>
    </row>
    <row customHeight="1" ht="12.75" r="26" spans="1:34" x14ac:dyDescent="0.2">
      <c r="A26" s="57"/>
      <c r="B26" s="329" t="s">
        <v>2198</v>
      </c>
      <c r="C26" s="323"/>
      <c r="D26" s="323"/>
      <c r="E26" s="1106" t="s">
        <v>4601</v>
      </c>
      <c r="F26" s="323"/>
      <c r="G26" s="641"/>
      <c r="H26" s="323"/>
      <c r="I26" s="640"/>
      <c r="J26" s="323"/>
      <c r="K26" s="323"/>
      <c r="L26" s="323"/>
      <c r="M26" s="641"/>
      <c r="N26" s="325"/>
      <c r="O26" s="57"/>
      <c r="Q26" s="26">
        <v>5</v>
      </c>
      <c r="R26" s="785">
        <v>0.08</v>
      </c>
      <c r="V26" s="956" t="s">
        <v>1207</v>
      </c>
      <c r="W26" s="957" t="s">
        <v>1207</v>
      </c>
      <c r="X26" s="956" t="s">
        <v>1189</v>
      </c>
      <c r="Y26" s="957" t="s">
        <v>316</v>
      </c>
      <c r="Z26" s="1120"/>
      <c r="AA26" s="1120"/>
      <c r="AB26" s="1114"/>
      <c r="AC26" s="1114"/>
      <c r="AD26" s="1114"/>
      <c r="AE26" s="1120"/>
      <c r="AF26" s="1120"/>
      <c r="AG26" s="1111" t="s">
        <v>1207</v>
      </c>
      <c r="AH26" s="1113"/>
    </row>
    <row customHeight="1" ht="12.75" r="27" spans="1:34" x14ac:dyDescent="0.2">
      <c r="A27" s="57"/>
      <c r="B27" s="327"/>
      <c r="C27" s="323"/>
      <c r="D27" s="323"/>
      <c r="E27" s="323"/>
      <c r="F27" s="323"/>
      <c r="G27" s="323"/>
      <c r="H27" s="323"/>
      <c r="I27" s="323"/>
      <c r="J27" s="323"/>
      <c r="K27" s="520" t="s">
        <v>4832</v>
      </c>
      <c r="L27" s="323"/>
      <c r="M27" s="323"/>
      <c r="N27" s="325"/>
      <c r="O27" s="57"/>
      <c r="Q27" s="26">
        <v>6</v>
      </c>
      <c r="R27" s="785">
        <v>0.1</v>
      </c>
      <c r="V27" s="956" t="s">
        <v>1889</v>
      </c>
      <c r="W27" s="957" t="s">
        <v>173</v>
      </c>
      <c r="X27" s="956" t="s">
        <v>572</v>
      </c>
      <c r="Y27" s="957" t="s">
        <v>317</v>
      </c>
      <c r="Z27" s="1120"/>
      <c r="AA27" s="1120"/>
      <c r="AB27" s="1121">
        <v>0.1</v>
      </c>
      <c r="AC27" s="1121">
        <v>0.15</v>
      </c>
      <c r="AD27" s="1121"/>
      <c r="AE27" s="1120"/>
      <c r="AF27" s="1120"/>
      <c r="AG27" s="1111" t="s">
        <v>4639</v>
      </c>
      <c r="AH27" s="1113"/>
    </row>
    <row r="28" spans="1:34" x14ac:dyDescent="0.2">
      <c r="A28" s="57"/>
      <c r="B28" s="327"/>
      <c r="C28" s="323"/>
      <c r="D28" s="323"/>
      <c r="E28" s="323"/>
      <c r="F28" s="323"/>
      <c r="G28" s="323"/>
      <c r="H28" s="335" t="s">
        <v>2202</v>
      </c>
      <c r="I28" s="543"/>
      <c r="J28" s="323"/>
      <c r="K28" s="1124" t="str">
        <f>IF(ISNA(VLOOKUP(E26,V$5:AF$245,R15+4,FALSE)),"",IF(VLOOKUP(E26,V$5:AF$245,R15+4,FALSE)="","",VLOOKUP(E26,V$5:AF$245,R15+4,FALSE)))</f>
        <v/>
      </c>
      <c r="L28" s="323"/>
      <c r="M28" s="323"/>
      <c r="N28" s="325"/>
      <c r="O28" s="57"/>
      <c r="Q28" s="26">
        <v>7</v>
      </c>
      <c r="R28" s="785">
        <v>0.12</v>
      </c>
      <c r="V28" s="956" t="s">
        <v>1890</v>
      </c>
      <c r="W28" s="957" t="s">
        <v>174</v>
      </c>
      <c r="X28" s="956" t="s">
        <v>572</v>
      </c>
      <c r="Y28" s="957" t="s">
        <v>318</v>
      </c>
      <c r="Z28" s="1120"/>
      <c r="AA28" s="1120"/>
      <c r="AB28" s="1115">
        <v>0</v>
      </c>
      <c r="AC28" s="1121">
        <v>0.1</v>
      </c>
      <c r="AD28" s="1121"/>
      <c r="AE28" s="1120"/>
      <c r="AF28" s="1120"/>
      <c r="AG28" s="1111" t="s">
        <v>4640</v>
      </c>
      <c r="AH28" s="1113"/>
    </row>
    <row r="29" spans="1:34" x14ac:dyDescent="0.2">
      <c r="A29" s="57"/>
      <c r="B29" s="327"/>
      <c r="C29" s="323"/>
      <c r="D29" s="323"/>
      <c r="E29" s="323"/>
      <c r="F29" s="323"/>
      <c r="G29" s="323"/>
      <c r="H29" s="323"/>
      <c r="I29" s="323"/>
      <c r="J29" s="323"/>
      <c r="K29" s="323"/>
      <c r="L29" s="323"/>
      <c r="M29" s="323"/>
      <c r="N29" s="325"/>
      <c r="O29" s="57"/>
      <c r="Q29" s="26">
        <v>8</v>
      </c>
      <c r="R29" s="786">
        <v>0.125</v>
      </c>
      <c r="V29" s="956" t="s">
        <v>1891</v>
      </c>
      <c r="W29" s="957" t="s">
        <v>2497</v>
      </c>
      <c r="X29" s="956" t="s">
        <v>572</v>
      </c>
      <c r="Y29" s="957" t="s">
        <v>319</v>
      </c>
      <c r="Z29" s="1120"/>
      <c r="AA29" s="1120"/>
      <c r="AB29" s="1115">
        <v>0</v>
      </c>
      <c r="AC29" s="1121">
        <v>0</v>
      </c>
      <c r="AD29" s="1121"/>
      <c r="AE29" s="1120"/>
      <c r="AF29" s="1120"/>
      <c r="AG29" s="1111" t="s">
        <v>4641</v>
      </c>
      <c r="AH29" s="1113" t="s">
        <v>4642</v>
      </c>
    </row>
    <row r="30" spans="1:34" x14ac:dyDescent="0.2">
      <c r="A30" s="57"/>
      <c r="B30" s="329" t="s">
        <v>2199</v>
      </c>
      <c r="C30" s="323"/>
      <c r="D30" s="323"/>
      <c r="E30" s="1106" t="s">
        <v>4601</v>
      </c>
      <c r="F30" s="323"/>
      <c r="G30" s="641"/>
      <c r="H30" s="323"/>
      <c r="I30" s="640"/>
      <c r="J30" s="323"/>
      <c r="K30" s="323"/>
      <c r="L30" s="323"/>
      <c r="M30" s="641"/>
      <c r="N30" s="325"/>
      <c r="O30" s="57"/>
      <c r="Q30" s="26">
        <v>9</v>
      </c>
      <c r="R30" s="785">
        <v>0.15</v>
      </c>
      <c r="V30" s="956" t="s">
        <v>1208</v>
      </c>
      <c r="W30" s="957" t="s">
        <v>1208</v>
      </c>
      <c r="X30" s="956" t="s">
        <v>1189</v>
      </c>
      <c r="Y30" s="957" t="s">
        <v>320</v>
      </c>
      <c r="Z30" s="1120"/>
      <c r="AA30" s="1120"/>
      <c r="AB30" s="1114"/>
      <c r="AC30" s="1114"/>
      <c r="AD30" s="1114"/>
      <c r="AE30" s="1120"/>
      <c r="AF30" s="1120"/>
      <c r="AG30" s="1111" t="s">
        <v>1208</v>
      </c>
      <c r="AH30" s="1113"/>
    </row>
    <row r="31" spans="1:34" x14ac:dyDescent="0.2">
      <c r="A31" s="57"/>
      <c r="B31" s="327"/>
      <c r="C31" s="323"/>
      <c r="D31" s="323"/>
      <c r="E31" s="323"/>
      <c r="F31" s="323"/>
      <c r="G31" s="323"/>
      <c r="H31" s="323"/>
      <c r="I31" s="323"/>
      <c r="J31" s="323"/>
      <c r="K31" s="520" t="s">
        <v>4832</v>
      </c>
      <c r="L31" s="323"/>
      <c r="M31" s="323"/>
      <c r="N31" s="325"/>
      <c r="O31" s="57"/>
      <c r="Q31" s="26">
        <v>10</v>
      </c>
      <c r="R31" s="785">
        <v>0.17</v>
      </c>
      <c r="V31" s="956" t="s">
        <v>1892</v>
      </c>
      <c r="W31" s="957" t="s">
        <v>175</v>
      </c>
      <c r="X31" s="956" t="s">
        <v>572</v>
      </c>
      <c r="Y31" s="957" t="s">
        <v>321</v>
      </c>
      <c r="Z31" s="1120"/>
      <c r="AA31" s="1120"/>
      <c r="AB31" s="1121">
        <v>0.1</v>
      </c>
      <c r="AC31" s="1121">
        <v>0.15</v>
      </c>
      <c r="AD31" s="1121"/>
      <c r="AE31" s="1120"/>
      <c r="AF31" s="1120"/>
      <c r="AG31" s="1111" t="s">
        <v>4643</v>
      </c>
      <c r="AH31" s="1113"/>
    </row>
    <row r="32" spans="1:34" x14ac:dyDescent="0.2">
      <c r="A32" s="57"/>
      <c r="B32" s="327"/>
      <c r="C32" s="323"/>
      <c r="D32" s="323"/>
      <c r="E32" s="323"/>
      <c r="F32" s="323"/>
      <c r="G32" s="323"/>
      <c r="H32" s="335" t="s">
        <v>2203</v>
      </c>
      <c r="I32" s="543"/>
      <c r="J32" s="323"/>
      <c r="K32" s="1124" t="str">
        <f>IF(ISNA(VLOOKUP(E30,V$5:AF$245,R16+4,FALSE)),"",IF(VLOOKUP(E30,V$5:AF$245,R16+4,FALSE)="","",VLOOKUP(E30,V$5:AF$245,R16+4,FALSE)))</f>
        <v/>
      </c>
      <c r="L32" s="323"/>
      <c r="M32" s="323"/>
      <c r="N32" s="325"/>
      <c r="O32" s="57"/>
      <c r="Q32" s="26">
        <v>11</v>
      </c>
      <c r="R32" s="785">
        <v>0.2</v>
      </c>
      <c r="V32" s="956" t="s">
        <v>1893</v>
      </c>
      <c r="W32" s="957" t="s">
        <v>176</v>
      </c>
      <c r="X32" s="956" t="s">
        <v>572</v>
      </c>
      <c r="Y32" s="957" t="s">
        <v>322</v>
      </c>
      <c r="Z32" s="1120"/>
      <c r="AA32" s="1120"/>
      <c r="AB32" s="1115">
        <v>0</v>
      </c>
      <c r="AC32" s="1121">
        <v>0</v>
      </c>
      <c r="AD32" s="1121"/>
      <c r="AE32" s="1120"/>
      <c r="AF32" s="1120"/>
      <c r="AG32" s="1111" t="s">
        <v>4644</v>
      </c>
      <c r="AH32" s="1113"/>
    </row>
    <row r="33" spans="1:34" x14ac:dyDescent="0.2">
      <c r="A33" s="57"/>
      <c r="B33" s="327"/>
      <c r="C33" s="323"/>
      <c r="D33" s="323"/>
      <c r="E33" s="323"/>
      <c r="F33" s="323"/>
      <c r="G33" s="323"/>
      <c r="H33" s="323"/>
      <c r="I33" s="323"/>
      <c r="J33" s="323"/>
      <c r="K33" s="323"/>
      <c r="L33" s="323"/>
      <c r="M33" s="323"/>
      <c r="N33" s="325"/>
      <c r="O33" s="57"/>
      <c r="Q33" s="26">
        <v>12</v>
      </c>
      <c r="R33" s="785">
        <v>0.25</v>
      </c>
      <c r="V33" s="956" t="s">
        <v>1894</v>
      </c>
      <c r="W33" s="957" t="s">
        <v>177</v>
      </c>
      <c r="X33" s="956" t="s">
        <v>572</v>
      </c>
      <c r="Y33" s="957" t="s">
        <v>323</v>
      </c>
      <c r="Z33" s="1120"/>
      <c r="AA33" s="1120"/>
      <c r="AB33" s="1114" t="s">
        <v>4628</v>
      </c>
      <c r="AC33" s="1117" t="s">
        <v>4629</v>
      </c>
      <c r="AD33" s="1117" t="s">
        <v>4629</v>
      </c>
      <c r="AE33" s="1120"/>
      <c r="AF33" s="1120"/>
      <c r="AG33" s="1111" t="s">
        <v>4645</v>
      </c>
      <c r="AH33" s="1113"/>
    </row>
    <row r="34" spans="1:34" x14ac:dyDescent="0.2">
      <c r="A34" s="57"/>
      <c r="B34" s="329" t="s">
        <v>2200</v>
      </c>
      <c r="C34" s="323"/>
      <c r="D34" s="323"/>
      <c r="E34" s="1106" t="s">
        <v>4601</v>
      </c>
      <c r="F34" s="323"/>
      <c r="G34" s="641"/>
      <c r="H34" s="323"/>
      <c r="I34" s="640"/>
      <c r="J34" s="323"/>
      <c r="K34" s="323"/>
      <c r="L34" s="323"/>
      <c r="M34" s="641"/>
      <c r="N34" s="325"/>
      <c r="O34" s="57"/>
      <c r="V34" s="956" t="s">
        <v>2544</v>
      </c>
      <c r="W34" s="957" t="s">
        <v>2544</v>
      </c>
      <c r="X34" s="956" t="s">
        <v>1189</v>
      </c>
      <c r="Y34" s="957" t="s">
        <v>324</v>
      </c>
      <c r="Z34" s="1120"/>
      <c r="AA34" s="1120"/>
      <c r="AB34" s="1114"/>
      <c r="AC34" s="1114"/>
      <c r="AD34" s="1114"/>
      <c r="AE34" s="1120"/>
      <c r="AF34" s="1120"/>
      <c r="AG34" s="1111" t="s">
        <v>2544</v>
      </c>
      <c r="AH34" s="1113"/>
    </row>
    <row r="35" spans="1:34" x14ac:dyDescent="0.2">
      <c r="A35" s="57"/>
      <c r="B35" s="327"/>
      <c r="C35" s="323"/>
      <c r="D35" s="323"/>
      <c r="E35" s="323"/>
      <c r="F35" s="323"/>
      <c r="G35" s="323"/>
      <c r="H35" s="323"/>
      <c r="I35" s="323"/>
      <c r="J35" s="323"/>
      <c r="K35" s="520" t="s">
        <v>4832</v>
      </c>
      <c r="L35" s="323"/>
      <c r="M35" s="323"/>
      <c r="N35" s="325"/>
      <c r="O35" s="57"/>
      <c r="V35" s="956" t="s">
        <v>1895</v>
      </c>
      <c r="W35" s="957" t="s">
        <v>178</v>
      </c>
      <c r="X35" s="956" t="s">
        <v>572</v>
      </c>
      <c r="Y35" s="957" t="s">
        <v>325</v>
      </c>
      <c r="Z35" s="1120"/>
      <c r="AA35" s="1120"/>
      <c r="AB35" s="1121">
        <v>0.15</v>
      </c>
      <c r="AC35" s="1121">
        <v>0.15</v>
      </c>
      <c r="AD35" s="1121"/>
      <c r="AE35" s="1120"/>
      <c r="AF35" s="1120"/>
      <c r="AG35" s="1111" t="s">
        <v>4646</v>
      </c>
      <c r="AH35" s="1113"/>
    </row>
    <row r="36" spans="1:34" x14ac:dyDescent="0.2">
      <c r="A36" s="57"/>
      <c r="B36" s="327"/>
      <c r="C36" s="323"/>
      <c r="D36" s="323"/>
      <c r="E36" s="323"/>
      <c r="F36" s="323"/>
      <c r="G36" s="323"/>
      <c r="H36" s="335" t="s">
        <v>2204</v>
      </c>
      <c r="I36" s="543"/>
      <c r="J36" s="323"/>
      <c r="K36" s="1124" t="str">
        <f>IF(ISNA(VLOOKUP(E34,V$5:AF$245,R17+4,FALSE)),"",IF(VLOOKUP(E34,V$5:AF$245,R17+4,FALSE)="","",VLOOKUP(E34,V$5:AF$245,R17+4,FALSE)))</f>
        <v/>
      </c>
      <c r="L36" s="323"/>
      <c r="M36" s="323"/>
      <c r="N36" s="325"/>
      <c r="O36" s="57"/>
      <c r="V36" s="956" t="s">
        <v>1209</v>
      </c>
      <c r="W36" s="957" t="s">
        <v>1209</v>
      </c>
      <c r="X36" s="956" t="s">
        <v>1189</v>
      </c>
      <c r="Y36" s="957" t="s">
        <v>326</v>
      </c>
      <c r="Z36" s="1120"/>
      <c r="AA36" s="1120"/>
      <c r="AB36" s="1114"/>
      <c r="AC36" s="1114"/>
      <c r="AD36" s="1114"/>
      <c r="AE36" s="1120"/>
      <c r="AF36" s="1120"/>
      <c r="AG36" s="1111" t="s">
        <v>1209</v>
      </c>
      <c r="AH36" s="1113"/>
    </row>
    <row r="37" spans="1:34" x14ac:dyDescent="0.2">
      <c r="A37" s="57"/>
      <c r="B37" s="327"/>
      <c r="C37" s="323"/>
      <c r="D37" s="323"/>
      <c r="E37" s="323"/>
      <c r="F37" s="323"/>
      <c r="G37" s="323"/>
      <c r="H37" s="323"/>
      <c r="I37" s="323"/>
      <c r="J37" s="323"/>
      <c r="K37" s="323"/>
      <c r="L37" s="323"/>
      <c r="M37" s="323"/>
      <c r="N37" s="325"/>
      <c r="O37" s="57"/>
      <c r="V37" s="956" t="s">
        <v>1896</v>
      </c>
      <c r="W37" s="957" t="s">
        <v>179</v>
      </c>
      <c r="X37" s="956" t="s">
        <v>572</v>
      </c>
      <c r="Y37" s="957" t="s">
        <v>327</v>
      </c>
      <c r="Z37" s="1120"/>
      <c r="AA37" s="1120"/>
      <c r="AB37" s="1121" t="s">
        <v>4647</v>
      </c>
      <c r="AC37" s="1114" t="s">
        <v>4648</v>
      </c>
      <c r="AD37" s="1114"/>
      <c r="AE37" s="1120"/>
      <c r="AF37" s="1120"/>
      <c r="AG37" s="1111" t="s">
        <v>4649</v>
      </c>
      <c r="AH37" s="1113" t="s">
        <v>4650</v>
      </c>
    </row>
    <row r="38" spans="1:34" x14ac:dyDescent="0.2">
      <c r="A38" s="57"/>
      <c r="B38" s="329" t="s">
        <v>2201</v>
      </c>
      <c r="C38" s="323"/>
      <c r="D38" s="323"/>
      <c r="E38" s="1106" t="s">
        <v>4601</v>
      </c>
      <c r="F38" s="323"/>
      <c r="G38" s="641"/>
      <c r="H38" s="323"/>
      <c r="I38" s="640"/>
      <c r="J38" s="323"/>
      <c r="K38" s="323"/>
      <c r="L38" s="323"/>
      <c r="M38" s="641"/>
      <c r="N38" s="325"/>
      <c r="O38" s="57"/>
      <c r="V38" s="956" t="s">
        <v>1897</v>
      </c>
      <c r="W38" s="957" t="s">
        <v>180</v>
      </c>
      <c r="X38" s="956" t="s">
        <v>572</v>
      </c>
      <c r="Y38" s="957" t="s">
        <v>328</v>
      </c>
      <c r="Z38" s="1120"/>
      <c r="AA38" s="1120"/>
      <c r="AB38" s="1114" t="s">
        <v>4628</v>
      </c>
      <c r="AC38" s="1114" t="s">
        <v>4648</v>
      </c>
      <c r="AD38" s="1114" t="s">
        <v>4648</v>
      </c>
      <c r="AE38" s="1120"/>
      <c r="AF38" s="1120"/>
      <c r="AG38" s="1111" t="s">
        <v>4651</v>
      </c>
      <c r="AH38" s="1113"/>
    </row>
    <row r="39" spans="1:34" x14ac:dyDescent="0.2">
      <c r="A39" s="57"/>
      <c r="B39" s="327"/>
      <c r="C39" s="323"/>
      <c r="D39" s="323"/>
      <c r="E39" s="323"/>
      <c r="F39" s="323"/>
      <c r="G39" s="323"/>
      <c r="H39" s="323"/>
      <c r="I39" s="323"/>
      <c r="J39" s="323"/>
      <c r="K39" s="520" t="s">
        <v>4832</v>
      </c>
      <c r="L39" s="323"/>
      <c r="M39" s="323"/>
      <c r="N39" s="325"/>
      <c r="O39" s="57"/>
      <c r="V39" s="956" t="s">
        <v>1210</v>
      </c>
      <c r="W39" s="957" t="s">
        <v>1210</v>
      </c>
      <c r="X39" s="956" t="s">
        <v>1189</v>
      </c>
      <c r="Y39" s="957" t="s">
        <v>329</v>
      </c>
      <c r="Z39" s="1120"/>
      <c r="AA39" s="1120"/>
      <c r="AB39" s="1114"/>
      <c r="AC39" s="1114"/>
      <c r="AD39" s="1114"/>
      <c r="AE39" s="1120"/>
      <c r="AF39" s="1120"/>
      <c r="AG39" s="1111" t="s">
        <v>1210</v>
      </c>
      <c r="AH39" s="1113"/>
    </row>
    <row r="40" spans="1:34" x14ac:dyDescent="0.2">
      <c r="A40" s="57"/>
      <c r="B40" s="327"/>
      <c r="C40" s="323"/>
      <c r="D40" s="323"/>
      <c r="E40" s="323"/>
      <c r="F40" s="323"/>
      <c r="G40" s="323"/>
      <c r="H40" s="335" t="s">
        <v>2205</v>
      </c>
      <c r="I40" s="543"/>
      <c r="J40" s="323"/>
      <c r="K40" s="1124" t="str">
        <f>IF(ISNA(VLOOKUP(E38,V$5:AF$245,R18+4,FALSE)),"",IF(VLOOKUP(E38,V$5:AF$245,R18+4,FALSE)="","",VLOOKUP(E38,V$5:AF$245,R18+4,FALSE)))</f>
        <v/>
      </c>
      <c r="L40" s="323"/>
      <c r="M40" s="323"/>
      <c r="N40" s="325"/>
      <c r="O40" s="57"/>
      <c r="V40" s="956" t="s">
        <v>1898</v>
      </c>
      <c r="W40" s="957" t="s">
        <v>181</v>
      </c>
      <c r="X40" s="956" t="s">
        <v>572</v>
      </c>
      <c r="Y40" s="957" t="s">
        <v>330</v>
      </c>
      <c r="Z40" s="1120"/>
      <c r="AA40" s="1120"/>
      <c r="AB40" s="1121">
        <v>0.1</v>
      </c>
      <c r="AC40" s="1121">
        <v>0.12</v>
      </c>
      <c r="AD40" s="1121"/>
      <c r="AE40" s="1120"/>
      <c r="AF40" s="1120"/>
      <c r="AG40" s="1111" t="s">
        <v>4652</v>
      </c>
      <c r="AH40" s="1113"/>
    </row>
    <row r="41" spans="1:34" x14ac:dyDescent="0.2">
      <c r="A41" s="57"/>
      <c r="B41" s="327"/>
      <c r="C41" s="323"/>
      <c r="D41" s="323"/>
      <c r="E41" s="323"/>
      <c r="F41" s="323"/>
      <c r="G41" s="323"/>
      <c r="H41" s="323"/>
      <c r="I41" s="323"/>
      <c r="J41" s="323"/>
      <c r="K41" s="323"/>
      <c r="L41" s="323"/>
      <c r="M41" s="323"/>
      <c r="N41" s="325"/>
      <c r="O41" s="57"/>
      <c r="V41" s="956" t="s">
        <v>1211</v>
      </c>
      <c r="W41" s="957" t="s">
        <v>1211</v>
      </c>
      <c r="X41" s="956" t="s">
        <v>1189</v>
      </c>
      <c r="Y41" s="957" t="s">
        <v>331</v>
      </c>
      <c r="Z41" s="1120"/>
      <c r="AA41" s="1120"/>
      <c r="AB41" s="1114"/>
      <c r="AC41" s="1114"/>
      <c r="AD41" s="1114"/>
      <c r="AE41" s="1120"/>
      <c r="AF41" s="1120"/>
      <c r="AG41" s="1111" t="s">
        <v>1211</v>
      </c>
      <c r="AH41" s="1113"/>
    </row>
    <row r="42" spans="1:34" x14ac:dyDescent="0.2">
      <c r="A42" s="57"/>
      <c r="B42" s="329" t="s">
        <v>1297</v>
      </c>
      <c r="C42" s="323"/>
      <c r="D42" s="323"/>
      <c r="E42" s="1106" t="s">
        <v>4601</v>
      </c>
      <c r="F42" s="323"/>
      <c r="G42" s="641"/>
      <c r="H42" s="323"/>
      <c r="I42" s="640"/>
      <c r="J42" s="323"/>
      <c r="K42" s="323"/>
      <c r="L42" s="323"/>
      <c r="M42" s="641"/>
      <c r="N42" s="325"/>
      <c r="O42" s="57"/>
      <c r="V42" s="956" t="s">
        <v>3031</v>
      </c>
      <c r="W42" s="957" t="s">
        <v>182</v>
      </c>
      <c r="X42" s="956" t="s">
        <v>572</v>
      </c>
      <c r="Y42" s="957" t="s">
        <v>332</v>
      </c>
      <c r="Z42" s="1120"/>
      <c r="AA42" s="1120"/>
      <c r="AB42" s="1114" t="s">
        <v>4653</v>
      </c>
      <c r="AC42" s="1121">
        <v>0.15</v>
      </c>
      <c r="AD42" s="1121"/>
      <c r="AE42" s="1120"/>
      <c r="AF42" s="1120"/>
      <c r="AG42" s="1111" t="s">
        <v>4654</v>
      </c>
      <c r="AH42" s="1113" t="s">
        <v>4655</v>
      </c>
    </row>
    <row r="43" spans="1:34" x14ac:dyDescent="0.2">
      <c r="A43" s="57"/>
      <c r="B43" s="327"/>
      <c r="C43" s="323"/>
      <c r="D43" s="323"/>
      <c r="E43" s="323"/>
      <c r="F43" s="323"/>
      <c r="G43" s="323"/>
      <c r="H43" s="323"/>
      <c r="I43" s="323"/>
      <c r="J43" s="323"/>
      <c r="K43" s="520" t="s">
        <v>4832</v>
      </c>
      <c r="L43" s="323"/>
      <c r="M43" s="323"/>
      <c r="N43" s="325"/>
      <c r="O43" s="57"/>
      <c r="V43" s="956" t="s">
        <v>1899</v>
      </c>
      <c r="W43" s="957" t="s">
        <v>183</v>
      </c>
      <c r="X43" s="956" t="s">
        <v>572</v>
      </c>
      <c r="Y43" s="957" t="s">
        <v>333</v>
      </c>
      <c r="Z43" s="1120"/>
      <c r="AA43" s="1120"/>
      <c r="AB43" s="1114"/>
      <c r="AC43" s="1114"/>
      <c r="AD43" s="1114"/>
      <c r="AE43" s="1120"/>
      <c r="AF43" s="1120"/>
      <c r="AG43" s="1111" t="s">
        <v>4656</v>
      </c>
      <c r="AH43" s="1113"/>
    </row>
    <row r="44" spans="1:34" x14ac:dyDescent="0.2">
      <c r="A44" s="57"/>
      <c r="B44" s="327"/>
      <c r="C44" s="323"/>
      <c r="D44" s="323"/>
      <c r="E44" s="323"/>
      <c r="F44" s="323"/>
      <c r="G44" s="323"/>
      <c r="H44" s="335" t="s">
        <v>1299</v>
      </c>
      <c r="I44" s="543"/>
      <c r="J44" s="323"/>
      <c r="K44" s="1124" t="str">
        <f>IF(ISNA(VLOOKUP(E42,V$5:AF$245,R19+4,FALSE)),"",IF(VLOOKUP(E42,V$5:AF$245,R19+4,FALSE)="","",VLOOKUP(E42,V$5:AF$245,R19+4,FALSE)))</f>
        <v/>
      </c>
      <c r="L44" s="323"/>
      <c r="M44" s="323"/>
      <c r="N44" s="325"/>
      <c r="O44" s="57"/>
      <c r="V44" s="956" t="s">
        <v>3687</v>
      </c>
      <c r="W44" s="957" t="s">
        <v>184</v>
      </c>
      <c r="X44" s="956" t="s">
        <v>572</v>
      </c>
      <c r="Y44" s="957" t="s">
        <v>334</v>
      </c>
      <c r="Z44" s="1120"/>
      <c r="AA44" s="1120"/>
      <c r="AB44" s="1115">
        <v>0</v>
      </c>
      <c r="AC44" s="1121">
        <v>0.15</v>
      </c>
      <c r="AD44" s="1121"/>
      <c r="AE44" s="1120"/>
      <c r="AF44" s="1120"/>
      <c r="AG44" s="1111" t="s">
        <v>4657</v>
      </c>
      <c r="AH44" s="1113"/>
    </row>
    <row r="45" spans="1:34" x14ac:dyDescent="0.2">
      <c r="A45" s="57"/>
      <c r="B45" s="327"/>
      <c r="C45" s="323"/>
      <c r="D45" s="323"/>
      <c r="E45" s="323"/>
      <c r="F45" s="323"/>
      <c r="G45" s="323"/>
      <c r="H45" s="323"/>
      <c r="I45" s="323"/>
      <c r="J45" s="323"/>
      <c r="K45" s="323"/>
      <c r="L45" s="323"/>
      <c r="M45" s="323"/>
      <c r="N45" s="325"/>
      <c r="O45" s="57"/>
      <c r="V45" s="956" t="s">
        <v>1900</v>
      </c>
      <c r="W45" s="957" t="s">
        <v>185</v>
      </c>
      <c r="X45" s="956" t="s">
        <v>572</v>
      </c>
      <c r="Y45" s="957" t="s">
        <v>335</v>
      </c>
      <c r="Z45" s="1120"/>
      <c r="AA45" s="1120"/>
      <c r="AB45" s="1121">
        <v>0.15</v>
      </c>
      <c r="AC45" s="1121">
        <v>0.15</v>
      </c>
      <c r="AD45" s="1121"/>
      <c r="AE45" s="1120"/>
      <c r="AF45" s="1120"/>
      <c r="AG45" s="1111" t="s">
        <v>4658</v>
      </c>
      <c r="AH45" s="1113"/>
    </row>
    <row r="46" spans="1:34" x14ac:dyDescent="0.2">
      <c r="A46" s="57"/>
      <c r="B46" s="329" t="s">
        <v>1298</v>
      </c>
      <c r="C46" s="323"/>
      <c r="D46" s="323"/>
      <c r="E46" s="1106" t="s">
        <v>4601</v>
      </c>
      <c r="F46" s="323"/>
      <c r="G46" s="641"/>
      <c r="H46" s="323"/>
      <c r="I46" s="640"/>
      <c r="J46" s="323"/>
      <c r="K46" s="323"/>
      <c r="L46" s="323"/>
      <c r="M46" s="641"/>
      <c r="N46" s="325"/>
      <c r="O46" s="57"/>
      <c r="V46" s="956" t="s">
        <v>1901</v>
      </c>
      <c r="W46" s="957" t="s">
        <v>186</v>
      </c>
      <c r="X46" s="956" t="s">
        <v>572</v>
      </c>
      <c r="Y46" s="957" t="s">
        <v>336</v>
      </c>
      <c r="Z46" s="1120"/>
      <c r="AA46" s="1120"/>
      <c r="AB46" s="1114" t="s">
        <v>4653</v>
      </c>
      <c r="AC46" s="1121">
        <v>0.1</v>
      </c>
      <c r="AD46" s="1121"/>
      <c r="AE46" s="1120"/>
      <c r="AF46" s="1120"/>
      <c r="AG46" s="1111" t="s">
        <v>4659</v>
      </c>
      <c r="AH46" s="1113" t="s">
        <v>4660</v>
      </c>
    </row>
    <row r="47" spans="1:34" x14ac:dyDescent="0.2">
      <c r="A47" s="1314"/>
      <c r="B47" s="327"/>
      <c r="C47" s="323"/>
      <c r="D47" s="323"/>
      <c r="E47" s="323"/>
      <c r="F47" s="323"/>
      <c r="G47" s="323"/>
      <c r="H47" s="323"/>
      <c r="I47" s="323"/>
      <c r="J47" s="323"/>
      <c r="K47" s="520" t="s">
        <v>4832</v>
      </c>
      <c r="L47" s="323"/>
      <c r="M47" s="323"/>
      <c r="N47" s="325"/>
      <c r="O47" s="57"/>
      <c r="V47" s="956" t="s">
        <v>1902</v>
      </c>
      <c r="W47" s="957" t="s">
        <v>187</v>
      </c>
      <c r="X47" s="956" t="s">
        <v>572</v>
      </c>
      <c r="Y47" s="957" t="s">
        <v>337</v>
      </c>
      <c r="Z47" s="1120"/>
      <c r="AA47" s="1120"/>
      <c r="AB47" s="1121">
        <v>0.15</v>
      </c>
      <c r="AC47" s="1114" t="s">
        <v>4631</v>
      </c>
      <c r="AD47" s="1114"/>
      <c r="AE47" s="1120"/>
      <c r="AF47" s="1120"/>
      <c r="AG47" s="1111" t="s">
        <v>4661</v>
      </c>
      <c r="AH47" s="1113" t="s">
        <v>4662</v>
      </c>
    </row>
    <row r="48" spans="1:34" x14ac:dyDescent="0.2">
      <c r="A48" s="1314"/>
      <c r="B48" s="327"/>
      <c r="C48" s="323"/>
      <c r="D48" s="323"/>
      <c r="E48" s="323"/>
      <c r="F48" s="323"/>
      <c r="G48" s="323"/>
      <c r="H48" s="335" t="s">
        <v>1300</v>
      </c>
      <c r="I48" s="543"/>
      <c r="J48" s="323"/>
      <c r="K48" s="1124" t="str">
        <f>IF(ISNA(VLOOKUP(E46,V$5:AF$245,R20+4,FALSE)),"",IF(VLOOKUP(E46,V$5:AF$245,R20+4,FALSE)="","",VLOOKUP(E46,V$5:AF$245,R20+4,FALSE)))</f>
        <v/>
      </c>
      <c r="L48" s="323"/>
      <c r="M48" s="323"/>
      <c r="N48" s="325"/>
      <c r="O48" s="57"/>
      <c r="V48" s="956" t="s">
        <v>1212</v>
      </c>
      <c r="W48" s="957" t="s">
        <v>1212</v>
      </c>
      <c r="X48" s="956" t="s">
        <v>1189</v>
      </c>
      <c r="Y48" s="957" t="s">
        <v>338</v>
      </c>
      <c r="Z48" s="1120"/>
      <c r="AA48" s="1120"/>
      <c r="AB48" s="1114"/>
      <c r="AC48" s="1114"/>
      <c r="AD48" s="1114"/>
      <c r="AE48" s="1120"/>
      <c r="AF48" s="1120"/>
      <c r="AG48" s="1111" t="s">
        <v>1212</v>
      </c>
      <c r="AH48" s="1113"/>
    </row>
    <row r="49" spans="1:34" x14ac:dyDescent="0.2">
      <c r="A49" s="1314"/>
      <c r="B49" s="330"/>
      <c r="C49" s="331"/>
      <c r="D49" s="331"/>
      <c r="E49" s="331"/>
      <c r="F49" s="331"/>
      <c r="G49" s="331"/>
      <c r="H49" s="331"/>
      <c r="I49" s="331"/>
      <c r="J49" s="331"/>
      <c r="K49" s="331"/>
      <c r="L49" s="331"/>
      <c r="M49" s="331"/>
      <c r="N49" s="332"/>
      <c r="O49" s="57"/>
      <c r="V49" s="956" t="s">
        <v>1213</v>
      </c>
      <c r="W49" s="957" t="s">
        <v>1213</v>
      </c>
      <c r="X49" s="956" t="s">
        <v>1189</v>
      </c>
      <c r="Y49" s="957" t="s">
        <v>339</v>
      </c>
      <c r="Z49" s="1120"/>
      <c r="AA49" s="1120"/>
      <c r="AB49" s="1114"/>
      <c r="AC49" s="1114"/>
      <c r="AD49" s="1114"/>
      <c r="AE49" s="1120"/>
      <c r="AF49" s="1120"/>
      <c r="AG49" s="1111" t="s">
        <v>1213</v>
      </c>
      <c r="AH49" s="1113"/>
    </row>
    <row r="50" spans="1:34" x14ac:dyDescent="0.2">
      <c r="A50" s="1314"/>
      <c r="B50" s="57"/>
      <c r="C50" s="57"/>
      <c r="D50" s="57"/>
      <c r="E50" s="57"/>
      <c r="F50" s="57"/>
      <c r="G50" s="57"/>
      <c r="H50" s="57"/>
      <c r="I50" s="57"/>
      <c r="J50" s="57"/>
      <c r="K50" s="57"/>
      <c r="L50" s="57"/>
      <c r="M50" s="57"/>
      <c r="N50" s="57"/>
      <c r="O50" s="57"/>
      <c r="V50" s="956" t="s">
        <v>1214</v>
      </c>
      <c r="W50" s="957" t="s">
        <v>1214</v>
      </c>
      <c r="X50" s="956" t="s">
        <v>1189</v>
      </c>
      <c r="Y50" s="957" t="s">
        <v>340</v>
      </c>
      <c r="Z50" s="1120"/>
      <c r="AA50" s="1120"/>
      <c r="AB50" s="1114"/>
      <c r="AC50" s="1114"/>
      <c r="AD50" s="1114"/>
      <c r="AE50" s="1120"/>
      <c r="AF50" s="1120"/>
      <c r="AG50" s="1111" t="s">
        <v>1214</v>
      </c>
      <c r="AH50" s="1113"/>
    </row>
    <row r="51" spans="1:34" x14ac:dyDescent="0.2">
      <c r="A51" s="1314"/>
      <c r="B51" s="57"/>
      <c r="C51" s="57"/>
      <c r="D51" s="57"/>
      <c r="E51" s="57"/>
      <c r="F51" s="57"/>
      <c r="G51" s="57"/>
      <c r="H51" s="57"/>
      <c r="I51" s="57"/>
      <c r="J51" s="57"/>
      <c r="K51" s="57"/>
      <c r="L51" s="57"/>
      <c r="M51" s="57"/>
      <c r="N51" s="57"/>
      <c r="O51" s="57"/>
      <c r="V51" s="956" t="s">
        <v>1215</v>
      </c>
      <c r="W51" s="957" t="s">
        <v>1215</v>
      </c>
      <c r="X51" s="956" t="s">
        <v>1189</v>
      </c>
      <c r="Y51" s="957" t="s">
        <v>341</v>
      </c>
      <c r="Z51" s="1120"/>
      <c r="AA51" s="1120"/>
      <c r="AB51" s="1114"/>
      <c r="AC51" s="1114"/>
      <c r="AD51" s="1114"/>
      <c r="AE51" s="1120"/>
      <c r="AF51" s="1120"/>
      <c r="AG51" s="1111" t="s">
        <v>1215</v>
      </c>
      <c r="AH51" s="1113"/>
    </row>
    <row r="52" spans="1:34" x14ac:dyDescent="0.2">
      <c r="A52" s="1314"/>
      <c r="B52" s="57"/>
      <c r="C52" s="57"/>
      <c r="D52" s="57"/>
      <c r="E52" s="57"/>
      <c r="F52" s="57"/>
      <c r="G52" s="57"/>
      <c r="H52" s="57"/>
      <c r="I52" s="57"/>
      <c r="J52" s="57"/>
      <c r="K52" s="57"/>
      <c r="L52" s="57"/>
      <c r="M52" s="57"/>
      <c r="N52" s="57"/>
      <c r="O52" s="57"/>
      <c r="V52" s="956" t="s">
        <v>1216</v>
      </c>
      <c r="W52" s="957" t="s">
        <v>1216</v>
      </c>
      <c r="X52" s="956" t="s">
        <v>1189</v>
      </c>
      <c r="Y52" s="957" t="s">
        <v>342</v>
      </c>
      <c r="Z52" s="1120"/>
      <c r="AA52" s="1120"/>
      <c r="AB52" s="1114"/>
      <c r="AC52" s="1114"/>
      <c r="AD52" s="1114"/>
      <c r="AE52" s="1120"/>
      <c r="AF52" s="1120"/>
      <c r="AG52" s="1111" t="s">
        <v>1216</v>
      </c>
      <c r="AH52" s="1113"/>
    </row>
    <row r="53" spans="1:34" x14ac:dyDescent="0.2">
      <c r="A53" s="1314"/>
      <c r="B53" s="57"/>
      <c r="C53" s="57"/>
      <c r="D53" s="57"/>
      <c r="E53" s="57"/>
      <c r="F53" s="57"/>
      <c r="G53" s="57"/>
      <c r="H53" s="57"/>
      <c r="I53" s="57"/>
      <c r="J53" s="57"/>
      <c r="K53" s="57"/>
      <c r="L53" s="57"/>
      <c r="M53" s="57"/>
      <c r="N53" s="57"/>
      <c r="O53" s="57"/>
      <c r="V53" s="956" t="s">
        <v>1217</v>
      </c>
      <c r="W53" s="957" t="s">
        <v>1217</v>
      </c>
      <c r="X53" s="956" t="s">
        <v>1189</v>
      </c>
      <c r="Y53" s="957" t="s">
        <v>343</v>
      </c>
      <c r="Z53" s="1120"/>
      <c r="AA53" s="1120"/>
      <c r="AB53" s="1114"/>
      <c r="AC53" s="1114"/>
      <c r="AD53" s="1114"/>
      <c r="AE53" s="1120"/>
      <c r="AF53" s="1120"/>
      <c r="AG53" s="1111" t="s">
        <v>1217</v>
      </c>
      <c r="AH53" s="1113"/>
    </row>
    <row r="54" spans="1:34" x14ac:dyDescent="0.2">
      <c r="A54" s="1314"/>
      <c r="B54" s="57"/>
      <c r="C54" s="57"/>
      <c r="D54" s="57"/>
      <c r="E54" s="57"/>
      <c r="F54" s="57"/>
      <c r="G54" s="57"/>
      <c r="H54" s="57"/>
      <c r="I54" s="57"/>
      <c r="J54" s="57"/>
      <c r="K54" s="57"/>
      <c r="L54" s="57"/>
      <c r="M54" s="57"/>
      <c r="N54" s="57"/>
      <c r="O54" s="57"/>
      <c r="V54" s="956" t="s">
        <v>1218</v>
      </c>
      <c r="W54" s="957" t="s">
        <v>1218</v>
      </c>
      <c r="X54" s="956" t="s">
        <v>1189</v>
      </c>
      <c r="Y54" s="957" t="s">
        <v>344</v>
      </c>
      <c r="Z54" s="1120"/>
      <c r="AA54" s="1120"/>
      <c r="AB54" s="1114"/>
      <c r="AC54" s="1114"/>
      <c r="AD54" s="1114"/>
      <c r="AE54" s="1120"/>
      <c r="AF54" s="1120"/>
      <c r="AG54" s="1111" t="s">
        <v>1218</v>
      </c>
      <c r="AH54" s="1113"/>
    </row>
    <row r="55" spans="1:34" x14ac:dyDescent="0.2">
      <c r="V55" s="956" t="s">
        <v>1219</v>
      </c>
      <c r="W55" s="957" t="s">
        <v>1219</v>
      </c>
      <c r="X55" s="956" t="s">
        <v>1189</v>
      </c>
      <c r="Y55" s="957" t="s">
        <v>345</v>
      </c>
      <c r="Z55" s="1120"/>
      <c r="AA55" s="1120"/>
      <c r="AB55" s="1114"/>
      <c r="AC55" s="1114"/>
      <c r="AD55" s="1114"/>
      <c r="AE55" s="1120"/>
      <c r="AF55" s="1120"/>
      <c r="AG55" s="1111" t="s">
        <v>1219</v>
      </c>
      <c r="AH55" s="1113"/>
    </row>
    <row r="56" spans="1:34" x14ac:dyDescent="0.2">
      <c r="V56" s="956" t="s">
        <v>1220</v>
      </c>
      <c r="W56" s="957" t="s">
        <v>1220</v>
      </c>
      <c r="X56" s="956" t="s">
        <v>1189</v>
      </c>
      <c r="Y56" s="957" t="s">
        <v>346</v>
      </c>
      <c r="Z56" s="1120"/>
      <c r="AA56" s="1120"/>
      <c r="AB56" s="1114"/>
      <c r="AC56" s="1114"/>
      <c r="AD56" s="1114"/>
      <c r="AE56" s="1120"/>
      <c r="AF56" s="1120"/>
      <c r="AG56" s="1111" t="s">
        <v>1220</v>
      </c>
      <c r="AH56" s="1113"/>
    </row>
    <row r="57" spans="1:34" x14ac:dyDescent="0.2">
      <c r="V57" s="956" t="s">
        <v>1903</v>
      </c>
      <c r="W57" s="957" t="s">
        <v>188</v>
      </c>
      <c r="X57" s="956" t="s">
        <v>572</v>
      </c>
      <c r="Y57" s="957" t="s">
        <v>347</v>
      </c>
      <c r="Z57" s="1120"/>
      <c r="AA57" s="1120"/>
      <c r="AB57" s="1114"/>
      <c r="AC57" s="1114"/>
      <c r="AD57" s="1114"/>
      <c r="AE57" s="1120"/>
      <c r="AF57" s="1120"/>
      <c r="AG57" s="1111" t="s">
        <v>4663</v>
      </c>
      <c r="AH57" s="1113"/>
    </row>
    <row r="58" spans="1:34" x14ac:dyDescent="0.2">
      <c r="V58" s="956" t="s">
        <v>1904</v>
      </c>
      <c r="W58" s="957" t="s">
        <v>189</v>
      </c>
      <c r="X58" s="956" t="s">
        <v>572</v>
      </c>
      <c r="Y58" s="957" t="s">
        <v>348</v>
      </c>
      <c r="Z58" s="1120"/>
      <c r="AA58" s="1120"/>
      <c r="AB58" s="1114"/>
      <c r="AC58" s="1114"/>
      <c r="AD58" s="1114"/>
      <c r="AE58" s="1120"/>
      <c r="AF58" s="1120"/>
      <c r="AG58" s="1111" t="s">
        <v>4664</v>
      </c>
      <c r="AH58" s="1113"/>
    </row>
    <row ht="146.25" r="59" spans="1:34" x14ac:dyDescent="0.2">
      <c r="V59" s="956" t="s">
        <v>1905</v>
      </c>
      <c r="W59" s="957" t="s">
        <v>190</v>
      </c>
      <c r="X59" s="956" t="s">
        <v>572</v>
      </c>
      <c r="Y59" s="957" t="s">
        <v>349</v>
      </c>
      <c r="Z59" s="1120"/>
      <c r="AA59" s="1120"/>
      <c r="AB59" s="1114" t="s">
        <v>4665</v>
      </c>
      <c r="AC59" s="1114" t="s">
        <v>4665</v>
      </c>
      <c r="AD59" s="1114" t="s">
        <v>4629</v>
      </c>
      <c r="AE59" s="1120"/>
      <c r="AF59" s="1120"/>
      <c r="AG59" s="1111" t="s">
        <v>4666</v>
      </c>
      <c r="AH59" s="1122" t="s">
        <v>4667</v>
      </c>
    </row>
    <row ht="45" r="60" spans="1:34" x14ac:dyDescent="0.2">
      <c r="V60" s="956" t="s">
        <v>1906</v>
      </c>
      <c r="W60" s="957" t="s">
        <v>191</v>
      </c>
      <c r="X60" s="956" t="s">
        <v>572</v>
      </c>
      <c r="Y60" s="957" t="s">
        <v>350</v>
      </c>
      <c r="Z60" s="1120"/>
      <c r="AA60" s="1120"/>
      <c r="AB60" s="1121">
        <v>0.1</v>
      </c>
      <c r="AC60" s="1114" t="s">
        <v>4629</v>
      </c>
      <c r="AD60" s="1114" t="s">
        <v>4629</v>
      </c>
      <c r="AE60" s="1120"/>
      <c r="AF60" s="1120"/>
      <c r="AG60" s="1111" t="s">
        <v>4668</v>
      </c>
      <c r="AH60" s="1122" t="s">
        <v>4669</v>
      </c>
    </row>
    <row ht="33.75" r="61" spans="1:34" x14ac:dyDescent="0.2">
      <c r="V61" s="956" t="s">
        <v>1907</v>
      </c>
      <c r="W61" s="957" t="s">
        <v>192</v>
      </c>
      <c r="X61" s="956" t="s">
        <v>572</v>
      </c>
      <c r="Y61" s="957" t="s">
        <v>351</v>
      </c>
      <c r="Z61" s="1120"/>
      <c r="AA61" s="1120"/>
      <c r="AB61" s="1115">
        <v>0</v>
      </c>
      <c r="AC61" s="1121">
        <v>0.15</v>
      </c>
      <c r="AD61" s="1121"/>
      <c r="AE61" s="1120"/>
      <c r="AF61" s="1120"/>
      <c r="AG61" s="1111" t="s">
        <v>4670</v>
      </c>
      <c r="AH61" s="1122" t="s">
        <v>4671</v>
      </c>
    </row>
    <row ht="281.25" r="62" spans="1:34" x14ac:dyDescent="0.2">
      <c r="V62" s="956" t="s">
        <v>1908</v>
      </c>
      <c r="W62" s="957" t="s">
        <v>193</v>
      </c>
      <c r="X62" s="956" t="s">
        <v>572</v>
      </c>
      <c r="Y62" s="957" t="s">
        <v>352</v>
      </c>
      <c r="Z62" s="1120"/>
      <c r="AA62" s="1120"/>
      <c r="AB62" s="1114" t="s">
        <v>4672</v>
      </c>
      <c r="AC62" s="1114" t="s">
        <v>4673</v>
      </c>
      <c r="AD62" s="1114"/>
      <c r="AE62" s="1120"/>
      <c r="AF62" s="1120"/>
      <c r="AG62" s="1111" t="s">
        <v>4674</v>
      </c>
      <c r="AH62" s="1122" t="s">
        <v>4675</v>
      </c>
    </row>
    <row r="63" spans="1:34" x14ac:dyDescent="0.2">
      <c r="V63" s="956" t="s">
        <v>1221</v>
      </c>
      <c r="W63" s="957" t="s">
        <v>1221</v>
      </c>
      <c r="X63" s="956" t="s">
        <v>1189</v>
      </c>
      <c r="Y63" s="957" t="s">
        <v>353</v>
      </c>
      <c r="Z63" s="1120"/>
      <c r="AA63" s="1120"/>
      <c r="AB63" s="1114"/>
      <c r="AC63" s="1114"/>
      <c r="AD63" s="1114"/>
      <c r="AE63" s="1120"/>
      <c r="AF63" s="1120"/>
      <c r="AG63" s="1111" t="s">
        <v>1221</v>
      </c>
      <c r="AH63" s="1122"/>
    </row>
    <row r="64" spans="1:34" x14ac:dyDescent="0.2">
      <c r="V64" s="956" t="s">
        <v>1222</v>
      </c>
      <c r="W64" s="957" t="s">
        <v>1222</v>
      </c>
      <c r="X64" s="956" t="s">
        <v>1189</v>
      </c>
      <c r="Y64" s="957" t="s">
        <v>354</v>
      </c>
      <c r="Z64" s="1120"/>
      <c r="AA64" s="1120"/>
      <c r="AB64" s="1114"/>
      <c r="AC64" s="1114"/>
      <c r="AD64" s="1114"/>
      <c r="AE64" s="1120"/>
      <c r="AF64" s="1120"/>
      <c r="AG64" s="1111" t="s">
        <v>1222</v>
      </c>
      <c r="AH64" s="1122"/>
    </row>
    <row r="65" spans="22:34" x14ac:dyDescent="0.2">
      <c r="V65" s="956" t="s">
        <v>2755</v>
      </c>
      <c r="W65" s="957" t="s">
        <v>194</v>
      </c>
      <c r="X65" s="956" t="s">
        <v>572</v>
      </c>
      <c r="Y65" s="957" t="s">
        <v>355</v>
      </c>
      <c r="Z65" s="1120"/>
      <c r="AA65" s="1120"/>
      <c r="AB65" s="1115">
        <v>0</v>
      </c>
      <c r="AC65" s="1121">
        <v>0.15</v>
      </c>
      <c r="AD65" s="1121"/>
      <c r="AE65" s="1120"/>
      <c r="AF65" s="1120"/>
      <c r="AG65" s="1111" t="s">
        <v>4676</v>
      </c>
      <c r="AH65" s="1122"/>
    </row>
    <row r="66" spans="22:34" x14ac:dyDescent="0.2">
      <c r="V66" s="956" t="s">
        <v>1223</v>
      </c>
      <c r="W66" s="957" t="s">
        <v>1223</v>
      </c>
      <c r="X66" s="956" t="s">
        <v>1189</v>
      </c>
      <c r="Y66" s="957" t="s">
        <v>356</v>
      </c>
      <c r="Z66" s="1120"/>
      <c r="AA66" s="1120"/>
      <c r="AB66" s="1114"/>
      <c r="AC66" s="1114"/>
      <c r="AD66" s="1114"/>
      <c r="AE66" s="1120"/>
      <c r="AF66" s="1120"/>
      <c r="AG66" s="1111" t="s">
        <v>1223</v>
      </c>
      <c r="AH66" s="1122"/>
    </row>
    <row r="67" spans="22:34" x14ac:dyDescent="0.2">
      <c r="V67" s="956" t="s">
        <v>1224</v>
      </c>
      <c r="W67" s="957" t="s">
        <v>1224</v>
      </c>
      <c r="X67" s="956" t="s">
        <v>1189</v>
      </c>
      <c r="Y67" s="957" t="s">
        <v>357</v>
      </c>
      <c r="Z67" s="1120"/>
      <c r="AA67" s="1120"/>
      <c r="AB67" s="1114"/>
      <c r="AC67" s="1114"/>
      <c r="AD67" s="1114"/>
      <c r="AE67" s="1120"/>
      <c r="AF67" s="1120"/>
      <c r="AG67" s="1111" t="s">
        <v>1224</v>
      </c>
      <c r="AH67" s="1122"/>
    </row>
    <row r="68" spans="22:34" x14ac:dyDescent="0.2">
      <c r="V68" s="956" t="s">
        <v>1225</v>
      </c>
      <c r="W68" s="957" t="s">
        <v>1225</v>
      </c>
      <c r="X68" s="956" t="s">
        <v>1189</v>
      </c>
      <c r="Y68" s="957" t="s">
        <v>358</v>
      </c>
      <c r="Z68" s="1120"/>
      <c r="AA68" s="1120"/>
      <c r="AB68" s="1114"/>
      <c r="AC68" s="1114"/>
      <c r="AD68" s="1114"/>
      <c r="AE68" s="1120"/>
      <c r="AF68" s="1120"/>
      <c r="AG68" s="1111" t="s">
        <v>1225</v>
      </c>
      <c r="AH68" s="1122"/>
    </row>
    <row ht="56.25" r="69" spans="22:34" x14ac:dyDescent="0.2">
      <c r="V69" s="956" t="s">
        <v>1909</v>
      </c>
      <c r="W69" s="957" t="s">
        <v>195</v>
      </c>
      <c r="X69" s="956" t="s">
        <v>572</v>
      </c>
      <c r="Y69" s="957" t="s">
        <v>359</v>
      </c>
      <c r="Z69" s="1120"/>
      <c r="AA69" s="1120"/>
      <c r="AB69" s="1114" t="s">
        <v>4631</v>
      </c>
      <c r="AC69" s="1121">
        <v>0.2</v>
      </c>
      <c r="AD69" s="1121"/>
      <c r="AE69" s="1120"/>
      <c r="AF69" s="1120"/>
      <c r="AG69" s="1111" t="s">
        <v>4677</v>
      </c>
      <c r="AH69" s="1122" t="s">
        <v>4678</v>
      </c>
    </row>
    <row r="70" spans="22:34" x14ac:dyDescent="0.2">
      <c r="V70" s="956" t="s">
        <v>1226</v>
      </c>
      <c r="W70" s="957" t="s">
        <v>1226</v>
      </c>
      <c r="X70" s="956" t="s">
        <v>1189</v>
      </c>
      <c r="Y70" s="957" t="s">
        <v>360</v>
      </c>
      <c r="Z70" s="1120"/>
      <c r="AA70" s="1120"/>
      <c r="AB70" s="1114"/>
      <c r="AC70" s="1114"/>
      <c r="AD70" s="1114"/>
      <c r="AE70" s="1120"/>
      <c r="AF70" s="1120"/>
      <c r="AG70" s="1111" t="s">
        <v>1226</v>
      </c>
      <c r="AH70" s="1122"/>
    </row>
    <row r="71" spans="22:34" x14ac:dyDescent="0.2">
      <c r="V71" s="956" t="s">
        <v>1910</v>
      </c>
      <c r="W71" s="957" t="s">
        <v>196</v>
      </c>
      <c r="X71" s="956" t="s">
        <v>572</v>
      </c>
      <c r="Y71" s="957" t="s">
        <v>361</v>
      </c>
      <c r="Z71" s="1120"/>
      <c r="AA71" s="1120"/>
      <c r="AB71" s="1121">
        <v>0.12</v>
      </c>
      <c r="AC71" s="1121">
        <v>0.15</v>
      </c>
      <c r="AD71" s="1121"/>
      <c r="AE71" s="1120"/>
      <c r="AF71" s="1120"/>
      <c r="AG71" s="1111" t="s">
        <v>4679</v>
      </c>
      <c r="AH71" s="1122"/>
    </row>
    <row ht="180" r="72" spans="22:34" x14ac:dyDescent="0.2">
      <c r="V72" s="956" t="s">
        <v>1911</v>
      </c>
      <c r="W72" s="957" t="s">
        <v>197</v>
      </c>
      <c r="X72" s="956" t="s">
        <v>572</v>
      </c>
      <c r="Y72" s="957" t="s">
        <v>362</v>
      </c>
      <c r="Z72" s="1120"/>
      <c r="AA72" s="1120"/>
      <c r="AB72" s="1114" t="s">
        <v>4653</v>
      </c>
      <c r="AC72" s="1121">
        <v>0.15</v>
      </c>
      <c r="AD72" s="1121"/>
      <c r="AE72" s="1120"/>
      <c r="AF72" s="1120"/>
      <c r="AG72" s="1111" t="s">
        <v>4680</v>
      </c>
      <c r="AH72" s="1122" t="s">
        <v>4681</v>
      </c>
    </row>
    <row ht="135" r="73" spans="22:34" x14ac:dyDescent="0.2">
      <c r="V73" s="956" t="s">
        <v>1912</v>
      </c>
      <c r="W73" s="957" t="s">
        <v>2498</v>
      </c>
      <c r="X73" s="956" t="s">
        <v>572</v>
      </c>
      <c r="Y73" s="957" t="s">
        <v>363</v>
      </c>
      <c r="Z73" s="1120"/>
      <c r="AA73" s="1120"/>
      <c r="AB73" s="1121">
        <v>0.05</v>
      </c>
      <c r="AC73" s="1121">
        <v>0.1</v>
      </c>
      <c r="AD73" s="1121"/>
      <c r="AE73" s="1120"/>
      <c r="AF73" s="1120"/>
      <c r="AG73" s="1111" t="s">
        <v>4682</v>
      </c>
      <c r="AH73" s="1122" t="s">
        <v>4683</v>
      </c>
    </row>
    <row r="74" spans="22:34" x14ac:dyDescent="0.2">
      <c r="V74" s="956" t="s">
        <v>908</v>
      </c>
      <c r="W74" s="957" t="s">
        <v>198</v>
      </c>
      <c r="X74" s="956" t="s">
        <v>572</v>
      </c>
      <c r="Y74" s="957" t="s">
        <v>364</v>
      </c>
      <c r="Z74" s="1120"/>
      <c r="AA74" s="1120"/>
      <c r="AB74" s="1115">
        <v>0</v>
      </c>
      <c r="AC74" s="1121">
        <v>0</v>
      </c>
      <c r="AD74" s="1121"/>
      <c r="AE74" s="1120"/>
      <c r="AF74" s="1120"/>
      <c r="AG74" s="1111" t="s">
        <v>4684</v>
      </c>
      <c r="AH74" s="1122"/>
    </row>
    <row ht="78.75" r="75" spans="22:34" x14ac:dyDescent="0.2">
      <c r="V75" s="956" t="s">
        <v>1913</v>
      </c>
      <c r="W75" s="957" t="s">
        <v>199</v>
      </c>
      <c r="X75" s="956" t="s">
        <v>572</v>
      </c>
      <c r="Y75" s="957" t="s">
        <v>365</v>
      </c>
      <c r="Z75" s="1120"/>
      <c r="AA75" s="1120"/>
      <c r="AB75" s="1121">
        <v>0.1</v>
      </c>
      <c r="AC75" s="1121">
        <v>0.15</v>
      </c>
      <c r="AD75" s="1121"/>
      <c r="AE75" s="1120"/>
      <c r="AF75" s="1120"/>
      <c r="AG75" s="1111" t="s">
        <v>4685</v>
      </c>
      <c r="AH75" s="1122" t="s">
        <v>4686</v>
      </c>
    </row>
    <row ht="146.25" r="76" spans="22:34" x14ac:dyDescent="0.2">
      <c r="V76" s="956" t="s">
        <v>1914</v>
      </c>
      <c r="W76" s="957" t="s">
        <v>200</v>
      </c>
      <c r="X76" s="956" t="s">
        <v>572</v>
      </c>
      <c r="Y76" s="957" t="s">
        <v>366</v>
      </c>
      <c r="Z76" s="1120"/>
      <c r="AA76" s="1120"/>
      <c r="AB76" s="1114" t="s">
        <v>4687</v>
      </c>
      <c r="AC76" s="1114" t="s">
        <v>4688</v>
      </c>
      <c r="AD76" s="1114"/>
      <c r="AE76" s="1120"/>
      <c r="AF76" s="1120"/>
      <c r="AG76" s="1111" t="s">
        <v>4689</v>
      </c>
      <c r="AH76" s="1122" t="s">
        <v>4690</v>
      </c>
    </row>
    <row r="77" spans="22:34" x14ac:dyDescent="0.2">
      <c r="V77" s="956" t="s">
        <v>2789</v>
      </c>
      <c r="W77" s="957" t="s">
        <v>201</v>
      </c>
      <c r="X77" s="956" t="s">
        <v>572</v>
      </c>
      <c r="Y77" s="957" t="s">
        <v>367</v>
      </c>
      <c r="Z77" s="1120"/>
      <c r="AA77" s="1120"/>
      <c r="AB77" s="1115">
        <v>0</v>
      </c>
      <c r="AC77" s="1121">
        <v>0.15</v>
      </c>
      <c r="AD77" s="1121"/>
      <c r="AE77" s="1120"/>
      <c r="AF77" s="1120"/>
      <c r="AG77" s="1111" t="s">
        <v>4691</v>
      </c>
      <c r="AH77" s="1122"/>
    </row>
    <row ht="112.5" r="78" spans="22:34" x14ac:dyDescent="0.2">
      <c r="V78" s="956" t="s">
        <v>1915</v>
      </c>
      <c r="W78" s="957" t="s">
        <v>202</v>
      </c>
      <c r="X78" s="956" t="s">
        <v>572</v>
      </c>
      <c r="Y78" s="957" t="s">
        <v>368</v>
      </c>
      <c r="Z78" s="1120"/>
      <c r="AA78" s="1120"/>
      <c r="AB78" s="1115">
        <v>0</v>
      </c>
      <c r="AC78" s="1121">
        <v>0.15</v>
      </c>
      <c r="AD78" s="1121"/>
      <c r="AE78" s="1120"/>
      <c r="AF78" s="1120"/>
      <c r="AG78" s="1111" t="s">
        <v>4692</v>
      </c>
      <c r="AH78" s="1122" t="s">
        <v>4693</v>
      </c>
    </row>
    <row r="79" spans="22:34" x14ac:dyDescent="0.2">
      <c r="V79" s="956" t="s">
        <v>1227</v>
      </c>
      <c r="W79" s="957" t="s">
        <v>1227</v>
      </c>
      <c r="X79" s="956" t="s">
        <v>1189</v>
      </c>
      <c r="Y79" s="957" t="s">
        <v>369</v>
      </c>
      <c r="Z79" s="1120"/>
      <c r="AA79" s="1120"/>
      <c r="AB79" s="1114"/>
      <c r="AC79" s="1114"/>
      <c r="AD79" s="1114"/>
      <c r="AE79" s="1120"/>
      <c r="AF79" s="1120"/>
      <c r="AG79" s="1111" t="s">
        <v>1227</v>
      </c>
      <c r="AH79" s="1122"/>
    </row>
    <row r="80" spans="22:34" x14ac:dyDescent="0.2">
      <c r="V80" s="956" t="s">
        <v>1228</v>
      </c>
      <c r="W80" s="957" t="s">
        <v>1228</v>
      </c>
      <c r="X80" s="956" t="s">
        <v>1189</v>
      </c>
      <c r="Y80" s="957" t="s">
        <v>370</v>
      </c>
      <c r="Z80" s="1120"/>
      <c r="AA80" s="1120"/>
      <c r="AB80" s="1114"/>
      <c r="AC80" s="1114"/>
      <c r="AD80" s="1114"/>
      <c r="AE80" s="1120"/>
      <c r="AF80" s="1120"/>
      <c r="AG80" s="1111" t="s">
        <v>1228</v>
      </c>
      <c r="AH80" s="1122"/>
    </row>
    <row r="81" spans="22:34" x14ac:dyDescent="0.2">
      <c r="V81" s="956" t="s">
        <v>1229</v>
      </c>
      <c r="W81" s="957" t="s">
        <v>1229</v>
      </c>
      <c r="X81" s="956" t="s">
        <v>1189</v>
      </c>
      <c r="Y81" s="957" t="s">
        <v>371</v>
      </c>
      <c r="Z81" s="1120"/>
      <c r="AA81" s="1120"/>
      <c r="AB81" s="1114"/>
      <c r="AC81" s="1114"/>
      <c r="AD81" s="1114"/>
      <c r="AE81" s="1120"/>
      <c r="AF81" s="1120"/>
      <c r="AG81" s="1111" t="s">
        <v>1229</v>
      </c>
      <c r="AH81" s="1122"/>
    </row>
    <row r="82" spans="22:34" x14ac:dyDescent="0.2">
      <c r="V82" s="956" t="s">
        <v>1916</v>
      </c>
      <c r="W82" s="957" t="s">
        <v>203</v>
      </c>
      <c r="X82" s="956" t="s">
        <v>572</v>
      </c>
      <c r="Y82" s="957" t="s">
        <v>372</v>
      </c>
      <c r="Z82" s="1120"/>
      <c r="AA82" s="1120"/>
      <c r="AB82" s="1115">
        <v>0</v>
      </c>
      <c r="AC82" s="1121">
        <v>0.1</v>
      </c>
      <c r="AD82" s="1121"/>
      <c r="AE82" s="1120"/>
      <c r="AF82" s="1120"/>
      <c r="AG82" s="1111" t="s">
        <v>4694</v>
      </c>
      <c r="AH82" s="1122"/>
    </row>
    <row r="83" spans="22:34" x14ac:dyDescent="0.2">
      <c r="V83" s="956" t="s">
        <v>1917</v>
      </c>
      <c r="W83" s="957" t="s">
        <v>204</v>
      </c>
      <c r="X83" s="956" t="s">
        <v>572</v>
      </c>
      <c r="Y83" s="957" t="s">
        <v>373</v>
      </c>
      <c r="Z83" s="1120"/>
      <c r="AA83" s="1120"/>
      <c r="AB83" s="1114" t="s">
        <v>4628</v>
      </c>
      <c r="AC83" s="1114" t="s">
        <v>4629</v>
      </c>
      <c r="AD83" s="1114" t="s">
        <v>4629</v>
      </c>
      <c r="AE83" s="1120"/>
      <c r="AF83" s="1120"/>
      <c r="AG83" s="1111" t="s">
        <v>4695</v>
      </c>
      <c r="AH83" s="1122"/>
    </row>
    <row r="84" spans="22:34" x14ac:dyDescent="0.2">
      <c r="V84" s="956" t="s">
        <v>1918</v>
      </c>
      <c r="W84" s="957" t="s">
        <v>205</v>
      </c>
      <c r="X84" s="956" t="s">
        <v>572</v>
      </c>
      <c r="Y84" s="957" t="s">
        <v>374</v>
      </c>
      <c r="Z84" s="1120"/>
      <c r="AA84" s="1120"/>
      <c r="AB84" s="1123" t="s">
        <v>4696</v>
      </c>
      <c r="AC84" s="1121">
        <v>0.15</v>
      </c>
      <c r="AD84" s="1121"/>
      <c r="AE84" s="1120"/>
      <c r="AF84" s="1120"/>
      <c r="AG84" s="1111" t="s">
        <v>4697</v>
      </c>
      <c r="AH84" s="1122"/>
    </row>
    <row r="85" spans="22:34" x14ac:dyDescent="0.2">
      <c r="V85" s="956" t="s">
        <v>1230</v>
      </c>
      <c r="W85" s="957" t="s">
        <v>1230</v>
      </c>
      <c r="X85" s="956" t="s">
        <v>1189</v>
      </c>
      <c r="Y85" s="957" t="s">
        <v>375</v>
      </c>
      <c r="Z85" s="1120"/>
      <c r="AA85" s="1120"/>
      <c r="AB85" s="1114"/>
      <c r="AC85" s="1114"/>
      <c r="AD85" s="1114"/>
      <c r="AE85" s="1120"/>
      <c r="AF85" s="1120"/>
      <c r="AG85" s="1111" t="s">
        <v>1230</v>
      </c>
      <c r="AH85" s="1122"/>
    </row>
    <row r="86" spans="22:34" x14ac:dyDescent="0.2">
      <c r="V86" s="956" t="s">
        <v>1231</v>
      </c>
      <c r="W86" s="957" t="s">
        <v>1231</v>
      </c>
      <c r="X86" s="956" t="s">
        <v>1189</v>
      </c>
      <c r="Y86" s="957" t="s">
        <v>376</v>
      </c>
      <c r="Z86" s="1120"/>
      <c r="AA86" s="1120"/>
      <c r="AB86" s="1114"/>
      <c r="AC86" s="1114"/>
      <c r="AD86" s="1114"/>
      <c r="AE86" s="1120"/>
      <c r="AF86" s="1120"/>
      <c r="AG86" s="1111" t="s">
        <v>1231</v>
      </c>
      <c r="AH86" s="1122"/>
    </row>
    <row r="87" spans="22:34" x14ac:dyDescent="0.2">
      <c r="V87" s="956" t="s">
        <v>1919</v>
      </c>
      <c r="W87" s="957" t="s">
        <v>206</v>
      </c>
      <c r="X87" s="956" t="s">
        <v>572</v>
      </c>
      <c r="Y87" s="957" t="s">
        <v>377</v>
      </c>
      <c r="Z87" s="1120"/>
      <c r="AA87" s="1120"/>
      <c r="AB87" s="1114"/>
      <c r="AC87" s="1114"/>
      <c r="AD87" s="1114"/>
      <c r="AE87" s="1120"/>
      <c r="AF87" s="1120"/>
      <c r="AG87" s="1111" t="s">
        <v>4698</v>
      </c>
      <c r="AH87" s="1122"/>
    </row>
    <row r="88" spans="22:34" x14ac:dyDescent="0.2">
      <c r="V88" s="956" t="s">
        <v>1920</v>
      </c>
      <c r="W88" s="957" t="s">
        <v>207</v>
      </c>
      <c r="X88" s="956" t="s">
        <v>572</v>
      </c>
      <c r="Y88" s="957" t="s">
        <v>378</v>
      </c>
      <c r="Z88" s="1120"/>
      <c r="AA88" s="1120"/>
      <c r="AB88" s="1121" t="s">
        <v>4647</v>
      </c>
      <c r="AC88" s="1114" t="s">
        <v>4629</v>
      </c>
      <c r="AD88" s="1114"/>
      <c r="AE88" s="1120"/>
      <c r="AF88" s="1120"/>
      <c r="AG88" s="1111" t="s">
        <v>4699</v>
      </c>
      <c r="AH88" s="1122"/>
    </row>
    <row r="89" spans="22:34" x14ac:dyDescent="0.2">
      <c r="V89" s="956" t="s">
        <v>1232</v>
      </c>
      <c r="W89" s="957" t="s">
        <v>1232</v>
      </c>
      <c r="X89" s="956" t="s">
        <v>1189</v>
      </c>
      <c r="Y89" s="957" t="s">
        <v>379</v>
      </c>
      <c r="Z89" s="1120"/>
      <c r="AA89" s="1120"/>
      <c r="AB89" s="1114"/>
      <c r="AC89" s="1114"/>
      <c r="AD89" s="1114"/>
      <c r="AE89" s="1120"/>
      <c r="AF89" s="1120"/>
      <c r="AG89" s="1111" t="s">
        <v>1232</v>
      </c>
      <c r="AH89" s="1122"/>
    </row>
    <row r="90" spans="22:34" x14ac:dyDescent="0.2">
      <c r="V90" s="956" t="s">
        <v>1233</v>
      </c>
      <c r="W90" s="957" t="s">
        <v>1233</v>
      </c>
      <c r="X90" s="956" t="s">
        <v>1189</v>
      </c>
      <c r="Y90" s="957" t="s">
        <v>380</v>
      </c>
      <c r="Z90" s="1120"/>
      <c r="AA90" s="1120"/>
      <c r="AB90" s="1114"/>
      <c r="AC90" s="1114"/>
      <c r="AD90" s="1114"/>
      <c r="AE90" s="1120"/>
      <c r="AF90" s="1120"/>
      <c r="AG90" s="1111" t="s">
        <v>1233</v>
      </c>
      <c r="AH90" s="1122"/>
    </row>
    <row r="91" spans="22:34" x14ac:dyDescent="0.2">
      <c r="V91" s="956" t="s">
        <v>1921</v>
      </c>
      <c r="W91" s="957" t="s">
        <v>208</v>
      </c>
      <c r="X91" s="956" t="s">
        <v>572</v>
      </c>
      <c r="Y91" s="957" t="s">
        <v>381</v>
      </c>
      <c r="Z91" s="1120"/>
      <c r="AA91" s="1120"/>
      <c r="AB91" s="1114" t="s">
        <v>4648</v>
      </c>
      <c r="AC91" s="1114" t="s">
        <v>4628</v>
      </c>
      <c r="AD91" s="1114"/>
      <c r="AE91" s="1120"/>
      <c r="AF91" s="1120"/>
      <c r="AG91" s="1111" t="s">
        <v>4700</v>
      </c>
      <c r="AH91" s="1122"/>
    </row>
    <row r="92" spans="22:34" x14ac:dyDescent="0.2">
      <c r="V92" s="956" t="s">
        <v>1922</v>
      </c>
      <c r="W92" s="957" t="s">
        <v>209</v>
      </c>
      <c r="X92" s="956" t="s">
        <v>572</v>
      </c>
      <c r="Y92" s="957" t="s">
        <v>382</v>
      </c>
      <c r="Z92" s="1120"/>
      <c r="AA92" s="1120"/>
      <c r="AB92" s="1114" t="s">
        <v>4628</v>
      </c>
      <c r="AC92" s="1114" t="s">
        <v>4648</v>
      </c>
      <c r="AD92" s="1114" t="s">
        <v>4648</v>
      </c>
      <c r="AE92" s="1120"/>
      <c r="AF92" s="1120"/>
      <c r="AG92" s="1111" t="s">
        <v>4701</v>
      </c>
      <c r="AH92" s="1122"/>
    </row>
    <row r="93" spans="22:34" x14ac:dyDescent="0.2">
      <c r="V93" s="956" t="s">
        <v>1234</v>
      </c>
      <c r="W93" s="957" t="s">
        <v>1234</v>
      </c>
      <c r="X93" s="956" t="s">
        <v>1189</v>
      </c>
      <c r="Y93" s="957" t="s">
        <v>383</v>
      </c>
      <c r="Z93" s="1120"/>
      <c r="AA93" s="1120"/>
      <c r="AB93" s="1114"/>
      <c r="AC93" s="1114"/>
      <c r="AD93" s="1114"/>
      <c r="AE93" s="1120"/>
      <c r="AF93" s="1120"/>
      <c r="AG93" s="1111" t="s">
        <v>1234</v>
      </c>
      <c r="AH93" s="1122"/>
    </row>
    <row r="94" spans="22:34" x14ac:dyDescent="0.2">
      <c r="V94" s="956" t="s">
        <v>1235</v>
      </c>
      <c r="W94" s="957" t="s">
        <v>1235</v>
      </c>
      <c r="X94" s="956" t="s">
        <v>1189</v>
      </c>
      <c r="Y94" s="957" t="s">
        <v>384</v>
      </c>
      <c r="Z94" s="1120"/>
      <c r="AA94" s="1120"/>
      <c r="AB94" s="1114"/>
      <c r="AC94" s="1114"/>
      <c r="AD94" s="1114"/>
      <c r="AE94" s="1120"/>
      <c r="AF94" s="1120"/>
      <c r="AG94" s="1111" t="s">
        <v>1235</v>
      </c>
      <c r="AH94" s="1122"/>
    </row>
    <row r="95" spans="22:34" x14ac:dyDescent="0.2">
      <c r="V95" s="956" t="s">
        <v>1923</v>
      </c>
      <c r="W95" s="957" t="s">
        <v>210</v>
      </c>
      <c r="X95" s="956" t="s">
        <v>572</v>
      </c>
      <c r="Y95" s="957" t="s">
        <v>385</v>
      </c>
      <c r="Z95" s="1120"/>
      <c r="AA95" s="1120"/>
      <c r="AB95" s="1114"/>
      <c r="AC95" s="1114"/>
      <c r="AD95" s="1114"/>
      <c r="AE95" s="1120"/>
      <c r="AF95" s="1120"/>
      <c r="AG95" s="1111" t="s">
        <v>4702</v>
      </c>
      <c r="AH95" s="1122"/>
    </row>
    <row r="96" spans="22:34" x14ac:dyDescent="0.2">
      <c r="V96" s="956" t="s">
        <v>1236</v>
      </c>
      <c r="W96" s="957" t="s">
        <v>1236</v>
      </c>
      <c r="X96" s="956" t="s">
        <v>1189</v>
      </c>
      <c r="Y96" s="957" t="s">
        <v>386</v>
      </c>
      <c r="Z96" s="1120"/>
      <c r="AA96" s="1120"/>
      <c r="AB96" s="1114"/>
      <c r="AC96" s="1114"/>
      <c r="AD96" s="1114"/>
      <c r="AE96" s="1120"/>
      <c r="AF96" s="1120"/>
      <c r="AG96" s="1111" t="s">
        <v>1236</v>
      </c>
      <c r="AH96" s="1122"/>
    </row>
    <row ht="225" r="97" spans="22:34" x14ac:dyDescent="0.2">
      <c r="V97" s="956" t="s">
        <v>1924</v>
      </c>
      <c r="W97" s="957" t="s">
        <v>211</v>
      </c>
      <c r="X97" s="956" t="s">
        <v>572</v>
      </c>
      <c r="Y97" s="957" t="s">
        <v>387</v>
      </c>
      <c r="Z97" s="1120"/>
      <c r="AA97" s="1120"/>
      <c r="AB97" s="1114" t="s">
        <v>4703</v>
      </c>
      <c r="AC97" s="1121">
        <v>0.15</v>
      </c>
      <c r="AD97" s="1121"/>
      <c r="AE97" s="1120"/>
      <c r="AF97" s="1120"/>
      <c r="AG97" s="1111" t="s">
        <v>4704</v>
      </c>
      <c r="AH97" s="1122" t="s">
        <v>4705</v>
      </c>
    </row>
    <row r="98" spans="22:34" x14ac:dyDescent="0.2">
      <c r="V98" s="956" t="s">
        <v>1925</v>
      </c>
      <c r="W98" s="957" t="s">
        <v>212</v>
      </c>
      <c r="X98" s="956" t="s">
        <v>572</v>
      </c>
      <c r="Y98" s="957" t="s">
        <v>388</v>
      </c>
      <c r="Z98" s="1120"/>
      <c r="AA98" s="1120"/>
      <c r="AB98" s="1115">
        <v>0</v>
      </c>
      <c r="AC98" s="1121">
        <v>0</v>
      </c>
      <c r="AD98" s="1121"/>
      <c r="AE98" s="1120"/>
      <c r="AF98" s="1120"/>
      <c r="AG98" s="1111" t="s">
        <v>4706</v>
      </c>
      <c r="AH98" s="1122"/>
    </row>
    <row r="99" spans="22:34" x14ac:dyDescent="0.2">
      <c r="V99" s="956" t="s">
        <v>1237</v>
      </c>
      <c r="W99" s="957" t="s">
        <v>1237</v>
      </c>
      <c r="X99" s="956" t="s">
        <v>1189</v>
      </c>
      <c r="Y99" s="957" t="s">
        <v>389</v>
      </c>
      <c r="Z99" s="1120"/>
      <c r="AA99" s="1120"/>
      <c r="AB99" s="1114"/>
      <c r="AC99" s="1114"/>
      <c r="AD99" s="1114"/>
      <c r="AE99" s="1120"/>
      <c r="AF99" s="1120"/>
      <c r="AG99" s="1111" t="s">
        <v>1237</v>
      </c>
      <c r="AH99" s="1122"/>
    </row>
    <row r="100" spans="22:34" x14ac:dyDescent="0.2">
      <c r="V100" s="956" t="s">
        <v>1926</v>
      </c>
      <c r="W100" s="957" t="s">
        <v>213</v>
      </c>
      <c r="X100" s="956" t="s">
        <v>572</v>
      </c>
      <c r="Y100" s="957" t="s">
        <v>390</v>
      </c>
      <c r="Z100" s="1120"/>
      <c r="AA100" s="1120"/>
      <c r="AB100" s="1121">
        <v>0.1</v>
      </c>
      <c r="AC100" s="1121">
        <v>0.15</v>
      </c>
      <c r="AD100" s="1121"/>
      <c r="AE100" s="1120"/>
      <c r="AF100" s="1120"/>
      <c r="AG100" s="1111" t="s">
        <v>4707</v>
      </c>
      <c r="AH100" s="1122"/>
    </row>
    <row r="101" spans="22:34" x14ac:dyDescent="0.2">
      <c r="V101" s="956" t="s">
        <v>1238</v>
      </c>
      <c r="W101" s="957" t="s">
        <v>1238</v>
      </c>
      <c r="X101" s="956" t="s">
        <v>1189</v>
      </c>
      <c r="Y101" s="957" t="s">
        <v>391</v>
      </c>
      <c r="Z101" s="1120"/>
      <c r="AA101" s="1120"/>
      <c r="AB101" s="1114"/>
      <c r="AC101" s="1114"/>
      <c r="AD101" s="1114"/>
      <c r="AE101" s="1120"/>
      <c r="AF101" s="1120"/>
      <c r="AG101" s="1111" t="s">
        <v>1238</v>
      </c>
      <c r="AH101" s="1122"/>
    </row>
    <row ht="292.5" r="102" spans="22:34" x14ac:dyDescent="0.2">
      <c r="V102" s="956" t="s">
        <v>1927</v>
      </c>
      <c r="W102" s="957" t="s">
        <v>214</v>
      </c>
      <c r="X102" s="956" t="s">
        <v>572</v>
      </c>
      <c r="Y102" s="957" t="s">
        <v>392</v>
      </c>
      <c r="Z102" s="1120"/>
      <c r="AA102" s="1120"/>
      <c r="AB102" s="1115">
        <v>0</v>
      </c>
      <c r="AC102" s="1114" t="s">
        <v>4708</v>
      </c>
      <c r="AD102" s="1114"/>
      <c r="AE102" s="1120"/>
      <c r="AF102" s="1120"/>
      <c r="AG102" s="1111" t="s">
        <v>4709</v>
      </c>
      <c r="AH102" s="1122" t="s">
        <v>4710</v>
      </c>
    </row>
    <row ht="123.75" r="103" spans="22:34" x14ac:dyDescent="0.2">
      <c r="V103" s="956" t="s">
        <v>1928</v>
      </c>
      <c r="W103" s="957" t="s">
        <v>215</v>
      </c>
      <c r="X103" s="956" t="s">
        <v>572</v>
      </c>
      <c r="Y103" s="957" t="s">
        <v>393</v>
      </c>
      <c r="Z103" s="1120"/>
      <c r="AA103" s="1120"/>
      <c r="AB103" s="1121" t="s">
        <v>4711</v>
      </c>
      <c r="AC103" s="1121">
        <v>0.15</v>
      </c>
      <c r="AD103" s="1121"/>
      <c r="AE103" s="1120"/>
      <c r="AF103" s="1120"/>
      <c r="AG103" s="1111" t="s">
        <v>4712</v>
      </c>
      <c r="AH103" s="1122" t="s">
        <v>4713</v>
      </c>
    </row>
    <row r="104" spans="22:34" x14ac:dyDescent="0.2">
      <c r="V104" s="956" t="s">
        <v>1929</v>
      </c>
      <c r="W104" s="957" t="s">
        <v>216</v>
      </c>
      <c r="X104" s="956" t="s">
        <v>572</v>
      </c>
      <c r="Y104" s="957" t="s">
        <v>394</v>
      </c>
      <c r="Z104" s="1120"/>
      <c r="AA104" s="1120"/>
      <c r="AB104" s="1114" t="s">
        <v>4628</v>
      </c>
      <c r="AC104" s="1114" t="s">
        <v>4629</v>
      </c>
      <c r="AD104" s="1114" t="s">
        <v>4629</v>
      </c>
      <c r="AE104" s="1120"/>
      <c r="AF104" s="1120"/>
      <c r="AG104" s="1111" t="s">
        <v>4714</v>
      </c>
      <c r="AH104" s="1122"/>
    </row>
    <row ht="270" r="105" spans="22:34" x14ac:dyDescent="0.2">
      <c r="V105" s="956" t="s">
        <v>3647</v>
      </c>
      <c r="W105" s="957" t="s">
        <v>217</v>
      </c>
      <c r="X105" s="956" t="s">
        <v>572</v>
      </c>
      <c r="Y105" s="957" t="s">
        <v>395</v>
      </c>
      <c r="Z105" s="1120"/>
      <c r="AA105" s="1120"/>
      <c r="AB105" s="1121">
        <v>0.15</v>
      </c>
      <c r="AC105" s="1121">
        <v>0.15</v>
      </c>
      <c r="AD105" s="1121"/>
      <c r="AE105" s="1120"/>
      <c r="AF105" s="1120"/>
      <c r="AG105" s="1111" t="s">
        <v>4715</v>
      </c>
      <c r="AH105" s="1122" t="s">
        <v>4716</v>
      </c>
    </row>
    <row ht="157.5" r="106" spans="22:34" x14ac:dyDescent="0.2">
      <c r="V106" s="956" t="s">
        <v>1930</v>
      </c>
      <c r="W106" s="957" t="s">
        <v>218</v>
      </c>
      <c r="X106" s="956" t="s">
        <v>572</v>
      </c>
      <c r="Y106" s="957" t="s">
        <v>396</v>
      </c>
      <c r="Z106" s="1120"/>
      <c r="AA106" s="1120"/>
      <c r="AB106" s="1115">
        <v>0</v>
      </c>
      <c r="AC106" s="1114" t="s">
        <v>4631</v>
      </c>
      <c r="AD106" s="1114"/>
      <c r="AE106" s="1120"/>
      <c r="AF106" s="1120"/>
      <c r="AG106" s="1111" t="s">
        <v>4717</v>
      </c>
      <c r="AH106" s="1122" t="s">
        <v>4718</v>
      </c>
    </row>
    <row r="107" spans="22:34" x14ac:dyDescent="0.2">
      <c r="V107" s="956" t="s">
        <v>1239</v>
      </c>
      <c r="W107" s="957" t="s">
        <v>1239</v>
      </c>
      <c r="X107" s="956" t="s">
        <v>1189</v>
      </c>
      <c r="Y107" s="957" t="s">
        <v>397</v>
      </c>
      <c r="Z107" s="1120"/>
      <c r="AA107" s="1120"/>
      <c r="AB107" s="1114"/>
      <c r="AC107" s="1114"/>
      <c r="AD107" s="1114"/>
      <c r="AE107" s="1120"/>
      <c r="AF107" s="1120"/>
      <c r="AG107" s="1111" t="s">
        <v>1239</v>
      </c>
      <c r="AH107" s="1122"/>
    </row>
    <row r="108" spans="22:34" x14ac:dyDescent="0.2">
      <c r="V108" s="956" t="s">
        <v>1240</v>
      </c>
      <c r="W108" s="957" t="s">
        <v>1240</v>
      </c>
      <c r="X108" s="956" t="s">
        <v>1189</v>
      </c>
      <c r="Y108" s="957" t="s">
        <v>398</v>
      </c>
      <c r="Z108" s="1120"/>
      <c r="AA108" s="1120"/>
      <c r="AB108" s="1114"/>
      <c r="AC108" s="1114"/>
      <c r="AD108" s="1114"/>
      <c r="AE108" s="1120"/>
      <c r="AF108" s="1120"/>
      <c r="AG108" s="1111" t="s">
        <v>1240</v>
      </c>
      <c r="AH108" s="1122"/>
    </row>
    <row r="109" spans="22:34" x14ac:dyDescent="0.2">
      <c r="V109" s="956" t="s">
        <v>1931</v>
      </c>
      <c r="W109" s="957" t="s">
        <v>219</v>
      </c>
      <c r="X109" s="956" t="s">
        <v>572</v>
      </c>
      <c r="Y109" s="957" t="s">
        <v>399</v>
      </c>
      <c r="Z109" s="1120"/>
      <c r="AA109" s="1120"/>
      <c r="AB109" s="1115">
        <v>0</v>
      </c>
      <c r="AC109" s="1121">
        <v>0.15</v>
      </c>
      <c r="AD109" s="1121"/>
      <c r="AE109" s="1120"/>
      <c r="AF109" s="1120"/>
      <c r="AG109" s="1111" t="s">
        <v>4719</v>
      </c>
      <c r="AH109" s="1122"/>
    </row>
    <row ht="67.5" r="110" spans="22:34" x14ac:dyDescent="0.2">
      <c r="V110" s="956" t="s">
        <v>1932</v>
      </c>
      <c r="W110" s="957" t="s">
        <v>220</v>
      </c>
      <c r="X110" s="956" t="s">
        <v>572</v>
      </c>
      <c r="Y110" s="957" t="s">
        <v>400</v>
      </c>
      <c r="Z110" s="1120"/>
      <c r="AA110" s="1120"/>
      <c r="AB110" s="1121" t="s">
        <v>4647</v>
      </c>
      <c r="AC110" s="1121" t="s">
        <v>4647</v>
      </c>
      <c r="AD110" s="1121"/>
      <c r="AE110" s="1120"/>
      <c r="AF110" s="1120"/>
      <c r="AG110" s="1111" t="s">
        <v>4720</v>
      </c>
      <c r="AH110" s="1122" t="s">
        <v>4721</v>
      </c>
    </row>
    <row r="111" spans="22:34" x14ac:dyDescent="0.2">
      <c r="V111" s="956" t="s">
        <v>1933</v>
      </c>
      <c r="W111" s="957" t="s">
        <v>221</v>
      </c>
      <c r="X111" s="956" t="s">
        <v>572</v>
      </c>
      <c r="Y111" s="957" t="s">
        <v>401</v>
      </c>
      <c r="Z111" s="1120"/>
      <c r="AA111" s="1120"/>
      <c r="AB111" s="1121">
        <v>0.1</v>
      </c>
      <c r="AC111" s="1121" t="s">
        <v>4647</v>
      </c>
      <c r="AD111" s="1121"/>
      <c r="AE111" s="1120"/>
      <c r="AF111" s="1120"/>
      <c r="AG111" s="1111" t="s">
        <v>4722</v>
      </c>
      <c r="AH111" s="1122"/>
    </row>
    <row ht="56.25" r="112" spans="22:34" x14ac:dyDescent="0.2">
      <c r="V112" s="956" t="s">
        <v>1934</v>
      </c>
      <c r="W112" s="957" t="s">
        <v>222</v>
      </c>
      <c r="X112" s="956" t="s">
        <v>572</v>
      </c>
      <c r="Y112" s="957" t="s">
        <v>402</v>
      </c>
      <c r="Z112" s="1120"/>
      <c r="AA112" s="1120"/>
      <c r="AB112" s="1114" t="s">
        <v>4723</v>
      </c>
      <c r="AC112" s="1121">
        <v>0.15</v>
      </c>
      <c r="AD112" s="1121"/>
      <c r="AE112" s="1120"/>
      <c r="AF112" s="1120"/>
      <c r="AG112" s="1111" t="s">
        <v>4724</v>
      </c>
      <c r="AH112" s="1122" t="s">
        <v>4678</v>
      </c>
    </row>
    <row r="113" spans="22:34" x14ac:dyDescent="0.2">
      <c r="V113" s="956" t="s">
        <v>1935</v>
      </c>
      <c r="W113" s="957" t="s">
        <v>223</v>
      </c>
      <c r="X113" s="956" t="s">
        <v>572</v>
      </c>
      <c r="Y113" s="957" t="s">
        <v>403</v>
      </c>
      <c r="Z113" s="1120"/>
      <c r="AA113" s="1120"/>
      <c r="AB113" s="1114" t="s">
        <v>4628</v>
      </c>
      <c r="AC113" s="1114" t="s">
        <v>4629</v>
      </c>
      <c r="AD113" s="1114" t="s">
        <v>4629</v>
      </c>
      <c r="AE113" s="1120"/>
      <c r="AF113" s="1120"/>
      <c r="AG113" s="1111" t="s">
        <v>4725</v>
      </c>
      <c r="AH113" s="1122"/>
    </row>
    <row r="114" spans="22:34" x14ac:dyDescent="0.2">
      <c r="V114" s="956" t="s">
        <v>1936</v>
      </c>
      <c r="W114" s="957" t="s">
        <v>224</v>
      </c>
      <c r="X114" s="956" t="s">
        <v>572</v>
      </c>
      <c r="Y114" s="957" t="s">
        <v>404</v>
      </c>
      <c r="Z114" s="1120"/>
      <c r="AA114" s="1120"/>
      <c r="AB114" s="1121">
        <v>0.1</v>
      </c>
      <c r="AC114" s="1121">
        <v>0.1</v>
      </c>
      <c r="AD114" s="1121"/>
      <c r="AE114" s="1120"/>
      <c r="AF114" s="1120"/>
      <c r="AG114" s="1111" t="s">
        <v>4726</v>
      </c>
      <c r="AH114" s="1122"/>
    </row>
    <row r="115" spans="22:34" x14ac:dyDescent="0.2">
      <c r="V115" s="956" t="s">
        <v>1937</v>
      </c>
      <c r="W115" s="957" t="s">
        <v>225</v>
      </c>
      <c r="X115" s="956" t="s">
        <v>572</v>
      </c>
      <c r="Y115" s="957" t="s">
        <v>405</v>
      </c>
      <c r="Z115" s="1120"/>
      <c r="AA115" s="1120"/>
      <c r="AB115" s="1121">
        <v>0.1</v>
      </c>
      <c r="AC115" s="1121">
        <v>0.1</v>
      </c>
      <c r="AD115" s="1121"/>
      <c r="AE115" s="1120"/>
      <c r="AF115" s="1120"/>
      <c r="AG115" s="1111" t="s">
        <v>4727</v>
      </c>
      <c r="AH115" s="1122"/>
    </row>
    <row ht="112.5" r="116" spans="22:34" x14ac:dyDescent="0.2">
      <c r="V116" s="956" t="s">
        <v>1938</v>
      </c>
      <c r="W116" s="957" t="s">
        <v>226</v>
      </c>
      <c r="X116" s="956" t="s">
        <v>572</v>
      </c>
      <c r="Y116" s="957" t="s">
        <v>406</v>
      </c>
      <c r="Z116" s="1120"/>
      <c r="AA116" s="1120"/>
      <c r="AB116" s="1114" t="s">
        <v>4653</v>
      </c>
      <c r="AC116" s="1121">
        <v>0.15</v>
      </c>
      <c r="AD116" s="1121"/>
      <c r="AE116" s="1120"/>
      <c r="AF116" s="1120"/>
      <c r="AG116" s="1111" t="s">
        <v>4728</v>
      </c>
      <c r="AH116" s="1122" t="s">
        <v>4729</v>
      </c>
    </row>
    <row r="117" spans="22:34" x14ac:dyDescent="0.2">
      <c r="V117" s="956" t="s">
        <v>1939</v>
      </c>
      <c r="W117" s="957" t="s">
        <v>227</v>
      </c>
      <c r="X117" s="956" t="s">
        <v>572</v>
      </c>
      <c r="Y117" s="957" t="s">
        <v>407</v>
      </c>
      <c r="Z117" s="1120"/>
      <c r="AA117" s="1120"/>
      <c r="AB117" s="1121" t="s">
        <v>4647</v>
      </c>
      <c r="AC117" s="1121" t="s">
        <v>4647</v>
      </c>
      <c r="AD117" s="1121"/>
      <c r="AE117" s="1120"/>
      <c r="AF117" s="1120"/>
      <c r="AG117" s="1111" t="s">
        <v>4730</v>
      </c>
      <c r="AH117" s="1122"/>
    </row>
    <row r="118" spans="22:34" x14ac:dyDescent="0.2">
      <c r="V118" s="956" t="s">
        <v>1241</v>
      </c>
      <c r="W118" s="957" t="s">
        <v>1241</v>
      </c>
      <c r="X118" s="956" t="s">
        <v>1189</v>
      </c>
      <c r="Y118" s="957" t="s">
        <v>408</v>
      </c>
      <c r="Z118" s="1120"/>
      <c r="AA118" s="1120"/>
      <c r="AB118" s="1114"/>
      <c r="AC118" s="1114"/>
      <c r="AD118" s="1114"/>
      <c r="AE118" s="1120"/>
      <c r="AF118" s="1120"/>
      <c r="AG118" s="1111" t="s">
        <v>1241</v>
      </c>
      <c r="AH118" s="1122"/>
    </row>
    <row r="119" spans="22:34" x14ac:dyDescent="0.2">
      <c r="V119" s="956" t="s">
        <v>1242</v>
      </c>
      <c r="W119" s="957" t="s">
        <v>1242</v>
      </c>
      <c r="X119" s="956" t="s">
        <v>1189</v>
      </c>
      <c r="Y119" s="957" t="s">
        <v>409</v>
      </c>
      <c r="Z119" s="1120"/>
      <c r="AA119" s="1120"/>
      <c r="AB119" s="1114"/>
      <c r="AC119" s="1114"/>
      <c r="AD119" s="1114"/>
      <c r="AE119" s="1120"/>
      <c r="AF119" s="1120"/>
      <c r="AG119" s="1111" t="s">
        <v>1242</v>
      </c>
      <c r="AH119" s="1122"/>
    </row>
    <row r="120" spans="22:34" x14ac:dyDescent="0.2">
      <c r="V120" s="956" t="s">
        <v>1940</v>
      </c>
      <c r="W120" s="957" t="s">
        <v>228</v>
      </c>
      <c r="X120" s="956" t="s">
        <v>572</v>
      </c>
      <c r="Y120" s="957" t="s">
        <v>410</v>
      </c>
      <c r="Z120" s="1120"/>
      <c r="AA120" s="1120"/>
      <c r="AB120" s="1114" t="s">
        <v>4628</v>
      </c>
      <c r="AC120" s="1114" t="s">
        <v>4629</v>
      </c>
      <c r="AD120" s="1114" t="s">
        <v>4629</v>
      </c>
      <c r="AE120" s="1120"/>
      <c r="AF120" s="1120"/>
      <c r="AG120" s="1111" t="s">
        <v>4731</v>
      </c>
      <c r="AH120" s="1122"/>
    </row>
    <row r="121" spans="22:34" x14ac:dyDescent="0.2">
      <c r="V121" s="956" t="s">
        <v>1941</v>
      </c>
      <c r="W121" s="957" t="s">
        <v>229</v>
      </c>
      <c r="X121" s="956" t="s">
        <v>572</v>
      </c>
      <c r="Y121" s="957" t="s">
        <v>411</v>
      </c>
      <c r="Z121" s="1120"/>
      <c r="AA121" s="1120"/>
      <c r="AB121" s="1114" t="s">
        <v>4628</v>
      </c>
      <c r="AC121" s="1114" t="s">
        <v>4648</v>
      </c>
      <c r="AD121" s="1114" t="s">
        <v>4648</v>
      </c>
      <c r="AE121" s="1120"/>
      <c r="AF121" s="1120"/>
      <c r="AG121" s="1111" t="s">
        <v>4732</v>
      </c>
      <c r="AH121" s="1122"/>
    </row>
    <row ht="56.25" r="122" spans="22:34" x14ac:dyDescent="0.2">
      <c r="V122" s="956" t="s">
        <v>1942</v>
      </c>
      <c r="W122" s="957" t="s">
        <v>230</v>
      </c>
      <c r="X122" s="956" t="s">
        <v>572</v>
      </c>
      <c r="Y122" s="957" t="s">
        <v>412</v>
      </c>
      <c r="Z122" s="1120"/>
      <c r="AA122" s="1120"/>
      <c r="AB122" s="1114" t="s">
        <v>4653</v>
      </c>
      <c r="AC122" s="1121">
        <v>0.15</v>
      </c>
      <c r="AD122" s="1121"/>
      <c r="AE122" s="1120"/>
      <c r="AF122" s="1120"/>
      <c r="AG122" s="1111" t="s">
        <v>4733</v>
      </c>
      <c r="AH122" s="1122" t="s">
        <v>4734</v>
      </c>
    </row>
    <row r="123" spans="22:34" x14ac:dyDescent="0.2">
      <c r="V123" s="956" t="s">
        <v>1943</v>
      </c>
      <c r="W123" s="957" t="s">
        <v>231</v>
      </c>
      <c r="X123" s="956" t="s">
        <v>572</v>
      </c>
      <c r="Y123" s="957" t="s">
        <v>413</v>
      </c>
      <c r="Z123" s="1120"/>
      <c r="AA123" s="1120"/>
      <c r="AB123" s="1121">
        <v>0</v>
      </c>
      <c r="AC123" s="1121">
        <v>0.15</v>
      </c>
      <c r="AD123" s="1121"/>
      <c r="AE123" s="1120"/>
      <c r="AF123" s="1120"/>
      <c r="AG123" s="1111" t="s">
        <v>4735</v>
      </c>
      <c r="AH123" s="1122"/>
    </row>
    <row r="124" spans="22:34" x14ac:dyDescent="0.2">
      <c r="V124" s="956" t="s">
        <v>1243</v>
      </c>
      <c r="W124" s="957" t="s">
        <v>1243</v>
      </c>
      <c r="X124" s="956" t="s">
        <v>1189</v>
      </c>
      <c r="Y124" s="957" t="s">
        <v>414</v>
      </c>
      <c r="Z124" s="1120"/>
      <c r="AA124" s="1120"/>
      <c r="AB124" s="1114"/>
      <c r="AC124" s="1114"/>
      <c r="AD124" s="1114"/>
      <c r="AE124" s="1120"/>
      <c r="AF124" s="1120"/>
      <c r="AG124" s="1111" t="s">
        <v>1243</v>
      </c>
      <c r="AH124" s="1122"/>
    </row>
    <row r="125" spans="22:34" x14ac:dyDescent="0.2">
      <c r="V125" s="956" t="s">
        <v>1244</v>
      </c>
      <c r="W125" s="957" t="s">
        <v>1244</v>
      </c>
      <c r="X125" s="956" t="s">
        <v>1189</v>
      </c>
      <c r="Y125" s="957" t="s">
        <v>415</v>
      </c>
      <c r="Z125" s="1120"/>
      <c r="AA125" s="1120"/>
      <c r="AB125" s="1114"/>
      <c r="AC125" s="1114"/>
      <c r="AD125" s="1114"/>
      <c r="AE125" s="1120"/>
      <c r="AF125" s="1120"/>
      <c r="AG125" s="1111" t="s">
        <v>1244</v>
      </c>
      <c r="AH125" s="1122"/>
    </row>
    <row r="126" spans="22:34" x14ac:dyDescent="0.2">
      <c r="V126" s="956" t="s">
        <v>1245</v>
      </c>
      <c r="W126" s="957" t="s">
        <v>1245</v>
      </c>
      <c r="X126" s="956" t="s">
        <v>1189</v>
      </c>
      <c r="Y126" s="957" t="s">
        <v>416</v>
      </c>
      <c r="Z126" s="1120"/>
      <c r="AA126" s="1120"/>
      <c r="AB126" s="1114"/>
      <c r="AC126" s="1114"/>
      <c r="AD126" s="1114"/>
      <c r="AE126" s="1120"/>
      <c r="AF126" s="1120"/>
      <c r="AG126" s="1111" t="s">
        <v>1245</v>
      </c>
      <c r="AH126" s="1122"/>
    </row>
    <row ht="123.75" r="127" spans="22:34" x14ac:dyDescent="0.2">
      <c r="V127" s="956" t="s">
        <v>1944</v>
      </c>
      <c r="W127" s="957" t="s">
        <v>232</v>
      </c>
      <c r="X127" s="956" t="s">
        <v>572</v>
      </c>
      <c r="Y127" s="957" t="s">
        <v>417</v>
      </c>
      <c r="Z127" s="1120"/>
      <c r="AA127" s="1120"/>
      <c r="AB127" s="1121">
        <v>0</v>
      </c>
      <c r="AC127" s="1121">
        <v>0</v>
      </c>
      <c r="AD127" s="1121"/>
      <c r="AE127" s="1120"/>
      <c r="AF127" s="1120"/>
      <c r="AG127" s="1111" t="s">
        <v>4736</v>
      </c>
      <c r="AH127" s="1122" t="s">
        <v>4737</v>
      </c>
    </row>
    <row r="128" spans="22:34" x14ac:dyDescent="0.2">
      <c r="V128" s="956" t="s">
        <v>1246</v>
      </c>
      <c r="W128" s="957" t="s">
        <v>1246</v>
      </c>
      <c r="X128" s="956" t="s">
        <v>1189</v>
      </c>
      <c r="Y128" s="957" t="s">
        <v>418</v>
      </c>
      <c r="Z128" s="1120"/>
      <c r="AA128" s="1120"/>
      <c r="AB128" s="1114"/>
      <c r="AC128" s="1114"/>
      <c r="AD128" s="1114"/>
      <c r="AE128" s="1120"/>
      <c r="AF128" s="1120"/>
      <c r="AG128" s="1111" t="s">
        <v>1246</v>
      </c>
      <c r="AH128" s="1122"/>
    </row>
    <row ht="135" r="129" spans="22:34" x14ac:dyDescent="0.2">
      <c r="V129" s="956" t="s">
        <v>1945</v>
      </c>
      <c r="W129" s="957" t="s">
        <v>2499</v>
      </c>
      <c r="X129" s="956" t="s">
        <v>572</v>
      </c>
      <c r="Y129" s="957" t="s">
        <v>419</v>
      </c>
      <c r="Z129" s="1120"/>
      <c r="AA129" s="1120"/>
      <c r="AB129" s="1121">
        <v>0</v>
      </c>
      <c r="AC129" s="1121">
        <v>0</v>
      </c>
      <c r="AD129" s="1121"/>
      <c r="AE129" s="1120"/>
      <c r="AF129" s="1120"/>
      <c r="AG129" s="1111" t="s">
        <v>4738</v>
      </c>
      <c r="AH129" s="1122" t="s">
        <v>4739</v>
      </c>
    </row>
    <row ht="236.25" r="130" spans="22:34" x14ac:dyDescent="0.2">
      <c r="V130" s="956" t="s">
        <v>1946</v>
      </c>
      <c r="W130" s="957" t="s">
        <v>233</v>
      </c>
      <c r="X130" s="956" t="s">
        <v>572</v>
      </c>
      <c r="Y130" s="957" t="s">
        <v>420</v>
      </c>
      <c r="Z130" s="1120"/>
      <c r="AA130" s="1120"/>
      <c r="AB130" s="1114" t="s">
        <v>4653</v>
      </c>
      <c r="AC130" s="1114" t="s">
        <v>4740</v>
      </c>
      <c r="AD130" s="1114"/>
      <c r="AE130" s="1120"/>
      <c r="AF130" s="1120"/>
      <c r="AG130" s="1111" t="s">
        <v>4741</v>
      </c>
      <c r="AH130" s="1122" t="s">
        <v>4742</v>
      </c>
    </row>
    <row r="131" spans="22:34" x14ac:dyDescent="0.2">
      <c r="V131" s="956" t="s">
        <v>1947</v>
      </c>
      <c r="W131" s="957" t="s">
        <v>234</v>
      </c>
      <c r="X131" s="956" t="s">
        <v>572</v>
      </c>
      <c r="Y131" s="957" t="s">
        <v>421</v>
      </c>
      <c r="Z131" s="1120"/>
      <c r="AA131" s="1120"/>
      <c r="AB131" s="1114" t="s">
        <v>4628</v>
      </c>
      <c r="AC131" s="1114" t="s">
        <v>4648</v>
      </c>
      <c r="AD131" s="1114"/>
      <c r="AE131" s="1120"/>
      <c r="AF131" s="1120"/>
      <c r="AG131" s="1111" t="s">
        <v>4743</v>
      </c>
      <c r="AH131" s="1122"/>
    </row>
    <row ht="191.25" r="132" spans="22:34" x14ac:dyDescent="0.2">
      <c r="V132" s="956" t="s">
        <v>1948</v>
      </c>
      <c r="W132" s="957" t="s">
        <v>235</v>
      </c>
      <c r="X132" s="956" t="s">
        <v>572</v>
      </c>
      <c r="Y132" s="957" t="s">
        <v>422</v>
      </c>
      <c r="Z132" s="1120"/>
      <c r="AA132" s="1120"/>
      <c r="AB132" s="1114" t="s">
        <v>4653</v>
      </c>
      <c r="AC132" s="1121">
        <v>0.15</v>
      </c>
      <c r="AD132" s="1121"/>
      <c r="AE132" s="1120"/>
      <c r="AF132" s="1120"/>
      <c r="AG132" s="1111" t="s">
        <v>4744</v>
      </c>
      <c r="AH132" s="1122" t="s">
        <v>4745</v>
      </c>
    </row>
    <row r="133" spans="22:34" x14ac:dyDescent="0.2">
      <c r="V133" s="956" t="s">
        <v>1949</v>
      </c>
      <c r="W133" s="957" t="s">
        <v>236</v>
      </c>
      <c r="X133" s="956" t="s">
        <v>572</v>
      </c>
      <c r="Y133" s="957" t="s">
        <v>423</v>
      </c>
      <c r="Z133" s="1120"/>
      <c r="AA133" s="1120"/>
      <c r="AB133" s="1115">
        <v>0</v>
      </c>
      <c r="AC133" s="1121">
        <v>0.15</v>
      </c>
      <c r="AD133" s="1121"/>
      <c r="AE133" s="1120"/>
      <c r="AF133" s="1120"/>
      <c r="AG133" s="1111" t="s">
        <v>4746</v>
      </c>
      <c r="AH133" s="1122"/>
    </row>
    <row ht="78.75" r="134" spans="22:34" x14ac:dyDescent="0.2">
      <c r="V134" s="956" t="s">
        <v>1950</v>
      </c>
      <c r="W134" s="957" t="s">
        <v>237</v>
      </c>
      <c r="X134" s="956" t="s">
        <v>572</v>
      </c>
      <c r="Y134" s="957" t="s">
        <v>424</v>
      </c>
      <c r="Z134" s="1120"/>
      <c r="AA134" s="1120"/>
      <c r="AB134" s="1114" t="s">
        <v>4653</v>
      </c>
      <c r="AC134" s="1121">
        <v>0.15</v>
      </c>
      <c r="AD134" s="1121"/>
      <c r="AE134" s="1120"/>
      <c r="AF134" s="1120"/>
      <c r="AG134" s="1111" t="s">
        <v>4747</v>
      </c>
      <c r="AH134" s="1122" t="s">
        <v>4748</v>
      </c>
    </row>
    <row r="135" spans="22:34" x14ac:dyDescent="0.2">
      <c r="V135" s="956" t="s">
        <v>1247</v>
      </c>
      <c r="W135" s="957" t="s">
        <v>1247</v>
      </c>
      <c r="X135" s="956" t="s">
        <v>1189</v>
      </c>
      <c r="Y135" s="957" t="s">
        <v>425</v>
      </c>
      <c r="Z135" s="1120"/>
      <c r="AA135" s="1120"/>
      <c r="AB135" s="1114"/>
      <c r="AC135" s="1114"/>
      <c r="AD135" s="1114"/>
      <c r="AE135" s="1120"/>
      <c r="AF135" s="1120"/>
      <c r="AG135" s="1111" t="s">
        <v>1247</v>
      </c>
      <c r="AH135" s="1122"/>
    </row>
    <row r="136" spans="22:34" x14ac:dyDescent="0.2">
      <c r="V136" s="956" t="s">
        <v>1951</v>
      </c>
      <c r="W136" s="957" t="s">
        <v>238</v>
      </c>
      <c r="X136" s="956" t="s">
        <v>572</v>
      </c>
      <c r="Y136" s="957" t="s">
        <v>426</v>
      </c>
      <c r="Z136" s="1120"/>
      <c r="AA136" s="1120"/>
      <c r="AB136" s="1121">
        <v>0.1</v>
      </c>
      <c r="AC136" s="1121">
        <v>0.25</v>
      </c>
      <c r="AD136" s="1121"/>
      <c r="AE136" s="1120"/>
      <c r="AF136" s="1120"/>
      <c r="AG136" s="1111" t="s">
        <v>4749</v>
      </c>
      <c r="AH136" s="1122"/>
    </row>
    <row r="137" spans="22:34" x14ac:dyDescent="0.2">
      <c r="V137" s="956" t="s">
        <v>1248</v>
      </c>
      <c r="W137" s="957" t="s">
        <v>1248</v>
      </c>
      <c r="X137" s="956" t="s">
        <v>1189</v>
      </c>
      <c r="Y137" s="957" t="s">
        <v>427</v>
      </c>
      <c r="Z137" s="1120"/>
      <c r="AA137" s="1120"/>
      <c r="AB137" s="1114"/>
      <c r="AC137" s="1114"/>
      <c r="AD137" s="1114"/>
      <c r="AE137" s="1120"/>
      <c r="AF137" s="1120"/>
      <c r="AG137" s="1111" t="s">
        <v>1248</v>
      </c>
      <c r="AH137" s="1122"/>
    </row>
    <row ht="56.25" r="138" spans="22:34" x14ac:dyDescent="0.2">
      <c r="V138" s="956" t="s">
        <v>1952</v>
      </c>
      <c r="W138" s="957" t="s">
        <v>239</v>
      </c>
      <c r="X138" s="956" t="s">
        <v>572</v>
      </c>
      <c r="Y138" s="957" t="s">
        <v>428</v>
      </c>
      <c r="Z138" s="1120"/>
      <c r="AA138" s="1120"/>
      <c r="AB138" s="1114" t="s">
        <v>4750</v>
      </c>
      <c r="AC138" s="1121">
        <v>0.1</v>
      </c>
      <c r="AD138" s="1121"/>
      <c r="AE138" s="1120"/>
      <c r="AF138" s="1120"/>
      <c r="AG138" s="1111" t="s">
        <v>4751</v>
      </c>
      <c r="AH138" s="1122" t="s">
        <v>4752</v>
      </c>
    </row>
    <row r="139" spans="22:34" x14ac:dyDescent="0.2">
      <c r="V139" s="956" t="s">
        <v>1249</v>
      </c>
      <c r="W139" s="957" t="s">
        <v>1249</v>
      </c>
      <c r="X139" s="956" t="s">
        <v>1189</v>
      </c>
      <c r="Y139" s="957" t="s">
        <v>429</v>
      </c>
      <c r="Z139" s="1120"/>
      <c r="AA139" s="1120"/>
      <c r="AB139" s="1114"/>
      <c r="AC139" s="1114"/>
      <c r="AD139" s="1114"/>
      <c r="AE139" s="1120"/>
      <c r="AF139" s="1120"/>
      <c r="AG139" s="1111" t="s">
        <v>1249</v>
      </c>
      <c r="AH139" s="1122"/>
    </row>
    <row r="140" spans="22:34" x14ac:dyDescent="0.2">
      <c r="V140" s="956" t="s">
        <v>1250</v>
      </c>
      <c r="W140" s="957" t="s">
        <v>1250</v>
      </c>
      <c r="X140" s="956" t="s">
        <v>1189</v>
      </c>
      <c r="Y140" s="957" t="s">
        <v>430</v>
      </c>
      <c r="Z140" s="1120"/>
      <c r="AA140" s="1120"/>
      <c r="AB140" s="1114"/>
      <c r="AC140" s="1114"/>
      <c r="AD140" s="1114"/>
      <c r="AE140" s="1120"/>
      <c r="AF140" s="1120"/>
      <c r="AG140" s="1111" t="s">
        <v>1250</v>
      </c>
      <c r="AH140" s="1122"/>
    </row>
    <row ht="101.25" r="141" spans="22:34" x14ac:dyDescent="0.2">
      <c r="V141" s="956" t="s">
        <v>1953</v>
      </c>
      <c r="W141" s="957" t="s">
        <v>240</v>
      </c>
      <c r="X141" s="956" t="s">
        <v>572</v>
      </c>
      <c r="Y141" s="957" t="s">
        <v>431</v>
      </c>
      <c r="Z141" s="1120"/>
      <c r="AA141" s="1120"/>
      <c r="AB141" s="1114" t="s">
        <v>4631</v>
      </c>
      <c r="AC141" s="1121">
        <v>0</v>
      </c>
      <c r="AD141" s="1121"/>
      <c r="AE141" s="1120"/>
      <c r="AF141" s="1120"/>
      <c r="AG141" s="1111" t="s">
        <v>4753</v>
      </c>
      <c r="AH141" s="1122" t="s">
        <v>4754</v>
      </c>
    </row>
    <row r="142" spans="22:34" x14ac:dyDescent="0.2">
      <c r="V142" s="956" t="s">
        <v>1251</v>
      </c>
      <c r="W142" s="957" t="s">
        <v>1251</v>
      </c>
      <c r="X142" s="956" t="s">
        <v>1189</v>
      </c>
      <c r="Y142" s="957" t="s">
        <v>432</v>
      </c>
      <c r="Z142" s="1120"/>
      <c r="AA142" s="1120"/>
      <c r="AB142" s="1114"/>
      <c r="AC142" s="1114"/>
      <c r="AD142" s="1114"/>
      <c r="AE142" s="1120"/>
      <c r="AF142" s="1120"/>
      <c r="AG142" s="1111" t="s">
        <v>1251</v>
      </c>
      <c r="AH142" s="1122"/>
    </row>
    <row r="143" spans="22:34" x14ac:dyDescent="0.2">
      <c r="V143" s="956" t="s">
        <v>1954</v>
      </c>
      <c r="W143" s="957" t="s">
        <v>241</v>
      </c>
      <c r="X143" s="956" t="s">
        <v>572</v>
      </c>
      <c r="Y143" s="957" t="s">
        <v>433</v>
      </c>
      <c r="Z143" s="1120"/>
      <c r="AA143" s="1120"/>
      <c r="AB143" s="1121">
        <v>0.1</v>
      </c>
      <c r="AC143" s="1121">
        <v>0.15</v>
      </c>
      <c r="AD143" s="1121"/>
      <c r="AE143" s="1120"/>
      <c r="AF143" s="1120"/>
      <c r="AG143" s="1111" t="s">
        <v>4755</v>
      </c>
      <c r="AH143" s="1122"/>
    </row>
    <row r="144" spans="22:34" x14ac:dyDescent="0.2">
      <c r="V144" s="956" t="s">
        <v>1252</v>
      </c>
      <c r="W144" s="957" t="s">
        <v>1252</v>
      </c>
      <c r="X144" s="956" t="s">
        <v>1189</v>
      </c>
      <c r="Y144" s="957" t="s">
        <v>434</v>
      </c>
      <c r="Z144" s="1120"/>
      <c r="AA144" s="1120"/>
      <c r="AB144" s="1114"/>
      <c r="AC144" s="1114"/>
      <c r="AD144" s="1114"/>
      <c r="AE144" s="1120"/>
      <c r="AF144" s="1120"/>
      <c r="AG144" s="1111" t="s">
        <v>1252</v>
      </c>
      <c r="AH144" s="1122"/>
    </row>
    <row r="145" spans="22:34" x14ac:dyDescent="0.2">
      <c r="V145" s="956" t="s">
        <v>1955</v>
      </c>
      <c r="W145" s="957" t="s">
        <v>242</v>
      </c>
      <c r="X145" s="956" t="s">
        <v>572</v>
      </c>
      <c r="Y145" s="957" t="s">
        <v>435</v>
      </c>
      <c r="Z145" s="1120"/>
      <c r="AA145" s="1120"/>
      <c r="AB145" s="1121" t="s">
        <v>4711</v>
      </c>
      <c r="AC145" s="1114" t="s">
        <v>4629</v>
      </c>
      <c r="AD145" s="1114"/>
      <c r="AE145" s="1120"/>
      <c r="AF145" s="1120"/>
      <c r="AG145" s="1111" t="s">
        <v>4756</v>
      </c>
      <c r="AH145" s="1122"/>
    </row>
    <row r="146" spans="22:34" x14ac:dyDescent="0.2">
      <c r="V146" s="956" t="s">
        <v>1956</v>
      </c>
      <c r="W146" s="957" t="s">
        <v>243</v>
      </c>
      <c r="X146" s="956" t="s">
        <v>572</v>
      </c>
      <c r="Y146" s="957" t="s">
        <v>436</v>
      </c>
      <c r="Z146" s="1120"/>
      <c r="AA146" s="1120"/>
      <c r="AB146" s="1114" t="s">
        <v>4628</v>
      </c>
      <c r="AC146" s="1114" t="s">
        <v>4648</v>
      </c>
      <c r="AD146" s="1114"/>
      <c r="AE146" s="1120"/>
      <c r="AF146" s="1120"/>
      <c r="AG146" s="1111" t="s">
        <v>4757</v>
      </c>
      <c r="AH146" s="1122"/>
    </row>
    <row r="147" spans="22:34" x14ac:dyDescent="0.2">
      <c r="V147" s="956" t="s">
        <v>1957</v>
      </c>
      <c r="W147" s="957" t="s">
        <v>244</v>
      </c>
      <c r="X147" s="956" t="s">
        <v>572</v>
      </c>
      <c r="Y147" s="957" t="s">
        <v>437</v>
      </c>
      <c r="Z147" s="1120"/>
      <c r="AA147" s="1120"/>
      <c r="AB147" s="1121">
        <v>0.1</v>
      </c>
      <c r="AC147" s="1121">
        <v>0.15</v>
      </c>
      <c r="AD147" s="1121"/>
      <c r="AE147" s="1120"/>
      <c r="AF147" s="1120"/>
      <c r="AG147" s="1111" t="s">
        <v>4758</v>
      </c>
      <c r="AH147" s="1122"/>
    </row>
    <row r="148" spans="22:34" x14ac:dyDescent="0.2">
      <c r="V148" s="956" t="s">
        <v>1958</v>
      </c>
      <c r="W148" s="957" t="s">
        <v>245</v>
      </c>
      <c r="X148" s="956" t="s">
        <v>572</v>
      </c>
      <c r="Y148" s="957" t="s">
        <v>438</v>
      </c>
      <c r="Z148" s="1120"/>
      <c r="AA148" s="1120"/>
      <c r="AB148" s="1121">
        <v>0.1</v>
      </c>
      <c r="AC148" s="1121">
        <v>0.15</v>
      </c>
      <c r="AD148" s="1121"/>
      <c r="AE148" s="1120"/>
      <c r="AF148" s="1120"/>
      <c r="AG148" s="1111" t="s">
        <v>4759</v>
      </c>
      <c r="AH148" s="1122"/>
    </row>
    <row r="149" spans="22:34" x14ac:dyDescent="0.2">
      <c r="V149" s="956" t="s">
        <v>1253</v>
      </c>
      <c r="W149" s="957" t="s">
        <v>1253</v>
      </c>
      <c r="X149" s="956" t="s">
        <v>1189</v>
      </c>
      <c r="Y149" s="957" t="s">
        <v>439</v>
      </c>
      <c r="Z149" s="1120"/>
      <c r="AA149" s="1120"/>
      <c r="AB149" s="1114"/>
      <c r="AC149" s="1114"/>
      <c r="AD149" s="1114"/>
      <c r="AE149" s="1120"/>
      <c r="AF149" s="1120"/>
      <c r="AG149" s="1111" t="s">
        <v>1253</v>
      </c>
      <c r="AH149" s="1122"/>
    </row>
    <row r="150" spans="22:34" x14ac:dyDescent="0.2">
      <c r="V150" s="956" t="s">
        <v>1254</v>
      </c>
      <c r="W150" s="957" t="s">
        <v>1254</v>
      </c>
      <c r="X150" s="956" t="s">
        <v>1189</v>
      </c>
      <c r="Y150" s="957" t="s">
        <v>440</v>
      </c>
      <c r="Z150" s="1120"/>
      <c r="AA150" s="1120"/>
      <c r="AB150" s="1114"/>
      <c r="AC150" s="1114"/>
      <c r="AD150" s="1114"/>
      <c r="AE150" s="1120"/>
      <c r="AF150" s="1120"/>
      <c r="AG150" s="1111" t="s">
        <v>1254</v>
      </c>
      <c r="AH150" s="1122"/>
    </row>
    <row r="151" spans="22:34" x14ac:dyDescent="0.2">
      <c r="V151" s="956" t="s">
        <v>1255</v>
      </c>
      <c r="W151" s="957" t="s">
        <v>1255</v>
      </c>
      <c r="X151" s="956" t="s">
        <v>1189</v>
      </c>
      <c r="Y151" s="957" t="s">
        <v>441</v>
      </c>
      <c r="Z151" s="1120"/>
      <c r="AA151" s="1120"/>
      <c r="AB151" s="1114"/>
      <c r="AC151" s="1114"/>
      <c r="AD151" s="1114"/>
      <c r="AE151" s="1120"/>
      <c r="AF151" s="1120"/>
      <c r="AG151" s="1111" t="s">
        <v>1255</v>
      </c>
      <c r="AH151" s="1122"/>
    </row>
    <row r="152" spans="22:34" x14ac:dyDescent="0.2">
      <c r="V152" s="956" t="s">
        <v>1959</v>
      </c>
      <c r="W152" s="957" t="s">
        <v>246</v>
      </c>
      <c r="X152" s="956" t="s">
        <v>572</v>
      </c>
      <c r="Y152" s="957" t="s">
        <v>442</v>
      </c>
      <c r="Z152" s="1120"/>
      <c r="AA152" s="1120"/>
      <c r="AB152" s="1114" t="s">
        <v>4628</v>
      </c>
      <c r="AC152" s="1114" t="s">
        <v>4629</v>
      </c>
      <c r="AD152" s="1114"/>
      <c r="AE152" s="1120"/>
      <c r="AF152" s="1120"/>
      <c r="AG152" s="1111" t="s">
        <v>4760</v>
      </c>
      <c r="AH152" s="1122"/>
    </row>
    <row r="153" spans="22:34" x14ac:dyDescent="0.2">
      <c r="V153" s="956" t="s">
        <v>1960</v>
      </c>
      <c r="W153" s="957" t="s">
        <v>247</v>
      </c>
      <c r="X153" s="956" t="s">
        <v>572</v>
      </c>
      <c r="Y153" s="957" t="s">
        <v>443</v>
      </c>
      <c r="Z153" s="1120"/>
      <c r="AA153" s="1120"/>
      <c r="AB153" s="1114"/>
      <c r="AC153" s="1114"/>
      <c r="AD153" s="1114"/>
      <c r="AE153" s="1120"/>
      <c r="AF153" s="1120"/>
      <c r="AG153" s="1111" t="s">
        <v>4761</v>
      </c>
      <c r="AH153" s="1122"/>
    </row>
    <row ht="45" r="154" spans="22:34" x14ac:dyDescent="0.2">
      <c r="V154" s="956" t="s">
        <v>1961</v>
      </c>
      <c r="W154" s="957" t="s">
        <v>248</v>
      </c>
      <c r="X154" s="956" t="s">
        <v>572</v>
      </c>
      <c r="Y154" s="957" t="s">
        <v>444</v>
      </c>
      <c r="Z154" s="1120"/>
      <c r="AA154" s="1120"/>
      <c r="AB154" s="1114" t="s">
        <v>4762</v>
      </c>
      <c r="AC154" s="1121">
        <v>0.15</v>
      </c>
      <c r="AD154" s="1121"/>
      <c r="AE154" s="1120"/>
      <c r="AF154" s="1120"/>
      <c r="AG154" s="1111" t="s">
        <v>4763</v>
      </c>
      <c r="AH154" s="1122" t="s">
        <v>4764</v>
      </c>
    </row>
    <row r="155" spans="22:34" x14ac:dyDescent="0.2">
      <c r="V155" s="956" t="s">
        <v>1962</v>
      </c>
      <c r="W155" s="957" t="s">
        <v>249</v>
      </c>
      <c r="X155" s="956" t="s">
        <v>572</v>
      </c>
      <c r="Y155" s="957" t="s">
        <v>445</v>
      </c>
      <c r="Z155" s="1120"/>
      <c r="AA155" s="1120"/>
      <c r="AB155" s="1114" t="s">
        <v>4648</v>
      </c>
      <c r="AC155" s="1114" t="s">
        <v>4648</v>
      </c>
      <c r="AD155" s="1114" t="s">
        <v>4648</v>
      </c>
      <c r="AE155" s="1120"/>
      <c r="AF155" s="1120"/>
      <c r="AG155" s="1111" t="s">
        <v>4765</v>
      </c>
      <c r="AH155" s="1122"/>
    </row>
    <row ht="56.25" r="156" spans="22:34" x14ac:dyDescent="0.2">
      <c r="V156" s="956" t="s">
        <v>1963</v>
      </c>
      <c r="W156" s="957" t="s">
        <v>250</v>
      </c>
      <c r="X156" s="956" t="s">
        <v>572</v>
      </c>
      <c r="Y156" s="957" t="s">
        <v>446</v>
      </c>
      <c r="Z156" s="1120"/>
      <c r="AA156" s="1120"/>
      <c r="AB156" s="1114" t="s">
        <v>4766</v>
      </c>
      <c r="AC156" s="1121" t="s">
        <v>4629</v>
      </c>
      <c r="AD156" s="1121"/>
      <c r="AE156" s="1120"/>
      <c r="AF156" s="1120"/>
      <c r="AG156" s="1111" t="s">
        <v>4767</v>
      </c>
      <c r="AH156" s="1122" t="s">
        <v>4768</v>
      </c>
    </row>
    <row r="157" spans="22:34" x14ac:dyDescent="0.2">
      <c r="V157" s="956" t="s">
        <v>1256</v>
      </c>
      <c r="W157" s="957" t="s">
        <v>1256</v>
      </c>
      <c r="X157" s="956" t="s">
        <v>1189</v>
      </c>
      <c r="Y157" s="957" t="s">
        <v>447</v>
      </c>
      <c r="Z157" s="1120"/>
      <c r="AA157" s="1120"/>
      <c r="AB157" s="1114"/>
      <c r="AC157" s="1114"/>
      <c r="AD157" s="1114"/>
      <c r="AE157" s="1120"/>
      <c r="AF157" s="1120"/>
      <c r="AG157" s="1111" t="s">
        <v>1256</v>
      </c>
      <c r="AH157" s="1122"/>
    </row>
    <row ht="157.5" r="158" spans="22:34" x14ac:dyDescent="0.2">
      <c r="V158" s="956" t="s">
        <v>3032</v>
      </c>
      <c r="W158" s="957" t="s">
        <v>251</v>
      </c>
      <c r="X158" s="956" t="s">
        <v>572</v>
      </c>
      <c r="Y158" s="957" t="s">
        <v>448</v>
      </c>
      <c r="Z158" s="1120"/>
      <c r="AA158" s="1120"/>
      <c r="AB158" s="1121">
        <v>0.2</v>
      </c>
      <c r="AC158" s="1121">
        <v>0.15</v>
      </c>
      <c r="AD158" s="1121"/>
      <c r="AE158" s="1120"/>
      <c r="AF158" s="1120"/>
      <c r="AG158" s="1111" t="s">
        <v>4769</v>
      </c>
      <c r="AH158" s="1122" t="s">
        <v>4770</v>
      </c>
    </row>
    <row r="159" spans="22:34" x14ac:dyDescent="0.2">
      <c r="V159" s="956" t="s">
        <v>1257</v>
      </c>
      <c r="W159" s="957" t="s">
        <v>1257</v>
      </c>
      <c r="X159" s="956" t="s">
        <v>1189</v>
      </c>
      <c r="Y159" s="957" t="s">
        <v>449</v>
      </c>
      <c r="Z159" s="1120"/>
      <c r="AA159" s="1120"/>
      <c r="AB159" s="1114"/>
      <c r="AC159" s="1114"/>
      <c r="AD159" s="1114"/>
      <c r="AE159" s="1120"/>
      <c r="AF159" s="1120"/>
      <c r="AG159" s="1111" t="s">
        <v>1257</v>
      </c>
      <c r="AH159" s="1122"/>
    </row>
    <row r="160" spans="22:34" x14ac:dyDescent="0.2">
      <c r="V160" s="956" t="s">
        <v>1258</v>
      </c>
      <c r="W160" s="957" t="s">
        <v>1258</v>
      </c>
      <c r="X160" s="956" t="s">
        <v>1189</v>
      </c>
      <c r="Y160" s="957" t="s">
        <v>450</v>
      </c>
      <c r="Z160" s="1120"/>
      <c r="AA160" s="1120"/>
      <c r="AB160" s="1114"/>
      <c r="AC160" s="1114"/>
      <c r="AD160" s="1114"/>
      <c r="AE160" s="1120"/>
      <c r="AF160" s="1120"/>
      <c r="AG160" s="1111" t="s">
        <v>1258</v>
      </c>
      <c r="AH160" s="1122"/>
    </row>
    <row r="161" spans="22:34" x14ac:dyDescent="0.2">
      <c r="V161" s="956" t="s">
        <v>1964</v>
      </c>
      <c r="W161" s="957" t="s">
        <v>252</v>
      </c>
      <c r="X161" s="956" t="s">
        <v>572</v>
      </c>
      <c r="Y161" s="957" t="s">
        <v>451</v>
      </c>
      <c r="Z161" s="1120"/>
      <c r="AA161" s="1120"/>
      <c r="AB161" s="1114"/>
      <c r="AC161" s="1114"/>
      <c r="AD161" s="1114"/>
      <c r="AE161" s="1120"/>
      <c r="AF161" s="1120"/>
      <c r="AG161" s="1111" t="s">
        <v>4771</v>
      </c>
      <c r="AH161" s="1122"/>
    </row>
    <row r="162" spans="22:34" x14ac:dyDescent="0.2">
      <c r="V162" s="956" t="s">
        <v>1965</v>
      </c>
      <c r="W162" s="957" t="s">
        <v>253</v>
      </c>
      <c r="X162" s="956" t="s">
        <v>572</v>
      </c>
      <c r="Y162" s="957" t="s">
        <v>452</v>
      </c>
      <c r="Z162" s="1120"/>
      <c r="AA162" s="1120"/>
      <c r="AB162" s="1123" t="s">
        <v>4696</v>
      </c>
      <c r="AC162" s="1121" t="s">
        <v>4647</v>
      </c>
      <c r="AD162" s="1121"/>
      <c r="AE162" s="1120"/>
      <c r="AF162" s="1120"/>
      <c r="AG162" s="1111" t="s">
        <v>4772</v>
      </c>
      <c r="AH162" s="1122"/>
    </row>
    <row r="163" spans="22:34" x14ac:dyDescent="0.2">
      <c r="V163" s="956" t="s">
        <v>2485</v>
      </c>
      <c r="W163" s="957" t="s">
        <v>2485</v>
      </c>
      <c r="X163" s="956" t="s">
        <v>1189</v>
      </c>
      <c r="Y163" s="957" t="s">
        <v>453</v>
      </c>
      <c r="Z163" s="1120"/>
      <c r="AA163" s="1120"/>
      <c r="AB163" s="1114"/>
      <c r="AC163" s="1114"/>
      <c r="AD163" s="1114"/>
      <c r="AE163" s="1120"/>
      <c r="AF163" s="1120"/>
      <c r="AG163" s="1111" t="s">
        <v>2485</v>
      </c>
      <c r="AH163" s="1122"/>
    </row>
    <row r="164" spans="22:34" x14ac:dyDescent="0.2">
      <c r="V164" s="956" t="s">
        <v>1259</v>
      </c>
      <c r="W164" s="957" t="s">
        <v>1259</v>
      </c>
      <c r="X164" s="956" t="s">
        <v>1189</v>
      </c>
      <c r="Y164" s="957" t="s">
        <v>454</v>
      </c>
      <c r="Z164" s="1120"/>
      <c r="AA164" s="1120"/>
      <c r="AB164" s="1114"/>
      <c r="AC164" s="1114"/>
      <c r="AD164" s="1114"/>
      <c r="AE164" s="1120"/>
      <c r="AF164" s="1120"/>
      <c r="AG164" s="1111" t="s">
        <v>1259</v>
      </c>
      <c r="AH164" s="1122"/>
    </row>
    <row ht="90" r="165" spans="22:34" x14ac:dyDescent="0.2">
      <c r="V165" s="956" t="s">
        <v>1966</v>
      </c>
      <c r="W165" s="957" t="s">
        <v>254</v>
      </c>
      <c r="X165" s="956" t="s">
        <v>572</v>
      </c>
      <c r="Y165" s="957" t="s">
        <v>455</v>
      </c>
      <c r="Z165" s="1120"/>
      <c r="AA165" s="1120"/>
      <c r="AB165" s="1115">
        <v>0</v>
      </c>
      <c r="AC165" s="1114" t="s">
        <v>4653</v>
      </c>
      <c r="AD165" s="1114"/>
      <c r="AE165" s="1120"/>
      <c r="AF165" s="1120"/>
      <c r="AG165" s="1111" t="s">
        <v>4773</v>
      </c>
      <c r="AH165" s="1122" t="s">
        <v>4774</v>
      </c>
    </row>
    <row r="166" spans="22:34" x14ac:dyDescent="0.2">
      <c r="V166" s="956" t="s">
        <v>1967</v>
      </c>
      <c r="W166" s="957" t="s">
        <v>255</v>
      </c>
      <c r="X166" s="956" t="s">
        <v>572</v>
      </c>
      <c r="Y166" s="957" t="s">
        <v>456</v>
      </c>
      <c r="Z166" s="1120"/>
      <c r="AA166" s="1120"/>
      <c r="AB166" s="1115">
        <v>0</v>
      </c>
      <c r="AC166" s="1121">
        <v>0.15</v>
      </c>
      <c r="AD166" s="1121"/>
      <c r="AE166" s="1120"/>
      <c r="AF166" s="1120"/>
      <c r="AG166" s="1111" t="s">
        <v>4775</v>
      </c>
      <c r="AH166" s="1122"/>
    </row>
    <row r="167" spans="22:34" x14ac:dyDescent="0.2">
      <c r="V167" s="956" t="s">
        <v>1260</v>
      </c>
      <c r="W167" s="957" t="s">
        <v>1260</v>
      </c>
      <c r="X167" s="956" t="s">
        <v>1189</v>
      </c>
      <c r="Y167" s="957" t="s">
        <v>457</v>
      </c>
      <c r="Z167" s="1120"/>
      <c r="AA167" s="1120"/>
      <c r="AB167" s="1114"/>
      <c r="AC167" s="1114"/>
      <c r="AD167" s="1114"/>
      <c r="AE167" s="1120"/>
      <c r="AF167" s="1120"/>
      <c r="AG167" s="1111" t="s">
        <v>1260</v>
      </c>
      <c r="AH167" s="1122"/>
    </row>
    <row r="168" spans="22:34" x14ac:dyDescent="0.2">
      <c r="V168" s="956" t="s">
        <v>1261</v>
      </c>
      <c r="W168" s="957" t="s">
        <v>1261</v>
      </c>
      <c r="X168" s="956" t="s">
        <v>1189</v>
      </c>
      <c r="Y168" s="957" t="s">
        <v>458</v>
      </c>
      <c r="Z168" s="1120"/>
      <c r="AA168" s="1120"/>
      <c r="AB168" s="1114"/>
      <c r="AC168" s="1114"/>
      <c r="AD168" s="1114"/>
      <c r="AE168" s="1120"/>
      <c r="AF168" s="1120"/>
      <c r="AG168" s="1111" t="s">
        <v>1261</v>
      </c>
      <c r="AH168" s="1122"/>
    </row>
    <row r="169" spans="22:34" x14ac:dyDescent="0.2">
      <c r="V169" s="956" t="s">
        <v>1968</v>
      </c>
      <c r="W169" s="957" t="s">
        <v>256</v>
      </c>
      <c r="X169" s="956" t="s">
        <v>572</v>
      </c>
      <c r="Y169" s="957" t="s">
        <v>459</v>
      </c>
      <c r="Z169" s="1120"/>
      <c r="AA169" s="1120"/>
      <c r="AB169" s="1121">
        <v>0.1</v>
      </c>
      <c r="AC169" s="1121">
        <v>0.15</v>
      </c>
      <c r="AD169" s="1121"/>
      <c r="AE169" s="1120"/>
      <c r="AF169" s="1120"/>
      <c r="AG169" s="1111" t="s">
        <v>4776</v>
      </c>
      <c r="AH169" s="1122"/>
    </row>
    <row ht="292.5" r="170" spans="22:34" x14ac:dyDescent="0.2">
      <c r="V170" s="956" t="s">
        <v>1969</v>
      </c>
      <c r="W170" s="957" t="s">
        <v>257</v>
      </c>
      <c r="X170" s="956" t="s">
        <v>572</v>
      </c>
      <c r="Y170" s="957" t="s">
        <v>460</v>
      </c>
      <c r="Z170" s="1120"/>
      <c r="AA170" s="1120"/>
      <c r="AB170" s="1115">
        <v>0</v>
      </c>
      <c r="AC170" s="1121">
        <v>0.1</v>
      </c>
      <c r="AD170" s="1121"/>
      <c r="AE170" s="1120"/>
      <c r="AF170" s="1120"/>
      <c r="AG170" s="1111" t="s">
        <v>4777</v>
      </c>
      <c r="AH170" s="1122" t="s">
        <v>4778</v>
      </c>
    </row>
    <row ht="123.75" r="171" spans="22:34" x14ac:dyDescent="0.2">
      <c r="V171" s="956" t="s">
        <v>1970</v>
      </c>
      <c r="W171" s="957" t="s">
        <v>258</v>
      </c>
      <c r="X171" s="956" t="s">
        <v>572</v>
      </c>
      <c r="Y171" s="957" t="s">
        <v>461</v>
      </c>
      <c r="Z171" s="1120"/>
      <c r="AA171" s="1120"/>
      <c r="AB171" s="1121">
        <v>0.15</v>
      </c>
      <c r="AC171" s="1114" t="s">
        <v>4779</v>
      </c>
      <c r="AD171" s="1114"/>
      <c r="AE171" s="1120"/>
      <c r="AF171" s="1120"/>
      <c r="AG171" s="1111" t="s">
        <v>4780</v>
      </c>
      <c r="AH171" s="1122" t="s">
        <v>4781</v>
      </c>
    </row>
    <row r="172" spans="22:34" x14ac:dyDescent="0.2">
      <c r="V172" s="956" t="s">
        <v>1262</v>
      </c>
      <c r="W172" s="957" t="s">
        <v>1262</v>
      </c>
      <c r="X172" s="956" t="s">
        <v>1189</v>
      </c>
      <c r="Y172" s="957" t="s">
        <v>462</v>
      </c>
      <c r="Z172" s="1120"/>
      <c r="AA172" s="1120"/>
      <c r="AB172" s="1114"/>
      <c r="AC172" s="1114"/>
      <c r="AD172" s="1114"/>
      <c r="AE172" s="1120"/>
      <c r="AF172" s="1120"/>
      <c r="AG172" s="1111" t="s">
        <v>1262</v>
      </c>
      <c r="AH172" s="1122"/>
    </row>
    <row r="173" spans="22:34" x14ac:dyDescent="0.2">
      <c r="V173" s="956" t="s">
        <v>1263</v>
      </c>
      <c r="W173" s="957" t="s">
        <v>1263</v>
      </c>
      <c r="X173" s="956" t="s">
        <v>1189</v>
      </c>
      <c r="Y173" s="957" t="s">
        <v>463</v>
      </c>
      <c r="Z173" s="1120"/>
      <c r="AA173" s="1120"/>
      <c r="AB173" s="1114"/>
      <c r="AC173" s="1114"/>
      <c r="AD173" s="1114"/>
      <c r="AE173" s="1120"/>
      <c r="AF173" s="1120"/>
      <c r="AG173" s="1111" t="s">
        <v>1263</v>
      </c>
      <c r="AH173" s="1122"/>
    </row>
    <row r="174" spans="22:34" x14ac:dyDescent="0.2">
      <c r="V174" s="956" t="s">
        <v>1264</v>
      </c>
      <c r="W174" s="957" t="s">
        <v>1264</v>
      </c>
      <c r="X174" s="956" t="s">
        <v>1189</v>
      </c>
      <c r="Y174" s="957" t="s">
        <v>464</v>
      </c>
      <c r="Z174" s="1120"/>
      <c r="AA174" s="1120"/>
      <c r="AB174" s="1114"/>
      <c r="AC174" s="1114"/>
      <c r="AD174" s="1114"/>
      <c r="AE174" s="1120"/>
      <c r="AF174" s="1120"/>
      <c r="AG174" s="1111" t="s">
        <v>1264</v>
      </c>
      <c r="AH174" s="1122"/>
    </row>
    <row ht="202.5" r="175" spans="22:34" x14ac:dyDescent="0.2">
      <c r="V175" s="956" t="s">
        <v>1971</v>
      </c>
      <c r="W175" s="957" t="s">
        <v>259</v>
      </c>
      <c r="X175" s="956" t="s">
        <v>572</v>
      </c>
      <c r="Y175" s="957" t="s">
        <v>465</v>
      </c>
      <c r="Z175" s="1120"/>
      <c r="AA175" s="1120"/>
      <c r="AB175" s="1114" t="s">
        <v>4631</v>
      </c>
      <c r="AC175" s="1121">
        <v>0.25</v>
      </c>
      <c r="AD175" s="1121"/>
      <c r="AE175" s="1120"/>
      <c r="AF175" s="1120"/>
      <c r="AG175" s="1111" t="s">
        <v>4782</v>
      </c>
      <c r="AH175" s="1122" t="s">
        <v>4783</v>
      </c>
    </row>
    <row r="176" spans="22:34" x14ac:dyDescent="0.2">
      <c r="V176" s="956" t="s">
        <v>1265</v>
      </c>
      <c r="W176" s="957" t="s">
        <v>1265</v>
      </c>
      <c r="X176" s="956" t="s">
        <v>1189</v>
      </c>
      <c r="Y176" s="957" t="s">
        <v>466</v>
      </c>
      <c r="Z176" s="1120"/>
      <c r="AA176" s="1120"/>
      <c r="AB176" s="1114"/>
      <c r="AC176" s="1114"/>
      <c r="AD176" s="1114"/>
      <c r="AE176" s="1120"/>
      <c r="AF176" s="1120"/>
      <c r="AG176" s="1111" t="s">
        <v>1265</v>
      </c>
      <c r="AH176" s="1122"/>
    </row>
    <row r="177" spans="22:34" x14ac:dyDescent="0.2">
      <c r="V177" s="956" t="s">
        <v>1972</v>
      </c>
      <c r="W177" s="957" t="s">
        <v>260</v>
      </c>
      <c r="X177" s="956" t="s">
        <v>572</v>
      </c>
      <c r="Y177" s="957" t="s">
        <v>467</v>
      </c>
      <c r="Z177" s="1120"/>
      <c r="AA177" s="1120"/>
      <c r="AB177" s="1121">
        <v>0.1</v>
      </c>
      <c r="AC177" s="1121">
        <v>0.17</v>
      </c>
      <c r="AD177" s="1121"/>
      <c r="AE177" s="1120"/>
      <c r="AF177" s="1120"/>
      <c r="AG177" s="1111" t="s">
        <v>4784</v>
      </c>
      <c r="AH177" s="1122"/>
    </row>
    <row r="178" spans="22:34" x14ac:dyDescent="0.2">
      <c r="V178" s="956" t="s">
        <v>1973</v>
      </c>
      <c r="W178" s="957" t="s">
        <v>261</v>
      </c>
      <c r="X178" s="956" t="s">
        <v>572</v>
      </c>
      <c r="Y178" s="957" t="s">
        <v>468</v>
      </c>
      <c r="Z178" s="1120"/>
      <c r="AA178" s="1120"/>
      <c r="AB178" s="1121">
        <v>0.05</v>
      </c>
      <c r="AC178" s="1121">
        <v>0.1</v>
      </c>
      <c r="AD178" s="1121"/>
      <c r="AE178" s="1120"/>
      <c r="AF178" s="1120"/>
      <c r="AG178" s="1111" t="s">
        <v>4785</v>
      </c>
      <c r="AH178" s="1122"/>
    </row>
    <row r="179" spans="22:34" x14ac:dyDescent="0.2">
      <c r="V179" s="956" t="s">
        <v>1266</v>
      </c>
      <c r="W179" s="957" t="s">
        <v>1266</v>
      </c>
      <c r="X179" s="956" t="s">
        <v>1189</v>
      </c>
      <c r="Y179" s="957" t="s">
        <v>469</v>
      </c>
      <c r="Z179" s="1120"/>
      <c r="AA179" s="1120"/>
      <c r="AB179" s="1114"/>
      <c r="AC179" s="1114"/>
      <c r="AD179" s="1114"/>
      <c r="AE179" s="1120"/>
      <c r="AF179" s="1120"/>
      <c r="AG179" s="1111" t="s">
        <v>1266</v>
      </c>
      <c r="AH179" s="1122"/>
    </row>
    <row r="180" spans="22:34" x14ac:dyDescent="0.2">
      <c r="V180" s="956" t="s">
        <v>1267</v>
      </c>
      <c r="W180" s="957" t="s">
        <v>1267</v>
      </c>
      <c r="X180" s="956" t="s">
        <v>1189</v>
      </c>
      <c r="Y180" s="957" t="s">
        <v>470</v>
      </c>
      <c r="Z180" s="1120"/>
      <c r="AA180" s="1120"/>
      <c r="AB180" s="1114"/>
      <c r="AC180" s="1114"/>
      <c r="AD180" s="1114"/>
      <c r="AE180" s="1120"/>
      <c r="AF180" s="1120"/>
      <c r="AG180" s="1111" t="s">
        <v>1267</v>
      </c>
      <c r="AH180" s="1122"/>
    </row>
    <row r="181" spans="22:34" x14ac:dyDescent="0.2">
      <c r="V181" s="956" t="s">
        <v>1974</v>
      </c>
      <c r="W181" s="957" t="s">
        <v>262</v>
      </c>
      <c r="X181" s="956" t="s">
        <v>572</v>
      </c>
      <c r="Y181" s="957" t="s">
        <v>471</v>
      </c>
      <c r="Z181" s="1120"/>
      <c r="AA181" s="1120"/>
      <c r="AB181" s="1121" t="s">
        <v>4711</v>
      </c>
      <c r="AC181" s="1121">
        <v>0.15</v>
      </c>
      <c r="AD181" s="1121"/>
      <c r="AE181" s="1120"/>
      <c r="AF181" s="1120"/>
      <c r="AG181" s="1111" t="s">
        <v>4786</v>
      </c>
      <c r="AH181" s="1122"/>
    </row>
    <row r="182" spans="22:34" x14ac:dyDescent="0.2">
      <c r="V182" s="956" t="s">
        <v>1268</v>
      </c>
      <c r="W182" s="957" t="s">
        <v>1268</v>
      </c>
      <c r="X182" s="956" t="s">
        <v>1189</v>
      </c>
      <c r="Y182" s="957" t="s">
        <v>472</v>
      </c>
      <c r="Z182" s="1120"/>
      <c r="AA182" s="1120"/>
      <c r="AB182" s="1114"/>
      <c r="AC182" s="1114"/>
      <c r="AD182" s="1114"/>
      <c r="AE182" s="1120"/>
      <c r="AF182" s="1120"/>
      <c r="AG182" s="1111" t="s">
        <v>1268</v>
      </c>
      <c r="AH182" s="1122"/>
    </row>
    <row r="183" spans="22:34" x14ac:dyDescent="0.2">
      <c r="V183" s="956" t="s">
        <v>1269</v>
      </c>
      <c r="W183" s="957" t="s">
        <v>1269</v>
      </c>
      <c r="X183" s="956" t="s">
        <v>1189</v>
      </c>
      <c r="Y183" s="957" t="s">
        <v>473</v>
      </c>
      <c r="Z183" s="1120"/>
      <c r="AA183" s="1120"/>
      <c r="AB183" s="1114"/>
      <c r="AC183" s="1114"/>
      <c r="AD183" s="1114"/>
      <c r="AE183" s="1120"/>
      <c r="AF183" s="1120"/>
      <c r="AG183" s="1111" t="s">
        <v>1269</v>
      </c>
      <c r="AH183" s="1122"/>
    </row>
    <row ht="157.5" r="184" spans="22:34" x14ac:dyDescent="0.2">
      <c r="V184" s="956" t="s">
        <v>1975</v>
      </c>
      <c r="W184" s="957" t="s">
        <v>263</v>
      </c>
      <c r="X184" s="956" t="s">
        <v>572</v>
      </c>
      <c r="Y184" s="957" t="s">
        <v>474</v>
      </c>
      <c r="Z184" s="1120"/>
      <c r="AA184" s="1120"/>
      <c r="AB184" s="1115">
        <v>0</v>
      </c>
      <c r="AC184" s="1121">
        <v>0</v>
      </c>
      <c r="AD184" s="1121"/>
      <c r="AE184" s="1120"/>
      <c r="AF184" s="1120"/>
      <c r="AG184" s="1111" t="s">
        <v>4787</v>
      </c>
      <c r="AH184" s="1122" t="s">
        <v>4788</v>
      </c>
    </row>
    <row r="185" spans="22:34" x14ac:dyDescent="0.2">
      <c r="V185" s="956" t="s">
        <v>1976</v>
      </c>
      <c r="W185" s="957" t="s">
        <v>264</v>
      </c>
      <c r="X185" s="956" t="s">
        <v>572</v>
      </c>
      <c r="Y185" s="957" t="s">
        <v>475</v>
      </c>
      <c r="Z185" s="1120"/>
      <c r="AA185" s="1120"/>
      <c r="AB185" s="1114"/>
      <c r="AC185" s="1114"/>
      <c r="AD185" s="1114"/>
      <c r="AE185" s="1120"/>
      <c r="AF185" s="1120"/>
      <c r="AG185" s="1111" t="s">
        <v>4789</v>
      </c>
      <c r="AH185" s="1122"/>
    </row>
    <row ht="191.25" r="186" spans="22:34" x14ac:dyDescent="0.2">
      <c r="V186" s="956" t="s">
        <v>1977</v>
      </c>
      <c r="W186" s="957" t="s">
        <v>265</v>
      </c>
      <c r="X186" s="956" t="s">
        <v>572</v>
      </c>
      <c r="Y186" s="957" t="s">
        <v>476</v>
      </c>
      <c r="Z186" s="1120"/>
      <c r="AA186" s="1120"/>
      <c r="AB186" s="1121">
        <v>0.1</v>
      </c>
      <c r="AC186" s="1121">
        <v>0.15</v>
      </c>
      <c r="AD186" s="1121"/>
      <c r="AE186" s="1120"/>
      <c r="AF186" s="1120"/>
      <c r="AG186" s="1111" t="s">
        <v>4790</v>
      </c>
      <c r="AH186" s="1122" t="s">
        <v>4791</v>
      </c>
    </row>
    <row r="187" spans="22:34" x14ac:dyDescent="0.2">
      <c r="V187" s="956" t="s">
        <v>1978</v>
      </c>
      <c r="W187" s="957" t="s">
        <v>266</v>
      </c>
      <c r="X187" s="956" t="s">
        <v>572</v>
      </c>
      <c r="Y187" s="957" t="s">
        <v>477</v>
      </c>
      <c r="Z187" s="1120"/>
      <c r="AA187" s="1120"/>
      <c r="AB187" s="1115">
        <v>0</v>
      </c>
      <c r="AC187" s="1121" t="s">
        <v>4711</v>
      </c>
      <c r="AD187" s="1121"/>
      <c r="AE187" s="1120"/>
      <c r="AF187" s="1120"/>
      <c r="AG187" s="1111" t="s">
        <v>4792</v>
      </c>
      <c r="AH187" s="1122"/>
    </row>
    <row r="188" spans="22:34" x14ac:dyDescent="0.2">
      <c r="V188" s="956" t="s">
        <v>1270</v>
      </c>
      <c r="W188" s="957" t="s">
        <v>1270</v>
      </c>
      <c r="X188" s="956" t="s">
        <v>1189</v>
      </c>
      <c r="Y188" s="957" t="s">
        <v>478</v>
      </c>
      <c r="Z188" s="1120"/>
      <c r="AA188" s="1120"/>
      <c r="AB188" s="1114"/>
      <c r="AC188" s="1114"/>
      <c r="AD188" s="1114"/>
      <c r="AE188" s="1120"/>
      <c r="AF188" s="1120"/>
      <c r="AG188" s="1111" t="s">
        <v>1270</v>
      </c>
      <c r="AH188" s="1122"/>
    </row>
    <row ht="326.25" r="189" spans="22:34" x14ac:dyDescent="0.2">
      <c r="V189" s="956" t="s">
        <v>2543</v>
      </c>
      <c r="W189" s="957" t="s">
        <v>267</v>
      </c>
      <c r="X189" s="956" t="s">
        <v>572</v>
      </c>
      <c r="Y189" s="957" t="s">
        <v>479</v>
      </c>
      <c r="Z189" s="1120"/>
      <c r="AA189" s="1120"/>
      <c r="AB189" s="1114" t="s">
        <v>4665</v>
      </c>
      <c r="AC189" s="1121">
        <v>0.05</v>
      </c>
      <c r="AD189" s="1121"/>
      <c r="AE189" s="1120"/>
      <c r="AF189" s="1120"/>
      <c r="AG189" s="1111" t="s">
        <v>4793</v>
      </c>
      <c r="AH189" s="1122" t="s">
        <v>4794</v>
      </c>
    </row>
    <row ht="112.5" r="190" spans="22:34" x14ac:dyDescent="0.2">
      <c r="V190" s="956" t="s">
        <v>1979</v>
      </c>
      <c r="W190" s="957" t="s">
        <v>268</v>
      </c>
      <c r="X190" s="956" t="s">
        <v>572</v>
      </c>
      <c r="Y190" s="957" t="s">
        <v>480</v>
      </c>
      <c r="Z190" s="1120"/>
      <c r="AA190" s="1120"/>
      <c r="AB190" s="1121" t="s">
        <v>4647</v>
      </c>
      <c r="AC190" s="1114" t="s">
        <v>4631</v>
      </c>
      <c r="AD190" s="1114"/>
      <c r="AE190" s="1120"/>
      <c r="AF190" s="1120"/>
      <c r="AG190" s="1111" t="s">
        <v>4795</v>
      </c>
      <c r="AH190" s="1122" t="s">
        <v>4796</v>
      </c>
    </row>
    <row r="191" spans="22:34" x14ac:dyDescent="0.2">
      <c r="V191" s="956" t="s">
        <v>1271</v>
      </c>
      <c r="W191" s="957" t="s">
        <v>1271</v>
      </c>
      <c r="X191" s="956" t="s">
        <v>1189</v>
      </c>
      <c r="Y191" s="957" t="s">
        <v>481</v>
      </c>
      <c r="Z191" s="1120"/>
      <c r="AA191" s="1120"/>
      <c r="AB191" s="1114"/>
      <c r="AC191" s="1114"/>
      <c r="AD191" s="1114"/>
      <c r="AE191" s="1120"/>
      <c r="AF191" s="1120"/>
      <c r="AG191" s="1111" t="s">
        <v>1271</v>
      </c>
      <c r="AH191" s="1122"/>
    </row>
    <row ht="112.5" r="192" spans="22:34" x14ac:dyDescent="0.2">
      <c r="V192" s="956" t="s">
        <v>1980</v>
      </c>
      <c r="W192" s="957" t="s">
        <v>269</v>
      </c>
      <c r="X192" s="956" t="s">
        <v>572</v>
      </c>
      <c r="Y192" s="957" t="s">
        <v>482</v>
      </c>
      <c r="Z192" s="1120"/>
      <c r="AA192" s="1120"/>
      <c r="AB192" s="1121">
        <v>0.1</v>
      </c>
      <c r="AC192" s="1114" t="s">
        <v>4797</v>
      </c>
      <c r="AD192" s="1114"/>
      <c r="AE192" s="1120"/>
      <c r="AF192" s="1120"/>
      <c r="AG192" s="1111" t="s">
        <v>4798</v>
      </c>
      <c r="AH192" s="1122" t="s">
        <v>4799</v>
      </c>
    </row>
    <row r="193" spans="22:34" x14ac:dyDescent="0.2">
      <c r="V193" s="956" t="s">
        <v>1272</v>
      </c>
      <c r="W193" s="957" t="s">
        <v>1272</v>
      </c>
      <c r="X193" s="956" t="s">
        <v>1189</v>
      </c>
      <c r="Y193" s="957" t="s">
        <v>483</v>
      </c>
      <c r="Z193" s="1120"/>
      <c r="AA193" s="1120"/>
      <c r="AB193" s="1114"/>
      <c r="AC193" s="1114"/>
      <c r="AD193" s="1114"/>
      <c r="AE193" s="1120"/>
      <c r="AF193" s="1120"/>
      <c r="AG193" s="1111" t="s">
        <v>1272</v>
      </c>
      <c r="AH193" s="1122"/>
    </row>
    <row r="194" spans="22:34" x14ac:dyDescent="0.2">
      <c r="V194" s="956" t="s">
        <v>1273</v>
      </c>
      <c r="W194" s="957" t="s">
        <v>1273</v>
      </c>
      <c r="X194" s="956" t="s">
        <v>1189</v>
      </c>
      <c r="Y194" s="957" t="s">
        <v>484</v>
      </c>
      <c r="Z194" s="1120"/>
      <c r="AA194" s="1120"/>
      <c r="AB194" s="1114"/>
      <c r="AC194" s="1114"/>
      <c r="AD194" s="1114"/>
      <c r="AE194" s="1120"/>
      <c r="AF194" s="1120"/>
      <c r="AG194" s="1111" t="s">
        <v>1273</v>
      </c>
      <c r="AH194" s="1122"/>
    </row>
    <row r="195" spans="22:34" x14ac:dyDescent="0.2">
      <c r="V195" s="956" t="s">
        <v>1981</v>
      </c>
      <c r="W195" s="957" t="s">
        <v>270</v>
      </c>
      <c r="X195" s="956" t="s">
        <v>572</v>
      </c>
      <c r="Y195" s="957" t="s">
        <v>485</v>
      </c>
      <c r="Z195" s="1120"/>
      <c r="AA195" s="1120"/>
      <c r="AB195" s="1114" t="s">
        <v>4628</v>
      </c>
      <c r="AC195" s="1114" t="s">
        <v>4648</v>
      </c>
      <c r="AD195" s="1114" t="s">
        <v>4648</v>
      </c>
      <c r="AE195" s="1120"/>
      <c r="AF195" s="1120"/>
      <c r="AG195" s="1111" t="s">
        <v>4800</v>
      </c>
      <c r="AH195" s="1122"/>
    </row>
    <row r="196" spans="22:34" x14ac:dyDescent="0.2">
      <c r="V196" s="956" t="s">
        <v>1982</v>
      </c>
      <c r="W196" s="957" t="s">
        <v>271</v>
      </c>
      <c r="X196" s="956" t="s">
        <v>572</v>
      </c>
      <c r="Y196" s="957" t="s">
        <v>486</v>
      </c>
      <c r="Z196" s="1120"/>
      <c r="AA196" s="1120"/>
      <c r="AB196" s="1114" t="s">
        <v>4628</v>
      </c>
      <c r="AC196" s="1114" t="s">
        <v>4648</v>
      </c>
      <c r="AD196" s="1114" t="s">
        <v>4648</v>
      </c>
      <c r="AE196" s="1120"/>
      <c r="AF196" s="1120"/>
      <c r="AG196" s="1111" t="s">
        <v>4801</v>
      </c>
      <c r="AH196" s="1122"/>
    </row>
    <row r="197" spans="22:34" x14ac:dyDescent="0.2">
      <c r="V197" s="956" t="s">
        <v>1274</v>
      </c>
      <c r="W197" s="957" t="s">
        <v>1274</v>
      </c>
      <c r="X197" s="956" t="s">
        <v>1189</v>
      </c>
      <c r="Y197" s="957" t="s">
        <v>487</v>
      </c>
      <c r="Z197" s="1120"/>
      <c r="AA197" s="1120"/>
      <c r="AB197" s="1114"/>
      <c r="AC197" s="1114"/>
      <c r="AD197" s="1114"/>
      <c r="AE197" s="1120"/>
      <c r="AF197" s="1120"/>
      <c r="AG197" s="1111" t="s">
        <v>1274</v>
      </c>
      <c r="AH197" s="1122"/>
    </row>
    <row r="198" spans="22:34" x14ac:dyDescent="0.2">
      <c r="V198" s="956" t="s">
        <v>1275</v>
      </c>
      <c r="W198" s="957" t="s">
        <v>1275</v>
      </c>
      <c r="X198" s="956" t="s">
        <v>1189</v>
      </c>
      <c r="Y198" s="957" t="s">
        <v>488</v>
      </c>
      <c r="Z198" s="1120"/>
      <c r="AA198" s="1120"/>
      <c r="AB198" s="1114"/>
      <c r="AC198" s="1114"/>
      <c r="AD198" s="1114"/>
      <c r="AE198" s="1120"/>
      <c r="AF198" s="1120"/>
      <c r="AG198" s="1111" t="s">
        <v>1275</v>
      </c>
      <c r="AH198" s="1122"/>
    </row>
    <row r="199" spans="22:34" x14ac:dyDescent="0.2">
      <c r="V199" s="956" t="s">
        <v>1276</v>
      </c>
      <c r="W199" s="957" t="s">
        <v>1276</v>
      </c>
      <c r="X199" s="956" t="s">
        <v>1189</v>
      </c>
      <c r="Y199" s="957" t="s">
        <v>489</v>
      </c>
      <c r="Z199" s="1120"/>
      <c r="AA199" s="1120"/>
      <c r="AB199" s="1114"/>
      <c r="AC199" s="1114"/>
      <c r="AD199" s="1114"/>
      <c r="AE199" s="1120"/>
      <c r="AF199" s="1120"/>
      <c r="AG199" s="1111" t="s">
        <v>1276</v>
      </c>
      <c r="AH199" s="1122"/>
    </row>
    <row r="200" spans="22:34" x14ac:dyDescent="0.2">
      <c r="V200" s="956" t="s">
        <v>1277</v>
      </c>
      <c r="W200" s="957" t="s">
        <v>1277</v>
      </c>
      <c r="X200" s="956" t="s">
        <v>1189</v>
      </c>
      <c r="Y200" s="957" t="s">
        <v>490</v>
      </c>
      <c r="Z200" s="1120"/>
      <c r="AA200" s="1120"/>
      <c r="AB200" s="1114"/>
      <c r="AC200" s="1114"/>
      <c r="AD200" s="1114"/>
      <c r="AE200" s="1120"/>
      <c r="AF200" s="1120"/>
      <c r="AG200" s="1111" t="s">
        <v>1277</v>
      </c>
      <c r="AH200" s="1122"/>
    </row>
    <row r="201" spans="22:34" x14ac:dyDescent="0.2">
      <c r="V201" s="956" t="s">
        <v>1983</v>
      </c>
      <c r="W201" s="957" t="s">
        <v>272</v>
      </c>
      <c r="X201" s="956" t="s">
        <v>572</v>
      </c>
      <c r="Y201" s="957" t="s">
        <v>491</v>
      </c>
      <c r="Z201" s="1120"/>
      <c r="AA201" s="1120"/>
      <c r="AB201" s="1121">
        <v>0.1</v>
      </c>
      <c r="AC201" s="1121">
        <v>0.15</v>
      </c>
      <c r="AD201" s="1121"/>
      <c r="AE201" s="1120"/>
      <c r="AF201" s="1120"/>
      <c r="AG201" s="1111" t="s">
        <v>4802</v>
      </c>
      <c r="AH201" s="1122"/>
    </row>
    <row r="202" spans="22:34" x14ac:dyDescent="0.2">
      <c r="V202" s="956" t="s">
        <v>1278</v>
      </c>
      <c r="W202" s="957" t="s">
        <v>1278</v>
      </c>
      <c r="X202" s="956" t="s">
        <v>1189</v>
      </c>
      <c r="Y202" s="957" t="s">
        <v>492</v>
      </c>
      <c r="Z202" s="1120"/>
      <c r="AA202" s="1120"/>
      <c r="AB202" s="1114"/>
      <c r="AC202" s="1114"/>
      <c r="AD202" s="1114"/>
      <c r="AE202" s="1120"/>
      <c r="AF202" s="1120"/>
      <c r="AG202" s="1111" t="s">
        <v>1278</v>
      </c>
      <c r="AH202" s="1122"/>
    </row>
    <row r="203" spans="22:34" x14ac:dyDescent="0.2">
      <c r="V203" s="956" t="s">
        <v>1279</v>
      </c>
      <c r="W203" s="957" t="s">
        <v>1279</v>
      </c>
      <c r="X203" s="956" t="s">
        <v>1189</v>
      </c>
      <c r="Y203" s="957" t="s">
        <v>493</v>
      </c>
      <c r="Z203" s="1120"/>
      <c r="AA203" s="1120"/>
      <c r="AB203" s="1114"/>
      <c r="AC203" s="1114"/>
      <c r="AD203" s="1114"/>
      <c r="AE203" s="1120"/>
      <c r="AF203" s="1120"/>
      <c r="AG203" s="1111" t="s">
        <v>1279</v>
      </c>
      <c r="AH203" s="1122"/>
    </row>
    <row r="204" spans="22:34" x14ac:dyDescent="0.2">
      <c r="V204" s="956" t="s">
        <v>1280</v>
      </c>
      <c r="W204" s="957" t="s">
        <v>1280</v>
      </c>
      <c r="X204" s="956" t="s">
        <v>1189</v>
      </c>
      <c r="Y204" s="957" t="s">
        <v>494</v>
      </c>
      <c r="Z204" s="1120"/>
      <c r="AA204" s="1120"/>
      <c r="AB204" s="1114"/>
      <c r="AC204" s="1114"/>
      <c r="AD204" s="1114"/>
      <c r="AE204" s="1120"/>
      <c r="AF204" s="1120"/>
      <c r="AG204" s="1111" t="s">
        <v>1280</v>
      </c>
      <c r="AH204" s="1122"/>
    </row>
    <row ht="56.25" r="205" spans="22:34" x14ac:dyDescent="0.2">
      <c r="V205" s="956" t="s">
        <v>1984</v>
      </c>
      <c r="W205" s="957" t="s">
        <v>273</v>
      </c>
      <c r="X205" s="956" t="s">
        <v>572</v>
      </c>
      <c r="Y205" s="957" t="s">
        <v>495</v>
      </c>
      <c r="Z205" s="1120"/>
      <c r="AA205" s="1120"/>
      <c r="AB205" s="1115">
        <v>0</v>
      </c>
      <c r="AC205" s="1121">
        <v>0.15</v>
      </c>
      <c r="AD205" s="1121"/>
      <c r="AE205" s="1120"/>
      <c r="AF205" s="1120"/>
      <c r="AG205" s="1111" t="s">
        <v>4803</v>
      </c>
      <c r="AH205" s="1122" t="s">
        <v>4804</v>
      </c>
    </row>
    <row r="206" spans="22:34" x14ac:dyDescent="0.2">
      <c r="V206" s="956" t="s">
        <v>1985</v>
      </c>
      <c r="W206" s="957" t="s">
        <v>274</v>
      </c>
      <c r="X206" s="956" t="s">
        <v>572</v>
      </c>
      <c r="Y206" s="957" t="s">
        <v>496</v>
      </c>
      <c r="Z206" s="1120"/>
      <c r="AA206" s="1120"/>
      <c r="AB206" s="1121">
        <v>0.05</v>
      </c>
      <c r="AC206" s="1121">
        <v>0.15</v>
      </c>
      <c r="AD206" s="1121"/>
      <c r="AE206" s="1120"/>
      <c r="AF206" s="1120"/>
      <c r="AG206" s="1111" t="s">
        <v>4805</v>
      </c>
      <c r="AH206" s="1122"/>
    </row>
    <row r="207" spans="22:34" x14ac:dyDescent="0.2">
      <c r="V207" s="956" t="s">
        <v>813</v>
      </c>
      <c r="W207" s="957" t="s">
        <v>275</v>
      </c>
      <c r="X207" s="956" t="s">
        <v>572</v>
      </c>
      <c r="Y207" s="957" t="s">
        <v>497</v>
      </c>
      <c r="Z207" s="1120"/>
      <c r="AA207" s="1120"/>
      <c r="AB207" s="1115">
        <v>0</v>
      </c>
      <c r="AC207" s="1121">
        <v>0.05</v>
      </c>
      <c r="AD207" s="1121"/>
      <c r="AE207" s="1120"/>
      <c r="AF207" s="1120"/>
      <c r="AG207" s="1111" t="s">
        <v>4806</v>
      </c>
      <c r="AH207" s="1122"/>
    </row>
    <row r="208" spans="22:34" x14ac:dyDescent="0.2">
      <c r="V208" s="956" t="s">
        <v>1986</v>
      </c>
      <c r="W208" s="957" t="s">
        <v>276</v>
      </c>
      <c r="X208" s="956" t="s">
        <v>572</v>
      </c>
      <c r="Y208" s="957" t="s">
        <v>498</v>
      </c>
      <c r="Z208" s="1120"/>
      <c r="AA208" s="1120"/>
      <c r="AB208" s="1114" t="s">
        <v>4628</v>
      </c>
      <c r="AC208" s="1121">
        <v>0.15</v>
      </c>
      <c r="AD208" s="1121"/>
      <c r="AE208" s="1120"/>
      <c r="AF208" s="1120"/>
      <c r="AG208" s="1111" t="s">
        <v>4807</v>
      </c>
      <c r="AH208" s="1122"/>
    </row>
    <row r="209" spans="22:34" x14ac:dyDescent="0.2">
      <c r="V209" s="956" t="s">
        <v>1987</v>
      </c>
      <c r="W209" s="957" t="s">
        <v>277</v>
      </c>
      <c r="X209" s="956" t="s">
        <v>572</v>
      </c>
      <c r="Y209" s="957" t="s">
        <v>499</v>
      </c>
      <c r="Z209" s="1120"/>
      <c r="AA209" s="1120"/>
      <c r="AB209" s="1114"/>
      <c r="AC209" s="1114"/>
      <c r="AD209" s="1114"/>
      <c r="AE209" s="1120"/>
      <c r="AF209" s="1120"/>
      <c r="AG209" s="1111" t="s">
        <v>4808</v>
      </c>
      <c r="AH209" s="1122"/>
    </row>
    <row r="210" spans="22:34" x14ac:dyDescent="0.2">
      <c r="V210" s="956" t="s">
        <v>1281</v>
      </c>
      <c r="W210" s="957" t="s">
        <v>1281</v>
      </c>
      <c r="X210" s="956" t="s">
        <v>1189</v>
      </c>
      <c r="Y210" s="957" t="s">
        <v>500</v>
      </c>
      <c r="Z210" s="1120"/>
      <c r="AA210" s="1120"/>
      <c r="AB210" s="1114"/>
      <c r="AC210" s="1114"/>
      <c r="AD210" s="1114"/>
      <c r="AE210" s="1120"/>
      <c r="AF210" s="1120"/>
      <c r="AG210" s="1111" t="s">
        <v>1281</v>
      </c>
      <c r="AH210" s="1122"/>
    </row>
    <row r="211" spans="22:34" x14ac:dyDescent="0.2">
      <c r="V211" s="956" t="s">
        <v>1282</v>
      </c>
      <c r="W211" s="957" t="s">
        <v>1282</v>
      </c>
      <c r="X211" s="956" t="s">
        <v>1189</v>
      </c>
      <c r="Y211" s="957" t="s">
        <v>501</v>
      </c>
      <c r="Z211" s="1120"/>
      <c r="AA211" s="1120"/>
      <c r="AB211" s="1114"/>
      <c r="AC211" s="1114"/>
      <c r="AD211" s="1114"/>
      <c r="AE211" s="1120"/>
      <c r="AF211" s="1120"/>
      <c r="AG211" s="1111" t="s">
        <v>1282</v>
      </c>
      <c r="AH211" s="1122"/>
    </row>
    <row r="212" spans="22:34" x14ac:dyDescent="0.2">
      <c r="V212" s="956" t="s">
        <v>3256</v>
      </c>
      <c r="W212" s="957" t="s">
        <v>3256</v>
      </c>
      <c r="X212" s="956" t="s">
        <v>1189</v>
      </c>
      <c r="Y212" s="957" t="s">
        <v>502</v>
      </c>
      <c r="Z212" s="1120"/>
      <c r="AA212" s="1120"/>
      <c r="AB212" s="1114"/>
      <c r="AC212" s="1114"/>
      <c r="AD212" s="1114"/>
      <c r="AE212" s="1120"/>
      <c r="AF212" s="1120"/>
      <c r="AG212" s="1111" t="s">
        <v>3256</v>
      </c>
      <c r="AH212" s="1122"/>
    </row>
    <row r="213" spans="22:34" x14ac:dyDescent="0.2">
      <c r="V213" s="956" t="s">
        <v>1283</v>
      </c>
      <c r="W213" s="957" t="s">
        <v>1283</v>
      </c>
      <c r="X213" s="956" t="s">
        <v>1189</v>
      </c>
      <c r="Y213" s="957" t="s">
        <v>503</v>
      </c>
      <c r="Z213" s="1120"/>
      <c r="AA213" s="1120"/>
      <c r="AB213" s="1114"/>
      <c r="AC213" s="1114"/>
      <c r="AD213" s="1114"/>
      <c r="AE213" s="1120"/>
      <c r="AF213" s="1120"/>
      <c r="AG213" s="1111" t="s">
        <v>1283</v>
      </c>
      <c r="AH213" s="1122"/>
    </row>
    <row r="214" spans="22:34" x14ac:dyDescent="0.2">
      <c r="V214" s="956" t="s">
        <v>1284</v>
      </c>
      <c r="W214" s="957" t="s">
        <v>1284</v>
      </c>
      <c r="X214" s="956" t="s">
        <v>1189</v>
      </c>
      <c r="Y214" s="957" t="s">
        <v>504</v>
      </c>
      <c r="Z214" s="1120"/>
      <c r="AA214" s="1120"/>
      <c r="AB214" s="1114"/>
      <c r="AC214" s="1114"/>
      <c r="AD214" s="1114"/>
      <c r="AE214" s="1120"/>
      <c r="AF214" s="1120"/>
      <c r="AG214" s="1111" t="s">
        <v>1284</v>
      </c>
      <c r="AH214" s="1122"/>
    </row>
    <row ht="213.75" r="215" spans="22:34" x14ac:dyDescent="0.2">
      <c r="V215" s="956" t="s">
        <v>1988</v>
      </c>
      <c r="W215" s="957" t="s">
        <v>278</v>
      </c>
      <c r="X215" s="956" t="s">
        <v>572</v>
      </c>
      <c r="Y215" s="957" t="s">
        <v>505</v>
      </c>
      <c r="Z215" s="1120"/>
      <c r="AA215" s="1120"/>
      <c r="AB215" s="1114" t="s">
        <v>4809</v>
      </c>
      <c r="AC215" s="1114" t="s">
        <v>4779</v>
      </c>
      <c r="AD215" s="1114"/>
      <c r="AE215" s="1120"/>
      <c r="AF215" s="1120"/>
      <c r="AG215" s="1111" t="s">
        <v>4810</v>
      </c>
      <c r="AH215" s="1122" t="s">
        <v>4811</v>
      </c>
    </row>
    <row r="216" spans="22:34" x14ac:dyDescent="0.2">
      <c r="V216" s="956" t="s">
        <v>1989</v>
      </c>
      <c r="W216" s="957" t="s">
        <v>279</v>
      </c>
      <c r="X216" s="956" t="s">
        <v>572</v>
      </c>
      <c r="Y216" s="957" t="s">
        <v>506</v>
      </c>
      <c r="Z216" s="1120"/>
      <c r="AA216" s="1120"/>
      <c r="AB216" s="1115">
        <v>0</v>
      </c>
      <c r="AC216" s="1114">
        <v>0</v>
      </c>
      <c r="AD216" s="1114"/>
      <c r="AE216" s="1120"/>
      <c r="AF216" s="1120"/>
      <c r="AG216" s="1111" t="s">
        <v>4812</v>
      </c>
      <c r="AH216" s="1122"/>
    </row>
    <row r="217" spans="22:34" x14ac:dyDescent="0.2">
      <c r="V217" s="956" t="s">
        <v>1285</v>
      </c>
      <c r="W217" s="957" t="s">
        <v>1285</v>
      </c>
      <c r="X217" s="956" t="s">
        <v>1189</v>
      </c>
      <c r="Y217" s="957" t="s">
        <v>507</v>
      </c>
      <c r="Z217" s="1120"/>
      <c r="AA217" s="1120"/>
      <c r="AB217" s="1114"/>
      <c r="AC217" s="1114"/>
      <c r="AD217" s="1114"/>
      <c r="AE217" s="1120"/>
      <c r="AF217" s="1120"/>
      <c r="AG217" s="1111" t="s">
        <v>1285</v>
      </c>
      <c r="AH217" s="1122"/>
    </row>
    <row r="218" spans="22:34" x14ac:dyDescent="0.2">
      <c r="V218" s="956" t="s">
        <v>1990</v>
      </c>
      <c r="W218" s="957" t="s">
        <v>280</v>
      </c>
      <c r="X218" s="956" t="s">
        <v>572</v>
      </c>
      <c r="Y218" s="957" t="s">
        <v>508</v>
      </c>
      <c r="Z218" s="1120"/>
      <c r="AA218" s="1120"/>
      <c r="AB218" s="1115">
        <v>0</v>
      </c>
      <c r="AC218" s="1114">
        <v>0</v>
      </c>
      <c r="AD218" s="1114"/>
      <c r="AE218" s="1120"/>
      <c r="AF218" s="1120"/>
      <c r="AG218" s="1111" t="s">
        <v>4813</v>
      </c>
      <c r="AH218" s="1122"/>
    </row>
    <row r="219" spans="22:34" x14ac:dyDescent="0.2">
      <c r="V219" s="956" t="s">
        <v>1286</v>
      </c>
      <c r="W219" s="957" t="s">
        <v>1286</v>
      </c>
      <c r="X219" s="956" t="s">
        <v>1189</v>
      </c>
      <c r="Y219" s="957" t="s">
        <v>509</v>
      </c>
      <c r="Z219" s="1120"/>
      <c r="AA219" s="1120"/>
      <c r="AB219" s="1114"/>
      <c r="AC219" s="1114"/>
      <c r="AD219" s="1114"/>
      <c r="AE219" s="1120"/>
      <c r="AF219" s="1120"/>
      <c r="AG219" s="1111" t="s">
        <v>1286</v>
      </c>
      <c r="AH219" s="1122"/>
    </row>
    <row r="220" spans="22:34" x14ac:dyDescent="0.2">
      <c r="V220" s="956" t="s">
        <v>1287</v>
      </c>
      <c r="W220" s="957" t="s">
        <v>1287</v>
      </c>
      <c r="X220" s="956" t="s">
        <v>1189</v>
      </c>
      <c r="Y220" s="957" t="s">
        <v>510</v>
      </c>
      <c r="Z220" s="1120"/>
      <c r="AA220" s="1120"/>
      <c r="AB220" s="1114"/>
      <c r="AC220" s="1114"/>
      <c r="AD220" s="1114"/>
      <c r="AE220" s="1120"/>
      <c r="AF220" s="1120"/>
      <c r="AG220" s="1111" t="s">
        <v>1287</v>
      </c>
      <c r="AH220" s="1122"/>
    </row>
    <row ht="56.25" r="221" spans="22:34" x14ac:dyDescent="0.2">
      <c r="V221" s="956" t="s">
        <v>1991</v>
      </c>
      <c r="W221" s="957" t="s">
        <v>281</v>
      </c>
      <c r="X221" s="956" t="s">
        <v>572</v>
      </c>
      <c r="Y221" s="957" t="s">
        <v>511</v>
      </c>
      <c r="Z221" s="1120"/>
      <c r="AA221" s="1120"/>
      <c r="AB221" s="1121">
        <v>0.1</v>
      </c>
      <c r="AC221" s="1121">
        <v>0.2</v>
      </c>
      <c r="AD221" s="1121"/>
      <c r="AE221" s="1120"/>
      <c r="AF221" s="1120"/>
      <c r="AG221" s="1111" t="s">
        <v>4814</v>
      </c>
      <c r="AH221" s="1122" t="s">
        <v>4815</v>
      </c>
    </row>
    <row r="222" spans="22:34" x14ac:dyDescent="0.2">
      <c r="V222" s="956" t="s">
        <v>1992</v>
      </c>
      <c r="W222" s="957" t="s">
        <v>282</v>
      </c>
      <c r="X222" s="956" t="s">
        <v>572</v>
      </c>
      <c r="Y222" s="957" t="s">
        <v>512</v>
      </c>
      <c r="Z222" s="1120"/>
      <c r="AA222" s="1120"/>
      <c r="AB222" s="1121">
        <v>0.12</v>
      </c>
      <c r="AC222" s="1121">
        <v>0.2</v>
      </c>
      <c r="AD222" s="1121"/>
      <c r="AE222" s="1120"/>
      <c r="AF222" s="1120"/>
      <c r="AG222" s="1111" t="s">
        <v>4816</v>
      </c>
      <c r="AH222" s="1122"/>
    </row>
    <row r="223" spans="22:34" x14ac:dyDescent="0.2">
      <c r="V223" s="956" t="s">
        <v>1993</v>
      </c>
      <c r="W223" s="957" t="s">
        <v>283</v>
      </c>
      <c r="X223" s="956" t="s">
        <v>572</v>
      </c>
      <c r="Y223" s="957" t="s">
        <v>513</v>
      </c>
      <c r="Z223" s="1120"/>
      <c r="AA223" s="1120"/>
      <c r="AB223" s="1121">
        <v>0.15</v>
      </c>
      <c r="AC223" s="1121">
        <v>0.2</v>
      </c>
      <c r="AD223" s="1121"/>
      <c r="AE223" s="1120"/>
      <c r="AF223" s="1120"/>
      <c r="AG223" s="1111" t="s">
        <v>4817</v>
      </c>
      <c r="AH223" s="1122"/>
    </row>
    <row r="224" spans="22:34" x14ac:dyDescent="0.2">
      <c r="V224" s="956" t="s">
        <v>1994</v>
      </c>
      <c r="W224" s="957" t="s">
        <v>284</v>
      </c>
      <c r="X224" s="956" t="s">
        <v>572</v>
      </c>
      <c r="Y224" s="957" t="s">
        <v>514</v>
      </c>
      <c r="Z224" s="1120"/>
      <c r="AA224" s="1120"/>
      <c r="AB224" s="1114" t="s">
        <v>4628</v>
      </c>
      <c r="AC224" s="1114" t="s">
        <v>4648</v>
      </c>
      <c r="AD224" s="1114" t="s">
        <v>4648</v>
      </c>
      <c r="AE224" s="1120"/>
      <c r="AF224" s="1120"/>
      <c r="AG224" s="1111" t="s">
        <v>4818</v>
      </c>
      <c r="AH224" s="1122"/>
    </row>
    <row r="225" spans="22:34" x14ac:dyDescent="0.2">
      <c r="V225" s="956" t="s">
        <v>1995</v>
      </c>
      <c r="W225" s="957" t="s">
        <v>285</v>
      </c>
      <c r="X225" s="956" t="s">
        <v>572</v>
      </c>
      <c r="Y225" s="957" t="s">
        <v>515</v>
      </c>
      <c r="Z225" s="1120"/>
      <c r="AA225" s="1120"/>
      <c r="AB225" s="1121" t="s">
        <v>4711</v>
      </c>
      <c r="AC225" s="1121" t="s">
        <v>4711</v>
      </c>
      <c r="AD225" s="1121"/>
      <c r="AE225" s="1120"/>
      <c r="AF225" s="1120"/>
      <c r="AG225" s="1111" t="s">
        <v>4819</v>
      </c>
      <c r="AH225" s="1122"/>
    </row>
    <row r="226" spans="22:34" x14ac:dyDescent="0.2">
      <c r="V226" s="956" t="s">
        <v>1288</v>
      </c>
      <c r="W226" s="957" t="s">
        <v>1288</v>
      </c>
      <c r="X226" s="956" t="s">
        <v>1189</v>
      </c>
      <c r="Y226" s="957" t="s">
        <v>516</v>
      </c>
      <c r="Z226" s="1120"/>
      <c r="AA226" s="1120"/>
      <c r="AB226" s="1114"/>
      <c r="AC226" s="1114"/>
      <c r="AD226" s="1114"/>
      <c r="AE226" s="1120"/>
      <c r="AF226" s="1120"/>
      <c r="AG226" s="1111" t="s">
        <v>1288</v>
      </c>
      <c r="AH226" s="1122"/>
    </row>
    <row r="227" spans="22:34" x14ac:dyDescent="0.2">
      <c r="V227" s="956" t="s">
        <v>1996</v>
      </c>
      <c r="W227" s="957" t="s">
        <v>286</v>
      </c>
      <c r="X227" s="956" t="s">
        <v>572</v>
      </c>
      <c r="Y227" s="957" t="s">
        <v>517</v>
      </c>
      <c r="Z227" s="1120"/>
      <c r="AA227" s="1120"/>
      <c r="AB227" s="1121">
        <v>0.15</v>
      </c>
      <c r="AC227" s="1121">
        <v>0.15</v>
      </c>
      <c r="AD227" s="1121"/>
      <c r="AE227" s="1120"/>
      <c r="AF227" s="1120"/>
      <c r="AG227" s="1111" t="s">
        <v>4820</v>
      </c>
      <c r="AH227" s="1122"/>
    </row>
    <row r="228" spans="22:34" x14ac:dyDescent="0.2">
      <c r="V228" s="956" t="s">
        <v>1997</v>
      </c>
      <c r="W228" s="957" t="s">
        <v>287</v>
      </c>
      <c r="X228" s="956" t="s">
        <v>572</v>
      </c>
      <c r="Y228" s="957" t="s">
        <v>518</v>
      </c>
      <c r="Z228" s="1120"/>
      <c r="AA228" s="1120"/>
      <c r="AB228" s="1114" t="s">
        <v>4648</v>
      </c>
      <c r="AC228" s="1121" t="s">
        <v>4711</v>
      </c>
      <c r="AD228" s="1121"/>
      <c r="AE228" s="1120"/>
      <c r="AF228" s="1120"/>
      <c r="AG228" s="1111" t="s">
        <v>4821</v>
      </c>
      <c r="AH228" s="1122"/>
    </row>
    <row r="229" spans="22:34" x14ac:dyDescent="0.2">
      <c r="V229" s="956" t="s">
        <v>1289</v>
      </c>
      <c r="W229" s="957" t="s">
        <v>1289</v>
      </c>
      <c r="X229" s="956" t="s">
        <v>1189</v>
      </c>
      <c r="Y229" s="957" t="s">
        <v>519</v>
      </c>
      <c r="Z229" s="1120"/>
      <c r="AA229" s="1120"/>
      <c r="AB229" s="1114"/>
      <c r="AC229" s="1114"/>
      <c r="AD229" s="1114"/>
      <c r="AE229" s="1120"/>
      <c r="AF229" s="1120"/>
      <c r="AG229" s="1111" t="s">
        <v>1289</v>
      </c>
      <c r="AH229" s="1122"/>
    </row>
    <row r="230" spans="22:34" x14ac:dyDescent="0.2">
      <c r="V230" s="956" t="s">
        <v>1563</v>
      </c>
      <c r="W230" s="957" t="s">
        <v>288</v>
      </c>
      <c r="X230" s="956" t="s">
        <v>572</v>
      </c>
      <c r="Y230" s="957" t="s">
        <v>520</v>
      </c>
      <c r="Z230" s="1120"/>
      <c r="AA230" s="1120"/>
      <c r="AB230" s="1115">
        <v>0</v>
      </c>
      <c r="AC230" s="1121">
        <v>0.15</v>
      </c>
      <c r="AD230" s="1121"/>
      <c r="AE230" s="1120"/>
      <c r="AF230" s="1120"/>
      <c r="AG230" s="1111" t="s">
        <v>4822</v>
      </c>
      <c r="AH230" s="1122"/>
    </row>
    <row r="231" spans="22:34" x14ac:dyDescent="0.2">
      <c r="V231" s="956" t="s">
        <v>1998</v>
      </c>
      <c r="W231" s="957" t="s">
        <v>289</v>
      </c>
      <c r="X231" s="956" t="s">
        <v>572</v>
      </c>
      <c r="Y231" s="957" t="s">
        <v>521</v>
      </c>
      <c r="Z231" s="1120"/>
      <c r="AA231" s="1120"/>
      <c r="AB231" s="1121">
        <v>0.05</v>
      </c>
      <c r="AC231" s="1121">
        <v>0.1</v>
      </c>
      <c r="AD231" s="1121"/>
      <c r="AE231" s="1120"/>
      <c r="AF231" s="1120"/>
      <c r="AG231" s="1111" t="s">
        <v>4823</v>
      </c>
      <c r="AH231" s="1122"/>
    </row>
    <row r="232" spans="22:34" x14ac:dyDescent="0.2">
      <c r="V232" s="956" t="s">
        <v>1290</v>
      </c>
      <c r="W232" s="957" t="s">
        <v>1290</v>
      </c>
      <c r="X232" s="956" t="s">
        <v>1189</v>
      </c>
      <c r="Y232" s="957" t="s">
        <v>522</v>
      </c>
      <c r="Z232" s="1120"/>
      <c r="AA232" s="1120"/>
      <c r="AB232" s="1114"/>
      <c r="AC232" s="1114"/>
      <c r="AD232" s="1114"/>
      <c r="AE232" s="1120"/>
      <c r="AF232" s="1120"/>
      <c r="AG232" s="1111" t="s">
        <v>1290</v>
      </c>
      <c r="AH232" s="1122"/>
    </row>
    <row r="233" spans="22:34" x14ac:dyDescent="0.2">
      <c r="V233" s="956" t="s">
        <v>3487</v>
      </c>
      <c r="W233" s="957" t="s">
        <v>3487</v>
      </c>
      <c r="X233" s="956" t="s">
        <v>1189</v>
      </c>
      <c r="Y233" s="957" t="s">
        <v>523</v>
      </c>
      <c r="Z233" s="1120"/>
      <c r="AA233" s="1120"/>
      <c r="AB233" s="1114"/>
      <c r="AC233" s="1114"/>
      <c r="AD233" s="1114"/>
      <c r="AE233" s="1120"/>
      <c r="AF233" s="1120"/>
      <c r="AG233" s="1111" t="s">
        <v>3487</v>
      </c>
      <c r="AH233" s="1122"/>
    </row>
    <row ht="67.5" r="234" spans="22:34" x14ac:dyDescent="0.2">
      <c r="V234" s="956" t="s">
        <v>1999</v>
      </c>
      <c r="W234" s="957" t="s">
        <v>290</v>
      </c>
      <c r="X234" s="956" t="s">
        <v>572</v>
      </c>
      <c r="Y234" s="957" t="s">
        <v>524</v>
      </c>
      <c r="Z234" s="1120"/>
      <c r="AA234" s="1120"/>
      <c r="AB234" s="1114" t="s">
        <v>4750</v>
      </c>
      <c r="AC234" s="1121">
        <v>0.1</v>
      </c>
      <c r="AD234" s="1121"/>
      <c r="AE234" s="1120"/>
      <c r="AF234" s="1120"/>
      <c r="AG234" s="1111" t="s">
        <v>4824</v>
      </c>
      <c r="AH234" s="1122" t="s">
        <v>4825</v>
      </c>
    </row>
    <row ht="146.25" r="235" spans="22:34" x14ac:dyDescent="0.2">
      <c r="V235" s="956" t="s">
        <v>2000</v>
      </c>
      <c r="W235" s="957" t="s">
        <v>291</v>
      </c>
      <c r="X235" s="956" t="s">
        <v>572</v>
      </c>
      <c r="Y235" s="957" t="s">
        <v>525</v>
      </c>
      <c r="Z235" s="1120"/>
      <c r="AA235" s="1120"/>
      <c r="AB235" s="1114" t="s">
        <v>4665</v>
      </c>
      <c r="AC235" s="1114" t="s">
        <v>4665</v>
      </c>
      <c r="AD235" s="1114" t="s">
        <v>4629</v>
      </c>
      <c r="AE235" s="1120"/>
      <c r="AF235" s="1120"/>
      <c r="AG235" s="1111" t="s">
        <v>4826</v>
      </c>
      <c r="AH235" s="1122" t="s">
        <v>4827</v>
      </c>
    </row>
    <row r="236" spans="22:34" x14ac:dyDescent="0.2">
      <c r="V236" s="956" t="s">
        <v>1291</v>
      </c>
      <c r="W236" s="957" t="s">
        <v>1291</v>
      </c>
      <c r="X236" s="956" t="s">
        <v>1189</v>
      </c>
      <c r="Y236" s="957" t="s">
        <v>526</v>
      </c>
      <c r="Z236" s="1120"/>
      <c r="AA236" s="1120"/>
      <c r="AB236" s="1114"/>
      <c r="AC236" s="1114"/>
      <c r="AD236" s="1114"/>
      <c r="AE236" s="1120"/>
      <c r="AF236" s="1120"/>
      <c r="AG236" s="1111" t="s">
        <v>1291</v>
      </c>
      <c r="AH236" s="1122"/>
    </row>
    <row r="237" spans="22:34" x14ac:dyDescent="0.2">
      <c r="V237" s="956" t="s">
        <v>2001</v>
      </c>
      <c r="W237" s="957" t="s">
        <v>292</v>
      </c>
      <c r="X237" s="956" t="s">
        <v>572</v>
      </c>
      <c r="Y237" s="957" t="s">
        <v>527</v>
      </c>
      <c r="Z237" s="1120"/>
      <c r="AA237" s="1120"/>
      <c r="AB237" s="1121" t="s">
        <v>4711</v>
      </c>
      <c r="AC237" s="1121">
        <v>0.15</v>
      </c>
      <c r="AD237" s="1121"/>
      <c r="AE237" s="1120"/>
      <c r="AF237" s="1120"/>
      <c r="AG237" s="1111" t="s">
        <v>4828</v>
      </c>
      <c r="AH237" s="1122"/>
    </row>
    <row r="238" spans="22:34" x14ac:dyDescent="0.2">
      <c r="V238" s="956" t="s">
        <v>1292</v>
      </c>
      <c r="W238" s="957" t="s">
        <v>1292</v>
      </c>
      <c r="X238" s="956" t="s">
        <v>1189</v>
      </c>
      <c r="Y238" s="957" t="s">
        <v>528</v>
      </c>
      <c r="Z238" s="1120"/>
      <c r="AA238" s="1120"/>
      <c r="AB238" s="1114"/>
      <c r="AC238" s="1114"/>
      <c r="AD238" s="1114"/>
      <c r="AE238" s="1120"/>
      <c r="AF238" s="1120"/>
      <c r="AG238" s="1111" t="s">
        <v>1292</v>
      </c>
      <c r="AH238" s="1122"/>
    </row>
    <row r="239" spans="22:34" x14ac:dyDescent="0.2">
      <c r="V239" s="956" t="s">
        <v>1293</v>
      </c>
      <c r="W239" s="957" t="s">
        <v>1293</v>
      </c>
      <c r="X239" s="956" t="s">
        <v>1189</v>
      </c>
      <c r="Y239" s="957" t="s">
        <v>529</v>
      </c>
      <c r="Z239" s="1120"/>
      <c r="AA239" s="1120"/>
      <c r="AB239" s="1114"/>
      <c r="AC239" s="1114"/>
      <c r="AD239" s="1114"/>
      <c r="AE239" s="1120"/>
      <c r="AF239" s="1120"/>
      <c r="AG239" s="1111" t="s">
        <v>1293</v>
      </c>
      <c r="AH239" s="1122"/>
    </row>
    <row r="240" spans="22:34" x14ac:dyDescent="0.2">
      <c r="V240" s="956" t="s">
        <v>1294</v>
      </c>
      <c r="W240" s="957" t="s">
        <v>1294</v>
      </c>
      <c r="X240" s="956" t="s">
        <v>1189</v>
      </c>
      <c r="Y240" s="957" t="s">
        <v>530</v>
      </c>
      <c r="Z240" s="1120"/>
      <c r="AA240" s="1120"/>
      <c r="AB240" s="1114"/>
      <c r="AC240" s="1114"/>
      <c r="AD240" s="1114"/>
      <c r="AE240" s="1120"/>
      <c r="AF240" s="1120"/>
      <c r="AG240" s="1111" t="s">
        <v>1294</v>
      </c>
      <c r="AH240" s="1122"/>
    </row>
    <row r="241" spans="22:34" x14ac:dyDescent="0.2">
      <c r="V241" s="956" t="s">
        <v>1295</v>
      </c>
      <c r="W241" s="957" t="s">
        <v>1295</v>
      </c>
      <c r="X241" s="956" t="s">
        <v>1189</v>
      </c>
      <c r="Y241" s="957" t="s">
        <v>531</v>
      </c>
      <c r="Z241" s="1120"/>
      <c r="AA241" s="1120"/>
      <c r="AB241" s="1114"/>
      <c r="AC241" s="1114"/>
      <c r="AD241" s="1114"/>
      <c r="AE241" s="1120"/>
      <c r="AF241" s="1120"/>
      <c r="AG241" s="1111" t="s">
        <v>1295</v>
      </c>
      <c r="AH241" s="1122"/>
    </row>
    <row r="242" spans="22:34" x14ac:dyDescent="0.2">
      <c r="V242" s="956" t="s">
        <v>2002</v>
      </c>
      <c r="W242" s="957" t="s">
        <v>293</v>
      </c>
      <c r="X242" s="956" t="s">
        <v>572</v>
      </c>
      <c r="Y242" s="957" t="s">
        <v>532</v>
      </c>
      <c r="Z242" s="1120"/>
      <c r="AA242" s="1120"/>
      <c r="AB242" s="1114" t="s">
        <v>4648</v>
      </c>
      <c r="AC242" s="1121">
        <v>0.15</v>
      </c>
      <c r="AD242" s="1121"/>
      <c r="AE242" s="1120"/>
      <c r="AF242" s="1120"/>
      <c r="AG242" s="1111" t="s">
        <v>4829</v>
      </c>
      <c r="AH242" s="1122"/>
    </row>
    <row r="243" spans="22:34" x14ac:dyDescent="0.2">
      <c r="V243" s="956" t="s">
        <v>2003</v>
      </c>
      <c r="W243" s="957" t="s">
        <v>294</v>
      </c>
      <c r="X243" s="956" t="s">
        <v>572</v>
      </c>
      <c r="Y243" s="957" t="s">
        <v>533</v>
      </c>
      <c r="Z243" s="1120"/>
      <c r="AA243" s="1120"/>
      <c r="AB243" s="1121" t="s">
        <v>4711</v>
      </c>
      <c r="AC243" s="1121" t="s">
        <v>4647</v>
      </c>
      <c r="AD243" s="1121"/>
      <c r="AE243" s="1120"/>
      <c r="AF243" s="1120"/>
      <c r="AG243" s="1111" t="s">
        <v>4830</v>
      </c>
      <c r="AH243" s="1122"/>
    </row>
    <row ht="67.5" r="244" spans="22:34" x14ac:dyDescent="0.2">
      <c r="V244" s="956" t="s">
        <v>2004</v>
      </c>
      <c r="W244" s="957" t="s">
        <v>295</v>
      </c>
      <c r="X244" s="956" t="s">
        <v>572</v>
      </c>
      <c r="Y244" s="957" t="s">
        <v>534</v>
      </c>
      <c r="Z244" s="1120"/>
      <c r="AA244" s="1120"/>
      <c r="AB244" s="1114" t="s">
        <v>4766</v>
      </c>
      <c r="AC244" s="1121">
        <v>0.2</v>
      </c>
      <c r="AD244" s="1121"/>
      <c r="AE244" s="1120"/>
      <c r="AF244" s="1120"/>
      <c r="AG244" s="1111" t="s">
        <v>4831</v>
      </c>
      <c r="AH244" s="1122" t="s">
        <v>4825</v>
      </c>
    </row>
    <row r="245" spans="22:34" x14ac:dyDescent="0.2">
      <c r="V245" s="956" t="s">
        <v>1296</v>
      </c>
      <c r="W245" s="957" t="s">
        <v>1296</v>
      </c>
      <c r="X245" s="956" t="s">
        <v>1189</v>
      </c>
      <c r="Y245" s="957" t="s">
        <v>535</v>
      </c>
      <c r="Z245" s="1120"/>
      <c r="AA245" s="1120"/>
      <c r="AB245" s="1114"/>
      <c r="AC245" s="1121"/>
      <c r="AD245" s="1115"/>
      <c r="AE245" s="1120"/>
      <c r="AF245" s="1120"/>
      <c r="AG245" s="1111" t="s">
        <v>1296</v>
      </c>
      <c r="AH245" s="1122"/>
    </row>
  </sheetData>
  <sheetProtection objects="1" scenarios="1" sheet="1"/>
  <mergeCells count="13">
    <mergeCell ref="AH1:AH4"/>
    <mergeCell ref="AB1:AB4"/>
    <mergeCell ref="AC1:AC4"/>
    <mergeCell ref="AD1:AD4"/>
    <mergeCell ref="AE1:AE4"/>
    <mergeCell ref="AF1:AF4"/>
    <mergeCell ref="AG1:AG4"/>
    <mergeCell ref="AA1:AA4"/>
    <mergeCell ref="V1:V4"/>
    <mergeCell ref="W1:W4"/>
    <mergeCell ref="X1:X4"/>
    <mergeCell ref="Y1:Y4"/>
    <mergeCell ref="Z1:Z4"/>
  </mergeCells>
  <phoneticPr fontId="67" type="noConversion"/>
  <dataValidations count="1">
    <dataValidation allowBlank="1" prompt="Select from drop-down or enter country code" showErrorMessage="1" showInputMessage="1" sqref="E10 E14 E18 E22 E26 E30 E34 E38 E42 E46" type="list" xr:uid="{00000000-0002-0000-2F00-000000000000}">
      <formula1>$V$5:$V$245</formula1>
    </dataValidation>
  </dataValidations>
  <hyperlinks>
    <hyperlink r:id="rId1" ref="I4" xr:uid="{00000000-0004-0000-2F00-000000000000}"/>
    <hyperlink r:id="rId2" ref="I5" xr:uid="{00000000-0004-0000-2F00-000001000000}"/>
  </hyperlinks>
  <pageMargins bottom="0.19685039370078741" footer="0" header="0" left="0.19685039370078741" right="0.19685039370078741" top="0.19685039370078741"/>
  <pageSetup orientation="landscape" paperSize="9" r:id="rId3" scale="79"/>
  <headerFooter alignWithMargins="0"/>
  <drawing r:id="rId4"/>
  <legacyDrawing r:id="rId5"/>
  <mc:AlternateContent>
    <mc:Choice Requires="x14">
      <controls>
        <mc:AlternateContent>
          <mc:Choice Requires="x14">
            <control name="Button 6" r:id="rId6" shapeId="24582">
              <controlPr autoFill="0" autoPict="0" defaultSize="0" macro="[0]!calculate_TCR" print="0">
                <anchor moveWithCells="1" sizeWithCells="1">
                  <from>
                    <xdr:col>7</xdr:col>
                    <xdr:colOff>361950</xdr:colOff>
                    <xdr:row>5</xdr:row>
                    <xdr:rowOff>28575</xdr:rowOff>
                  </from>
                  <to>
                    <xdr:col>12</xdr:col>
                    <xdr:colOff>790575</xdr:colOff>
                    <xdr:row>7</xdr:row>
                    <xdr:rowOff>9525</xdr:rowOff>
                  </to>
                </anchor>
              </controlPr>
            </control>
          </mc:Choice>
        </mc:AlternateContent>
        <mc:AlternateContent>
          <mc:Choice Requires="x14">
            <control name="Drop Down 8" r:id="rId7" shapeId="24584">
              <controlPr autoLine="0" autoPict="0" defaultSize="0">
                <anchor moveWithCells="1">
                  <from>
                    <xdr:col>2</xdr:col>
                    <xdr:colOff>19050</xdr:colOff>
                    <xdr:row>9</xdr:row>
                    <xdr:rowOff>0</xdr:rowOff>
                  </from>
                  <to>
                    <xdr:col>3</xdr:col>
                    <xdr:colOff>38100</xdr:colOff>
                    <xdr:row>10</xdr:row>
                    <xdr:rowOff>38100</xdr:rowOff>
                  </to>
                </anchor>
              </controlPr>
            </control>
          </mc:Choice>
        </mc:AlternateContent>
        <mc:AlternateContent>
          <mc:Choice Requires="x14">
            <control name="Drop Down 9" r:id="rId8" shapeId="24585">
              <controlPr autoLine="0" autoPict="0" defaultSize="0">
                <anchor moveWithCells="1">
                  <from>
                    <xdr:col>2</xdr:col>
                    <xdr:colOff>19050</xdr:colOff>
                    <xdr:row>13</xdr:row>
                    <xdr:rowOff>0</xdr:rowOff>
                  </from>
                  <to>
                    <xdr:col>3</xdr:col>
                    <xdr:colOff>28575</xdr:colOff>
                    <xdr:row>14</xdr:row>
                    <xdr:rowOff>38100</xdr:rowOff>
                  </to>
                </anchor>
              </controlPr>
            </control>
          </mc:Choice>
        </mc:AlternateContent>
        <mc:AlternateContent>
          <mc:Choice Requires="x14">
            <control name="Drop Down 10" r:id="rId9" shapeId="24586">
              <controlPr autoLine="0" autoPict="0" defaultSize="0">
                <anchor moveWithCells="1">
                  <from>
                    <xdr:col>2</xdr:col>
                    <xdr:colOff>28575</xdr:colOff>
                    <xdr:row>17</xdr:row>
                    <xdr:rowOff>0</xdr:rowOff>
                  </from>
                  <to>
                    <xdr:col>3</xdr:col>
                    <xdr:colOff>47625</xdr:colOff>
                    <xdr:row>18</xdr:row>
                    <xdr:rowOff>38100</xdr:rowOff>
                  </to>
                </anchor>
              </controlPr>
            </control>
          </mc:Choice>
        </mc:AlternateContent>
        <mc:AlternateContent>
          <mc:Choice Requires="x14">
            <control name="Drop Down 11" r:id="rId10" shapeId="24587">
              <controlPr autoLine="0" autoPict="0" defaultSize="0">
                <anchor moveWithCells="1">
                  <from>
                    <xdr:col>2</xdr:col>
                    <xdr:colOff>19050</xdr:colOff>
                    <xdr:row>21</xdr:row>
                    <xdr:rowOff>0</xdr:rowOff>
                  </from>
                  <to>
                    <xdr:col>3</xdr:col>
                    <xdr:colOff>47625</xdr:colOff>
                    <xdr:row>22</xdr:row>
                    <xdr:rowOff>38100</xdr:rowOff>
                  </to>
                </anchor>
              </controlPr>
            </control>
          </mc:Choice>
        </mc:AlternateContent>
        <mc:AlternateContent>
          <mc:Choice Requires="x14">
            <control name="Drop Down 13" r:id="rId11" shapeId="24589">
              <controlPr autoLine="0" autoPict="0" defaultSize="0">
                <anchor moveWithCells="1">
                  <from>
                    <xdr:col>10</xdr:col>
                    <xdr:colOff>0</xdr:colOff>
                    <xdr:row>8</xdr:row>
                    <xdr:rowOff>133350</xdr:rowOff>
                  </from>
                  <to>
                    <xdr:col>10</xdr:col>
                    <xdr:colOff>628650</xdr:colOff>
                    <xdr:row>10</xdr:row>
                    <xdr:rowOff>9525</xdr:rowOff>
                  </to>
                </anchor>
              </controlPr>
            </control>
          </mc:Choice>
        </mc:AlternateContent>
        <mc:AlternateContent>
          <mc:Choice Requires="x14">
            <control name="Drop Down 14" r:id="rId12" shapeId="24590">
              <controlPr autoLine="0" autoPict="0" defaultSize="0">
                <anchor moveWithCells="1">
                  <from>
                    <xdr:col>10</xdr:col>
                    <xdr:colOff>0</xdr:colOff>
                    <xdr:row>12</xdr:row>
                    <xdr:rowOff>133350</xdr:rowOff>
                  </from>
                  <to>
                    <xdr:col>10</xdr:col>
                    <xdr:colOff>628650</xdr:colOff>
                    <xdr:row>14</xdr:row>
                    <xdr:rowOff>9525</xdr:rowOff>
                  </to>
                </anchor>
              </controlPr>
            </control>
          </mc:Choice>
        </mc:AlternateContent>
        <mc:AlternateContent>
          <mc:Choice Requires="x14">
            <control name="Drop Down 15" r:id="rId13" shapeId="24591">
              <controlPr autoLine="0" autoPict="0" defaultSize="0">
                <anchor moveWithCells="1">
                  <from>
                    <xdr:col>10</xdr:col>
                    <xdr:colOff>9525</xdr:colOff>
                    <xdr:row>16</xdr:row>
                    <xdr:rowOff>123825</xdr:rowOff>
                  </from>
                  <to>
                    <xdr:col>10</xdr:col>
                    <xdr:colOff>638175</xdr:colOff>
                    <xdr:row>17</xdr:row>
                    <xdr:rowOff>161925</xdr:rowOff>
                  </to>
                </anchor>
              </controlPr>
            </control>
          </mc:Choice>
        </mc:AlternateContent>
        <mc:AlternateContent>
          <mc:Choice Requires="x14">
            <control name="Drop Down 16" r:id="rId14" shapeId="24592">
              <controlPr autoLine="0" autoPict="0" defaultSize="0">
                <anchor moveWithCells="1">
                  <from>
                    <xdr:col>10</xdr:col>
                    <xdr:colOff>0</xdr:colOff>
                    <xdr:row>20</xdr:row>
                    <xdr:rowOff>142875</xdr:rowOff>
                  </from>
                  <to>
                    <xdr:col>10</xdr:col>
                    <xdr:colOff>628650</xdr:colOff>
                    <xdr:row>22</xdr:row>
                    <xdr:rowOff>19050</xdr:rowOff>
                  </to>
                </anchor>
              </controlPr>
            </control>
          </mc:Choice>
        </mc:AlternateContent>
        <mc:AlternateContent>
          <mc:Choice Requires="x14">
            <control name="Drop Down 18" r:id="rId15" shapeId="24594">
              <controlPr autoLine="0" autoPict="0" defaultSize="0">
                <anchor moveWithCells="1">
                  <from>
                    <xdr:col>2</xdr:col>
                    <xdr:colOff>19050</xdr:colOff>
                    <xdr:row>25</xdr:row>
                    <xdr:rowOff>0</xdr:rowOff>
                  </from>
                  <to>
                    <xdr:col>3</xdr:col>
                    <xdr:colOff>47625</xdr:colOff>
                    <xdr:row>26</xdr:row>
                    <xdr:rowOff>38100</xdr:rowOff>
                  </to>
                </anchor>
              </controlPr>
            </control>
          </mc:Choice>
        </mc:AlternateContent>
        <mc:AlternateContent>
          <mc:Choice Requires="x14">
            <control name="Drop Down 19" r:id="rId16" shapeId="24595">
              <controlPr autoLine="0" autoPict="0" defaultSize="0">
                <anchor moveWithCells="1">
                  <from>
                    <xdr:col>10</xdr:col>
                    <xdr:colOff>0</xdr:colOff>
                    <xdr:row>24</xdr:row>
                    <xdr:rowOff>133350</xdr:rowOff>
                  </from>
                  <to>
                    <xdr:col>10</xdr:col>
                    <xdr:colOff>628650</xdr:colOff>
                    <xdr:row>26</xdr:row>
                    <xdr:rowOff>9525</xdr:rowOff>
                  </to>
                </anchor>
              </controlPr>
            </control>
          </mc:Choice>
        </mc:AlternateContent>
        <mc:AlternateContent>
          <mc:Choice Requires="x14">
            <control name="Drop Down 20" r:id="rId17" shapeId="24596">
              <controlPr autoLine="0" autoPict="0" defaultSize="0">
                <anchor moveWithCells="1">
                  <from>
                    <xdr:col>2</xdr:col>
                    <xdr:colOff>19050</xdr:colOff>
                    <xdr:row>29</xdr:row>
                    <xdr:rowOff>0</xdr:rowOff>
                  </from>
                  <to>
                    <xdr:col>3</xdr:col>
                    <xdr:colOff>47625</xdr:colOff>
                    <xdr:row>30</xdr:row>
                    <xdr:rowOff>38100</xdr:rowOff>
                  </to>
                </anchor>
              </controlPr>
            </control>
          </mc:Choice>
        </mc:AlternateContent>
        <mc:AlternateContent>
          <mc:Choice Requires="x14">
            <control name="Drop Down 21" r:id="rId18" shapeId="24597">
              <controlPr autoLine="0" autoPict="0" defaultSize="0">
                <anchor moveWithCells="1">
                  <from>
                    <xdr:col>10</xdr:col>
                    <xdr:colOff>0</xdr:colOff>
                    <xdr:row>28</xdr:row>
                    <xdr:rowOff>142875</xdr:rowOff>
                  </from>
                  <to>
                    <xdr:col>10</xdr:col>
                    <xdr:colOff>628650</xdr:colOff>
                    <xdr:row>30</xdr:row>
                    <xdr:rowOff>19050</xdr:rowOff>
                  </to>
                </anchor>
              </controlPr>
            </control>
          </mc:Choice>
        </mc:AlternateContent>
        <mc:AlternateContent>
          <mc:Choice Requires="x14">
            <control name="Drop Down 22" r:id="rId19" shapeId="24598">
              <controlPr autoLine="0" autoPict="0" defaultSize="0">
                <anchor moveWithCells="1">
                  <from>
                    <xdr:col>2</xdr:col>
                    <xdr:colOff>19050</xdr:colOff>
                    <xdr:row>33</xdr:row>
                    <xdr:rowOff>0</xdr:rowOff>
                  </from>
                  <to>
                    <xdr:col>3</xdr:col>
                    <xdr:colOff>47625</xdr:colOff>
                    <xdr:row>34</xdr:row>
                    <xdr:rowOff>38100</xdr:rowOff>
                  </to>
                </anchor>
              </controlPr>
            </control>
          </mc:Choice>
        </mc:AlternateContent>
        <mc:AlternateContent>
          <mc:Choice Requires="x14">
            <control name="Drop Down 23" r:id="rId20" shapeId="24599">
              <controlPr autoLine="0" autoPict="0" defaultSize="0">
                <anchor moveWithCells="1">
                  <from>
                    <xdr:col>10</xdr:col>
                    <xdr:colOff>0</xdr:colOff>
                    <xdr:row>32</xdr:row>
                    <xdr:rowOff>142875</xdr:rowOff>
                  </from>
                  <to>
                    <xdr:col>10</xdr:col>
                    <xdr:colOff>628650</xdr:colOff>
                    <xdr:row>34</xdr:row>
                    <xdr:rowOff>19050</xdr:rowOff>
                  </to>
                </anchor>
              </controlPr>
            </control>
          </mc:Choice>
        </mc:AlternateContent>
        <mc:AlternateContent>
          <mc:Choice Requires="x14">
            <control name="Drop Down 24" r:id="rId21" shapeId="24600">
              <controlPr autoLine="0" autoPict="0" defaultSize="0">
                <anchor moveWithCells="1">
                  <from>
                    <xdr:col>2</xdr:col>
                    <xdr:colOff>19050</xdr:colOff>
                    <xdr:row>37</xdr:row>
                    <xdr:rowOff>0</xdr:rowOff>
                  </from>
                  <to>
                    <xdr:col>3</xdr:col>
                    <xdr:colOff>47625</xdr:colOff>
                    <xdr:row>38</xdr:row>
                    <xdr:rowOff>38100</xdr:rowOff>
                  </to>
                </anchor>
              </controlPr>
            </control>
          </mc:Choice>
        </mc:AlternateContent>
        <mc:AlternateContent>
          <mc:Choice Requires="x14">
            <control name="Drop Down 25" r:id="rId22" shapeId="24601">
              <controlPr autoLine="0" autoPict="0" defaultSize="0">
                <anchor moveWithCells="1">
                  <from>
                    <xdr:col>10</xdr:col>
                    <xdr:colOff>0</xdr:colOff>
                    <xdr:row>36</xdr:row>
                    <xdr:rowOff>142875</xdr:rowOff>
                  </from>
                  <to>
                    <xdr:col>10</xdr:col>
                    <xdr:colOff>628650</xdr:colOff>
                    <xdr:row>38</xdr:row>
                    <xdr:rowOff>19050</xdr:rowOff>
                  </to>
                </anchor>
              </controlPr>
            </control>
          </mc:Choice>
        </mc:AlternateContent>
        <mc:AlternateContent>
          <mc:Choice Requires="x14">
            <control name="Drop Down 42" r:id="rId23" shapeId="24618">
              <controlPr autoLine="0" autoPict="0" defaultSize="0">
                <anchor moveWithCells="1">
                  <from>
                    <xdr:col>2</xdr:col>
                    <xdr:colOff>19050</xdr:colOff>
                    <xdr:row>41</xdr:row>
                    <xdr:rowOff>0</xdr:rowOff>
                  </from>
                  <to>
                    <xdr:col>3</xdr:col>
                    <xdr:colOff>47625</xdr:colOff>
                    <xdr:row>42</xdr:row>
                    <xdr:rowOff>38100</xdr:rowOff>
                  </to>
                </anchor>
              </controlPr>
            </control>
          </mc:Choice>
        </mc:AlternateContent>
        <mc:AlternateContent>
          <mc:Choice Requires="x14">
            <control name="Drop Down 43" r:id="rId24" shapeId="24619">
              <controlPr autoLine="0" autoPict="0" defaultSize="0">
                <anchor moveWithCells="1">
                  <from>
                    <xdr:col>10</xdr:col>
                    <xdr:colOff>0</xdr:colOff>
                    <xdr:row>40</xdr:row>
                    <xdr:rowOff>133350</xdr:rowOff>
                  </from>
                  <to>
                    <xdr:col>10</xdr:col>
                    <xdr:colOff>628650</xdr:colOff>
                    <xdr:row>42</xdr:row>
                    <xdr:rowOff>9525</xdr:rowOff>
                  </to>
                </anchor>
              </controlPr>
            </control>
          </mc:Choice>
        </mc:AlternateContent>
        <mc:AlternateContent>
          <mc:Choice Requires="x14">
            <control name="Drop Down 44" r:id="rId25" shapeId="24620">
              <controlPr autoLine="0" autoPict="0" defaultSize="0">
                <anchor moveWithCells="1">
                  <from>
                    <xdr:col>2</xdr:col>
                    <xdr:colOff>19050</xdr:colOff>
                    <xdr:row>45</xdr:row>
                    <xdr:rowOff>0</xdr:rowOff>
                  </from>
                  <to>
                    <xdr:col>3</xdr:col>
                    <xdr:colOff>47625</xdr:colOff>
                    <xdr:row>46</xdr:row>
                    <xdr:rowOff>38100</xdr:rowOff>
                  </to>
                </anchor>
              </controlPr>
            </control>
          </mc:Choice>
        </mc:AlternateContent>
        <mc:AlternateContent>
          <mc:Choice Requires="x14">
            <control name="Drop Down 45" r:id="rId26" shapeId="24621">
              <controlPr autoLine="0" autoPict="0" defaultSize="0">
                <anchor moveWithCells="1">
                  <from>
                    <xdr:col>10</xdr:col>
                    <xdr:colOff>0</xdr:colOff>
                    <xdr:row>44</xdr:row>
                    <xdr:rowOff>142875</xdr:rowOff>
                  </from>
                  <to>
                    <xdr:col>10</xdr:col>
                    <xdr:colOff>628650</xdr:colOff>
                    <xdr:row>46</xdr:row>
                    <xdr:rowOff>19050</xdr:rowOff>
                  </to>
                </anchor>
              </controlPr>
            </control>
          </mc:Choice>
        </mc:AlternateContent>
      </controls>
    </mc:Choice>
  </mc:AlternateContent>
</worksheet>
</file>

<file path=xl/worksheets/sheet49.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xmlns:xr="http://schemas.microsoft.com/office/spreadsheetml/2014/revision" xmlns:xr2="http://schemas.microsoft.com/office/spreadsheetml/2015/revision2" xmlns:xr3="http://schemas.microsoft.com/office/spreadsheetml/2016/revision3" mc:Ignorable="x14ac xr xr2 xr3" xr:uid="{00000000-0001-0000-3000-000000000000}">
  <sheetPr codeName="Sheet51"/>
  <dimension ref="A1:R31"/>
  <sheetViews>
    <sheetView showGridLines="0" showRowColHeaders="0" workbookViewId="0">
      <selection activeCell="M8" sqref="M8"/>
    </sheetView>
  </sheetViews>
  <sheetFormatPr defaultColWidth="9.140625" defaultRowHeight="12" x14ac:dyDescent="0.2"/>
  <cols>
    <col min="1" max="1" customWidth="true" style="34" width="11.0" collapsed="true"/>
    <col min="2" max="2" customWidth="true" style="34" width="5.42578125" collapsed="true"/>
    <col min="3" max="3" customWidth="true" style="34" width="6.140625" collapsed="true"/>
    <col min="4" max="4" customWidth="true" style="34" width="13.5703125" collapsed="true"/>
    <col min="5" max="5" customWidth="true" style="34" width="8.85546875" collapsed="true"/>
    <col min="6" max="6" customWidth="true" style="34" width="7.140625" collapsed="true"/>
    <col min="7" max="7" customWidth="true" style="34" width="7.85546875" collapsed="true"/>
    <col min="8" max="8" customWidth="true" style="34" width="10.140625" collapsed="true"/>
    <col min="9" max="9" customWidth="true" style="34" width="6.42578125" collapsed="true"/>
    <col min="10" max="10" customWidth="true" style="34" width="14.85546875" collapsed="true"/>
    <col min="11" max="11" customWidth="true" style="34" width="7.85546875" collapsed="true"/>
    <col min="12" max="12" customWidth="true" style="34" width="16.0" collapsed="true"/>
    <col min="13" max="13" customWidth="true" style="34" width="11.0" collapsed="true"/>
    <col min="14" max="14" customWidth="true" hidden="true" style="34" width="4.42578125" collapsed="true"/>
    <col min="15" max="15" customWidth="true" hidden="true" style="34" width="13.28515625" collapsed="true"/>
    <col min="16" max="16" customWidth="true" hidden="true" style="34" width="10.85546875" collapsed="true"/>
    <col min="17" max="17" customWidth="true" hidden="true" style="34" width="10.0" collapsed="true"/>
    <col min="18" max="16384" style="34" width="9.140625" collapsed="true"/>
  </cols>
  <sheetData>
    <row r="1" spans="1:17" x14ac:dyDescent="0.2">
      <c r="A1" s="442"/>
      <c r="B1" s="442"/>
      <c r="C1" s="442"/>
      <c r="D1" s="442"/>
      <c r="E1" s="442"/>
      <c r="F1" s="442"/>
      <c r="G1" s="442"/>
      <c r="H1" s="442"/>
      <c r="I1" s="442"/>
      <c r="J1" s="442"/>
      <c r="K1" s="442"/>
      <c r="L1" s="442"/>
      <c r="M1" s="442"/>
    </row>
    <row r="2" spans="1:17" x14ac:dyDescent="0.2">
      <c r="A2" s="442"/>
      <c r="B2" s="442"/>
      <c r="C2" s="442"/>
      <c r="D2" s="442"/>
      <c r="E2" s="442"/>
      <c r="F2" s="442"/>
      <c r="G2" s="442"/>
      <c r="H2" s="442"/>
      <c r="I2" s="442"/>
      <c r="J2" s="442"/>
      <c r="K2" s="442"/>
      <c r="L2" s="442"/>
      <c r="M2" s="442"/>
    </row>
    <row r="3" spans="1:17" x14ac:dyDescent="0.2">
      <c r="A3" s="442"/>
      <c r="B3" s="509" t="s">
        <v>2519</v>
      </c>
      <c r="C3" s="510"/>
      <c r="D3" s="511"/>
      <c r="E3" s="511"/>
      <c r="F3" s="511"/>
      <c r="G3" s="511"/>
      <c r="H3" s="511"/>
      <c r="I3" s="511"/>
      <c r="J3" s="511"/>
      <c r="K3" s="512"/>
      <c r="L3" s="442"/>
      <c r="M3" s="442"/>
    </row>
    <row r="4" spans="1:17" x14ac:dyDescent="0.2">
      <c r="A4" s="442"/>
      <c r="B4" s="513"/>
      <c r="C4" s="514"/>
      <c r="D4" s="367"/>
      <c r="E4" s="514"/>
      <c r="F4" s="514"/>
      <c r="G4" s="328"/>
      <c r="H4" s="514"/>
      <c r="I4" s="514"/>
      <c r="J4" s="515"/>
      <c r="K4" s="516"/>
      <c r="L4" s="442"/>
      <c r="M4" s="442"/>
    </row>
    <row r="5" spans="1:17" x14ac:dyDescent="0.2">
      <c r="A5" s="442"/>
      <c r="B5" s="513"/>
      <c r="C5" s="517">
        <f>FOR!K39</f>
        <v>43</v>
      </c>
      <c r="D5" s="518" t="s">
        <v>1320</v>
      </c>
      <c r="E5" s="236"/>
      <c r="F5" s="517">
        <f>FOR!$O$33</f>
        <v>44</v>
      </c>
      <c r="G5" s="519" t="s">
        <v>1014</v>
      </c>
      <c r="H5" s="514"/>
      <c r="I5" s="517">
        <f>FOR!O36</f>
        <v>45</v>
      </c>
      <c r="J5" s="520" t="s">
        <v>1018</v>
      </c>
      <c r="K5" s="516"/>
      <c r="L5" s="442"/>
      <c r="M5" s="442"/>
      <c r="O5" s="34" t="s">
        <v>969</v>
      </c>
      <c r="P5" s="34" t="s">
        <v>970</v>
      </c>
      <c r="Q5" s="34" t="s">
        <v>1048</v>
      </c>
    </row>
    <row r="6" spans="1:17" x14ac:dyDescent="0.2">
      <c r="A6" s="442"/>
      <c r="B6" s="513"/>
      <c r="C6" s="236"/>
      <c r="D6" s="99"/>
      <c r="E6" s="236"/>
      <c r="F6" s="514"/>
      <c r="G6" s="99"/>
      <c r="H6" s="236"/>
      <c r="I6" s="236"/>
      <c r="J6" s="99"/>
      <c r="K6" s="516"/>
      <c r="L6" s="442"/>
      <c r="M6" s="442"/>
      <c r="O6" s="34">
        <f ref="O6:O15" si="0" t="shared">IF(D6&gt;0,1,0)</f>
        <v>0</v>
      </c>
      <c r="P6" s="34">
        <f ref="P6:P15" si="1" t="shared">MAX(G6,1)</f>
        <v>1</v>
      </c>
      <c r="Q6" s="34">
        <f ref="Q6:Q15" si="2" t="shared">TRUNC(D6/P6,0)</f>
        <v>0</v>
      </c>
    </row>
    <row r="7" spans="1:17" x14ac:dyDescent="0.2">
      <c r="A7" s="442"/>
      <c r="B7" s="513"/>
      <c r="C7" s="236"/>
      <c r="D7" s="99"/>
      <c r="E7" s="236"/>
      <c r="F7" s="514"/>
      <c r="G7" s="99"/>
      <c r="H7" s="236"/>
      <c r="I7" s="236"/>
      <c r="J7" s="99"/>
      <c r="K7" s="516"/>
      <c r="L7" s="442"/>
      <c r="M7" s="442"/>
      <c r="O7" s="34">
        <f si="0" t="shared"/>
        <v>0</v>
      </c>
      <c r="P7" s="34">
        <f si="1" t="shared"/>
        <v>1</v>
      </c>
      <c r="Q7" s="34">
        <f si="2" t="shared"/>
        <v>0</v>
      </c>
    </row>
    <row r="8" spans="1:17" x14ac:dyDescent="0.2">
      <c r="A8" s="442"/>
      <c r="B8" s="513"/>
      <c r="C8" s="236"/>
      <c r="D8" s="99"/>
      <c r="E8" s="236"/>
      <c r="F8" s="514"/>
      <c r="G8" s="99"/>
      <c r="H8" s="236"/>
      <c r="I8" s="236"/>
      <c r="J8" s="99"/>
      <c r="K8" s="516"/>
      <c r="L8" s="442"/>
      <c r="M8" s="442"/>
      <c r="O8" s="34">
        <f si="0" t="shared"/>
        <v>0</v>
      </c>
      <c r="P8" s="34">
        <f si="1" t="shared"/>
        <v>1</v>
      </c>
      <c r="Q8" s="34">
        <f si="2" t="shared"/>
        <v>0</v>
      </c>
    </row>
    <row r="9" spans="1:17" x14ac:dyDescent="0.2">
      <c r="A9" s="442"/>
      <c r="B9" s="513"/>
      <c r="C9" s="236"/>
      <c r="D9" s="99"/>
      <c r="E9" s="236"/>
      <c r="F9" s="514"/>
      <c r="G9" s="99"/>
      <c r="H9" s="236"/>
      <c r="I9" s="236"/>
      <c r="J9" s="99"/>
      <c r="K9" s="516"/>
      <c r="L9" s="442"/>
      <c r="M9" s="442"/>
      <c r="O9" s="34">
        <f si="0" t="shared"/>
        <v>0</v>
      </c>
      <c r="P9" s="34">
        <f si="1" t="shared"/>
        <v>1</v>
      </c>
      <c r="Q9" s="34">
        <f si="2" t="shared"/>
        <v>0</v>
      </c>
    </row>
    <row r="10" spans="1:17" x14ac:dyDescent="0.2">
      <c r="A10" s="442"/>
      <c r="B10" s="513"/>
      <c r="C10" s="236"/>
      <c r="D10" s="99"/>
      <c r="E10" s="236"/>
      <c r="F10" s="514"/>
      <c r="G10" s="99"/>
      <c r="H10" s="236"/>
      <c r="I10" s="236"/>
      <c r="J10" s="99"/>
      <c r="K10" s="516"/>
      <c r="L10" s="442"/>
      <c r="M10" s="442"/>
      <c r="O10" s="34">
        <f si="0" t="shared"/>
        <v>0</v>
      </c>
      <c r="P10" s="34">
        <f si="1" t="shared"/>
        <v>1</v>
      </c>
      <c r="Q10" s="34">
        <f si="2" t="shared"/>
        <v>0</v>
      </c>
    </row>
    <row r="11" spans="1:17" x14ac:dyDescent="0.2">
      <c r="A11" s="442"/>
      <c r="B11" s="513"/>
      <c r="C11" s="236"/>
      <c r="D11" s="99"/>
      <c r="E11" s="236"/>
      <c r="F11" s="514"/>
      <c r="G11" s="99"/>
      <c r="H11" s="236"/>
      <c r="I11" s="236"/>
      <c r="J11" s="99"/>
      <c r="K11" s="516"/>
      <c r="L11" s="442"/>
      <c r="M11" s="442"/>
      <c r="O11" s="34">
        <f si="0" t="shared"/>
        <v>0</v>
      </c>
      <c r="P11" s="34">
        <f si="1" t="shared"/>
        <v>1</v>
      </c>
      <c r="Q11" s="34">
        <f si="2" t="shared"/>
        <v>0</v>
      </c>
    </row>
    <row r="12" spans="1:17" x14ac:dyDescent="0.2">
      <c r="A12" s="442"/>
      <c r="B12" s="513"/>
      <c r="C12" s="236"/>
      <c r="D12" s="99"/>
      <c r="E12" s="236"/>
      <c r="F12" s="514"/>
      <c r="G12" s="99"/>
      <c r="H12" s="236"/>
      <c r="I12" s="236"/>
      <c r="J12" s="99"/>
      <c r="K12" s="516"/>
      <c r="L12" s="442"/>
      <c r="M12" s="442"/>
      <c r="O12" s="34">
        <f si="0" t="shared"/>
        <v>0</v>
      </c>
      <c r="P12" s="34">
        <f si="1" t="shared"/>
        <v>1</v>
      </c>
      <c r="Q12" s="34">
        <f si="2" t="shared"/>
        <v>0</v>
      </c>
    </row>
    <row r="13" spans="1:17" x14ac:dyDescent="0.2">
      <c r="A13" s="442"/>
      <c r="B13" s="513"/>
      <c r="C13" s="236"/>
      <c r="D13" s="99"/>
      <c r="E13" s="236"/>
      <c r="F13" s="514"/>
      <c r="G13" s="99"/>
      <c r="H13" s="236"/>
      <c r="I13" s="236"/>
      <c r="J13" s="99"/>
      <c r="K13" s="516"/>
      <c r="L13" s="442"/>
      <c r="M13" s="442"/>
      <c r="O13" s="34">
        <f si="0" t="shared"/>
        <v>0</v>
      </c>
      <c r="P13" s="34">
        <f si="1" t="shared"/>
        <v>1</v>
      </c>
      <c r="Q13" s="34">
        <f si="2" t="shared"/>
        <v>0</v>
      </c>
    </row>
    <row r="14" spans="1:17" x14ac:dyDescent="0.2">
      <c r="A14" s="442"/>
      <c r="B14" s="513"/>
      <c r="C14" s="236"/>
      <c r="D14" s="99"/>
      <c r="E14" s="236"/>
      <c r="F14" s="514"/>
      <c r="G14" s="99"/>
      <c r="H14" s="236"/>
      <c r="I14" s="236"/>
      <c r="J14" s="99"/>
      <c r="K14" s="516"/>
      <c r="L14" s="442"/>
      <c r="M14" s="442"/>
      <c r="O14" s="34">
        <f si="0" t="shared"/>
        <v>0</v>
      </c>
      <c r="P14" s="34">
        <f si="1" t="shared"/>
        <v>1</v>
      </c>
      <c r="Q14" s="34">
        <f si="2" t="shared"/>
        <v>0</v>
      </c>
    </row>
    <row r="15" spans="1:17" x14ac:dyDescent="0.2">
      <c r="A15" s="442"/>
      <c r="B15" s="513"/>
      <c r="C15" s="236"/>
      <c r="D15" s="99"/>
      <c r="E15" s="236"/>
      <c r="F15" s="514"/>
      <c r="G15" s="99"/>
      <c r="H15" s="236"/>
      <c r="I15" s="236"/>
      <c r="J15" s="99"/>
      <c r="K15" s="516"/>
      <c r="L15" s="442"/>
      <c r="M15" s="442"/>
      <c r="O15" s="34">
        <f si="0" t="shared"/>
        <v>0</v>
      </c>
      <c r="P15" s="34">
        <f si="1" t="shared"/>
        <v>1</v>
      </c>
      <c r="Q15" s="34">
        <f si="2" t="shared"/>
        <v>0</v>
      </c>
    </row>
    <row r="16" spans="1:17" x14ac:dyDescent="0.2">
      <c r="A16" s="442"/>
      <c r="B16" s="513"/>
      <c r="C16" s="236"/>
      <c r="D16" s="521">
        <f>SUM(D6:D15)</f>
        <v>0</v>
      </c>
      <c r="E16" s="236"/>
      <c r="F16" s="514"/>
      <c r="G16" s="514"/>
      <c r="H16" s="514"/>
      <c r="I16" s="236"/>
      <c r="J16" s="521">
        <f>SUM(J6:J15)</f>
        <v>0</v>
      </c>
      <c r="K16" s="516"/>
      <c r="L16" s="442"/>
      <c r="M16" s="442"/>
      <c r="O16" s="100">
        <f>SUM(O6:O15)</f>
        <v>0</v>
      </c>
      <c r="P16" s="100">
        <f>SUM(G6:G15)</f>
        <v>0</v>
      </c>
      <c r="Q16" s="100">
        <f>SUM(Q6:Q15)</f>
        <v>0</v>
      </c>
    </row>
    <row r="17" spans="1:13" x14ac:dyDescent="0.2">
      <c r="A17" s="442"/>
      <c r="B17" s="522"/>
      <c r="C17" s="523"/>
      <c r="D17" s="523"/>
      <c r="E17" s="523"/>
      <c r="F17" s="523"/>
      <c r="G17" s="523"/>
      <c r="H17" s="523"/>
      <c r="I17" s="523"/>
      <c r="J17" s="523"/>
      <c r="K17" s="524"/>
      <c r="L17" s="442"/>
      <c r="M17" s="442"/>
    </row>
    <row r="18" spans="1:13" x14ac:dyDescent="0.2">
      <c r="A18" s="442"/>
      <c r="B18" s="442"/>
      <c r="C18" s="442"/>
      <c r="D18" s="442"/>
      <c r="E18" s="442"/>
      <c r="F18" s="442"/>
      <c r="G18" s="442"/>
      <c r="H18" s="442"/>
      <c r="I18" s="442"/>
      <c r="J18" s="442"/>
      <c r="K18" s="442"/>
      <c r="L18" s="442"/>
      <c r="M18" s="442"/>
    </row>
    <row r="19" spans="1:13" x14ac:dyDescent="0.2">
      <c r="A19" s="442"/>
      <c r="B19" s="442"/>
      <c r="C19" s="442"/>
      <c r="D19" s="442"/>
      <c r="E19" s="442"/>
      <c r="F19" s="442"/>
      <c r="G19" s="442"/>
      <c r="H19" s="442"/>
      <c r="I19" s="442"/>
      <c r="J19" s="442"/>
      <c r="K19" s="442"/>
      <c r="L19" s="442"/>
      <c r="M19" s="442"/>
    </row>
    <row r="20" spans="1:13" x14ac:dyDescent="0.2">
      <c r="A20" s="442"/>
      <c r="B20" s="442"/>
      <c r="C20" s="442"/>
      <c r="D20" s="442"/>
      <c r="E20" s="442"/>
      <c r="F20" s="442"/>
      <c r="G20" s="442"/>
      <c r="H20" s="442"/>
      <c r="I20" s="442"/>
      <c r="J20" s="442"/>
      <c r="K20" s="442"/>
      <c r="L20" s="442"/>
      <c r="M20" s="442"/>
    </row>
    <row r="21" spans="1:13" x14ac:dyDescent="0.2">
      <c r="A21" s="442"/>
      <c r="B21" s="442"/>
      <c r="C21" s="442"/>
      <c r="D21" s="442"/>
      <c r="E21" s="442"/>
      <c r="F21" s="442"/>
      <c r="G21" s="442"/>
      <c r="H21" s="442"/>
      <c r="I21" s="517" t="s">
        <v>2520</v>
      </c>
      <c r="J21" s="526" t="s">
        <v>2372</v>
      </c>
      <c r="K21" s="442"/>
      <c r="L21" s="442"/>
      <c r="M21" s="525"/>
    </row>
    <row r="22" spans="1:13" x14ac:dyDescent="0.2">
      <c r="A22" s="442"/>
      <c r="B22" s="442"/>
      <c r="C22" s="442"/>
      <c r="D22" s="442"/>
      <c r="E22" s="442"/>
      <c r="F22" s="442"/>
      <c r="G22" s="442"/>
      <c r="H22" s="442"/>
      <c r="I22" s="442"/>
      <c r="J22" s="527" t="str">
        <f>IF(total_all_gains,'TSR (c17)'!M101,"")</f>
        <v/>
      </c>
      <c r="K22" s="442"/>
      <c r="L22" s="442"/>
      <c r="M22" s="525"/>
    </row>
    <row r="23" spans="1:13" x14ac:dyDescent="0.2">
      <c r="A23" s="442"/>
      <c r="B23" s="442"/>
      <c r="C23" s="442"/>
      <c r="D23" s="442"/>
      <c r="E23" s="442"/>
      <c r="F23" s="442"/>
      <c r="G23" s="442"/>
      <c r="H23" s="442"/>
      <c r="I23" s="442"/>
      <c r="J23" s="442"/>
      <c r="K23" s="442"/>
      <c r="L23" s="442"/>
      <c r="M23" s="442"/>
    </row>
    <row r="24" spans="1:13" x14ac:dyDescent="0.2">
      <c r="A24" s="442"/>
      <c r="B24" s="442"/>
      <c r="C24" s="442"/>
      <c r="D24" s="442"/>
      <c r="E24" s="442"/>
      <c r="F24" s="442"/>
      <c r="G24" s="442"/>
      <c r="H24" s="442"/>
      <c r="I24" s="442"/>
      <c r="J24" s="442"/>
      <c r="K24" s="442"/>
      <c r="L24" s="442"/>
      <c r="M24" s="442"/>
    </row>
    <row r="25" spans="1:13" x14ac:dyDescent="0.2">
      <c r="A25" s="442"/>
      <c r="B25" s="442"/>
      <c r="C25" s="442"/>
      <c r="D25" s="442"/>
      <c r="E25" s="442"/>
      <c r="F25" s="442"/>
      <c r="G25" s="442"/>
      <c r="H25" s="442"/>
      <c r="I25" s="442"/>
      <c r="J25" s="442"/>
      <c r="K25" s="442"/>
      <c r="L25" s="442"/>
      <c r="M25" s="442"/>
    </row>
    <row r="26" spans="1:13" x14ac:dyDescent="0.2">
      <c r="A26" s="442"/>
      <c r="B26" s="442"/>
      <c r="C26" s="442"/>
      <c r="D26" s="442"/>
      <c r="E26" s="442"/>
      <c r="F26" s="442"/>
      <c r="G26" s="442"/>
      <c r="H26" s="442"/>
      <c r="I26" s="442"/>
      <c r="J26" s="442"/>
      <c r="K26" s="442"/>
      <c r="L26" s="442"/>
      <c r="M26" s="442"/>
    </row>
    <row r="27" spans="1:13" x14ac:dyDescent="0.2">
      <c r="A27" s="442"/>
      <c r="B27" s="442"/>
      <c r="C27" s="442"/>
      <c r="D27" s="442"/>
      <c r="E27" s="442"/>
      <c r="F27" s="442"/>
      <c r="G27" s="442"/>
      <c r="H27" s="442"/>
      <c r="I27" s="442"/>
      <c r="J27" s="442"/>
      <c r="K27" s="442"/>
      <c r="L27" s="442"/>
      <c r="M27" s="442"/>
    </row>
    <row r="28" spans="1:13" x14ac:dyDescent="0.2">
      <c r="A28" s="442"/>
      <c r="B28" s="442"/>
      <c r="C28" s="442"/>
      <c r="D28" s="442"/>
      <c r="E28" s="442"/>
      <c r="F28" s="442"/>
      <c r="G28" s="442"/>
      <c r="H28" s="442"/>
      <c r="I28" s="442"/>
      <c r="J28" s="442"/>
      <c r="K28" s="442"/>
      <c r="L28" s="442"/>
      <c r="M28" s="442"/>
    </row>
    <row r="29" spans="1:13" x14ac:dyDescent="0.2">
      <c r="A29" s="442"/>
      <c r="B29" s="442"/>
      <c r="C29" s="442"/>
      <c r="D29" s="442"/>
      <c r="E29" s="442"/>
      <c r="F29" s="442"/>
      <c r="G29" s="442"/>
      <c r="H29" s="442"/>
      <c r="I29" s="442"/>
      <c r="J29" s="442"/>
      <c r="K29" s="442"/>
      <c r="L29" s="442"/>
      <c r="M29" s="442"/>
    </row>
    <row r="30" spans="1:13" x14ac:dyDescent="0.2">
      <c r="A30" s="442"/>
      <c r="B30" s="442"/>
      <c r="C30" s="442"/>
      <c r="D30" s="442"/>
      <c r="E30" s="442"/>
      <c r="F30" s="442"/>
      <c r="G30" s="442"/>
      <c r="H30" s="442"/>
      <c r="I30" s="442"/>
      <c r="J30" s="442"/>
      <c r="K30" s="442"/>
      <c r="L30" s="442"/>
      <c r="M30" s="442"/>
    </row>
    <row r="31" spans="1:13" x14ac:dyDescent="0.2">
      <c r="A31" s="442"/>
      <c r="B31" s="442"/>
      <c r="C31" s="442"/>
      <c r="D31" s="442"/>
      <c r="E31" s="442"/>
      <c r="F31" s="442"/>
      <c r="G31" s="76"/>
      <c r="H31" s="75"/>
      <c r="I31" s="442"/>
      <c r="J31" s="442"/>
      <c r="K31" s="442"/>
      <c r="L31" s="442"/>
      <c r="M31" s="442"/>
    </row>
  </sheetData>
  <sheetProtection objects="1" scenarios="1" sheet="1"/>
  <phoneticPr fontId="67" type="noConversion"/>
  <pageMargins bottom="1" footer="0.5" header="0.5" left="0.75" right="0.75" top="1"/>
  <pageSetup orientation="landscape" paperSize="9" r:id="rId1"/>
  <headerFooter alignWithMargins="0"/>
  <drawing r:id="rId2"/>
  <legacyDrawing r:id="rId3"/>
  <mc:AlternateContent>
    <mc:Choice Requires="x14">
      <controls>
        <mc:AlternateContent>
          <mc:Choice Requires="x14">
            <control name="Button 1" r:id="rId4" shapeId="27649">
              <controlPr autoFill="0" autoPict="0" defaultSize="0" macro="[0]!multi_foreign_gains" print="0">
                <anchor>
                  <from>
                    <xdr:col>1</xdr:col>
                    <xdr:colOff>171450</xdr:colOff>
                    <xdr:row>19</xdr:row>
                    <xdr:rowOff>133350</xdr:rowOff>
                  </from>
                  <to>
                    <xdr:col>7</xdr:col>
                    <xdr:colOff>0</xdr:colOff>
                    <xdr:row>22</xdr:row>
                    <xdr:rowOff>28575</xdr:rowOff>
                  </to>
                </anchor>
              </controlPr>
            </control>
          </mc:Choice>
        </mc:AlternateContent>
      </controls>
    </mc:Choice>
  </mc:AlternateContent>
</worksheet>
</file>

<file path=xl/worksheets/sheet50.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22"/>
  <dimension ref="A1:V40"/>
  <sheetViews>
    <sheetView showGridLines="0" showRowColHeaders="0" topLeftCell="B2" workbookViewId="0">
      <selection activeCell="I15" sqref="I15"/>
    </sheetView>
  </sheetViews>
  <sheetFormatPr defaultColWidth="9.140625" defaultRowHeight="12" x14ac:dyDescent="0.2"/>
  <cols>
    <col min="1" max="1" customWidth="true" hidden="true" style="138" width="5.28515625" collapsed="true"/>
    <col min="2" max="2" customWidth="true" style="138" width="3.7109375" collapsed="true"/>
    <col min="3" max="3" customWidth="true" style="138" width="4.7109375" collapsed="true"/>
    <col min="4" max="4" customWidth="true" style="138" width="14.7109375" collapsed="true"/>
    <col min="5" max="5" customWidth="true" style="138" width="14.140625" collapsed="true"/>
    <col min="6" max="6" customWidth="true" style="138" width="5.0" collapsed="true"/>
    <col min="7" max="7" customWidth="true" style="138" width="4.28515625" collapsed="true"/>
    <col min="8" max="8" customWidth="true" style="138" width="14.28515625" collapsed="true"/>
    <col min="9" max="9" customWidth="true" style="138" width="19.28515625" collapsed="true"/>
    <col min="10" max="10" customWidth="true" style="138" width="3.42578125" collapsed="true"/>
    <col min="11" max="11" customWidth="true" style="138" width="4.7109375" collapsed="true"/>
    <col min="12" max="12" customWidth="true" style="138" width="13.140625" collapsed="true"/>
    <col min="13" max="13" customWidth="true" style="138" width="14.140625" collapsed="true"/>
    <col min="14" max="14" customWidth="true" style="138" width="3.5703125" collapsed="true"/>
    <col min="15" max="15" customWidth="true" style="138" width="4.42578125" collapsed="true"/>
    <col min="16" max="16" customWidth="true" style="138" width="13.0" collapsed="true"/>
    <col min="17" max="17" customWidth="true" style="138" width="22.7109375" collapsed="true"/>
    <col min="18" max="18" customWidth="true" style="138" width="16.85546875" collapsed="true"/>
    <col min="19" max="16384" style="138" width="9.140625" collapsed="true"/>
  </cols>
  <sheetData>
    <row customHeight="1" ht="6" r="1" spans="1:18" x14ac:dyDescent="0.2">
      <c r="A1" s="138" t="s">
        <v>3320</v>
      </c>
      <c r="B1" s="139"/>
      <c r="C1" s="139"/>
      <c r="D1" s="139"/>
      <c r="E1" s="139"/>
      <c r="F1" s="139"/>
      <c r="G1" s="139"/>
      <c r="H1" s="139"/>
      <c r="I1" s="139"/>
      <c r="J1" s="139"/>
      <c r="K1" s="139"/>
      <c r="L1" s="139"/>
      <c r="M1" s="139"/>
      <c r="N1" s="139"/>
      <c r="O1" s="139"/>
      <c r="P1" s="139"/>
      <c r="Q1" s="139"/>
      <c r="R1" s="139"/>
    </row>
    <row customHeight="1" ht="12.75" r="2" spans="1:18" x14ac:dyDescent="0.2">
      <c r="B2" s="139"/>
      <c r="C2" s="338" t="s">
        <v>1020</v>
      </c>
      <c r="D2" s="294"/>
      <c r="E2" s="294"/>
      <c r="F2" s="294"/>
      <c r="G2" s="294"/>
      <c r="H2" s="294"/>
      <c r="I2" s="294"/>
      <c r="J2" s="424" t="s">
        <v>3320</v>
      </c>
      <c r="K2" s="315"/>
      <c r="L2" s="294"/>
      <c r="M2" s="294"/>
      <c r="N2" s="294"/>
      <c r="O2" s="294"/>
      <c r="P2" s="294"/>
      <c r="Q2" s="424" t="s">
        <v>3320</v>
      </c>
      <c r="R2" s="139"/>
    </row>
    <row r="3" spans="1:18" x14ac:dyDescent="0.2">
      <c r="B3" s="139"/>
      <c r="C3" s="317" t="s">
        <v>5781</v>
      </c>
      <c r="D3" s="285"/>
      <c r="E3" s="285"/>
      <c r="F3" s="285"/>
      <c r="G3" s="285"/>
      <c r="H3" s="285"/>
      <c r="I3" s="285"/>
      <c r="J3" s="286"/>
      <c r="K3" s="317" t="s">
        <v>5790</v>
      </c>
      <c r="L3" s="285"/>
      <c r="M3" s="285"/>
      <c r="N3" s="285"/>
      <c r="O3" s="285"/>
      <c r="P3" s="285"/>
      <c r="Q3" s="286"/>
      <c r="R3" s="139"/>
    </row>
    <row customHeight="1" ht="12.75" r="4" spans="1:18" x14ac:dyDescent="0.2">
      <c r="A4" s="138">
        <v>1</v>
      </c>
      <c r="B4" s="139"/>
      <c r="C4" s="339" t="s">
        <v>1021</v>
      </c>
      <c r="D4" s="285"/>
      <c r="E4" s="285"/>
      <c r="F4" s="285"/>
      <c r="G4" s="285"/>
      <c r="H4" s="285"/>
      <c r="I4" s="285"/>
      <c r="J4" s="286"/>
      <c r="K4" s="337" t="s">
        <v>5079</v>
      </c>
      <c r="L4" s="285"/>
      <c r="M4" s="285"/>
      <c r="N4" s="285"/>
      <c r="O4" s="285"/>
      <c r="P4" s="285"/>
      <c r="Q4" s="286"/>
      <c r="R4" s="139"/>
    </row>
    <row customHeight="1" ht="12.75" r="5" spans="1:18" x14ac:dyDescent="0.2">
      <c r="A5" s="138">
        <v>2</v>
      </c>
      <c r="B5" s="139"/>
      <c r="C5" s="297"/>
      <c r="D5" s="285"/>
      <c r="E5" s="285"/>
      <c r="F5" s="285"/>
      <c r="G5" s="285"/>
      <c r="H5" s="238" t="s">
        <v>5773</v>
      </c>
      <c r="I5" s="285"/>
      <c r="J5" s="286"/>
      <c r="K5" s="297"/>
      <c r="L5" s="238" t="s">
        <v>5791</v>
      </c>
      <c r="M5" s="285"/>
      <c r="N5" s="285"/>
      <c r="O5" s="285"/>
      <c r="P5" s="238" t="s">
        <v>5793</v>
      </c>
      <c r="Q5" s="286"/>
      <c r="R5" s="139"/>
    </row>
    <row customHeight="1" ht="12.75" r="6" spans="1:18" x14ac:dyDescent="0.2">
      <c r="A6" s="138">
        <v>3</v>
      </c>
      <c r="B6" s="139"/>
      <c r="C6" s="143">
        <f>A4</f>
        <v>1</v>
      </c>
      <c r="D6" s="238" t="s">
        <v>5775</v>
      </c>
      <c r="E6" s="285"/>
      <c r="F6" s="285"/>
      <c r="G6" s="143">
        <f>A5</f>
        <v>2</v>
      </c>
      <c r="H6" s="238" t="s">
        <v>5774</v>
      </c>
      <c r="I6" s="285"/>
      <c r="J6" s="286"/>
      <c r="K6" s="143">
        <f>A18</f>
        <v>16</v>
      </c>
      <c r="L6" s="1397" t="s">
        <v>5780</v>
      </c>
      <c r="M6" s="285"/>
      <c r="N6" s="285"/>
      <c r="O6" s="143">
        <f>A21</f>
        <v>19</v>
      </c>
      <c r="P6" s="238" t="s">
        <v>5794</v>
      </c>
      <c r="Q6" s="286"/>
      <c r="R6" s="139"/>
    </row>
    <row customHeight="1" ht="12.75" r="7" spans="1:18" x14ac:dyDescent="0.2">
      <c r="A7" s="138">
        <v>4</v>
      </c>
      <c r="B7" s="139"/>
      <c r="C7" s="297"/>
      <c r="D7" s="147"/>
      <c r="E7" s="285"/>
      <c r="F7" s="285"/>
      <c r="G7" s="285"/>
      <c r="H7" s="147"/>
      <c r="I7" s="285"/>
      <c r="J7" s="286"/>
      <c r="K7" s="297"/>
      <c r="L7" s="147"/>
      <c r="M7" s="285"/>
      <c r="N7" s="285"/>
      <c r="O7" s="285"/>
      <c r="P7" s="301"/>
      <c r="Q7" s="286"/>
      <c r="R7" s="139"/>
    </row>
    <row customHeight="1" ht="7.5" r="8" spans="1:18" x14ac:dyDescent="0.2">
      <c r="A8" s="138">
        <v>5</v>
      </c>
      <c r="B8" s="139"/>
      <c r="C8" s="297"/>
      <c r="D8" s="285"/>
      <c r="E8" s="285"/>
      <c r="F8" s="285"/>
      <c r="G8" s="285"/>
      <c r="H8" s="285"/>
      <c r="I8" s="285"/>
      <c r="J8" s="286"/>
      <c r="K8" s="297"/>
      <c r="L8" s="285"/>
      <c r="M8" s="285"/>
      <c r="N8" s="285"/>
      <c r="O8" s="285"/>
      <c r="P8" s="285"/>
      <c r="Q8" s="286"/>
      <c r="R8" s="139"/>
    </row>
    <row customHeight="1" ht="12.75" r="9" spans="1:18" x14ac:dyDescent="0.2">
      <c r="A9" s="138">
        <v>7</v>
      </c>
      <c r="B9" s="139"/>
      <c r="C9" s="339" t="s">
        <v>3791</v>
      </c>
      <c r="D9" s="285"/>
      <c r="E9" s="285"/>
      <c r="F9" s="285"/>
      <c r="G9" s="285"/>
      <c r="H9" s="285"/>
      <c r="I9" s="285"/>
      <c r="J9" s="286"/>
      <c r="K9" s="297"/>
      <c r="L9" s="285"/>
      <c r="M9" s="285"/>
      <c r="N9" s="285"/>
      <c r="O9" s="285"/>
      <c r="P9" s="285"/>
      <c r="Q9" s="286"/>
      <c r="R9" s="139"/>
    </row>
    <row customHeight="1" ht="12.75" r="10" spans="1:18" x14ac:dyDescent="0.2">
      <c r="A10" s="138">
        <v>8</v>
      </c>
      <c r="B10" s="139"/>
      <c r="C10" s="297"/>
      <c r="D10" s="238" t="s">
        <v>5779</v>
      </c>
      <c r="E10" s="285"/>
      <c r="F10" s="285"/>
      <c r="G10" s="285"/>
      <c r="H10" s="238" t="s">
        <v>5776</v>
      </c>
      <c r="I10" s="285"/>
      <c r="J10" s="286"/>
      <c r="K10" s="297"/>
      <c r="L10" s="238" t="s">
        <v>5792</v>
      </c>
      <c r="M10" s="285"/>
      <c r="N10" s="285"/>
      <c r="O10" s="285"/>
      <c r="P10" s="238" t="s">
        <v>5795</v>
      </c>
      <c r="Q10" s="286"/>
      <c r="R10" s="139"/>
    </row>
    <row customHeight="1" ht="12.75" r="11" spans="1:18" x14ac:dyDescent="0.2">
      <c r="A11" s="138">
        <v>9</v>
      </c>
      <c r="B11" s="139"/>
      <c r="C11" s="143">
        <f>A6</f>
        <v>3</v>
      </c>
      <c r="D11" s="1397" t="s">
        <v>5780</v>
      </c>
      <c r="E11" s="285"/>
      <c r="F11" s="285"/>
      <c r="G11" s="143">
        <f>A8</f>
        <v>5</v>
      </c>
      <c r="H11" s="238" t="s">
        <v>5777</v>
      </c>
      <c r="I11" s="285"/>
      <c r="J11" s="286"/>
      <c r="K11" s="143">
        <f>A19</f>
        <v>17</v>
      </c>
      <c r="L11" s="1397" t="s">
        <v>5780</v>
      </c>
      <c r="M11" s="285"/>
      <c r="N11" s="285"/>
      <c r="O11" s="143">
        <f>A22</f>
        <v>20</v>
      </c>
      <c r="P11" s="1397" t="s">
        <v>5780</v>
      </c>
      <c r="Q11" s="286"/>
      <c r="R11" s="139"/>
    </row>
    <row customHeight="1" ht="12.75" r="12" spans="1:18" x14ac:dyDescent="0.2">
      <c r="A12" s="138">
        <v>10</v>
      </c>
      <c r="B12" s="139"/>
      <c r="C12" s="297"/>
      <c r="D12" s="147"/>
      <c r="E12" s="285"/>
      <c r="F12" s="285"/>
      <c r="G12" s="285"/>
      <c r="H12" s="301"/>
      <c r="I12" s="285"/>
      <c r="J12" s="286"/>
      <c r="K12" s="297"/>
      <c r="L12" s="301"/>
      <c r="M12" s="285"/>
      <c r="N12" s="285"/>
      <c r="O12" s="285"/>
      <c r="P12" s="301"/>
      <c r="Q12" s="286"/>
      <c r="R12" s="139"/>
    </row>
    <row customHeight="1" ht="6" r="13" spans="1:18" x14ac:dyDescent="0.2">
      <c r="A13" s="138">
        <v>11</v>
      </c>
      <c r="B13" s="139"/>
      <c r="C13" s="297"/>
      <c r="D13" s="285"/>
      <c r="E13" s="285"/>
      <c r="F13" s="285"/>
      <c r="G13" s="285"/>
      <c r="H13" s="285"/>
      <c r="I13" s="285"/>
      <c r="J13" s="286"/>
      <c r="K13" s="297"/>
      <c r="L13" s="285"/>
      <c r="M13" s="285"/>
      <c r="N13" s="285"/>
      <c r="O13" s="285"/>
      <c r="P13" s="285"/>
      <c r="Q13" s="286"/>
      <c r="R13" s="139"/>
    </row>
    <row customHeight="1" ht="12.75" r="14" spans="1:18" x14ac:dyDescent="0.2">
      <c r="A14" s="138">
        <v>12</v>
      </c>
      <c r="B14" s="139"/>
      <c r="C14" s="297"/>
      <c r="D14" s="238" t="s">
        <v>5778</v>
      </c>
      <c r="E14" s="285"/>
      <c r="F14" s="285"/>
      <c r="G14" s="285"/>
      <c r="H14" s="285"/>
      <c r="I14" s="285"/>
      <c r="J14" s="286"/>
      <c r="K14" s="297"/>
      <c r="L14" s="238" t="s">
        <v>3651</v>
      </c>
      <c r="M14" s="285"/>
      <c r="N14" s="285"/>
      <c r="O14" s="285"/>
      <c r="P14" s="285"/>
      <c r="Q14" s="286"/>
      <c r="R14" s="139"/>
    </row>
    <row customHeight="1" ht="12.75" r="15" spans="1:18" x14ac:dyDescent="0.2">
      <c r="A15" s="138">
        <v>13</v>
      </c>
      <c r="B15" s="139"/>
      <c r="C15" s="143">
        <f>A7</f>
        <v>4</v>
      </c>
      <c r="D15" s="1397" t="s">
        <v>5780</v>
      </c>
      <c r="E15" s="285"/>
      <c r="F15" s="285"/>
      <c r="G15" s="285"/>
      <c r="H15" s="285"/>
      <c r="I15" s="285"/>
      <c r="J15" s="286"/>
      <c r="K15" s="143">
        <f>A20</f>
        <v>18</v>
      </c>
      <c r="L15" s="1397" t="s">
        <v>5780</v>
      </c>
      <c r="M15" s="285"/>
      <c r="N15" s="285"/>
      <c r="O15" s="285"/>
      <c r="P15" s="285"/>
      <c r="Q15" s="286"/>
      <c r="R15" s="139"/>
    </row>
    <row customHeight="1" ht="12.75" r="16" spans="1:18" x14ac:dyDescent="0.2">
      <c r="A16" s="138">
        <v>14</v>
      </c>
      <c r="B16" s="139"/>
      <c r="C16" s="297"/>
      <c r="D16" s="301"/>
      <c r="E16" s="285"/>
      <c r="F16" s="285"/>
      <c r="G16" s="285"/>
      <c r="H16" s="285"/>
      <c r="I16" s="285"/>
      <c r="J16" s="286"/>
      <c r="K16" s="297"/>
      <c r="L16" s="301"/>
      <c r="M16" s="285"/>
      <c r="N16" s="285"/>
      <c r="O16" s="285"/>
      <c r="P16" s="285"/>
      <c r="Q16" s="286"/>
      <c r="R16" s="139"/>
    </row>
    <row customHeight="1" ht="8.25" r="17" spans="1:21" x14ac:dyDescent="0.2">
      <c r="A17" s="138">
        <v>15</v>
      </c>
      <c r="B17" s="139"/>
      <c r="C17" s="297"/>
      <c r="D17" s="285"/>
      <c r="E17" s="285"/>
      <c r="F17" s="285"/>
      <c r="G17" s="285"/>
      <c r="H17" s="285"/>
      <c r="I17" s="285"/>
      <c r="J17" s="286"/>
      <c r="K17" s="297"/>
      <c r="L17" s="285"/>
      <c r="M17" s="285"/>
      <c r="N17" s="285"/>
      <c r="O17" s="285"/>
      <c r="P17" s="285"/>
      <c r="Q17" s="286"/>
      <c r="R17" s="139"/>
    </row>
    <row customHeight="1" ht="12.75" r="18" spans="1:21" x14ac:dyDescent="0.2">
      <c r="A18" s="138">
        <v>16</v>
      </c>
      <c r="B18" s="139"/>
      <c r="C18" s="317" t="s">
        <v>3014</v>
      </c>
      <c r="D18" s="285"/>
      <c r="E18" s="285"/>
      <c r="F18" s="285"/>
      <c r="G18" s="285"/>
      <c r="H18" s="285"/>
      <c r="I18" s="285"/>
      <c r="J18" s="286"/>
      <c r="K18" s="337" t="s">
        <v>3792</v>
      </c>
      <c r="L18" s="285"/>
      <c r="M18" s="285"/>
      <c r="N18" s="285"/>
      <c r="O18" s="285"/>
      <c r="P18" s="285"/>
      <c r="Q18" s="286"/>
      <c r="R18" s="139"/>
    </row>
    <row customHeight="1" ht="12.75" r="19" spans="1:21" x14ac:dyDescent="0.2">
      <c r="A19" s="138">
        <v>17</v>
      </c>
      <c r="B19" s="139"/>
      <c r="C19" s="297"/>
      <c r="D19" s="238" t="s">
        <v>5779</v>
      </c>
      <c r="E19" s="285"/>
      <c r="F19" s="285"/>
      <c r="G19" s="285"/>
      <c r="H19" s="238" t="s">
        <v>5778</v>
      </c>
      <c r="I19" s="285"/>
      <c r="J19" s="286"/>
      <c r="K19" s="297"/>
      <c r="L19" s="285"/>
      <c r="M19" s="285"/>
      <c r="N19" s="285"/>
      <c r="O19" s="285"/>
      <c r="P19" s="285" t="s">
        <v>1437</v>
      </c>
      <c r="Q19" s="286"/>
      <c r="R19" s="139"/>
    </row>
    <row customHeight="1" ht="12.75" r="20" spans="1:21" x14ac:dyDescent="0.2">
      <c r="A20" s="138">
        <v>18</v>
      </c>
      <c r="B20" s="139"/>
      <c r="C20" s="143">
        <f>A9</f>
        <v>7</v>
      </c>
      <c r="D20" s="238" t="s">
        <v>5782</v>
      </c>
      <c r="E20" s="285"/>
      <c r="F20" s="285"/>
      <c r="G20" s="143">
        <f>A13</f>
        <v>11</v>
      </c>
      <c r="H20" s="238" t="s">
        <v>5785</v>
      </c>
      <c r="I20" s="285"/>
      <c r="J20" s="286"/>
      <c r="K20" s="205">
        <f>A24</f>
        <v>22</v>
      </c>
      <c r="L20" s="292" t="s">
        <v>1436</v>
      </c>
      <c r="M20" s="285"/>
      <c r="N20" s="285"/>
      <c r="O20" s="205">
        <f>A25</f>
        <v>23</v>
      </c>
      <c r="P20" s="292" t="s">
        <v>3789</v>
      </c>
      <c r="Q20" s="286"/>
      <c r="R20" s="139"/>
    </row>
    <row customHeight="1" ht="12.75" r="21" spans="1:21" x14ac:dyDescent="0.2">
      <c r="A21" s="138">
        <v>19</v>
      </c>
      <c r="B21" s="139"/>
      <c r="C21" s="297"/>
      <c r="D21" s="147"/>
      <c r="E21" s="285"/>
      <c r="F21" s="285"/>
      <c r="G21" s="285"/>
      <c r="H21" s="147"/>
      <c r="I21" s="285"/>
      <c r="J21" s="286"/>
      <c r="K21" s="297"/>
      <c r="L21" s="301"/>
      <c r="M21" s="285"/>
      <c r="N21" s="285"/>
      <c r="O21" s="285"/>
      <c r="P21" s="301"/>
      <c r="Q21" s="286"/>
      <c r="R21" s="139"/>
    </row>
    <row customHeight="1" ht="6" r="22" spans="1:21" x14ac:dyDescent="0.2">
      <c r="A22" s="138">
        <v>20</v>
      </c>
      <c r="B22" s="139"/>
      <c r="C22" s="297"/>
      <c r="D22" s="285"/>
      <c r="E22" s="285"/>
      <c r="F22" s="285"/>
      <c r="G22" s="285"/>
      <c r="H22" s="285"/>
      <c r="I22" s="285"/>
      <c r="J22" s="286"/>
      <c r="K22" s="297"/>
      <c r="L22" s="285"/>
      <c r="M22" s="285"/>
      <c r="N22" s="285"/>
      <c r="O22" s="285"/>
      <c r="P22" s="285"/>
      <c r="Q22" s="286"/>
      <c r="R22" s="139"/>
      <c r="U22" s="286"/>
    </row>
    <row customHeight="1" ht="12.75" r="23" spans="1:21" x14ac:dyDescent="0.2">
      <c r="A23" s="138">
        <v>21</v>
      </c>
      <c r="B23" s="139"/>
      <c r="C23" s="297"/>
      <c r="D23" s="238" t="s">
        <v>5778</v>
      </c>
      <c r="E23" s="285"/>
      <c r="F23" s="285"/>
      <c r="G23" s="285"/>
      <c r="H23" s="238" t="s">
        <v>5784</v>
      </c>
      <c r="I23" s="285"/>
      <c r="J23" s="286"/>
      <c r="K23" s="297"/>
      <c r="L23" s="285"/>
      <c r="M23" s="285"/>
      <c r="N23" s="285"/>
      <c r="O23" s="285"/>
      <c r="P23" s="285"/>
      <c r="Q23" s="286"/>
      <c r="R23" s="139"/>
    </row>
    <row customHeight="1" ht="12.75" r="24" spans="1:21" x14ac:dyDescent="0.2">
      <c r="A24" s="138">
        <v>22</v>
      </c>
      <c r="B24" s="139"/>
      <c r="C24" s="143">
        <f>A10</f>
        <v>8</v>
      </c>
      <c r="D24" s="292" t="s">
        <v>5782</v>
      </c>
      <c r="E24" s="285"/>
      <c r="F24" s="285"/>
      <c r="G24" s="143">
        <f>A14</f>
        <v>12</v>
      </c>
      <c r="H24" s="238" t="s">
        <v>5786</v>
      </c>
      <c r="I24" s="285"/>
      <c r="J24" s="286"/>
      <c r="K24" s="297"/>
      <c r="L24" s="285"/>
      <c r="M24" s="285"/>
      <c r="N24" s="285"/>
      <c r="O24" s="285"/>
      <c r="P24" s="285"/>
      <c r="Q24" s="286"/>
      <c r="R24" s="139"/>
    </row>
    <row customHeight="1" ht="12.75" r="25" spans="1:21" x14ac:dyDescent="0.2">
      <c r="A25" s="138">
        <v>23</v>
      </c>
      <c r="B25" s="139"/>
      <c r="C25" s="297"/>
      <c r="D25" s="147"/>
      <c r="E25" s="285"/>
      <c r="F25" s="285"/>
      <c r="G25" s="285"/>
      <c r="H25" s="1736"/>
      <c r="I25" s="285"/>
      <c r="J25" s="286"/>
      <c r="K25" s="337" t="s">
        <v>3793</v>
      </c>
      <c r="L25" s="285"/>
      <c r="M25" s="285"/>
      <c r="N25" s="285"/>
      <c r="O25" s="285"/>
      <c r="P25" s="285"/>
      <c r="Q25" s="286"/>
      <c r="R25" s="139"/>
    </row>
    <row customHeight="1" ht="6" r="26" spans="1:21" x14ac:dyDescent="0.2">
      <c r="A26" s="138">
        <v>24</v>
      </c>
      <c r="B26" s="139"/>
      <c r="C26" s="297"/>
      <c r="D26" s="285"/>
      <c r="E26" s="285"/>
      <c r="F26" s="285"/>
      <c r="G26" s="285"/>
      <c r="H26" s="285"/>
      <c r="I26" s="285"/>
      <c r="J26" s="286"/>
      <c r="K26" s="297"/>
      <c r="L26" s="285"/>
      <c r="M26" s="285"/>
      <c r="N26" s="285"/>
      <c r="O26" s="285"/>
      <c r="P26" s="285"/>
      <c r="Q26" s="286"/>
      <c r="R26" s="139"/>
    </row>
    <row customHeight="1" ht="12.75" r="27" spans="1:21" x14ac:dyDescent="0.2">
      <c r="A27" s="138">
        <v>25</v>
      </c>
      <c r="B27" s="139"/>
      <c r="C27" s="297"/>
      <c r="D27" s="238" t="s">
        <v>5784</v>
      </c>
      <c r="E27" s="285"/>
      <c r="F27" s="285"/>
      <c r="G27" s="285"/>
      <c r="H27" s="238"/>
      <c r="I27" s="285"/>
      <c r="J27" s="286"/>
      <c r="K27" s="297"/>
      <c r="L27" s="238" t="s">
        <v>5796</v>
      </c>
      <c r="M27" s="285"/>
      <c r="N27" s="285"/>
      <c r="O27" s="285"/>
      <c r="P27" s="285"/>
      <c r="Q27" s="286"/>
      <c r="R27" s="139"/>
    </row>
    <row customHeight="1" ht="12.75" r="28" spans="1:21" x14ac:dyDescent="0.2">
      <c r="A28" s="138">
        <v>25.1</v>
      </c>
      <c r="B28" s="139"/>
      <c r="C28" s="143">
        <f>A11</f>
        <v>9</v>
      </c>
      <c r="D28" s="238" t="s">
        <v>5783</v>
      </c>
      <c r="E28" s="285"/>
      <c r="F28" s="285"/>
      <c r="G28" s="143">
        <f>A15</f>
        <v>13</v>
      </c>
      <c r="H28" s="238" t="s">
        <v>5787</v>
      </c>
      <c r="I28" s="285"/>
      <c r="J28" s="286"/>
      <c r="K28" s="143">
        <f>A26</f>
        <v>24</v>
      </c>
      <c r="L28" s="238" t="s">
        <v>5797</v>
      </c>
      <c r="M28" s="285"/>
      <c r="N28" s="285"/>
      <c r="O28" s="285"/>
      <c r="P28" s="285"/>
      <c r="Q28" s="286"/>
      <c r="R28" s="139"/>
    </row>
    <row r="29" spans="1:21" x14ac:dyDescent="0.2">
      <c r="A29" s="138">
        <v>26</v>
      </c>
      <c r="B29" s="139"/>
      <c r="C29" s="297"/>
      <c r="D29" s="147"/>
      <c r="E29" s="285"/>
      <c r="F29" s="285"/>
      <c r="G29" s="285"/>
      <c r="H29" s="147"/>
      <c r="I29" s="285"/>
      <c r="J29" s="286"/>
      <c r="K29" s="297"/>
      <c r="L29" s="301"/>
      <c r="M29" s="285"/>
      <c r="N29" s="285"/>
      <c r="O29" s="285"/>
      <c r="P29" s="285"/>
      <c r="Q29" s="286"/>
      <c r="R29" s="139"/>
    </row>
    <row customHeight="1" ht="6" r="30" spans="1:21" x14ac:dyDescent="0.2">
      <c r="B30" s="139"/>
      <c r="C30" s="297"/>
      <c r="D30" s="285"/>
      <c r="E30" s="285"/>
      <c r="F30" s="285"/>
      <c r="G30" s="285"/>
      <c r="H30" s="285"/>
      <c r="I30" s="285"/>
      <c r="J30" s="286"/>
      <c r="K30" s="297"/>
      <c r="L30" s="285"/>
      <c r="M30" s="285"/>
      <c r="N30" s="285"/>
      <c r="O30" s="285"/>
      <c r="P30" s="285"/>
      <c r="Q30" s="286"/>
      <c r="R30" s="139"/>
    </row>
    <row r="31" spans="1:21" x14ac:dyDescent="0.2">
      <c r="B31" s="139"/>
      <c r="C31" s="297"/>
      <c r="D31" s="238" t="s">
        <v>5779</v>
      </c>
      <c r="E31" s="285"/>
      <c r="F31" s="285"/>
      <c r="G31" s="285"/>
      <c r="H31" s="285"/>
      <c r="I31" s="285"/>
      <c r="J31" s="286"/>
      <c r="K31" s="337" t="s">
        <v>6286</v>
      </c>
      <c r="L31" s="285"/>
      <c r="M31" s="285"/>
      <c r="N31" s="285"/>
      <c r="O31" s="285"/>
      <c r="P31" s="285"/>
      <c r="Q31" s="286"/>
      <c r="R31" s="139"/>
    </row>
    <row r="32" spans="1:21" x14ac:dyDescent="0.2">
      <c r="B32" s="139"/>
      <c r="C32" s="143">
        <f>A12</f>
        <v>10</v>
      </c>
      <c r="D32" s="238" t="s">
        <v>5785</v>
      </c>
      <c r="E32" s="285"/>
      <c r="F32" s="285"/>
      <c r="G32" s="143">
        <f>A16</f>
        <v>14</v>
      </c>
      <c r="H32" s="238" t="s">
        <v>5075</v>
      </c>
      <c r="I32" s="285"/>
      <c r="J32" s="286"/>
      <c r="K32" s="205">
        <f>A27</f>
        <v>25</v>
      </c>
      <c r="L32" s="292" t="s">
        <v>6444</v>
      </c>
      <c r="M32" s="285"/>
      <c r="N32" s="285"/>
      <c r="O32" s="285"/>
      <c r="P32" s="285"/>
      <c r="Q32" s="286"/>
      <c r="R32" s="139"/>
    </row>
    <row r="33" spans="2:18" x14ac:dyDescent="0.2">
      <c r="B33" s="139"/>
      <c r="C33" s="297"/>
      <c r="D33" s="147"/>
      <c r="E33" s="285"/>
      <c r="F33" s="285"/>
      <c r="G33" s="285"/>
      <c r="H33" s="147"/>
      <c r="I33" s="285"/>
      <c r="J33" s="286"/>
      <c r="K33" s="297"/>
      <c r="L33" s="301"/>
      <c r="M33" s="285"/>
      <c r="N33" s="285"/>
      <c r="O33" s="285"/>
      <c r="P33" s="285"/>
      <c r="Q33" s="286"/>
      <c r="R33" s="139"/>
    </row>
    <row customHeight="1" ht="4.5" r="34" spans="2:18" x14ac:dyDescent="0.2">
      <c r="B34" s="139"/>
      <c r="C34" s="297"/>
      <c r="D34" s="285"/>
      <c r="E34" s="285"/>
      <c r="F34" s="285"/>
      <c r="G34" s="285"/>
      <c r="H34" s="285"/>
      <c r="I34" s="285"/>
      <c r="J34" s="286"/>
      <c r="K34" s="297"/>
      <c r="L34" s="285"/>
      <c r="M34" s="285"/>
      <c r="N34" s="285"/>
      <c r="O34" s="285"/>
      <c r="P34" s="285"/>
      <c r="Q34" s="286"/>
      <c r="R34" s="139"/>
    </row>
    <row r="35" spans="2:18" x14ac:dyDescent="0.2">
      <c r="B35" s="139"/>
      <c r="C35" s="297"/>
      <c r="D35" s="285"/>
      <c r="E35" s="285"/>
      <c r="F35" s="285"/>
      <c r="G35" s="285"/>
      <c r="H35" s="238" t="s">
        <v>5788</v>
      </c>
      <c r="I35" s="285"/>
      <c r="J35" s="286"/>
      <c r="K35" s="297"/>
      <c r="L35" s="285"/>
      <c r="M35" s="285"/>
      <c r="N35" s="285"/>
      <c r="O35" s="2235">
        <f>A28</f>
        <v>25.1</v>
      </c>
      <c r="P35" s="2234" t="s">
        <v>6845</v>
      </c>
      <c r="Q35" s="2224"/>
      <c r="R35" s="139"/>
    </row>
    <row r="36" spans="2:18" x14ac:dyDescent="0.2">
      <c r="B36" s="139"/>
      <c r="C36" s="297"/>
      <c r="D36" s="285"/>
      <c r="E36" s="285"/>
      <c r="F36" s="285"/>
      <c r="G36" s="143">
        <f>A17</f>
        <v>15</v>
      </c>
      <c r="H36" s="238" t="s">
        <v>5789</v>
      </c>
      <c r="I36" s="285"/>
      <c r="J36" s="286"/>
      <c r="K36" s="297"/>
      <c r="L36" s="285"/>
      <c r="M36" s="285"/>
      <c r="N36" s="285"/>
      <c r="O36" s="1949"/>
      <c r="P36" s="301"/>
      <c r="Q36" s="1950"/>
      <c r="R36" s="139"/>
    </row>
    <row r="37" spans="2:18" x14ac:dyDescent="0.2">
      <c r="B37" s="139"/>
      <c r="C37" s="297"/>
      <c r="D37" s="285"/>
      <c r="E37" s="285"/>
      <c r="F37" s="285"/>
      <c r="G37" s="285"/>
      <c r="H37" s="147"/>
      <c r="I37" s="285"/>
      <c r="J37" s="286"/>
      <c r="K37" s="297"/>
      <c r="L37" s="285"/>
      <c r="M37" s="285"/>
      <c r="N37" s="285"/>
      <c r="O37" s="285"/>
      <c r="P37" s="285"/>
      <c r="Q37" s="286"/>
      <c r="R37" s="139"/>
    </row>
    <row r="38" spans="2:18" x14ac:dyDescent="0.2">
      <c r="B38" s="139"/>
      <c r="C38" s="297"/>
      <c r="D38" s="285"/>
      <c r="E38" s="285"/>
      <c r="F38" s="285"/>
      <c r="G38" s="285"/>
      <c r="H38" s="285"/>
      <c r="I38" s="285"/>
      <c r="J38" s="286"/>
      <c r="K38" s="297"/>
      <c r="L38" s="285"/>
      <c r="M38" s="285"/>
      <c r="N38" s="285"/>
      <c r="O38" s="285"/>
      <c r="P38" s="285"/>
      <c r="Q38" s="286"/>
      <c r="R38" s="139"/>
    </row>
    <row customHeight="1" ht="6.75" r="39" spans="2:18" x14ac:dyDescent="0.2">
      <c r="B39" s="139"/>
      <c r="C39" s="298"/>
      <c r="D39" s="299"/>
      <c r="E39" s="299"/>
      <c r="F39" s="299"/>
      <c r="G39" s="299"/>
      <c r="H39" s="299"/>
      <c r="I39" s="299"/>
      <c r="J39" s="300"/>
      <c r="K39" s="298"/>
      <c r="L39" s="299"/>
      <c r="M39" s="299"/>
      <c r="N39" s="299"/>
      <c r="O39" s="299"/>
      <c r="P39" s="299"/>
      <c r="Q39" s="300"/>
      <c r="R39" s="139"/>
    </row>
    <row r="40" spans="2:18" x14ac:dyDescent="0.2">
      <c r="B40" s="139"/>
      <c r="C40" s="139"/>
      <c r="D40" s="139"/>
      <c r="E40" s="139"/>
      <c r="F40" s="139"/>
      <c r="G40" s="139"/>
      <c r="H40" s="139"/>
      <c r="I40" s="139"/>
      <c r="J40" s="139"/>
      <c r="K40" s="139"/>
      <c r="L40" s="139"/>
      <c r="M40" s="139"/>
      <c r="N40" s="139"/>
      <c r="O40" s="139"/>
      <c r="P40" s="139"/>
      <c r="Q40" s="139"/>
      <c r="R40" s="139"/>
    </row>
  </sheetData>
  <sheetProtection objects="1" scenarios="1" sheet="1"/>
  <phoneticPr fontId="67" type="noConversion"/>
  <pageMargins bottom="0.196850393700787" footer="0" header="0" left="0.196850393700787" right="0.196850393700787" top="0.196850393700787"/>
  <pageSetup orientation="landscape" paperSize="9" r:id="rId1"/>
  <headerFooter alignWithMargins="0"/>
</worksheet>
</file>

<file path=xl/worksheets/sheet51.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xmlns:xr="http://schemas.microsoft.com/office/spreadsheetml/2014/revision" xmlns:xr2="http://schemas.microsoft.com/office/spreadsheetml/2015/revision2" xmlns:xr3="http://schemas.microsoft.com/office/spreadsheetml/2016/revision3" mc:Ignorable="x14ac xr xr2 xr3" xr:uid="{00000000-0001-0000-3200-000000000000}">
  <sheetPr codeName="Sheet43"/>
  <dimension ref="A1:X52"/>
  <sheetViews>
    <sheetView showGridLines="0" showRowColHeaders="0" topLeftCell="B1" workbookViewId="0" zoomScale="96" zoomScaleNormal="96">
      <selection activeCell="N42" sqref="N42"/>
    </sheetView>
  </sheetViews>
  <sheetFormatPr defaultColWidth="9.140625" defaultRowHeight="12" x14ac:dyDescent="0.2"/>
  <cols>
    <col min="1" max="1" customWidth="true" hidden="true" style="181" width="7.5703125" collapsed="true"/>
    <col min="2" max="3" customWidth="true" style="181" width="5.0" collapsed="true"/>
    <col min="4" max="4" customWidth="true" style="181" width="14.0" collapsed="true"/>
    <col min="5" max="5" style="181" width="9.140625" collapsed="true"/>
    <col min="6" max="6" customWidth="true" style="181" width="29.5703125" collapsed="true"/>
    <col min="7" max="7" customWidth="true" style="181" width="5.0" collapsed="true"/>
    <col min="8" max="8" customWidth="true" style="181" width="13.5703125" collapsed="true"/>
    <col min="9" max="9" customWidth="true" style="181" width="9.140625" collapsed="true"/>
    <col min="10" max="10" customWidth="true" style="181" width="29.28515625" collapsed="true"/>
    <col min="11" max="11" customWidth="true" style="181" width="2.140625" collapsed="true"/>
    <col min="12" max="12" customWidth="true" style="181" width="5.140625" collapsed="true"/>
    <col min="13" max="13" customWidth="true" style="181" width="14.0" collapsed="true"/>
    <col min="14" max="14" style="181" width="9.140625" collapsed="true"/>
    <col min="15" max="15" customWidth="true" style="181" width="11.5703125" collapsed="true"/>
    <col min="16" max="16" customWidth="true" style="181" width="5.0" collapsed="true"/>
    <col min="17" max="17" customWidth="true" style="181" width="13.5703125" collapsed="true"/>
    <col min="18" max="18" style="181" width="9.140625" collapsed="true"/>
    <col min="19" max="19" customWidth="true" style="181" width="38.0" collapsed="true"/>
    <col min="20" max="20" customWidth="true" style="181" width="5.0" collapsed="true"/>
    <col min="21" max="21" style="181" width="9.140625" collapsed="true"/>
    <col min="22" max="23" customWidth="true" hidden="true" style="181" width="9.140625" collapsed="true"/>
    <col min="24" max="16384" style="181" width="9.140625" collapsed="true"/>
  </cols>
  <sheetData>
    <row r="1" spans="1:22" x14ac:dyDescent="0.2">
      <c r="A1" s="794" t="s">
        <v>2768</v>
      </c>
      <c r="B1" s="75"/>
      <c r="C1" s="75"/>
      <c r="D1" s="75"/>
      <c r="E1" s="75"/>
      <c r="F1" s="75"/>
      <c r="G1" s="75"/>
      <c r="H1" s="75"/>
      <c r="I1" s="75"/>
      <c r="J1" s="75"/>
      <c r="K1" s="1000"/>
      <c r="L1" s="75"/>
      <c r="M1" s="1506"/>
      <c r="N1" s="1506"/>
      <c r="O1" s="1506"/>
      <c r="P1" s="1506"/>
      <c r="Q1" s="1506"/>
      <c r="R1" s="1506"/>
      <c r="S1" s="1506"/>
      <c r="T1" s="1336"/>
      <c r="U1" s="1336"/>
    </row>
    <row ht="12.75" r="2" spans="1:22" x14ac:dyDescent="0.2">
      <c r="A2" s="794">
        <v>3</v>
      </c>
      <c r="B2" s="75"/>
      <c r="C2" s="2274" t="s">
        <v>1568</v>
      </c>
      <c r="D2" s="2275"/>
      <c r="E2" s="2275"/>
      <c r="F2" s="2275"/>
      <c r="G2" s="2275"/>
      <c r="H2" s="2275"/>
      <c r="I2" s="2275"/>
      <c r="J2" s="2276" t="s">
        <v>2768</v>
      </c>
      <c r="K2" s="2277"/>
      <c r="L2" s="2278" t="s">
        <v>5203</v>
      </c>
      <c r="M2" s="2275"/>
      <c r="N2" s="2275"/>
      <c r="O2" s="2275"/>
      <c r="P2" s="2275"/>
      <c r="Q2" s="2275"/>
      <c r="R2" s="2275"/>
      <c r="S2" s="2276" t="s">
        <v>2768</v>
      </c>
      <c r="T2" s="1336"/>
      <c r="U2" s="1336"/>
    </row>
    <row r="3" spans="1:22" x14ac:dyDescent="0.2">
      <c r="A3" s="794">
        <v>4</v>
      </c>
      <c r="B3" s="75"/>
      <c r="C3" s="347" t="s">
        <v>5199</v>
      </c>
      <c r="D3" s="182"/>
      <c r="E3" s="182"/>
      <c r="F3" s="182"/>
      <c r="G3" s="2279"/>
      <c r="H3" s="2280"/>
      <c r="I3" s="2280"/>
      <c r="J3" s="228"/>
      <c r="K3" s="1844"/>
      <c r="L3" s="1387" t="str">
        <f>"Losses set against "&amp;tax_year&amp;" capital gains"</f>
        <v>Losses set against 2019-20 capital gains</v>
      </c>
      <c r="M3" s="182"/>
      <c r="N3" s="182"/>
      <c r="O3" s="182"/>
      <c r="P3" s="2279"/>
      <c r="Q3" s="2280"/>
      <c r="R3" s="2280"/>
      <c r="S3" s="228"/>
      <c r="T3" s="1336"/>
      <c r="U3" s="1336"/>
    </row>
    <row r="4" spans="1:22" x14ac:dyDescent="0.2">
      <c r="A4" s="794">
        <v>5</v>
      </c>
      <c r="B4" s="75"/>
      <c r="C4" s="2281">
        <f>A5</f>
        <v>6</v>
      </c>
      <c r="D4" s="182" t="s">
        <v>5798</v>
      </c>
      <c r="E4" s="182"/>
      <c r="F4" s="182"/>
      <c r="G4" s="3340">
        <f>A8</f>
        <v>9</v>
      </c>
      <c r="H4" s="3275" t="s">
        <v>6130</v>
      </c>
      <c r="I4" s="3275"/>
      <c r="J4" s="3276"/>
      <c r="K4" s="1844"/>
      <c r="L4" s="2281">
        <f>A40</f>
        <v>45</v>
      </c>
      <c r="M4" s="182" t="s">
        <v>5350</v>
      </c>
      <c r="N4" s="182"/>
      <c r="O4" s="2283"/>
      <c r="P4" s="2281">
        <f>A41</f>
        <v>46</v>
      </c>
      <c r="Q4" s="1846" t="str">
        <f>"Income losses of "&amp;tax_year&amp;" set against gains"</f>
        <v>Income losses of 2019-20 set against gains</v>
      </c>
      <c r="R4" s="1846"/>
      <c r="S4" s="2282"/>
      <c r="T4" s="1336"/>
      <c r="U4" s="1336"/>
    </row>
    <row r="5" spans="1:22" x14ac:dyDescent="0.2">
      <c r="A5" s="449">
        <v>6</v>
      </c>
      <c r="B5" s="75"/>
      <c r="C5" s="2284"/>
      <c r="D5" s="2285"/>
      <c r="E5" s="182"/>
      <c r="F5" s="2283"/>
      <c r="G5" s="3275"/>
      <c r="H5" s="2286"/>
      <c r="I5" s="3275"/>
      <c r="J5" s="3276"/>
      <c r="K5" s="1844"/>
      <c r="L5" s="227"/>
      <c r="M5" s="2285"/>
      <c r="N5" s="1340"/>
      <c r="O5" s="1340"/>
      <c r="P5" s="182"/>
      <c r="Q5" s="2286"/>
      <c r="R5" s="182"/>
      <c r="S5" s="228"/>
      <c r="T5" s="1336"/>
      <c r="U5" s="1336"/>
    </row>
    <row r="6" spans="1:22" x14ac:dyDescent="0.2">
      <c r="A6" s="449">
        <v>7</v>
      </c>
      <c r="B6" s="75"/>
      <c r="C6" s="227"/>
      <c r="D6" s="182"/>
      <c r="E6" s="182"/>
      <c r="F6" s="182"/>
      <c r="G6" s="3275"/>
      <c r="H6" s="3275"/>
      <c r="I6" s="3275"/>
      <c r="J6" s="3276"/>
      <c r="K6" s="1844"/>
      <c r="L6" s="1387"/>
      <c r="M6" s="1340"/>
      <c r="N6" s="1340"/>
      <c r="O6" s="1340"/>
      <c r="P6" s="1340"/>
      <c r="Q6" s="182"/>
      <c r="R6" s="182"/>
      <c r="S6" s="228"/>
      <c r="T6" s="1336"/>
      <c r="U6" s="1336"/>
    </row>
    <row r="7" spans="1:22" x14ac:dyDescent="0.2">
      <c r="A7" s="139">
        <v>8</v>
      </c>
      <c r="B7" s="1506"/>
      <c r="C7" s="2281">
        <f>A6</f>
        <v>7</v>
      </c>
      <c r="D7" s="1846" t="s">
        <v>5757</v>
      </c>
      <c r="E7" s="1846"/>
      <c r="F7" s="1846"/>
      <c r="G7" s="3340">
        <f>A9</f>
        <v>10</v>
      </c>
      <c r="H7" s="3275" t="s">
        <v>6130</v>
      </c>
      <c r="I7" s="3275"/>
      <c r="J7" s="3276"/>
      <c r="K7" s="1844"/>
      <c r="L7" s="1387" t="str">
        <f>tax_year&amp;" capital losses - other information"</f>
        <v>2019-20 capital losses - other information</v>
      </c>
      <c r="M7" s="182"/>
      <c r="N7" s="182"/>
      <c r="O7" s="182"/>
      <c r="P7" s="2279"/>
      <c r="Q7" s="2280"/>
      <c r="R7" s="2280"/>
      <c r="S7" s="228"/>
      <c r="T7" s="1336"/>
      <c r="U7" s="1336"/>
    </row>
    <row r="8" spans="1:22" x14ac:dyDescent="0.2">
      <c r="A8" s="491">
        <v>9</v>
      </c>
      <c r="B8" s="1506"/>
      <c r="C8" s="2284"/>
      <c r="D8" s="2286"/>
      <c r="E8" s="182"/>
      <c r="F8" s="182"/>
      <c r="G8" s="3275"/>
      <c r="H8" s="2286"/>
      <c r="I8" s="3275"/>
      <c r="J8" s="3276"/>
      <c r="K8" s="1844"/>
      <c r="L8" s="1387"/>
      <c r="M8" s="1340"/>
      <c r="N8" s="182"/>
      <c r="O8" s="2283"/>
      <c r="P8" s="2281">
        <f>A43</f>
        <v>48</v>
      </c>
      <c r="Q8" s="1846" t="s">
        <v>5762</v>
      </c>
      <c r="R8" s="1846"/>
      <c r="S8" s="2282"/>
      <c r="T8" s="1336"/>
      <c r="U8" s="1336"/>
    </row>
    <row r="9" spans="1:22" x14ac:dyDescent="0.2">
      <c r="A9" s="139">
        <v>10</v>
      </c>
      <c r="B9" s="1506"/>
      <c r="C9" s="227"/>
      <c r="D9" s="1340"/>
      <c r="E9" s="1340"/>
      <c r="F9" s="1340"/>
      <c r="G9" s="1340"/>
      <c r="H9" s="1340"/>
      <c r="I9" s="1340"/>
      <c r="J9" s="228"/>
      <c r="K9" s="1844"/>
      <c r="L9" s="1387"/>
      <c r="M9" s="1340"/>
      <c r="N9" s="1340"/>
      <c r="O9" s="1340"/>
      <c r="P9" s="182"/>
      <c r="Q9" s="2286"/>
      <c r="R9" s="182"/>
      <c r="S9" s="228"/>
      <c r="T9" s="1336"/>
      <c r="U9" s="1336"/>
    </row>
    <row r="10" spans="1:22" x14ac:dyDescent="0.2">
      <c r="A10" s="139">
        <v>11</v>
      </c>
      <c r="B10" s="75"/>
      <c r="C10" s="227"/>
      <c r="D10" s="1340"/>
      <c r="E10" s="1340"/>
      <c r="F10" s="1340"/>
      <c r="G10" s="2281">
        <f>A11</f>
        <v>12</v>
      </c>
      <c r="H10" s="1846" t="s">
        <v>5356</v>
      </c>
      <c r="I10" s="1340"/>
      <c r="J10" s="2282"/>
      <c r="K10" s="1844"/>
      <c r="L10" s="1387"/>
      <c r="M10" s="1340"/>
      <c r="N10" s="1340"/>
      <c r="O10" s="1340"/>
      <c r="P10" s="1340"/>
      <c r="Q10" s="1340"/>
      <c r="R10" s="1340"/>
      <c r="S10" s="228"/>
      <c r="T10" s="1336"/>
      <c r="U10" s="1336"/>
    </row>
    <row r="11" spans="1:22" x14ac:dyDescent="0.2">
      <c r="A11" s="139">
        <v>12</v>
      </c>
      <c r="B11" s="75"/>
      <c r="C11" s="227"/>
      <c r="D11" s="1340"/>
      <c r="E11" s="1340"/>
      <c r="F11" s="1340"/>
      <c r="G11" s="2283"/>
      <c r="H11" s="2286"/>
      <c r="I11" s="1340"/>
      <c r="J11" s="228"/>
      <c r="K11" s="1844"/>
      <c r="L11" s="1387" t="s">
        <v>8159</v>
      </c>
      <c r="M11" s="1340"/>
      <c r="N11" s="1340"/>
      <c r="O11" s="1340"/>
      <c r="P11" s="3635">
        <v>49</v>
      </c>
      <c r="Q11" s="3636" t="s">
        <v>8156</v>
      </c>
      <c r="R11" s="3636"/>
      <c r="S11" s="3637"/>
      <c r="T11" s="1336"/>
      <c r="U11" s="1336"/>
    </row>
    <row r="12" spans="1:22" x14ac:dyDescent="0.2">
      <c r="A12" s="139">
        <v>13</v>
      </c>
      <c r="B12" s="75"/>
      <c r="C12" s="227"/>
      <c r="D12" s="1340"/>
      <c r="E12" s="1340"/>
      <c r="F12" s="1340"/>
      <c r="G12" s="1340"/>
      <c r="H12" s="1340"/>
      <c r="I12" s="1340"/>
      <c r="J12" s="228"/>
      <c r="K12" s="1844"/>
      <c r="L12" s="1387"/>
      <c r="M12" s="1340"/>
      <c r="N12" s="1340"/>
      <c r="O12" s="1340"/>
      <c r="P12" s="1340"/>
      <c r="Q12" s="2286"/>
      <c r="R12" s="182"/>
      <c r="S12" s="228"/>
      <c r="T12" s="1336"/>
      <c r="U12" s="1336"/>
    </row>
    <row r="13" spans="1:22" x14ac:dyDescent="0.2">
      <c r="A13" s="139">
        <v>14</v>
      </c>
      <c r="B13" s="75"/>
      <c r="C13" s="347" t="s">
        <v>5200</v>
      </c>
      <c r="D13" s="182"/>
      <c r="E13" s="182"/>
      <c r="F13" s="182"/>
      <c r="G13" s="182"/>
      <c r="H13" s="182"/>
      <c r="I13" s="182"/>
      <c r="J13" s="228"/>
      <c r="K13" s="1844"/>
      <c r="L13" s="1387"/>
      <c r="M13" s="1340"/>
      <c r="N13" s="1340"/>
      <c r="O13" s="1340"/>
      <c r="P13" s="1340"/>
      <c r="Q13" s="182"/>
      <c r="R13" s="182"/>
      <c r="S13" s="228"/>
      <c r="T13" s="1336"/>
      <c r="U13" s="1336"/>
    </row>
    <row r="14" spans="1:22" x14ac:dyDescent="0.2">
      <c r="A14" s="139">
        <v>15</v>
      </c>
      <c r="B14" s="75"/>
      <c r="C14" s="2281">
        <f>A16</f>
        <v>17</v>
      </c>
      <c r="D14" s="1846" t="s">
        <v>5758</v>
      </c>
      <c r="E14" s="2287"/>
      <c r="F14" s="2287"/>
      <c r="G14" s="2281">
        <f>A18</f>
        <v>19</v>
      </c>
      <c r="H14" s="1846" t="s">
        <v>5204</v>
      </c>
      <c r="I14" s="2287"/>
      <c r="J14" s="2282"/>
      <c r="K14" s="1844"/>
      <c r="L14" s="1387" t="s">
        <v>5354</v>
      </c>
      <c r="M14" s="1340"/>
      <c r="N14" s="1340"/>
      <c r="O14" s="1340"/>
      <c r="P14" s="1340"/>
      <c r="Q14" s="1340"/>
      <c r="R14" s="1340"/>
      <c r="S14" s="228"/>
      <c r="T14" s="1336"/>
      <c r="U14" s="1336"/>
      <c r="V14" s="1336"/>
    </row>
    <row r="15" spans="1:22" x14ac:dyDescent="0.2">
      <c r="A15" s="139">
        <v>16</v>
      </c>
      <c r="B15" s="75"/>
      <c r="C15" s="2284"/>
      <c r="D15" s="2286"/>
      <c r="E15" s="182"/>
      <c r="F15" s="182"/>
      <c r="G15" s="2283"/>
      <c r="H15" s="2286"/>
      <c r="I15" s="182"/>
      <c r="J15" s="228"/>
      <c r="K15" s="1844"/>
      <c r="L15" s="1387"/>
      <c r="M15" s="1340"/>
      <c r="N15" s="182"/>
      <c r="O15" s="182"/>
      <c r="P15" s="2281">
        <f>A45</f>
        <v>50</v>
      </c>
      <c r="Q15" s="182" t="s">
        <v>5364</v>
      </c>
      <c r="R15" s="1340"/>
      <c r="S15" s="228"/>
      <c r="T15" s="1336"/>
      <c r="U15" s="1336"/>
    </row>
    <row r="16" spans="1:22" x14ac:dyDescent="0.2">
      <c r="A16" s="491">
        <v>17</v>
      </c>
      <c r="B16" s="75"/>
      <c r="C16" s="227"/>
      <c r="D16" s="182"/>
      <c r="E16" s="182"/>
      <c r="F16" s="182"/>
      <c r="G16" s="182"/>
      <c r="H16" s="182"/>
      <c r="I16" s="182"/>
      <c r="J16" s="228"/>
      <c r="K16" s="1844"/>
      <c r="L16" s="1387"/>
      <c r="M16" s="1340"/>
      <c r="N16" s="2283"/>
      <c r="O16" s="182"/>
      <c r="P16" s="182"/>
      <c r="Q16" s="2285"/>
      <c r="R16" s="1340"/>
      <c r="S16" s="228"/>
      <c r="T16" s="1336"/>
      <c r="U16" s="1336"/>
    </row>
    <row r="17" spans="1:23" x14ac:dyDescent="0.2">
      <c r="A17" s="491">
        <v>18</v>
      </c>
      <c r="B17" s="75"/>
      <c r="C17" s="2281">
        <f>A17</f>
        <v>18</v>
      </c>
      <c r="D17" s="1846" t="s">
        <v>4917</v>
      </c>
      <c r="E17" s="1340"/>
      <c r="F17" s="1340"/>
      <c r="G17" s="182"/>
      <c r="H17" s="182"/>
      <c r="I17" s="182"/>
      <c r="J17" s="228"/>
      <c r="K17" s="1844"/>
      <c r="L17" s="1387" t="s">
        <v>5355</v>
      </c>
      <c r="M17" s="1340"/>
      <c r="N17" s="1340"/>
      <c r="O17" s="1340"/>
      <c r="P17" s="1340"/>
      <c r="Q17" s="1340"/>
      <c r="R17" s="1340"/>
      <c r="S17" s="228"/>
      <c r="T17" s="1336"/>
      <c r="U17" s="1336"/>
    </row>
    <row r="18" spans="1:23" x14ac:dyDescent="0.2">
      <c r="A18" s="491">
        <v>19</v>
      </c>
      <c r="B18" s="75"/>
      <c r="C18" s="2284"/>
      <c r="D18" s="2286"/>
      <c r="E18" s="182"/>
      <c r="F18" s="182"/>
      <c r="G18" s="182"/>
      <c r="H18" s="182"/>
      <c r="I18" s="182"/>
      <c r="J18" s="228"/>
      <c r="K18" s="1844"/>
      <c r="L18" s="2281">
        <f>A46</f>
        <v>51</v>
      </c>
      <c r="M18" s="182" t="s">
        <v>5351</v>
      </c>
      <c r="N18" s="182"/>
      <c r="O18" s="182"/>
      <c r="P18" s="2281">
        <f>A47</f>
        <v>52</v>
      </c>
      <c r="Q18" s="182" t="s">
        <v>4909</v>
      </c>
      <c r="R18" s="182"/>
      <c r="S18" s="228"/>
      <c r="T18" s="1336"/>
      <c r="U18" s="1336"/>
    </row>
    <row r="19" spans="1:23" x14ac:dyDescent="0.2">
      <c r="A19" s="75">
        <v>20</v>
      </c>
      <c r="B19" s="75"/>
      <c r="C19" s="227"/>
      <c r="D19" s="182"/>
      <c r="E19" s="182"/>
      <c r="F19" s="182"/>
      <c r="G19" s="182"/>
      <c r="H19" s="182"/>
      <c r="I19" s="182"/>
      <c r="J19" s="228"/>
      <c r="K19" s="1844"/>
      <c r="L19" s="2284"/>
      <c r="M19" s="2285"/>
      <c r="N19" s="2283"/>
      <c r="O19" s="182"/>
      <c r="P19" s="182"/>
      <c r="Q19" s="2285"/>
      <c r="R19" s="182"/>
      <c r="S19" s="228"/>
      <c r="T19" s="1336"/>
      <c r="U19" s="1336"/>
    </row>
    <row r="20" spans="1:23" x14ac:dyDescent="0.2">
      <c r="A20" s="75">
        <v>21</v>
      </c>
      <c r="B20" s="75"/>
      <c r="C20" s="227"/>
      <c r="D20" s="1340"/>
      <c r="E20" s="1340"/>
      <c r="F20" s="1340"/>
      <c r="G20" s="2281">
        <f>A21</f>
        <v>22</v>
      </c>
      <c r="H20" s="1846" t="s">
        <v>5357</v>
      </c>
      <c r="I20" s="1340"/>
      <c r="J20" s="2282"/>
      <c r="K20" s="1844"/>
      <c r="L20" s="2288"/>
      <c r="M20" s="1868"/>
      <c r="N20" s="1868"/>
      <c r="O20" s="1868"/>
      <c r="P20" s="2289"/>
      <c r="Q20" s="1868"/>
      <c r="R20" s="1868"/>
      <c r="S20" s="1864"/>
      <c r="T20" s="1336"/>
      <c r="U20" s="1336"/>
    </row>
    <row r="21" spans="1:23" x14ac:dyDescent="0.2">
      <c r="A21" s="75">
        <v>22</v>
      </c>
      <c r="B21" s="75"/>
      <c r="C21" s="227"/>
      <c r="D21" s="1340"/>
      <c r="E21" s="1340"/>
      <c r="F21" s="1340"/>
      <c r="G21" s="2283"/>
      <c r="H21" s="2286"/>
      <c r="I21" s="1340"/>
      <c r="J21" s="228"/>
      <c r="K21" s="1844"/>
      <c r="L21" s="1506"/>
      <c r="M21" s="1506"/>
      <c r="N21" s="1506"/>
      <c r="O21" s="1506"/>
      <c r="P21" s="1506"/>
      <c r="Q21" s="1506"/>
      <c r="R21" s="1506"/>
      <c r="S21" s="1506"/>
      <c r="T21" s="1336"/>
      <c r="U21" s="1336"/>
    </row>
    <row r="22" spans="1:23" x14ac:dyDescent="0.2">
      <c r="A22" s="75">
        <v>23</v>
      </c>
      <c r="B22" s="75"/>
      <c r="C22" s="227"/>
      <c r="D22" s="1340"/>
      <c r="E22" s="1340"/>
      <c r="F22" s="1340"/>
      <c r="G22" s="1340"/>
      <c r="H22" s="1340"/>
      <c r="I22" s="1340"/>
      <c r="J22" s="228"/>
      <c r="K22" s="1844"/>
      <c r="L22" s="1506"/>
      <c r="M22" s="1506"/>
      <c r="N22" s="1506"/>
      <c r="O22" s="1506"/>
      <c r="P22" s="1506"/>
      <c r="Q22" s="1506"/>
      <c r="R22" s="1506"/>
      <c r="S22" s="1506"/>
      <c r="T22" s="1336"/>
      <c r="U22" s="1336"/>
      <c r="V22" s="34"/>
    </row>
    <row r="23" spans="1:23" x14ac:dyDescent="0.2">
      <c r="A23" s="75">
        <v>24</v>
      </c>
      <c r="B23" s="75"/>
      <c r="C23" s="347" t="s">
        <v>5201</v>
      </c>
      <c r="D23" s="182"/>
      <c r="E23" s="182"/>
      <c r="F23" s="182"/>
      <c r="G23" s="182"/>
      <c r="H23" s="182"/>
      <c r="I23" s="182"/>
      <c r="J23" s="228"/>
      <c r="K23" s="1844"/>
      <c r="L23" s="3272" t="s">
        <v>7551</v>
      </c>
      <c r="M23" s="3273"/>
      <c r="N23" s="3273"/>
      <c r="O23" s="3273"/>
      <c r="P23" s="3273"/>
      <c r="Q23" s="3273"/>
      <c r="R23" s="3273"/>
      <c r="S23" s="2276" t="s">
        <v>2768</v>
      </c>
      <c r="T23" s="1336"/>
      <c r="U23" s="1336"/>
    </row>
    <row r="24" spans="1:23" x14ac:dyDescent="0.2">
      <c r="A24" s="75">
        <v>25</v>
      </c>
      <c r="B24" s="75"/>
      <c r="C24" s="2281">
        <f>A25</f>
        <v>26</v>
      </c>
      <c r="D24" s="182" t="s">
        <v>4914</v>
      </c>
      <c r="E24" s="182"/>
      <c r="F24" s="182"/>
      <c r="G24" s="2281">
        <f>A26</f>
        <v>27</v>
      </c>
      <c r="H24" s="1846" t="s">
        <v>5204</v>
      </c>
      <c r="I24" s="1846"/>
      <c r="J24" s="228"/>
      <c r="K24" s="1844"/>
      <c r="L24" s="3274"/>
      <c r="M24" s="3275"/>
      <c r="N24" s="3275"/>
      <c r="O24" s="3275"/>
      <c r="P24" s="3275"/>
      <c r="Q24" s="3275"/>
      <c r="R24" s="3275"/>
      <c r="S24" s="3276"/>
      <c r="T24" s="1336"/>
      <c r="U24" s="1336"/>
      <c r="V24" s="34" t="s">
        <v>7556</v>
      </c>
      <c r="W24" s="552" t="b">
        <v>0</v>
      </c>
    </row>
    <row r="25" spans="1:23" x14ac:dyDescent="0.2">
      <c r="A25" s="491">
        <v>26</v>
      </c>
      <c r="B25" s="75"/>
      <c r="C25" s="2284"/>
      <c r="D25" s="2286"/>
      <c r="E25" s="182"/>
      <c r="F25" s="182"/>
      <c r="G25" s="2283"/>
      <c r="H25" s="2286"/>
      <c r="I25" s="182"/>
      <c r="J25" s="228"/>
      <c r="K25" s="1844"/>
      <c r="L25" s="3282"/>
      <c r="M25" s="1340" t="s">
        <v>7553</v>
      </c>
      <c r="N25" s="3281"/>
      <c r="O25" s="3281"/>
      <c r="P25" s="3281"/>
      <c r="Q25" s="3281"/>
      <c r="R25" s="3275"/>
      <c r="S25" s="3276"/>
      <c r="T25" s="1336"/>
      <c r="U25" s="1336"/>
    </row>
    <row r="26" spans="1:23" x14ac:dyDescent="0.2">
      <c r="A26" s="491">
        <v>27</v>
      </c>
      <c r="B26" s="75"/>
      <c r="C26" s="227"/>
      <c r="D26" s="182"/>
      <c r="E26" s="182"/>
      <c r="F26" s="182"/>
      <c r="G26" s="182"/>
      <c r="H26" s="182"/>
      <c r="I26" s="182"/>
      <c r="J26" s="228"/>
      <c r="K26" s="1844"/>
      <c r="L26" s="2281">
        <f>A48</f>
        <v>52.1</v>
      </c>
      <c r="M26" s="3275" t="s">
        <v>7552</v>
      </c>
      <c r="N26" s="3275"/>
      <c r="O26" s="3275"/>
      <c r="P26" s="2281">
        <f>A50</f>
        <v>52.3</v>
      </c>
      <c r="Q26" s="1340" t="s">
        <v>7582</v>
      </c>
      <c r="R26" s="3275"/>
      <c r="S26" s="3276"/>
      <c r="T26" s="1336"/>
      <c r="U26" s="1336"/>
    </row>
    <row r="27" spans="1:23" x14ac:dyDescent="0.2">
      <c r="B27" s="1000"/>
      <c r="C27" s="227"/>
      <c r="D27" s="1340"/>
      <c r="E27" s="1340"/>
      <c r="F27" s="1340"/>
      <c r="G27" s="2281">
        <f>A28</f>
        <v>30</v>
      </c>
      <c r="H27" s="1846" t="s">
        <v>5358</v>
      </c>
      <c r="I27" s="1340"/>
      <c r="J27" s="2282"/>
      <c r="K27" s="1844"/>
      <c r="L27" s="3274"/>
      <c r="M27" s="2285"/>
      <c r="N27" s="3275"/>
      <c r="O27" s="3275"/>
      <c r="P27" s="3275"/>
      <c r="Q27" s="3275"/>
      <c r="R27" s="3275"/>
      <c r="S27" s="3276"/>
      <c r="T27" s="1336"/>
      <c r="U27" s="1336"/>
    </row>
    <row r="28" spans="1:23" x14ac:dyDescent="0.2">
      <c r="A28" s="1389">
        <v>30</v>
      </c>
      <c r="B28" s="1506"/>
      <c r="C28" s="227"/>
      <c r="D28" s="1340"/>
      <c r="E28" s="1340"/>
      <c r="F28" s="1340"/>
      <c r="G28" s="2283"/>
      <c r="H28" s="2286"/>
      <c r="I28" s="1340"/>
      <c r="J28" s="228"/>
      <c r="K28" s="1844"/>
      <c r="L28" s="3274"/>
      <c r="M28" s="3275"/>
      <c r="N28" s="3275"/>
      <c r="O28" s="3275"/>
      <c r="P28" s="1846"/>
      <c r="Q28" s="3275"/>
      <c r="R28" s="3275"/>
      <c r="S28" s="3276"/>
      <c r="T28" s="1336"/>
      <c r="U28" s="1336"/>
    </row>
    <row r="29" spans="1:23" x14ac:dyDescent="0.2">
      <c r="B29" s="1506"/>
      <c r="C29" s="227"/>
      <c r="D29" s="1340"/>
      <c r="E29" s="1340"/>
      <c r="F29" s="1340"/>
      <c r="G29" s="1340"/>
      <c r="H29" s="1340"/>
      <c r="I29" s="1340"/>
      <c r="J29" s="228"/>
      <c r="K29" s="1844"/>
      <c r="L29" s="3274"/>
      <c r="M29" s="3275"/>
      <c r="N29" s="3275"/>
      <c r="O29" s="3275"/>
      <c r="P29" s="1846"/>
      <c r="Q29" s="3275"/>
      <c r="R29" s="3275"/>
      <c r="S29" s="3276"/>
      <c r="T29" s="1336"/>
      <c r="U29" s="1336"/>
    </row>
    <row r="30" spans="1:23" x14ac:dyDescent="0.2">
      <c r="A30" s="1337">
        <v>34</v>
      </c>
      <c r="B30" s="1506"/>
      <c r="C30" s="347" t="s">
        <v>5202</v>
      </c>
      <c r="D30" s="182"/>
      <c r="E30" s="2283"/>
      <c r="F30" s="2283"/>
      <c r="G30" s="1340"/>
      <c r="H30" s="1340"/>
      <c r="I30" s="182"/>
      <c r="J30" s="228"/>
      <c r="K30" s="1844"/>
      <c r="L30" s="3274"/>
      <c r="M30" s="3275"/>
      <c r="N30" s="3281"/>
      <c r="O30" s="3281"/>
      <c r="P30" s="2281">
        <f>A51</f>
        <v>52.4</v>
      </c>
      <c r="Q30" s="3275" t="str">
        <f>"Tax on gains in boxes "&amp;L26&amp;" and "&amp;L34&amp;" already paid"</f>
        <v>Tax on gains in boxes 52.1 and 52.2 already paid</v>
      </c>
      <c r="R30" s="3281"/>
      <c r="S30" s="3313"/>
      <c r="T30" s="1336"/>
      <c r="U30" s="1336"/>
    </row>
    <row r="31" spans="1:23" x14ac:dyDescent="0.2">
      <c r="A31" s="1337">
        <v>35</v>
      </c>
      <c r="B31" s="1506"/>
      <c r="C31" s="2281">
        <f>A30</f>
        <v>34</v>
      </c>
      <c r="D31" s="182" t="s">
        <v>4914</v>
      </c>
      <c r="E31" s="182"/>
      <c r="F31" s="2283"/>
      <c r="G31" s="1340"/>
      <c r="H31" s="1340"/>
      <c r="I31" s="182"/>
      <c r="J31" s="2282"/>
      <c r="K31" s="1844"/>
      <c r="L31" s="3339"/>
      <c r="M31" s="3281"/>
      <c r="N31" s="3281"/>
      <c r="O31" s="3281"/>
      <c r="P31" s="3253"/>
      <c r="Q31" s="2285"/>
      <c r="R31" s="3281"/>
      <c r="S31" s="3313"/>
      <c r="T31" s="1336"/>
      <c r="U31" s="1336"/>
    </row>
    <row r="32" spans="1:23" x14ac:dyDescent="0.2">
      <c r="A32" s="1338"/>
      <c r="B32" s="1506"/>
      <c r="C32" s="2284"/>
      <c r="D32" s="2286"/>
      <c r="E32" s="2283"/>
      <c r="F32" s="2283"/>
      <c r="G32" s="1340"/>
      <c r="H32" s="1340"/>
      <c r="I32" s="182"/>
      <c r="J32" s="228"/>
      <c r="K32" s="1844"/>
      <c r="L32" s="3312"/>
      <c r="M32" s="3281"/>
      <c r="N32" s="3281"/>
      <c r="O32" s="3281"/>
      <c r="P32" s="3281"/>
      <c r="Q32" s="3281"/>
      <c r="R32" s="3281"/>
      <c r="S32" s="3313"/>
      <c r="T32" s="1336"/>
      <c r="U32" s="1336"/>
    </row>
    <row r="33" spans="1:21" x14ac:dyDescent="0.2">
      <c r="A33" s="1337">
        <v>38</v>
      </c>
      <c r="B33" s="1506"/>
      <c r="C33" s="227"/>
      <c r="D33" s="182"/>
      <c r="E33" s="182"/>
      <c r="F33" s="182"/>
      <c r="G33" s="182"/>
      <c r="H33" s="182"/>
      <c r="I33" s="182"/>
      <c r="J33" s="228"/>
      <c r="K33" s="1844"/>
      <c r="L33" s="3274"/>
      <c r="M33" s="3275" t="s">
        <v>7554</v>
      </c>
      <c r="N33" s="3275"/>
      <c r="O33" s="3275"/>
      <c r="P33" s="3138"/>
      <c r="Q33" s="3275"/>
      <c r="R33" s="3275"/>
      <c r="S33" s="3276"/>
      <c r="T33" s="1336"/>
      <c r="U33" s="1336"/>
    </row>
    <row r="34" spans="1:21" x14ac:dyDescent="0.2">
      <c r="A34" s="1337">
        <v>39</v>
      </c>
      <c r="B34" s="1506"/>
      <c r="C34" s="2281">
        <f>A31</f>
        <v>35</v>
      </c>
      <c r="D34" s="1846" t="s">
        <v>5204</v>
      </c>
      <c r="E34" s="1846"/>
      <c r="F34" s="1340"/>
      <c r="G34" s="2281">
        <f>A33</f>
        <v>38</v>
      </c>
      <c r="H34" s="1846" t="s">
        <v>5359</v>
      </c>
      <c r="I34" s="1340"/>
      <c r="J34" s="2282"/>
      <c r="K34" s="1844"/>
      <c r="L34" s="2281">
        <f>A49</f>
        <v>52.2</v>
      </c>
      <c r="M34" s="3275" t="s">
        <v>7552</v>
      </c>
      <c r="N34" s="3275"/>
      <c r="O34" s="3275"/>
      <c r="P34" s="2281">
        <f>A52</f>
        <v>52.5</v>
      </c>
      <c r="Q34" s="3275" t="s">
        <v>7655</v>
      </c>
      <c r="R34" s="3275"/>
      <c r="S34" s="3276"/>
      <c r="T34" s="1336"/>
      <c r="U34" s="1336"/>
    </row>
    <row r="35" spans="1:21" x14ac:dyDescent="0.2">
      <c r="A35" s="1337">
        <v>40</v>
      </c>
      <c r="B35" s="1000"/>
      <c r="C35" s="2284"/>
      <c r="D35" s="2286"/>
      <c r="E35" s="182"/>
      <c r="F35" s="1340"/>
      <c r="G35" s="2283"/>
      <c r="H35" s="2286"/>
      <c r="I35" s="1340"/>
      <c r="J35" s="228"/>
      <c r="K35" s="1844"/>
      <c r="L35" s="3274"/>
      <c r="M35" s="2285"/>
      <c r="N35" s="3275"/>
      <c r="O35" s="3275"/>
      <c r="P35" s="3280"/>
      <c r="Q35" s="2285"/>
      <c r="R35" s="3275"/>
      <c r="S35" s="3276"/>
      <c r="T35" s="1336"/>
      <c r="U35" s="1336"/>
    </row>
    <row r="36" spans="1:21" x14ac:dyDescent="0.2">
      <c r="A36" s="1337">
        <v>41</v>
      </c>
      <c r="B36" s="1000"/>
      <c r="C36" s="227"/>
      <c r="D36" s="1340"/>
      <c r="E36" s="1340"/>
      <c r="F36" s="1340"/>
      <c r="G36" s="1340"/>
      <c r="H36" s="1340"/>
      <c r="I36" s="1340"/>
      <c r="J36" s="228"/>
      <c r="K36" s="1844"/>
      <c r="L36" s="3274"/>
      <c r="M36" s="3275"/>
      <c r="N36" s="3275"/>
      <c r="O36" s="3275"/>
      <c r="P36" s="3275"/>
      <c r="Q36" s="3275"/>
      <c r="R36" s="3275"/>
      <c r="S36" s="3276"/>
      <c r="T36" s="1336"/>
      <c r="U36" s="1336"/>
    </row>
    <row r="37" spans="1:21" x14ac:dyDescent="0.2">
      <c r="A37" s="1337">
        <v>42</v>
      </c>
      <c r="B37" s="1000"/>
      <c r="C37" s="2281">
        <f>A36</f>
        <v>41</v>
      </c>
      <c r="D37" s="182" t="str">
        <f>"Losses used against income - amount claimed against "&amp;tax_year</f>
        <v>Losses used against income - amount claimed against 2019-20</v>
      </c>
      <c r="E37" s="182"/>
      <c r="F37" s="182"/>
      <c r="G37" s="1340"/>
      <c r="H37" s="1340"/>
      <c r="I37" s="182"/>
      <c r="J37" s="228"/>
      <c r="K37" s="1844"/>
      <c r="L37" s="3277"/>
      <c r="M37" s="3278"/>
      <c r="N37" s="3278"/>
      <c r="O37" s="3278"/>
      <c r="P37" s="3278"/>
      <c r="Q37" s="3278"/>
      <c r="R37" s="3278"/>
      <c r="S37" s="3279"/>
      <c r="T37" s="1336"/>
      <c r="U37" s="1336"/>
    </row>
    <row r="38" spans="1:21" x14ac:dyDescent="0.2">
      <c r="A38" s="1337">
        <v>43</v>
      </c>
      <c r="B38" s="1000"/>
      <c r="C38" s="227"/>
      <c r="D38" s="2286"/>
      <c r="E38" s="1340"/>
      <c r="F38" s="1340"/>
      <c r="G38" s="1340"/>
      <c r="H38" s="1340"/>
      <c r="I38" s="182"/>
      <c r="J38" s="228"/>
      <c r="K38" s="1844"/>
      <c r="L38" s="1000"/>
      <c r="M38" s="1506"/>
      <c r="N38" s="1506"/>
      <c r="O38" s="1506"/>
      <c r="P38" s="1506"/>
      <c r="Q38" s="1506"/>
      <c r="R38" s="1506"/>
      <c r="S38" s="1506"/>
      <c r="T38" s="1336"/>
      <c r="U38" s="1336"/>
    </row>
    <row r="39" spans="1:21" x14ac:dyDescent="0.2">
      <c r="A39" s="1000">
        <v>44</v>
      </c>
      <c r="B39" s="1506"/>
      <c r="C39" s="227"/>
      <c r="D39" s="182"/>
      <c r="E39" s="182"/>
      <c r="F39" s="182"/>
      <c r="G39" s="182"/>
      <c r="H39" s="182"/>
      <c r="I39" s="182"/>
      <c r="J39" s="228"/>
      <c r="K39" s="1506"/>
      <c r="L39" s="1000"/>
      <c r="M39" s="1506"/>
      <c r="N39" s="1506"/>
      <c r="O39" s="1506"/>
      <c r="P39" s="1506"/>
      <c r="Q39" s="1506"/>
      <c r="R39" s="1506"/>
      <c r="S39" s="1506"/>
      <c r="T39" s="1336"/>
      <c r="U39" s="1336"/>
    </row>
    <row r="40" spans="1:21" x14ac:dyDescent="0.2">
      <c r="A40" s="1337">
        <v>45</v>
      </c>
      <c r="B40" s="1506"/>
      <c r="C40" s="2281">
        <f>A37</f>
        <v>42</v>
      </c>
      <c r="D40" s="1846" t="str">
        <f>"Amount in box "&amp;C37&amp;" to which EIS/SEIS relief"</f>
        <v>Amount in box 41 to which EIS/SEIS relief</v>
      </c>
      <c r="E40" s="182"/>
      <c r="F40" s="182"/>
      <c r="G40" s="2281">
        <f>A38</f>
        <v>43</v>
      </c>
      <c r="H40" s="182" t="str">
        <f>"Losses used against income - amount claimed against "&amp;last_year</f>
        <v>Losses used against income - amount claimed against 2018-19</v>
      </c>
      <c r="I40" s="182"/>
      <c r="J40" s="228"/>
      <c r="K40" s="1506"/>
      <c r="L40" s="1000"/>
      <c r="M40" s="1506"/>
      <c r="N40" s="1506"/>
      <c r="O40" s="1506"/>
      <c r="P40" s="1506"/>
      <c r="Q40" s="1506"/>
      <c r="R40" s="1506"/>
      <c r="S40" s="1506"/>
      <c r="T40" s="1336"/>
      <c r="U40" s="1336"/>
    </row>
    <row r="41" spans="1:21" x14ac:dyDescent="0.2">
      <c r="A41" s="491">
        <v>46</v>
      </c>
      <c r="B41" s="1506"/>
      <c r="C41" s="227"/>
      <c r="D41" s="2286"/>
      <c r="E41" s="182"/>
      <c r="F41" s="182"/>
      <c r="G41" s="2283"/>
      <c r="H41" s="2286"/>
      <c r="I41" s="182"/>
      <c r="J41" s="228"/>
      <c r="K41" s="1506"/>
      <c r="L41" s="1338"/>
      <c r="M41" s="1336"/>
      <c r="N41" s="1336"/>
      <c r="O41" s="1336"/>
      <c r="P41" s="1336"/>
      <c r="Q41" s="1336"/>
      <c r="R41" s="1336"/>
      <c r="S41" s="1336"/>
      <c r="T41" s="1336"/>
      <c r="U41" s="1336"/>
    </row>
    <row r="42" spans="1:21" x14ac:dyDescent="0.2">
      <c r="A42" s="139">
        <v>47</v>
      </c>
      <c r="B42" s="1000"/>
      <c r="C42" s="2288"/>
      <c r="D42" s="1868"/>
      <c r="E42" s="1868"/>
      <c r="F42" s="1868"/>
      <c r="G42" s="2289"/>
      <c r="H42" s="1868"/>
      <c r="I42" s="1868"/>
      <c r="J42" s="1864"/>
      <c r="K42" s="1844"/>
      <c r="L42" s="1336"/>
      <c r="M42" s="1336"/>
      <c r="N42" s="1336"/>
      <c r="O42" s="1336"/>
      <c r="P42" s="1336"/>
      <c r="Q42" s="1336"/>
      <c r="R42" s="1336"/>
      <c r="S42" s="1336"/>
      <c r="T42" s="1336"/>
      <c r="U42" s="1336"/>
    </row>
    <row r="43" spans="1:21" x14ac:dyDescent="0.2">
      <c r="A43" s="491">
        <v>48</v>
      </c>
      <c r="B43" s="1338"/>
      <c r="C43" s="1336"/>
      <c r="D43" s="1336"/>
      <c r="E43" s="1336"/>
      <c r="F43" s="1336"/>
      <c r="G43" s="1336"/>
      <c r="H43" s="1336"/>
      <c r="I43" s="1336"/>
      <c r="J43" s="1336"/>
      <c r="K43" s="1388"/>
      <c r="L43" s="1506"/>
      <c r="M43" s="1336"/>
      <c r="N43" s="1336"/>
      <c r="O43" s="1336"/>
      <c r="P43" s="1336"/>
      <c r="Q43" s="1336"/>
      <c r="R43" s="1336"/>
      <c r="S43" s="1336"/>
      <c r="T43" s="1336"/>
      <c r="U43" s="1336"/>
    </row>
    <row r="44" spans="1:21" x14ac:dyDescent="0.2">
      <c r="A44" s="139">
        <v>49</v>
      </c>
      <c r="B44" s="1336"/>
      <c r="C44" s="1336"/>
      <c r="D44" s="1336"/>
      <c r="E44" s="1336"/>
      <c r="F44" s="1336"/>
      <c r="G44" s="1336"/>
      <c r="H44" s="1336"/>
      <c r="I44" s="1336"/>
      <c r="J44" s="1336"/>
      <c r="K44" s="1336"/>
      <c r="L44" s="1336"/>
      <c r="M44" s="1336"/>
      <c r="N44" s="1336"/>
      <c r="O44" s="1336"/>
      <c r="P44" s="1336"/>
      <c r="Q44" s="1336"/>
      <c r="R44" s="1336"/>
      <c r="S44" s="1336"/>
      <c r="T44" s="1336"/>
      <c r="U44" s="1336"/>
    </row>
    <row r="45" spans="1:21" x14ac:dyDescent="0.2">
      <c r="A45" s="491">
        <v>50</v>
      </c>
    </row>
    <row r="46" spans="1:21" x14ac:dyDescent="0.2">
      <c r="A46" s="491">
        <v>51</v>
      </c>
    </row>
    <row r="47" spans="1:21" x14ac:dyDescent="0.2">
      <c r="A47" s="1337">
        <v>52</v>
      </c>
    </row>
    <row r="48" spans="1:21" x14ac:dyDescent="0.2">
      <c r="A48" s="181">
        <v>52.1</v>
      </c>
    </row>
    <row r="49" spans="1:1" x14ac:dyDescent="0.2">
      <c r="A49" s="181">
        <v>52.2</v>
      </c>
    </row>
    <row r="50" spans="1:1" x14ac:dyDescent="0.2">
      <c r="A50" s="181">
        <v>52.3</v>
      </c>
    </row>
    <row r="51" spans="1:1" x14ac:dyDescent="0.2">
      <c r="A51" s="181">
        <v>52.4</v>
      </c>
    </row>
    <row r="52" spans="1:1" x14ac:dyDescent="0.2">
      <c r="A52" s="181">
        <v>52.5</v>
      </c>
    </row>
  </sheetData>
  <sheetProtection objects="1" scenarios="1" sheet="1"/>
  <phoneticPr fontId="67" type="noConversion"/>
  <pageMargins bottom="0.196850393700787" footer="0" header="0" left="0.196850393700787" right="0.196850393700787" top="0.196850393700787"/>
  <pageSetup horizontalDpi="1200" orientation="landscape" paperSize="9" r:id="rId1" verticalDpi="1200"/>
  <headerFooter alignWithMargins="0"/>
  <drawing r:id="rId2"/>
  <legacyDrawing r:id="rId3"/>
  <mc:AlternateContent>
    <mc:Choice Requires="x14">
      <controls>
        <mc:AlternateContent>
          <mc:Choice Requires="x14">
            <control name="Check Box 4" r:id="rId4" shapeId="226308">
              <controlPr autoFill="0" autoLine="0" autoPict="0" defaultSize="0">
                <anchor moveWithCells="1">
                  <from>
                    <xdr:col>15</xdr:col>
                    <xdr:colOff>285750</xdr:colOff>
                    <xdr:row>25</xdr:row>
                    <xdr:rowOff>114300</xdr:rowOff>
                  </from>
                  <to>
                    <xdr:col>16</xdr:col>
                    <xdr:colOff>257175</xdr:colOff>
                    <xdr:row>27</xdr:row>
                    <xdr:rowOff>28575</xdr:rowOff>
                  </to>
                </anchor>
              </controlPr>
            </control>
          </mc:Choice>
        </mc:AlternateContent>
      </controls>
    </mc:Choice>
  </mc:AlternateContent>
</worksheet>
</file>

<file path=xl/worksheets/sheet52.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xmlns:xr="http://schemas.microsoft.com/office/spreadsheetml/2014/revision" xmlns:xr2="http://schemas.microsoft.com/office/spreadsheetml/2015/revision2" xmlns:xr3="http://schemas.microsoft.com/office/spreadsheetml/2016/revision3" mc:Ignorable="x14ac xr xr2 xr3" xr:uid="{00000000-0001-0000-3300-000000000000}">
  <sheetPr codeName="Sheet23">
    <pageSetUpPr fitToPage="1"/>
  </sheetPr>
  <dimension ref="A1:X33"/>
  <sheetViews>
    <sheetView showGridLines="0" showRowColHeaders="0" topLeftCell="B1" workbookViewId="0">
      <selection activeCell="W30" sqref="W30"/>
    </sheetView>
  </sheetViews>
  <sheetFormatPr defaultColWidth="9.140625" defaultRowHeight="12" x14ac:dyDescent="0.2"/>
  <cols>
    <col min="1" max="1" customWidth="true" hidden="true" style="138" width="3.0" collapsed="true"/>
    <col min="2" max="2" customWidth="true" style="138" width="7.5703125" collapsed="true"/>
    <col min="3" max="4" customWidth="true" style="138" width="5.28515625" collapsed="true"/>
    <col min="5" max="5" customWidth="true" style="138" width="12.140625" collapsed="true"/>
    <col min="6" max="6" customWidth="true" style="138" width="20.7109375" collapsed="true"/>
    <col min="7" max="7" customWidth="true" style="138" width="4.85546875" collapsed="true"/>
    <col min="8" max="8" customWidth="true" style="138" width="5.28515625" collapsed="true"/>
    <col min="9" max="9" customWidth="true" style="138" width="14.42578125" collapsed="true"/>
    <col min="10" max="10" customWidth="true" style="138" width="17.42578125" collapsed="true"/>
    <col min="11" max="11" customWidth="true" style="138" width="5.28515625" collapsed="true"/>
    <col min="12" max="12" customWidth="true" style="138" width="13.42578125" collapsed="true"/>
    <col min="13" max="13" customWidth="true" style="138" width="3.0" collapsed="true"/>
    <col min="14" max="14" customWidth="true" style="138" width="17.7109375" collapsed="true"/>
    <col min="15" max="15" customWidth="true" hidden="true" style="138" width="7.28515625" collapsed="true"/>
    <col min="16" max="16" customWidth="true" hidden="true" style="138" width="20.0" collapsed="true"/>
    <col min="17" max="17" customWidth="true" hidden="true" style="138" width="6.28515625" collapsed="true"/>
    <col min="18" max="18" customWidth="true" hidden="true" style="138" width="18.85546875" collapsed="true"/>
    <col min="19" max="16384" style="138" width="9.140625" collapsed="true"/>
  </cols>
  <sheetData>
    <row customHeight="1" ht="12.75" r="1" spans="1:23" x14ac:dyDescent="0.2">
      <c r="A1" s="138" t="s">
        <v>3321</v>
      </c>
      <c r="B1" s="139"/>
      <c r="C1" s="139"/>
      <c r="D1" s="139"/>
      <c r="E1" s="139"/>
      <c r="F1" s="139"/>
      <c r="G1" s="139"/>
      <c r="H1" s="139"/>
      <c r="I1" s="139"/>
      <c r="J1" s="139"/>
      <c r="K1" s="139"/>
      <c r="L1" s="139"/>
      <c r="M1" s="139"/>
      <c r="N1" s="139"/>
      <c r="O1" s="140"/>
      <c r="P1" s="140"/>
      <c r="Q1" s="140"/>
      <c r="R1" s="140"/>
      <c r="S1" s="140"/>
      <c r="T1" s="140"/>
      <c r="U1" s="140"/>
      <c r="V1" s="140"/>
      <c r="W1" s="140"/>
    </row>
    <row customHeight="1" ht="12.75" r="2" spans="1:23" x14ac:dyDescent="0.2">
      <c r="A2" s="138">
        <v>1</v>
      </c>
      <c r="B2" s="139"/>
      <c r="C2" s="344" t="s">
        <v>2781</v>
      </c>
      <c r="D2" s="155"/>
      <c r="E2" s="345"/>
      <c r="F2" s="177"/>
      <c r="G2" s="420" t="str">
        <f>NRD</f>
        <v>NRD</v>
      </c>
      <c r="H2" s="659"/>
      <c r="I2" s="345"/>
      <c r="J2" s="155"/>
      <c r="K2" s="155"/>
      <c r="L2" s="155"/>
      <c r="M2" s="420" t="s">
        <v>3321</v>
      </c>
      <c r="N2" s="139"/>
      <c r="O2" s="140"/>
      <c r="P2" s="140"/>
      <c r="Q2" s="140"/>
      <c r="R2" s="140"/>
      <c r="S2" s="140"/>
      <c r="T2" s="140"/>
      <c r="U2" s="140"/>
      <c r="V2" s="140"/>
      <c r="W2" s="140"/>
    </row>
    <row customHeight="1" ht="12.75" r="3" spans="1:23" x14ac:dyDescent="0.2">
      <c r="A3" s="138">
        <v>15</v>
      </c>
      <c r="B3" s="139"/>
      <c r="C3" s="157"/>
      <c r="D3" s="141"/>
      <c r="E3" s="141"/>
      <c r="F3" s="141"/>
      <c r="G3" s="158"/>
      <c r="H3" s="157"/>
      <c r="I3" s="141"/>
      <c r="J3" s="141"/>
      <c r="K3" s="141"/>
      <c r="L3" s="141"/>
      <c r="M3" s="158"/>
      <c r="N3" s="139"/>
      <c r="R3" s="140"/>
      <c r="S3" s="140"/>
      <c r="T3" s="140"/>
      <c r="U3" s="140"/>
      <c r="V3" s="140"/>
      <c r="W3" s="140"/>
    </row>
    <row customHeight="1" ht="12.75" r="4" spans="1:23" x14ac:dyDescent="0.2">
      <c r="A4" s="138">
        <v>16</v>
      </c>
      <c r="B4" s="139"/>
      <c r="C4" s="347" t="s">
        <v>2658</v>
      </c>
      <c r="D4" s="141"/>
      <c r="E4" s="141"/>
      <c r="F4" s="141"/>
      <c r="G4" s="158"/>
      <c r="H4" s="347" t="s">
        <v>2782</v>
      </c>
      <c r="I4" s="141"/>
      <c r="J4" s="141"/>
      <c r="K4" s="141"/>
      <c r="L4" s="141"/>
      <c r="M4" s="158"/>
      <c r="N4" s="139"/>
      <c r="O4" s="140"/>
      <c r="P4" s="342" t="str">
        <f>"box_"&amp;NRD&amp;C5</f>
        <v>box_NRD1</v>
      </c>
      <c r="Q4" s="341" t="b">
        <v>0</v>
      </c>
      <c r="R4" s="140"/>
      <c r="S4" s="140"/>
      <c r="T4" s="140"/>
      <c r="U4" s="140"/>
      <c r="V4" s="140"/>
      <c r="W4" s="140"/>
    </row>
    <row customHeight="1" ht="12.75" r="5" spans="1:23" x14ac:dyDescent="0.2">
      <c r="A5" s="138">
        <v>20</v>
      </c>
      <c r="B5" s="139"/>
      <c r="C5" s="145">
        <f>A2</f>
        <v>1</v>
      </c>
      <c r="D5" s="141"/>
      <c r="E5" s="141"/>
      <c r="F5" s="174"/>
      <c r="G5" s="348"/>
      <c r="H5" s="165">
        <f>NRD!A8</f>
        <v>28</v>
      </c>
      <c r="I5" s="149"/>
      <c r="J5" s="141"/>
      <c r="K5" s="141"/>
      <c r="L5" s="141"/>
      <c r="M5" s="158"/>
      <c r="N5" s="139"/>
      <c r="O5" s="140"/>
      <c r="P5" s="342" t="s">
        <v>3415</v>
      </c>
      <c r="Q5" s="343" t="b">
        <f>NOT(box_NRD1)</f>
        <v>1</v>
      </c>
      <c r="R5" s="140"/>
      <c r="S5" s="140"/>
      <c r="T5" s="140"/>
      <c r="U5" s="140"/>
      <c r="V5" s="140"/>
      <c r="W5" s="140"/>
    </row>
    <row customHeight="1" ht="12.75" r="6" spans="1:23" x14ac:dyDescent="0.2">
      <c r="A6" s="138">
        <v>21</v>
      </c>
      <c r="B6" s="139"/>
      <c r="C6" s="157"/>
      <c r="D6" s="141"/>
      <c r="E6" s="141"/>
      <c r="F6" s="174"/>
      <c r="G6" s="158"/>
      <c r="H6" s="149"/>
      <c r="I6" s="144"/>
      <c r="J6" s="141"/>
      <c r="K6" s="141"/>
      <c r="L6" s="141"/>
      <c r="M6" s="158"/>
      <c r="N6" s="139"/>
      <c r="O6" s="140"/>
      <c r="P6" s="342" t="s">
        <v>3416</v>
      </c>
      <c r="Q6" s="341" t="b">
        <v>0</v>
      </c>
      <c r="R6" s="140"/>
      <c r="S6" s="140"/>
      <c r="T6" s="140"/>
      <c r="U6" s="140"/>
      <c r="V6" s="140"/>
      <c r="W6" s="140"/>
    </row>
    <row customHeight="1" ht="12.75" r="7" spans="1:23" x14ac:dyDescent="0.2">
      <c r="A7" s="138">
        <v>22</v>
      </c>
      <c r="B7" s="139"/>
      <c r="C7" s="157"/>
      <c r="D7" s="141"/>
      <c r="E7" s="141"/>
      <c r="F7" s="174"/>
      <c r="G7" s="158"/>
      <c r="H7" s="658"/>
      <c r="I7" s="144"/>
      <c r="J7" s="141"/>
      <c r="K7" s="141"/>
      <c r="L7" s="141"/>
      <c r="M7" s="158"/>
      <c r="N7" s="139"/>
      <c r="O7" s="140"/>
      <c r="P7" s="342" t="s">
        <v>934</v>
      </c>
      <c r="Q7" s="343" t="b">
        <f>AND(OR(box_NRD15,box_NRD16,Resident),NON_DOM_Allowances)</f>
        <v>1</v>
      </c>
      <c r="R7" s="140"/>
      <c r="S7" s="140"/>
      <c r="T7" s="140"/>
      <c r="U7" s="140"/>
      <c r="V7" s="140"/>
      <c r="W7" s="140"/>
    </row>
    <row customHeight="1" ht="12.75" r="8" spans="1:23" x14ac:dyDescent="0.2">
      <c r="A8" s="98">
        <v>28</v>
      </c>
      <c r="B8" s="139"/>
      <c r="C8" s="347" t="s">
        <v>2659</v>
      </c>
      <c r="D8" s="141"/>
      <c r="E8" s="149"/>
      <c r="F8" s="173"/>
      <c r="G8" s="348"/>
      <c r="H8" s="145">
        <f>A9</f>
        <v>29</v>
      </c>
      <c r="I8" s="141"/>
      <c r="J8" s="141"/>
      <c r="K8" s="141"/>
      <c r="L8" s="141"/>
      <c r="M8" s="158"/>
      <c r="N8" s="139"/>
      <c r="O8" s="140"/>
      <c r="P8" s="342" t="str">
        <f>"box_"&amp;NRD&amp;A3</f>
        <v>box_NRD15</v>
      </c>
      <c r="Q8" s="341" t="b">
        <v>0</v>
      </c>
      <c r="R8" s="670" t="s">
        <v>2027</v>
      </c>
      <c r="S8" s="140"/>
      <c r="T8" s="140"/>
      <c r="U8" s="140"/>
      <c r="V8" s="140"/>
      <c r="W8" s="140"/>
    </row>
    <row customHeight="1" ht="12.75" r="9" spans="1:23" x14ac:dyDescent="0.2">
      <c r="A9" s="98">
        <v>29</v>
      </c>
      <c r="B9" s="139"/>
      <c r="C9" s="145">
        <f>A3</f>
        <v>15</v>
      </c>
      <c r="D9" s="141"/>
      <c r="E9" s="149"/>
      <c r="F9" s="173"/>
      <c r="G9" s="348"/>
      <c r="H9" s="157"/>
      <c r="I9" s="141"/>
      <c r="J9" s="141"/>
      <c r="K9" s="141"/>
      <c r="L9" s="141"/>
      <c r="M9" s="158"/>
      <c r="N9" s="139"/>
      <c r="O9" s="140"/>
      <c r="P9" s="342" t="str">
        <f>"box_"&amp;NRD&amp;A4</f>
        <v>box_NRD16</v>
      </c>
      <c r="Q9" s="341" t="b">
        <v>0</v>
      </c>
      <c r="R9" s="670" t="s">
        <v>2027</v>
      </c>
      <c r="S9" s="140"/>
      <c r="T9" s="140"/>
      <c r="U9" s="140"/>
      <c r="V9" s="140"/>
      <c r="W9" s="140"/>
    </row>
    <row customHeight="1" ht="12.75" r="10" spans="1:23" x14ac:dyDescent="0.2">
      <c r="A10" s="98">
        <v>30</v>
      </c>
      <c r="B10" s="203"/>
      <c r="C10" s="349"/>
      <c r="D10" s="141"/>
      <c r="E10" s="141"/>
      <c r="F10" s="173"/>
      <c r="G10" s="158"/>
      <c r="H10" s="157"/>
      <c r="I10" s="141"/>
      <c r="J10" s="141"/>
      <c r="K10" s="141"/>
      <c r="L10" s="141"/>
      <c r="M10" s="158"/>
      <c r="N10" s="139"/>
      <c r="O10" s="140"/>
      <c r="P10" s="342" t="str">
        <f>"box_"&amp;NRD&amp;H5</f>
        <v>box_NRD28</v>
      </c>
      <c r="Q10" s="122" t="b">
        <v>0</v>
      </c>
      <c r="R10" s="670" t="s">
        <v>2026</v>
      </c>
      <c r="S10" s="140"/>
      <c r="T10" s="140"/>
      <c r="U10" s="140"/>
      <c r="V10" s="140"/>
      <c r="W10" s="140"/>
    </row>
    <row customHeight="1" ht="12.75" r="11" spans="1:23" x14ac:dyDescent="0.2">
      <c r="A11" s="98">
        <v>31</v>
      </c>
      <c r="B11" s="203"/>
      <c r="C11" s="157"/>
      <c r="D11" s="141"/>
      <c r="E11" s="340"/>
      <c r="F11" s="173"/>
      <c r="G11" s="158"/>
      <c r="H11" s="145">
        <f>A10</f>
        <v>30</v>
      </c>
      <c r="I11" s="141"/>
      <c r="J11" s="141"/>
      <c r="K11" s="141"/>
      <c r="L11" s="141"/>
      <c r="M11" s="158"/>
      <c r="N11" s="139"/>
      <c r="O11" s="140"/>
      <c r="P11" s="342" t="str">
        <f>"box_"&amp;NRD&amp;H8</f>
        <v>box_NRD29</v>
      </c>
      <c r="Q11" s="679" t="b">
        <v>0</v>
      </c>
      <c r="R11" s="670" t="s">
        <v>2104</v>
      </c>
      <c r="S11" s="140"/>
      <c r="T11" s="140"/>
      <c r="U11" s="140"/>
      <c r="V11" s="140"/>
      <c r="W11" s="140"/>
    </row>
    <row customHeight="1" ht="12.75" r="12" spans="1:23" x14ac:dyDescent="0.2">
      <c r="A12" s="98">
        <v>32</v>
      </c>
      <c r="B12" s="203"/>
      <c r="C12" s="145">
        <f>A4</f>
        <v>16</v>
      </c>
      <c r="D12" s="141"/>
      <c r="E12" s="340"/>
      <c r="F12" s="173"/>
      <c r="G12" s="158"/>
      <c r="H12" s="157"/>
      <c r="I12" s="141"/>
      <c r="J12" s="141"/>
      <c r="K12" s="141"/>
      <c r="L12" s="141"/>
      <c r="M12" s="158"/>
      <c r="N12" s="139"/>
      <c r="O12" s="140"/>
      <c r="P12" s="342" t="str">
        <f>"box_"&amp;NRD&amp;H11</f>
        <v>box_NRD30</v>
      </c>
      <c r="Q12" s="679" t="b">
        <v>0</v>
      </c>
      <c r="R12" s="670" t="s">
        <v>4146</v>
      </c>
      <c r="S12" s="140"/>
      <c r="T12" s="140"/>
      <c r="U12" s="140"/>
      <c r="V12" s="140"/>
      <c r="W12" s="140"/>
    </row>
    <row customHeight="1" ht="12.75" r="13" spans="1:23" x14ac:dyDescent="0.2">
      <c r="A13" s="98">
        <v>33</v>
      </c>
      <c r="B13" s="203"/>
      <c r="C13" s="157"/>
      <c r="D13" s="149"/>
      <c r="E13" s="149"/>
      <c r="F13" s="149"/>
      <c r="G13" s="158"/>
      <c r="H13" s="157"/>
      <c r="I13" s="141"/>
      <c r="J13" s="141"/>
      <c r="K13" s="141"/>
      <c r="L13" s="141"/>
      <c r="M13" s="158"/>
      <c r="N13" s="139"/>
      <c r="P13" s="342" t="str">
        <f>"box_"&amp;NRD&amp;H14</f>
        <v>box_NRD31</v>
      </c>
      <c r="Q13" s="341" t="b">
        <v>0</v>
      </c>
      <c r="R13" s="670" t="s">
        <v>2268</v>
      </c>
      <c r="T13" s="140"/>
      <c r="U13" s="140"/>
      <c r="V13" s="140"/>
      <c r="W13" s="140"/>
    </row>
    <row customHeight="1" ht="12.75" r="14" spans="1:23" x14ac:dyDescent="0.2">
      <c r="A14" s="98">
        <v>34</v>
      </c>
      <c r="B14" s="203"/>
      <c r="C14" s="157"/>
      <c r="D14" s="149"/>
      <c r="E14" s="141"/>
      <c r="F14" s="141"/>
      <c r="G14" s="158"/>
      <c r="H14" s="145">
        <f>A11</f>
        <v>31</v>
      </c>
      <c r="I14" s="141"/>
      <c r="J14" s="141"/>
      <c r="K14" s="141"/>
      <c r="L14" s="141"/>
      <c r="M14" s="158"/>
      <c r="N14" s="139"/>
      <c r="P14" s="342" t="str">
        <f>"box_"&amp;NRD&amp;H17</f>
        <v>box_NRD32</v>
      </c>
      <c r="Q14" s="341" t="b">
        <v>0</v>
      </c>
      <c r="R14" s="670" t="s">
        <v>2105</v>
      </c>
      <c r="S14" s="140"/>
      <c r="T14" s="140"/>
      <c r="U14" s="140"/>
      <c r="V14" s="140"/>
      <c r="W14" s="140"/>
    </row>
    <row customHeight="1" ht="12.75" r="15" spans="1:23" x14ac:dyDescent="0.2">
      <c r="A15" s="98">
        <v>35</v>
      </c>
      <c r="B15" s="203"/>
      <c r="C15" s="347" t="s">
        <v>2479</v>
      </c>
      <c r="D15" s="141"/>
      <c r="E15" s="141"/>
      <c r="F15" s="141"/>
      <c r="G15" s="158"/>
      <c r="H15" s="157"/>
      <c r="I15" s="141"/>
      <c r="J15" s="141"/>
      <c r="K15" s="141"/>
      <c r="L15" s="141"/>
      <c r="M15" s="158"/>
      <c r="N15" s="139"/>
      <c r="O15" s="140"/>
      <c r="P15" s="342" t="str">
        <f>"box_"&amp;NRD&amp;H20</f>
        <v>box_NRD33</v>
      </c>
      <c r="Q15" s="341" t="b">
        <v>0</v>
      </c>
      <c r="R15" s="670" t="s">
        <v>2106</v>
      </c>
      <c r="S15" s="140"/>
      <c r="T15" s="140"/>
      <c r="U15" s="140"/>
      <c r="V15" s="140"/>
      <c r="W15" s="140"/>
    </row>
    <row customHeight="1" ht="12.75" r="16" spans="1:23" x14ac:dyDescent="0.2">
      <c r="A16" s="138">
        <v>36</v>
      </c>
      <c r="B16" s="203"/>
      <c r="C16" s="157"/>
      <c r="D16" s="145">
        <f>A5</f>
        <v>20</v>
      </c>
      <c r="E16" s="141" t="s">
        <v>973</v>
      </c>
      <c r="F16" s="141"/>
      <c r="G16" s="158"/>
      <c r="H16" s="157"/>
      <c r="I16" s="141"/>
      <c r="J16" s="141"/>
      <c r="K16" s="141"/>
      <c r="L16" s="141"/>
      <c r="M16" s="158"/>
      <c r="N16" s="139"/>
      <c r="O16" s="140"/>
      <c r="P16" s="342" t="s">
        <v>1316</v>
      </c>
      <c r="Q16" s="343" t="b">
        <f>NOT(AND(remit_basis,box_NRD29=FALSE,box_NRD16=FALSE))</f>
        <v>1</v>
      </c>
      <c r="R16" s="140"/>
      <c r="S16" s="140"/>
      <c r="T16" s="140"/>
      <c r="U16" s="140"/>
      <c r="V16" s="140"/>
      <c r="W16" s="140"/>
    </row>
    <row customHeight="1" ht="12.75" r="17" spans="1:23" x14ac:dyDescent="0.2">
      <c r="A17" s="138">
        <v>37</v>
      </c>
      <c r="B17" s="203"/>
      <c r="C17" s="157"/>
      <c r="D17" s="149"/>
      <c r="E17" s="179"/>
      <c r="F17" s="141"/>
      <c r="G17" s="158"/>
      <c r="H17" s="145">
        <f>A12</f>
        <v>32</v>
      </c>
      <c r="I17" s="141"/>
      <c r="J17" s="141"/>
      <c r="K17" s="141"/>
      <c r="L17" s="141"/>
      <c r="M17" s="158"/>
      <c r="N17" s="139"/>
      <c r="O17" s="140"/>
      <c r="P17" s="342" t="s">
        <v>1317</v>
      </c>
      <c r="Q17" s="343" t="b">
        <f>AND(remit_basis,box_NRD29=FALSE,OR(box_NRD30,box_NRD31,box_NRD32),box_NRD33=FALSE)</f>
        <v>0</v>
      </c>
      <c r="R17" s="140"/>
      <c r="S17" s="140"/>
      <c r="T17" s="140"/>
      <c r="U17" s="140"/>
      <c r="V17" s="140"/>
      <c r="W17" s="140"/>
    </row>
    <row customHeight="1" ht="12.75" r="18" spans="1:23" x14ac:dyDescent="0.2">
      <c r="A18" s="138">
        <v>38</v>
      </c>
      <c r="B18" s="203"/>
      <c r="C18" s="157"/>
      <c r="D18" s="149"/>
      <c r="E18" s="141"/>
      <c r="F18" s="141"/>
      <c r="G18" s="158"/>
      <c r="H18" s="157"/>
      <c r="I18" s="141"/>
      <c r="J18" s="141"/>
      <c r="K18" s="141"/>
      <c r="L18" s="141"/>
      <c r="M18" s="158"/>
      <c r="N18" s="139"/>
      <c r="O18" s="140"/>
      <c r="P18" s="140"/>
      <c r="Q18" s="140"/>
      <c r="R18" s="140"/>
      <c r="S18" s="140"/>
      <c r="T18" s="140"/>
      <c r="U18" s="140"/>
      <c r="V18" s="140"/>
      <c r="W18" s="140"/>
    </row>
    <row customHeight="1" ht="12.75" r="19" spans="1:23" x14ac:dyDescent="0.2">
      <c r="A19" s="138">
        <v>39</v>
      </c>
      <c r="B19" s="139"/>
      <c r="C19" s="157"/>
      <c r="D19" s="145">
        <f>A6</f>
        <v>21</v>
      </c>
      <c r="E19" s="141" t="s">
        <v>2480</v>
      </c>
      <c r="F19" s="141"/>
      <c r="G19" s="158"/>
      <c r="H19" s="157"/>
      <c r="I19" s="141"/>
      <c r="J19" s="141"/>
      <c r="K19" s="141"/>
      <c r="L19" s="141"/>
      <c r="M19" s="158"/>
      <c r="N19" s="139"/>
      <c r="O19" s="140"/>
      <c r="P19" s="140"/>
      <c r="Q19" s="140"/>
      <c r="R19" s="140"/>
      <c r="S19" s="140"/>
      <c r="T19" s="140"/>
      <c r="U19" s="140"/>
      <c r="V19" s="140"/>
      <c r="W19" s="140"/>
    </row>
    <row customHeight="1" ht="12.75" r="20" spans="1:23" x14ac:dyDescent="0.2">
      <c r="B20" s="139"/>
      <c r="C20" s="157"/>
      <c r="D20" s="141"/>
      <c r="E20" s="179"/>
      <c r="F20" s="141"/>
      <c r="G20" s="158"/>
      <c r="H20" s="145">
        <f>A13</f>
        <v>33</v>
      </c>
      <c r="I20" s="141"/>
      <c r="J20" s="141"/>
      <c r="K20" s="145">
        <f>A14</f>
        <v>34</v>
      </c>
      <c r="L20" s="141" t="s">
        <v>3240</v>
      </c>
      <c r="M20" s="158"/>
      <c r="N20" s="139"/>
      <c r="O20" s="140"/>
      <c r="P20" s="140"/>
      <c r="Q20" s="140"/>
      <c r="R20" s="140"/>
      <c r="S20" s="140"/>
      <c r="T20" s="140"/>
      <c r="U20" s="140"/>
      <c r="V20" s="140"/>
      <c r="W20" s="140"/>
    </row>
    <row customHeight="1" ht="12.75" r="21" spans="1:23" x14ac:dyDescent="0.2">
      <c r="B21" s="139"/>
      <c r="C21" s="157"/>
      <c r="D21" s="141"/>
      <c r="E21" s="141"/>
      <c r="F21" s="141"/>
      <c r="G21" s="158"/>
      <c r="H21" s="157"/>
      <c r="I21" s="141"/>
      <c r="J21" s="141"/>
      <c r="K21" s="141"/>
      <c r="L21" s="148"/>
      <c r="M21" s="158"/>
      <c r="N21" s="139"/>
      <c r="O21" s="140"/>
      <c r="P21" s="140"/>
      <c r="Q21" s="140"/>
      <c r="R21" s="140"/>
      <c r="S21" s="140"/>
      <c r="T21" s="140"/>
      <c r="U21" s="140"/>
      <c r="V21" s="140"/>
      <c r="W21" s="140"/>
    </row>
    <row customHeight="1" ht="12.75" r="22" spans="1:23" x14ac:dyDescent="0.2">
      <c r="B22" s="139"/>
      <c r="C22" s="157"/>
      <c r="D22" s="145">
        <f>A7</f>
        <v>22</v>
      </c>
      <c r="E22" s="141" t="s">
        <v>2481</v>
      </c>
      <c r="F22" s="141"/>
      <c r="G22" s="158"/>
      <c r="H22" s="157"/>
      <c r="I22" s="141"/>
      <c r="J22" s="141"/>
      <c r="K22" s="141"/>
      <c r="L22" s="141"/>
      <c r="M22" s="158"/>
      <c r="N22" s="139"/>
      <c r="O22" s="140"/>
      <c r="P22" s="140"/>
      <c r="Q22" s="140"/>
      <c r="R22" s="140"/>
      <c r="S22" s="140"/>
      <c r="T22" s="140"/>
      <c r="U22" s="140"/>
      <c r="V22" s="140"/>
      <c r="W22" s="140"/>
    </row>
    <row customHeight="1" ht="12.75" r="23" spans="1:23" x14ac:dyDescent="0.2">
      <c r="B23" s="139"/>
      <c r="C23" s="157"/>
      <c r="D23" s="141"/>
      <c r="E23" s="179"/>
      <c r="F23" s="141"/>
      <c r="G23" s="158"/>
      <c r="H23" s="145">
        <f>A15</f>
        <v>35</v>
      </c>
      <c r="I23" s="141" t="s">
        <v>1875</v>
      </c>
      <c r="J23" s="141"/>
      <c r="K23" s="145">
        <f>A16</f>
        <v>36</v>
      </c>
      <c r="L23" s="141" t="s">
        <v>3893</v>
      </c>
      <c r="M23" s="158"/>
      <c r="N23" s="139"/>
      <c r="O23" s="140"/>
      <c r="P23" s="140"/>
      <c r="Q23" s="140"/>
      <c r="R23" s="140"/>
      <c r="S23" s="140"/>
      <c r="T23" s="140"/>
      <c r="U23" s="140"/>
      <c r="V23" s="140"/>
      <c r="W23" s="140"/>
    </row>
    <row customHeight="1" ht="12.75" r="24" spans="1:23" x14ac:dyDescent="0.2">
      <c r="B24" s="139"/>
      <c r="C24" s="157"/>
      <c r="D24" s="141"/>
      <c r="E24" s="141"/>
      <c r="F24" s="141"/>
      <c r="G24" s="158"/>
      <c r="H24" s="157"/>
      <c r="I24" s="148"/>
      <c r="J24" s="141"/>
      <c r="K24" s="141"/>
      <c r="L24" s="179"/>
      <c r="M24" s="158"/>
      <c r="N24" s="139"/>
      <c r="O24" s="140"/>
      <c r="P24" s="140"/>
      <c r="Q24" s="140"/>
      <c r="R24" s="140"/>
      <c r="S24" s="140"/>
      <c r="T24" s="140"/>
      <c r="U24" s="140"/>
      <c r="V24" s="140"/>
      <c r="W24" s="140"/>
    </row>
    <row r="25" spans="1:23" x14ac:dyDescent="0.2">
      <c r="B25" s="139"/>
      <c r="C25" s="162"/>
      <c r="D25" s="188"/>
      <c r="E25" s="163"/>
      <c r="F25" s="163"/>
      <c r="G25" s="164"/>
      <c r="H25" s="162"/>
      <c r="I25" s="163"/>
      <c r="J25" s="163"/>
      <c r="K25" s="163"/>
      <c r="L25" s="163"/>
      <c r="M25" s="164"/>
      <c r="N25" s="139"/>
      <c r="O25" s="140"/>
      <c r="P25" s="140"/>
      <c r="Q25" s="140"/>
      <c r="R25" s="140"/>
      <c r="S25" s="140"/>
      <c r="T25" s="140"/>
      <c r="U25" s="140"/>
      <c r="V25" s="140"/>
      <c r="W25" s="140"/>
    </row>
    <row r="26" spans="1:23" x14ac:dyDescent="0.2">
      <c r="B26" s="139"/>
      <c r="C26" s="139"/>
      <c r="D26" s="139"/>
      <c r="E26" s="139"/>
      <c r="F26" s="153"/>
      <c r="G26" s="139"/>
      <c r="H26" s="139"/>
      <c r="I26" s="139"/>
      <c r="J26" s="139"/>
      <c r="K26" s="139"/>
      <c r="L26" s="139"/>
      <c r="M26" s="139"/>
      <c r="N26" s="139"/>
      <c r="O26" s="140"/>
      <c r="P26" s="140"/>
      <c r="Q26" s="140"/>
      <c r="R26" s="140"/>
      <c r="S26" s="140"/>
      <c r="T26" s="140"/>
      <c r="U26" s="140"/>
      <c r="V26" s="140"/>
      <c r="W26" s="140"/>
    </row>
    <row r="27" spans="1:23" x14ac:dyDescent="0.2">
      <c r="B27" s="139"/>
      <c r="C27" s="139"/>
      <c r="D27" s="139"/>
      <c r="E27" s="139"/>
      <c r="F27" s="139"/>
      <c r="G27" s="139"/>
      <c r="H27" s="139"/>
      <c r="I27" s="139"/>
      <c r="J27" s="139"/>
      <c r="K27" s="139"/>
      <c r="L27" s="139"/>
      <c r="M27" s="139"/>
      <c r="N27" s="139"/>
    </row>
    <row r="28" spans="1:23" x14ac:dyDescent="0.2">
      <c r="B28" s="139"/>
      <c r="C28" s="139"/>
      <c r="D28" s="139"/>
      <c r="E28" s="139"/>
      <c r="F28" s="139"/>
      <c r="G28" s="139"/>
      <c r="H28" s="139"/>
      <c r="I28" s="139"/>
      <c r="J28" s="139"/>
      <c r="K28" s="139"/>
      <c r="L28" s="139"/>
      <c r="M28" s="139"/>
      <c r="N28" s="139"/>
    </row>
    <row r="29" spans="1:23" x14ac:dyDescent="0.2">
      <c r="B29" s="139"/>
      <c r="C29" s="139"/>
      <c r="D29" s="139"/>
      <c r="E29" s="139"/>
      <c r="F29" s="139"/>
      <c r="G29" s="139"/>
      <c r="H29" s="139"/>
      <c r="I29" s="139"/>
      <c r="J29" s="139"/>
      <c r="K29" s="139"/>
      <c r="L29" s="139"/>
      <c r="M29" s="139"/>
      <c r="N29" s="139"/>
    </row>
    <row r="30" spans="1:23" x14ac:dyDescent="0.2">
      <c r="B30" s="139"/>
      <c r="C30" s="139"/>
      <c r="D30" s="139"/>
      <c r="E30" s="139"/>
      <c r="F30" s="139"/>
      <c r="G30" s="139"/>
      <c r="H30" s="139"/>
      <c r="I30" s="139"/>
      <c r="J30" s="139"/>
      <c r="K30" s="139"/>
      <c r="L30" s="139"/>
      <c r="M30" s="139"/>
      <c r="N30" s="139"/>
    </row>
    <row r="31" spans="1:23" x14ac:dyDescent="0.2">
      <c r="B31" s="139"/>
      <c r="C31" s="139"/>
      <c r="D31" s="139"/>
      <c r="E31" s="139"/>
      <c r="F31" s="139"/>
      <c r="G31" s="139"/>
      <c r="H31" s="139"/>
      <c r="I31" s="139"/>
      <c r="J31" s="139"/>
      <c r="K31" s="139"/>
      <c r="L31" s="139"/>
      <c r="M31" s="139"/>
      <c r="N31" s="139"/>
    </row>
    <row r="32" spans="1:23" x14ac:dyDescent="0.2">
      <c r="B32" s="139"/>
      <c r="C32" s="139"/>
      <c r="D32" s="139"/>
      <c r="E32" s="139"/>
      <c r="F32" s="139"/>
      <c r="G32" s="139"/>
      <c r="H32" s="139"/>
      <c r="I32" s="139"/>
      <c r="J32" s="139"/>
      <c r="K32" s="139"/>
      <c r="L32" s="139"/>
      <c r="M32" s="139"/>
      <c r="N32" s="139"/>
    </row>
    <row r="33" spans="2:14" x14ac:dyDescent="0.2">
      <c r="B33" s="139"/>
      <c r="C33" s="139"/>
      <c r="D33" s="139"/>
      <c r="E33" s="139"/>
      <c r="F33" s="139"/>
      <c r="G33" s="139"/>
      <c r="H33" s="139"/>
      <c r="I33" s="139"/>
      <c r="J33" s="139"/>
      <c r="K33" s="139"/>
      <c r="L33" s="139"/>
      <c r="M33" s="139"/>
      <c r="N33" s="139"/>
    </row>
  </sheetData>
  <sheetProtection objects="1" scenarios="1" sheet="1"/>
  <phoneticPr fontId="67" type="noConversion"/>
  <dataValidations count="2">
    <dataValidation allowBlank="1" prompt="If NRD28 is ticked and NRD29 or NRD33 are not ticked then NRD34 or NRD35 must contain a minimum of £1" promptTitle="Nominated income" showErrorMessage="1" showInputMessage="1" sqref="L21" xr:uid="{00000000-0002-0000-3300-000000000000}"/>
    <dataValidation allowBlank="1" prompt="If NRD28 is ticked and NRD29 or NRD33 are not ticked then NRD34 or NRD35 must contain a minimum of £1" promptTitle="Nominated Capital Gains" showErrorMessage="1" showInputMessage="1" sqref="I24" xr:uid="{00000000-0002-0000-3300-000001000000}"/>
  </dataValidations>
  <pageMargins bottom="0.19685039370078741" footer="0" header="0" left="0.19685039370078741" right="0.19685039370078741" top="0.19685039370078741"/>
  <pageSetup orientation="landscape" paperSize="9" r:id="rId1"/>
  <headerFooter alignWithMargins="0"/>
  <drawing r:id="rId2"/>
  <legacyDrawing r:id="rId3"/>
  <mc:AlternateContent>
    <mc:Choice Requires="x14">
      <controls>
        <mc:AlternateContent>
          <mc:Choice Requires="x14">
            <control name="Check Box 3" r:id="rId4" shapeId="3075">
              <controlPr autoFill="0" autoLine="0" autoPict="0" defaultSize="0">
                <anchor moveWithCells="1">
                  <from>
                    <xdr:col>2</xdr:col>
                    <xdr:colOff>285750</xdr:colOff>
                    <xdr:row>4</xdr:row>
                    <xdr:rowOff>104775</xdr:rowOff>
                  </from>
                  <to>
                    <xdr:col>3</xdr:col>
                    <xdr:colOff>238125</xdr:colOff>
                    <xdr:row>6</xdr:row>
                    <xdr:rowOff>0</xdr:rowOff>
                  </to>
                </anchor>
              </controlPr>
            </control>
          </mc:Choice>
        </mc:AlternateContent>
        <mc:AlternateContent>
          <mc:Choice Requires="x14">
            <control name="Check Box 5" r:id="rId5" shapeId="3077">
              <controlPr autoFill="0" autoLine="0" autoPict="0" defaultSize="0">
                <anchor moveWithCells="1">
                  <from>
                    <xdr:col>2</xdr:col>
                    <xdr:colOff>285750</xdr:colOff>
                    <xdr:row>8</xdr:row>
                    <xdr:rowOff>114300</xdr:rowOff>
                  </from>
                  <to>
                    <xdr:col>3</xdr:col>
                    <xdr:colOff>238125</xdr:colOff>
                    <xdr:row>10</xdr:row>
                    <xdr:rowOff>9525</xdr:rowOff>
                  </to>
                </anchor>
              </controlPr>
            </control>
          </mc:Choice>
        </mc:AlternateContent>
        <mc:AlternateContent>
          <mc:Choice Requires="x14">
            <control name="Check Box 7" r:id="rId6" shapeId="3079">
              <controlPr autoFill="0" autoLine="0" autoPict="0" defaultSize="0">
                <anchor moveWithCells="1">
                  <from>
                    <xdr:col>2</xdr:col>
                    <xdr:colOff>285750</xdr:colOff>
                    <xdr:row>11</xdr:row>
                    <xdr:rowOff>114300</xdr:rowOff>
                  </from>
                  <to>
                    <xdr:col>3</xdr:col>
                    <xdr:colOff>238125</xdr:colOff>
                    <xdr:row>13</xdr:row>
                    <xdr:rowOff>9525</xdr:rowOff>
                  </to>
                </anchor>
              </controlPr>
            </control>
          </mc:Choice>
        </mc:AlternateContent>
        <mc:AlternateContent>
          <mc:Choice Requires="x14">
            <control name="Check Box 8" r:id="rId7" shapeId="3080">
              <controlPr autoFill="0" autoLine="0" autoPict="0" defaultSize="0">
                <anchor moveWithCells="1">
                  <from>
                    <xdr:col>7</xdr:col>
                    <xdr:colOff>314325</xdr:colOff>
                    <xdr:row>4</xdr:row>
                    <xdr:rowOff>114300</xdr:rowOff>
                  </from>
                  <to>
                    <xdr:col>8</xdr:col>
                    <xdr:colOff>266700</xdr:colOff>
                    <xdr:row>6</xdr:row>
                    <xdr:rowOff>9525</xdr:rowOff>
                  </to>
                </anchor>
              </controlPr>
            </control>
          </mc:Choice>
        </mc:AlternateContent>
        <mc:AlternateContent>
          <mc:Choice Requires="x14">
            <control name="Check Box 10" r:id="rId8" shapeId="3082">
              <controlPr autoFill="0" autoLine="0" autoPict="0" defaultSize="0">
                <anchor moveWithCells="1">
                  <from>
                    <xdr:col>7</xdr:col>
                    <xdr:colOff>314325</xdr:colOff>
                    <xdr:row>7</xdr:row>
                    <xdr:rowOff>104775</xdr:rowOff>
                  </from>
                  <to>
                    <xdr:col>8</xdr:col>
                    <xdr:colOff>266700</xdr:colOff>
                    <xdr:row>9</xdr:row>
                    <xdr:rowOff>0</xdr:rowOff>
                  </to>
                </anchor>
              </controlPr>
            </control>
          </mc:Choice>
        </mc:AlternateContent>
        <mc:AlternateContent>
          <mc:Choice Requires="x14">
            <control name="Check Box 11" r:id="rId9" shapeId="3083">
              <controlPr autoFill="0" autoLine="0" autoPict="0" defaultSize="0" macro="[0]!CheckBoxes_RBC31">
                <anchor moveWithCells="1">
                  <from>
                    <xdr:col>7</xdr:col>
                    <xdr:colOff>314325</xdr:colOff>
                    <xdr:row>13</xdr:row>
                    <xdr:rowOff>114300</xdr:rowOff>
                  </from>
                  <to>
                    <xdr:col>8</xdr:col>
                    <xdr:colOff>266700</xdr:colOff>
                    <xdr:row>15</xdr:row>
                    <xdr:rowOff>9525</xdr:rowOff>
                  </to>
                </anchor>
              </controlPr>
            </control>
          </mc:Choice>
        </mc:AlternateContent>
        <mc:AlternateContent>
          <mc:Choice Requires="x14">
            <control name="Check Box 12" r:id="rId10" shapeId="3084">
              <controlPr autoFill="0" autoLine="0" autoPict="0" defaultSize="0">
                <anchor moveWithCells="1">
                  <from>
                    <xdr:col>7</xdr:col>
                    <xdr:colOff>304800</xdr:colOff>
                    <xdr:row>19</xdr:row>
                    <xdr:rowOff>114300</xdr:rowOff>
                  </from>
                  <to>
                    <xdr:col>8</xdr:col>
                    <xdr:colOff>257175</xdr:colOff>
                    <xdr:row>21</xdr:row>
                    <xdr:rowOff>9525</xdr:rowOff>
                  </to>
                </anchor>
              </controlPr>
            </control>
          </mc:Choice>
        </mc:AlternateContent>
        <mc:AlternateContent>
          <mc:Choice Requires="x14">
            <control name="Check Box 15" r:id="rId11" shapeId="3087">
              <controlPr autoFill="0" autoLine="0" autoPict="0" defaultSize="0" macro="[0]!CheckBoxes_RBC30">
                <anchor moveWithCells="1">
                  <from>
                    <xdr:col>7</xdr:col>
                    <xdr:colOff>314325</xdr:colOff>
                    <xdr:row>10</xdr:row>
                    <xdr:rowOff>104775</xdr:rowOff>
                  </from>
                  <to>
                    <xdr:col>8</xdr:col>
                    <xdr:colOff>266700</xdr:colOff>
                    <xdr:row>12</xdr:row>
                    <xdr:rowOff>0</xdr:rowOff>
                  </to>
                </anchor>
              </controlPr>
            </control>
          </mc:Choice>
        </mc:AlternateContent>
        <mc:AlternateContent>
          <mc:Choice Requires="x14">
            <control name="Check Box 122" r:id="rId12" shapeId="3194">
              <controlPr autoFill="0" autoLine="0" autoPict="0" defaultSize="0" macro="[0]!CheckBoxes_RBC32">
                <anchor moveWithCells="1">
                  <from>
                    <xdr:col>7</xdr:col>
                    <xdr:colOff>304800</xdr:colOff>
                    <xdr:row>16</xdr:row>
                    <xdr:rowOff>104775</xdr:rowOff>
                  </from>
                  <to>
                    <xdr:col>8</xdr:col>
                    <xdr:colOff>257175</xdr:colOff>
                    <xdr:row>18</xdr:row>
                    <xdr:rowOff>0</xdr:rowOff>
                  </to>
                </anchor>
              </controlPr>
            </control>
          </mc:Choice>
        </mc:AlternateContent>
      </controls>
    </mc:Choice>
  </mc:AlternateContent>
</worksheet>
</file>

<file path=xl/worksheets/sheet53.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40"/>
  <dimension ref="A1:O39"/>
  <sheetViews>
    <sheetView showGridLines="0" showRowColHeaders="0" topLeftCell="B1" workbookViewId="0">
      <selection activeCell="I10" sqref="I10"/>
    </sheetView>
  </sheetViews>
  <sheetFormatPr defaultColWidth="9.140625" defaultRowHeight="12" x14ac:dyDescent="0.2"/>
  <cols>
    <col min="1" max="1" customWidth="true" hidden="true" style="138" width="4.7109375" collapsed="true"/>
    <col min="2" max="2" customWidth="true" style="138" width="8.140625" collapsed="true"/>
    <col min="3" max="3" customWidth="true" style="138" width="4.7109375" collapsed="true"/>
    <col min="4" max="4" customWidth="true" style="138" width="13.42578125" collapsed="true"/>
    <col min="5" max="5" customWidth="true" style="138" width="27.85546875" collapsed="true"/>
    <col min="6" max="6" customWidth="true" style="138" width="6.42578125" collapsed="true"/>
    <col min="7" max="7" customWidth="true" style="138" width="4.28515625" collapsed="true"/>
    <col min="8" max="8" customWidth="true" style="138" width="13.28515625" collapsed="true"/>
    <col min="9" max="9" customWidth="true" style="138" width="33.42578125" collapsed="true"/>
    <col min="10" max="10" customWidth="true" style="138" width="29.28515625" collapsed="true"/>
    <col min="11" max="16384" style="138" width="9.140625" collapsed="true"/>
  </cols>
  <sheetData>
    <row customHeight="1" ht="12.75" r="1" spans="1:14" x14ac:dyDescent="0.2">
      <c r="A1" s="138" t="s">
        <v>568</v>
      </c>
      <c r="B1" s="139"/>
      <c r="C1" s="139"/>
      <c r="D1" s="139"/>
      <c r="E1" s="139"/>
      <c r="F1" s="139"/>
      <c r="G1" s="139"/>
      <c r="H1" s="139"/>
      <c r="I1" s="139"/>
      <c r="J1" s="139"/>
      <c r="K1" s="140"/>
      <c r="L1" s="140"/>
    </row>
    <row customHeight="1" ht="12.75" r="2" spans="1:14" x14ac:dyDescent="0.2">
      <c r="B2" s="139"/>
      <c r="C2" s="431" t="s">
        <v>569</v>
      </c>
      <c r="D2" s="395"/>
      <c r="E2" s="396"/>
      <c r="F2" s="396"/>
      <c r="G2" s="397"/>
      <c r="H2" s="398"/>
      <c r="I2" s="433" t="s">
        <v>568</v>
      </c>
      <c r="J2" s="139"/>
      <c r="K2" s="140"/>
      <c r="L2" s="140"/>
    </row>
    <row customHeight="1" ht="12.75" r="3" spans="1:14" x14ac:dyDescent="0.2">
      <c r="A3" s="138">
        <v>1</v>
      </c>
      <c r="B3" s="139"/>
      <c r="C3" s="157"/>
      <c r="D3" s="141"/>
      <c r="E3" s="141"/>
      <c r="F3" s="141"/>
      <c r="G3" s="144"/>
      <c r="H3" s="360"/>
      <c r="I3" s="158"/>
      <c r="J3" s="139"/>
      <c r="K3" s="140"/>
      <c r="L3" s="140"/>
    </row>
    <row customHeight="1" ht="12.75" r="4" spans="1:14" x14ac:dyDescent="0.2">
      <c r="A4" s="138">
        <v>2</v>
      </c>
      <c r="B4" s="139"/>
      <c r="C4" s="399" t="s">
        <v>1463</v>
      </c>
      <c r="D4" s="141"/>
      <c r="E4" s="141"/>
      <c r="F4" s="141"/>
      <c r="G4" s="144"/>
      <c r="H4" s="360"/>
      <c r="I4" s="158"/>
      <c r="J4" s="139"/>
      <c r="K4" s="140"/>
      <c r="L4" s="140"/>
    </row>
    <row customHeight="1" ht="6" r="5" spans="1:14" x14ac:dyDescent="0.2">
      <c r="A5" s="138">
        <v>3</v>
      </c>
      <c r="B5" s="139"/>
      <c r="C5" s="157"/>
      <c r="D5" s="141"/>
      <c r="E5" s="141"/>
      <c r="F5" s="141"/>
      <c r="G5" s="144"/>
      <c r="H5" s="360"/>
      <c r="I5" s="158"/>
      <c r="J5" s="139"/>
      <c r="K5" s="140"/>
      <c r="L5" s="140"/>
    </row>
    <row customHeight="1" ht="12.75" r="6" spans="1:14" x14ac:dyDescent="0.2">
      <c r="A6" s="138">
        <v>4</v>
      </c>
      <c r="B6" s="139"/>
      <c r="C6" s="418">
        <f>A9</f>
        <v>7</v>
      </c>
      <c r="D6" s="358" t="str">
        <f>"Underpaid tax for earlier years included in "&amp;tax_year&amp;" tax code"</f>
        <v>Underpaid tax for earlier years included in 2019-20 tax code</v>
      </c>
      <c r="E6" s="141"/>
      <c r="F6" s="141"/>
      <c r="G6" s="144"/>
      <c r="H6" s="360"/>
      <c r="I6" s="158"/>
      <c r="J6" s="139"/>
      <c r="K6" s="140"/>
      <c r="L6" s="140"/>
      <c r="M6" s="140"/>
      <c r="N6" s="140"/>
    </row>
    <row customHeight="1" ht="12.75" r="7" spans="1:14" x14ac:dyDescent="0.2">
      <c r="A7" s="138">
        <v>5</v>
      </c>
      <c r="B7" s="139"/>
      <c r="C7" s="428"/>
      <c r="D7" s="258">
        <v>2999</v>
      </c>
      <c r="E7" s="141"/>
      <c r="F7" s="141"/>
      <c r="G7" s="144"/>
      <c r="H7" s="360"/>
      <c r="I7" s="158"/>
      <c r="J7" s="139"/>
      <c r="K7" s="140"/>
      <c r="L7" s="140"/>
      <c r="M7" s="140"/>
      <c r="N7" s="140"/>
    </row>
    <row customHeight="1" ht="12.75" r="8" spans="1:14" x14ac:dyDescent="0.2">
      <c r="A8" s="138">
        <v>6</v>
      </c>
      <c r="B8" s="139"/>
      <c r="C8" s="428"/>
      <c r="D8" s="141"/>
      <c r="E8" s="141"/>
      <c r="F8" s="141"/>
      <c r="G8" s="204"/>
      <c r="H8" s="360"/>
      <c r="I8" s="158"/>
      <c r="J8" s="139"/>
      <c r="K8" s="140"/>
      <c r="L8" s="140"/>
      <c r="M8" s="140"/>
      <c r="N8" s="140"/>
    </row>
    <row customHeight="1" ht="12.75" r="9" spans="1:14" x14ac:dyDescent="0.2">
      <c r="A9" s="138">
        <v>7</v>
      </c>
      <c r="B9" s="139"/>
      <c r="C9" s="418">
        <f>A10</f>
        <v>8</v>
      </c>
      <c r="D9" s="358" t="str">
        <f>tax_year&amp;" underpaid tax included in "&amp;next_year&amp;" tax code"</f>
        <v>2019-20 underpaid tax included in 2020-21 tax code</v>
      </c>
      <c r="E9" s="141"/>
      <c r="F9" s="141"/>
      <c r="G9" s="418">
        <f>A11</f>
        <v>9</v>
      </c>
      <c r="H9" s="141" t="str">
        <f>"Outstanding debt included in "&amp;tax_year&amp;" tax code"</f>
        <v>Outstanding debt included in 2019-20 tax code</v>
      </c>
      <c r="I9" s="158"/>
      <c r="J9" s="139"/>
      <c r="K9" s="140"/>
      <c r="L9" s="140"/>
      <c r="M9" s="140"/>
      <c r="N9" s="140"/>
    </row>
    <row customHeight="1" ht="12.75" r="10" spans="1:14" x14ac:dyDescent="0.2">
      <c r="A10" s="138">
        <v>8</v>
      </c>
      <c r="B10" s="139"/>
      <c r="C10" s="428"/>
      <c r="D10" s="258"/>
      <c r="E10" s="141"/>
      <c r="F10" s="141"/>
      <c r="G10" s="204"/>
      <c r="H10" s="258"/>
      <c r="I10" s="158"/>
      <c r="J10" s="139"/>
      <c r="K10" s="140"/>
      <c r="L10" s="140"/>
      <c r="M10" s="140"/>
      <c r="N10" s="140"/>
    </row>
    <row customHeight="1" ht="12.75" r="11" spans="1:14" x14ac:dyDescent="0.2">
      <c r="A11" s="138">
        <v>9</v>
      </c>
      <c r="B11" s="139"/>
      <c r="C11" s="428"/>
      <c r="D11" s="141"/>
      <c r="E11" s="141"/>
      <c r="F11" s="141"/>
      <c r="G11" s="204"/>
      <c r="H11" s="360"/>
      <c r="I11" s="158"/>
      <c r="J11" s="139"/>
      <c r="K11" s="140"/>
      <c r="L11" s="140"/>
      <c r="M11" s="140"/>
      <c r="N11" s="140"/>
    </row>
    <row customHeight="1" hidden="1" ht="12.75" r="12" spans="1:14" x14ac:dyDescent="0.2">
      <c r="A12" s="138">
        <v>10</v>
      </c>
      <c r="B12" s="139"/>
      <c r="C12" s="429" t="s">
        <v>1464</v>
      </c>
      <c r="D12" s="141"/>
      <c r="E12" s="141"/>
      <c r="F12" s="141"/>
      <c r="G12" s="204"/>
      <c r="H12" s="360"/>
      <c r="I12" s="158"/>
      <c r="J12" s="139"/>
      <c r="K12" s="140"/>
      <c r="L12" s="140"/>
      <c r="M12" s="140"/>
      <c r="N12" s="140"/>
    </row>
    <row customHeight="1" hidden="1" ht="12.75" r="13" spans="1:14" x14ac:dyDescent="0.2">
      <c r="A13" s="138">
        <v>11</v>
      </c>
      <c r="B13" s="139"/>
      <c r="C13" s="428"/>
      <c r="D13" s="141"/>
      <c r="E13" s="141"/>
      <c r="F13" s="141"/>
      <c r="G13" s="204"/>
      <c r="H13" s="360"/>
      <c r="I13" s="158"/>
      <c r="J13" s="139"/>
      <c r="K13" s="140"/>
      <c r="L13" s="140"/>
      <c r="M13" s="140"/>
      <c r="N13" s="140"/>
    </row>
    <row customHeight="1" hidden="1" ht="12.75" r="14" spans="1:14" x14ac:dyDescent="0.2">
      <c r="A14" s="138">
        <v>12</v>
      </c>
      <c r="B14" s="139"/>
      <c r="C14" s="418">
        <f>A12</f>
        <v>10</v>
      </c>
      <c r="D14" s="182" t="s">
        <v>2408</v>
      </c>
      <c r="E14" s="141"/>
      <c r="F14" s="141"/>
      <c r="G14" s="418">
        <f>A13</f>
        <v>11</v>
      </c>
      <c r="H14" s="182" t="str">
        <f>"First Payment on account for "&amp;next_year</f>
        <v>First Payment on account for 2020-21</v>
      </c>
      <c r="I14" s="158"/>
      <c r="J14" s="139"/>
      <c r="K14" s="140"/>
      <c r="L14" s="140"/>
      <c r="M14" s="140"/>
      <c r="N14" s="140"/>
    </row>
    <row customHeight="1" hidden="1" ht="12.75" r="15" spans="1:14" x14ac:dyDescent="0.2">
      <c r="A15" s="138">
        <v>13</v>
      </c>
      <c r="B15" s="139"/>
      <c r="C15" s="428"/>
      <c r="D15" s="141"/>
      <c r="E15" s="141"/>
      <c r="F15" s="141"/>
      <c r="G15" s="430"/>
      <c r="H15" s="258"/>
      <c r="I15" s="158" t="str">
        <f>" (only required if box "&amp;C14&amp;" ticked)"</f>
        <v xml:space="preserve"> (only required if box 10 ticked)</v>
      </c>
      <c r="J15" s="139"/>
      <c r="K15" s="341"/>
      <c r="L15" s="140"/>
      <c r="M15" s="140"/>
      <c r="N15" s="140"/>
    </row>
    <row customHeight="1" hidden="1" ht="12.75" r="16" spans="1:14" x14ac:dyDescent="0.2">
      <c r="A16" s="138">
        <v>14</v>
      </c>
      <c r="B16" s="139"/>
      <c r="C16" s="428"/>
      <c r="D16" s="141"/>
      <c r="E16" s="141"/>
      <c r="F16" s="141"/>
      <c r="G16" s="430"/>
      <c r="H16" s="360"/>
      <c r="I16" s="158"/>
      <c r="J16" s="139"/>
      <c r="K16" s="140"/>
      <c r="L16" s="140"/>
      <c r="M16" s="140"/>
      <c r="N16" s="140"/>
    </row>
    <row customHeight="1" ht="12.75" r="17" spans="1:14" x14ac:dyDescent="0.2">
      <c r="A17" s="138">
        <v>15</v>
      </c>
      <c r="B17" s="139"/>
      <c r="C17" s="429" t="s">
        <v>3375</v>
      </c>
      <c r="D17" s="141"/>
      <c r="E17" s="141"/>
      <c r="F17" s="141"/>
      <c r="G17" s="430"/>
      <c r="H17" s="360"/>
      <c r="I17" s="158"/>
      <c r="J17" s="139"/>
      <c r="K17" s="140"/>
      <c r="L17" s="140"/>
      <c r="M17" s="140"/>
      <c r="N17" s="140"/>
    </row>
    <row customHeight="1" ht="6" r="18" spans="1:14" x14ac:dyDescent="0.2">
      <c r="A18" s="138">
        <v>16</v>
      </c>
      <c r="B18" s="139"/>
      <c r="C18" s="428"/>
      <c r="D18" s="141"/>
      <c r="E18" s="141"/>
      <c r="F18" s="141"/>
      <c r="G18" s="430"/>
      <c r="H18" s="360"/>
      <c r="I18" s="158"/>
      <c r="J18" s="139"/>
      <c r="K18" s="140"/>
      <c r="L18" s="140"/>
      <c r="M18" s="140"/>
      <c r="N18" s="140"/>
    </row>
    <row customHeight="1" ht="12.75" r="19" spans="1:14" x14ac:dyDescent="0.2">
      <c r="B19" s="139"/>
      <c r="C19" s="419">
        <f>A14</f>
        <v>12</v>
      </c>
      <c r="D19" s="265" t="s">
        <v>2518</v>
      </c>
      <c r="E19" s="141"/>
      <c r="F19" s="141"/>
      <c r="G19" s="419">
        <f>A15</f>
        <v>13</v>
      </c>
      <c r="H19" s="358" t="s">
        <v>1401</v>
      </c>
      <c r="I19" s="158"/>
      <c r="J19" s="139"/>
      <c r="K19" s="140"/>
      <c r="L19" s="140"/>
      <c r="M19" s="140"/>
      <c r="N19" s="140"/>
    </row>
    <row customHeight="1" ht="12.75" r="20" spans="1:14" x14ac:dyDescent="0.2">
      <c r="B20" s="139"/>
      <c r="C20" s="428"/>
      <c r="D20" s="239"/>
      <c r="E20" s="141"/>
      <c r="F20" s="141"/>
      <c r="G20" s="175"/>
      <c r="H20" s="148"/>
      <c r="I20" s="158"/>
      <c r="J20" s="139"/>
      <c r="K20" s="140"/>
      <c r="L20" s="140"/>
      <c r="M20" s="140"/>
      <c r="N20" s="140"/>
    </row>
    <row customHeight="1" ht="12.75" r="21" spans="1:14" x14ac:dyDescent="0.2">
      <c r="B21" s="139"/>
      <c r="C21" s="428"/>
      <c r="D21" s="141"/>
      <c r="E21" s="141"/>
      <c r="F21" s="141"/>
      <c r="G21" s="430"/>
      <c r="H21" s="360"/>
      <c r="I21" s="158"/>
      <c r="J21" s="139"/>
      <c r="K21" s="140"/>
      <c r="L21" s="140"/>
      <c r="M21" s="140"/>
      <c r="N21" s="140"/>
    </row>
    <row customHeight="1" ht="12.75" r="22" spans="1:14" x14ac:dyDescent="0.2">
      <c r="B22" s="139"/>
      <c r="C22" s="418">
        <f>A16</f>
        <v>14</v>
      </c>
      <c r="D22" s="358" t="s">
        <v>1607</v>
      </c>
      <c r="E22" s="141"/>
      <c r="F22" s="141"/>
      <c r="G22" s="418">
        <f>A17</f>
        <v>15</v>
      </c>
      <c r="H22" s="358" t="s">
        <v>1608</v>
      </c>
      <c r="I22" s="158"/>
      <c r="J22" s="139"/>
      <c r="L22" s="140"/>
      <c r="M22" s="140"/>
      <c r="N22" s="140"/>
    </row>
    <row customHeight="1" ht="12.75" r="23" spans="1:14" x14ac:dyDescent="0.2">
      <c r="B23" s="139"/>
      <c r="C23" s="428"/>
      <c r="D23" s="258"/>
      <c r="E23" s="141"/>
      <c r="F23" s="361"/>
      <c r="G23" s="361"/>
      <c r="H23" s="258"/>
      <c r="I23" s="158"/>
      <c r="J23" s="139"/>
      <c r="K23" s="140"/>
      <c r="L23" s="140"/>
      <c r="M23" s="140"/>
      <c r="N23" s="140"/>
    </row>
    <row customHeight="1" ht="12.75" r="24" spans="1:14" x14ac:dyDescent="0.2">
      <c r="B24" s="139"/>
      <c r="C24" s="428"/>
      <c r="D24" s="141"/>
      <c r="E24" s="141"/>
      <c r="F24" s="141"/>
      <c r="G24" s="141"/>
      <c r="H24" s="141"/>
      <c r="I24" s="158"/>
      <c r="J24" s="139"/>
      <c r="K24" s="140"/>
      <c r="L24" s="140"/>
      <c r="M24" s="140"/>
      <c r="N24" s="140"/>
    </row>
    <row customHeight="1" ht="12.75" r="25" spans="1:14" x14ac:dyDescent="0.2">
      <c r="B25" s="139"/>
      <c r="C25" s="428"/>
      <c r="D25" s="141"/>
      <c r="E25" s="141"/>
      <c r="F25" s="361"/>
      <c r="G25" s="418">
        <f>A18</f>
        <v>16</v>
      </c>
      <c r="H25" s="182" t="str">
        <f>"Any "&amp;next_year&amp;" repayment claimed now"</f>
        <v>Any 2020-21 repayment claimed now</v>
      </c>
      <c r="I25" s="158"/>
      <c r="J25" s="139"/>
      <c r="K25" s="140"/>
      <c r="L25" s="140"/>
      <c r="M25" s="140"/>
      <c r="N25" s="140"/>
    </row>
    <row customHeight="1" ht="12.75" r="26" spans="1:14" x14ac:dyDescent="0.2">
      <c r="B26" s="139"/>
      <c r="C26" s="157"/>
      <c r="D26" s="141"/>
      <c r="E26" s="141"/>
      <c r="F26" s="141"/>
      <c r="G26" s="195"/>
      <c r="H26" s="258"/>
      <c r="I26" s="158"/>
      <c r="J26" s="139"/>
      <c r="K26" s="140"/>
      <c r="L26" s="140"/>
      <c r="M26" s="140"/>
      <c r="N26" s="140"/>
    </row>
    <row customHeight="1" ht="12.75" r="27" spans="1:14" x14ac:dyDescent="0.2">
      <c r="B27" s="139"/>
      <c r="C27" s="230"/>
      <c r="D27" s="231"/>
      <c r="E27" s="163"/>
      <c r="F27" s="163"/>
      <c r="G27" s="196"/>
      <c r="H27" s="163"/>
      <c r="I27" s="164"/>
      <c r="J27" s="139"/>
      <c r="K27" s="140"/>
      <c r="L27" s="140"/>
      <c r="M27" s="140"/>
      <c r="N27" s="140"/>
    </row>
    <row customHeight="1" ht="12.75" r="28" spans="1:14" x14ac:dyDescent="0.2">
      <c r="B28" s="139"/>
      <c r="C28" s="153"/>
      <c r="D28" s="153"/>
      <c r="E28" s="139"/>
      <c r="F28" s="139"/>
      <c r="G28" s="139"/>
      <c r="H28" s="139"/>
      <c r="I28" s="139"/>
      <c r="J28" s="139"/>
      <c r="K28" s="140"/>
      <c r="L28" s="140"/>
      <c r="M28" s="140"/>
      <c r="N28" s="140"/>
    </row>
    <row customHeight="1" ht="12.75" r="29" spans="1:14" x14ac:dyDescent="0.2">
      <c r="B29" s="432"/>
      <c r="C29" s="153"/>
      <c r="D29" s="153"/>
      <c r="E29" s="432"/>
      <c r="F29" s="432"/>
      <c r="G29" s="432"/>
      <c r="H29" s="432"/>
      <c r="I29" s="432"/>
      <c r="J29" s="432"/>
      <c r="K29" s="140"/>
      <c r="L29" s="140"/>
      <c r="M29" s="140"/>
      <c r="N29" s="140"/>
    </row>
    <row customHeight="1" ht="12.75" r="30" spans="1:14" x14ac:dyDescent="0.2">
      <c r="B30" s="139"/>
      <c r="C30" s="139"/>
      <c r="D30" s="139"/>
      <c r="E30" s="139"/>
      <c r="F30" s="139"/>
      <c r="G30" s="139"/>
      <c r="H30" s="139"/>
      <c r="I30" s="139"/>
      <c r="J30" s="139"/>
      <c r="K30" s="140"/>
      <c r="L30" s="140"/>
      <c r="M30" s="140"/>
      <c r="N30" s="140"/>
    </row>
    <row r="31" spans="1:14" x14ac:dyDescent="0.2">
      <c r="B31" s="139"/>
      <c r="C31" s="139"/>
      <c r="D31" s="139"/>
      <c r="E31" s="139"/>
      <c r="F31" s="139"/>
      <c r="G31" s="139"/>
      <c r="H31" s="139"/>
      <c r="I31" s="139"/>
      <c r="J31" s="139"/>
    </row>
    <row r="32" spans="1:14" x14ac:dyDescent="0.2">
      <c r="B32" s="139"/>
      <c r="C32" s="139"/>
      <c r="D32" s="139"/>
      <c r="E32" s="139"/>
      <c r="F32" s="139"/>
      <c r="G32" s="139"/>
      <c r="H32" s="139"/>
      <c r="I32" s="139"/>
      <c r="J32" s="139"/>
    </row>
    <row r="33" spans="2:10" x14ac:dyDescent="0.2">
      <c r="B33" s="139"/>
      <c r="C33" s="139"/>
      <c r="D33" s="139"/>
      <c r="E33" s="139"/>
      <c r="F33" s="139"/>
      <c r="G33" s="139"/>
      <c r="H33" s="139"/>
      <c r="I33" s="139"/>
      <c r="J33" s="139"/>
    </row>
    <row r="34" spans="2:10" x14ac:dyDescent="0.2">
      <c r="B34" s="432"/>
      <c r="C34" s="153"/>
      <c r="D34" s="153"/>
      <c r="E34" s="432"/>
      <c r="F34" s="432"/>
      <c r="G34" s="432"/>
      <c r="H34" s="432"/>
      <c r="I34" s="432"/>
      <c r="J34" s="432"/>
    </row>
    <row r="35" spans="2:10" x14ac:dyDescent="0.2">
      <c r="B35" s="139"/>
      <c r="C35" s="139"/>
      <c r="D35" s="139"/>
      <c r="E35" s="139"/>
      <c r="F35" s="139"/>
      <c r="G35" s="139"/>
      <c r="H35" s="139"/>
      <c r="I35" s="139"/>
      <c r="J35" s="139"/>
    </row>
    <row r="36" spans="2:10" x14ac:dyDescent="0.2">
      <c r="B36" s="139"/>
      <c r="C36" s="139"/>
      <c r="D36" s="139"/>
      <c r="E36" s="139"/>
      <c r="F36" s="139"/>
      <c r="G36" s="139"/>
      <c r="H36" s="139"/>
      <c r="I36" s="139"/>
      <c r="J36" s="139"/>
    </row>
    <row r="37" spans="2:10" x14ac:dyDescent="0.2">
      <c r="B37" s="139"/>
      <c r="C37" s="139"/>
      <c r="D37" s="139"/>
      <c r="E37" s="139"/>
      <c r="F37" s="139"/>
      <c r="G37" s="139"/>
      <c r="H37" s="139"/>
      <c r="I37" s="139"/>
      <c r="J37" s="139"/>
    </row>
    <row r="38" spans="2:10" x14ac:dyDescent="0.2">
      <c r="B38" s="139"/>
      <c r="C38" s="139"/>
      <c r="D38" s="139"/>
      <c r="E38" s="139"/>
      <c r="F38" s="139"/>
      <c r="G38" s="139"/>
      <c r="H38" s="139"/>
      <c r="I38" s="139"/>
      <c r="J38" s="139"/>
    </row>
    <row r="39" spans="2:10" x14ac:dyDescent="0.2">
      <c r="B39" s="432"/>
      <c r="C39" s="153"/>
      <c r="D39" s="153"/>
      <c r="E39" s="432"/>
      <c r="F39" s="432"/>
      <c r="G39" s="432"/>
      <c r="H39" s="432"/>
      <c r="I39" s="432"/>
      <c r="J39" s="432"/>
    </row>
  </sheetData>
  <sheetProtection objects="1" scenarios="1" sheet="1"/>
  <phoneticPr fontId="67" type="noConversion"/>
  <pageMargins bottom="1" footer="0.5" header="0.5" left="0.75" right="0.75" top="1"/>
  <pageSetup orientation="landscape" paperSize="9" r:id="rId1"/>
  <headerFooter alignWithMargins="0"/>
</worksheet>
</file>

<file path=xl/worksheets/sheet54.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11">
    <tabColor rgb="FFB482DA"/>
  </sheetPr>
  <dimension ref="A1:T237"/>
  <sheetViews>
    <sheetView showGridLines="0" workbookViewId="0" zoomScaleNormal="100">
      <selection activeCell="R74" sqref="R74"/>
    </sheetView>
  </sheetViews>
  <sheetFormatPr defaultColWidth="9.140625" defaultRowHeight="12.75" x14ac:dyDescent="0.2"/>
  <cols>
    <col min="1" max="1" customWidth="true" style="7" width="4.5703125" collapsed="true"/>
    <col min="2" max="2" customWidth="true" style="4" width="1.140625" collapsed="true"/>
    <col min="3" max="3" customWidth="true" style="2985" width="6.42578125" collapsed="true"/>
    <col min="4" max="4" customWidth="true" style="2985" width="5.85546875" collapsed="true"/>
    <col min="5" max="5" customWidth="true" style="2982" width="23.5703125" collapsed="true"/>
    <col min="6" max="6" customWidth="true" style="2982" width="17.5703125" collapsed="true"/>
    <col min="7" max="7" customWidth="true" style="2982" width="10.7109375" collapsed="true"/>
    <col min="8" max="8" customWidth="true" style="2982" width="13.140625" collapsed="true"/>
    <col min="9" max="9" customWidth="true" style="2982" width="11.0" collapsed="true"/>
    <col min="10" max="10" customWidth="true" style="7" width="12.85546875" collapsed="true"/>
    <col min="11" max="11" customWidth="true" style="7" width="2.0" collapsed="true"/>
    <col min="12" max="12" customWidth="true" style="7" width="12.28515625" collapsed="true"/>
    <col min="13" max="13" customWidth="true" style="7" width="13.28515625" collapsed="true"/>
    <col min="14" max="14" customWidth="true" style="7" width="11.5703125" collapsed="true"/>
    <col min="15" max="15" customWidth="true" style="7" width="11.140625" collapsed="true"/>
    <col min="16" max="16" customWidth="true" style="7" width="10.42578125" collapsed="true"/>
    <col min="17" max="16384" style="7" width="9.140625" collapsed="true"/>
  </cols>
  <sheetData>
    <row customHeight="1" ht="33" r="1" spans="1:12" thickBot="1" x14ac:dyDescent="0.3">
      <c r="A1" s="940"/>
      <c r="B1" s="941"/>
      <c r="C1" s="1737"/>
      <c r="D1" s="1738"/>
      <c r="E1" s="920"/>
      <c r="F1" s="920"/>
      <c r="G1" s="920"/>
      <c r="H1" s="1737" t="s">
        <v>6209</v>
      </c>
      <c r="I1" s="940"/>
      <c r="J1" s="940"/>
      <c r="K1" s="774"/>
      <c r="L1" s="7">
        <v>1</v>
      </c>
    </row>
    <row customHeight="1" ht="12.75" r="2" spans="1:12" thickTop="1" x14ac:dyDescent="0.2">
      <c r="B2" s="942"/>
      <c r="C2" s="1739"/>
      <c r="D2" s="1739"/>
      <c r="E2" s="913"/>
      <c r="F2" s="2974"/>
      <c r="G2" s="2974"/>
      <c r="H2" s="2974"/>
      <c r="I2" s="2974"/>
      <c r="J2" s="2979"/>
      <c r="K2" s="774"/>
      <c r="L2" s="7">
        <v>1</v>
      </c>
    </row>
    <row customHeight="1" ht="12.75" r="3" spans="1:12" x14ac:dyDescent="0.2">
      <c r="B3" s="406"/>
      <c r="C3" s="1739"/>
      <c r="D3" s="914" t="str">
        <f>IF('Add pages'!C4="","",'Add pages'!C4)</f>
        <v/>
      </c>
      <c r="F3" s="2974"/>
      <c r="G3" s="2974"/>
      <c r="I3" s="128"/>
      <c r="J3" s="128"/>
      <c r="K3" s="774"/>
      <c r="L3" s="7">
        <v>1</v>
      </c>
    </row>
    <row customHeight="1" ht="12.75" r="4" spans="1:12" x14ac:dyDescent="0.2">
      <c r="B4" s="406"/>
      <c r="C4" s="1739"/>
      <c r="D4" s="914" t="str">
        <f>IF('Add pages'!C5="","",'Add pages'!C5)</f>
        <v/>
      </c>
      <c r="F4" s="2974"/>
      <c r="G4" s="2974"/>
      <c r="H4" s="84"/>
      <c r="I4" s="1977" t="str">
        <f>"Unique Taxpayer Reference (UTR) "&amp;IF(Taxpayer_Reference="","",Taxpayer_Reference)</f>
        <v xml:space="preserve">Unique Taxpayer Reference (UTR) </v>
      </c>
      <c r="J4" s="2979"/>
      <c r="K4" s="774"/>
      <c r="L4" s="7">
        <v>1</v>
      </c>
    </row>
    <row customHeight="1" ht="12.75" r="5" spans="1:12" x14ac:dyDescent="0.2">
      <c r="B5" s="942" t="str">
        <f>IF('Add pages'!C6="","",'Add pages'!C6)</f>
        <v/>
      </c>
      <c r="C5" s="942"/>
      <c r="D5" s="942"/>
      <c r="E5" s="942"/>
      <c r="F5" s="942"/>
      <c r="G5" s="942"/>
      <c r="H5" s="942"/>
      <c r="I5" s="942"/>
      <c r="J5" s="942"/>
      <c r="K5" s="774"/>
      <c r="L5" s="7">
        <v>1</v>
      </c>
    </row>
    <row customHeight="1" ht="12.75" r="6" spans="1:12" x14ac:dyDescent="0.2">
      <c r="B6" s="406"/>
      <c r="C6" s="1739"/>
      <c r="D6" s="914" t="str">
        <f>IF('Add pages'!C7="","",'Add pages'!C7)</f>
        <v/>
      </c>
      <c r="E6" s="915"/>
      <c r="F6" s="580"/>
      <c r="G6" s="2974"/>
      <c r="H6" s="2974"/>
      <c r="I6" s="2974"/>
      <c r="J6" s="2974"/>
      <c r="K6" s="774"/>
      <c r="L6" s="7">
        <v>1</v>
      </c>
    </row>
    <row customHeight="1" ht="12.75" r="7" spans="1:12" x14ac:dyDescent="0.2">
      <c r="B7" s="942"/>
      <c r="C7" s="1739"/>
      <c r="D7" s="1739"/>
      <c r="E7" s="2974"/>
      <c r="F7" s="2974"/>
      <c r="G7" s="2974"/>
      <c r="H7" s="84" t="s">
        <v>1419</v>
      </c>
      <c r="I7" s="916" t="str">
        <f ca="1">date_formatted</f>
        <v>21 November 2019</v>
      </c>
      <c r="J7" s="2979"/>
      <c r="K7" s="774"/>
      <c r="L7" s="7">
        <v>1</v>
      </c>
    </row>
    <row customHeight="1" ht="12.75" r="8" spans="1:12" x14ac:dyDescent="0.2">
      <c r="B8" s="942"/>
      <c r="C8" s="774"/>
      <c r="D8" s="774"/>
      <c r="E8" s="942"/>
      <c r="F8" s="942"/>
      <c r="G8" s="942"/>
      <c r="H8" s="942"/>
      <c r="I8" s="942"/>
      <c r="J8" s="942"/>
      <c r="K8" s="942"/>
      <c r="L8" s="7">
        <v>1</v>
      </c>
    </row>
    <row customHeight="1" ht="12.75" r="9" spans="1:12" x14ac:dyDescent="0.25">
      <c r="B9" s="406"/>
      <c r="C9" s="92" t="str">
        <f>"Tax Calculation for "&amp;tax_year</f>
        <v>Tax Calculation for 2019-20</v>
      </c>
      <c r="E9" s="1945"/>
      <c r="F9" s="1958" t="str">
        <f>" (year ended 5 April "&amp;Tax_year_end&amp;")"</f>
        <v xml:space="preserve"> (year ended 5 April 2020)</v>
      </c>
      <c r="G9" s="1945"/>
      <c r="J9" s="2982"/>
      <c r="L9" s="7">
        <v>1</v>
      </c>
    </row>
    <row r="10" spans="1:12" x14ac:dyDescent="0.2">
      <c r="B10" s="406"/>
      <c r="C10" s="774"/>
      <c r="D10" s="774"/>
      <c r="E10" s="2974"/>
      <c r="F10" s="2974"/>
      <c r="G10" s="2974"/>
      <c r="H10" s="2974"/>
      <c r="I10" s="2974"/>
      <c r="J10" s="2974"/>
      <c r="L10" s="7">
        <v>1</v>
      </c>
    </row>
    <row r="11" spans="1:12" x14ac:dyDescent="0.2">
      <c r="A11" s="3370" t="s">
        <v>3848</v>
      </c>
      <c r="B11" s="406"/>
      <c r="C11" s="4492" t="s">
        <v>2599</v>
      </c>
      <c r="D11" s="4493"/>
      <c r="E11" s="4493"/>
      <c r="F11" s="4502"/>
      <c r="G11" s="2974"/>
      <c r="H11" s="2974"/>
      <c r="I11" s="2974"/>
      <c r="J11" s="2974"/>
      <c r="L11" s="7">
        <v>1</v>
      </c>
    </row>
    <row customHeight="1" ht="12" r="12" spans="1:12" x14ac:dyDescent="0.2">
      <c r="A12" s="3370" t="s">
        <v>3849</v>
      </c>
      <c r="B12" s="406"/>
      <c r="C12" s="2980"/>
      <c r="D12" s="2980"/>
      <c r="E12" s="2974"/>
      <c r="F12" s="2976"/>
      <c r="G12" s="2974"/>
      <c r="H12" s="2974"/>
      <c r="I12" s="2974"/>
      <c r="J12" s="2982"/>
      <c r="L12" s="7">
        <v>1</v>
      </c>
    </row>
    <row r="13" spans="1:12" x14ac:dyDescent="0.2">
      <c r="A13" s="3370" t="s">
        <v>3850</v>
      </c>
      <c r="B13" s="406"/>
      <c r="C13" s="4494" t="s">
        <v>903</v>
      </c>
      <c r="D13" s="4494"/>
      <c r="E13" s="4494"/>
      <c r="F13" s="763">
        <f>Pay_Emp</f>
        <v>33254</v>
      </c>
      <c r="H13" s="2974"/>
      <c r="I13" s="2974"/>
      <c r="J13" s="2982"/>
      <c r="L13" s="7">
        <f>IF(AND(Pay_Emp&gt;0,(Benefits_Emp+Exps_Emp)&gt;0),1,0)</f>
        <v>0</v>
      </c>
    </row>
    <row r="14" spans="1:12" x14ac:dyDescent="0.2">
      <c r="A14" s="3370" t="s">
        <v>616</v>
      </c>
      <c r="B14" s="406"/>
      <c r="C14" s="4" t="s">
        <v>2406</v>
      </c>
      <c r="D14" s="4494" t="s">
        <v>768</v>
      </c>
      <c r="E14" s="4494"/>
      <c r="F14" s="763">
        <f>Benefits_Emp</f>
        <v>0</v>
      </c>
      <c r="H14" s="2974"/>
      <c r="I14" s="2974"/>
      <c r="J14" s="2982"/>
      <c r="L14" s="7">
        <f>IF(Benefits_Emp&gt;0,1,0)</f>
        <v>0</v>
      </c>
    </row>
    <row r="15" spans="1:12" x14ac:dyDescent="0.2">
      <c r="A15" s="3370" t="s">
        <v>617</v>
      </c>
      <c r="B15" s="406"/>
      <c r="C15" s="4" t="s">
        <v>1377</v>
      </c>
      <c r="D15" s="4494" t="s">
        <v>2158</v>
      </c>
      <c r="E15" s="4494"/>
      <c r="F15" s="765">
        <f>Exps_Emp</f>
        <v>0</v>
      </c>
      <c r="H15" s="2974"/>
      <c r="I15" s="2974"/>
      <c r="J15" s="2982"/>
      <c r="L15" s="7">
        <f>IF(Exps_Emp&gt;0,1,0)</f>
        <v>0</v>
      </c>
    </row>
    <row r="16" spans="1:12" x14ac:dyDescent="0.2">
      <c r="A16" s="3371" t="s">
        <v>618</v>
      </c>
      <c r="B16" s="406"/>
      <c r="C16" s="4494" t="s">
        <v>903</v>
      </c>
      <c r="D16" s="4494"/>
      <c r="E16" s="4494"/>
      <c r="F16" s="4494"/>
      <c r="G16" s="765">
        <f>income_E</f>
        <v>33254</v>
      </c>
      <c r="H16" s="667"/>
      <c r="I16" s="2974"/>
      <c r="J16" s="2982"/>
      <c r="L16" s="7">
        <f>IF(AND(Benefits_Emp+Exps_Emp=0,income_E&gt;0),1,0)</f>
        <v>1</v>
      </c>
    </row>
    <row r="17" spans="1:12" x14ac:dyDescent="0.2">
      <c r="A17" s="3372" t="s">
        <v>4011</v>
      </c>
      <c r="B17" s="406"/>
      <c r="C17" s="4494" t="s">
        <v>2176</v>
      </c>
      <c r="D17" s="4494"/>
      <c r="E17" s="4494"/>
      <c r="F17" s="4494"/>
      <c r="G17" s="765">
        <f>income_E</f>
        <v>33254</v>
      </c>
      <c r="H17" s="667"/>
      <c r="I17" s="2974"/>
      <c r="J17" s="2982"/>
      <c r="L17" s="7">
        <f>IF(AND(Benefits_Emp+Exps_Emp&gt;0,income_E&gt;0),1,0)</f>
        <v>0</v>
      </c>
    </row>
    <row r="18" spans="1:12" x14ac:dyDescent="0.2">
      <c r="A18" s="3370" t="s">
        <v>619</v>
      </c>
      <c r="B18" s="406"/>
      <c r="C18" s="4494" t="s">
        <v>904</v>
      </c>
      <c r="D18" s="4494"/>
      <c r="E18" s="4494"/>
      <c r="F18" s="4494"/>
      <c r="G18" s="763">
        <f>income_Shares</f>
        <v>0</v>
      </c>
      <c r="H18" s="667"/>
      <c r="I18" s="2974"/>
      <c r="J18" s="2982"/>
      <c r="L18" s="7">
        <f>IF(income_Shares&gt;0,1,0)</f>
        <v>0</v>
      </c>
    </row>
    <row r="19" spans="1:12" x14ac:dyDescent="0.2">
      <c r="A19" s="3370" t="s">
        <v>620</v>
      </c>
      <c r="B19" s="406"/>
      <c r="C19" s="4494" t="s">
        <v>2639</v>
      </c>
      <c r="D19" s="4494"/>
      <c r="E19" s="4494"/>
      <c r="F19" s="4494"/>
      <c r="G19" s="763">
        <f>income_D</f>
        <v>14190</v>
      </c>
      <c r="H19" s="667"/>
      <c r="I19" s="2974"/>
      <c r="J19" s="2982"/>
      <c r="L19" s="7">
        <f>IF(income_D&gt;0,1,0)</f>
        <v>1</v>
      </c>
    </row>
    <row r="20" spans="1:12" x14ac:dyDescent="0.2">
      <c r="A20" s="3370" t="s">
        <v>621</v>
      </c>
      <c r="B20" s="406"/>
      <c r="C20" s="4494" t="s">
        <v>1488</v>
      </c>
      <c r="D20" s="4494"/>
      <c r="E20" s="4494"/>
      <c r="F20" s="4494"/>
      <c r="G20" s="763">
        <f>income_D_PTR</f>
        <v>0</v>
      </c>
      <c r="H20" s="667"/>
      <c r="I20" s="2974"/>
      <c r="J20" s="2982"/>
      <c r="L20" s="7">
        <f>IF(income_D_PTR&gt;0,1,0)</f>
        <v>0</v>
      </c>
    </row>
    <row r="21" spans="1:12" x14ac:dyDescent="0.2">
      <c r="A21" s="3395" t="s">
        <v>7732</v>
      </c>
      <c r="B21" s="3147"/>
      <c r="C21" s="4512" t="s">
        <v>7733</v>
      </c>
      <c r="D21" s="4512"/>
      <c r="E21" s="4512"/>
      <c r="F21" s="4512"/>
      <c r="G21" s="3396">
        <f>income_S_PTR</f>
        <v>0</v>
      </c>
      <c r="H21" s="3397"/>
      <c r="I21" s="3155"/>
      <c r="J21" s="3149"/>
      <c r="L21" s="3152">
        <f>IF(income_S_PTR&gt;0,1,0)</f>
        <v>0</v>
      </c>
    </row>
    <row r="22" spans="1:12" x14ac:dyDescent="0.2">
      <c r="A22" s="3395" t="s">
        <v>7734</v>
      </c>
      <c r="B22" s="3147"/>
      <c r="C22" s="4512" t="s">
        <v>7735</v>
      </c>
      <c r="D22" s="4512"/>
      <c r="E22" s="4512"/>
      <c r="F22" s="4512"/>
      <c r="G22" s="3396">
        <f>income_DV_PTR</f>
        <v>0</v>
      </c>
      <c r="H22" s="3397"/>
      <c r="I22" s="3155"/>
      <c r="J22" s="3149"/>
      <c r="L22" s="3152">
        <f>IF(income_DV_PTR&gt;0,1,0)</f>
        <v>0</v>
      </c>
    </row>
    <row r="23" spans="1:12" x14ac:dyDescent="0.2">
      <c r="A23" s="3370" t="s">
        <v>622</v>
      </c>
      <c r="B23" s="406"/>
      <c r="C23" s="4494" t="s">
        <v>2601</v>
      </c>
      <c r="D23" s="4494"/>
      <c r="E23" s="4494"/>
      <c r="F23" s="4494"/>
      <c r="G23" s="763">
        <f>income_IFP</f>
        <v>0</v>
      </c>
      <c r="H23" s="667"/>
      <c r="I23" s="2974"/>
      <c r="J23" s="2982"/>
      <c r="L23" s="7">
        <f>IF(income_IFP&gt;0,1,0)</f>
        <v>0</v>
      </c>
    </row>
    <row r="24" spans="1:12" x14ac:dyDescent="0.2">
      <c r="A24" s="3370" t="s">
        <v>623</v>
      </c>
      <c r="B24" s="406"/>
      <c r="C24" s="4494" t="s">
        <v>1370</v>
      </c>
      <c r="D24" s="4494"/>
      <c r="E24" s="4494"/>
      <c r="F24" s="4494"/>
      <c r="G24" s="763">
        <f>income_Foreign</f>
        <v>0</v>
      </c>
      <c r="H24" s="667"/>
      <c r="I24" s="2974"/>
      <c r="J24" s="2982"/>
      <c r="L24" s="7">
        <f>IF(income_Foreign&gt;0,1,0)</f>
        <v>0</v>
      </c>
    </row>
    <row r="25" spans="1:12" x14ac:dyDescent="0.2">
      <c r="A25" s="3370" t="s">
        <v>3001</v>
      </c>
      <c r="B25" s="406"/>
      <c r="C25" s="4494" t="s">
        <v>3003</v>
      </c>
      <c r="D25" s="4494"/>
      <c r="E25" s="4494"/>
      <c r="F25" s="4494"/>
      <c r="G25" s="763">
        <f>foreign_dividends</f>
        <v>0</v>
      </c>
      <c r="H25" s="667"/>
      <c r="I25" s="2974"/>
      <c r="J25" s="2982"/>
      <c r="L25" s="7">
        <f>IF(foreign_dividends&gt;0,1,0)</f>
        <v>0</v>
      </c>
    </row>
    <row r="26" spans="1:12" x14ac:dyDescent="0.2">
      <c r="A26" s="3395" t="s">
        <v>7736</v>
      </c>
      <c r="B26" s="3147"/>
      <c r="C26" s="3155" t="s">
        <v>7737</v>
      </c>
      <c r="D26" s="3155"/>
      <c r="E26" s="3155"/>
      <c r="F26" s="3155"/>
      <c r="G26" s="3396">
        <f>foreign_savings</f>
        <v>0</v>
      </c>
      <c r="H26" s="3397"/>
      <c r="I26" s="3155"/>
      <c r="J26" s="3149"/>
      <c r="L26" s="3152">
        <f>IF(foreign_savings&gt;0,1,0)</f>
        <v>0</v>
      </c>
    </row>
    <row r="27" spans="1:12" x14ac:dyDescent="0.2">
      <c r="A27" s="3370" t="s">
        <v>624</v>
      </c>
      <c r="B27" s="406"/>
      <c r="C27" s="4494" t="s">
        <v>656</v>
      </c>
      <c r="D27" s="4494"/>
      <c r="E27" s="4494"/>
      <c r="F27" s="4494"/>
      <c r="G27" s="763">
        <f>income_Trust</f>
        <v>0</v>
      </c>
      <c r="H27" s="667"/>
      <c r="I27" s="2974"/>
      <c r="J27" s="2982"/>
      <c r="L27" s="7">
        <f>IF(income_Trust&gt;0,1,0)</f>
        <v>0</v>
      </c>
    </row>
    <row r="28" spans="1:12" x14ac:dyDescent="0.2">
      <c r="A28" s="3370" t="s">
        <v>625</v>
      </c>
      <c r="B28" s="406"/>
      <c r="C28" s="4494" t="s">
        <v>5114</v>
      </c>
      <c r="D28" s="4494"/>
      <c r="E28" s="4494"/>
      <c r="F28" s="4494"/>
      <c r="G28" s="763">
        <f>income_Case3</f>
        <v>3678</v>
      </c>
      <c r="H28" s="667"/>
      <c r="I28" s="2974"/>
      <c r="J28" s="2982"/>
      <c r="L28" s="7">
        <f>IF(income_Case3&gt;0,1,0)</f>
        <v>1</v>
      </c>
    </row>
    <row r="29" spans="1:12" x14ac:dyDescent="0.2">
      <c r="A29" s="3370" t="s">
        <v>626</v>
      </c>
      <c r="B29" s="406"/>
      <c r="C29" s="4494" t="s">
        <v>2436</v>
      </c>
      <c r="D29" s="4494"/>
      <c r="E29" s="4494"/>
      <c r="F29" s="4494"/>
      <c r="G29" s="763">
        <f>income_F</f>
        <v>12750</v>
      </c>
      <c r="H29" s="667"/>
      <c r="I29" s="2974"/>
      <c r="J29" s="2982"/>
      <c r="L29" s="7">
        <f>IF(income_F&gt;0,1,0)</f>
        <v>1</v>
      </c>
    </row>
    <row r="30" spans="1:12" x14ac:dyDescent="0.2">
      <c r="A30" s="3370" t="s">
        <v>884</v>
      </c>
      <c r="B30" s="406"/>
      <c r="C30" s="4494" t="s">
        <v>657</v>
      </c>
      <c r="D30" s="4494"/>
      <c r="E30" s="4494"/>
      <c r="F30" s="4494"/>
      <c r="G30" s="763">
        <f>income_Pensions</f>
        <v>0</v>
      </c>
      <c r="H30" s="667"/>
      <c r="I30" s="2974"/>
      <c r="J30" s="2982"/>
      <c r="L30" s="7">
        <f>IF(income_Pensions&gt;0,1,0)</f>
        <v>0</v>
      </c>
    </row>
    <row r="31" spans="1:12" x14ac:dyDescent="0.2">
      <c r="A31" s="3370" t="s">
        <v>885</v>
      </c>
      <c r="B31" s="406"/>
      <c r="C31" s="4494" t="s">
        <v>658</v>
      </c>
      <c r="D31" s="4494"/>
      <c r="E31" s="4494"/>
      <c r="F31" s="4494"/>
      <c r="G31" s="763">
        <f>income_CEG</f>
        <v>0</v>
      </c>
      <c r="H31" s="667"/>
      <c r="I31" s="2974"/>
      <c r="J31" s="2982"/>
      <c r="L31" s="7">
        <f>IF(income_CEG&gt;0,1,0)</f>
        <v>0</v>
      </c>
    </row>
    <row customHeight="1" ht="12" r="32" spans="1:12" x14ac:dyDescent="0.2">
      <c r="A32" s="3370" t="s">
        <v>886</v>
      </c>
      <c r="B32" s="406"/>
      <c r="C32" s="4494" t="s">
        <v>2776</v>
      </c>
      <c r="D32" s="4494"/>
      <c r="E32" s="4494"/>
      <c r="F32" s="4494"/>
      <c r="G32" s="763">
        <f>income_Other</f>
        <v>0</v>
      </c>
      <c r="H32" s="667"/>
      <c r="I32" s="2974"/>
      <c r="J32" s="2982"/>
      <c r="L32" s="7">
        <f>IF(income_Other&gt;0,1,0)</f>
        <v>0</v>
      </c>
    </row>
    <row r="33" spans="1:12" x14ac:dyDescent="0.2">
      <c r="A33" s="3370" t="s">
        <v>887</v>
      </c>
      <c r="B33" s="406"/>
      <c r="C33" s="4496" t="s">
        <v>2604</v>
      </c>
      <c r="D33" s="4496"/>
      <c r="E33" s="4496"/>
      <c r="F33" s="4496"/>
      <c r="G33" s="401"/>
      <c r="H33" s="763">
        <f>income_Total</f>
        <v>63872</v>
      </c>
      <c r="I33" s="2974"/>
      <c r="J33" s="2982"/>
      <c r="L33" s="7">
        <v>1</v>
      </c>
    </row>
    <row customHeight="1" ht="12" r="34" spans="1:12" x14ac:dyDescent="0.2">
      <c r="A34" s="3370" t="s">
        <v>888</v>
      </c>
      <c r="B34" s="406"/>
      <c r="C34" s="774"/>
      <c r="D34" s="774"/>
      <c r="E34" s="2974"/>
      <c r="F34" s="86"/>
      <c r="G34" s="86"/>
      <c r="H34" s="2974"/>
      <c r="I34" s="2974"/>
      <c r="J34" s="2982"/>
      <c r="L34" s="7">
        <v>1</v>
      </c>
    </row>
    <row customHeight="1" ht="12" r="35" spans="1:12" x14ac:dyDescent="0.2">
      <c r="A35" s="3370" t="s">
        <v>889</v>
      </c>
      <c r="B35" s="406"/>
      <c r="C35" s="4492" t="s">
        <v>1073</v>
      </c>
      <c r="D35" s="4493"/>
      <c r="E35" s="4493"/>
      <c r="F35" s="4502"/>
      <c r="G35" s="86"/>
      <c r="H35" s="2974"/>
      <c r="I35" s="2974"/>
      <c r="J35" s="2982"/>
      <c r="L35" s="7">
        <f>IF(Allce_PA=Allce_dedn_total,0,1)</f>
        <v>1</v>
      </c>
    </row>
    <row customHeight="1" ht="12" r="36" spans="1:12" x14ac:dyDescent="0.2">
      <c r="A36" s="3370" t="s">
        <v>2547</v>
      </c>
      <c r="B36" s="406"/>
      <c r="C36" s="95"/>
      <c r="D36" s="95"/>
      <c r="E36" s="2974"/>
      <c r="F36" s="86"/>
      <c r="G36" s="86"/>
      <c r="H36" s="2974"/>
      <c r="I36" s="2974"/>
      <c r="J36" s="2982"/>
      <c r="L36" s="7">
        <f>IF(Allce_PA=Allce_dedn_total,0,1)</f>
        <v>1</v>
      </c>
    </row>
    <row customHeight="1" ht="12" r="37" spans="1:12" x14ac:dyDescent="0.2">
      <c r="A37" s="3370" t="s">
        <v>2548</v>
      </c>
      <c r="B37" s="406"/>
      <c r="C37" s="4494" t="s">
        <v>2754</v>
      </c>
      <c r="D37" s="4494"/>
      <c r="E37" s="4494"/>
      <c r="F37" s="4494"/>
      <c r="G37" s="763">
        <f>dedn_RAR</f>
        <v>1200</v>
      </c>
      <c r="H37" s="667"/>
      <c r="I37" s="2974"/>
      <c r="J37" s="2982"/>
      <c r="L37" s="7">
        <f>IF(dedn_RAR&gt;0,1,0)</f>
        <v>1</v>
      </c>
    </row>
    <row customHeight="1" ht="12" r="38" spans="1:12" x14ac:dyDescent="0.2">
      <c r="A38" s="3370" t="s">
        <v>2549</v>
      </c>
      <c r="B38" s="406"/>
      <c r="C38" s="4494" t="s">
        <v>2753</v>
      </c>
      <c r="D38" s="4494"/>
      <c r="E38" s="4494"/>
      <c r="F38" s="4494"/>
      <c r="G38" s="763">
        <f>dedn_Trust</f>
        <v>0</v>
      </c>
      <c r="H38" s="667"/>
      <c r="I38" s="2974"/>
      <c r="J38" s="2982"/>
      <c r="L38" s="7">
        <f>IF(dedn_Trust&gt;0,1,0)</f>
        <v>0</v>
      </c>
    </row>
    <row r="39" spans="1:12" x14ac:dyDescent="0.2">
      <c r="A39" s="3371" t="s">
        <v>2551</v>
      </c>
      <c r="B39" s="406"/>
      <c r="C39" s="4494" t="s">
        <v>4410</v>
      </c>
      <c r="D39" s="4494"/>
      <c r="E39" s="4494"/>
      <c r="F39" s="4494"/>
      <c r="G39" s="763">
        <f>ded_Loss</f>
        <v>0</v>
      </c>
      <c r="H39" s="667"/>
      <c r="I39" s="2974"/>
      <c r="J39" s="2982"/>
      <c r="L39" s="7">
        <f>IF(AND(ded_Loss&gt;0,ded_Loss=ded_loss_restricted),1,0)</f>
        <v>0</v>
      </c>
    </row>
    <row r="40" spans="1:12" x14ac:dyDescent="0.2">
      <c r="A40" s="3372" t="s">
        <v>4011</v>
      </c>
      <c r="B40" s="406"/>
      <c r="C40" s="4494" t="str">
        <f>"Income tax relief "&amp;DOLLAR(ded_Loss,0)&amp;" reduced to maximum allowable "</f>
        <v xml:space="preserve">Income tax relief $0 reduced to maximum allowable </v>
      </c>
      <c r="D40" s="4494"/>
      <c r="E40" s="4494"/>
      <c r="F40" s="4494"/>
      <c r="G40" s="667">
        <f>ded_loss_restricted</f>
        <v>0</v>
      </c>
      <c r="H40" s="2974"/>
      <c r="I40" s="2974"/>
      <c r="J40" s="2982"/>
      <c r="L40" s="7">
        <f>IF(AND(ded_Loss&gt;0,ded_Loss&gt;ded_loss_restricted),1,0)</f>
        <v>0</v>
      </c>
    </row>
    <row r="41" spans="1:12" x14ac:dyDescent="0.2">
      <c r="A41" s="3370" t="s">
        <v>2552</v>
      </c>
      <c r="B41" s="406"/>
      <c r="C41" s="4511" t="s">
        <v>3079</v>
      </c>
      <c r="D41" s="4511"/>
      <c r="E41" s="4511"/>
      <c r="F41" s="4511"/>
      <c r="G41" s="763">
        <f>dedn_Annuity</f>
        <v>0</v>
      </c>
      <c r="H41" s="667"/>
      <c r="I41" s="2974"/>
      <c r="J41" s="2982"/>
      <c r="L41" s="7">
        <f>IF(dedn_Annuity&gt;0,1,0)</f>
        <v>0</v>
      </c>
    </row>
    <row r="42" spans="1:12" x14ac:dyDescent="0.2">
      <c r="A42" s="3370" t="s">
        <v>1728</v>
      </c>
      <c r="B42" s="406"/>
      <c r="C42" s="4511" t="s">
        <v>2775</v>
      </c>
      <c r="D42" s="4511"/>
      <c r="E42" s="4511"/>
      <c r="F42" s="4511"/>
      <c r="G42" s="763">
        <f>dedn_Gift</f>
        <v>0</v>
      </c>
      <c r="H42" s="667"/>
      <c r="I42" s="2974"/>
      <c r="J42" s="2982"/>
      <c r="L42" s="7">
        <f>IF(dedn_Gift&gt;0,1,0)</f>
        <v>0</v>
      </c>
    </row>
    <row r="43" spans="1:12" x14ac:dyDescent="0.2">
      <c r="A43" s="3371" t="s">
        <v>1729</v>
      </c>
      <c r="B43" s="406"/>
      <c r="C43" s="4494" t="s">
        <v>3148</v>
      </c>
      <c r="D43" s="4494"/>
      <c r="E43" s="4494"/>
      <c r="F43" s="4494"/>
      <c r="G43" s="763">
        <f>Allce_PA</f>
        <v>12500</v>
      </c>
      <c r="I43" s="2974"/>
      <c r="J43" s="2982"/>
      <c r="L43" s="7">
        <f>IF(AND(Allce_PA&lt;&gt;Allce_dedn_total,Allce_PA&gt;0,Allce_PA=P_A),1,0)</f>
        <v>1</v>
      </c>
    </row>
    <row r="44" spans="1:12" x14ac:dyDescent="0.2">
      <c r="A44" s="3373" t="s">
        <v>4011</v>
      </c>
      <c r="B44" s="406"/>
      <c r="C44" s="4494" t="s">
        <v>3894</v>
      </c>
      <c r="D44" s="4494"/>
      <c r="E44" s="4494"/>
      <c r="F44" s="4494"/>
      <c r="G44" s="763">
        <f>Allce_PA</f>
        <v>12500</v>
      </c>
      <c r="I44" s="2974"/>
      <c r="J44" s="2982"/>
      <c r="L44" s="7">
        <f>IF(AND(Allce_PA&lt;&gt;Allce_dedn_total,Allce_PA&gt;0,Allce_PA&lt;&gt;P_A),1,0)</f>
        <v>0</v>
      </c>
    </row>
    <row r="45" spans="1:12" x14ac:dyDescent="0.2">
      <c r="A45" s="3373" t="s">
        <v>4011</v>
      </c>
      <c r="B45" s="406"/>
      <c r="C45" s="4" t="s">
        <v>1377</v>
      </c>
      <c r="D45" s="4494" t="str">
        <f>C43</f>
        <v>Personal Allowance</v>
      </c>
      <c r="E45" s="4494"/>
      <c r="F45" s="4494"/>
      <c r="G45" s="763"/>
      <c r="H45" s="763">
        <f>Allce_PA</f>
        <v>12500</v>
      </c>
      <c r="I45" s="2974"/>
      <c r="J45" s="2982"/>
      <c r="L45" s="7">
        <f>IF(AND(Allce_PA=Allce_dedn_total,Allce_PA&gt;0,Allce_PA=P_A),1,0)</f>
        <v>0</v>
      </c>
    </row>
    <row r="46" spans="1:12" x14ac:dyDescent="0.2">
      <c r="A46" s="3372" t="s">
        <v>4011</v>
      </c>
      <c r="B46" s="406"/>
      <c r="C46" s="4" t="s">
        <v>1377</v>
      </c>
      <c r="D46" s="4494" t="str">
        <f>C44</f>
        <v>Reduced Personal Allowance</v>
      </c>
      <c r="E46" s="4494"/>
      <c r="F46" s="4494"/>
      <c r="G46" s="763"/>
      <c r="H46" s="763">
        <f>Allce_PA</f>
        <v>12500</v>
      </c>
      <c r="I46" s="2974"/>
      <c r="J46" s="2982"/>
      <c r="L46" s="7">
        <f>IF(AND(Allce_PA=Allce_dedn_total,Allce_PA&gt;0,Allce_PA&lt;P_A),1,0)</f>
        <v>0</v>
      </c>
    </row>
    <row r="47" spans="1:12" x14ac:dyDescent="0.2">
      <c r="A47" s="3371" t="s">
        <v>4298</v>
      </c>
      <c r="C47" s="4" t="s">
        <v>4392</v>
      </c>
      <c r="D47" s="4494" t="s">
        <v>4390</v>
      </c>
      <c r="E47" s="4494"/>
      <c r="F47" s="4494"/>
      <c r="G47" s="763">
        <f>AllceOut_TPA</f>
        <v>0</v>
      </c>
      <c r="H47" s="763"/>
      <c r="L47" s="7">
        <f>IF(AllceOut_TPA&gt;0,IF(AND(Allce_PA&lt;&gt;Allce_dedn_total,Allce_PA&gt;0),1,0),0)</f>
        <v>0</v>
      </c>
    </row>
    <row r="48" spans="1:12" x14ac:dyDescent="0.2">
      <c r="A48" s="3372" t="s">
        <v>4011</v>
      </c>
      <c r="C48" s="4" t="s">
        <v>4392</v>
      </c>
      <c r="D48" s="4494" t="s">
        <v>4390</v>
      </c>
      <c r="E48" s="4494"/>
      <c r="F48" s="4494"/>
      <c r="H48" s="763">
        <f>AllceOut_TPA</f>
        <v>0</v>
      </c>
      <c r="L48" s="7">
        <f>IF(AllceOut_TPA&gt;0,IF(AND(Allce_PA=Allce_dedn_total,Allce_PA&gt;0),1,0),0)</f>
        <v>0</v>
      </c>
    </row>
    <row customHeight="1" ht="12" r="49" spans="1:19" x14ac:dyDescent="0.2">
      <c r="A49" s="3370" t="s">
        <v>59</v>
      </c>
      <c r="B49" s="406"/>
      <c r="C49" s="4494" t="s">
        <v>3413</v>
      </c>
      <c r="D49" s="4494"/>
      <c r="E49" s="4494"/>
      <c r="F49" s="4494"/>
      <c r="G49" s="763">
        <f>Allce_BPA</f>
        <v>0</v>
      </c>
      <c r="H49" s="667"/>
      <c r="I49" s="2974"/>
      <c r="J49" s="2982"/>
      <c r="L49" s="7">
        <f>IF(Allce_BPA&gt;0,1,0)</f>
        <v>0</v>
      </c>
    </row>
    <row r="50" spans="1:19" x14ac:dyDescent="0.2">
      <c r="A50" s="3370" t="s">
        <v>60</v>
      </c>
      <c r="B50" s="406"/>
      <c r="C50" s="4494" t="s">
        <v>2986</v>
      </c>
      <c r="D50" s="4494"/>
      <c r="E50" s="4494"/>
      <c r="F50" s="4494"/>
      <c r="G50" s="763">
        <f>Allce_BPA_Spare</f>
        <v>0</v>
      </c>
      <c r="H50" s="667"/>
      <c r="I50" s="2974"/>
      <c r="J50" s="2982"/>
      <c r="L50" s="7">
        <f>IF(Allce_BPA_Spare&gt;0,1,0)</f>
        <v>0</v>
      </c>
    </row>
    <row r="51" spans="1:19" x14ac:dyDescent="0.2">
      <c r="A51" s="3370" t="s">
        <v>61</v>
      </c>
      <c r="B51" s="406"/>
      <c r="C51" s="4510" t="s">
        <v>2324</v>
      </c>
      <c r="D51" s="4510"/>
      <c r="E51" s="4510"/>
      <c r="F51" s="4510"/>
      <c r="G51" s="763">
        <f>Income_Excluded</f>
        <v>0</v>
      </c>
      <c r="H51" s="667"/>
      <c r="I51" s="2974"/>
      <c r="J51" s="2982"/>
      <c r="L51" s="7">
        <f>IF(Income_Excluded&gt;0,1,0)</f>
        <v>0</v>
      </c>
    </row>
    <row r="52" spans="1:19" x14ac:dyDescent="0.2">
      <c r="A52" s="3370" t="s">
        <v>62</v>
      </c>
      <c r="B52" s="406"/>
      <c r="C52" s="4501" t="s">
        <v>1074</v>
      </c>
      <c r="D52" s="4501"/>
      <c r="E52" s="4501"/>
      <c r="F52" s="4501"/>
      <c r="G52" s="401"/>
      <c r="H52" s="763">
        <f>Allce_dedn_total</f>
        <v>13700</v>
      </c>
      <c r="I52" s="2974"/>
      <c r="J52" s="2982"/>
      <c r="L52" s="7">
        <f>IF(Allce_PA=Allce_dedn_total,0,1)</f>
        <v>1</v>
      </c>
    </row>
    <row r="53" spans="1:19" x14ac:dyDescent="0.2">
      <c r="A53" s="3370" t="s">
        <v>63</v>
      </c>
      <c r="B53" s="406"/>
      <c r="C53" s="537"/>
      <c r="D53" s="537"/>
      <c r="E53" s="2977"/>
      <c r="F53" s="2974"/>
      <c r="G53" s="763"/>
      <c r="H53" s="667"/>
      <c r="I53" s="2974"/>
      <c r="J53" s="2982"/>
      <c r="L53" s="7">
        <v>1</v>
      </c>
    </row>
    <row r="54" spans="1:19" x14ac:dyDescent="0.2">
      <c r="A54" s="3371" t="s">
        <v>64</v>
      </c>
      <c r="B54" s="406"/>
      <c r="C54" s="4492" t="s">
        <v>6134</v>
      </c>
      <c r="D54" s="4493"/>
      <c r="E54" s="4493"/>
      <c r="F54" s="4493"/>
      <c r="G54" s="4493"/>
      <c r="H54" s="946">
        <f>taxable_income</f>
        <v>50172</v>
      </c>
      <c r="I54" s="2974"/>
      <c r="J54" s="2982"/>
      <c r="L54" s="7">
        <f>IF(taxable_income&gt;0,1,0)</f>
        <v>1</v>
      </c>
    </row>
    <row r="55" spans="1:19" x14ac:dyDescent="0.2">
      <c r="A55" s="3372" t="s">
        <v>4011</v>
      </c>
      <c r="B55" s="406"/>
      <c r="C55" s="4492" t="s">
        <v>5836</v>
      </c>
      <c r="D55" s="4493"/>
      <c r="E55" s="4493"/>
      <c r="F55" s="4493"/>
      <c r="G55" s="4493"/>
      <c r="H55" s="946">
        <f>taxable_income</f>
        <v>50172</v>
      </c>
      <c r="I55" s="2974"/>
      <c r="J55" s="2982"/>
      <c r="L55" s="7">
        <f>IF(taxable_income&lt;=0,1,0)</f>
        <v>0</v>
      </c>
      <c r="M55" s="2707"/>
    </row>
    <row r="56" spans="1:19" x14ac:dyDescent="0.2">
      <c r="A56" s="3370" t="s">
        <v>65</v>
      </c>
      <c r="B56" s="406"/>
      <c r="C56" s="2980"/>
      <c r="D56" s="2980"/>
      <c r="E56" s="2974"/>
      <c r="F56" s="2974"/>
      <c r="G56" s="86"/>
      <c r="H56" s="2974"/>
      <c r="I56" s="2974"/>
      <c r="J56" s="2982"/>
      <c r="L56" s="7">
        <v>1</v>
      </c>
      <c r="M56" s="2707"/>
    </row>
    <row r="57" spans="1:19" x14ac:dyDescent="0.2">
      <c r="A57" s="3374" t="s">
        <v>66</v>
      </c>
      <c r="B57" s="406"/>
      <c r="C57" s="4496" t="s">
        <v>1075</v>
      </c>
      <c r="D57" s="4496"/>
      <c r="E57" s="4496"/>
      <c r="F57" s="4496"/>
      <c r="G57" s="4496"/>
      <c r="H57" s="4496"/>
      <c r="I57" s="4496"/>
      <c r="J57" s="4496"/>
      <c r="L57" s="7">
        <v>1</v>
      </c>
      <c r="M57" s="2707"/>
    </row>
    <row r="58" spans="1:19" x14ac:dyDescent="0.2">
      <c r="A58" s="3384" t="s">
        <v>67</v>
      </c>
      <c r="B58" s="406"/>
      <c r="C58" s="4509" t="str">
        <f>"Your basic rate limit has been increased by "&amp;DOLLAR(ppr_extender,0)&amp;" and "&amp;DOLLAR(gift_extender,0)&amp;" to "&amp;DOLLAR(extended_BR,0)</f>
        <v>Your basic rate limit has been increased by $1,000 and $625 to $39,125</v>
      </c>
      <c r="D58" s="4509"/>
      <c r="E58" s="4509"/>
      <c r="F58" s="4509"/>
      <c r="G58" s="4509"/>
      <c r="H58" s="4509"/>
      <c r="I58" s="4509"/>
      <c r="J58" s="4509"/>
      <c r="K58" s="2974"/>
      <c r="L58" s="3152">
        <f>IF(AND('Status (c3a)'!E21=1,ppr_extender&gt;0,gift_extender&gt;0),1,IF(AND('Status (c3a)'!E21=3,ppr_extender&gt;0,gift_extender&gt;0),1,0))</f>
        <v>0</v>
      </c>
      <c r="M58" s="2707"/>
    </row>
    <row r="59" spans="1:19" x14ac:dyDescent="0.2">
      <c r="A59" s="3373"/>
      <c r="B59" s="406"/>
      <c r="C59" s="4509" t="s">
        <v>8529</v>
      </c>
      <c r="D59" s="4509"/>
      <c r="E59" s="4509"/>
      <c r="F59" s="4509"/>
      <c r="G59" s="4509"/>
      <c r="H59" s="4509"/>
      <c r="I59" s="4509"/>
      <c r="J59" s="4509"/>
      <c r="K59" s="3123"/>
      <c r="L59" s="3152">
        <f>IF(AND('Status (c3a)'!E21=1,ppr_extender&gt;0,gift_extender&gt;0),1,IF(AND('Status (c3a)'!E21=3,ppr_extender&gt;0,gift_extender&gt;0),1,0))</f>
        <v>0</v>
      </c>
      <c r="M59" s="2707"/>
    </row>
    <row r="60" spans="1:19" x14ac:dyDescent="0.2">
      <c r="A60" s="3375" t="s">
        <v>4011</v>
      </c>
      <c r="B60" s="775"/>
      <c r="C60" s="4509" t="str">
        <f>"Your basic rate limit has been increased by "&amp;DOLLAR(ppr_extender,0)&amp;" to "&amp;DOLLAR(extended_BR,0)&amp;" for pension payments."</f>
        <v>Your basic rate limit has been increased by $1,000 to $39,125 for pension payments.</v>
      </c>
      <c r="D60" s="4509"/>
      <c r="E60" s="4509"/>
      <c r="F60" s="4509"/>
      <c r="G60" s="4509"/>
      <c r="H60" s="4509"/>
      <c r="I60" s="4509"/>
      <c r="J60" s="4509"/>
      <c r="K60" s="2974"/>
      <c r="L60" s="3152">
        <f>IF(AND('Status (c3a)'!E21=1,ppr_extender&gt;0,gift_extender=0),1,IF(AND('Status (c3a)'!E21=3,ppr_extender&gt;0,gift_extender=0),1,0))</f>
        <v>0</v>
      </c>
      <c r="M60" s="2707"/>
    </row>
    <row r="61" spans="1:19" x14ac:dyDescent="0.2">
      <c r="A61" s="3373"/>
      <c r="B61" s="775"/>
      <c r="C61" s="4509" t="s">
        <v>7460</v>
      </c>
      <c r="D61" s="4509"/>
      <c r="E61" s="4509"/>
      <c r="F61" s="4509"/>
      <c r="G61" s="4509"/>
      <c r="H61" s="4509"/>
      <c r="I61" s="4509"/>
      <c r="J61" s="4509"/>
      <c r="K61" s="4195"/>
      <c r="L61" s="3152">
        <f>IF(AND('Status (c3a)'!E22=1,ppr_extender&gt;0,gift_extender=0),1,IF(AND('Status (c3a)'!E22=3,ppr_extender&gt;0,gift_extender=0),1,0))</f>
        <v>0</v>
      </c>
      <c r="M61" s="2707"/>
      <c r="S61" s="2707"/>
    </row>
    <row r="62" spans="1:19" x14ac:dyDescent="0.2">
      <c r="A62" s="3373" t="s">
        <v>4011</v>
      </c>
      <c r="B62" s="775"/>
      <c r="C62" s="4509" t="str">
        <f>"Your basic rate limit has been increased by "&amp;DOLLAR(gift_extender,0)&amp;" to "&amp;DOLLAR(extended_BR,0)&amp;" for Gift Aid payments."</f>
        <v>Your basic rate limit has been increased by $625 to $39,125 for Gift Aid payments.</v>
      </c>
      <c r="D62" s="4509"/>
      <c r="E62" s="4509"/>
      <c r="F62" s="4509"/>
      <c r="G62" s="4509"/>
      <c r="H62" s="4509"/>
      <c r="I62" s="4509"/>
      <c r="J62" s="4509"/>
      <c r="K62" s="2974"/>
      <c r="L62" s="3152">
        <f>IF(AND('Status (c3a)'!E21=1,ppr_extender=0,gift_extender&gt;0),1,IF(AND('Status (c3a)'!E21=3,ppr_extender=0,gift_extender&gt;0),1,0))</f>
        <v>0</v>
      </c>
      <c r="M62" s="2707"/>
      <c r="S62" s="2707"/>
    </row>
    <row r="63" spans="1:19" x14ac:dyDescent="0.2">
      <c r="A63" s="3372"/>
      <c r="B63" s="775"/>
      <c r="C63" s="4509" t="s">
        <v>7460</v>
      </c>
      <c r="D63" s="4509"/>
      <c r="E63" s="4509"/>
      <c r="F63" s="4509"/>
      <c r="G63" s="4509"/>
      <c r="H63" s="4509"/>
      <c r="I63" s="4509"/>
      <c r="J63" s="4509"/>
      <c r="K63" s="3123"/>
      <c r="L63" s="3152">
        <f>IF(AND('Status (c3a)'!E22=1,ppr_extender=0,gift_extender&gt;0),1,IF(AND('Status (c3a)'!E22=3,ppr_extender=0,gift_extender&gt;0),1,0))</f>
        <v>0</v>
      </c>
      <c r="M63" s="2707"/>
      <c r="S63" s="2707"/>
    </row>
    <row r="64" spans="1:19" x14ac:dyDescent="0.2">
      <c r="A64" s="3374" t="s">
        <v>6474</v>
      </c>
      <c r="B64" s="406"/>
      <c r="C64" s="4500" t="str">
        <f>"Your pension payments of "&amp;DOLLAR(ppr_extender,0)&amp;" and Gift Aid contributions of "&amp;DOLLAR(gift_extender,0)&amp;" have increased your basic rate limits."</f>
        <v>Your pension payments of $1,000 and Gift Aid contributions of $625 have increased your basic rate limits.</v>
      </c>
      <c r="D64" s="4500"/>
      <c r="E64" s="4500"/>
      <c r="F64" s="4500"/>
      <c r="G64" s="4500"/>
      <c r="H64" s="4500"/>
      <c r="I64" s="4500"/>
      <c r="J64" s="4500"/>
      <c r="K64" s="2974"/>
      <c r="L64" s="979">
        <f>IF(AND('Status (c3a)'!E21=2,ppr_extender&gt;0,gift_extender&gt;0),1,0)</f>
        <v>1</v>
      </c>
      <c r="M64" s="2707"/>
      <c r="S64" s="2707"/>
    </row>
    <row r="65" spans="1:13" x14ac:dyDescent="0.2">
      <c r="A65" s="3373"/>
      <c r="B65" s="775"/>
      <c r="C65" s="4509" t="s">
        <v>7036</v>
      </c>
      <c r="D65" s="4509"/>
      <c r="E65" s="4509"/>
      <c r="F65" s="4509"/>
      <c r="G65" s="4509"/>
      <c r="H65" s="4509"/>
      <c r="I65" s="4509"/>
      <c r="J65" s="4509"/>
      <c r="K65" s="4195"/>
      <c r="L65" s="979">
        <f>IF(AND('Status (c3a)'!E22=2,ppr_extender&gt;0,gift_extender&gt;0),1,0)</f>
        <v>0</v>
      </c>
    </row>
    <row r="66" spans="1:13" x14ac:dyDescent="0.2">
      <c r="A66" s="3373" t="s">
        <v>4011</v>
      </c>
      <c r="B66" s="775"/>
      <c r="C66" s="4500" t="str">
        <f>"Your pension payments of "&amp;DOLLAR(ppr_extender,0)&amp;" have increased your basic rate limits."</f>
        <v>Your pension payments of $1,000 have increased your basic rate limits.</v>
      </c>
      <c r="D66" s="4500"/>
      <c r="E66" s="4500"/>
      <c r="F66" s="4500"/>
      <c r="G66" s="4500"/>
      <c r="H66" s="4500"/>
      <c r="I66" s="4500"/>
      <c r="J66" s="4500"/>
      <c r="K66" s="2974"/>
      <c r="L66" s="979">
        <f>IF(AND('Status (c3a)'!E21=2,ppr_extender&gt;0,gift_extender=0),1,0)</f>
        <v>0</v>
      </c>
      <c r="M66" s="2707"/>
    </row>
    <row r="67" spans="1:13" x14ac:dyDescent="0.2">
      <c r="A67" s="3373"/>
      <c r="B67" s="775"/>
      <c r="C67" s="4509" t="s">
        <v>7036</v>
      </c>
      <c r="D67" s="4509"/>
      <c r="E67" s="4509"/>
      <c r="F67" s="4509"/>
      <c r="G67" s="4509"/>
      <c r="H67" s="4509"/>
      <c r="I67" s="4509"/>
      <c r="J67" s="4509"/>
      <c r="K67" s="4195"/>
      <c r="L67" s="979">
        <f>IF(AND('Status (c3a)'!E22=2,ppr_extender&gt;0,gift_extender=0),1,0)</f>
        <v>0</v>
      </c>
    </row>
    <row r="68" spans="1:13" x14ac:dyDescent="0.2">
      <c r="A68" s="3375" t="s">
        <v>4011</v>
      </c>
      <c r="B68" s="775"/>
      <c r="C68" s="4500" t="str">
        <f>"Your gift aid contributions of "&amp;DOLLAR(gift_extender,0)&amp;" have increased your basic rate limits."</f>
        <v>Your gift aid contributions of $625 have increased your basic rate limits.</v>
      </c>
      <c r="D68" s="4500"/>
      <c r="E68" s="4500"/>
      <c r="F68" s="4500"/>
      <c r="G68" s="4500"/>
      <c r="H68" s="4500"/>
      <c r="I68" s="4500"/>
      <c r="J68" s="4500"/>
      <c r="K68" s="2974"/>
      <c r="L68" s="979">
        <f>IF(AND('Status (c3a)'!E21=2,ppr_extender=0,gift_extender&gt;0),1,0)</f>
        <v>0</v>
      </c>
      <c r="M68" s="2707"/>
    </row>
    <row r="69" spans="1:13" x14ac:dyDescent="0.2">
      <c r="A69" s="3376"/>
      <c r="B69" s="775"/>
      <c r="C69" s="4509" t="s">
        <v>7036</v>
      </c>
      <c r="D69" s="4509"/>
      <c r="E69" s="4509"/>
      <c r="F69" s="4509"/>
      <c r="G69" s="4509"/>
      <c r="H69" s="4509"/>
      <c r="I69" s="4509"/>
      <c r="J69" s="4509"/>
      <c r="K69" s="2974"/>
      <c r="L69" s="979">
        <f>IF(AND('Status (c3a)'!E22=2,ppr_extender=0,gift_extender&gt;0),1,0)</f>
        <v>0</v>
      </c>
    </row>
    <row r="70" spans="1:13" x14ac:dyDescent="0.2">
      <c r="A70" s="3479" t="s">
        <v>4011</v>
      </c>
      <c r="B70" s="3480"/>
      <c r="C70" s="4513" t="s">
        <v>7077</v>
      </c>
      <c r="D70" s="4513"/>
      <c r="E70" s="4513"/>
      <c r="F70" s="4513"/>
      <c r="G70" s="4513"/>
      <c r="H70" s="4513"/>
      <c r="I70" s="4513"/>
      <c r="J70" s="4513"/>
      <c r="K70" s="3894"/>
      <c r="L70" s="3481">
        <v>0</v>
      </c>
    </row>
    <row r="71" spans="1:13" x14ac:dyDescent="0.2">
      <c r="A71" s="3370" t="s">
        <v>69</v>
      </c>
      <c r="B71" s="406"/>
      <c r="C71" s="537"/>
      <c r="D71" s="537"/>
      <c r="E71" s="2974"/>
      <c r="F71" s="2974"/>
      <c r="G71" s="86"/>
      <c r="H71" s="2974"/>
      <c r="I71" s="764"/>
      <c r="J71" s="2982"/>
      <c r="L71" s="7">
        <v>1</v>
      </c>
    </row>
    <row r="72" spans="1:13" x14ac:dyDescent="0.2">
      <c r="A72" s="3374" t="s">
        <v>5158</v>
      </c>
      <c r="B72" s="406"/>
      <c r="C72" s="4514" t="s">
        <v>7480</v>
      </c>
      <c r="D72" s="4514"/>
      <c r="E72" s="4514"/>
      <c r="F72" s="4514"/>
      <c r="G72" s="4514"/>
      <c r="I72" s="87"/>
      <c r="J72" s="402"/>
      <c r="L72" s="7">
        <f>IF(AND(Residency_Status_in_UK=1,(taxable_pay_SSR+taxable_pay_BR+taxable_pay_SIR+taxable_pay_HR+taxable_pay_AHR)&gt;0),1,0)</f>
        <v>0</v>
      </c>
    </row>
    <row r="73" spans="1:13" x14ac:dyDescent="0.2">
      <c r="A73" s="3375" t="s">
        <v>4011</v>
      </c>
      <c r="B73" s="406"/>
      <c r="C73" s="4499" t="s">
        <v>7073</v>
      </c>
      <c r="D73" s="4499"/>
      <c r="E73" s="4499"/>
      <c r="F73" s="4499"/>
      <c r="G73" s="4499"/>
      <c r="I73" s="87"/>
      <c r="J73" s="402"/>
      <c r="L73" s="7">
        <f>IF(AND('Status (c3a)'!E21=2,(taxable_pay_SSR+taxable_pay_BR+taxable_pay_SIR+taxable_pay_HR+taxable_pay_AHR)&gt;0),1,0)</f>
        <v>1</v>
      </c>
    </row>
    <row r="74" spans="1:13" x14ac:dyDescent="0.2">
      <c r="A74" s="3377" t="s">
        <v>4011</v>
      </c>
      <c r="B74" s="3147"/>
      <c r="C74" s="3148"/>
      <c r="D74" s="3393"/>
      <c r="E74" s="3148"/>
      <c r="F74" s="3148"/>
      <c r="G74" s="3148" t="s">
        <v>7481</v>
      </c>
      <c r="H74" s="3149"/>
      <c r="I74" s="3150"/>
      <c r="J74" s="3151"/>
      <c r="L74" s="3152">
        <f>IF(AND('Status (c3a)'!E21=3,(taxable_pay_SSR+taxable_pay_BR+taxable_pay_SIR+taxable_pay_HR+taxable_pay_AHR)&gt;0),1,0)</f>
        <v>0</v>
      </c>
    </row>
    <row r="75" spans="1:13" x14ac:dyDescent="0.2">
      <c r="A75" s="3376" t="s">
        <v>4011</v>
      </c>
      <c r="B75" s="406"/>
      <c r="C75" s="4499" t="s">
        <v>7072</v>
      </c>
      <c r="D75" s="4499"/>
      <c r="E75" s="4499"/>
      <c r="F75" s="4499"/>
      <c r="G75" s="4499"/>
      <c r="I75" s="87"/>
      <c r="J75" s="402"/>
      <c r="L75" s="7">
        <f>IF(AND(non_resident,(taxable_pay_SSR+taxable_pay_BR+taxable_pay_SIR+taxable_pay_HR+taxable_pay_AHR)&gt;0),1,0)</f>
        <v>0</v>
      </c>
    </row>
    <row r="76" spans="1:13" x14ac:dyDescent="0.2">
      <c r="A76" s="3370" t="s">
        <v>6773</v>
      </c>
      <c r="B76" s="406"/>
      <c r="C76" s="537"/>
      <c r="D76" s="537"/>
      <c r="E76" s="2979"/>
      <c r="F76" s="4499" t="s">
        <v>6770</v>
      </c>
      <c r="G76" s="4499"/>
      <c r="H76" s="765">
        <f>taxable_pay_SSR</f>
        <v>2049</v>
      </c>
      <c r="I76" s="87" t="str">
        <f>"x "&amp;SSR_rate*100&amp;"% ="</f>
        <v>x 19% =</v>
      </c>
      <c r="J76" s="402">
        <f>tax_on_pay_SSR</f>
        <v>389.31</v>
      </c>
      <c r="L76" s="7">
        <f>IF(AND('Status (c3a)'!E21=2,(taxable_pay_SSR+taxable_pay_BR+taxable_pay_SIR+taxable_pay_HR+taxable_pay_AHR)&gt;0),1,0)</f>
        <v>1</v>
      </c>
    </row>
    <row r="77" spans="1:13" x14ac:dyDescent="0.2">
      <c r="A77" s="3374" t="s">
        <v>70</v>
      </c>
      <c r="B77" s="406"/>
      <c r="C77" s="537"/>
      <c r="D77" s="537"/>
      <c r="E77" s="2979"/>
      <c r="F77" s="4499" t="s">
        <v>5155</v>
      </c>
      <c r="G77" s="4499"/>
      <c r="H77" s="765">
        <f>taxable_pay_BR</f>
        <v>12020</v>
      </c>
      <c r="I77" s="87" t="str">
        <f>"x "&amp;BR_rate*100&amp;"% ="</f>
        <v>x 20% =</v>
      </c>
      <c r="J77" s="402">
        <f>tax_on_pay_BR</f>
        <v>2404</v>
      </c>
      <c r="L77" s="7">
        <f>IF(AND('Status (c3a)'!E21=1,(taxable_pay_BR+taxable_pay_HR+taxable_pay_AHR)&gt;0),1,0)</f>
        <v>0</v>
      </c>
    </row>
    <row r="78" spans="1:13" x14ac:dyDescent="0.2">
      <c r="A78" s="3373" t="s">
        <v>4011</v>
      </c>
      <c r="B78" s="406"/>
      <c r="C78" s="537"/>
      <c r="D78" s="537"/>
      <c r="E78" s="3216"/>
      <c r="F78" s="4499" t="s">
        <v>5155</v>
      </c>
      <c r="G78" s="4499"/>
      <c r="H78" s="765">
        <f>taxable_pay_BR</f>
        <v>12020</v>
      </c>
      <c r="I78" s="87" t="str">
        <f>"x "&amp;SBR_rate*100&amp;"% ="</f>
        <v>x 20% =</v>
      </c>
      <c r="J78" s="402">
        <f>tax_on_pay_BR</f>
        <v>2404</v>
      </c>
      <c r="L78" s="7">
        <f>IF(AND('Status (c3a)'!E21=2,(taxable_pay_BR+taxable_pay_HR+taxable_pay_AHR)&gt;0),1,0)</f>
        <v>1</v>
      </c>
    </row>
    <row r="79" spans="1:13" x14ac:dyDescent="0.2">
      <c r="A79" s="3377" t="s">
        <v>4011</v>
      </c>
      <c r="B79" s="3147"/>
      <c r="C79" s="3208"/>
      <c r="D79" s="3208"/>
      <c r="E79" s="3209"/>
      <c r="F79" s="4514" t="s">
        <v>5155</v>
      </c>
      <c r="G79" s="4514"/>
      <c r="H79" s="3235">
        <f>taxable_pay_BR</f>
        <v>12020</v>
      </c>
      <c r="I79" s="3150" t="str">
        <f>"x "&amp;WBR_rate*100&amp;"% ="</f>
        <v>x 20% =</v>
      </c>
      <c r="J79" s="3151">
        <f>tax_on_pay_BR</f>
        <v>2404</v>
      </c>
      <c r="L79" s="3152">
        <f>IF(AND('Status (c3a)'!E21=3,(taxable_pay_BR+taxable_pay_HR+taxable_pay_AHR)&gt;0),1,0)</f>
        <v>0</v>
      </c>
    </row>
    <row r="80" spans="1:13" x14ac:dyDescent="0.2">
      <c r="A80" s="3370" t="s">
        <v>6772</v>
      </c>
      <c r="B80" s="406"/>
      <c r="C80" s="537"/>
      <c r="D80" s="537"/>
      <c r="E80" s="2979"/>
      <c r="F80" s="4499" t="s">
        <v>6771</v>
      </c>
      <c r="G80" s="4499"/>
      <c r="H80" s="765">
        <f>taxable_pay_SIR</f>
        <v>18486</v>
      </c>
      <c r="I80" s="87" t="s">
        <v>6774</v>
      </c>
      <c r="J80" s="402">
        <f>tax_on_pay_SIR</f>
        <v>3882.06</v>
      </c>
      <c r="L80" s="7">
        <f>IF(AND('Status (c3a)'!E21=2,(taxable_pay_SIR+taxable_pay_HR+taxable_pay_AHR)&gt;0),1,0)</f>
        <v>1</v>
      </c>
    </row>
    <row r="81" spans="1:12" x14ac:dyDescent="0.2">
      <c r="A81" s="3371" t="s">
        <v>71</v>
      </c>
      <c r="B81" s="406"/>
      <c r="C81" s="537"/>
      <c r="D81" s="537"/>
      <c r="E81" s="2979"/>
      <c r="F81" s="4499" t="s">
        <v>5156</v>
      </c>
      <c r="G81" s="4499"/>
      <c r="H81" s="765">
        <f>taxable_pay_HR</f>
        <v>1189</v>
      </c>
      <c r="I81" s="87" t="str">
        <f>"x "&amp;HR_rate*100&amp;"% ="</f>
        <v>x 40% =</v>
      </c>
      <c r="J81" s="402">
        <f>tax_on_pay_HR</f>
        <v>487.49</v>
      </c>
      <c r="L81" s="7">
        <f>IF(AND('Status (c3a)'!E21=1,taxable_pay_HR+taxable_pay_AHR&gt;0),1,0)</f>
        <v>0</v>
      </c>
    </row>
    <row r="82" spans="1:12" x14ac:dyDescent="0.2">
      <c r="A82" s="3373" t="s">
        <v>4011</v>
      </c>
      <c r="B82" s="406"/>
      <c r="C82" s="537"/>
      <c r="D82" s="537"/>
      <c r="E82" s="2979"/>
      <c r="F82" s="4499" t="s">
        <v>5156</v>
      </c>
      <c r="G82" s="4499"/>
      <c r="H82" s="765">
        <f>taxable_pay_HR</f>
        <v>1189</v>
      </c>
      <c r="I82" s="87" t="str">
        <f>"x "&amp;SHR_rate*100&amp;"% ="</f>
        <v>x 41% =</v>
      </c>
      <c r="J82" s="402">
        <f>tax_on_pay_HR</f>
        <v>487.49</v>
      </c>
      <c r="L82" s="7">
        <f>IF(AND('Status (c3a)'!E21=2,taxable_pay_HR+taxable_pay_AHR&gt;0),1,0)</f>
        <v>1</v>
      </c>
    </row>
    <row r="83" spans="1:12" x14ac:dyDescent="0.2">
      <c r="A83" s="3377" t="s">
        <v>4011</v>
      </c>
      <c r="B83" s="3147"/>
      <c r="C83" s="3208"/>
      <c r="D83" s="3208"/>
      <c r="E83" s="3209"/>
      <c r="F83" s="4514" t="s">
        <v>5156</v>
      </c>
      <c r="G83" s="4514"/>
      <c r="H83" s="3235">
        <f>taxable_pay_HR</f>
        <v>1189</v>
      </c>
      <c r="I83" s="3150" t="str">
        <f>"x "&amp;WHR_rate*100&amp;"% ="</f>
        <v>x 40% =</v>
      </c>
      <c r="J83" s="3151">
        <f>tax_on_pay_HR</f>
        <v>487.49</v>
      </c>
      <c r="L83" s="3152">
        <f>IF(AND('Status (c3a)'!E21=3,taxable_pay_HR+taxable_pay_AHR&gt;0),1,0)</f>
        <v>0</v>
      </c>
    </row>
    <row r="84" spans="1:12" x14ac:dyDescent="0.2">
      <c r="A84" s="3371" t="s">
        <v>3699</v>
      </c>
      <c r="B84" s="406"/>
      <c r="C84" s="537"/>
      <c r="D84" s="537"/>
      <c r="E84" s="2979"/>
      <c r="F84" s="4499" t="s">
        <v>5157</v>
      </c>
      <c r="G84" s="4499"/>
      <c r="H84" s="765">
        <f>taxable_pay_AHR</f>
        <v>0</v>
      </c>
      <c r="I84" s="87" t="str">
        <f>"x "&amp;AHR_rate*100&amp;"% ="</f>
        <v>x 45% =</v>
      </c>
      <c r="J84" s="402">
        <f>tax_on_pay_AHR</f>
        <v>0</v>
      </c>
      <c r="L84" s="7">
        <f>IF(AND('Status (c3a)'!E21=1,taxable_pay_AHR&gt;0),1,0)</f>
        <v>0</v>
      </c>
    </row>
    <row r="85" spans="1:12" x14ac:dyDescent="0.2">
      <c r="A85" s="3373" t="s">
        <v>4011</v>
      </c>
      <c r="B85" s="406"/>
      <c r="C85" s="537"/>
      <c r="D85" s="537"/>
      <c r="E85" s="2979"/>
      <c r="F85" s="4499" t="s">
        <v>6940</v>
      </c>
      <c r="G85" s="4499"/>
      <c r="H85" s="765">
        <f>taxable_pay_AHR</f>
        <v>0</v>
      </c>
      <c r="I85" s="87" t="str">
        <f>"x "&amp;SAHR_rate*100&amp;"% ="</f>
        <v>x 46% =</v>
      </c>
      <c r="J85" s="402">
        <f>tax_on_pay_AHR</f>
        <v>0</v>
      </c>
      <c r="L85" s="7">
        <f>IF(AND('Status (c3a)'!E21=2,taxable_pay_AHR&gt;0),1,0)</f>
        <v>0</v>
      </c>
    </row>
    <row r="86" spans="1:12" x14ac:dyDescent="0.2">
      <c r="A86" s="3378" t="s">
        <v>4011</v>
      </c>
      <c r="B86" s="3147"/>
      <c r="C86" s="3208"/>
      <c r="D86" s="3208"/>
      <c r="E86" s="3209"/>
      <c r="F86" s="3215"/>
      <c r="G86" s="3215" t="s">
        <v>5157</v>
      </c>
      <c r="H86" s="3235">
        <f>taxable_pay_AHR</f>
        <v>0</v>
      </c>
      <c r="I86" s="3150" t="str">
        <f>"x "&amp;WAHR_rate*100&amp;"% ="</f>
        <v>x 45% =</v>
      </c>
      <c r="J86" s="3151">
        <f>tax_on_pay_AHR</f>
        <v>0</v>
      </c>
      <c r="L86" s="3152">
        <f>IF(AND('Status (c3a)'!E21=3,taxable_pay_AHR&gt;0),1,0)</f>
        <v>0</v>
      </c>
    </row>
    <row r="87" spans="1:12" x14ac:dyDescent="0.2">
      <c r="A87" s="3370" t="s">
        <v>72</v>
      </c>
      <c r="B87" s="406"/>
      <c r="C87" s="537"/>
      <c r="D87" s="537"/>
      <c r="E87" s="2979"/>
      <c r="G87" s="7"/>
      <c r="H87" s="401"/>
      <c r="I87" s="2978"/>
      <c r="J87" s="404"/>
      <c r="L87" s="7">
        <f>IF(AND((taxable_pay_BR+taxable_pay_HR+taxable_pay_AHR)&gt;0,OR((income_Savings_taxfree_BR+Income_Savings_taxfree_HR+taxable_int_SR+taxable_int_BR+taxable_int_HR+taxable_int_AHR)&gt;0,(divs_taxfree_BR+taxable_divs_BR+divs_taxfree_HR+taxable_divs_HR+taxable_divs_AHR+divs_taxfree_AHR)&gt;0)),1,0)</f>
        <v>1</v>
      </c>
    </row>
    <row r="88" spans="1:12" x14ac:dyDescent="0.2">
      <c r="A88" s="3374" t="s">
        <v>5153</v>
      </c>
      <c r="B88" s="406"/>
      <c r="C88" s="4499" t="s">
        <v>7074</v>
      </c>
      <c r="D88" s="4499"/>
      <c r="E88" s="4499"/>
      <c r="F88" s="4499"/>
      <c r="G88" s="4499"/>
      <c r="I88" s="87"/>
      <c r="J88" s="402"/>
      <c r="L88" s="7">
        <f>IF(AND(income_Savings_taxfree_BR+Income_Savings_taxfree_HR+taxable_int_SR+taxable_int_BR+taxable_int_HR+taxable_int_AHR&gt;0,income_CEG=0),1,0)</f>
        <v>1</v>
      </c>
    </row>
    <row r="89" spans="1:12" x14ac:dyDescent="0.2">
      <c r="A89" s="3375" t="s">
        <v>4011</v>
      </c>
      <c r="B89" s="406"/>
      <c r="C89" s="4499" t="s">
        <v>7075</v>
      </c>
      <c r="D89" s="4499"/>
      <c r="E89" s="4499"/>
      <c r="F89" s="4499"/>
      <c r="G89" s="4499"/>
      <c r="I89" s="87"/>
      <c r="J89" s="402"/>
      <c r="L89" s="7">
        <f>IF(AND(income_Savings_taxfree_BR+Income_Savings_taxfree_HR+taxable_int_SR+taxable_int_BR+taxable_int_HR+taxable_int_AHR&gt;0,income_CEG&gt;0),1,0)</f>
        <v>0</v>
      </c>
    </row>
    <row r="90" spans="1:12" x14ac:dyDescent="0.2">
      <c r="A90" s="3376" t="s">
        <v>4011</v>
      </c>
      <c r="B90" s="406"/>
      <c r="C90" s="4499" t="s">
        <v>1320</v>
      </c>
      <c r="D90" s="4499"/>
      <c r="E90" s="4499"/>
      <c r="F90" s="4499"/>
      <c r="G90" s="4499"/>
      <c r="I90" s="87"/>
      <c r="J90" s="402"/>
      <c r="L90" s="7">
        <f>IF(AND(income_Savings_taxfree_BR+Income_Savings_taxfree_HR+taxable_int_SR+taxable_int_BR+taxable_int_HR+taxable_int_AHR=0,income_CEG&gt;0),1,0)</f>
        <v>0</v>
      </c>
    </row>
    <row r="91" spans="1:12" x14ac:dyDescent="0.2">
      <c r="A91" s="3370" t="s">
        <v>5048</v>
      </c>
      <c r="B91" s="406"/>
      <c r="C91" s="537"/>
      <c r="D91" s="537"/>
      <c r="E91" s="2979"/>
      <c r="F91" s="4499" t="s">
        <v>3074</v>
      </c>
      <c r="G91" s="4499"/>
      <c r="H91" s="765">
        <f>taxable_int_SR</f>
        <v>0</v>
      </c>
      <c r="I91" s="87" t="s">
        <v>4581</v>
      </c>
      <c r="J91" s="402">
        <f>tax_on_int_SR</f>
        <v>0</v>
      </c>
      <c r="L91" s="7">
        <f>IF(OR(income_Savings_taxfree_BR&gt;0,taxable_int_SR+taxable_int_BR+taxable_int_HR+taxable_int_AHR&gt;0),1,0)</f>
        <v>1</v>
      </c>
    </row>
    <row r="92" spans="1:12" x14ac:dyDescent="0.2">
      <c r="A92" s="3379" t="s">
        <v>5049</v>
      </c>
      <c r="B92" s="406"/>
      <c r="C92" s="537"/>
      <c r="D92" s="537"/>
      <c r="E92" s="2979"/>
      <c r="F92" s="4499" t="s">
        <v>6499</v>
      </c>
      <c r="G92" s="4499"/>
      <c r="H92" s="1807">
        <f>income_Savings_taxfree_BR</f>
        <v>500</v>
      </c>
      <c r="I92" s="87" t="s">
        <v>4581</v>
      </c>
      <c r="J92" s="404">
        <v>0</v>
      </c>
      <c r="L92" s="7">
        <f>IF(income_Savings_taxfree_BR&gt;0,1,0)</f>
        <v>1</v>
      </c>
    </row>
    <row r="93" spans="1:12" x14ac:dyDescent="0.2">
      <c r="A93" s="3370" t="s">
        <v>772</v>
      </c>
      <c r="B93" s="406"/>
      <c r="C93" s="537"/>
      <c r="D93" s="537"/>
      <c r="E93" s="2979"/>
      <c r="F93" s="4499" t="s">
        <v>5155</v>
      </c>
      <c r="G93" s="4499"/>
      <c r="H93" s="765">
        <f>taxable_int_BR</f>
        <v>3178</v>
      </c>
      <c r="I93" s="87" t="s">
        <v>4578</v>
      </c>
      <c r="J93" s="402">
        <f>tax_on_int_BR</f>
        <v>635.6</v>
      </c>
      <c r="L93" s="7">
        <f>IF(taxable_int_BR+taxable_int_HR+taxable_int_AHR&gt;0,1,0)</f>
        <v>1</v>
      </c>
    </row>
    <row r="94" spans="1:12" x14ac:dyDescent="0.2">
      <c r="A94" s="3379" t="s">
        <v>6968</v>
      </c>
      <c r="B94" s="406"/>
      <c r="C94" s="537"/>
      <c r="D94" s="537"/>
      <c r="E94" s="2979"/>
      <c r="F94" s="4499" t="s">
        <v>6500</v>
      </c>
      <c r="G94" s="4499"/>
      <c r="H94" s="1807">
        <f>Income_Savings_taxfree_HR</f>
        <v>0</v>
      </c>
      <c r="I94" s="87" t="s">
        <v>4581</v>
      </c>
      <c r="J94" s="404">
        <v>0</v>
      </c>
      <c r="L94" s="7">
        <f>IF(Income_Savings_taxfree_HR&gt;0,1,0)</f>
        <v>0</v>
      </c>
    </row>
    <row r="95" spans="1:12" x14ac:dyDescent="0.2">
      <c r="A95" s="3370" t="s">
        <v>773</v>
      </c>
      <c r="B95" s="406"/>
      <c r="C95" s="537"/>
      <c r="D95" s="537"/>
      <c r="E95" s="2979"/>
      <c r="F95" s="4499" t="s">
        <v>5156</v>
      </c>
      <c r="G95" s="4499"/>
      <c r="H95" s="765">
        <f>taxable_int_HR</f>
        <v>0</v>
      </c>
      <c r="I95" s="87" t="s">
        <v>4579</v>
      </c>
      <c r="J95" s="402">
        <f>tax_on_int_HR</f>
        <v>0</v>
      </c>
      <c r="L95" s="7">
        <f>IF(taxable_int_HR+taxable_int_AHR&gt;0,1,0)</f>
        <v>0</v>
      </c>
    </row>
    <row r="96" spans="1:12" x14ac:dyDescent="0.2">
      <c r="A96" s="3370" t="s">
        <v>3018</v>
      </c>
      <c r="B96" s="406"/>
      <c r="C96" s="537"/>
      <c r="D96" s="537"/>
      <c r="E96" s="2979"/>
      <c r="F96" s="4499" t="s">
        <v>5157</v>
      </c>
      <c r="G96" s="4499"/>
      <c r="H96" s="765">
        <f>taxable_int_AHR</f>
        <v>0</v>
      </c>
      <c r="I96" s="87" t="s">
        <v>4580</v>
      </c>
      <c r="J96" s="402">
        <f>tax_on_int_AHR</f>
        <v>0</v>
      </c>
      <c r="L96" s="7">
        <f>IF(taxable_int_AHR&gt;0,1,0)</f>
        <v>0</v>
      </c>
    </row>
    <row r="97" spans="1:14" x14ac:dyDescent="0.2">
      <c r="A97" s="3370" t="s">
        <v>774</v>
      </c>
      <c r="B97" s="406"/>
      <c r="C97" s="537"/>
      <c r="D97" s="537"/>
      <c r="E97" s="2979"/>
      <c r="G97" s="2978"/>
      <c r="H97" s="401"/>
      <c r="I97" s="2978"/>
      <c r="J97" s="404"/>
      <c r="L97" s="7">
        <f>IF(AND(income_Savings_taxfree_BR+taxable_int_SR+taxable_int_BR+income_Savings_taxfree_BR+taxable_int_HR+Income_Savings_taxfree_HR+taxable_int_AHR&gt;0,divs_taxfree_BR+taxable_divs_BR+taxable_divs_HR+divs_taxfree_HR+taxable_divs_AHR+divs_taxfree_AHR&gt;0),1,0)</f>
        <v>1</v>
      </c>
    </row>
    <row r="98" spans="1:14" x14ac:dyDescent="0.2">
      <c r="A98" s="3380" t="s">
        <v>5159</v>
      </c>
      <c r="B98" s="406"/>
      <c r="C98" s="537"/>
      <c r="D98" s="537"/>
      <c r="E98" s="4499" t="s">
        <v>1376</v>
      </c>
      <c r="F98" s="4499"/>
      <c r="G98" s="4499"/>
      <c r="I98" s="87"/>
      <c r="J98" s="404"/>
      <c r="L98" s="7">
        <f>IF(OR(taxable_divs_BR+taxable_divs_HR+taxable_divs_AHR&gt;0,divs_taxfree_BR+divs_taxfree_HR+divs_taxfree_AHR&gt;0),1,0)</f>
        <v>1</v>
      </c>
    </row>
    <row r="99" spans="1:14" x14ac:dyDescent="0.2">
      <c r="A99" s="3380" t="s">
        <v>5065</v>
      </c>
      <c r="B99" s="406"/>
      <c r="C99" s="537"/>
      <c r="D99" s="537"/>
      <c r="E99" s="2979"/>
      <c r="F99" s="4499" t="s">
        <v>6499</v>
      </c>
      <c r="G99" s="4499"/>
      <c r="H99" s="1807">
        <f>divs_taxfree_BR</f>
        <v>1703</v>
      </c>
      <c r="I99" s="87" t="s">
        <v>4581</v>
      </c>
      <c r="J99" s="404">
        <v>0</v>
      </c>
      <c r="L99" s="7">
        <f>IF(divs_taxfree_BR&gt;0,1,0)</f>
        <v>1</v>
      </c>
    </row>
    <row r="100" spans="1:14" x14ac:dyDescent="0.2">
      <c r="A100" s="3370" t="s">
        <v>5066</v>
      </c>
      <c r="B100" s="406"/>
      <c r="C100" s="537"/>
      <c r="D100" s="537"/>
      <c r="E100" s="2979"/>
      <c r="F100" s="4499" t="s">
        <v>5155</v>
      </c>
      <c r="G100" s="4499"/>
      <c r="H100" s="765">
        <f>taxable_divs_BR</f>
        <v>0</v>
      </c>
      <c r="I100" s="2978" t="str">
        <f>"x "&amp;DivBR_rate*100&amp;"% ="</f>
        <v>x 7.5% =</v>
      </c>
      <c r="J100" s="402">
        <f>tax_on_divs_BR</f>
        <v>0</v>
      </c>
      <c r="L100" s="7">
        <f>IF((taxable_divs_BR+taxable_divs_HR+taxable_divs_AHR)&gt;0,1,0)</f>
        <v>1</v>
      </c>
    </row>
    <row r="101" spans="1:14" x14ac:dyDescent="0.2">
      <c r="A101" s="3380" t="s">
        <v>6496</v>
      </c>
      <c r="B101" s="406"/>
      <c r="C101" s="537"/>
      <c r="D101" s="537"/>
      <c r="E101" s="2979"/>
      <c r="F101" s="4499" t="s">
        <v>6500</v>
      </c>
      <c r="G101" s="4499"/>
      <c r="H101" s="1807">
        <f>divs_taxfree_HR</f>
        <v>297</v>
      </c>
      <c r="I101" s="87" t="s">
        <v>4581</v>
      </c>
      <c r="J101" s="404">
        <v>0</v>
      </c>
      <c r="L101" s="7">
        <f>IF(divs_taxfree_HR&gt;0,1,0)</f>
        <v>1</v>
      </c>
    </row>
    <row r="102" spans="1:14" x14ac:dyDescent="0.2">
      <c r="A102" s="3370" t="s">
        <v>775</v>
      </c>
      <c r="B102" s="406"/>
      <c r="C102" s="537"/>
      <c r="D102" s="537"/>
      <c r="E102" s="2974"/>
      <c r="F102" s="4499" t="s">
        <v>5156</v>
      </c>
      <c r="G102" s="4499"/>
      <c r="H102" s="765">
        <f>taxable_divs_HR</f>
        <v>10750</v>
      </c>
      <c r="I102" s="2978" t="str">
        <f>"x "&amp;DivHR_rate*100&amp;"% ="</f>
        <v>x 32.5% =</v>
      </c>
      <c r="J102" s="402">
        <f>tax_on_divs_HR</f>
        <v>3493.75</v>
      </c>
      <c r="L102" s="7">
        <f>IF((taxable_divs_HR+taxable_divs_AHR)&gt;0,1,0)</f>
        <v>1</v>
      </c>
      <c r="N102" s="979"/>
    </row>
    <row r="103" spans="1:14" x14ac:dyDescent="0.2">
      <c r="A103" s="3380" t="s">
        <v>6497</v>
      </c>
      <c r="B103" s="406"/>
      <c r="C103" s="537"/>
      <c r="D103" s="537"/>
      <c r="E103" s="4499" t="s">
        <v>6501</v>
      </c>
      <c r="F103" s="4499"/>
      <c r="G103" s="4499"/>
      <c r="H103" s="1807">
        <f>divs_taxfree_AHR</f>
        <v>0</v>
      </c>
      <c r="I103" s="87" t="s">
        <v>4581</v>
      </c>
      <c r="J103" s="404">
        <v>0</v>
      </c>
      <c r="L103" s="7">
        <f>IF(divs_taxfree_AHR&gt;0,1,0)</f>
        <v>0</v>
      </c>
      <c r="N103" s="979"/>
    </row>
    <row r="104" spans="1:14" x14ac:dyDescent="0.2">
      <c r="A104" s="3370" t="s">
        <v>1411</v>
      </c>
      <c r="B104" s="406"/>
      <c r="C104" s="537"/>
      <c r="D104" s="537"/>
      <c r="E104" s="2974"/>
      <c r="F104" s="4499" t="s">
        <v>5157</v>
      </c>
      <c r="G104" s="4499"/>
      <c r="H104" s="765">
        <f>taxable_divs_AHR</f>
        <v>0</v>
      </c>
      <c r="I104" s="2978" t="str">
        <f>"x "&amp;DivAR_rate*100&amp;"% ="</f>
        <v>x 38.1% =</v>
      </c>
      <c r="J104" s="402">
        <f>tax_on_divs_AHR</f>
        <v>0</v>
      </c>
      <c r="L104" s="7">
        <f>IF(taxable_divs_AHR&gt;0,1,0)</f>
        <v>0</v>
      </c>
      <c r="N104" s="979"/>
    </row>
    <row r="105" spans="1:14" x14ac:dyDescent="0.2">
      <c r="A105" s="3370" t="s">
        <v>776</v>
      </c>
      <c r="B105" s="406"/>
      <c r="C105" s="4496" t="s">
        <v>1076</v>
      </c>
      <c r="D105" s="4496"/>
      <c r="E105" s="4496"/>
      <c r="F105" s="4496"/>
      <c r="G105" s="2974"/>
      <c r="H105" s="839">
        <f>taxable_income</f>
        <v>50172</v>
      </c>
      <c r="J105" s="404"/>
      <c r="L105" s="7">
        <v>1</v>
      </c>
    </row>
    <row r="106" spans="1:14" x14ac:dyDescent="0.2">
      <c r="A106" s="3370" t="s">
        <v>777</v>
      </c>
      <c r="B106" s="406"/>
      <c r="J106" s="404"/>
      <c r="L106" s="7">
        <v>1</v>
      </c>
    </row>
    <row r="107" spans="1:14" x14ac:dyDescent="0.2">
      <c r="A107" s="3457" t="s">
        <v>778</v>
      </c>
      <c r="B107" s="3458"/>
      <c r="C107" s="3459" t="s">
        <v>2406</v>
      </c>
      <c r="D107" s="4515" t="s">
        <v>1177</v>
      </c>
      <c r="E107" s="4515"/>
      <c r="F107" s="4515"/>
      <c r="G107" s="3460"/>
      <c r="H107" s="3460"/>
      <c r="I107" s="3461"/>
      <c r="J107" s="3462">
        <v>0</v>
      </c>
      <c r="K107" s="3893"/>
      <c r="L107" s="3463">
        <v>0</v>
      </c>
    </row>
    <row r="108" spans="1:14" x14ac:dyDescent="0.2">
      <c r="A108" s="4215" t="s">
        <v>779</v>
      </c>
      <c r="B108" s="3681"/>
      <c r="C108" s="4516" t="s">
        <v>668</v>
      </c>
      <c r="D108" s="4517"/>
      <c r="E108" s="4517"/>
      <c r="F108" s="4517"/>
      <c r="G108" s="4517"/>
      <c r="H108" s="3679"/>
      <c r="I108" s="4214"/>
      <c r="J108" s="4211">
        <v>0</v>
      </c>
      <c r="K108" s="3893"/>
      <c r="L108" s="3463">
        <v>0</v>
      </c>
    </row>
    <row r="109" spans="1:14" x14ac:dyDescent="0.2">
      <c r="A109" s="3373" t="s">
        <v>779</v>
      </c>
      <c r="B109" s="406"/>
      <c r="C109" s="4492" t="s">
        <v>668</v>
      </c>
      <c r="D109" s="4493"/>
      <c r="E109" s="4493"/>
      <c r="F109" s="4493"/>
      <c r="G109" s="4493"/>
      <c r="H109" s="767"/>
      <c r="I109" s="407"/>
      <c r="J109" s="408">
        <f>tax_charged</f>
        <v>11292.21</v>
      </c>
      <c r="L109" s="3468">
        <f>IF(tax_charged=Total_tax_NIC_due,1,0)</f>
        <v>0</v>
      </c>
    </row>
    <row r="110" spans="1:14" x14ac:dyDescent="0.2">
      <c r="A110" s="4216" t="s">
        <v>4011</v>
      </c>
      <c r="B110" s="3681"/>
      <c r="C110" s="4516" t="s">
        <v>1077</v>
      </c>
      <c r="D110" s="4517"/>
      <c r="E110" s="4517"/>
      <c r="F110" s="4517"/>
      <c r="G110" s="4517"/>
      <c r="H110" s="3679"/>
      <c r="I110" s="4214"/>
      <c r="J110" s="4211">
        <v>0</v>
      </c>
      <c r="K110" s="3893"/>
      <c r="L110" s="3463">
        <v>0</v>
      </c>
    </row>
    <row r="111" spans="1:14" x14ac:dyDescent="0.2">
      <c r="A111" s="3373" t="s">
        <v>4011</v>
      </c>
      <c r="B111" s="406"/>
      <c r="C111" s="4492" t="s">
        <v>1077</v>
      </c>
      <c r="D111" s="4493"/>
      <c r="E111" s="4493"/>
      <c r="F111" s="4493"/>
      <c r="G111" s="4493"/>
      <c r="H111" s="407"/>
      <c r="I111" s="407"/>
      <c r="J111" s="408">
        <f>tax_charged</f>
        <v>11292.21</v>
      </c>
      <c r="L111" s="3468">
        <f>IF(tax_charged&lt;&gt;Total_tax_NIC_due,1,0)</f>
        <v>1</v>
      </c>
    </row>
    <row r="112" spans="1:14" x14ac:dyDescent="0.2">
      <c r="A112" s="3376" t="s">
        <v>2704</v>
      </c>
      <c r="B112" s="406"/>
      <c r="J112" s="404"/>
      <c r="L112" s="7">
        <v>1</v>
      </c>
    </row>
    <row r="113" spans="1:13" x14ac:dyDescent="0.2">
      <c r="A113" s="3376" t="s">
        <v>2301</v>
      </c>
      <c r="B113" s="406"/>
      <c r="C113" s="4" t="s">
        <v>1377</v>
      </c>
      <c r="D113" s="4518" t="s">
        <v>933</v>
      </c>
      <c r="E113" s="4518"/>
      <c r="F113" s="4518"/>
      <c r="G113" s="4518"/>
      <c r="J113" s="404">
        <f>deficiency_relief</f>
        <v>0</v>
      </c>
      <c r="L113" s="7">
        <f>IF(deficiency_relief&gt;0,1,0)</f>
        <v>0</v>
      </c>
    </row>
    <row r="114" spans="1:13" x14ac:dyDescent="0.2">
      <c r="A114" s="3370" t="s">
        <v>2705</v>
      </c>
      <c r="B114" s="406"/>
      <c r="C114" s="4" t="s">
        <v>1377</v>
      </c>
      <c r="D114" s="4494" t="s">
        <v>1461</v>
      </c>
      <c r="E114" s="4494"/>
      <c r="F114" s="4494"/>
      <c r="G114" s="4494"/>
      <c r="H114" s="4494"/>
      <c r="I114" s="2974"/>
      <c r="J114" s="379">
        <f>TSR</f>
        <v>0</v>
      </c>
      <c r="L114" s="7">
        <f>IF(TSR&gt;0,1,0)</f>
        <v>0</v>
      </c>
    </row>
    <row r="115" spans="1:13" x14ac:dyDescent="0.2">
      <c r="A115" s="3370" t="s">
        <v>2706</v>
      </c>
      <c r="B115" s="406"/>
      <c r="C115" s="4" t="s">
        <v>1377</v>
      </c>
      <c r="D115" s="4494" t="s">
        <v>1863</v>
      </c>
      <c r="E115" s="4494"/>
      <c r="F115" s="4494"/>
      <c r="G115" s="4494"/>
      <c r="H115" s="4494"/>
      <c r="I115" s="2974"/>
      <c r="J115" s="379">
        <f>VCT</f>
        <v>0</v>
      </c>
      <c r="L115" s="7">
        <f>IF(VCT&gt;0,1,0)</f>
        <v>0</v>
      </c>
    </row>
    <row r="116" spans="1:13" x14ac:dyDescent="0.2">
      <c r="A116" s="3370" t="s">
        <v>2707</v>
      </c>
      <c r="B116" s="406"/>
      <c r="C116" s="4" t="s">
        <v>1377</v>
      </c>
      <c r="D116" s="4494" t="s">
        <v>1864</v>
      </c>
      <c r="E116" s="4494"/>
      <c r="F116" s="4494"/>
      <c r="G116" s="4494"/>
      <c r="H116" s="4494"/>
      <c r="I116" s="88"/>
      <c r="J116" s="379">
        <f>EIS</f>
        <v>0</v>
      </c>
      <c r="K116" s="86"/>
      <c r="L116" s="7">
        <f>IF(EIS&gt;0,1,0)</f>
        <v>0</v>
      </c>
    </row>
    <row r="117" spans="1:13" x14ac:dyDescent="0.2">
      <c r="A117" s="3370" t="s">
        <v>3021</v>
      </c>
      <c r="B117" s="406"/>
      <c r="C117" s="4" t="s">
        <v>1377</v>
      </c>
      <c r="D117" s="4494" t="s">
        <v>2987</v>
      </c>
      <c r="E117" s="4494"/>
      <c r="F117" s="4494"/>
      <c r="G117" s="4494"/>
      <c r="I117" s="88"/>
      <c r="J117" s="379">
        <f>SEIS_Relief</f>
        <v>0</v>
      </c>
      <c r="K117" s="86"/>
      <c r="L117" s="7">
        <f>IF(SEIS_Relief&gt;0,1,0)</f>
        <v>0</v>
      </c>
    </row>
    <row r="118" spans="1:13" x14ac:dyDescent="0.2">
      <c r="A118" s="3370" t="s">
        <v>2708</v>
      </c>
      <c r="B118" s="406"/>
      <c r="C118" s="4" t="s">
        <v>1377</v>
      </c>
      <c r="D118" s="4494" t="s">
        <v>2988</v>
      </c>
      <c r="E118" s="4494"/>
      <c r="F118" s="4494"/>
      <c r="G118" s="2974"/>
      <c r="H118" s="37"/>
      <c r="I118" s="37"/>
      <c r="J118" s="379">
        <f>CITR</f>
        <v>0</v>
      </c>
      <c r="K118" s="37"/>
      <c r="L118" s="7">
        <f>IF(CITR&gt;0,1,0)</f>
        <v>0</v>
      </c>
    </row>
    <row r="119" spans="1:13" x14ac:dyDescent="0.2">
      <c r="A119" s="3370" t="s">
        <v>1497</v>
      </c>
      <c r="B119" s="406"/>
      <c r="C119" s="4" t="s">
        <v>1377</v>
      </c>
      <c r="D119" s="4494" t="s">
        <v>1493</v>
      </c>
      <c r="E119" s="4494"/>
      <c r="F119" s="4494"/>
      <c r="G119" s="4494"/>
      <c r="H119" s="37"/>
      <c r="I119" s="37"/>
      <c r="J119" s="379">
        <f>SITR</f>
        <v>0</v>
      </c>
      <c r="K119" s="37"/>
      <c r="L119" s="7">
        <f>IF(SITR&gt;0,1,0)</f>
        <v>0</v>
      </c>
    </row>
    <row r="120" spans="1:13" x14ac:dyDescent="0.2">
      <c r="A120" s="3370" t="s">
        <v>2709</v>
      </c>
      <c r="B120" s="406"/>
      <c r="C120" s="4" t="s">
        <v>1377</v>
      </c>
      <c r="D120" s="4494" t="s">
        <v>3136</v>
      </c>
      <c r="E120" s="4494"/>
      <c r="F120" s="4494"/>
      <c r="G120" s="4494"/>
      <c r="H120" s="2974"/>
      <c r="I120" s="88"/>
      <c r="J120" s="379">
        <f>Alimony</f>
        <v>0</v>
      </c>
      <c r="L120" s="7">
        <f>IF(Alimony&gt;0,1,0)</f>
        <v>0</v>
      </c>
    </row>
    <row r="121" spans="1:13" x14ac:dyDescent="0.2">
      <c r="A121" s="3370" t="s">
        <v>1785</v>
      </c>
      <c r="B121" s="406"/>
      <c r="C121" s="4" t="s">
        <v>1377</v>
      </c>
      <c r="D121" s="4494" t="s">
        <v>2989</v>
      </c>
      <c r="E121" s="4494"/>
      <c r="F121" s="4494"/>
      <c r="G121" s="4494"/>
      <c r="H121" s="763">
        <f>MCA_amount</f>
        <v>0</v>
      </c>
      <c r="I121" s="1209" t="s">
        <v>4582</v>
      </c>
      <c r="J121" s="379">
        <f>MCA_relief</f>
        <v>0</v>
      </c>
      <c r="L121" s="7">
        <f>IF(MCA_amount&gt;0,1,0)</f>
        <v>0</v>
      </c>
    </row>
    <row r="122" spans="1:13" x14ac:dyDescent="0.2">
      <c r="A122" s="3370" t="s">
        <v>1786</v>
      </c>
      <c r="B122" s="406"/>
      <c r="C122" s="4" t="s">
        <v>1377</v>
      </c>
      <c r="D122" s="4494" t="s">
        <v>2990</v>
      </c>
      <c r="E122" s="4494"/>
      <c r="F122" s="4494"/>
      <c r="G122" s="4494"/>
      <c r="H122" s="763">
        <f>spare_MCA_amount</f>
        <v>0</v>
      </c>
      <c r="I122" s="1209" t="s">
        <v>4582</v>
      </c>
      <c r="J122" s="379">
        <f>spare_MCA_relief</f>
        <v>0</v>
      </c>
      <c r="L122" s="7">
        <f>IF(spare_MCA_amount&gt;0,1,0)</f>
        <v>0</v>
      </c>
      <c r="M122" s="979"/>
    </row>
    <row r="123" spans="1:13" x14ac:dyDescent="0.2">
      <c r="A123" s="3370" t="s">
        <v>6120</v>
      </c>
      <c r="B123" s="406"/>
      <c r="C123" s="4" t="s">
        <v>1377</v>
      </c>
      <c r="D123" s="4494" t="s">
        <v>4226</v>
      </c>
      <c r="E123" s="4494"/>
      <c r="F123" s="4494"/>
      <c r="G123" s="4494"/>
      <c r="H123" s="763">
        <f>AllceIn_TPA</f>
        <v>0</v>
      </c>
      <c r="I123" s="1209" t="s">
        <v>4578</v>
      </c>
      <c r="J123" s="379">
        <f>AllceIn_TPA_relief</f>
        <v>0</v>
      </c>
      <c r="L123" s="7">
        <f>IF(AllceIn_TPA_relief&gt;0,1,0)</f>
        <v>0</v>
      </c>
      <c r="M123" s="979"/>
    </row>
    <row r="124" spans="1:13" x14ac:dyDescent="0.2">
      <c r="A124" s="3381" t="s">
        <v>6266</v>
      </c>
      <c r="B124" s="406"/>
      <c r="C124" s="4" t="s">
        <v>1377</v>
      </c>
      <c r="D124" s="4494" t="s">
        <v>6247</v>
      </c>
      <c r="E124" s="4494"/>
      <c r="F124" s="4494"/>
      <c r="G124" s="4494"/>
      <c r="H124" s="763">
        <f>Llir_amount</f>
        <v>0</v>
      </c>
      <c r="I124" s="1209" t="s">
        <v>4578</v>
      </c>
      <c r="J124" s="379">
        <f>Llir_relief</f>
        <v>0</v>
      </c>
      <c r="L124" s="7">
        <f>IF(AND(Llir_amount&gt;0,Llir_amount=Llir_amount_restricted),1,0)</f>
        <v>0</v>
      </c>
      <c r="M124" s="979"/>
    </row>
    <row r="125" spans="1:13" x14ac:dyDescent="0.2">
      <c r="A125" s="3382" t="s">
        <v>4011</v>
      </c>
      <c r="B125" s="406"/>
      <c r="C125" s="4" t="s">
        <v>1377</v>
      </c>
      <c r="D125" s="4494" t="str">
        <f>"Relief for finance costs "&amp;DOLLAR(Llir_amount,0)&amp;" reduced to maximum allowable "</f>
        <v xml:space="preserve">Relief for finance costs $0 reduced to maximum allowable </v>
      </c>
      <c r="E125" s="4494"/>
      <c r="F125" s="4494"/>
      <c r="G125" s="4494"/>
      <c r="H125" s="763">
        <f>Llir_amount_restricted</f>
        <v>0</v>
      </c>
      <c r="I125" s="1209" t="s">
        <v>4578</v>
      </c>
      <c r="J125" s="379">
        <f>Llir_relief</f>
        <v>0</v>
      </c>
      <c r="L125" s="7">
        <f>IF(AND(Llir_amount&gt;0,Llir_amount&gt;Llir_amount_restricted),1,0)</f>
        <v>0</v>
      </c>
      <c r="M125" s="979"/>
    </row>
    <row r="126" spans="1:13" x14ac:dyDescent="0.2">
      <c r="A126" s="3382" t="s">
        <v>6849</v>
      </c>
      <c r="B126" s="406"/>
      <c r="C126" s="4" t="s">
        <v>1377</v>
      </c>
      <c r="D126" s="4494" t="s">
        <v>6850</v>
      </c>
      <c r="E126" s="4494"/>
      <c r="F126" s="4494"/>
      <c r="G126" s="4494"/>
      <c r="H126" s="763">
        <f>LFI_amount</f>
        <v>0</v>
      </c>
      <c r="I126" s="1209" t="s">
        <v>4578</v>
      </c>
      <c r="J126" s="379">
        <f>LFI_relief</f>
        <v>0</v>
      </c>
      <c r="L126" s="7">
        <f>IF(LFI_relief&gt;0,1,0)</f>
        <v>0</v>
      </c>
    </row>
    <row r="127" spans="1:13" x14ac:dyDescent="0.2">
      <c r="A127" s="3370" t="s">
        <v>1787</v>
      </c>
      <c r="B127" s="406"/>
      <c r="C127" s="4" t="s">
        <v>1377</v>
      </c>
      <c r="D127" s="4509" t="s">
        <v>2692</v>
      </c>
      <c r="E127" s="4509"/>
      <c r="F127" s="4509"/>
      <c r="G127" s="4509"/>
      <c r="H127" s="2974"/>
      <c r="J127" s="379">
        <f>notional_CEG</f>
        <v>0</v>
      </c>
      <c r="L127" s="7">
        <f>IF(notional_CEG&gt;0,1,0)</f>
        <v>0</v>
      </c>
    </row>
    <row r="128" spans="1:13" x14ac:dyDescent="0.2">
      <c r="A128" s="3370" t="s">
        <v>1788</v>
      </c>
      <c r="B128" s="406"/>
      <c r="C128" s="4" t="s">
        <v>1377</v>
      </c>
      <c r="D128" s="4494" t="s">
        <v>1845</v>
      </c>
      <c r="E128" s="4494"/>
      <c r="F128" s="4494"/>
      <c r="G128" s="4494"/>
      <c r="H128" s="2974"/>
      <c r="J128" s="379">
        <f>notional_other</f>
        <v>0</v>
      </c>
      <c r="K128" s="979"/>
      <c r="L128" s="979">
        <f>IF(notional_other&gt;1,1,0)</f>
        <v>0</v>
      </c>
    </row>
    <row r="129" spans="1:13" x14ac:dyDescent="0.2">
      <c r="A129" s="3370" t="s">
        <v>947</v>
      </c>
      <c r="B129" s="406"/>
      <c r="C129" s="4" t="s">
        <v>1377</v>
      </c>
      <c r="D129" s="4494" t="s">
        <v>3765</v>
      </c>
      <c r="E129" s="4494"/>
      <c r="F129" s="4494"/>
      <c r="G129" s="4494"/>
      <c r="H129" s="2974"/>
      <c r="I129" s="88"/>
      <c r="J129" s="379">
        <f>FTCR</f>
        <v>0</v>
      </c>
      <c r="L129" s="7">
        <f>IF(FTCR&gt;0,1,0)</f>
        <v>0</v>
      </c>
      <c r="M129" s="2707"/>
    </row>
    <row r="130" spans="1:13" x14ac:dyDescent="0.2">
      <c r="A130" s="3464" t="s">
        <v>8769</v>
      </c>
      <c r="B130" s="1944"/>
      <c r="C130" s="3458" t="s">
        <v>2406</v>
      </c>
      <c r="D130" s="3438" t="s">
        <v>1177</v>
      </c>
      <c r="E130" s="3438"/>
      <c r="F130" s="3438"/>
      <c r="G130" s="1945"/>
      <c r="H130" s="3465"/>
      <c r="I130" s="3466"/>
      <c r="J130" s="3467">
        <f>tax_on_excluded_inc</f>
        <v>0</v>
      </c>
      <c r="L130" s="1944">
        <f>IF(tax_on_excluded_inc&gt;0,1,0)</f>
        <v>0</v>
      </c>
      <c r="M130" s="1430"/>
    </row>
    <row r="131" spans="1:13" x14ac:dyDescent="0.2">
      <c r="A131" s="4297" t="s">
        <v>8777</v>
      </c>
      <c r="B131" s="3458"/>
      <c r="C131" s="4298" t="s">
        <v>1377</v>
      </c>
      <c r="D131" s="4498" t="s">
        <v>6541</v>
      </c>
      <c r="E131" s="4498"/>
      <c r="F131" s="4498"/>
      <c r="G131" s="4498"/>
      <c r="H131" s="4498"/>
      <c r="I131" s="4299"/>
      <c r="J131" s="3467">
        <f>div_tax_credits_s399</f>
        <v>0</v>
      </c>
      <c r="K131" s="1944"/>
      <c r="L131" s="1944">
        <f>IF(div_tax_credits_s399&gt;0,1,0)</f>
        <v>0</v>
      </c>
    </row>
    <row r="132" spans="1:13" x14ac:dyDescent="0.2">
      <c r="A132" s="3370" t="s">
        <v>948</v>
      </c>
      <c r="B132" s="406"/>
      <c r="C132" s="4" t="s">
        <v>1377</v>
      </c>
      <c r="D132" s="4521" t="s">
        <v>2416</v>
      </c>
      <c r="E132" s="4521"/>
      <c r="F132" s="4521"/>
      <c r="G132" s="4521"/>
      <c r="H132" s="2979"/>
      <c r="I132" s="2187"/>
      <c r="J132" s="379">
        <f>relief_on_qual_distn</f>
        <v>0</v>
      </c>
      <c r="K132" s="979"/>
      <c r="L132" s="979">
        <f>IF(relief_on_qual_distn&gt;0,1,0)</f>
        <v>0</v>
      </c>
      <c r="M132" s="2707"/>
    </row>
    <row r="133" spans="1:13" x14ac:dyDescent="0.2">
      <c r="A133" s="4328" t="s">
        <v>831</v>
      </c>
      <c r="B133" s="3681"/>
      <c r="C133" s="4295" t="s">
        <v>2492</v>
      </c>
      <c r="D133" s="4296"/>
      <c r="E133" s="4301"/>
      <c r="F133" s="4301"/>
      <c r="G133" s="4302"/>
      <c r="H133" s="3679"/>
      <c r="I133" s="4303"/>
      <c r="J133" s="4209">
        <f>IT_after_allces</f>
        <v>11292.21</v>
      </c>
      <c r="K133" s="3463"/>
      <c r="L133" s="3463">
        <v>0</v>
      </c>
    </row>
    <row r="134" spans="1:13" x14ac:dyDescent="0.2">
      <c r="A134" s="3373" t="s">
        <v>831</v>
      </c>
      <c r="B134" s="406"/>
      <c r="C134" s="2972" t="s">
        <v>2492</v>
      </c>
      <c r="D134" s="2973"/>
      <c r="E134" s="2197"/>
      <c r="F134" s="2197"/>
      <c r="G134" s="1012"/>
      <c r="H134" s="1013"/>
      <c r="I134" s="1014"/>
      <c r="J134" s="2198">
        <f>IT_after_allces</f>
        <v>11292.21</v>
      </c>
      <c r="L134" s="1944">
        <f>IF(tax_charged&gt;IT_after_allces,1,0)</f>
        <v>0</v>
      </c>
      <c r="M134" s="2707"/>
    </row>
    <row r="135" spans="1:13" x14ac:dyDescent="0.2">
      <c r="A135" s="3372" t="s">
        <v>4011</v>
      </c>
      <c r="B135" s="406"/>
      <c r="C135" s="2972" t="s">
        <v>2492</v>
      </c>
      <c r="D135" s="2973"/>
      <c r="E135" s="2197"/>
      <c r="F135" s="2197"/>
      <c r="G135" s="1012"/>
      <c r="H135" s="1013"/>
      <c r="I135" s="1014"/>
      <c r="J135" s="2198">
        <f>IT_after_allces</f>
        <v>11292.21</v>
      </c>
      <c r="L135" s="1944">
        <f>IF(AND(tax_charged=IT_after_allces,deficiency_relief+TSR+VCT+EIS+SEIS_Relief+CITR+SITR+Alimony+MCA_relief+spare_MCA_relief+AllceIn_TPA_relief+Llir_amount+Llir_amount_restricted+LFI_relief+notional_CEG+notional_other+FTCR+tax_on_excluded_inc+div_tax_credits_s399+relief_on_qual_distn&gt;tax_charged),1,0)</f>
        <v>0</v>
      </c>
    </row>
    <row r="136" spans="1:13" x14ac:dyDescent="0.2">
      <c r="A136" s="3374" t="s">
        <v>832</v>
      </c>
      <c r="B136" s="406"/>
      <c r="C136" s="769"/>
      <c r="D136" s="769"/>
      <c r="E136" s="770"/>
      <c r="F136" s="770"/>
      <c r="G136" s="770"/>
      <c r="H136" s="771"/>
      <c r="I136" s="772"/>
      <c r="J136" s="773"/>
      <c r="L136" s="1944">
        <f>IF(OR(tax_charged&gt;IT_after_allces,deficiency_relief+TSR+VCT+EIS+SEIS_Relief+CITR+SITR+Alimony+MCA_relief+spare_MCA_relief+AllceIn_TPA_relief+Llir_amount+Llir_amount_restricted+LFI_relief+notional_CEG+notional_other+FTCR+tax_on_excluded_inc+div_tax_credits_s399+relief_on_qual_distn&gt;tax_charged),1,0)</f>
        <v>0</v>
      </c>
    </row>
    <row r="137" spans="1:13" x14ac:dyDescent="0.2">
      <c r="A137" s="3374" t="s">
        <v>833</v>
      </c>
      <c r="B137" s="406"/>
      <c r="C137" s="4520" t="s">
        <v>3846</v>
      </c>
      <c r="D137" s="4520"/>
      <c r="E137" s="4520"/>
      <c r="G137" s="3884"/>
      <c r="H137" s="763">
        <f>Gift_aid_amount</f>
        <v>625</v>
      </c>
      <c r="I137" s="87" t="s">
        <v>4578</v>
      </c>
      <c r="J137" s="379">
        <f>Gift_aid_tax_due</f>
        <v>125</v>
      </c>
      <c r="L137" s="3888">
        <f>IF(AND(IT_after_gift_aid&gt;IT_after_allces,(CGTax+non_dom_charge_amount+income_tax_gift_aid+pens_tax_due)=0),1,0)</f>
        <v>0</v>
      </c>
    </row>
    <row r="138" spans="1:13" x14ac:dyDescent="0.2">
      <c r="A138" s="3376" t="s">
        <v>4011</v>
      </c>
      <c r="B138" s="775"/>
      <c r="C138" s="4520" t="s">
        <v>3846</v>
      </c>
      <c r="D138" s="4520"/>
      <c r="E138" s="4520"/>
      <c r="F138" s="776"/>
      <c r="G138" s="763">
        <f>Gift_aid_amount</f>
        <v>625</v>
      </c>
      <c r="H138" s="87" t="s">
        <v>4578</v>
      </c>
      <c r="I138" s="379">
        <f>Gift_aid_tax_due</f>
        <v>125</v>
      </c>
      <c r="J138" s="404"/>
      <c r="L138" s="3888">
        <f>IF(AND(IT_after_gift_aid&gt;IT_after_allces,(CGTax+non_dom_charge_amount+income_tax_gift_aid+pens_tax_due)&gt;0),1,0)</f>
        <v>0</v>
      </c>
    </row>
    <row r="139" spans="1:13" x14ac:dyDescent="0.2">
      <c r="A139" s="3370" t="s">
        <v>834</v>
      </c>
      <c r="B139" s="406"/>
      <c r="D139" s="4" t="s">
        <v>1377</v>
      </c>
      <c r="E139" s="4522" t="s">
        <v>2880</v>
      </c>
      <c r="F139" s="4522"/>
      <c r="G139" s="4522"/>
      <c r="H139" s="4522"/>
      <c r="I139" s="402">
        <f>CGTax</f>
        <v>0</v>
      </c>
      <c r="J139" s="404"/>
      <c r="L139" s="1011">
        <f>IF(AND(IT_after_gift_aid&gt;IT_after_allces,CGTax&gt;0),1,0)</f>
        <v>0</v>
      </c>
    </row>
    <row r="140" spans="1:13" x14ac:dyDescent="0.2">
      <c r="A140" s="3370" t="s">
        <v>2114</v>
      </c>
      <c r="B140" s="406"/>
      <c r="D140" s="4" t="s">
        <v>1377</v>
      </c>
      <c r="E140" s="4519" t="s">
        <v>3547</v>
      </c>
      <c r="F140" s="4519"/>
      <c r="G140" s="4519"/>
      <c r="H140" s="4519"/>
      <c r="I140" s="402">
        <f>non_dom_charge_amount</f>
        <v>0</v>
      </c>
      <c r="J140" s="404"/>
      <c r="L140" s="1011">
        <f>IF(AND(IT_after_gift_aid&gt;IT_after_allces,non_dom_charge_amount&gt;0),1,0)</f>
        <v>0</v>
      </c>
    </row>
    <row r="141" spans="1:13" x14ac:dyDescent="0.2">
      <c r="A141" s="3370" t="s">
        <v>816</v>
      </c>
      <c r="B141" s="406"/>
      <c r="D141" s="4" t="s">
        <v>1377</v>
      </c>
      <c r="E141" s="4498" t="s">
        <v>3443</v>
      </c>
      <c r="F141" s="4498"/>
      <c r="G141" s="4498"/>
      <c r="H141" s="4498"/>
      <c r="I141" s="3886">
        <f>income_tax_gift_aid</f>
        <v>11292.21</v>
      </c>
      <c r="J141" s="3887"/>
      <c r="K141" s="979"/>
      <c r="L141" s="3888">
        <f>IF(AND(IT_after_gift_aid&gt;IT_after_allces,income_tax_gift_aid&gt;0),1,0)</f>
        <v>0</v>
      </c>
    </row>
    <row r="142" spans="1:13" x14ac:dyDescent="0.2">
      <c r="A142" s="3370" t="s">
        <v>6076</v>
      </c>
      <c r="B142" s="406"/>
      <c r="D142" s="4" t="s">
        <v>1377</v>
      </c>
      <c r="E142" s="4494" t="s">
        <v>6077</v>
      </c>
      <c r="F142" s="4494"/>
      <c r="G142" s="4494"/>
      <c r="I142" s="402">
        <f>pens_tax_due</f>
        <v>0</v>
      </c>
      <c r="J142" s="404"/>
      <c r="L142" s="1011">
        <f>IF(AND(IT_after_gift_aid&gt;IT_after_allces,pens_tax_due&gt;0),1,0)</f>
        <v>0</v>
      </c>
    </row>
    <row r="143" spans="1:13" x14ac:dyDescent="0.2">
      <c r="A143" s="3370" t="s">
        <v>835</v>
      </c>
      <c r="B143" s="406"/>
      <c r="C143" s="4528" t="s">
        <v>8462</v>
      </c>
      <c r="D143" s="4528"/>
      <c r="E143" s="4528"/>
      <c r="F143" s="4528"/>
      <c r="H143" s="3485"/>
      <c r="J143" s="402">
        <f>Gift_aid_tax_reduced</f>
        <v>0</v>
      </c>
      <c r="L143" s="3888">
        <f>IF(AND(IT_after_gift_aid&gt;IT_after_allces,(CGTax+non_dom_charge_amount+income_tax_gift_aid+pens_tax_due)&gt;0),1,0)</f>
        <v>0</v>
      </c>
    </row>
    <row r="144" spans="1:13" x14ac:dyDescent="0.2">
      <c r="A144" s="3370" t="s">
        <v>836</v>
      </c>
      <c r="B144" s="406"/>
      <c r="C144" s="4492" t="s">
        <v>1848</v>
      </c>
      <c r="D144" s="4493"/>
      <c r="E144" s="4493"/>
      <c r="F144" s="4493"/>
      <c r="G144" s="407"/>
      <c r="H144" s="3885"/>
      <c r="I144" s="948"/>
      <c r="J144" s="408">
        <f>IT_after_gift_aid</f>
        <v>11292.21</v>
      </c>
      <c r="L144" s="1011">
        <f>IF(IT_after_gift_aid&gt;IT_after_allces,1,0)</f>
        <v>0</v>
      </c>
    </row>
    <row r="145" spans="1:13" x14ac:dyDescent="0.2">
      <c r="A145" s="3370" t="s">
        <v>837</v>
      </c>
      <c r="B145" s="406"/>
      <c r="C145" s="2980"/>
      <c r="D145" s="2980"/>
      <c r="E145" s="2974"/>
      <c r="F145" s="86"/>
      <c r="G145" s="2974"/>
      <c r="H145" s="666"/>
      <c r="I145" s="88"/>
      <c r="J145" s="404"/>
      <c r="L145" s="1011">
        <f>IF(IT_after_gift_aid&gt;IT_after_allces,1,0)</f>
        <v>0</v>
      </c>
    </row>
    <row r="146" spans="1:13" x14ac:dyDescent="0.2">
      <c r="A146" s="3370" t="s">
        <v>838</v>
      </c>
      <c r="B146" s="406"/>
      <c r="C146" s="942" t="s">
        <v>2406</v>
      </c>
      <c r="D146" s="4494" t="s">
        <v>2745</v>
      </c>
      <c r="E146" s="4494"/>
      <c r="F146" s="4494"/>
      <c r="H146" s="763">
        <f>annuity_amount</f>
        <v>0</v>
      </c>
      <c r="I146" s="87" t="s">
        <v>4578</v>
      </c>
      <c r="J146" s="379">
        <f>annuity_tax</f>
        <v>0</v>
      </c>
      <c r="L146" s="7">
        <f>IF(annuity_amount&gt;0,1,0)</f>
        <v>0</v>
      </c>
      <c r="M146" s="1430"/>
    </row>
    <row r="147" spans="1:13" x14ac:dyDescent="0.2">
      <c r="A147" s="4212" t="s">
        <v>839</v>
      </c>
      <c r="B147" s="3681"/>
      <c r="C147" s="4213" t="s">
        <v>1377</v>
      </c>
      <c r="D147" s="4525" t="s">
        <v>6541</v>
      </c>
      <c r="E147" s="4525"/>
      <c r="F147" s="4525"/>
      <c r="G147" s="4525"/>
      <c r="H147" s="4525"/>
      <c r="I147" s="3461"/>
      <c r="J147" s="3462">
        <v>0</v>
      </c>
      <c r="K147" s="3463"/>
      <c r="L147" s="3463">
        <v>0</v>
      </c>
    </row>
    <row r="148" spans="1:13" x14ac:dyDescent="0.2">
      <c r="A148" s="3669" t="s">
        <v>8356</v>
      </c>
      <c r="B148" s="3670"/>
      <c r="C148" s="4526" t="s">
        <v>8362</v>
      </c>
      <c r="D148" s="4527"/>
      <c r="E148" s="4527"/>
      <c r="F148" s="4527"/>
      <c r="G148" s="3671"/>
      <c r="H148" s="3675" t="s">
        <v>8359</v>
      </c>
      <c r="I148" s="3671"/>
      <c r="J148" s="3672">
        <f>total_tax_NIC_nonresS23</f>
        <v>0</v>
      </c>
      <c r="L148" s="1944">
        <f>IF(box_NRD1,1,0)</f>
        <v>0</v>
      </c>
    </row>
    <row r="149" spans="1:13" x14ac:dyDescent="0.2">
      <c r="A149" s="3669" t="s">
        <v>8357</v>
      </c>
      <c r="B149" s="3458"/>
      <c r="C149" s="4526" t="s">
        <v>8363</v>
      </c>
      <c r="D149" s="4527"/>
      <c r="E149" s="4527"/>
      <c r="F149" s="4527"/>
      <c r="G149" s="3671"/>
      <c r="H149" s="3675" t="s">
        <v>8360</v>
      </c>
      <c r="I149" s="3671"/>
      <c r="J149" s="3672">
        <f>total_tax_NIC_nonresS811</f>
        <v>0</v>
      </c>
      <c r="L149" s="1944">
        <f>IF(box_NRD1,1,0)</f>
        <v>0</v>
      </c>
    </row>
    <row r="150" spans="1:13" x14ac:dyDescent="0.2">
      <c r="A150" s="3669" t="s">
        <v>8358</v>
      </c>
      <c r="B150" s="3670"/>
      <c r="C150" s="3673" t="s">
        <v>8364</v>
      </c>
      <c r="D150" s="3674"/>
      <c r="E150" s="3671"/>
      <c r="F150" s="3671"/>
      <c r="G150" s="3671"/>
      <c r="H150" s="3691" t="s">
        <v>8361</v>
      </c>
      <c r="I150" s="3671"/>
      <c r="J150" s="3672">
        <f>IT_after_div_tax_credits</f>
        <v>11292.21</v>
      </c>
      <c r="L150" s="1944">
        <f>IF(box_NRD1,1,0)</f>
        <v>0</v>
      </c>
    </row>
    <row r="151" spans="1:13" x14ac:dyDescent="0.2">
      <c r="A151" s="3676" t="s">
        <v>840</v>
      </c>
      <c r="B151" s="3681"/>
      <c r="C151" s="4523" t="s">
        <v>6539</v>
      </c>
      <c r="D151" s="4524"/>
      <c r="E151" s="4524"/>
      <c r="F151" s="4524"/>
      <c r="G151" s="4524"/>
      <c r="H151" s="4208"/>
      <c r="I151" s="4208"/>
      <c r="J151" s="4209">
        <v>0</v>
      </c>
      <c r="K151" s="3463"/>
      <c r="L151" s="3463">
        <v>0</v>
      </c>
    </row>
    <row r="152" spans="1:13" x14ac:dyDescent="0.2">
      <c r="A152" s="4123" t="s">
        <v>840</v>
      </c>
      <c r="B152" s="406"/>
      <c r="C152" s="4492" t="s">
        <v>668</v>
      </c>
      <c r="D152" s="4493"/>
      <c r="E152" s="4493"/>
      <c r="F152" s="4493"/>
      <c r="G152" s="407"/>
      <c r="H152" s="767"/>
      <c r="I152" s="767"/>
      <c r="J152" s="408">
        <f>IT_after_div_tax_credits</f>
        <v>11292.21</v>
      </c>
      <c r="K152" s="979"/>
      <c r="L152" s="3468">
        <f>IF(annuity_amount&gt;0,1,0)</f>
        <v>0</v>
      </c>
      <c r="M152" s="979"/>
    </row>
    <row r="153" spans="1:13" x14ac:dyDescent="0.2">
      <c r="A153" s="3370" t="s">
        <v>3215</v>
      </c>
      <c r="B153" s="406"/>
      <c r="C153" s="537"/>
      <c r="D153" s="537"/>
      <c r="E153" s="2979"/>
      <c r="F153" s="86"/>
      <c r="G153" s="2974"/>
      <c r="H153" s="2974"/>
      <c r="I153" s="88"/>
      <c r="J153" s="404"/>
      <c r="L153" s="7">
        <f>IF(annuity_amount&gt;0,1,0)</f>
        <v>0</v>
      </c>
    </row>
    <row r="154" spans="1:13" x14ac:dyDescent="0.2">
      <c r="A154" s="3371" t="s">
        <v>3216</v>
      </c>
      <c r="B154" s="406"/>
      <c r="C154" s="711" t="s">
        <v>2406</v>
      </c>
      <c r="D154" s="4496" t="s">
        <v>3459</v>
      </c>
      <c r="E154" s="4496"/>
      <c r="F154" s="4496"/>
      <c r="H154" s="763">
        <f>NIC_amount</f>
        <v>5558</v>
      </c>
      <c r="I154" s="812" t="s">
        <v>4583</v>
      </c>
      <c r="J154" s="379">
        <f>NIC_charge</f>
        <v>500.22</v>
      </c>
      <c r="L154" s="7">
        <f>IF(NIC_total&gt;0,IF(NIC1_amount&lt;=0,IF(AND(NIC_charge&gt;0,NIC_sup_charge=0),1,0),0),0)</f>
        <v>0</v>
      </c>
    </row>
    <row r="155" spans="1:13" x14ac:dyDescent="0.2">
      <c r="A155" s="3372" t="s">
        <v>4011</v>
      </c>
      <c r="B155" s="406"/>
      <c r="C155" s="711" t="s">
        <v>2406</v>
      </c>
      <c r="D155" s="4496" t="s">
        <v>3459</v>
      </c>
      <c r="E155" s="4496"/>
      <c r="F155" s="4496"/>
      <c r="G155" s="2974"/>
      <c r="H155" s="2974"/>
      <c r="I155" s="88"/>
      <c r="J155" s="404"/>
      <c r="L155" s="7">
        <f>IF(NIC_total&gt;0,IF(NIC1_amount&lt;=0,IF(AND(NIC_charge&gt;0,NIC_sup_charge&gt;0),1,0),0),0)</f>
        <v>0</v>
      </c>
    </row>
    <row r="156" spans="1:13" x14ac:dyDescent="0.2">
      <c r="A156" s="3370" t="s">
        <v>3217</v>
      </c>
      <c r="B156" s="406"/>
      <c r="C156" s="942"/>
      <c r="D156" s="774"/>
      <c r="F156" s="86"/>
      <c r="G156" s="763">
        <f>NIC_amount</f>
        <v>5558</v>
      </c>
      <c r="H156" s="812" t="s">
        <v>4583</v>
      </c>
      <c r="I156" s="379">
        <f>NIC_charge</f>
        <v>500.22</v>
      </c>
      <c r="J156" s="404"/>
      <c r="L156" s="7">
        <f>IF(NIC_total&gt;0,IF(NIC1_amount&lt;=0,IF(AND(NIC_charge&gt;0,NIC_sup_charge&gt;0),1,0),0),0)</f>
        <v>0</v>
      </c>
      <c r="M156" s="1430"/>
    </row>
    <row r="157" spans="1:13" x14ac:dyDescent="0.2">
      <c r="A157" s="3370" t="s">
        <v>2590</v>
      </c>
      <c r="B157" s="406"/>
      <c r="C157" s="406"/>
      <c r="D157" s="537"/>
      <c r="E157" s="2974" t="s">
        <v>1881</v>
      </c>
      <c r="F157" s="86"/>
      <c r="G157" s="763">
        <f>NIC_sup_amount</f>
        <v>0</v>
      </c>
      <c r="H157" s="812" t="s">
        <v>4584</v>
      </c>
      <c r="I157" s="379">
        <f>NIC_sup_charge</f>
        <v>0</v>
      </c>
      <c r="J157" s="404"/>
      <c r="L157" s="7">
        <f>IF(NIC_total&gt;0,IF(NIC1_amount&lt;=0,IF(AND(NIC_charge&gt;0,NIC_sup_charge&gt;0),1,0),0),0)</f>
        <v>0</v>
      </c>
    </row>
    <row r="158" spans="1:13" x14ac:dyDescent="0.2">
      <c r="A158" s="3370" t="s">
        <v>4290</v>
      </c>
      <c r="C158" s="711" t="s">
        <v>2406</v>
      </c>
      <c r="D158" s="4496" t="s">
        <v>3459</v>
      </c>
      <c r="E158" s="4496"/>
      <c r="F158" s="4496"/>
      <c r="I158" s="379">
        <f>NIC4_amount</f>
        <v>500.22</v>
      </c>
      <c r="L158" s="7">
        <f>IF(NIC_total&gt;0,IF(NIC1_amount&gt;0,1,0),0)</f>
        <v>1</v>
      </c>
    </row>
    <row r="159" spans="1:13" x14ac:dyDescent="0.2">
      <c r="A159" s="3370" t="s">
        <v>4379</v>
      </c>
      <c r="B159" s="979"/>
      <c r="C159" s="4"/>
      <c r="D159" s="4494" t="str">
        <f>"Your Class 4 has been adjusted for Class 2 due and "&amp;DOLLAR(NIC1_amount,2)&amp;" primary Class 1 contributions"</f>
        <v>Your Class 4 has been adjusted for Class 2 due and $2,954.64 primary Class 1 contributions</v>
      </c>
      <c r="E159" s="4494"/>
      <c r="F159" s="4494"/>
      <c r="G159" s="4494"/>
      <c r="H159" s="4494"/>
      <c r="I159" s="4494"/>
      <c r="J159" s="979"/>
      <c r="K159" s="979"/>
      <c r="L159" s="979">
        <f>IF(NIC4_amount&gt;0,IF(NIC1_amount&gt;0,1,0),0)</f>
        <v>1</v>
      </c>
    </row>
    <row r="160" spans="1:13" x14ac:dyDescent="0.2">
      <c r="A160" s="3370" t="s">
        <v>4380</v>
      </c>
      <c r="C160" s="711" t="s">
        <v>2406</v>
      </c>
      <c r="D160" s="4496" t="s">
        <v>4292</v>
      </c>
      <c r="E160" s="4496"/>
      <c r="F160" s="4496"/>
      <c r="I160" s="379">
        <f>NIC2_amount</f>
        <v>117</v>
      </c>
      <c r="L160" s="7">
        <f>IF(NIC_total&gt;0,IF(NIC2_amount&gt;0,1,0),0)</f>
        <v>1</v>
      </c>
    </row>
    <row r="161" spans="1:13" x14ac:dyDescent="0.2">
      <c r="A161" s="3381" t="s">
        <v>2591</v>
      </c>
      <c r="B161" s="406"/>
      <c r="C161" s="4"/>
      <c r="D161" s="4497" t="s">
        <v>6535</v>
      </c>
      <c r="E161" s="4497"/>
      <c r="F161" s="4497"/>
      <c r="G161" s="4497"/>
      <c r="H161" s="4497"/>
      <c r="J161" s="379">
        <f>NIC_total</f>
        <v>617.22</v>
      </c>
      <c r="L161" s="979">
        <f>IF(AND(NIC_total&gt;0,NIC2_amount=0),1,0)</f>
        <v>0</v>
      </c>
    </row>
    <row r="162" spans="1:13" x14ac:dyDescent="0.2">
      <c r="A162" s="3373" t="s">
        <v>4011</v>
      </c>
      <c r="B162" s="1967"/>
      <c r="C162" s="1971"/>
      <c r="D162" s="4497" t="s">
        <v>6537</v>
      </c>
      <c r="E162" s="4497"/>
      <c r="F162" s="4497"/>
      <c r="G162" s="4497"/>
      <c r="H162" s="4497"/>
      <c r="J162" s="379">
        <f>NIC_total</f>
        <v>617.22</v>
      </c>
      <c r="K162" s="1430"/>
      <c r="L162" s="979">
        <f>IF(AND(NIC_total&gt;0,NIC2_amount&gt;0,NIC2_amount&lt;NIC_total),1,0)</f>
        <v>1</v>
      </c>
    </row>
    <row r="163" spans="1:13" x14ac:dyDescent="0.2">
      <c r="A163" s="3382" t="s">
        <v>4011</v>
      </c>
      <c r="B163" s="1967"/>
      <c r="C163" s="1971"/>
      <c r="D163" s="4497" t="s">
        <v>6553</v>
      </c>
      <c r="E163" s="4497"/>
      <c r="F163" s="4497"/>
      <c r="G163" s="4497"/>
      <c r="H163" s="4497"/>
      <c r="J163" s="379">
        <f>NIC_total</f>
        <v>617.22</v>
      </c>
      <c r="K163" s="1430"/>
      <c r="L163" s="7">
        <f>IF(AND(NIC_total&gt;0,NIC2_amount&gt;0,NIC2_amount=NIC_total),1,0)</f>
        <v>0</v>
      </c>
    </row>
    <row r="164" spans="1:13" x14ac:dyDescent="0.2">
      <c r="A164" s="3370" t="s">
        <v>2592</v>
      </c>
      <c r="B164" s="406"/>
      <c r="C164" s="942"/>
      <c r="D164" s="1739"/>
      <c r="E164" s="2979"/>
      <c r="F164" s="2974"/>
      <c r="H164" s="2974"/>
      <c r="I164" s="88"/>
      <c r="J164" s="404"/>
      <c r="L164" s="7">
        <f>IF(NIC_total&gt;0,1,0)</f>
        <v>1</v>
      </c>
    </row>
    <row r="165" spans="1:13" x14ac:dyDescent="0.2">
      <c r="A165" s="3370" t="s">
        <v>37</v>
      </c>
      <c r="B165" s="406"/>
      <c r="C165" s="4" t="s">
        <v>2406</v>
      </c>
      <c r="D165" s="4498" t="str">
        <f>"Underpaid tax for earlier years in your tax code for "&amp;tax_year</f>
        <v>Underpaid tax for earlier years in your tax code for 2019-20</v>
      </c>
      <c r="E165" s="4498"/>
      <c r="F165" s="4498"/>
      <c r="G165" s="4498"/>
      <c r="H165" s="4498"/>
      <c r="I165" s="88"/>
      <c r="J165" s="379">
        <f>unpaid_tax_in_code</f>
        <v>2999</v>
      </c>
      <c r="L165" s="7">
        <f>IF(unpaid_tax_in_code&gt;0,1,0)</f>
        <v>1</v>
      </c>
    </row>
    <row r="166" spans="1:13" x14ac:dyDescent="0.2">
      <c r="A166" s="3371" t="s">
        <v>38</v>
      </c>
      <c r="B166" s="406"/>
      <c r="C166" s="4" t="s">
        <v>2406</v>
      </c>
      <c r="D166" s="4494" t="s">
        <v>5878</v>
      </c>
      <c r="E166" s="4494"/>
      <c r="F166" s="4494"/>
      <c r="G166" s="4494"/>
      <c r="H166" s="4494"/>
      <c r="I166" s="88"/>
      <c r="J166" s="379">
        <f>Student_loan</f>
        <v>0</v>
      </c>
      <c r="L166" s="7">
        <f>IF(AND(Student_loan&gt;0,SL_type=1),1,0)</f>
        <v>0</v>
      </c>
    </row>
    <row r="167" spans="1:13" x14ac:dyDescent="0.2">
      <c r="A167" s="3372" t="s">
        <v>4011</v>
      </c>
      <c r="B167" s="406"/>
      <c r="C167" s="4" t="s">
        <v>2406</v>
      </c>
      <c r="D167" s="4494" t="s">
        <v>5879</v>
      </c>
      <c r="E167" s="4494"/>
      <c r="F167" s="4494"/>
      <c r="G167" s="4494"/>
      <c r="H167" s="4494"/>
      <c r="I167" s="88"/>
      <c r="J167" s="379">
        <f>Student_loan</f>
        <v>0</v>
      </c>
      <c r="L167" s="7">
        <f>IF(AND(Student_loan&gt;0,SL_type=2),1,0)</f>
        <v>0</v>
      </c>
    </row>
    <row r="168" spans="1:13" x14ac:dyDescent="0.2">
      <c r="A168" s="3383" t="s">
        <v>7440</v>
      </c>
      <c r="B168" s="3172"/>
      <c r="C168" s="3173" t="s">
        <v>2406</v>
      </c>
      <c r="D168" s="3174" t="s">
        <v>8003</v>
      </c>
      <c r="E168" s="3174"/>
      <c r="F168" s="3174"/>
      <c r="G168" s="3174"/>
      <c r="H168" s="3174"/>
      <c r="I168" s="3175"/>
      <c r="J168" s="3176">
        <f>Post_grad_loan</f>
        <v>0</v>
      </c>
      <c r="L168" s="3177">
        <f>IF(AND(Post_grad_loan&gt;0,PGL_type=3),1,0)</f>
        <v>0</v>
      </c>
    </row>
    <row r="169" spans="1:13" x14ac:dyDescent="0.2">
      <c r="A169" s="3370" t="s">
        <v>57</v>
      </c>
      <c r="B169" s="406"/>
      <c r="C169" s="4" t="s">
        <v>2406</v>
      </c>
      <c r="D169" s="4494" t="s">
        <v>2991</v>
      </c>
      <c r="E169" s="4494"/>
      <c r="F169" s="4494"/>
      <c r="G169" s="4494"/>
      <c r="H169" s="4494"/>
      <c r="I169" s="88"/>
      <c r="J169" s="379">
        <f>Child_Benefit_tax_charge</f>
        <v>0</v>
      </c>
      <c r="L169" s="7">
        <f>IF(Child_Benefit_tax_charge&gt;0,1,0)</f>
        <v>0</v>
      </c>
    </row>
    <row r="170" spans="1:13" x14ac:dyDescent="0.2">
      <c r="A170" s="3370" t="s">
        <v>3296</v>
      </c>
      <c r="C170" s="4" t="s">
        <v>2406</v>
      </c>
      <c r="D170" s="4511" t="str">
        <f>"Total pension savings charges ("&amp;DOLLAR(Pension_charges_gross,2)&amp;" minus tax treated as paid "&amp;DOLLAR(Pension_charges_tax_paid,2)&amp;")"</f>
        <v>Total pension savings charges ($0.00 minus tax treated as paid $0.00)</v>
      </c>
      <c r="E170" s="4511"/>
      <c r="F170" s="4511"/>
      <c r="G170" s="4511"/>
      <c r="H170" s="4511"/>
      <c r="J170" s="404">
        <f>Pension_charges</f>
        <v>0</v>
      </c>
      <c r="L170" s="1944">
        <f>IF(Pension_charges_gross&gt;0,1,0)</f>
        <v>0</v>
      </c>
      <c r="M170" s="1430"/>
    </row>
    <row r="171" spans="1:13" x14ac:dyDescent="0.2">
      <c r="A171" s="3370" t="s">
        <v>565</v>
      </c>
      <c r="C171" s="4" t="s">
        <v>2406</v>
      </c>
      <c r="D171" s="4511" t="s">
        <v>2992</v>
      </c>
      <c r="E171" s="4511"/>
      <c r="F171" s="4511"/>
      <c r="G171" s="4511"/>
      <c r="H171" s="401">
        <f>Pension_lump_sum_amount</f>
        <v>0</v>
      </c>
      <c r="I171" s="405" t="str">
        <f>"x "&amp;Pension_lump_sum_rate*100&amp;"% ="</f>
        <v>x 0% =</v>
      </c>
      <c r="J171" s="404">
        <f>Pension_lump_sum_tax</f>
        <v>0</v>
      </c>
      <c r="L171" s="7">
        <f>IF(Pension_lump_sum_amount&gt;0,1,0)</f>
        <v>0</v>
      </c>
    </row>
    <row r="172" spans="1:13" x14ac:dyDescent="0.2">
      <c r="A172" s="3370" t="s">
        <v>2469</v>
      </c>
      <c r="C172" s="4" t="s">
        <v>2406</v>
      </c>
      <c r="D172" s="4511" t="s">
        <v>3547</v>
      </c>
      <c r="E172" s="4511"/>
      <c r="F172" s="4511"/>
      <c r="G172" s="4511"/>
      <c r="H172" s="401"/>
      <c r="I172" s="405"/>
      <c r="J172" s="404">
        <f>non_dom_charge_amount</f>
        <v>0</v>
      </c>
      <c r="L172" s="7">
        <f>IF(non_dom_charge_amount&gt;0,1,0)</f>
        <v>0</v>
      </c>
    </row>
    <row r="173" spans="1:13" x14ac:dyDescent="0.2">
      <c r="A173" s="3370" t="s">
        <v>5901</v>
      </c>
      <c r="C173" s="4" t="s">
        <v>2406</v>
      </c>
      <c r="D173" s="4511" t="s">
        <v>5900</v>
      </c>
      <c r="E173" s="4511"/>
      <c r="F173" s="4511"/>
      <c r="G173" s="4511"/>
      <c r="H173" s="401"/>
      <c r="I173" s="405"/>
      <c r="J173" s="404">
        <f>pens_tax_due</f>
        <v>0</v>
      </c>
      <c r="L173" s="7">
        <f>IF(pens_tax_due&gt;0,1,0)</f>
        <v>0</v>
      </c>
    </row>
    <row r="174" spans="1:13" x14ac:dyDescent="0.2">
      <c r="A174" s="3370" t="s">
        <v>5902</v>
      </c>
      <c r="C174" s="4" t="s">
        <v>1377</v>
      </c>
      <c r="D174" s="4532" t="s">
        <v>5903</v>
      </c>
      <c r="E174" s="4532"/>
      <c r="F174" s="4532"/>
      <c r="G174" s="4532"/>
      <c r="H174" s="401"/>
      <c r="I174" s="405"/>
      <c r="J174" s="404">
        <f>pens_tax_rel_due</f>
        <v>0</v>
      </c>
      <c r="L174" s="7">
        <f>IF(pens_tax_rel_due&gt;0,1,0)</f>
        <v>0</v>
      </c>
    </row>
    <row r="175" spans="1:13" x14ac:dyDescent="0.2">
      <c r="A175" s="3381" t="s">
        <v>39</v>
      </c>
      <c r="B175" s="406"/>
      <c r="C175" s="4492" t="s">
        <v>6467</v>
      </c>
      <c r="D175" s="4493"/>
      <c r="E175" s="4493"/>
      <c r="F175" s="4493"/>
      <c r="G175" s="4493"/>
      <c r="H175" s="4493"/>
      <c r="I175" s="4493"/>
      <c r="J175" s="408">
        <f>IT_plus_class4</f>
        <v>14908.429999999998</v>
      </c>
      <c r="K175" s="1430"/>
      <c r="L175" s="979">
        <f>IF(AND(NIC_total&gt;0,NIC2_amount&gt;0,NIC2_amount=NIC_total),1,0)</f>
        <v>0</v>
      </c>
    </row>
    <row r="176" spans="1:13" x14ac:dyDescent="0.2">
      <c r="A176" s="3373" t="s">
        <v>4011</v>
      </c>
      <c r="B176" s="1967"/>
      <c r="C176" s="4492" t="s">
        <v>6468</v>
      </c>
      <c r="D176" s="4493"/>
      <c r="E176" s="4493"/>
      <c r="F176" s="4493"/>
      <c r="G176" s="4493"/>
      <c r="H176" s="4493"/>
      <c r="I176" s="407"/>
      <c r="J176" s="408">
        <f>IT_plus_class4</f>
        <v>14908.429999999998</v>
      </c>
      <c r="K176" s="1430"/>
      <c r="L176" s="979">
        <f>IF(AND(NIC_total&gt;0,NIC2_amount=0),1,0)</f>
        <v>0</v>
      </c>
    </row>
    <row r="177" spans="1:13" x14ac:dyDescent="0.2">
      <c r="A177" s="3373" t="s">
        <v>4011</v>
      </c>
      <c r="B177" s="1967"/>
      <c r="C177" s="4492" t="s">
        <v>6469</v>
      </c>
      <c r="D177" s="4493"/>
      <c r="E177" s="4493"/>
      <c r="F177" s="4493"/>
      <c r="G177" s="4493"/>
      <c r="H177" s="4493"/>
      <c r="I177" s="4493"/>
      <c r="J177" s="408">
        <f>IT_plus_class4</f>
        <v>14908.429999999998</v>
      </c>
      <c r="K177" s="1430"/>
      <c r="L177" s="979">
        <f>IF(AND(NIC_total&gt;0,NIC2_amount&gt;0,NIC2_amount&lt;NIC_total),1,0)</f>
        <v>1</v>
      </c>
    </row>
    <row r="178" spans="1:13" x14ac:dyDescent="0.2">
      <c r="A178" s="3382" t="s">
        <v>4011</v>
      </c>
      <c r="B178" s="1967"/>
      <c r="C178" s="4492" t="s">
        <v>668</v>
      </c>
      <c r="D178" s="4493"/>
      <c r="E178" s="4493"/>
      <c r="F178" s="4493"/>
      <c r="G178" s="407"/>
      <c r="H178" s="407"/>
      <c r="I178" s="407"/>
      <c r="J178" s="408">
        <f>IT_plus_class4</f>
        <v>14908.429999999998</v>
      </c>
      <c r="L178" s="3178">
        <f>IF(AND(unpaid_tax_in_code+Student_loan+Post_grad_loan+Child_Benefit_tax_charge+Pension_charges_gross+Pension_lump_sum_amount+non_dom_charge_amount+pens_tax_due+pens_tax_rel_due&gt;0,NIC_total=0),1,0)</f>
        <v>0</v>
      </c>
      <c r="M178" s="1944"/>
    </row>
    <row r="179" spans="1:13" x14ac:dyDescent="0.2">
      <c r="A179" s="3370" t="s">
        <v>805</v>
      </c>
      <c r="B179" s="406"/>
      <c r="C179" s="537"/>
      <c r="D179" s="537"/>
      <c r="E179" s="2974"/>
      <c r="F179" s="2974"/>
      <c r="G179" s="2974"/>
      <c r="H179" s="2974"/>
      <c r="I179" s="88"/>
      <c r="J179" s="404"/>
      <c r="L179" s="3177">
        <f>IF(NIC_total+unpaid_tax_in_code+Student_loan+Post_grad_loan+Child_Benefit_tax_charge+Pension_charges_gross+Pension_lump_sum_amount+non_dom_charge_amount+pens_tax_due+pens_tax_rel_due&gt;0,1,0)</f>
        <v>1</v>
      </c>
      <c r="M179" s="1944"/>
    </row>
    <row r="180" spans="1:13" x14ac:dyDescent="0.2">
      <c r="A180" s="3370" t="s">
        <v>3552</v>
      </c>
      <c r="B180" s="406"/>
      <c r="C180" s="1492" t="s">
        <v>1377</v>
      </c>
      <c r="D180" s="4496" t="s">
        <v>2079</v>
      </c>
      <c r="E180" s="4496"/>
      <c r="F180" s="4496"/>
      <c r="G180" s="2974"/>
      <c r="H180" s="2974"/>
      <c r="I180" s="88"/>
      <c r="J180" s="404"/>
      <c r="L180" s="7">
        <f>IF((total_tax_paid+debt_coded)&gt;0,1,0)</f>
        <v>1</v>
      </c>
    </row>
    <row r="181" spans="1:13" x14ac:dyDescent="0.2">
      <c r="A181" s="3371" t="s">
        <v>2561</v>
      </c>
      <c r="B181" s="406"/>
      <c r="C181" s="912"/>
      <c r="D181" s="4494" t="s">
        <v>1841</v>
      </c>
      <c r="E181" s="4494"/>
      <c r="F181" s="4494"/>
      <c r="G181" s="4494"/>
      <c r="H181" s="2974"/>
      <c r="I181" s="402">
        <f>tax_paid_E</f>
        <v>2000</v>
      </c>
      <c r="J181" s="404"/>
      <c r="L181" s="7">
        <f>IF(AND(tax_paid_E&gt;0,debt_coded=0),1,0)</f>
        <v>1</v>
      </c>
    </row>
    <row r="182" spans="1:13" x14ac:dyDescent="0.2">
      <c r="A182" s="3372" t="s">
        <v>4011</v>
      </c>
      <c r="B182" s="406"/>
      <c r="C182" s="912"/>
      <c r="D182" s="4494" t="s">
        <v>1841</v>
      </c>
      <c r="E182" s="4494"/>
      <c r="F182" s="4494"/>
      <c r="G182" s="4494"/>
      <c r="H182" s="402">
        <f>tax_paid_E</f>
        <v>2000</v>
      </c>
      <c r="I182" s="88"/>
      <c r="J182" s="404"/>
      <c r="L182" s="7">
        <f>IF(debt_coded&gt;0,1,0)</f>
        <v>0</v>
      </c>
    </row>
    <row r="183" spans="1:13" x14ac:dyDescent="0.2">
      <c r="A183" s="3370" t="s">
        <v>3172</v>
      </c>
      <c r="B183" s="406"/>
      <c r="C183" s="912"/>
      <c r="D183" s="406" t="s">
        <v>1073</v>
      </c>
      <c r="E183" s="4521" t="s">
        <v>1842</v>
      </c>
      <c r="F183" s="4521"/>
      <c r="G183" s="4521"/>
      <c r="H183" s="402">
        <f>debt_collected</f>
        <v>0</v>
      </c>
      <c r="I183" s="88"/>
      <c r="J183" s="404"/>
      <c r="L183" s="7">
        <f>IF(debt_coded&gt;0,1,0)</f>
        <v>0</v>
      </c>
    </row>
    <row r="184" spans="1:13" x14ac:dyDescent="0.2">
      <c r="A184" s="3370" t="s">
        <v>1843</v>
      </c>
      <c r="B184" s="406"/>
      <c r="C184" s="912"/>
      <c r="D184" s="4494" t="s">
        <v>1844</v>
      </c>
      <c r="E184" s="4494"/>
      <c r="F184" s="4494"/>
      <c r="G184" s="2974"/>
      <c r="H184" s="2974"/>
      <c r="I184" s="402">
        <f>SA_E_tax</f>
        <v>2000</v>
      </c>
      <c r="J184" s="404"/>
      <c r="L184" s="7">
        <f>IF(debt_coded&gt;0,1,0)</f>
        <v>0</v>
      </c>
    </row>
    <row r="185" spans="1:13" x14ac:dyDescent="0.2">
      <c r="A185" s="3370" t="s">
        <v>3260</v>
      </c>
      <c r="B185" s="406"/>
      <c r="D185" s="4521" t="s">
        <v>4947</v>
      </c>
      <c r="E185" s="4521"/>
      <c r="F185" s="4521"/>
      <c r="G185" s="4521"/>
      <c r="H185" s="2974"/>
      <c r="I185" s="402">
        <f>tax_paid_D</f>
        <v>0</v>
      </c>
      <c r="J185" s="404"/>
      <c r="L185" s="7">
        <f>IF(tax_paid_D&gt;0,1,0)</f>
        <v>0</v>
      </c>
    </row>
    <row r="186" spans="1:13" x14ac:dyDescent="0.2">
      <c r="A186" s="3370" t="s">
        <v>2327</v>
      </c>
      <c r="B186" s="406"/>
      <c r="D186" s="4494" t="s">
        <v>3901</v>
      </c>
      <c r="E186" s="4494"/>
      <c r="F186" s="4494"/>
      <c r="G186" s="4494"/>
      <c r="H186" s="2974"/>
      <c r="I186" s="402">
        <f>tax_paid_D_PTR</f>
        <v>0</v>
      </c>
      <c r="J186" s="404"/>
      <c r="L186" s="7">
        <f>IF(tax_paid_D_PTR&gt;0,1,0)</f>
        <v>0</v>
      </c>
    </row>
    <row r="187" spans="1:13" x14ac:dyDescent="0.2">
      <c r="A187" s="3370" t="s">
        <v>3329</v>
      </c>
      <c r="B187" s="406"/>
      <c r="D187" s="4494" t="s">
        <v>2717</v>
      </c>
      <c r="E187" s="4494"/>
      <c r="F187" s="4494"/>
      <c r="G187" s="4494"/>
      <c r="H187" s="2974"/>
      <c r="I187" s="402">
        <f>tax_paid_IFP</f>
        <v>0</v>
      </c>
      <c r="J187" s="404"/>
      <c r="L187" s="7">
        <f>IF(tax_paid_IFP&gt;0,1,0)</f>
        <v>0</v>
      </c>
    </row>
    <row r="188" spans="1:13" x14ac:dyDescent="0.2">
      <c r="A188" s="3370" t="s">
        <v>3332</v>
      </c>
      <c r="B188" s="406"/>
      <c r="D188" s="4494" t="s">
        <v>1370</v>
      </c>
      <c r="E188" s="4494"/>
      <c r="F188" s="4494"/>
      <c r="G188" s="4494"/>
      <c r="H188" s="2974"/>
      <c r="I188" s="402">
        <f>tax_paid_Foreign</f>
        <v>0</v>
      </c>
      <c r="J188" s="404"/>
      <c r="L188" s="7">
        <f>IF(tax_paid_Foreign&gt;0,1,0)</f>
        <v>0</v>
      </c>
    </row>
    <row r="189" spans="1:13" x14ac:dyDescent="0.2">
      <c r="A189" s="3370" t="s">
        <v>692</v>
      </c>
      <c r="B189" s="406"/>
      <c r="D189" s="4494" t="s">
        <v>656</v>
      </c>
      <c r="E189" s="4494"/>
      <c r="F189" s="4494"/>
      <c r="G189" s="4494"/>
      <c r="H189" s="2974"/>
      <c r="I189" s="402">
        <f>tax_paid_Trust</f>
        <v>0</v>
      </c>
      <c r="J189" s="404"/>
      <c r="L189" s="7">
        <f>IF(tax_paid_Trust&gt;0,1,0)</f>
        <v>0</v>
      </c>
    </row>
    <row r="190" spans="1:13" x14ac:dyDescent="0.2">
      <c r="A190" s="3370" t="s">
        <v>1792</v>
      </c>
      <c r="B190" s="406"/>
      <c r="D190" s="4494" t="s">
        <v>2718</v>
      </c>
      <c r="E190" s="4494"/>
      <c r="F190" s="4494"/>
      <c r="G190" s="4494"/>
      <c r="H190" s="2974"/>
      <c r="I190" s="402">
        <f>tax_paid_Overseas</f>
        <v>0</v>
      </c>
      <c r="J190" s="404"/>
      <c r="L190" s="7">
        <f>IF(tax_paid_Overseas&gt;0,1,0)</f>
        <v>0</v>
      </c>
    </row>
    <row r="191" spans="1:13" x14ac:dyDescent="0.2">
      <c r="A191" s="3370" t="s">
        <v>2839</v>
      </c>
      <c r="B191" s="406"/>
      <c r="D191" s="4521" t="s">
        <v>3551</v>
      </c>
      <c r="E191" s="4521"/>
      <c r="F191" s="4521"/>
      <c r="G191" s="4521"/>
      <c r="H191" s="4521"/>
      <c r="I191" s="402">
        <f>tax_paid_Case3</f>
        <v>0</v>
      </c>
      <c r="J191" s="404"/>
      <c r="L191" s="7">
        <f>IF(tax_paid_Case3&gt;0,1,0)</f>
        <v>0</v>
      </c>
    </row>
    <row r="192" spans="1:13" x14ac:dyDescent="0.2">
      <c r="A192" s="3370" t="s">
        <v>2842</v>
      </c>
      <c r="B192" s="406"/>
      <c r="D192" s="4494" t="s">
        <v>843</v>
      </c>
      <c r="E192" s="4494"/>
      <c r="F192" s="4494"/>
      <c r="G192" s="4494"/>
      <c r="H192" s="2974"/>
      <c r="I192" s="402">
        <f>tax_paid_CEG</f>
        <v>0</v>
      </c>
      <c r="J192" s="404"/>
      <c r="L192" s="7">
        <f>IF(tax_paid_CEG&gt;0,1,0)</f>
        <v>0</v>
      </c>
    </row>
    <row r="193" spans="1:13" x14ac:dyDescent="0.2">
      <c r="A193" s="3370" t="s">
        <v>1512</v>
      </c>
      <c r="B193" s="406"/>
      <c r="D193" s="4494" t="s">
        <v>2776</v>
      </c>
      <c r="E193" s="4494"/>
      <c r="F193" s="4494"/>
      <c r="G193" s="4494"/>
      <c r="H193" s="2974"/>
      <c r="I193" s="402">
        <f>tax_paid_Other</f>
        <v>0</v>
      </c>
      <c r="J193" s="404"/>
      <c r="L193" s="7">
        <f>IF(tax_paid_Other&gt;0,1,0)</f>
        <v>0</v>
      </c>
    </row>
    <row r="194" spans="1:13" x14ac:dyDescent="0.2">
      <c r="A194" s="3370" t="s">
        <v>1515</v>
      </c>
      <c r="B194" s="406"/>
      <c r="C194" s="766"/>
      <c r="D194" s="4498" t="str">
        <f>"Underpaid tax for "&amp;tax_year&amp;" included in your tax code for "&amp;next_year</f>
        <v>Underpaid tax for 2019-20 included in your tax code for 2020-21</v>
      </c>
      <c r="E194" s="4498"/>
      <c r="F194" s="4498"/>
      <c r="G194" s="4498"/>
      <c r="H194" s="4498"/>
      <c r="I194" s="402">
        <f>coded_in_later_year</f>
        <v>0</v>
      </c>
      <c r="L194" s="7">
        <f>IF(coded_in_later_year&gt;0,1,0)</f>
        <v>0</v>
      </c>
    </row>
    <row r="195" spans="1:13" x14ac:dyDescent="0.2">
      <c r="A195" s="3370" t="s">
        <v>2493</v>
      </c>
      <c r="B195" s="406"/>
      <c r="C195" s="2982"/>
      <c r="D195" s="4495" t="s">
        <v>2080</v>
      </c>
      <c r="E195" s="4495"/>
      <c r="F195" s="4495"/>
      <c r="G195" s="2974"/>
      <c r="H195" s="2974"/>
      <c r="J195" s="402">
        <f>total_tax_paid</f>
        <v>2000</v>
      </c>
      <c r="K195" s="2982"/>
      <c r="L195" s="979">
        <f>IF((total_tax_paid+debt_coded)&gt;0,1,0)</f>
        <v>1</v>
      </c>
      <c r="M195" s="1430"/>
    </row>
    <row r="196" spans="1:13" x14ac:dyDescent="0.2">
      <c r="A196" s="3370" t="s">
        <v>1530</v>
      </c>
      <c r="B196" s="406"/>
      <c r="C196" s="537"/>
      <c r="D196" s="537"/>
      <c r="E196" s="2974"/>
      <c r="F196" s="2974"/>
      <c r="G196" s="2974"/>
      <c r="H196" s="2974"/>
      <c r="I196" s="88"/>
      <c r="J196" s="404"/>
      <c r="L196" s="7">
        <f>IF((total_tax_paid+debt_collected)&gt;0,1,0)</f>
        <v>1</v>
      </c>
      <c r="M196" s="1430"/>
    </row>
    <row r="197" spans="1:13" x14ac:dyDescent="0.2">
      <c r="A197" s="3676" t="s">
        <v>6460</v>
      </c>
      <c r="B197" s="3677"/>
      <c r="C197" s="4516" t="s">
        <v>6465</v>
      </c>
      <c r="D197" s="4517"/>
      <c r="E197" s="4517"/>
      <c r="F197" s="4517"/>
      <c r="G197" s="3678"/>
      <c r="H197" s="3679" t="s">
        <v>4394</v>
      </c>
      <c r="I197" s="3678"/>
      <c r="J197" s="3680">
        <v>0</v>
      </c>
      <c r="K197" s="3893"/>
      <c r="L197" s="3463">
        <v>0</v>
      </c>
      <c r="M197" s="1430"/>
    </row>
    <row r="198" spans="1:13" x14ac:dyDescent="0.2">
      <c r="A198" s="3676" t="s">
        <v>6461</v>
      </c>
      <c r="B198" s="3681"/>
      <c r="C198" s="4516" t="s">
        <v>6466</v>
      </c>
      <c r="D198" s="4517"/>
      <c r="E198" s="4517"/>
      <c r="F198" s="4517"/>
      <c r="G198" s="3678"/>
      <c r="H198" s="3679" t="s">
        <v>3847</v>
      </c>
      <c r="I198" s="3678"/>
      <c r="J198" s="3680">
        <v>0</v>
      </c>
      <c r="K198" s="3893"/>
      <c r="L198" s="3463">
        <v>0</v>
      </c>
      <c r="M198" s="979"/>
    </row>
    <row r="199" spans="1:13" x14ac:dyDescent="0.2">
      <c r="A199" s="3676" t="s">
        <v>6462</v>
      </c>
      <c r="B199" s="3677"/>
      <c r="C199" s="3682"/>
      <c r="D199" s="3683"/>
      <c r="E199" s="3678"/>
      <c r="F199" s="3678"/>
      <c r="G199" s="3678"/>
      <c r="H199" s="3684" t="s">
        <v>6477</v>
      </c>
      <c r="I199" s="3678"/>
      <c r="J199" s="3680">
        <v>0</v>
      </c>
      <c r="K199" s="3893"/>
      <c r="L199" s="3463">
        <v>0</v>
      </c>
    </row>
    <row r="200" spans="1:13" x14ac:dyDescent="0.2">
      <c r="A200" s="3374" t="s">
        <v>3586</v>
      </c>
      <c r="B200" s="406"/>
      <c r="C200" s="4492" t="s">
        <v>3011</v>
      </c>
      <c r="D200" s="4493"/>
      <c r="E200" s="4493"/>
      <c r="F200" s="4493"/>
      <c r="G200" s="951"/>
      <c r="H200" s="951"/>
      <c r="I200" s="407"/>
      <c r="J200" s="949">
        <f>Total_IT_class4_due</f>
        <v>12908.429999999998</v>
      </c>
      <c r="L200" s="7">
        <f>IF(AND(total_tax_paid+debt_coded&gt;0,total_tax_paid&gt;IT_plus_class4),1,0)</f>
        <v>0</v>
      </c>
    </row>
    <row r="201" spans="1:13" x14ac:dyDescent="0.2">
      <c r="A201" s="3373" t="s">
        <v>4011</v>
      </c>
      <c r="B201" s="406"/>
      <c r="C201" s="4492" t="s">
        <v>6467</v>
      </c>
      <c r="D201" s="4493"/>
      <c r="E201" s="4493"/>
      <c r="F201" s="4493"/>
      <c r="G201" s="4493"/>
      <c r="H201" s="4493"/>
      <c r="I201" s="2058"/>
      <c r="J201" s="2059">
        <f>Total_IT_class4_due</f>
        <v>12908.429999999998</v>
      </c>
      <c r="K201" s="979"/>
      <c r="L201" s="979">
        <f>IF(AND(total_tax_paid+debt_coded&gt;0,IT_plus_class4&gt;=total_tax_paid,NIC_total&gt;0,NIC2_amount&gt;0,NIC2_amount=NIC_total),1,0)</f>
        <v>0</v>
      </c>
    </row>
    <row r="202" spans="1:13" x14ac:dyDescent="0.2">
      <c r="A202" s="3373" t="s">
        <v>4011</v>
      </c>
      <c r="B202" s="406"/>
      <c r="C202" s="4492" t="s">
        <v>6468</v>
      </c>
      <c r="D202" s="4493"/>
      <c r="E202" s="4493"/>
      <c r="F202" s="4493"/>
      <c r="G202" s="4493"/>
      <c r="H202" s="2058"/>
      <c r="I202" s="2058"/>
      <c r="J202" s="2059">
        <f>Total_IT_class4_due</f>
        <v>12908.429999999998</v>
      </c>
      <c r="K202" s="979"/>
      <c r="L202" s="979">
        <f>IF(AND(total_tax_paid+debt_coded&gt;0,IT_plus_class4&gt;=total_tax_paid,NIC_total&gt;0,NIC2_amount=0),1,0)</f>
        <v>0</v>
      </c>
    </row>
    <row r="203" spans="1:13" x14ac:dyDescent="0.2">
      <c r="A203" s="3373" t="s">
        <v>4011</v>
      </c>
      <c r="B203" s="406"/>
      <c r="C203" s="4492" t="s">
        <v>6469</v>
      </c>
      <c r="D203" s="4493"/>
      <c r="E203" s="4493"/>
      <c r="F203" s="4493"/>
      <c r="G203" s="4493"/>
      <c r="H203" s="4493"/>
      <c r="I203" s="2058"/>
      <c r="J203" s="2059">
        <f>Total_IT_class4_due</f>
        <v>12908.429999999998</v>
      </c>
      <c r="K203" s="979"/>
      <c r="L203" s="979">
        <f>IF(AND(total_tax_paid+debt_coded&gt;0,IT_plus_class4&gt;=total_tax_paid,NIC_total&gt;0,NIC2_amount&gt;0,NIC2_amount&lt;NIC_total),1,0)</f>
        <v>1</v>
      </c>
    </row>
    <row r="204" spans="1:13" x14ac:dyDescent="0.2">
      <c r="A204" s="3382" t="s">
        <v>4011</v>
      </c>
      <c r="B204" s="406"/>
      <c r="C204" s="4492" t="s">
        <v>6552</v>
      </c>
      <c r="D204" s="4493"/>
      <c r="E204" s="4493"/>
      <c r="F204" s="4493"/>
      <c r="G204" s="407"/>
      <c r="H204" s="768"/>
      <c r="I204" s="768"/>
      <c r="J204" s="949">
        <f>Total_IT_class4_due</f>
        <v>12908.429999999998</v>
      </c>
      <c r="K204" s="979"/>
      <c r="L204" s="979">
        <f>IF(AND(total_tax_paid+debt_coded&gt;0,IT_plus_class4&gt;=total_tax_paid,NIC_total=0),1,0)</f>
        <v>0</v>
      </c>
    </row>
    <row r="205" spans="1:13" x14ac:dyDescent="0.2">
      <c r="A205" s="3370" t="s">
        <v>3012</v>
      </c>
      <c r="B205" s="406"/>
      <c r="J205" s="404"/>
      <c r="L205" s="1944">
        <f>IF(OR(Taxable_CG&gt;0,tax_on_gains_already_charged&gt;0),1,0)</f>
        <v>0</v>
      </c>
    </row>
    <row r="206" spans="1:13" x14ac:dyDescent="0.2">
      <c r="A206" s="3370" t="s">
        <v>3013</v>
      </c>
      <c r="B206" s="406"/>
      <c r="C206" s="2980" t="s">
        <v>2719</v>
      </c>
      <c r="D206" s="4533" t="s">
        <v>2880</v>
      </c>
      <c r="E206" s="4533"/>
      <c r="F206" s="4533"/>
      <c r="G206" s="2974"/>
      <c r="H206" s="2974"/>
      <c r="I206" s="88"/>
      <c r="J206" s="404"/>
      <c r="L206" s="1944">
        <f>IF(OR(Taxable_CG&gt;0,tax_on_gains_already_charged&gt;0),1,0)</f>
        <v>0</v>
      </c>
    </row>
    <row r="207" spans="1:13" x14ac:dyDescent="0.2">
      <c r="A207" s="3370" t="s">
        <v>5367</v>
      </c>
      <c r="B207" s="406"/>
      <c r="D207" s="4509" t="s">
        <v>2993</v>
      </c>
      <c r="E207" s="4509"/>
      <c r="F207" s="4509"/>
      <c r="G207" s="765">
        <f>Taxable_CG</f>
        <v>0</v>
      </c>
      <c r="H207" s="87"/>
      <c r="I207" s="824"/>
      <c r="J207" s="404"/>
      <c r="L207" s="1944">
        <f>IF(OR(Taxable_CG&gt;0,tax_on_gains_already_charged&gt;0),1,0)</f>
        <v>0</v>
      </c>
    </row>
    <row r="208" spans="1:13" x14ac:dyDescent="0.2">
      <c r="A208" s="3370" t="s">
        <v>3589</v>
      </c>
      <c r="B208" s="406"/>
      <c r="D208" s="4531" t="s">
        <v>8160</v>
      </c>
      <c r="E208" s="4531"/>
      <c r="F208" s="4531"/>
      <c r="G208" s="765">
        <f>CG_at_ER_rate</f>
        <v>0</v>
      </c>
      <c r="H208" s="1209" t="str">
        <f>"x "&amp;ER_CGT_rate*100&amp;"%"</f>
        <v>x 10%</v>
      </c>
      <c r="I208" s="824">
        <f>ER_rate_CGT</f>
        <v>0</v>
      </c>
      <c r="J208" s="404"/>
      <c r="L208" s="7">
        <f>IF(CG_at_ER_rate&gt;0,1,0)</f>
        <v>0</v>
      </c>
      <c r="M208" s="1049"/>
    </row>
    <row r="209" spans="1:13" x14ac:dyDescent="0.2">
      <c r="A209" s="3370" t="s">
        <v>2298</v>
      </c>
      <c r="B209" s="406"/>
      <c r="D209" s="4509" t="s">
        <v>7656</v>
      </c>
      <c r="E209" s="4509"/>
      <c r="F209" s="4509"/>
      <c r="G209" s="765">
        <f>CG_at_lower_rate_RP_CI</f>
        <v>0</v>
      </c>
      <c r="H209" s="1209" t="str">
        <f>"x "&amp;Lower_CGT_rate_RP_CI*100&amp;"%"</f>
        <v>x 18%</v>
      </c>
      <c r="I209" s="824">
        <f>Lower_rate_CGT_RP_CI</f>
        <v>0</v>
      </c>
      <c r="J209" s="404"/>
      <c r="L209" s="979">
        <f>IF(CG_at_lower_rate_RP_CI&gt;0,1,0)</f>
        <v>0</v>
      </c>
      <c r="M209" s="979"/>
    </row>
    <row r="210" spans="1:13" x14ac:dyDescent="0.2">
      <c r="A210" s="3370" t="s">
        <v>5368</v>
      </c>
      <c r="D210" s="4509" t="s">
        <v>7657</v>
      </c>
      <c r="E210" s="4509"/>
      <c r="F210" s="4509"/>
      <c r="G210" s="401">
        <f>CG_at_higher_rate_RP_CI</f>
        <v>0</v>
      </c>
      <c r="H210" s="1209" t="str">
        <f>"x "&amp;Upper_CGT_rate_RP_CI*100&amp;"%"</f>
        <v>x 28%</v>
      </c>
      <c r="I210" s="824">
        <f>Higher_rate_CGT_RP_CI</f>
        <v>0</v>
      </c>
      <c r="L210" s="979">
        <f>IF(CG_at_higher_rate_RP_CI&gt;0,1,0)</f>
        <v>0</v>
      </c>
      <c r="M210" s="979"/>
    </row>
    <row r="211" spans="1:13" x14ac:dyDescent="0.2">
      <c r="A211" s="3370" t="s">
        <v>2303</v>
      </c>
      <c r="B211" s="406"/>
      <c r="D211" s="4509" t="s">
        <v>5825</v>
      </c>
      <c r="E211" s="4509"/>
      <c r="F211" s="4509"/>
      <c r="G211" s="765">
        <f>CG_at_lower_rate</f>
        <v>0</v>
      </c>
      <c r="H211" s="1209" t="str">
        <f>"x "&amp;Lower_CGT_rate*100&amp;"%"</f>
        <v>x 10%</v>
      </c>
      <c r="I211" s="824">
        <f>Lower_rate_CGT</f>
        <v>0</v>
      </c>
      <c r="J211" s="404"/>
      <c r="L211" s="7">
        <f>IF(CG_at_lower_rate&gt;0,1,0)</f>
        <v>0</v>
      </c>
    </row>
    <row r="212" spans="1:13" x14ac:dyDescent="0.2">
      <c r="A212" s="3370" t="s">
        <v>5369</v>
      </c>
      <c r="D212" s="4509" t="s">
        <v>606</v>
      </c>
      <c r="E212" s="4509"/>
      <c r="F212" s="4509"/>
      <c r="G212" s="401">
        <f>CG_at_higher_rate</f>
        <v>0</v>
      </c>
      <c r="H212" s="1209" t="str">
        <f>"x "&amp;Upper_CGT_rate*100&amp;"%"</f>
        <v>x 20%</v>
      </c>
      <c r="I212" s="824">
        <f>Higher_rate_CGT</f>
        <v>0</v>
      </c>
      <c r="L212" s="7">
        <f>IF(CG_at_higher_rate&gt;0,1,0)</f>
        <v>0</v>
      </c>
    </row>
    <row r="213" spans="1:13" x14ac:dyDescent="0.2">
      <c r="A213" s="3370" t="s">
        <v>1424</v>
      </c>
      <c r="D213" s="4509" t="s">
        <v>2022</v>
      </c>
      <c r="E213" s="4509"/>
      <c r="F213" s="4509"/>
      <c r="I213" s="404">
        <f>CGT_adjustment</f>
        <v>0</v>
      </c>
      <c r="L213" s="7">
        <f>IF(CGT_adjustment&lt;&gt;0,1,0)</f>
        <v>0</v>
      </c>
    </row>
    <row r="214" spans="1:13" x14ac:dyDescent="0.2">
      <c r="A214" s="3370" t="s">
        <v>2610</v>
      </c>
      <c r="I214" s="825">
        <f>Total_CGT_tax</f>
        <v>0</v>
      </c>
      <c r="L214" s="7">
        <f>IF(Total_CGT_tax&gt;0,1,0)</f>
        <v>0</v>
      </c>
    </row>
    <row r="215" spans="1:13" x14ac:dyDescent="0.2">
      <c r="A215" s="3376" t="s">
        <v>1647</v>
      </c>
      <c r="B215" s="406"/>
      <c r="D215" s="4" t="s">
        <v>1377</v>
      </c>
      <c r="E215" s="4494" t="s">
        <v>6040</v>
      </c>
      <c r="F215" s="4494"/>
      <c r="G215" s="4494"/>
      <c r="H215" s="827"/>
      <c r="I215" s="402">
        <f>CG_FTCR</f>
        <v>0</v>
      </c>
      <c r="J215" s="404"/>
      <c r="L215" s="7">
        <f>IF(CG_FTCR&gt;0,IF(Total_CGT_tax+CG_trust_tax&gt;0,1,0),0)</f>
        <v>0</v>
      </c>
      <c r="M215" s="1430"/>
    </row>
    <row r="216" spans="1:13" x14ac:dyDescent="0.2">
      <c r="A216" s="3370" t="s">
        <v>3346</v>
      </c>
      <c r="B216" s="406"/>
      <c r="D216" s="4" t="s">
        <v>2406</v>
      </c>
      <c r="E216" s="4494" t="s">
        <v>2720</v>
      </c>
      <c r="F216" s="4494"/>
      <c r="H216" s="827"/>
      <c r="I216" s="402">
        <f>CG_trust_tax</f>
        <v>0</v>
      </c>
      <c r="J216" s="404"/>
      <c r="L216" s="7">
        <f>IF(CG_trust_tax&gt;0,1,0)</f>
        <v>0</v>
      </c>
    </row>
    <row r="217" spans="1:13" x14ac:dyDescent="0.2">
      <c r="A217" s="3370" t="s">
        <v>3349</v>
      </c>
      <c r="B217" s="406"/>
      <c r="D217" s="4" t="s">
        <v>1377</v>
      </c>
      <c r="E217" s="4529" t="s">
        <v>7591</v>
      </c>
      <c r="F217" s="4529"/>
      <c r="G217" s="4529"/>
      <c r="H217" s="827"/>
      <c r="I217" s="404">
        <f>tax_on_gains_already_charged</f>
        <v>0</v>
      </c>
      <c r="J217" s="404"/>
      <c r="L217" s="7">
        <f>IF(tax_on_gains_already_charged&gt;0,1,0)</f>
        <v>0</v>
      </c>
    </row>
    <row r="218" spans="1:13" x14ac:dyDescent="0.2">
      <c r="A218" s="3370" t="s">
        <v>4445</v>
      </c>
      <c r="B218" s="406"/>
      <c r="D218" s="4496" t="s">
        <v>1078</v>
      </c>
      <c r="E218" s="4496"/>
      <c r="F218" s="4496"/>
      <c r="G218" s="2974"/>
      <c r="H218" s="2974"/>
      <c r="I218" s="825"/>
      <c r="J218" s="402">
        <f>total_CG_due</f>
        <v>0</v>
      </c>
      <c r="L218" s="1944">
        <f>IF(OR(Taxable_CG&gt;0,tax_on_gains_already_charged&gt;0),1,0)</f>
        <v>0</v>
      </c>
    </row>
    <row r="219" spans="1:13" x14ac:dyDescent="0.2">
      <c r="A219" s="3374" t="s">
        <v>5374</v>
      </c>
      <c r="B219" s="406"/>
      <c r="D219" s="2976"/>
      <c r="G219" s="2974"/>
      <c r="H219" s="2974"/>
      <c r="J219" s="402"/>
      <c r="L219" s="1944">
        <f>IF(OR(Taxable_CG&gt;0,tax_on_gains_already_charged&gt;0),1,0)</f>
        <v>0</v>
      </c>
    </row>
    <row r="220" spans="1:13" x14ac:dyDescent="0.2">
      <c r="A220" s="3374" t="s">
        <v>3352</v>
      </c>
      <c r="B220" s="406"/>
      <c r="C220" s="4492" t="s">
        <v>3011</v>
      </c>
      <c r="D220" s="4493"/>
      <c r="E220" s="4493"/>
      <c r="F220" s="951"/>
      <c r="G220" s="951"/>
      <c r="H220" s="951"/>
      <c r="I220" s="407"/>
      <c r="J220" s="949">
        <f>Total_IT_CG_class4_due</f>
        <v>12908.429999999998</v>
      </c>
      <c r="L220" s="1944">
        <f>IF(AND(OR(Taxable_CG&gt;0,tax_on_gains_already_charged&gt;0),total_tax_paid&gt;IT_plus_class4+total_CG_due),1,0)</f>
        <v>0</v>
      </c>
    </row>
    <row r="221" spans="1:13" x14ac:dyDescent="0.2">
      <c r="A221" s="3373" t="s">
        <v>4011</v>
      </c>
      <c r="B221" s="1967"/>
      <c r="C221" s="4492" t="s">
        <v>6554</v>
      </c>
      <c r="D221" s="4493"/>
      <c r="E221" s="4493"/>
      <c r="F221" s="4493"/>
      <c r="G221" s="4493"/>
      <c r="H221" s="4493"/>
      <c r="I221" s="4493"/>
      <c r="J221" s="949">
        <f>Total_IT_CG_class4_due</f>
        <v>12908.429999999998</v>
      </c>
      <c r="K221" s="979"/>
      <c r="L221" s="3468">
        <f>IF(AND(OR(Taxable_CG&gt;0,tax_on_gains_already_charged&gt;0),IT_plus_class4+total_CG_due&gt;=total_tax_paid,NIC_total&gt;0,NIC2_amount=0),1,0)</f>
        <v>0</v>
      </c>
    </row>
    <row r="222" spans="1:13" x14ac:dyDescent="0.2">
      <c r="A222" s="3373" t="s">
        <v>4011</v>
      </c>
      <c r="B222" s="1967"/>
      <c r="C222" s="4492" t="s">
        <v>6540</v>
      </c>
      <c r="D222" s="4493"/>
      <c r="E222" s="4493"/>
      <c r="F222" s="4493"/>
      <c r="G222" s="4493"/>
      <c r="H222" s="4493"/>
      <c r="I222" s="4493"/>
      <c r="J222" s="949">
        <f>Total_IT_CG_class4_due</f>
        <v>12908.429999999998</v>
      </c>
      <c r="K222" s="979"/>
      <c r="L222" s="3468">
        <f>IF(AND(OR(Taxable_CG&gt;0,tax_on_gains_already_charged&gt;0),IT_plus_class4+total_CG_due&gt;=total_tax_paid,NIC_total&gt;0,NIC2_amount&gt;0,NIC2_amount&lt;NIC_total),1,0)</f>
        <v>0</v>
      </c>
    </row>
    <row r="223" spans="1:13" x14ac:dyDescent="0.2">
      <c r="A223" s="3373" t="s">
        <v>4011</v>
      </c>
      <c r="B223" s="1967"/>
      <c r="C223" s="4492" t="s">
        <v>6538</v>
      </c>
      <c r="D223" s="4493"/>
      <c r="E223" s="4493"/>
      <c r="F223" s="4493"/>
      <c r="G223" s="4493"/>
      <c r="H223" s="4493"/>
      <c r="I223" s="4493"/>
      <c r="J223" s="949">
        <f>Total_IT_CG_class4_due</f>
        <v>12908.429999999998</v>
      </c>
      <c r="K223" s="979"/>
      <c r="L223" s="3468">
        <f>IF(AND(OR(Taxable_CG&gt;0,tax_on_gains_already_charged&gt;0),IT_plus_class4+total_CG_due&gt;=total_tax_paid,NIC_total&gt;0,NIC2_amount&gt;0,NIC2_amount=NIC_total),1,0)</f>
        <v>0</v>
      </c>
    </row>
    <row r="224" spans="1:13" x14ac:dyDescent="0.2">
      <c r="A224" s="3382" t="s">
        <v>4011</v>
      </c>
      <c r="B224" s="406"/>
      <c r="C224" s="4492" t="s">
        <v>6536</v>
      </c>
      <c r="D224" s="4493"/>
      <c r="E224" s="4493"/>
      <c r="F224" s="4493"/>
      <c r="G224" s="4493"/>
      <c r="H224" s="407"/>
      <c r="I224" s="407"/>
      <c r="J224" s="949">
        <f>Total_IT_CG_class4_due</f>
        <v>12908.429999999998</v>
      </c>
      <c r="L224" s="1944">
        <f>IF(AND(OR(Taxable_CG&gt;0,tax_on_gains_already_charged&gt;0),IT_plus_class4+total_CG_due&gt;=total_tax_paid,NIC_total=0),1,0)</f>
        <v>0</v>
      </c>
    </row>
    <row r="225" spans="1:12" x14ac:dyDescent="0.2">
      <c r="A225" s="3370" t="s">
        <v>1418</v>
      </c>
      <c r="B225" s="406"/>
      <c r="C225" s="2980"/>
      <c r="D225" s="2980"/>
      <c r="E225" s="2974"/>
      <c r="F225" s="2974"/>
      <c r="G225" s="2974"/>
      <c r="H225" s="2976"/>
      <c r="I225" s="2974"/>
      <c r="J225" s="824"/>
      <c r="L225" s="7">
        <f>IF(total_CG_due&gt;0,1,0)</f>
        <v>0</v>
      </c>
    </row>
    <row r="226" spans="1:12" x14ac:dyDescent="0.2">
      <c r="A226" s="3384" t="s">
        <v>3355</v>
      </c>
      <c r="B226" s="406"/>
      <c r="C226" s="4" t="s">
        <v>1377</v>
      </c>
      <c r="D226" s="4494" t="s">
        <v>2721</v>
      </c>
      <c r="E226" s="4494"/>
      <c r="F226" s="4494"/>
      <c r="G226" s="2974"/>
      <c r="H226" s="2974"/>
      <c r="I226" s="88"/>
      <c r="J226" s="402">
        <f>tax_already_refunded</f>
        <v>600</v>
      </c>
      <c r="L226" s="7">
        <f>IF(AND(tax_already_refunded&gt;0,total_tax_paid&gt;(IT_plus_class4+total_CG_due)),1,0)</f>
        <v>0</v>
      </c>
    </row>
    <row r="227" spans="1:12" x14ac:dyDescent="0.2">
      <c r="A227" s="3372" t="s">
        <v>4011</v>
      </c>
      <c r="B227" s="406"/>
      <c r="C227" s="4" t="s">
        <v>2406</v>
      </c>
      <c r="D227" s="4494" t="s">
        <v>2721</v>
      </c>
      <c r="E227" s="4494"/>
      <c r="F227" s="4494"/>
      <c r="G227" s="4195"/>
      <c r="H227" s="4195"/>
      <c r="I227" s="88"/>
      <c r="J227" s="402">
        <f>tax_already_refunded</f>
        <v>600</v>
      </c>
      <c r="L227" s="7">
        <f>IF(AND(tax_already_refunded&gt;0,total_tax_paid&lt;=(IT_plus_class4+total_CG_due)),1,0)</f>
        <v>1</v>
      </c>
    </row>
    <row r="228" spans="1:12" x14ac:dyDescent="0.2">
      <c r="A228" s="3374" t="s">
        <v>2898</v>
      </c>
      <c r="B228" s="406"/>
      <c r="C228" s="4" t="s">
        <v>1377</v>
      </c>
      <c r="D228" s="4494" t="s">
        <v>1345</v>
      </c>
      <c r="E228" s="4494"/>
      <c r="F228" s="4494"/>
      <c r="G228" s="2974"/>
      <c r="H228" s="2974"/>
      <c r="I228" s="88"/>
      <c r="J228" s="402">
        <f>unpaid_tax_bf</f>
        <v>0</v>
      </c>
      <c r="L228" s="7">
        <f>IF(AND(unpaid_tax_bf&gt;0,total_tax_paid&gt;(IT_plus_class4+total_CG_due)),1,0)</f>
        <v>0</v>
      </c>
    </row>
    <row r="229" spans="1:12" x14ac:dyDescent="0.2">
      <c r="A229" s="3372" t="s">
        <v>4011</v>
      </c>
      <c r="B229" s="406"/>
      <c r="C229" s="4" t="s">
        <v>2406</v>
      </c>
      <c r="D229" s="4530" t="s">
        <v>1345</v>
      </c>
      <c r="E229" s="4530"/>
      <c r="F229" s="4530"/>
      <c r="G229" s="4195"/>
      <c r="H229" s="4195"/>
      <c r="I229" s="88"/>
      <c r="J229" s="402">
        <f>unpaid_tax_bf</f>
        <v>0</v>
      </c>
      <c r="L229" s="7">
        <f>IF(AND(unpaid_tax_bf&gt;0,total_tax_paid&lt;=(IT_plus_class4+total_CG_due)),1,0)</f>
        <v>0</v>
      </c>
    </row>
    <row r="230" spans="1:12" x14ac:dyDescent="0.2">
      <c r="A230" s="3374" t="s">
        <v>4427</v>
      </c>
      <c r="B230" s="775"/>
      <c r="C230" s="4492" t="s">
        <v>3011</v>
      </c>
      <c r="D230" s="4493"/>
      <c r="E230" s="4493"/>
      <c r="F230" s="4493"/>
      <c r="G230" s="407"/>
      <c r="H230" s="407"/>
      <c r="I230" s="407"/>
      <c r="J230" s="408">
        <f>Total_tax_NIC_due</f>
        <v>13508.429999999998</v>
      </c>
      <c r="L230" s="7">
        <f>IF(AND(OR((tax_already_refunded+unpaid_tax_bf)&gt;0),total_tax_paid&gt;(IT_plus_class4+total_CG_due+tax_already_refunded+unpaid_tax_bf)),1,0)</f>
        <v>0</v>
      </c>
    </row>
    <row r="231" spans="1:12" x14ac:dyDescent="0.2">
      <c r="A231" s="3375" t="s">
        <v>4011</v>
      </c>
      <c r="B231" s="406"/>
      <c r="C231" s="4492" t="s">
        <v>4393</v>
      </c>
      <c r="D231" s="4493"/>
      <c r="E231" s="4493"/>
      <c r="F231" s="4493"/>
      <c r="G231" s="4493"/>
      <c r="H231" s="407"/>
      <c r="I231" s="407"/>
      <c r="J231" s="408">
        <f>Total_tax_NIC_due</f>
        <v>13508.429999999998</v>
      </c>
      <c r="L231" s="7">
        <f>IF(AND((tax_already_refunded+unpaid_tax_bf)&gt;0,NIC_total&gt;0,(IT_plus_class4+total_CG_due+tax_already_refunded+unpaid_tax_bf)&gt;=total_tax_paid),1,0)</f>
        <v>1</v>
      </c>
    </row>
    <row r="232" spans="1:12" x14ac:dyDescent="0.2">
      <c r="A232" s="3376" t="s">
        <v>4011</v>
      </c>
      <c r="B232" s="775"/>
      <c r="C232" s="4492" t="s">
        <v>2374</v>
      </c>
      <c r="D232" s="4493"/>
      <c r="E232" s="4493"/>
      <c r="F232" s="4493"/>
      <c r="G232" s="4493"/>
      <c r="H232" s="407"/>
      <c r="I232" s="407"/>
      <c r="J232" s="408">
        <f>Total_tax_NIC_due</f>
        <v>13508.429999999998</v>
      </c>
      <c r="L232" s="7">
        <f>IF(AND((tax_already_refunded+unpaid_tax_bf)&gt;0,NIC_total=0,(IT_plus_class4+total_CG_due+tax_already_refunded+unpaid_tax_bf)&gt;=total_tax_paid),1,0)</f>
        <v>0</v>
      </c>
    </row>
    <row r="234" spans="1:12" x14ac:dyDescent="0.2">
      <c r="A234" s="779" t="s">
        <v>8880</v>
      </c>
    </row>
    <row r="235" spans="1:12" x14ac:dyDescent="0.2">
      <c r="A235" s="779" t="s">
        <v>6775</v>
      </c>
    </row>
    <row r="237" spans="1:12" x14ac:dyDescent="0.2">
      <c r="A237" s="779" t="s">
        <v>8897</v>
      </c>
    </row>
  </sheetData>
  <mergeCells count="190">
    <mergeCell ref="D210:F210"/>
    <mergeCell ref="D211:F211"/>
    <mergeCell ref="D212:F212"/>
    <mergeCell ref="D213:F213"/>
    <mergeCell ref="C204:F204"/>
    <mergeCell ref="D174:G174"/>
    <mergeCell ref="C178:F178"/>
    <mergeCell ref="C176:H176"/>
    <mergeCell ref="C177:I177"/>
    <mergeCell ref="C175:I175"/>
    <mergeCell ref="D180:F180"/>
    <mergeCell ref="C202:G202"/>
    <mergeCell ref="C203:H203"/>
    <mergeCell ref="C201:H201"/>
    <mergeCell ref="D206:F206"/>
    <mergeCell ref="E183:G183"/>
    <mergeCell ref="D184:F184"/>
    <mergeCell ref="D185:G185"/>
    <mergeCell ref="D186:G186"/>
    <mergeCell ref="D187:G187"/>
    <mergeCell ref="D188:G188"/>
    <mergeCell ref="D189:G189"/>
    <mergeCell ref="D190:G190"/>
    <mergeCell ref="C197:F197"/>
    <mergeCell ref="D209:F209"/>
    <mergeCell ref="D167:H167"/>
    <mergeCell ref="D169:H169"/>
    <mergeCell ref="D170:H170"/>
    <mergeCell ref="D171:G171"/>
    <mergeCell ref="D172:G172"/>
    <mergeCell ref="D173:G173"/>
    <mergeCell ref="D160:F160"/>
    <mergeCell ref="D161:H161"/>
    <mergeCell ref="D162:H162"/>
    <mergeCell ref="D163:H163"/>
    <mergeCell ref="D165:H165"/>
    <mergeCell ref="D166:H166"/>
    <mergeCell ref="D191:H191"/>
    <mergeCell ref="D192:G192"/>
    <mergeCell ref="D208:F208"/>
    <mergeCell ref="D207:F207"/>
    <mergeCell ref="D193:G193"/>
    <mergeCell ref="D194:H194"/>
    <mergeCell ref="D195:F195"/>
    <mergeCell ref="C198:F198"/>
    <mergeCell ref="C200:F200"/>
    <mergeCell ref="D181:G181"/>
    <mergeCell ref="D182:G182"/>
    <mergeCell ref="C232:G232"/>
    <mergeCell ref="C223:I223"/>
    <mergeCell ref="C221:I221"/>
    <mergeCell ref="C220:E220"/>
    <mergeCell ref="D226:F226"/>
    <mergeCell ref="D228:F228"/>
    <mergeCell ref="C230:F230"/>
    <mergeCell ref="E215:G215"/>
    <mergeCell ref="E216:F216"/>
    <mergeCell ref="E217:G217"/>
    <mergeCell ref="D218:F218"/>
    <mergeCell ref="C224:G224"/>
    <mergeCell ref="C222:I222"/>
    <mergeCell ref="C231:G231"/>
    <mergeCell ref="D227:F227"/>
    <mergeCell ref="D229:F229"/>
    <mergeCell ref="C152:F152"/>
    <mergeCell ref="C151:G151"/>
    <mergeCell ref="D154:F154"/>
    <mergeCell ref="D155:F155"/>
    <mergeCell ref="D158:F158"/>
    <mergeCell ref="D159:I159"/>
    <mergeCell ref="E142:G142"/>
    <mergeCell ref="C144:F144"/>
    <mergeCell ref="D146:F146"/>
    <mergeCell ref="D147:H147"/>
    <mergeCell ref="C148:F148"/>
    <mergeCell ref="C149:F149"/>
    <mergeCell ref="C143:F143"/>
    <mergeCell ref="E140:H140"/>
    <mergeCell ref="E141:H141"/>
    <mergeCell ref="C137:E137"/>
    <mergeCell ref="C138:E138"/>
    <mergeCell ref="D124:G124"/>
    <mergeCell ref="D125:G125"/>
    <mergeCell ref="D127:G127"/>
    <mergeCell ref="D128:G128"/>
    <mergeCell ref="D129:G129"/>
    <mergeCell ref="D132:G132"/>
    <mergeCell ref="D126:G126"/>
    <mergeCell ref="E139:H139"/>
    <mergeCell ref="D131:H131"/>
    <mergeCell ref="D118:F118"/>
    <mergeCell ref="D119:G119"/>
    <mergeCell ref="D120:G120"/>
    <mergeCell ref="D121:G121"/>
    <mergeCell ref="D122:G122"/>
    <mergeCell ref="D123:G123"/>
    <mergeCell ref="C111:G111"/>
    <mergeCell ref="D113:G113"/>
    <mergeCell ref="D114:H114"/>
    <mergeCell ref="D115:H115"/>
    <mergeCell ref="D116:H116"/>
    <mergeCell ref="D117:G117"/>
    <mergeCell ref="F104:G104"/>
    <mergeCell ref="C105:F105"/>
    <mergeCell ref="D107:F107"/>
    <mergeCell ref="C108:G108"/>
    <mergeCell ref="C109:G109"/>
    <mergeCell ref="C110:G110"/>
    <mergeCell ref="E103:G103"/>
    <mergeCell ref="C75:G75"/>
    <mergeCell ref="F76:G76"/>
    <mergeCell ref="F77:G77"/>
    <mergeCell ref="F80:G80"/>
    <mergeCell ref="F81:G81"/>
    <mergeCell ref="F84:G84"/>
    <mergeCell ref="F85:G85"/>
    <mergeCell ref="F79:G79"/>
    <mergeCell ref="F82:G82"/>
    <mergeCell ref="C89:G89"/>
    <mergeCell ref="C90:G90"/>
    <mergeCell ref="F92:G92"/>
    <mergeCell ref="F100:G100"/>
    <mergeCell ref="F91:G91"/>
    <mergeCell ref="F93:G93"/>
    <mergeCell ref="F95:G95"/>
    <mergeCell ref="F102:G102"/>
    <mergeCell ref="F94:G94"/>
    <mergeCell ref="F96:G96"/>
    <mergeCell ref="E98:G98"/>
    <mergeCell ref="F99:G99"/>
    <mergeCell ref="F101:G101"/>
    <mergeCell ref="C59:J59"/>
    <mergeCell ref="C70:J70"/>
    <mergeCell ref="C72:G72"/>
    <mergeCell ref="C73:G73"/>
    <mergeCell ref="C69:J69"/>
    <mergeCell ref="C88:G88"/>
    <mergeCell ref="F78:G78"/>
    <mergeCell ref="F83:G83"/>
    <mergeCell ref="C67:J67"/>
    <mergeCell ref="C68:J68"/>
    <mergeCell ref="C63:J63"/>
    <mergeCell ref="C66:J66"/>
    <mergeCell ref="C11:F11"/>
    <mergeCell ref="C13:E13"/>
    <mergeCell ref="D14:E14"/>
    <mergeCell ref="D15:E15"/>
    <mergeCell ref="C16:F16"/>
    <mergeCell ref="C17:F17"/>
    <mergeCell ref="C27:F27"/>
    <mergeCell ref="C28:F28"/>
    <mergeCell ref="C29:F29"/>
    <mergeCell ref="C21:F21"/>
    <mergeCell ref="C22:F22"/>
    <mergeCell ref="C30:F30"/>
    <mergeCell ref="C31:F31"/>
    <mergeCell ref="C32:F32"/>
    <mergeCell ref="C18:F18"/>
    <mergeCell ref="C19:F19"/>
    <mergeCell ref="C20:F20"/>
    <mergeCell ref="C23:F23"/>
    <mergeCell ref="C24:F24"/>
    <mergeCell ref="C25:F25"/>
    <mergeCell ref="C33:F33"/>
    <mergeCell ref="C35:F35"/>
    <mergeCell ref="C37:F37"/>
    <mergeCell ref="C42:F42"/>
    <mergeCell ref="C38:F38"/>
    <mergeCell ref="C39:F39"/>
    <mergeCell ref="C40:F40"/>
    <mergeCell ref="D45:F45"/>
    <mergeCell ref="D47:F47"/>
    <mergeCell ref="C44:F44"/>
    <mergeCell ref="D46:F46"/>
    <mergeCell ref="C41:F41"/>
    <mergeCell ref="C43:F43"/>
    <mergeCell ref="D48:F48"/>
    <mergeCell ref="C61:J61"/>
    <mergeCell ref="C65:J65"/>
    <mergeCell ref="C57:J57"/>
    <mergeCell ref="C58:J58"/>
    <mergeCell ref="C62:J62"/>
    <mergeCell ref="C64:J64"/>
    <mergeCell ref="C51:F51"/>
    <mergeCell ref="C52:F52"/>
    <mergeCell ref="C54:G54"/>
    <mergeCell ref="C55:G55"/>
    <mergeCell ref="C49:F49"/>
    <mergeCell ref="C50:F50"/>
    <mergeCell ref="C60:J60"/>
  </mergeCells>
  <phoneticPr fontId="67" type="noConversion"/>
  <pageMargins bottom="0.196850393700787" footer="0" header="0" left="0.196850393700787" right="0.196850393700787" top="0.196850393700787"/>
  <pageSetup orientation="portrait" paperSize="8" r:id="rId1"/>
  <headerFooter alignWithMargins="0"/>
  <drawing r:id="rId2"/>
</worksheet>
</file>

<file path=xl/worksheets/sheet55.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76">
    <tabColor rgb="FFB482DA"/>
  </sheetPr>
  <dimension ref="A1:N245"/>
  <sheetViews>
    <sheetView showGridLines="0" topLeftCell="A174" workbookViewId="0" zoomScaleNormal="100">
      <selection activeCell="P77" sqref="P77"/>
    </sheetView>
  </sheetViews>
  <sheetFormatPr defaultColWidth="9.140625" defaultRowHeight="12.75" x14ac:dyDescent="0.2"/>
  <cols>
    <col min="1" max="1" customWidth="true" style="7" width="4.5703125" collapsed="true"/>
    <col min="2" max="2" customWidth="true" style="4" width="1.140625" collapsed="true"/>
    <col min="3" max="3" customWidth="true" style="2999" width="6.42578125" collapsed="true"/>
    <col min="4" max="4" customWidth="true" style="2999" width="5.85546875" collapsed="true"/>
    <col min="5" max="5" customWidth="true" style="2997" width="23.5703125" collapsed="true"/>
    <col min="6" max="6" customWidth="true" style="2997" width="12.140625" collapsed="true"/>
    <col min="7" max="7" customWidth="true" style="2997" width="10.7109375" collapsed="true"/>
    <col min="8" max="8" customWidth="true" style="2997" width="13.140625" collapsed="true"/>
    <col min="9" max="9" customWidth="true" style="2997" width="11.0" collapsed="true"/>
    <col min="10" max="10" customWidth="true" style="7" width="12.85546875" collapsed="true"/>
    <col min="11" max="11" customWidth="true" style="7" width="2.0" collapsed="true"/>
    <col min="12" max="12" customWidth="true" style="7" width="12.28515625" collapsed="true"/>
    <col min="13" max="13" customWidth="true" style="7" width="13.28515625" collapsed="true"/>
    <col min="14" max="14" customWidth="true" style="7" width="11.5703125" collapsed="true"/>
    <col min="15" max="15" customWidth="true" style="7" width="11.140625" collapsed="true"/>
    <col min="16" max="16" customWidth="true" style="7" width="10.42578125" collapsed="true"/>
    <col min="17" max="16384" style="7" width="9.140625" collapsed="true"/>
  </cols>
  <sheetData>
    <row customHeight="1" ht="33.75" r="1" spans="1:12" thickBot="1" x14ac:dyDescent="0.3">
      <c r="A1" s="940"/>
      <c r="B1" s="941"/>
      <c r="C1" s="1737"/>
      <c r="D1" s="919"/>
      <c r="E1" s="920"/>
      <c r="F1" s="920"/>
      <c r="G1" s="920"/>
      <c r="H1" s="1737" t="s">
        <v>5174</v>
      </c>
      <c r="I1" s="921"/>
      <c r="J1" s="940"/>
      <c r="K1" s="774"/>
      <c r="L1" s="7">
        <v>1</v>
      </c>
    </row>
    <row customHeight="1" ht="9.75" r="2" spans="1:12" thickTop="1" x14ac:dyDescent="0.2">
      <c r="B2" s="942"/>
      <c r="C2" s="774"/>
      <c r="D2" s="774"/>
      <c r="E2" s="913"/>
      <c r="F2" s="2989"/>
      <c r="G2" s="2989"/>
      <c r="H2" s="2989"/>
      <c r="I2" s="2989"/>
      <c r="J2" s="2994"/>
      <c r="K2" s="774"/>
      <c r="L2" s="7">
        <v>1</v>
      </c>
    </row>
    <row customHeight="1" ht="12" r="3" spans="1:12" x14ac:dyDescent="0.2">
      <c r="B3" s="406"/>
      <c r="C3" s="774"/>
      <c r="D3" s="914" t="str">
        <f>IF('Add pages'!C4="","",'Add pages'!C4)</f>
        <v/>
      </c>
      <c r="F3" s="2989"/>
      <c r="G3" s="2989"/>
      <c r="H3" s="84" t="str">
        <f>"Cyfeirnod Treth "&amp;IF(Taxpayer_Reference="","",Taxpayer_Reference)</f>
        <v xml:space="preserve">Cyfeirnod Treth </v>
      </c>
      <c r="I3" s="128"/>
      <c r="J3" s="128"/>
      <c r="K3" s="774"/>
      <c r="L3" s="7">
        <v>1</v>
      </c>
    </row>
    <row customHeight="1" ht="12" r="4" spans="1:12" x14ac:dyDescent="0.2">
      <c r="B4" s="406"/>
      <c r="C4" s="942" t="str">
        <f>IF('Add pages'!C5="","",'Add pages'!C5)</f>
        <v/>
      </c>
      <c r="D4" s="942"/>
      <c r="E4" s="942"/>
      <c r="F4" s="942"/>
      <c r="G4" s="942"/>
      <c r="H4" s="942"/>
      <c r="I4" s="942"/>
      <c r="J4" s="942"/>
      <c r="K4" s="774"/>
      <c r="L4" s="7">
        <v>1</v>
      </c>
    </row>
    <row customHeight="1" ht="12" r="5" spans="1:12" x14ac:dyDescent="0.2">
      <c r="B5" s="406"/>
      <c r="C5" s="942" t="str">
        <f>IF('Add pages'!C6="","",'Add pages'!C6)</f>
        <v/>
      </c>
      <c r="D5" s="942"/>
      <c r="E5" s="942"/>
      <c r="F5" s="942"/>
      <c r="G5" s="942"/>
      <c r="H5" s="942"/>
      <c r="I5" s="942"/>
      <c r="J5" s="942"/>
      <c r="K5" s="774"/>
      <c r="L5" s="7">
        <v>1</v>
      </c>
    </row>
    <row customHeight="1" ht="12" r="6" spans="1:12" x14ac:dyDescent="0.2">
      <c r="B6" s="406"/>
      <c r="C6" s="774"/>
      <c r="D6" s="914" t="str">
        <f>IF('Add pages'!C7="","",'Add pages'!C7)</f>
        <v/>
      </c>
      <c r="E6" s="915"/>
      <c r="F6" s="580"/>
      <c r="G6" s="2989"/>
      <c r="H6" s="2989"/>
      <c r="I6" s="2989"/>
      <c r="J6" s="2989"/>
      <c r="K6" s="774"/>
      <c r="L6" s="7">
        <v>1</v>
      </c>
    </row>
    <row customHeight="1" ht="12.75" r="7" spans="1:12" x14ac:dyDescent="0.2">
      <c r="B7" s="942"/>
      <c r="C7" s="774"/>
      <c r="D7" s="774"/>
      <c r="E7" s="2989"/>
      <c r="F7" s="2989"/>
      <c r="G7" s="2989"/>
      <c r="H7" s="84" t="s">
        <v>5175</v>
      </c>
      <c r="I7" s="916" t="str">
        <f ca="1">date_formatted_W</f>
        <v>21 Tachwedd 2019</v>
      </c>
      <c r="J7" s="2994"/>
      <c r="K7" s="774"/>
      <c r="L7" s="7">
        <v>1</v>
      </c>
    </row>
    <row customHeight="1" ht="6" r="8" spans="1:12" x14ac:dyDescent="0.2">
      <c r="B8" s="942"/>
      <c r="C8" s="774"/>
      <c r="D8" s="774"/>
      <c r="E8" s="942"/>
      <c r="F8" s="942"/>
      <c r="G8" s="942"/>
      <c r="H8" s="942"/>
      <c r="I8" s="942"/>
      <c r="J8" s="942"/>
      <c r="K8" s="942"/>
      <c r="L8" s="7">
        <v>1</v>
      </c>
    </row>
    <row ht="15" r="9" spans="1:12" x14ac:dyDescent="0.25">
      <c r="B9" s="406"/>
      <c r="C9" s="92" t="str">
        <f>"Cyfrifiad Treth ar gyfer "&amp;tax_year</f>
        <v>Cyfrifiad Treth ar gyfer 2019-20</v>
      </c>
      <c r="E9" s="1945"/>
      <c r="F9" s="2991" t="str">
        <f>" (y flwyddyn a ddaeth i ben 5 Ebrill "&amp;Tax_year_end&amp;")"</f>
        <v xml:space="preserve"> (y flwyddyn a ddaeth i ben 5 Ebrill 2020)</v>
      </c>
      <c r="J9" s="2997"/>
      <c r="L9" s="7">
        <v>1</v>
      </c>
    </row>
    <row r="10" spans="1:12" x14ac:dyDescent="0.2">
      <c r="B10" s="406"/>
      <c r="C10" s="774"/>
      <c r="D10" s="774"/>
      <c r="E10" s="2989"/>
      <c r="F10" s="2989"/>
      <c r="G10" s="2989"/>
      <c r="H10" s="2989"/>
      <c r="I10" s="2989"/>
      <c r="J10" s="2989"/>
      <c r="L10" s="7">
        <v>1</v>
      </c>
    </row>
    <row r="11" spans="1:12" x14ac:dyDescent="0.2">
      <c r="A11" s="3370" t="s">
        <v>3848</v>
      </c>
      <c r="B11" s="406"/>
      <c r="C11" s="90" t="s">
        <v>5969</v>
      </c>
      <c r="D11" s="82"/>
      <c r="E11" s="407"/>
      <c r="F11" s="85"/>
      <c r="G11" s="2989"/>
      <c r="H11" s="2989"/>
      <c r="I11" s="2989"/>
      <c r="J11" s="2989"/>
      <c r="L11" s="7">
        <v>1</v>
      </c>
    </row>
    <row customHeight="1" ht="12" r="12" spans="1:12" x14ac:dyDescent="0.2">
      <c r="A12" s="3370" t="s">
        <v>3849</v>
      </c>
      <c r="B12" s="406"/>
      <c r="C12" s="2992"/>
      <c r="D12" s="2992"/>
      <c r="E12" s="2989"/>
      <c r="F12" s="2990"/>
      <c r="G12" s="2989"/>
      <c r="H12" s="2989"/>
      <c r="I12" s="2989"/>
      <c r="J12" s="2997"/>
      <c r="L12" s="7">
        <v>1</v>
      </c>
    </row>
    <row r="13" spans="1:12" x14ac:dyDescent="0.2">
      <c r="A13" s="3370" t="s">
        <v>3850</v>
      </c>
      <c r="B13" s="406"/>
      <c r="C13" s="2989" t="s">
        <v>5970</v>
      </c>
      <c r="D13" s="2989"/>
      <c r="F13" s="763">
        <f>Pay_Emp</f>
        <v>33254</v>
      </c>
      <c r="H13" s="2989"/>
      <c r="I13" s="2989"/>
      <c r="J13" s="2997"/>
      <c r="L13" s="7">
        <f>IF(AND(Pay_Emp&gt;0,(Benefits_Emp+Exps_Emp)&gt;0),1,0)</f>
        <v>0</v>
      </c>
    </row>
    <row r="14" spans="1:12" x14ac:dyDescent="0.2">
      <c r="A14" s="3370" t="s">
        <v>616</v>
      </c>
      <c r="B14" s="406"/>
      <c r="C14" s="4" t="s">
        <v>5971</v>
      </c>
      <c r="D14" s="2989" t="s">
        <v>5972</v>
      </c>
      <c r="F14" s="763">
        <f>Benefits_Emp</f>
        <v>0</v>
      </c>
      <c r="H14" s="2989"/>
      <c r="I14" s="2989"/>
      <c r="J14" s="2997"/>
      <c r="L14" s="7">
        <f>IF(Benefits_Emp&gt;0,1,0)</f>
        <v>0</v>
      </c>
    </row>
    <row r="15" spans="1:12" x14ac:dyDescent="0.2">
      <c r="A15" s="3370" t="s">
        <v>617</v>
      </c>
      <c r="B15" s="406"/>
      <c r="C15" s="4" t="s">
        <v>5953</v>
      </c>
      <c r="D15" s="2989" t="s">
        <v>5973</v>
      </c>
      <c r="F15" s="765">
        <f>Exps_Emp</f>
        <v>0</v>
      </c>
      <c r="H15" s="2989"/>
      <c r="I15" s="2989"/>
      <c r="J15" s="2997"/>
      <c r="L15" s="7">
        <f>IF(Exps_Emp&gt;0,1,0)</f>
        <v>0</v>
      </c>
    </row>
    <row r="16" spans="1:12" x14ac:dyDescent="0.2">
      <c r="A16" s="3370" t="s">
        <v>618</v>
      </c>
      <c r="B16" s="406"/>
      <c r="C16" s="2989" t="str">
        <f>IF(Benefits_Emp+Exps_Emp=0,"Cyfanswm ar gyfer pob cyflogaeth", "Cyflog o bob cyflogaeth")</f>
        <v>Cyfanswm ar gyfer pob cyflogaeth</v>
      </c>
      <c r="D16" s="2989"/>
      <c r="F16" s="2989"/>
      <c r="G16" s="765">
        <f>income_E</f>
        <v>33254</v>
      </c>
      <c r="H16" s="667"/>
      <c r="I16" s="2989"/>
      <c r="J16" s="2997"/>
      <c r="L16" s="7">
        <f>IF(AND(Benefits_Emp+Exps_Emp=0,income_E&gt;0),1,0)</f>
        <v>1</v>
      </c>
    </row>
    <row r="17" spans="1:12" x14ac:dyDescent="0.2">
      <c r="A17" s="3370" t="s">
        <v>4011</v>
      </c>
      <c r="B17" s="406"/>
      <c r="C17" s="4494" t="s">
        <v>7375</v>
      </c>
      <c r="D17" s="4494"/>
      <c r="E17" s="4494"/>
      <c r="F17" s="4494"/>
      <c r="G17" s="765">
        <f>income_E</f>
        <v>33254</v>
      </c>
      <c r="H17" s="667"/>
      <c r="I17" s="2989"/>
      <c r="J17" s="2997"/>
      <c r="L17" s="7">
        <f>IF(AND(Benefits_Emp+Exps_Emp&gt;0,income_E&gt;0),1,0)</f>
        <v>0</v>
      </c>
    </row>
    <row r="18" spans="1:12" x14ac:dyDescent="0.2">
      <c r="A18" s="3370" t="s">
        <v>619</v>
      </c>
      <c r="B18" s="406"/>
      <c r="C18" s="2989" t="s">
        <v>5974</v>
      </c>
      <c r="D18" s="2989"/>
      <c r="F18" s="2989"/>
      <c r="G18" s="763">
        <f>income_Shares</f>
        <v>0</v>
      </c>
      <c r="H18" s="667"/>
      <c r="I18" s="2989"/>
      <c r="J18" s="2997"/>
      <c r="L18" s="7">
        <f>IF(income_Shares&gt;0,1,0)</f>
        <v>0</v>
      </c>
    </row>
    <row r="19" spans="1:12" x14ac:dyDescent="0.2">
      <c r="A19" s="3370" t="s">
        <v>620</v>
      </c>
      <c r="B19" s="406"/>
      <c r="C19" s="2989" t="s">
        <v>5975</v>
      </c>
      <c r="D19" s="2989"/>
      <c r="F19" s="2989"/>
      <c r="G19" s="763">
        <f>income_D</f>
        <v>14190</v>
      </c>
      <c r="H19" s="667"/>
      <c r="I19" s="2989"/>
      <c r="J19" s="2997"/>
      <c r="L19" s="7">
        <f>IF(income_D&gt;0,1,0)</f>
        <v>1</v>
      </c>
    </row>
    <row r="20" spans="1:12" x14ac:dyDescent="0.2">
      <c r="A20" s="3370" t="s">
        <v>621</v>
      </c>
      <c r="B20" s="406"/>
      <c r="C20" s="2989" t="s">
        <v>5976</v>
      </c>
      <c r="D20" s="2989"/>
      <c r="F20" s="2989"/>
      <c r="G20" s="763">
        <f>income_D_PTR</f>
        <v>0</v>
      </c>
      <c r="H20" s="667"/>
      <c r="I20" s="2989"/>
      <c r="J20" s="2997"/>
      <c r="L20" s="7">
        <f>IF(income_D_PTR&gt;0,1,0)</f>
        <v>0</v>
      </c>
    </row>
    <row r="21" spans="1:12" x14ac:dyDescent="0.2">
      <c r="A21" s="3395" t="s">
        <v>7732</v>
      </c>
      <c r="B21" s="3147"/>
      <c r="C21" s="4534" t="s">
        <v>8958</v>
      </c>
      <c r="D21" s="4534"/>
      <c r="E21" s="4534"/>
      <c r="F21" s="4534"/>
      <c r="G21" s="3396">
        <f>income_S_PTR</f>
        <v>0</v>
      </c>
      <c r="H21" s="3397"/>
      <c r="I21" s="4198"/>
      <c r="J21" s="3149"/>
      <c r="L21" s="3152">
        <f>IF(income_S_PTR&gt;0,1,0)</f>
        <v>0</v>
      </c>
    </row>
    <row r="22" spans="1:12" x14ac:dyDescent="0.2">
      <c r="A22" s="3395" t="s">
        <v>7734</v>
      </c>
      <c r="B22" s="3147"/>
      <c r="C22" s="4534" t="s">
        <v>8959</v>
      </c>
      <c r="D22" s="4534"/>
      <c r="E22" s="4534"/>
      <c r="F22" s="4534"/>
      <c r="G22" s="3396">
        <f>income_DV_PTR</f>
        <v>0</v>
      </c>
      <c r="H22" s="3397"/>
      <c r="I22" s="4198"/>
      <c r="J22" s="3149"/>
      <c r="L22" s="3152">
        <f>IF(income_DV_PTR&gt;0,1,0)</f>
        <v>0</v>
      </c>
    </row>
    <row r="23" spans="1:12" x14ac:dyDescent="0.2">
      <c r="A23" s="3370" t="s">
        <v>622</v>
      </c>
      <c r="B23" s="406"/>
      <c r="C23" s="2989" t="s">
        <v>5977</v>
      </c>
      <c r="D23" s="2989"/>
      <c r="F23" s="2989"/>
      <c r="G23" s="763">
        <f>income_IFP</f>
        <v>0</v>
      </c>
      <c r="H23" s="667"/>
      <c r="I23" s="2989"/>
      <c r="J23" s="2997"/>
      <c r="L23" s="7">
        <f>IF(income_IFP&gt;0,1,0)</f>
        <v>0</v>
      </c>
    </row>
    <row r="24" spans="1:12" x14ac:dyDescent="0.2">
      <c r="A24" s="3370" t="s">
        <v>623</v>
      </c>
      <c r="B24" s="406"/>
      <c r="C24" s="2989" t="s">
        <v>5978</v>
      </c>
      <c r="D24" s="2989"/>
      <c r="F24" s="2989"/>
      <c r="G24" s="763">
        <f>income_Foreign</f>
        <v>0</v>
      </c>
      <c r="H24" s="667"/>
      <c r="I24" s="2989"/>
      <c r="J24" s="2997"/>
      <c r="L24" s="7">
        <f>IF(income_Foreign&gt;0,1,0)</f>
        <v>0</v>
      </c>
    </row>
    <row r="25" spans="1:12" x14ac:dyDescent="0.2">
      <c r="A25" s="3370" t="s">
        <v>3001</v>
      </c>
      <c r="B25" s="406"/>
      <c r="C25" s="2989" t="s">
        <v>5979</v>
      </c>
      <c r="D25" s="2989"/>
      <c r="F25" s="2989"/>
      <c r="G25" s="763">
        <f>foreign_dividends</f>
        <v>0</v>
      </c>
      <c r="H25" s="667"/>
      <c r="I25" s="2989"/>
      <c r="J25" s="2997"/>
      <c r="L25" s="7">
        <f>IF(foreign_dividends&gt;0,1,0)</f>
        <v>0</v>
      </c>
    </row>
    <row r="26" spans="1:12" x14ac:dyDescent="0.2">
      <c r="A26" s="3395" t="s">
        <v>7736</v>
      </c>
      <c r="B26" s="3147"/>
      <c r="C26" s="4269" t="s">
        <v>8960</v>
      </c>
      <c r="D26" s="4267"/>
      <c r="E26" s="4198"/>
      <c r="F26" s="4198"/>
      <c r="G26" s="3396">
        <f>foreign_savings</f>
        <v>0</v>
      </c>
      <c r="H26" s="3397"/>
      <c r="I26" s="4198"/>
      <c r="J26" s="3149"/>
      <c r="L26" s="3152">
        <f>IF(foreign_savings&gt;0,1,0)</f>
        <v>0</v>
      </c>
    </row>
    <row r="27" spans="1:12" x14ac:dyDescent="0.2">
      <c r="A27" s="3370" t="s">
        <v>624</v>
      </c>
      <c r="B27" s="406"/>
      <c r="C27" s="2989" t="s">
        <v>5980</v>
      </c>
      <c r="D27" s="2989"/>
      <c r="F27" s="2989"/>
      <c r="G27" s="763">
        <f>income_Trust</f>
        <v>0</v>
      </c>
      <c r="H27" s="667"/>
      <c r="I27" s="2989"/>
      <c r="J27" s="2997"/>
      <c r="L27" s="7">
        <f>IF(income_Trust&gt;0,1,0)</f>
        <v>0</v>
      </c>
    </row>
    <row r="28" spans="1:12" x14ac:dyDescent="0.2">
      <c r="A28" s="3370" t="s">
        <v>625</v>
      </c>
      <c r="B28" s="406"/>
      <c r="C28" s="2989" t="s">
        <v>6065</v>
      </c>
      <c r="D28" s="2989"/>
      <c r="F28" s="2989"/>
      <c r="G28" s="763">
        <f>income_Case3</f>
        <v>3678</v>
      </c>
      <c r="H28" s="667"/>
      <c r="I28" s="2989"/>
      <c r="J28" s="2997"/>
      <c r="L28" s="7">
        <f>IF(income_Case3&gt;0,1,0)</f>
        <v>1</v>
      </c>
    </row>
    <row r="29" spans="1:12" x14ac:dyDescent="0.2">
      <c r="A29" s="3370" t="s">
        <v>626</v>
      </c>
      <c r="B29" s="406"/>
      <c r="C29" s="2989" t="s">
        <v>5985</v>
      </c>
      <c r="D29" s="2989"/>
      <c r="F29" s="2989"/>
      <c r="G29" s="763">
        <f>income_F</f>
        <v>12750</v>
      </c>
      <c r="H29" s="667"/>
      <c r="I29" s="2989"/>
      <c r="J29" s="2997"/>
      <c r="L29" s="7">
        <f>IF(income_F&gt;0,1,0)</f>
        <v>1</v>
      </c>
    </row>
    <row r="30" spans="1:12" x14ac:dyDescent="0.2">
      <c r="A30" s="3370" t="s">
        <v>884</v>
      </c>
      <c r="B30" s="406"/>
      <c r="C30" s="2989" t="s">
        <v>5981</v>
      </c>
      <c r="D30" s="2989"/>
      <c r="F30" s="2989"/>
      <c r="G30" s="763">
        <f>income_Pensions</f>
        <v>0</v>
      </c>
      <c r="H30" s="667"/>
      <c r="I30" s="2989"/>
      <c r="J30" s="2997"/>
      <c r="L30" s="7">
        <f>IF(income_Pensions&gt;0,1,0)</f>
        <v>0</v>
      </c>
    </row>
    <row r="31" spans="1:12" x14ac:dyDescent="0.2">
      <c r="A31" s="3370" t="s">
        <v>885</v>
      </c>
      <c r="B31" s="406"/>
      <c r="C31" s="2989" t="s">
        <v>5982</v>
      </c>
      <c r="D31" s="2989"/>
      <c r="F31" s="2989"/>
      <c r="G31" s="763">
        <f>income_CEG</f>
        <v>0</v>
      </c>
      <c r="H31" s="667"/>
      <c r="I31" s="2989"/>
      <c r="J31" s="2997"/>
      <c r="L31" s="7">
        <f>IF(income_CEG&gt;0,1,0)</f>
        <v>0</v>
      </c>
    </row>
    <row r="32" spans="1:12" x14ac:dyDescent="0.2">
      <c r="A32" s="3370" t="s">
        <v>886</v>
      </c>
      <c r="B32" s="406"/>
      <c r="C32" s="2989" t="s">
        <v>5983</v>
      </c>
      <c r="D32" s="2989"/>
      <c r="F32" s="2989"/>
      <c r="G32" s="763">
        <f>income_Other</f>
        <v>0</v>
      </c>
      <c r="H32" s="667"/>
      <c r="I32" s="2989"/>
      <c r="J32" s="2997"/>
      <c r="L32" s="7">
        <f>IF(income_Other&gt;0,1,0)</f>
        <v>0</v>
      </c>
    </row>
    <row r="33" spans="1:12" x14ac:dyDescent="0.2">
      <c r="A33" s="3370" t="s">
        <v>887</v>
      </c>
      <c r="B33" s="406"/>
      <c r="C33" s="2990" t="s">
        <v>5984</v>
      </c>
      <c r="D33" s="2990"/>
      <c r="F33" s="86"/>
      <c r="G33" s="401"/>
      <c r="H33" s="763">
        <f>income_Total</f>
        <v>63872</v>
      </c>
      <c r="I33" s="2989"/>
      <c r="J33" s="2997"/>
      <c r="L33" s="7">
        <v>1</v>
      </c>
    </row>
    <row customHeight="1" ht="12" r="34" spans="1:12" x14ac:dyDescent="0.2">
      <c r="A34" s="3370" t="s">
        <v>888</v>
      </c>
      <c r="B34" s="406"/>
      <c r="C34" s="774"/>
      <c r="D34" s="774"/>
      <c r="E34" s="2989"/>
      <c r="F34" s="86"/>
      <c r="G34" s="86"/>
      <c r="H34" s="2989"/>
      <c r="I34" s="2989"/>
      <c r="J34" s="2997"/>
      <c r="L34" s="7">
        <v>1</v>
      </c>
    </row>
    <row r="35" spans="1:12" x14ac:dyDescent="0.2">
      <c r="A35" s="3370" t="s">
        <v>889</v>
      </c>
      <c r="B35" s="406"/>
      <c r="C35" s="90" t="s">
        <v>5953</v>
      </c>
      <c r="D35" s="943"/>
      <c r="E35" s="407"/>
      <c r="F35" s="944"/>
      <c r="G35" s="86"/>
      <c r="H35" s="2989"/>
      <c r="I35" s="2989"/>
      <c r="J35" s="2997"/>
      <c r="L35" s="7">
        <f>IF(Allce_PA=Allce_dedn_total,0,1)</f>
        <v>1</v>
      </c>
    </row>
    <row customHeight="1" ht="12" r="36" spans="1:12" x14ac:dyDescent="0.2">
      <c r="A36" s="3370" t="s">
        <v>2547</v>
      </c>
      <c r="B36" s="406"/>
      <c r="C36" s="95"/>
      <c r="D36" s="95"/>
      <c r="E36" s="2989"/>
      <c r="F36" s="86"/>
      <c r="G36" s="86"/>
      <c r="H36" s="2989"/>
      <c r="I36" s="2989"/>
      <c r="J36" s="2997"/>
      <c r="L36" s="7">
        <f>IF(Allce_PA=Allce_dedn_total,0,1)</f>
        <v>1</v>
      </c>
    </row>
    <row customHeight="1" ht="12" r="37" spans="1:12" x14ac:dyDescent="0.2">
      <c r="A37" s="3370" t="s">
        <v>2548</v>
      </c>
      <c r="B37" s="406"/>
      <c r="C37" s="2989" t="s">
        <v>5986</v>
      </c>
      <c r="D37" s="2989"/>
      <c r="F37" s="86"/>
      <c r="G37" s="763">
        <f>dedn_RAR</f>
        <v>1200</v>
      </c>
      <c r="H37" s="667"/>
      <c r="I37" s="2989"/>
      <c r="J37" s="2997"/>
      <c r="L37" s="7">
        <f>IF(dedn_RAR&gt;0,1,0)</f>
        <v>1</v>
      </c>
    </row>
    <row customHeight="1" ht="12" r="38" spans="1:12" x14ac:dyDescent="0.2">
      <c r="A38" s="3370" t="s">
        <v>2549</v>
      </c>
      <c r="B38" s="406"/>
      <c r="C38" s="2989" t="s">
        <v>5987</v>
      </c>
      <c r="D38" s="2989"/>
      <c r="F38" s="86"/>
      <c r="G38" s="763">
        <f>dedn_Trust</f>
        <v>0</v>
      </c>
      <c r="H38" s="667"/>
      <c r="I38" s="2989"/>
      <c r="J38" s="2997"/>
      <c r="L38" s="7">
        <f>IF(dedn_Trust&gt;0,1,0)</f>
        <v>0</v>
      </c>
    </row>
    <row customHeight="1" ht="12" r="39" spans="1:12" x14ac:dyDescent="0.2">
      <c r="A39" s="3370" t="s">
        <v>2551</v>
      </c>
      <c r="B39" s="406"/>
      <c r="C39" s="2989" t="s">
        <v>5988</v>
      </c>
      <c r="D39" s="2989"/>
      <c r="F39" s="86"/>
      <c r="G39" s="763">
        <f>ded_Loss</f>
        <v>0</v>
      </c>
      <c r="H39" s="667"/>
      <c r="I39" s="2989"/>
      <c r="J39" s="2997"/>
      <c r="L39" s="7">
        <f>IF(AND(ded_Loss&gt;0,ded_Loss=ded_loss_restricted),1,0)</f>
        <v>0</v>
      </c>
    </row>
    <row customHeight="1" ht="12" r="40" spans="1:12" x14ac:dyDescent="0.2">
      <c r="A40" s="3376" t="s">
        <v>4011</v>
      </c>
      <c r="B40" s="406"/>
      <c r="C40" s="2989" t="str">
        <f>"Rhyddhad treth incwm "&amp;DOLLAR(ded_Loss,0)&amp;" wedi ei leihau i'r uchaf a ganiateir "</f>
        <v xml:space="preserve">Rhyddhad treth incwm $0 wedi ei leihau i'r uchaf a ganiateir </v>
      </c>
      <c r="D40" s="95"/>
      <c r="E40" s="2989"/>
      <c r="F40" s="86"/>
      <c r="G40" s="667">
        <f>ded_loss_restricted</f>
        <v>0</v>
      </c>
      <c r="H40" s="2989"/>
      <c r="I40" s="2989"/>
      <c r="J40" s="2997"/>
      <c r="L40" s="7">
        <f>IF(AND(ded_Loss&gt;0,ded_Loss&gt;ded_loss_restricted),1,0)</f>
        <v>0</v>
      </c>
    </row>
    <row r="41" spans="1:12" x14ac:dyDescent="0.2">
      <c r="A41" s="3370" t="s">
        <v>2552</v>
      </c>
      <c r="B41" s="406"/>
      <c r="C41" s="2997" t="s">
        <v>5989</v>
      </c>
      <c r="D41" s="2997"/>
      <c r="F41" s="86"/>
      <c r="G41" s="763">
        <f>dedn_Annuity</f>
        <v>0</v>
      </c>
      <c r="H41" s="667"/>
      <c r="I41" s="2989"/>
      <c r="J41" s="2997"/>
      <c r="L41" s="7">
        <f>IF(dedn_Annuity&gt;0,1,0)</f>
        <v>0</v>
      </c>
    </row>
    <row r="42" spans="1:12" x14ac:dyDescent="0.2">
      <c r="A42" s="3370" t="s">
        <v>1728</v>
      </c>
      <c r="B42" s="406"/>
      <c r="C42" s="2997" t="s">
        <v>5990</v>
      </c>
      <c r="D42" s="2997"/>
      <c r="F42" s="86"/>
      <c r="G42" s="763">
        <f>dedn_Gift</f>
        <v>0</v>
      </c>
      <c r="H42" s="667"/>
      <c r="I42" s="2989"/>
      <c r="J42" s="2997"/>
      <c r="L42" s="7">
        <f>IF(dedn_Gift&gt;0,1,0)</f>
        <v>0</v>
      </c>
    </row>
    <row r="43" spans="1:12" x14ac:dyDescent="0.2">
      <c r="A43" s="3384" t="s">
        <v>1729</v>
      </c>
      <c r="B43" s="406"/>
      <c r="C43" s="2989" t="s">
        <v>7361</v>
      </c>
      <c r="D43" s="2989"/>
      <c r="F43" s="86"/>
      <c r="G43" s="763">
        <f>Allce_PA</f>
        <v>12500</v>
      </c>
      <c r="I43" s="2989"/>
      <c r="J43" s="2997"/>
      <c r="L43" s="7">
        <f>IF(AND(Allce_PA&lt;&gt;Allce_dedn_total,Allce_PA&gt;0,Allce_PA=P_A),1,0)</f>
        <v>1</v>
      </c>
    </row>
    <row r="44" spans="1:12" x14ac:dyDescent="0.2">
      <c r="A44" s="3373" t="s">
        <v>4011</v>
      </c>
      <c r="B44" s="406"/>
      <c r="C44" s="4494" t="s">
        <v>7360</v>
      </c>
      <c r="D44" s="4494"/>
      <c r="E44" s="4494"/>
      <c r="F44" s="4494"/>
      <c r="G44" s="763">
        <f>Allce_PA</f>
        <v>12500</v>
      </c>
      <c r="I44" s="2989"/>
      <c r="J44" s="2997"/>
      <c r="L44" s="7">
        <f>IF(AND(Allce_PA&lt;&gt;Allce_dedn_total,Allce_PA&gt;0,Allce_PA&lt;&gt;P_A),1,0)</f>
        <v>0</v>
      </c>
    </row>
    <row r="45" spans="1:12" x14ac:dyDescent="0.2">
      <c r="A45" s="3373" t="s">
        <v>4011</v>
      </c>
      <c r="B45" s="406"/>
      <c r="C45" s="4" t="s">
        <v>5953</v>
      </c>
      <c r="D45" s="2989" t="str">
        <f>C43</f>
        <v>Lwfans Personol</v>
      </c>
      <c r="F45" s="86"/>
      <c r="G45" s="763"/>
      <c r="H45" s="763">
        <f>Allce_PA</f>
        <v>12500</v>
      </c>
      <c r="I45" s="2989"/>
      <c r="J45" s="2997"/>
      <c r="L45" s="7">
        <f>IF(AND(Allce_PA=Allce_dedn_total,Allce_PA&gt;0),1,0)</f>
        <v>0</v>
      </c>
    </row>
    <row r="46" spans="1:12" x14ac:dyDescent="0.2">
      <c r="A46" s="3372" t="s">
        <v>4011</v>
      </c>
      <c r="B46" s="406"/>
      <c r="C46" s="4" t="s">
        <v>5953</v>
      </c>
      <c r="D46" s="4494" t="str">
        <f>C44</f>
        <v>wfans Personol wedi ei ostwng</v>
      </c>
      <c r="E46" s="4494"/>
      <c r="F46" s="4494"/>
      <c r="G46" s="763"/>
      <c r="H46" s="763">
        <f>Allce_PA</f>
        <v>12500</v>
      </c>
      <c r="I46" s="2989"/>
      <c r="J46" s="2997"/>
      <c r="L46" s="7">
        <f>IF(AND(Allce_PA=Allce_dedn_total,Allce_PA&gt;0,Allce_PA&lt;P_A),1,0)</f>
        <v>0</v>
      </c>
    </row>
    <row r="47" spans="1:12" x14ac:dyDescent="0.2">
      <c r="A47" s="3384" t="s">
        <v>4298</v>
      </c>
      <c r="C47" s="4" t="s">
        <v>5953</v>
      </c>
      <c r="D47" s="2989" t="s">
        <v>5991</v>
      </c>
      <c r="G47" s="763">
        <f>AllceOut_TPA</f>
        <v>0</v>
      </c>
      <c r="H47" s="763"/>
      <c r="L47" s="7">
        <f>IF(AllceOut_TPA&gt;0,IF(AND(Allce_PA&lt;&gt;Allce_dedn_total,Allce_PA&gt;0),1,0),0)</f>
        <v>0</v>
      </c>
    </row>
    <row r="48" spans="1:12" x14ac:dyDescent="0.2">
      <c r="A48" s="3372" t="s">
        <v>4011</v>
      </c>
      <c r="C48" s="4" t="s">
        <v>5953</v>
      </c>
      <c r="D48" s="2989" t="s">
        <v>5991</v>
      </c>
      <c r="H48" s="763">
        <f>AllceOut_TPA</f>
        <v>0</v>
      </c>
      <c r="L48" s="7">
        <f>IF(AllceOut_TPA&gt;0,IF(AND(Allce_PA=Allce_dedn_total,Allce_PA&gt;0),1,0),0)</f>
        <v>0</v>
      </c>
    </row>
    <row r="49" spans="1:13" x14ac:dyDescent="0.2">
      <c r="A49" s="3370" t="s">
        <v>59</v>
      </c>
      <c r="B49" s="406"/>
      <c r="C49" s="2989" t="s">
        <v>5992</v>
      </c>
      <c r="D49" s="2989"/>
      <c r="F49" s="86"/>
      <c r="G49" s="763">
        <f>Allce_BPA</f>
        <v>0</v>
      </c>
      <c r="H49" s="667"/>
      <c r="I49" s="2989"/>
      <c r="J49" s="2997"/>
      <c r="L49" s="7">
        <f>IF(Allce_BPA&gt;0,1,0)</f>
        <v>0</v>
      </c>
    </row>
    <row r="50" spans="1:13" x14ac:dyDescent="0.2">
      <c r="A50" s="3370" t="s">
        <v>60</v>
      </c>
      <c r="B50" s="406"/>
      <c r="C50" s="2989" t="s">
        <v>5993</v>
      </c>
      <c r="D50" s="2989"/>
      <c r="F50" s="86"/>
      <c r="G50" s="763">
        <f>Allce_BPA_Spare</f>
        <v>0</v>
      </c>
      <c r="H50" s="667"/>
      <c r="I50" s="2989"/>
      <c r="J50" s="2997"/>
      <c r="L50" s="7">
        <f>IF(Allce_BPA_Spare&gt;0,1,0)</f>
        <v>0</v>
      </c>
    </row>
    <row customHeight="1" ht="12" r="51" spans="1:13" x14ac:dyDescent="0.2">
      <c r="A51" s="3370" t="s">
        <v>61</v>
      </c>
      <c r="B51" s="406"/>
      <c r="C51" s="2998" t="s">
        <v>5994</v>
      </c>
      <c r="D51" s="2998"/>
      <c r="F51" s="86"/>
      <c r="G51" s="763">
        <f>Income_Excluded</f>
        <v>0</v>
      </c>
      <c r="H51" s="667"/>
      <c r="I51" s="2989"/>
      <c r="J51" s="2997"/>
      <c r="L51" s="7">
        <f>IF(Income_Excluded&gt;0,1,0)</f>
        <v>0</v>
      </c>
    </row>
    <row r="52" spans="1:13" x14ac:dyDescent="0.2">
      <c r="A52" s="3370" t="s">
        <v>62</v>
      </c>
      <c r="B52" s="406"/>
      <c r="C52" s="2996" t="s">
        <v>5995</v>
      </c>
      <c r="D52" s="2996"/>
      <c r="F52" s="2989"/>
      <c r="G52" s="401"/>
      <c r="H52" s="763">
        <f>Allce_dedn_total</f>
        <v>13700</v>
      </c>
      <c r="I52" s="2989"/>
      <c r="J52" s="2997"/>
      <c r="L52" s="7">
        <f>IF(Allce_PA=Allce_dedn_total,0,1)</f>
        <v>1</v>
      </c>
    </row>
    <row r="53" spans="1:13" x14ac:dyDescent="0.2">
      <c r="A53" s="3370" t="s">
        <v>63</v>
      </c>
      <c r="B53" s="406"/>
      <c r="C53" s="537"/>
      <c r="D53" s="537"/>
      <c r="E53" s="2996"/>
      <c r="F53" s="2989"/>
      <c r="G53" s="763"/>
      <c r="H53" s="667"/>
      <c r="I53" s="2989"/>
      <c r="J53" s="2997"/>
      <c r="L53" s="7">
        <v>1</v>
      </c>
    </row>
    <row r="54" spans="1:13" x14ac:dyDescent="0.2">
      <c r="A54" s="3370" t="s">
        <v>64</v>
      </c>
      <c r="B54" s="406"/>
      <c r="C54" s="90" t="s">
        <v>6473</v>
      </c>
      <c r="D54" s="82"/>
      <c r="E54" s="407"/>
      <c r="F54" s="407"/>
      <c r="G54" s="945"/>
      <c r="H54" s="946">
        <f>taxable_income</f>
        <v>50172</v>
      </c>
      <c r="I54" s="2989"/>
      <c r="J54" s="2997"/>
      <c r="L54" s="7">
        <f>IF(taxable_income&gt;0,1,0)</f>
        <v>1</v>
      </c>
    </row>
    <row r="55" spans="1:13" x14ac:dyDescent="0.2">
      <c r="A55" s="3370" t="s">
        <v>4011</v>
      </c>
      <c r="B55" s="406"/>
      <c r="C55" s="90" t="s">
        <v>6472</v>
      </c>
      <c r="D55" s="82"/>
      <c r="E55" s="407"/>
      <c r="F55" s="407"/>
      <c r="G55" s="945"/>
      <c r="H55" s="946">
        <f>taxable_income</f>
        <v>50172</v>
      </c>
      <c r="I55" s="2989"/>
      <c r="J55" s="2997"/>
      <c r="L55" s="7">
        <f>IF(taxable_income&lt;=0,1,0)</f>
        <v>0</v>
      </c>
    </row>
    <row r="56" spans="1:13" x14ac:dyDescent="0.2">
      <c r="A56" s="3370" t="s">
        <v>65</v>
      </c>
      <c r="B56" s="406"/>
      <c r="C56" s="2992"/>
      <c r="D56" s="2992"/>
      <c r="E56" s="2989"/>
      <c r="F56" s="2989"/>
      <c r="G56" s="86"/>
      <c r="H56" s="2989"/>
      <c r="I56" s="2989"/>
      <c r="J56" s="2997"/>
      <c r="L56" s="7">
        <v>1</v>
      </c>
    </row>
    <row r="57" spans="1:13" x14ac:dyDescent="0.2">
      <c r="A57" s="3374" t="s">
        <v>66</v>
      </c>
      <c r="B57" s="406"/>
      <c r="C57" s="2990" t="s">
        <v>5996</v>
      </c>
      <c r="D57" s="2990"/>
      <c r="E57" s="2989"/>
      <c r="F57" s="2989"/>
      <c r="G57" s="2989"/>
      <c r="H57" s="2989"/>
      <c r="I57" s="2989"/>
      <c r="J57" s="2997"/>
      <c r="L57" s="7">
        <v>1</v>
      </c>
    </row>
    <row r="58" spans="1:13" x14ac:dyDescent="0.2">
      <c r="A58" s="3384" t="s">
        <v>67</v>
      </c>
      <c r="B58" s="406"/>
      <c r="C58" s="4509" t="str">
        <f>"Mae'ch terfyn cyfradd sylfaenol wedi ei gynyddu gan "&amp;DOLLAR(ppr_extender,0)&amp;" a "&amp;DOLLAR(gift_extender,0)&amp;" i "&amp;DOLLAR(extended_BR,0)</f>
        <v>Mae'ch terfyn cyfradd sylfaenol wedi ei gynyddu gan $1,000 a $625 i $39,125</v>
      </c>
      <c r="D58" s="4509"/>
      <c r="E58" s="4509"/>
      <c r="F58" s="4509"/>
      <c r="G58" s="4509"/>
      <c r="H58" s="4509"/>
      <c r="I58" s="4509"/>
      <c r="J58" s="4509"/>
      <c r="K58" s="2989"/>
      <c r="L58" s="3152">
        <f>IF(AND('Status (c3a)'!E21=1,ppr_extender&gt;0,gift_extender&gt;0),1,IF(AND('Status (c3a)'!E21=3,ppr_extender&gt;0,gift_extender&gt;0),1,0))</f>
        <v>0</v>
      </c>
      <c r="M58" s="2707"/>
    </row>
    <row r="59" spans="1:13" x14ac:dyDescent="0.2">
      <c r="A59" s="3373"/>
      <c r="B59" s="406"/>
      <c r="C59" s="4509" t="s">
        <v>8956</v>
      </c>
      <c r="D59" s="4509"/>
      <c r="E59" s="4509"/>
      <c r="F59" s="4509"/>
      <c r="G59" s="4509"/>
      <c r="H59" s="4509"/>
      <c r="I59" s="4509"/>
      <c r="J59" s="4509"/>
      <c r="K59" s="2989"/>
      <c r="L59" s="3152">
        <f>IF(AND('Status (c3a)'!E21=1,ppr_extender&gt;0,gift_extender&gt;0),1,IF(AND('Status (c3a)'!E21=3,ppr_extender&gt;0,gift_extender&gt;0),1,0))</f>
        <v>0</v>
      </c>
    </row>
    <row r="60" spans="1:13" x14ac:dyDescent="0.2">
      <c r="A60" s="3375" t="s">
        <v>4011</v>
      </c>
      <c r="B60" s="775"/>
      <c r="C60" s="4509" t="str">
        <f>"Mae'ch terfyn cyfradd sylfaenol wedi ei gynyddu gan "&amp;DOLLAR(ppr_extender,0)&amp;" i "&amp;DOLLAR(extended_BR,0)&amp;" ar gyfer taliadau pensiwn ayb."</f>
        <v>Mae'ch terfyn cyfradd sylfaenol wedi ei gynyddu gan $1,000 i $39,125 ar gyfer taliadau pensiwn ayb.</v>
      </c>
      <c r="D60" s="4509"/>
      <c r="E60" s="4509"/>
      <c r="F60" s="4509"/>
      <c r="G60" s="4509"/>
      <c r="H60" s="4509"/>
      <c r="I60" s="4509"/>
      <c r="J60" s="4509"/>
      <c r="K60" s="2989"/>
      <c r="L60" s="3152">
        <f>IF(AND('Status (c3a)'!E21=1,ppr_extender&gt;0,gift_extender=0),1,IF(AND('Status (c3a)'!E21=3,ppr_extender&gt;0,gift_extender=0),1,0))</f>
        <v>0</v>
      </c>
      <c r="M60" s="2707"/>
    </row>
    <row r="61" spans="1:13" x14ac:dyDescent="0.2">
      <c r="A61" s="3373"/>
      <c r="B61" s="775"/>
      <c r="C61" s="4196" t="s">
        <v>7461</v>
      </c>
      <c r="D61" s="4196"/>
      <c r="E61" s="4196"/>
      <c r="F61" s="4196"/>
      <c r="G61" s="4196"/>
      <c r="H61" s="4196"/>
      <c r="I61" s="4196"/>
      <c r="J61" s="4196"/>
      <c r="K61" s="4195"/>
      <c r="L61" s="3152">
        <f>IF(AND('Status (c3a)'!E22=1,ppr_extender&gt;0,gift_extender=0),1,IF(AND('Status (c3a)'!E22=3,ppr_extender&gt;0,gift_extender=0),1,0))</f>
        <v>0</v>
      </c>
      <c r="M61" s="2707"/>
    </row>
    <row r="62" spans="1:13" x14ac:dyDescent="0.2">
      <c r="A62" s="3373" t="s">
        <v>4011</v>
      </c>
      <c r="B62" s="775"/>
      <c r="C62" s="4509" t="str">
        <f>"Mae'ch terfyn cyfradd sylfaenol wedi ei gynyddu gan "&amp;DOLLAR(gift_extender,0)&amp;" i "&amp;DOLLAR(extended_BR,0)&amp;" ar gyfer taliadau rhodd cymorth ayb."</f>
        <v>Mae'ch terfyn cyfradd sylfaenol wedi ei gynyddu gan $625 i $39,125 ar gyfer taliadau rhodd cymorth ayb.</v>
      </c>
      <c r="D62" s="4509"/>
      <c r="E62" s="4509"/>
      <c r="F62" s="4509"/>
      <c r="G62" s="4509"/>
      <c r="H62" s="4509"/>
      <c r="I62" s="4509"/>
      <c r="J62" s="4509"/>
      <c r="K62" s="2989"/>
      <c r="L62" s="3152">
        <f>IF(AND('Status (c3a)'!E21=1,ppr_extender=0,gift_extender&gt;0),1,IF(AND('Status (c3a)'!E21=3,ppr_extender=0,gift_extender&gt;0),1,0))</f>
        <v>0</v>
      </c>
      <c r="M62" s="2707"/>
    </row>
    <row r="63" spans="1:13" x14ac:dyDescent="0.2">
      <c r="A63" s="3372"/>
      <c r="B63" s="775"/>
      <c r="C63" s="3124" t="s">
        <v>7461</v>
      </c>
      <c r="D63" s="3124"/>
      <c r="E63" s="3124"/>
      <c r="F63" s="3124"/>
      <c r="G63" s="3124"/>
      <c r="H63" s="3124"/>
      <c r="I63" s="3124"/>
      <c r="J63" s="3124"/>
      <c r="K63" s="3123"/>
      <c r="L63" s="3152">
        <f>IF(AND('Status (c3a)'!E22=1,ppr_extender=0,gift_extender&gt;0),1,IF(AND('Status (c3a)'!E22=3,ppr_extender=0,gift_extender&gt;0),1,0))</f>
        <v>0</v>
      </c>
      <c r="M63" s="2707"/>
    </row>
    <row r="64" spans="1:13" x14ac:dyDescent="0.2">
      <c r="A64" s="3374" t="s">
        <v>6474</v>
      </c>
      <c r="B64" s="406"/>
      <c r="C64" s="4537" t="str">
        <f>"Mae’ch taliadau pensiwn o "&amp;DOLLAR(ppr_extender,0)&amp;" a’ch cyfraniadau Rhodd Cymorth o "&amp;DOLLAR(gift_extender,0)&amp;" wedi cynyddu’ch terfynau cyfradd sylfaenol."</f>
        <v>Mae’ch taliadau pensiwn o $1,000 a’ch cyfraniadau Rhodd Cymorth o $625 wedi cynyddu’ch terfynau cyfradd sylfaenol.</v>
      </c>
      <c r="D64" s="4537"/>
      <c r="E64" s="4537"/>
      <c r="F64" s="4537"/>
      <c r="G64" s="4537"/>
      <c r="H64" s="4537"/>
      <c r="I64" s="4537"/>
      <c r="J64" s="4537"/>
      <c r="K64" s="2989"/>
      <c r="L64" s="979">
        <f>IF(AND('Status (c3a)'!E21=2,ppr_extender&gt;0,gift_extender&gt;0),1,0)</f>
        <v>1</v>
      </c>
      <c r="M64" s="2707"/>
    </row>
    <row r="65" spans="1:13" x14ac:dyDescent="0.2">
      <c r="A65" s="3373"/>
      <c r="B65" s="775"/>
      <c r="C65" s="4537" t="s">
        <v>8956</v>
      </c>
      <c r="D65" s="4537"/>
      <c r="E65" s="4537"/>
      <c r="F65" s="4537"/>
      <c r="G65" s="4537"/>
      <c r="H65" s="4537"/>
      <c r="I65" s="4537"/>
      <c r="J65" s="4537"/>
      <c r="L65" s="979">
        <f>IF(AND('Status (c3a)'!E22=2,ppr_extender&gt;0,gift_extender&gt;0),1,0)</f>
        <v>0</v>
      </c>
    </row>
    <row r="66" spans="1:13" x14ac:dyDescent="0.2">
      <c r="A66" s="3373" t="s">
        <v>4011</v>
      </c>
      <c r="B66" s="2763"/>
      <c r="C66" s="4537" t="str">
        <f>"Mae’ch taliadau pensiwn o "&amp;DOLLAR(ppr_extender,0)&amp;" wedi cynyddu’ch terfynau cyfradd sylfaenol."</f>
        <v>Mae’ch taliadau pensiwn o $1,000 wedi cynyddu’ch terfynau cyfradd sylfaenol.</v>
      </c>
      <c r="D66" s="4537"/>
      <c r="E66" s="4537"/>
      <c r="F66" s="4537"/>
      <c r="G66" s="4537"/>
      <c r="H66" s="4537"/>
      <c r="I66" s="4537"/>
      <c r="J66" s="4537"/>
      <c r="K66" s="2989"/>
      <c r="L66" s="979">
        <f>IF(AND('Status (c3a)'!E21=2,ppr_extender&gt;0,gift_extender=0),1,0)</f>
        <v>0</v>
      </c>
      <c r="M66" s="2707"/>
    </row>
    <row r="67" spans="1:13" x14ac:dyDescent="0.2">
      <c r="A67" s="3373"/>
      <c r="B67" s="775"/>
      <c r="C67" s="4537" t="s">
        <v>8955</v>
      </c>
      <c r="D67" s="4537"/>
      <c r="E67" s="4537"/>
      <c r="F67" s="4537"/>
      <c r="G67" s="4537"/>
      <c r="H67" s="4537"/>
      <c r="I67" s="4537"/>
      <c r="J67" s="4537"/>
      <c r="L67" s="979">
        <f>IF(AND('Status (c3a)'!E22=2,ppr_extender&gt;0,gift_extender=0),1,0)</f>
        <v>0</v>
      </c>
    </row>
    <row r="68" spans="1:13" x14ac:dyDescent="0.2">
      <c r="A68" s="3375" t="s">
        <v>4011</v>
      </c>
      <c r="B68" s="2763"/>
      <c r="C68" s="4537" t="str">
        <f>"Mae'ch terfyn cyfradd sylfaenol wedi ei gynyddu gan "&amp;DOLLAR(gift_extender,0)&amp;" i "&amp;DOLLAR(extended_BR,0)&amp;" ar gyfer taliadau rhodd cymorth ayb."</f>
        <v>Mae'ch terfyn cyfradd sylfaenol wedi ei gynyddu gan $625 i $39,125 ar gyfer taliadau rhodd cymorth ayb.</v>
      </c>
      <c r="D68" s="4537"/>
      <c r="E68" s="4537"/>
      <c r="F68" s="4537"/>
      <c r="G68" s="4537"/>
      <c r="H68" s="4537"/>
      <c r="I68" s="4537"/>
      <c r="J68" s="4537"/>
      <c r="K68" s="2991"/>
      <c r="L68" s="979">
        <f>IF(AND('Status (c3a)'!E21=2,ppr_extender=0,gift_extender&gt;0),1,0)</f>
        <v>0</v>
      </c>
    </row>
    <row r="69" spans="1:13" x14ac:dyDescent="0.2">
      <c r="A69" s="3373"/>
      <c r="B69" s="775"/>
      <c r="C69" s="4537" t="s">
        <v>8955</v>
      </c>
      <c r="D69" s="4537"/>
      <c r="E69" s="4537"/>
      <c r="F69" s="4537"/>
      <c r="G69" s="4537"/>
      <c r="H69" s="4537"/>
      <c r="I69" s="4537"/>
      <c r="J69" s="4537"/>
      <c r="L69" s="979">
        <f>IF(AND('Status (c3a)'!E22=2,ppr_extender=0,gift_extender&gt;0),1,0)</f>
        <v>0</v>
      </c>
    </row>
    <row r="70" spans="1:13" x14ac:dyDescent="0.2">
      <c r="A70" s="3479" t="s">
        <v>4011</v>
      </c>
      <c r="B70" s="3480"/>
      <c r="C70" s="4513" t="s">
        <v>7077</v>
      </c>
      <c r="D70" s="4513"/>
      <c r="E70" s="4513"/>
      <c r="F70" s="4513"/>
      <c r="G70" s="4513"/>
      <c r="H70" s="4513"/>
      <c r="I70" s="4513"/>
      <c r="J70" s="4513"/>
      <c r="K70" s="3894"/>
      <c r="L70" s="3481">
        <v>0</v>
      </c>
    </row>
    <row r="71" spans="1:13" x14ac:dyDescent="0.2">
      <c r="A71" s="3370" t="s">
        <v>69</v>
      </c>
      <c r="B71" s="406"/>
      <c r="C71" s="537"/>
      <c r="D71" s="537"/>
      <c r="E71" s="2989"/>
      <c r="F71" s="2989"/>
      <c r="G71" s="86"/>
      <c r="H71" s="2989"/>
      <c r="I71" s="764"/>
      <c r="J71" s="2997"/>
      <c r="L71" s="7">
        <v>1</v>
      </c>
    </row>
    <row r="72" spans="1:13" x14ac:dyDescent="0.2">
      <c r="A72" s="3384" t="s">
        <v>5158</v>
      </c>
      <c r="B72" s="406"/>
      <c r="C72" s="3208"/>
      <c r="D72" s="3208"/>
      <c r="E72" s="3209"/>
      <c r="F72" s="3149"/>
      <c r="G72" s="3207" t="s">
        <v>7365</v>
      </c>
      <c r="I72" s="87"/>
      <c r="J72" s="402"/>
      <c r="L72" s="7">
        <f>IF(AND(Residency_Status_in_UK=1,(taxable_pay_SSR+taxable_pay_BR+taxable_pay_SIR+taxable_pay_HR+taxable_pay_AHR)&gt;0),1,0)</f>
        <v>0</v>
      </c>
    </row>
    <row r="73" spans="1:13" x14ac:dyDescent="0.2">
      <c r="A73" s="3373" t="s">
        <v>4011</v>
      </c>
      <c r="B73" s="406"/>
      <c r="C73" s="4499" t="s">
        <v>7364</v>
      </c>
      <c r="D73" s="4499"/>
      <c r="E73" s="4499"/>
      <c r="F73" s="4499"/>
      <c r="G73" s="4499"/>
      <c r="H73" s="3140"/>
      <c r="I73" s="87"/>
      <c r="J73" s="402"/>
      <c r="L73" s="7">
        <f>IF(AND('Status (c3a)'!E21=2,(taxable_pay_SSR+taxable_pay_BR+taxable_pay_SIR+taxable_pay_HR+taxable_pay_AHR)&gt;0),1,0)</f>
        <v>1</v>
      </c>
    </row>
    <row r="74" spans="1:13" x14ac:dyDescent="0.2">
      <c r="A74" s="3377" t="s">
        <v>4011</v>
      </c>
      <c r="B74" s="3147"/>
      <c r="C74" s="3148"/>
      <c r="D74" s="3148"/>
      <c r="E74" s="3148"/>
      <c r="F74" s="3148"/>
      <c r="G74" s="3148" t="s">
        <v>8949</v>
      </c>
      <c r="H74" s="3149"/>
      <c r="I74" s="3150"/>
      <c r="J74" s="3151"/>
      <c r="K74" s="3152"/>
      <c r="L74" s="3152">
        <f>IF(AND('Status (c3a)'!E21=3,(taxable_pay_SSR+taxable_pay_BR+taxable_pay_SIR+taxable_pay_HR+taxable_pay_AHR)&gt;0),1,0)</f>
        <v>0</v>
      </c>
    </row>
    <row r="75" spans="1:13" x14ac:dyDescent="0.2">
      <c r="A75" s="3372" t="s">
        <v>4011</v>
      </c>
      <c r="B75" s="406"/>
      <c r="C75" s="4499" t="s">
        <v>7362</v>
      </c>
      <c r="D75" s="4499"/>
      <c r="E75" s="4499"/>
      <c r="F75" s="4499"/>
      <c r="G75" s="4499"/>
      <c r="I75" s="87"/>
      <c r="J75" s="402"/>
      <c r="L75" s="7">
        <f>IF(AND(non_resident,(taxable_pay_SSR+taxable_pay_BR+taxable_pay_SIR+taxable_pay_HR+taxable_pay_AHR)&gt;0),1,0)</f>
        <v>0</v>
      </c>
    </row>
    <row r="76" spans="1:13" x14ac:dyDescent="0.2">
      <c r="A76" s="3370" t="s">
        <v>6773</v>
      </c>
      <c r="B76" s="406"/>
      <c r="C76" s="537"/>
      <c r="D76" s="537"/>
      <c r="E76" s="2994"/>
      <c r="F76" s="4499" t="s">
        <v>8948</v>
      </c>
      <c r="G76" s="4499"/>
      <c r="H76" s="765">
        <f>taxable_pay_SSR</f>
        <v>2049</v>
      </c>
      <c r="I76" s="87" t="str">
        <f>"x "&amp;SSR_rate*100&amp;"% ="</f>
        <v>x 19% =</v>
      </c>
      <c r="J76" s="402">
        <f>tax_on_pay_SSR</f>
        <v>389.31</v>
      </c>
      <c r="L76" s="7">
        <f>IF(AND('Status (c3a)'!E21=2,(taxable_pay_SSR+taxable_pay_BR+taxable_pay_SIR+taxable_pay_HR+taxable_pay_AHR)&gt;0),1,0)</f>
        <v>1</v>
      </c>
    </row>
    <row r="77" spans="1:13" x14ac:dyDescent="0.2">
      <c r="A77" s="3374" t="s">
        <v>70</v>
      </c>
      <c r="B77" s="406"/>
      <c r="C77" s="537"/>
      <c r="D77" s="537"/>
      <c r="E77" s="2994"/>
      <c r="G77" s="2995" t="s">
        <v>6066</v>
      </c>
      <c r="H77" s="765">
        <f>taxable_pay_BR</f>
        <v>12020</v>
      </c>
      <c r="I77" s="87" t="str">
        <f>"x "&amp;BR_rate*100&amp;"% ="</f>
        <v>x 20% =</v>
      </c>
      <c r="J77" s="402">
        <f>tax_on_pay_BR</f>
        <v>2404</v>
      </c>
      <c r="L77" s="7">
        <f>IF(AND('Status (c3a)'!E21=1,(taxable_pay_BR+taxable_pay_HR+taxable_pay_AHR)&gt;0),1,0)</f>
        <v>0</v>
      </c>
    </row>
    <row r="78" spans="1:13" x14ac:dyDescent="0.2">
      <c r="A78" s="3373" t="s">
        <v>4011</v>
      </c>
      <c r="B78" s="406"/>
      <c r="C78" s="2802"/>
      <c r="D78" s="2802"/>
      <c r="E78" s="2994"/>
      <c r="F78" s="4499" t="s">
        <v>6066</v>
      </c>
      <c r="G78" s="4499"/>
      <c r="H78" s="765">
        <f>taxable_pay_BR</f>
        <v>12020</v>
      </c>
      <c r="I78" s="87" t="str">
        <f>"x "&amp;SBR_rate*100&amp;"% ="</f>
        <v>x 20% =</v>
      </c>
      <c r="J78" s="402">
        <f>tax_on_pay_BR</f>
        <v>2404</v>
      </c>
      <c r="L78" s="7">
        <f>IF(AND('Status (c3a)'!E21=2,(taxable_pay_BR+taxable_pay_HR+taxable_pay_AHR)&gt;0),1,0)</f>
        <v>1</v>
      </c>
      <c r="M78" s="979"/>
    </row>
    <row r="79" spans="1:13" x14ac:dyDescent="0.2">
      <c r="A79" s="3377" t="s">
        <v>4011</v>
      </c>
      <c r="B79" s="3147"/>
      <c r="C79" s="3236"/>
      <c r="D79" s="3236"/>
      <c r="E79" s="3209"/>
      <c r="F79" s="4514" t="s">
        <v>6066</v>
      </c>
      <c r="G79" s="4514"/>
      <c r="H79" s="3235"/>
      <c r="I79" s="3150" t="str">
        <f>"x "&amp;WBR_rate*100&amp;"% ="</f>
        <v>x 20% =</v>
      </c>
      <c r="J79" s="3151">
        <f>tax_on_pay_BR</f>
        <v>2404</v>
      </c>
      <c r="K79" s="3152"/>
      <c r="L79" s="3152">
        <f>IF(AND('Status (c3a)'!E21=3,(taxable_pay_BR+taxable_pay_HR+taxable_pay_AHR)&gt;0),1,0)</f>
        <v>0</v>
      </c>
    </row>
    <row r="80" spans="1:13" x14ac:dyDescent="0.2">
      <c r="A80" s="3370" t="s">
        <v>6772</v>
      </c>
      <c r="B80" s="406"/>
      <c r="C80" s="537"/>
      <c r="D80" s="537"/>
      <c r="E80" s="2994"/>
      <c r="F80" s="4499" t="s">
        <v>8947</v>
      </c>
      <c r="G80" s="4499"/>
      <c r="H80" s="765">
        <f>taxable_pay_SIR</f>
        <v>18486</v>
      </c>
      <c r="I80" s="87" t="s">
        <v>6774</v>
      </c>
      <c r="J80" s="402">
        <f>tax_on_pay_SIR</f>
        <v>3882.06</v>
      </c>
      <c r="L80" s="7">
        <f>IF(AND('Status (c3a)'!E21=2,(taxable_pay_SIR+taxable_pay_HR+taxable_pay_AHR)&gt;0),1,0)</f>
        <v>1</v>
      </c>
    </row>
    <row r="81" spans="1:12" x14ac:dyDescent="0.2">
      <c r="A81" s="3374" t="s">
        <v>71</v>
      </c>
      <c r="B81" s="406"/>
      <c r="C81" s="537"/>
      <c r="D81" s="537"/>
      <c r="E81" s="2994"/>
      <c r="G81" s="2995" t="s">
        <v>6067</v>
      </c>
      <c r="H81" s="765">
        <f>taxable_pay_HR</f>
        <v>1189</v>
      </c>
      <c r="I81" s="87" t="str">
        <f>"x "&amp;HR_rate*100&amp;"% ="</f>
        <v>x 40% =</v>
      </c>
      <c r="J81" s="402">
        <f>tax_on_pay_HR</f>
        <v>487.49</v>
      </c>
      <c r="L81" s="7">
        <f>IF(AND('Status (c3a)'!E21=1,taxable_pay_HR+taxable_pay_AHR&gt;0),1,0)</f>
        <v>0</v>
      </c>
    </row>
    <row r="82" spans="1:12" x14ac:dyDescent="0.2">
      <c r="A82" s="3373" t="s">
        <v>4011</v>
      </c>
      <c r="B82" s="406"/>
      <c r="C82" s="537"/>
      <c r="D82" s="537"/>
      <c r="E82" s="2994"/>
      <c r="F82" s="4499" t="s">
        <v>6067</v>
      </c>
      <c r="G82" s="4499"/>
      <c r="H82" s="765">
        <f>taxable_pay_HR</f>
        <v>1189</v>
      </c>
      <c r="I82" s="87" t="str">
        <f>"x "&amp;SHR_rate*100&amp;"% ="</f>
        <v>x 41% =</v>
      </c>
      <c r="J82" s="402">
        <f>tax_on_pay_HR</f>
        <v>487.49</v>
      </c>
      <c r="L82" s="7">
        <f>IF(AND('Status (c3a)'!E21=2,taxable_pay_HR+taxable_pay_AHR&gt;0),1,0)</f>
        <v>1</v>
      </c>
    </row>
    <row r="83" spans="1:12" x14ac:dyDescent="0.2">
      <c r="A83" s="3377" t="s">
        <v>4011</v>
      </c>
      <c r="B83" s="3147"/>
      <c r="C83" s="3208"/>
      <c r="D83" s="3208"/>
      <c r="E83" s="3209"/>
      <c r="F83" s="4514" t="s">
        <v>6067</v>
      </c>
      <c r="G83" s="4514"/>
      <c r="H83" s="3235">
        <f>taxable_pay_HR</f>
        <v>1189</v>
      </c>
      <c r="I83" s="3150" t="str">
        <f>"x "&amp;WHR_rate*100&amp;"% ="</f>
        <v>x 40% =</v>
      </c>
      <c r="J83" s="3151">
        <f>tax_on_pay_HR</f>
        <v>487.49</v>
      </c>
      <c r="K83" s="3152"/>
      <c r="L83" s="3152">
        <f>IF(AND('Status (c3a)'!E21=3,taxable_pay_HR+taxable_pay_AHR&gt;0),1,0)</f>
        <v>0</v>
      </c>
    </row>
    <row r="84" spans="1:12" x14ac:dyDescent="0.2">
      <c r="A84" s="3370" t="s">
        <v>3699</v>
      </c>
      <c r="B84" s="406"/>
      <c r="C84" s="537"/>
      <c r="D84" s="537"/>
      <c r="E84" s="2994"/>
      <c r="G84" s="2995" t="s">
        <v>6068</v>
      </c>
      <c r="H84" s="765">
        <f>taxable_pay_AHR</f>
        <v>0</v>
      </c>
      <c r="I84" s="87" t="str">
        <f>"x "&amp;AHR_rate*100&amp;"% ="</f>
        <v>x 45% =</v>
      </c>
      <c r="J84" s="402">
        <f>tax_on_pay_AHR</f>
        <v>0</v>
      </c>
      <c r="L84" s="7">
        <f>IF(AND('Status (c3a)'!E21=1,taxable_pay_AHR&gt;0),1,0)</f>
        <v>0</v>
      </c>
    </row>
    <row r="85" spans="1:12" x14ac:dyDescent="0.2">
      <c r="A85" s="3384" t="s">
        <v>4011</v>
      </c>
      <c r="B85" s="406"/>
      <c r="C85" s="537"/>
      <c r="D85" s="537"/>
      <c r="E85" s="2994"/>
      <c r="F85" s="4499" t="s">
        <v>8946</v>
      </c>
      <c r="G85" s="4499"/>
      <c r="H85" s="765">
        <f>taxable_pay_AHR</f>
        <v>0</v>
      </c>
      <c r="I85" s="87" t="str">
        <f>"x "&amp;SAHR_rate*100&amp;"% ="</f>
        <v>x 46% =</v>
      </c>
      <c r="J85" s="402">
        <f>tax_on_pay_AHR</f>
        <v>0</v>
      </c>
      <c r="L85" s="7">
        <f>IF(AND('Status (c3a)'!E21=2,taxable_pay_AHR&gt;0),1,0)</f>
        <v>0</v>
      </c>
    </row>
    <row r="86" spans="1:12" x14ac:dyDescent="0.2">
      <c r="A86" s="3378" t="s">
        <v>4011</v>
      </c>
      <c r="B86" s="3147"/>
      <c r="C86" s="3208"/>
      <c r="D86" s="3208"/>
      <c r="E86" s="3209"/>
      <c r="F86" s="3215"/>
      <c r="G86" s="3215" t="s">
        <v>6068</v>
      </c>
      <c r="H86" s="3235">
        <f>taxable_pay_AHR</f>
        <v>0</v>
      </c>
      <c r="I86" s="3150" t="str">
        <f>"x "&amp;WAHR_rate*100&amp;"% ="</f>
        <v>x 45% =</v>
      </c>
      <c r="J86" s="3151">
        <f>tax_on_pay_AHR</f>
        <v>0</v>
      </c>
      <c r="K86" s="3152"/>
      <c r="L86" s="3152">
        <f>IF(AND('Status (c3a)'!E21=3,taxable_pay_AHR&gt;0),1,0)</f>
        <v>0</v>
      </c>
    </row>
    <row r="87" spans="1:12" x14ac:dyDescent="0.2">
      <c r="A87" s="3370" t="s">
        <v>72</v>
      </c>
      <c r="B87" s="406"/>
      <c r="C87" s="537"/>
      <c r="D87" s="537"/>
      <c r="E87" s="2994"/>
      <c r="G87" s="7"/>
      <c r="H87" s="401"/>
      <c r="I87" s="2995"/>
      <c r="J87" s="404"/>
      <c r="L87" s="7">
        <f>IF(AND((taxable_pay_BR+taxable_pay_HR+taxable_pay_AHR)&gt;0,OR((income_Savings_taxfree_BR+Income_Savings_taxfree_HR+taxable_int_SR+taxable_int_BR+taxable_int_HR+taxable_int_AHR)&gt;0,(divs_taxfree_BR+taxable_divs_BR+divs_taxfree_HR+taxable_divs_HR+taxable_divs_AHR+divs_taxfree_AHR)&gt;0)),1,0)</f>
        <v>1</v>
      </c>
    </row>
    <row r="88" spans="1:12" x14ac:dyDescent="0.2">
      <c r="A88" s="3384" t="s">
        <v>5153</v>
      </c>
      <c r="B88" s="406"/>
      <c r="C88" s="537"/>
      <c r="D88" s="537"/>
      <c r="F88" s="2994"/>
      <c r="G88" s="2995" t="s">
        <v>7368</v>
      </c>
      <c r="I88" s="87"/>
      <c r="J88" s="402"/>
      <c r="L88" s="7">
        <f>IF(AND(income_Savings_taxfree_BR+Income_Savings_taxfree_HR+taxable_int_SR+taxable_int_BR+taxable_int_HR+taxable_int_AHR&gt;0,income_CEG=0),1,0)</f>
        <v>1</v>
      </c>
    </row>
    <row r="89" spans="1:12" x14ac:dyDescent="0.2">
      <c r="A89" s="3373" t="s">
        <v>4011</v>
      </c>
      <c r="B89" s="406"/>
      <c r="C89" s="4499" t="s">
        <v>7366</v>
      </c>
      <c r="D89" s="4499"/>
      <c r="E89" s="4499"/>
      <c r="F89" s="4499"/>
      <c r="G89" s="4499"/>
      <c r="I89" s="87"/>
      <c r="J89" s="402"/>
      <c r="L89" s="7">
        <f>IF(AND(income_Savings_taxfree_BR+Income_Savings_taxfree_HR+taxable_int_SR+taxable_int_BR+taxable_int_HR+taxable_int_AHR&gt;0,income_CEG&gt;0),1,0)</f>
        <v>0</v>
      </c>
    </row>
    <row r="90" spans="1:12" x14ac:dyDescent="0.2">
      <c r="A90" s="3372" t="s">
        <v>4011</v>
      </c>
      <c r="B90" s="406"/>
      <c r="C90" s="4499" t="s">
        <v>7367</v>
      </c>
      <c r="D90" s="4499"/>
      <c r="E90" s="4499"/>
      <c r="F90" s="4499"/>
      <c r="G90" s="4499"/>
      <c r="I90" s="87"/>
      <c r="J90" s="402"/>
      <c r="L90" s="7">
        <f>IF(AND(income_Savings_taxfree_BR+Income_Savings_taxfree_HR+taxable_int_SR+taxable_int_BR+taxable_int_HR+taxable_int_AHR=0,income_CEG&gt;0),1,0)</f>
        <v>0</v>
      </c>
    </row>
    <row r="91" spans="1:12" x14ac:dyDescent="0.2">
      <c r="A91" s="3370" t="s">
        <v>5048</v>
      </c>
      <c r="B91" s="406"/>
      <c r="C91" s="537"/>
      <c r="D91" s="537"/>
      <c r="E91" s="2994"/>
      <c r="G91" s="2995" t="s">
        <v>6069</v>
      </c>
      <c r="H91" s="765">
        <f>taxable_int_SR</f>
        <v>0</v>
      </c>
      <c r="I91" s="87" t="s">
        <v>4581</v>
      </c>
      <c r="J91" s="402">
        <f>tax_on_int_SR</f>
        <v>0</v>
      </c>
      <c r="L91" s="7">
        <f>IF(AND(taxable_income&gt;0,taxable_int_SR+taxable_int_BR+taxable_int_HR+taxable_int_AHR&gt;0),1,0)</f>
        <v>1</v>
      </c>
    </row>
    <row r="92" spans="1:12" x14ac:dyDescent="0.2">
      <c r="A92" s="3379" t="s">
        <v>5049</v>
      </c>
      <c r="B92" s="406"/>
      <c r="C92" s="537"/>
      <c r="D92" s="537"/>
      <c r="E92" s="2994"/>
      <c r="F92" s="4499" t="s">
        <v>7387</v>
      </c>
      <c r="G92" s="4499"/>
      <c r="H92" s="1807">
        <f>income_Savings_taxfree_BR</f>
        <v>500</v>
      </c>
      <c r="I92" s="87" t="s">
        <v>4581</v>
      </c>
      <c r="J92" s="404">
        <v>0</v>
      </c>
      <c r="L92" s="7">
        <f>IF(income_Savings_taxfree_BR&gt;0,1,0)</f>
        <v>1</v>
      </c>
    </row>
    <row r="93" spans="1:12" x14ac:dyDescent="0.2">
      <c r="A93" s="3370" t="s">
        <v>772</v>
      </c>
      <c r="B93" s="406"/>
      <c r="C93" s="537"/>
      <c r="D93" s="537"/>
      <c r="E93" s="2994"/>
      <c r="G93" s="2995" t="s">
        <v>6066</v>
      </c>
      <c r="H93" s="765">
        <f>taxable_int_BR</f>
        <v>3178</v>
      </c>
      <c r="I93" s="87" t="s">
        <v>4578</v>
      </c>
      <c r="J93" s="402">
        <f>tax_on_int_BR</f>
        <v>635.6</v>
      </c>
      <c r="L93" s="7">
        <f>IF(taxable_int_BR+taxable_int_HR+taxable_int_AHR&gt;0,1,0)</f>
        <v>1</v>
      </c>
    </row>
    <row r="94" spans="1:12" x14ac:dyDescent="0.2">
      <c r="A94" s="3379" t="s">
        <v>6968</v>
      </c>
      <c r="B94" s="406"/>
      <c r="C94" s="537"/>
      <c r="D94" s="537"/>
      <c r="E94" s="2994"/>
      <c r="F94" s="4499" t="s">
        <v>7388</v>
      </c>
      <c r="G94" s="4499"/>
      <c r="H94" s="1807">
        <f>Income_Savings_taxfree_HR</f>
        <v>0</v>
      </c>
      <c r="I94" s="87" t="s">
        <v>4581</v>
      </c>
      <c r="J94" s="404">
        <v>0</v>
      </c>
      <c r="L94" s="7">
        <f>IF(Income_Savings_taxfree_HR&gt;0,1,0)</f>
        <v>0</v>
      </c>
    </row>
    <row r="95" spans="1:12" x14ac:dyDescent="0.2">
      <c r="A95" s="3370" t="s">
        <v>773</v>
      </c>
      <c r="B95" s="406"/>
      <c r="C95" s="537"/>
      <c r="D95" s="537"/>
      <c r="E95" s="2994"/>
      <c r="G95" s="2995" t="s">
        <v>6067</v>
      </c>
      <c r="H95" s="765">
        <f>taxable_int_HR</f>
        <v>0</v>
      </c>
      <c r="I95" s="87" t="s">
        <v>4579</v>
      </c>
      <c r="J95" s="402">
        <f>tax_on_int_HR</f>
        <v>0</v>
      </c>
      <c r="L95" s="7">
        <f>IF((taxable_int_HR+taxable_int_AHR)&gt;0,1,0)</f>
        <v>0</v>
      </c>
    </row>
    <row r="96" spans="1:12" x14ac:dyDescent="0.2">
      <c r="A96" s="3370" t="s">
        <v>3018</v>
      </c>
      <c r="B96" s="406"/>
      <c r="C96" s="537"/>
      <c r="D96" s="537"/>
      <c r="E96" s="2994"/>
      <c r="G96" s="2995" t="s">
        <v>6068</v>
      </c>
      <c r="H96" s="765">
        <f>taxable_int_AHR</f>
        <v>0</v>
      </c>
      <c r="I96" s="87" t="s">
        <v>4580</v>
      </c>
      <c r="J96" s="402">
        <f>tax_on_int_AHR</f>
        <v>0</v>
      </c>
      <c r="L96" s="7">
        <f>IF(taxable_int_AHR&gt;0,1,0)</f>
        <v>0</v>
      </c>
    </row>
    <row r="97" spans="1:13" x14ac:dyDescent="0.2">
      <c r="A97" s="3370" t="s">
        <v>774</v>
      </c>
      <c r="B97" s="406"/>
      <c r="C97" s="537"/>
      <c r="D97" s="537"/>
      <c r="E97" s="2994"/>
      <c r="G97" s="2995"/>
      <c r="H97" s="401"/>
      <c r="I97" s="2995"/>
      <c r="J97" s="404"/>
      <c r="L97" s="7">
        <f>IF(AND(income_Savings_taxfree_BR+taxable_int_SR+taxable_int_BR+income_Savings_taxfree_BR+taxable_int_HR+Income_Savings_taxfree_HR+taxable_int_AHR&gt;0,divs_taxfree_BR+taxable_divs_BR+taxable_divs_HR+divs_taxfree_HR+taxable_divs_AHR+divs_taxfree_AHR&gt;0),1,0)</f>
        <v>1</v>
      </c>
    </row>
    <row r="98" spans="1:13" x14ac:dyDescent="0.2">
      <c r="A98" s="3380" t="s">
        <v>5159</v>
      </c>
      <c r="B98" s="406"/>
      <c r="C98" s="537"/>
      <c r="D98" s="537"/>
      <c r="E98" s="2994"/>
      <c r="G98" s="2995" t="s">
        <v>5997</v>
      </c>
      <c r="I98" s="87"/>
      <c r="J98" s="404"/>
      <c r="L98" s="7">
        <f>IF(OR(taxable_divs_BR+taxable_divs_HR+taxable_divs_AHR&gt;0,divs_taxfree_BR&gt;0),1,0)</f>
        <v>1</v>
      </c>
    </row>
    <row r="99" spans="1:13" x14ac:dyDescent="0.2">
      <c r="A99" s="3380" t="s">
        <v>5065</v>
      </c>
      <c r="B99" s="406"/>
      <c r="C99" s="537"/>
      <c r="D99" s="537"/>
      <c r="E99" s="2994"/>
      <c r="G99" s="2995" t="s">
        <v>7387</v>
      </c>
      <c r="H99" s="1807">
        <f>divs_taxfree_BR</f>
        <v>1703</v>
      </c>
      <c r="I99" s="87" t="s">
        <v>4581</v>
      </c>
      <c r="J99" s="404">
        <v>0</v>
      </c>
      <c r="L99" s="7">
        <f>IF(divs_taxfree_BR&gt;0,1,0)</f>
        <v>1</v>
      </c>
      <c r="M99" s="979"/>
    </row>
    <row r="100" spans="1:13" x14ac:dyDescent="0.2">
      <c r="A100" s="3370" t="s">
        <v>5066</v>
      </c>
      <c r="B100" s="406"/>
      <c r="C100" s="537"/>
      <c r="D100" s="537"/>
      <c r="E100" s="2994"/>
      <c r="F100" s="981"/>
      <c r="G100" s="2995" t="s">
        <v>6066</v>
      </c>
      <c r="H100" s="765">
        <f>taxable_divs_BR</f>
        <v>0</v>
      </c>
      <c r="I100" s="2995" t="str">
        <f>"x "&amp;DivBR_rate*100&amp;"% ="</f>
        <v>x 7.5% =</v>
      </c>
      <c r="J100" s="402">
        <f>tax_on_divs_BR</f>
        <v>0</v>
      </c>
      <c r="L100" s="7">
        <f>IF((taxable_divs_BR+taxable_divs_HR+taxable_divs_AHR)&gt;0,1,0)</f>
        <v>1</v>
      </c>
      <c r="M100" s="979"/>
    </row>
    <row r="101" spans="1:13" x14ac:dyDescent="0.2">
      <c r="A101" s="3380" t="s">
        <v>6496</v>
      </c>
      <c r="B101" s="406"/>
      <c r="C101" s="537"/>
      <c r="D101" s="537"/>
      <c r="E101" s="2994"/>
      <c r="G101" s="2995" t="s">
        <v>7388</v>
      </c>
      <c r="H101" s="1807">
        <f>divs_taxfree_HR</f>
        <v>297</v>
      </c>
      <c r="I101" s="87" t="s">
        <v>4581</v>
      </c>
      <c r="J101" s="404">
        <v>0</v>
      </c>
      <c r="L101" s="7">
        <f>IF(divs_taxfree_HR&gt;0,1,0)</f>
        <v>1</v>
      </c>
      <c r="M101" s="979"/>
    </row>
    <row r="102" spans="1:13" x14ac:dyDescent="0.2">
      <c r="A102" s="3370" t="s">
        <v>775</v>
      </c>
      <c r="B102" s="406"/>
      <c r="C102" s="537"/>
      <c r="D102" s="537"/>
      <c r="E102" s="2989"/>
      <c r="F102" s="2989"/>
      <c r="G102" s="2995" t="s">
        <v>6067</v>
      </c>
      <c r="H102" s="765">
        <f>taxable_divs_HR</f>
        <v>10750</v>
      </c>
      <c r="I102" s="2995" t="str">
        <f>"x "&amp;DivHR_rate*100&amp;"% ="</f>
        <v>x 32.5% =</v>
      </c>
      <c r="J102" s="402">
        <f>tax_on_divs_HR</f>
        <v>3493.75</v>
      </c>
      <c r="L102" s="7">
        <f>IF((taxable_divs_HR+taxable_divs_AHR)&gt;0,1,0)</f>
        <v>1</v>
      </c>
      <c r="M102" s="979"/>
    </row>
    <row r="103" spans="1:13" x14ac:dyDescent="0.2">
      <c r="A103" s="3380" t="s">
        <v>6497</v>
      </c>
      <c r="B103" s="406"/>
      <c r="C103" s="537"/>
      <c r="D103" s="537"/>
      <c r="E103" s="2994"/>
      <c r="G103" s="2995" t="s">
        <v>7389</v>
      </c>
      <c r="H103" s="1807">
        <f>divs_taxfree_AHR</f>
        <v>0</v>
      </c>
      <c r="I103" s="87" t="s">
        <v>4581</v>
      </c>
      <c r="J103" s="404">
        <v>0</v>
      </c>
      <c r="L103" s="7">
        <f>IF(divs_taxfree_AHR&gt;0,1,0)</f>
        <v>0</v>
      </c>
      <c r="M103" s="979"/>
    </row>
    <row r="104" spans="1:13" x14ac:dyDescent="0.2">
      <c r="A104" s="3370" t="s">
        <v>1411</v>
      </c>
      <c r="B104" s="406"/>
      <c r="C104" s="537"/>
      <c r="D104" s="537"/>
      <c r="E104" s="2989"/>
      <c r="F104" s="2989"/>
      <c r="G104" s="2995" t="s">
        <v>6068</v>
      </c>
      <c r="H104" s="765">
        <f>taxable_divs_AHR</f>
        <v>0</v>
      </c>
      <c r="I104" s="2995" t="str">
        <f>"x "&amp;DivAR_rate*100&amp;"% ="</f>
        <v>x 38.1% =</v>
      </c>
      <c r="J104" s="402">
        <f>tax_on_divs_AHR</f>
        <v>0</v>
      </c>
      <c r="L104" s="7">
        <f>IF(taxable_divs_AHR&gt;0,1,0)</f>
        <v>0</v>
      </c>
      <c r="M104" s="979"/>
    </row>
    <row r="105" spans="1:13" x14ac:dyDescent="0.2">
      <c r="A105" s="3370" t="s">
        <v>776</v>
      </c>
      <c r="B105" s="406"/>
      <c r="C105" s="2990" t="s">
        <v>5998</v>
      </c>
      <c r="D105" s="2990"/>
      <c r="E105" s="2990"/>
      <c r="F105" s="2989"/>
      <c r="G105" s="2989"/>
      <c r="H105" s="839">
        <f>taxable_income</f>
        <v>50172</v>
      </c>
      <c r="J105" s="404"/>
      <c r="L105" s="7">
        <v>1</v>
      </c>
    </row>
    <row r="106" spans="1:13" x14ac:dyDescent="0.2">
      <c r="A106" s="3370" t="s">
        <v>777</v>
      </c>
      <c r="B106" s="406"/>
      <c r="J106" s="404"/>
      <c r="L106" s="7">
        <v>1</v>
      </c>
    </row>
    <row r="107" spans="1:13" x14ac:dyDescent="0.2">
      <c r="A107" s="3457" t="s">
        <v>778</v>
      </c>
      <c r="B107" s="3458"/>
      <c r="C107" s="3459" t="s">
        <v>5971</v>
      </c>
      <c r="D107" s="4515" t="s">
        <v>5999</v>
      </c>
      <c r="E107" s="4515"/>
      <c r="F107" s="4515"/>
      <c r="G107" s="3460"/>
      <c r="H107" s="3460"/>
      <c r="I107" s="3461"/>
      <c r="J107" s="3462">
        <v>0</v>
      </c>
      <c r="K107" s="3463"/>
      <c r="L107" s="3463">
        <v>0</v>
      </c>
    </row>
    <row r="108" spans="1:13" x14ac:dyDescent="0.2">
      <c r="A108" s="4215" t="s">
        <v>779</v>
      </c>
      <c r="B108" s="3681"/>
      <c r="C108" s="4217" t="s">
        <v>6000</v>
      </c>
      <c r="D108" s="4218"/>
      <c r="E108" s="4214"/>
      <c r="F108" s="4214"/>
      <c r="G108" s="4214"/>
      <c r="H108" s="4210"/>
      <c r="I108" s="4214"/>
      <c r="J108" s="4211">
        <v>0</v>
      </c>
      <c r="K108" s="3463"/>
      <c r="L108" s="3463">
        <v>0</v>
      </c>
    </row>
    <row r="109" spans="1:13" x14ac:dyDescent="0.2">
      <c r="A109" s="3373" t="s">
        <v>779</v>
      </c>
      <c r="B109" s="406"/>
      <c r="C109" s="90" t="s">
        <v>6000</v>
      </c>
      <c r="D109" s="82"/>
      <c r="E109" s="407"/>
      <c r="F109" s="407"/>
      <c r="G109" s="407"/>
      <c r="H109" s="767"/>
      <c r="I109" s="407"/>
      <c r="J109" s="408">
        <f>tax_charged</f>
        <v>11292.21</v>
      </c>
      <c r="L109" s="3468">
        <f>IF(tax_charged=Total_tax_NIC_due,1,0)</f>
        <v>0</v>
      </c>
    </row>
    <row r="110" spans="1:13" x14ac:dyDescent="0.2">
      <c r="A110" s="4300" t="s">
        <v>4011</v>
      </c>
      <c r="B110" s="3681"/>
      <c r="C110" s="4217" t="s">
        <v>6001</v>
      </c>
      <c r="D110" s="4218"/>
      <c r="E110" s="4214"/>
      <c r="F110" s="4214"/>
      <c r="G110" s="4214"/>
      <c r="H110" s="4210"/>
      <c r="I110" s="4214"/>
      <c r="J110" s="4211">
        <v>0</v>
      </c>
      <c r="K110" s="3463"/>
      <c r="L110" s="3463">
        <v>0</v>
      </c>
    </row>
    <row r="111" spans="1:13" x14ac:dyDescent="0.2">
      <c r="A111" s="3373" t="s">
        <v>4011</v>
      </c>
      <c r="B111" s="406"/>
      <c r="C111" s="90" t="s">
        <v>6001</v>
      </c>
      <c r="D111" s="82"/>
      <c r="E111" s="407"/>
      <c r="F111" s="407"/>
      <c r="G111" s="407"/>
      <c r="H111" s="407"/>
      <c r="I111" s="407"/>
      <c r="J111" s="408">
        <f>tax_charged</f>
        <v>11292.21</v>
      </c>
      <c r="L111" s="3468">
        <f>IF(tax_charged&lt;&gt;Total_tax_NIC_due,1,0)</f>
        <v>1</v>
      </c>
    </row>
    <row r="112" spans="1:13" x14ac:dyDescent="0.2">
      <c r="A112" s="3376" t="s">
        <v>2704</v>
      </c>
      <c r="B112" s="406"/>
      <c r="J112" s="404"/>
      <c r="L112" s="7">
        <v>1</v>
      </c>
    </row>
    <row r="113" spans="1:13" x14ac:dyDescent="0.2">
      <c r="A113" s="3376" t="s">
        <v>2301</v>
      </c>
      <c r="B113" s="406"/>
      <c r="C113" s="4" t="s">
        <v>5953</v>
      </c>
      <c r="D113" s="2999" t="s">
        <v>5954</v>
      </c>
      <c r="J113" s="404">
        <f>deficiency_relief</f>
        <v>0</v>
      </c>
      <c r="L113" s="7">
        <f>IF(deficiency_relief&gt;0,1,0)</f>
        <v>0</v>
      </c>
    </row>
    <row r="114" spans="1:13" x14ac:dyDescent="0.2">
      <c r="A114" s="3370" t="s">
        <v>2705</v>
      </c>
      <c r="B114" s="406"/>
      <c r="C114" s="4" t="s">
        <v>5953</v>
      </c>
      <c r="D114" s="2989" t="s">
        <v>5955</v>
      </c>
      <c r="F114" s="2989"/>
      <c r="G114" s="2989"/>
      <c r="H114" s="2989"/>
      <c r="I114" s="2989"/>
      <c r="J114" s="379">
        <f>TSR</f>
        <v>0</v>
      </c>
      <c r="L114" s="7">
        <f>IF(TSR&gt;0,1,0)</f>
        <v>0</v>
      </c>
    </row>
    <row r="115" spans="1:13" x14ac:dyDescent="0.2">
      <c r="A115" s="3370" t="s">
        <v>2706</v>
      </c>
      <c r="B115" s="406"/>
      <c r="C115" s="4" t="s">
        <v>5953</v>
      </c>
      <c r="D115" s="2989" t="s">
        <v>5956</v>
      </c>
      <c r="F115" s="2989"/>
      <c r="G115" s="2989"/>
      <c r="H115" s="2990"/>
      <c r="I115" s="2989"/>
      <c r="J115" s="379">
        <f>VCT</f>
        <v>0</v>
      </c>
      <c r="L115" s="7">
        <f>IF(VCT&gt;0,1,0)</f>
        <v>0</v>
      </c>
    </row>
    <row r="116" spans="1:13" x14ac:dyDescent="0.2">
      <c r="A116" s="3370" t="s">
        <v>2707</v>
      </c>
      <c r="B116" s="406"/>
      <c r="C116" s="4" t="s">
        <v>5953</v>
      </c>
      <c r="D116" s="2989" t="s">
        <v>5957</v>
      </c>
      <c r="F116" s="2989"/>
      <c r="G116" s="2989"/>
      <c r="I116" s="88"/>
      <c r="J116" s="379">
        <f>EIS</f>
        <v>0</v>
      </c>
      <c r="K116" s="86"/>
      <c r="L116" s="7">
        <f>IF(EIS&gt;0,1,0)</f>
        <v>0</v>
      </c>
    </row>
    <row r="117" spans="1:13" x14ac:dyDescent="0.2">
      <c r="A117" s="3370" t="s">
        <v>3021</v>
      </c>
      <c r="B117" s="406"/>
      <c r="C117" s="4" t="s">
        <v>5953</v>
      </c>
      <c r="D117" s="2989" t="s">
        <v>5958</v>
      </c>
      <c r="F117" s="2989"/>
      <c r="G117" s="2989"/>
      <c r="I117" s="88"/>
      <c r="J117" s="379">
        <f>SEIS_Relief</f>
        <v>0</v>
      </c>
      <c r="K117" s="86"/>
      <c r="L117" s="7">
        <f>IF(SEIS_Relief&gt;0,1,0)</f>
        <v>0</v>
      </c>
    </row>
    <row r="118" spans="1:13" x14ac:dyDescent="0.2">
      <c r="A118" s="3370" t="s">
        <v>2708</v>
      </c>
      <c r="B118" s="406"/>
      <c r="C118" s="4" t="s">
        <v>5953</v>
      </c>
      <c r="D118" s="2989" t="s">
        <v>5959</v>
      </c>
      <c r="F118" s="2989"/>
      <c r="G118" s="2989"/>
      <c r="H118" s="37"/>
      <c r="I118" s="37"/>
      <c r="J118" s="379">
        <f>CITR</f>
        <v>0</v>
      </c>
      <c r="K118" s="37"/>
      <c r="L118" s="7">
        <f>IF(CITR&gt;0,1,0)</f>
        <v>0</v>
      </c>
    </row>
    <row r="119" spans="1:13" x14ac:dyDescent="0.2">
      <c r="A119" s="3370" t="s">
        <v>1497</v>
      </c>
      <c r="B119" s="406"/>
      <c r="C119" s="4" t="s">
        <v>5953</v>
      </c>
      <c r="D119" s="2989" t="s">
        <v>5960</v>
      </c>
      <c r="F119" s="2989"/>
      <c r="G119" s="2989"/>
      <c r="H119" s="37"/>
      <c r="I119" s="37"/>
      <c r="J119" s="379">
        <f>SITR</f>
        <v>0</v>
      </c>
      <c r="K119" s="37"/>
      <c r="L119" s="7">
        <f>IF(SITR&gt;0,1,0)</f>
        <v>0</v>
      </c>
    </row>
    <row r="120" spans="1:13" x14ac:dyDescent="0.2">
      <c r="A120" s="3370" t="s">
        <v>2709</v>
      </c>
      <c r="B120" s="406"/>
      <c r="C120" s="4" t="s">
        <v>5953</v>
      </c>
      <c r="D120" s="2989" t="s">
        <v>5961</v>
      </c>
      <c r="F120" s="2989"/>
      <c r="G120" s="2989"/>
      <c r="H120" s="2989"/>
      <c r="I120" s="88"/>
      <c r="J120" s="379">
        <f>Alimony</f>
        <v>0</v>
      </c>
      <c r="L120" s="7">
        <f>IF(Alimony&gt;0,1,0)</f>
        <v>0</v>
      </c>
    </row>
    <row r="121" spans="1:13" x14ac:dyDescent="0.2">
      <c r="A121" s="3370" t="s">
        <v>1785</v>
      </c>
      <c r="B121" s="406"/>
      <c r="C121" s="4" t="s">
        <v>5953</v>
      </c>
      <c r="D121" s="2989" t="s">
        <v>5962</v>
      </c>
      <c r="F121" s="2989"/>
      <c r="H121" s="763">
        <f>MCA_amount</f>
        <v>0</v>
      </c>
      <c r="I121" s="1209" t="s">
        <v>4582</v>
      </c>
      <c r="J121" s="379">
        <f>MCA_relief</f>
        <v>0</v>
      </c>
      <c r="L121" s="7">
        <f>IF(MCA_amount&gt;0,1,0)</f>
        <v>0</v>
      </c>
    </row>
    <row r="122" spans="1:13" x14ac:dyDescent="0.2">
      <c r="A122" s="3370" t="s">
        <v>1786</v>
      </c>
      <c r="B122" s="406"/>
      <c r="C122" s="4" t="s">
        <v>5953</v>
      </c>
      <c r="D122" s="2989" t="s">
        <v>5963</v>
      </c>
      <c r="F122" s="2989"/>
      <c r="H122" s="763">
        <f>spare_MCA_amount</f>
        <v>0</v>
      </c>
      <c r="I122" s="1209" t="s">
        <v>4582</v>
      </c>
      <c r="J122" s="379">
        <f>spare_MCA_relief</f>
        <v>0</v>
      </c>
      <c r="L122" s="7">
        <f>IF(spare_MCA_amount&gt;0,1,0)</f>
        <v>0</v>
      </c>
    </row>
    <row r="123" spans="1:13" x14ac:dyDescent="0.2">
      <c r="A123" s="3370" t="s">
        <v>6120</v>
      </c>
      <c r="B123" s="406"/>
      <c r="C123" s="4" t="s">
        <v>5953</v>
      </c>
      <c r="D123" s="2997" t="s">
        <v>6037</v>
      </c>
      <c r="G123" s="37"/>
      <c r="H123" s="1808">
        <f>AllceIn_TPA</f>
        <v>0</v>
      </c>
      <c r="I123" s="1209" t="s">
        <v>4578</v>
      </c>
      <c r="J123" s="402">
        <f>AllceIn_TPA_relief</f>
        <v>0</v>
      </c>
      <c r="L123" s="7">
        <f>IF(AllceIn_TPA_relief&gt;0,1,0)</f>
        <v>0</v>
      </c>
    </row>
    <row r="124" spans="1:13" x14ac:dyDescent="0.2">
      <c r="A124" s="3381" t="s">
        <v>6266</v>
      </c>
      <c r="B124" s="406"/>
      <c r="C124" s="4" t="s">
        <v>5953</v>
      </c>
      <c r="D124" s="2989" t="s">
        <v>7377</v>
      </c>
      <c r="F124" s="2989"/>
      <c r="H124" s="763">
        <f>Llir_amount</f>
        <v>0</v>
      </c>
      <c r="I124" s="1209" t="s">
        <v>4578</v>
      </c>
      <c r="J124" s="379">
        <f>Llir_relief</f>
        <v>0</v>
      </c>
      <c r="L124" s="7">
        <f>IF(AND(Llir_amount&gt;0,Llir_amount=Llir_amount_restricted),1,0)</f>
        <v>0</v>
      </c>
    </row>
    <row r="125" spans="1:13" x14ac:dyDescent="0.2">
      <c r="A125" s="3382" t="s">
        <v>4011</v>
      </c>
      <c r="B125" s="406"/>
      <c r="C125" s="4" t="s">
        <v>5953</v>
      </c>
      <c r="D125" s="2989" t="str">
        <f>"Rhyddhad am gostau ariannol "&amp;DOLLAR(Llir_amount,0)&amp;" wedi’i ostwng i’r uchafswm a ganiateir "</f>
        <v xml:space="preserve">Rhyddhad am gostau ariannol $0 wedi’i ostwng i’r uchafswm a ganiateir </v>
      </c>
      <c r="F125" s="2989"/>
      <c r="H125" s="763">
        <f>Llir_amount_restricted</f>
        <v>0</v>
      </c>
      <c r="I125" s="1209" t="s">
        <v>4578</v>
      </c>
      <c r="J125" s="379">
        <f>Llir_relief</f>
        <v>0</v>
      </c>
      <c r="L125" s="7">
        <f>IF(AND(Llir_amount&gt;0,Llir_amount&gt;Llir_amount_restricted),1,0)</f>
        <v>0</v>
      </c>
    </row>
    <row r="126" spans="1:13" x14ac:dyDescent="0.2">
      <c r="A126" s="3372" t="s">
        <v>6849</v>
      </c>
      <c r="B126" s="406"/>
      <c r="C126" s="4" t="s">
        <v>5953</v>
      </c>
      <c r="D126" s="4494" t="s">
        <v>8961</v>
      </c>
      <c r="E126" s="4494"/>
      <c r="F126" s="4494"/>
      <c r="G126" s="4494"/>
      <c r="H126" s="763">
        <f>LFI_amount</f>
        <v>0</v>
      </c>
      <c r="I126" s="1209" t="s">
        <v>4578</v>
      </c>
      <c r="J126" s="379">
        <f>LFI_relief</f>
        <v>0</v>
      </c>
      <c r="L126" s="7">
        <f>IF(LFI_relief&gt;0,1,0)</f>
        <v>0</v>
      </c>
      <c r="M126" s="979"/>
    </row>
    <row r="127" spans="1:13" x14ac:dyDescent="0.2">
      <c r="A127" s="3370" t="s">
        <v>1787</v>
      </c>
      <c r="B127" s="406"/>
      <c r="C127" s="4" t="s">
        <v>5953</v>
      </c>
      <c r="D127" s="2991" t="s">
        <v>5964</v>
      </c>
      <c r="E127" s="2991"/>
      <c r="F127" s="86"/>
      <c r="H127" s="2989"/>
      <c r="J127" s="379">
        <f>notional_CEG</f>
        <v>0</v>
      </c>
      <c r="L127" s="7">
        <f>IF(notional_CEG&gt;0,1,0)</f>
        <v>0</v>
      </c>
    </row>
    <row r="128" spans="1:13" x14ac:dyDescent="0.2">
      <c r="A128" s="3370" t="s">
        <v>1788</v>
      </c>
      <c r="B128" s="406"/>
      <c r="C128" s="4" t="s">
        <v>5953</v>
      </c>
      <c r="D128" s="2989" t="s">
        <v>5965</v>
      </c>
      <c r="E128" s="3000"/>
      <c r="F128" s="86"/>
      <c r="H128" s="2989"/>
      <c r="J128" s="379">
        <f>notional_other</f>
        <v>0</v>
      </c>
      <c r="K128" s="979"/>
      <c r="L128" s="979">
        <f>IF(notional_other&gt;1,1,0)</f>
        <v>0</v>
      </c>
    </row>
    <row r="129" spans="1:13" x14ac:dyDescent="0.2">
      <c r="A129" s="3370" t="s">
        <v>947</v>
      </c>
      <c r="B129" s="406"/>
      <c r="C129" s="4" t="s">
        <v>5953</v>
      </c>
      <c r="D129" s="2989" t="s">
        <v>5966</v>
      </c>
      <c r="F129" s="86"/>
      <c r="G129" s="2989"/>
      <c r="H129" s="2989"/>
      <c r="I129" s="88"/>
      <c r="J129" s="379">
        <f>FTCR</f>
        <v>0</v>
      </c>
      <c r="L129" s="7">
        <f>IF(FTCR&gt;0,1,0)</f>
        <v>0</v>
      </c>
    </row>
    <row r="130" spans="1:13" x14ac:dyDescent="0.2">
      <c r="A130" s="3464" t="s">
        <v>8769</v>
      </c>
      <c r="B130" s="1944"/>
      <c r="C130" s="3458" t="s">
        <v>5971</v>
      </c>
      <c r="D130" s="4538" t="s">
        <v>5999</v>
      </c>
      <c r="E130" s="4538"/>
      <c r="F130" s="4538"/>
      <c r="G130" s="1945"/>
      <c r="H130" s="3465"/>
      <c r="I130" s="3466"/>
      <c r="J130" s="3467">
        <f>tax_on_excluded_inc</f>
        <v>0</v>
      </c>
      <c r="K130" s="1944"/>
      <c r="L130" s="1944">
        <f>IF(tax_on_excluded_inc&gt;0,1,0)</f>
        <v>0</v>
      </c>
      <c r="M130" s="1430"/>
    </row>
    <row r="131" spans="1:13" x14ac:dyDescent="0.2">
      <c r="A131" s="3942" t="s">
        <v>8777</v>
      </c>
      <c r="B131" s="406"/>
      <c r="C131" s="4" t="s">
        <v>5953</v>
      </c>
      <c r="D131" s="4494" t="s">
        <v>7376</v>
      </c>
      <c r="E131" s="4494"/>
      <c r="F131" s="4494"/>
      <c r="G131" s="4494"/>
      <c r="H131" s="4494"/>
      <c r="I131" s="88"/>
      <c r="J131" s="379">
        <f>div_tax_credits_s399</f>
        <v>0</v>
      </c>
      <c r="L131" s="7">
        <f>IF(div_tax_credits_s399&gt;0,1,0)</f>
        <v>0</v>
      </c>
    </row>
    <row r="132" spans="1:13" x14ac:dyDescent="0.2">
      <c r="A132" s="3370" t="s">
        <v>948</v>
      </c>
      <c r="B132" s="406"/>
      <c r="C132" s="4" t="s">
        <v>5953</v>
      </c>
      <c r="D132" s="2994" t="s">
        <v>5967</v>
      </c>
      <c r="F132" s="2994"/>
      <c r="G132" s="2994"/>
      <c r="H132" s="2994"/>
      <c r="I132" s="2187"/>
      <c r="J132" s="379">
        <f>relief_on_qual_distn</f>
        <v>0</v>
      </c>
      <c r="K132" s="979"/>
      <c r="L132" s="979">
        <f>IF(relief_on_qual_distn&gt;0,1,0)</f>
        <v>0</v>
      </c>
    </row>
    <row r="133" spans="1:13" x14ac:dyDescent="0.2">
      <c r="A133" s="4328" t="s">
        <v>831</v>
      </c>
      <c r="B133" s="3681"/>
      <c r="C133" s="4377" t="s">
        <v>5968</v>
      </c>
      <c r="D133" s="4378"/>
      <c r="E133" s="4301"/>
      <c r="F133" s="4301"/>
      <c r="G133" s="4302"/>
      <c r="H133" s="3679"/>
      <c r="I133" s="4303"/>
      <c r="J133" s="4209">
        <f>IT_after_allces</f>
        <v>11292.21</v>
      </c>
      <c r="K133" s="3463"/>
      <c r="L133" s="3463">
        <v>0</v>
      </c>
    </row>
    <row r="134" spans="1:13" x14ac:dyDescent="0.2">
      <c r="A134" s="3373" t="s">
        <v>831</v>
      </c>
      <c r="B134" s="406"/>
      <c r="C134" s="90" t="s">
        <v>5968</v>
      </c>
      <c r="D134" s="82"/>
      <c r="E134" s="407"/>
      <c r="F134" s="407"/>
      <c r="G134" s="1012"/>
      <c r="H134" s="1013"/>
      <c r="I134" s="1014"/>
      <c r="J134" s="408">
        <f>IT_after_allces</f>
        <v>11292.21</v>
      </c>
      <c r="L134" s="1944">
        <f>IF(tax_charged&gt;IT_after_allces,1,0)</f>
        <v>0</v>
      </c>
    </row>
    <row r="135" spans="1:13" x14ac:dyDescent="0.2">
      <c r="A135" s="3372" t="s">
        <v>4011</v>
      </c>
      <c r="B135" s="406"/>
      <c r="C135" s="90" t="s">
        <v>5968</v>
      </c>
      <c r="D135" s="82"/>
      <c r="E135" s="407"/>
      <c r="F135" s="407"/>
      <c r="G135" s="1012"/>
      <c r="H135" s="1013"/>
      <c r="I135" s="1014"/>
      <c r="J135" s="408">
        <f>IT_after_allces</f>
        <v>11292.21</v>
      </c>
      <c r="L135" s="1944">
        <f>IF(AND(tax_charged=IT_after_allces,deficiency_relief+TSR+VCT+EIS+SEIS_Relief+CITR+SITR+Alimony+MCA_relief+spare_MCA_relief+AllceIn_TPA_relief+Llir_amount+Llir_amount_restricted+LFI_relief+notional_CEG+notional_other+FTCR+tax_on_excluded_inc+div_tax_credits_s399+relief_on_qual_distn&gt;tax_charged),1,0)</f>
        <v>0</v>
      </c>
    </row>
    <row r="136" spans="1:13" x14ac:dyDescent="0.2">
      <c r="A136" s="3374" t="s">
        <v>832</v>
      </c>
      <c r="B136" s="406"/>
      <c r="C136" s="769"/>
      <c r="D136" s="769"/>
      <c r="E136" s="770"/>
      <c r="F136" s="770"/>
      <c r="G136" s="770"/>
      <c r="H136" s="771"/>
      <c r="I136" s="772"/>
      <c r="J136" s="773"/>
      <c r="L136" s="1944">
        <f>IF(OR(tax_charged&gt;IT_after_allces,deficiency_relief+TSR+VCT+EIS+SEIS_Relief+CITR+SITR+Alimony+MCA_relief+spare_MCA_relief+AllceIn_TPA_relief+Llir_amount+Llir_amount_restricted+LFI_relief+notional_CEG+notional_other+FTCR+tax_on_excluded_inc+div_tax_credits_s399+relief_on_qual_distn&gt;tax_charged),1,0)</f>
        <v>0</v>
      </c>
    </row>
    <row r="137" spans="1:13" x14ac:dyDescent="0.2">
      <c r="A137" s="3374" t="s">
        <v>833</v>
      </c>
      <c r="B137" s="406"/>
      <c r="C137" s="3001" t="s">
        <v>6002</v>
      </c>
      <c r="D137" s="774"/>
      <c r="G137" s="3884"/>
      <c r="H137" s="763">
        <f>Gift_aid_amount</f>
        <v>625</v>
      </c>
      <c r="I137" s="87" t="s">
        <v>4578</v>
      </c>
      <c r="J137" s="379">
        <f>Gift_aid_tax_due</f>
        <v>125</v>
      </c>
      <c r="L137" s="3888">
        <f>IF(AND(IT_after_gift_aid&gt;IT_after_allces,(CGTax+non_dom_charge_amount+income_tax_gift_aid+pens_tax_due)=0),1,0)</f>
        <v>0</v>
      </c>
    </row>
    <row r="138" spans="1:13" x14ac:dyDescent="0.2">
      <c r="A138" s="3376" t="s">
        <v>4011</v>
      </c>
      <c r="B138" s="775"/>
      <c r="C138" s="3001" t="s">
        <v>6002</v>
      </c>
      <c r="D138" s="774"/>
      <c r="F138" s="776"/>
      <c r="G138" s="763">
        <f>Gift_aid_amount</f>
        <v>625</v>
      </c>
      <c r="H138" s="87" t="s">
        <v>4578</v>
      </c>
      <c r="I138" s="379">
        <f>Gift_aid_tax_due</f>
        <v>125</v>
      </c>
      <c r="J138" s="404"/>
      <c r="L138" s="3888">
        <f>IF(AND(IT_after_gift_aid&gt;IT_after_allces,(CGTax+non_dom_charge_amount+income_tax_gift_aid+pens_tax_due)&gt;0),1,0)</f>
        <v>0</v>
      </c>
    </row>
    <row r="139" spans="1:13" x14ac:dyDescent="0.2">
      <c r="A139" s="3370" t="s">
        <v>834</v>
      </c>
      <c r="B139" s="406"/>
      <c r="D139" s="4" t="s">
        <v>5953</v>
      </c>
      <c r="E139" s="4271" t="s">
        <v>6003</v>
      </c>
      <c r="F139" s="777"/>
      <c r="G139" s="778"/>
      <c r="I139" s="402">
        <f>CGTax</f>
        <v>0</v>
      </c>
      <c r="J139" s="404"/>
      <c r="L139" s="1011">
        <f>IF(AND(IT_after_gift_aid&gt;IT_after_allces,CGTax&gt;0),1,0)</f>
        <v>0</v>
      </c>
    </row>
    <row r="140" spans="1:13" x14ac:dyDescent="0.2">
      <c r="A140" s="3370" t="s">
        <v>2114</v>
      </c>
      <c r="B140" s="406"/>
      <c r="D140" s="4" t="s">
        <v>5953</v>
      </c>
      <c r="E140" s="3000" t="s">
        <v>6004</v>
      </c>
      <c r="F140" s="777"/>
      <c r="G140" s="778"/>
      <c r="I140" s="402">
        <f>non_dom_charge_amount</f>
        <v>0</v>
      </c>
      <c r="J140" s="404"/>
      <c r="L140" s="1011">
        <f>IF(AND(IT_after_gift_aid&gt;IT_after_allces,non_dom_charge_amount&gt;0),1,0)</f>
        <v>0</v>
      </c>
    </row>
    <row customFormat="1" r="141" s="979" spans="1:13" x14ac:dyDescent="0.2">
      <c r="A141" s="3370" t="s">
        <v>816</v>
      </c>
      <c r="B141" s="406"/>
      <c r="C141" s="2999"/>
      <c r="D141" s="4" t="s">
        <v>5953</v>
      </c>
      <c r="E141" s="4270" t="s">
        <v>8842</v>
      </c>
      <c r="F141" s="777"/>
      <c r="G141" s="778"/>
      <c r="H141" s="2997"/>
      <c r="I141" s="402">
        <f>Child_Benefit_tax_charge</f>
        <v>0</v>
      </c>
      <c r="J141" s="404"/>
      <c r="K141" s="7"/>
      <c r="L141" s="3888">
        <f>IF(AND(IT_after_gift_aid&gt;IT_after_allces,income_tax_gift_aid&gt;0),1,0)</f>
        <v>0</v>
      </c>
    </row>
    <row r="142" spans="1:13" x14ac:dyDescent="0.2">
      <c r="A142" s="3370" t="s">
        <v>6076</v>
      </c>
      <c r="B142" s="406"/>
      <c r="D142" s="4" t="s">
        <v>5953</v>
      </c>
      <c r="E142" s="2989" t="s">
        <v>6071</v>
      </c>
      <c r="F142" s="777"/>
      <c r="G142" s="778"/>
      <c r="I142" s="402">
        <f>pens_tax_due</f>
        <v>0</v>
      </c>
      <c r="J142" s="404"/>
      <c r="L142" s="1011">
        <f>IF(AND(IT_after_gift_aid&gt;IT_after_allces,pens_tax_due&gt;0),1,0)</f>
        <v>0</v>
      </c>
    </row>
    <row r="143" spans="1:13" x14ac:dyDescent="0.2">
      <c r="A143" s="3370" t="s">
        <v>835</v>
      </c>
      <c r="B143" s="406"/>
      <c r="C143" s="4539" t="s">
        <v>8945</v>
      </c>
      <c r="D143" s="4539"/>
      <c r="E143" s="4539"/>
      <c r="F143" s="4539"/>
      <c r="G143" s="4201"/>
      <c r="H143" s="3485"/>
      <c r="J143" s="402">
        <f>Gift_aid_tax_reduced</f>
        <v>0</v>
      </c>
      <c r="L143" s="3888">
        <f>IF(AND(IT_after_gift_aid&gt;IT_after_allces,(CGTax+non_dom_charge_amount+income_tax_gift_aid+pens_tax_due)&gt;0),1,0)</f>
        <v>0</v>
      </c>
    </row>
    <row r="144" spans="1:13" x14ac:dyDescent="0.2">
      <c r="A144" s="3370" t="s">
        <v>836</v>
      </c>
      <c r="B144" s="406"/>
      <c r="C144" s="90" t="s">
        <v>6005</v>
      </c>
      <c r="D144" s="82"/>
      <c r="E144" s="407"/>
      <c r="F144" s="947"/>
      <c r="G144" s="407"/>
      <c r="H144" s="3885"/>
      <c r="I144" s="948"/>
      <c r="J144" s="408">
        <f>IT_after_gift_aid</f>
        <v>11292.21</v>
      </c>
      <c r="L144" s="1011">
        <f>IF(IT_after_gift_aid&gt;IT_after_allces,1,0)</f>
        <v>0</v>
      </c>
    </row>
    <row r="145" spans="1:13" x14ac:dyDescent="0.2">
      <c r="A145" s="3370" t="s">
        <v>837</v>
      </c>
      <c r="B145" s="406"/>
      <c r="C145" s="2992"/>
      <c r="D145" s="2992"/>
      <c r="E145" s="2989"/>
      <c r="F145" s="86"/>
      <c r="G145" s="2989"/>
      <c r="H145" s="666"/>
      <c r="I145" s="88"/>
      <c r="J145" s="404"/>
      <c r="L145" s="1011">
        <f>IF(IT_after_gift_aid&gt;IT_after_allces,1,0)</f>
        <v>0</v>
      </c>
    </row>
    <row r="146" spans="1:13" x14ac:dyDescent="0.2">
      <c r="A146" s="3370" t="s">
        <v>838</v>
      </c>
      <c r="B146" s="406"/>
      <c r="C146" s="942" t="s">
        <v>5971</v>
      </c>
      <c r="D146" s="2989" t="s">
        <v>6006</v>
      </c>
      <c r="H146" s="763">
        <f>annuity_amount</f>
        <v>0</v>
      </c>
      <c r="I146" s="87" t="s">
        <v>4578</v>
      </c>
      <c r="J146" s="379">
        <f>annuity_tax</f>
        <v>0</v>
      </c>
      <c r="L146" s="7">
        <f>IF(annuity_amount&gt;0,1,0)</f>
        <v>0</v>
      </c>
    </row>
    <row r="147" spans="1:13" x14ac:dyDescent="0.2">
      <c r="A147" s="4212" t="s">
        <v>839</v>
      </c>
      <c r="B147" s="3681"/>
      <c r="C147" s="4213" t="s">
        <v>5953</v>
      </c>
      <c r="D147" s="4525" t="s">
        <v>7376</v>
      </c>
      <c r="E147" s="4525"/>
      <c r="F147" s="4525"/>
      <c r="G147" s="4525"/>
      <c r="H147" s="4525"/>
      <c r="I147" s="3461"/>
      <c r="J147" s="3462">
        <v>0</v>
      </c>
      <c r="K147" s="3463"/>
      <c r="L147" s="3463">
        <v>0</v>
      </c>
    </row>
    <row r="148" spans="1:13" x14ac:dyDescent="0.2">
      <c r="A148" s="3685" t="s">
        <v>8356</v>
      </c>
      <c r="B148" s="3670"/>
      <c r="C148" s="4540" t="s">
        <v>8942</v>
      </c>
      <c r="D148" s="4541"/>
      <c r="E148" s="4541"/>
      <c r="F148" s="4541"/>
      <c r="G148" s="3671"/>
      <c r="H148" s="3675" t="s">
        <v>8359</v>
      </c>
      <c r="I148" s="3671"/>
      <c r="J148" s="3672">
        <f>total_tax_NIC_nonresS23</f>
        <v>0</v>
      </c>
      <c r="K148" s="1944"/>
      <c r="L148" s="1944">
        <f>IF(box_NRD1,1,0)</f>
        <v>0</v>
      </c>
      <c r="M148" s="1430"/>
    </row>
    <row r="149" spans="1:13" x14ac:dyDescent="0.2">
      <c r="A149" s="3685" t="s">
        <v>8357</v>
      </c>
      <c r="B149" s="3458"/>
      <c r="C149" s="4540" t="s">
        <v>8943</v>
      </c>
      <c r="D149" s="4541"/>
      <c r="E149" s="4541"/>
      <c r="F149" s="4541"/>
      <c r="G149" s="3671"/>
      <c r="H149" s="3675" t="s">
        <v>8360</v>
      </c>
      <c r="I149" s="3671"/>
      <c r="J149" s="3672">
        <f>total_tax_NIC_nonresS811</f>
        <v>0</v>
      </c>
      <c r="K149" s="1944"/>
      <c r="L149" s="1944">
        <f>IF(box_NRD1,1,0)</f>
        <v>0</v>
      </c>
    </row>
    <row r="150" spans="1:13" x14ac:dyDescent="0.2">
      <c r="A150" s="3685" t="s">
        <v>8358</v>
      </c>
      <c r="B150" s="3670"/>
      <c r="C150" s="3688" t="s">
        <v>8944</v>
      </c>
      <c r="D150" s="3689"/>
      <c r="E150" s="3690"/>
      <c r="F150" s="3690"/>
      <c r="G150" s="3671"/>
      <c r="H150" s="3691" t="s">
        <v>8365</v>
      </c>
      <c r="I150" s="3671"/>
      <c r="J150" s="3672">
        <f>IT_after_div_tax_credits</f>
        <v>11292.21</v>
      </c>
      <c r="K150" s="1944"/>
      <c r="L150" s="1944">
        <f>IF(box_NRD1,1,0)</f>
        <v>0</v>
      </c>
    </row>
    <row r="151" spans="1:13" x14ac:dyDescent="0.2">
      <c r="A151" s="3676" t="s">
        <v>840</v>
      </c>
      <c r="B151" s="3681"/>
      <c r="C151" s="4523" t="s">
        <v>7378</v>
      </c>
      <c r="D151" s="4524"/>
      <c r="E151" s="4524"/>
      <c r="F151" s="4524"/>
      <c r="G151" s="4524"/>
      <c r="H151" s="4210"/>
      <c r="I151" s="4210"/>
      <c r="J151" s="4211">
        <v>0</v>
      </c>
      <c r="K151" s="3463"/>
      <c r="L151" s="3463">
        <v>0</v>
      </c>
    </row>
    <row r="152" spans="1:13" x14ac:dyDescent="0.2">
      <c r="A152" s="3376" t="s">
        <v>840</v>
      </c>
      <c r="B152" s="1967"/>
      <c r="C152" s="4535" t="s">
        <v>8470</v>
      </c>
      <c r="D152" s="4536"/>
      <c r="E152" s="4536"/>
      <c r="F152" s="4536"/>
      <c r="G152" s="4536"/>
      <c r="H152" s="767"/>
      <c r="I152" s="767"/>
      <c r="J152" s="408">
        <f>IT_after_div_tax_credits</f>
        <v>11292.21</v>
      </c>
      <c r="L152" s="3468">
        <f>IF(annuity_amount&gt;0,1,0)</f>
        <v>0</v>
      </c>
    </row>
    <row r="153" spans="1:13" x14ac:dyDescent="0.2">
      <c r="A153" s="3370" t="s">
        <v>3215</v>
      </c>
      <c r="B153" s="406"/>
      <c r="C153" s="537"/>
      <c r="D153" s="537"/>
      <c r="E153" s="2994"/>
      <c r="F153" s="86"/>
      <c r="G153" s="2989"/>
      <c r="H153" s="2989"/>
      <c r="I153" s="88"/>
      <c r="J153" s="404"/>
      <c r="L153" s="7">
        <f>IF(annuity_amount&gt;0,1,0)</f>
        <v>0</v>
      </c>
    </row>
    <row r="154" spans="1:13" x14ac:dyDescent="0.2">
      <c r="A154" s="3384" t="s">
        <v>3216</v>
      </c>
      <c r="B154" s="406"/>
      <c r="C154" s="711" t="s">
        <v>5971</v>
      </c>
      <c r="D154" s="2990" t="s">
        <v>6007</v>
      </c>
      <c r="E154" s="2994"/>
      <c r="F154" s="86"/>
      <c r="G154" s="2997">
        <f>NIC_amount</f>
        <v>5558</v>
      </c>
      <c r="H154" s="763" t="s">
        <v>4583</v>
      </c>
      <c r="I154" s="812">
        <f>NIC_charge</f>
        <v>500.22</v>
      </c>
      <c r="J154" s="379"/>
      <c r="L154" s="7">
        <f>IF(NIC_total&gt;0,IF(NIC1_amount&lt;=0,IF(AND(NIC_charge&gt;0,NIC_sup_charge=0),1,0),0),0)</f>
        <v>0</v>
      </c>
    </row>
    <row r="155" spans="1:13" x14ac:dyDescent="0.2">
      <c r="A155" s="3372" t="s">
        <v>4011</v>
      </c>
      <c r="B155" s="406"/>
      <c r="C155" s="711" t="s">
        <v>5971</v>
      </c>
      <c r="D155" s="2990" t="s">
        <v>6007</v>
      </c>
      <c r="F155" s="86"/>
      <c r="G155" s="2989"/>
      <c r="H155" s="2989"/>
      <c r="I155" s="88"/>
      <c r="J155" s="404"/>
      <c r="L155" s="7">
        <f>IF(NIC_total&gt;0,IF(NIC1_amount&lt;=0,IF(AND(NIC_charge&gt;0,NIC_sup_charge&gt;0),1,0),0),0)</f>
        <v>0</v>
      </c>
    </row>
    <row r="156" spans="1:13" x14ac:dyDescent="0.2">
      <c r="A156" s="3370" t="s">
        <v>3217</v>
      </c>
      <c r="B156" s="406"/>
      <c r="C156" s="942"/>
      <c r="D156" s="774"/>
      <c r="F156" s="86"/>
      <c r="G156" s="763">
        <f>NIC_amount</f>
        <v>5558</v>
      </c>
      <c r="H156" s="812" t="s">
        <v>4583</v>
      </c>
      <c r="I156" s="379">
        <f>NIC_charge</f>
        <v>500.22</v>
      </c>
      <c r="J156" s="404"/>
      <c r="L156" s="7">
        <f>IF(NIC_total&gt;0,IF(NIC1_amount&lt;=0,IF(AND(NIC_charge&gt;0,NIC_sup_charge&gt;0),1,0),0),0)</f>
        <v>0</v>
      </c>
    </row>
    <row r="157" spans="1:13" x14ac:dyDescent="0.2">
      <c r="A157" s="3370" t="s">
        <v>2590</v>
      </c>
      <c r="B157" s="406"/>
      <c r="C157" s="406"/>
      <c r="D157" s="537"/>
      <c r="E157" s="2989" t="s">
        <v>1881</v>
      </c>
      <c r="F157" s="86"/>
      <c r="G157" s="763">
        <f>NIC_sup_amount</f>
        <v>0</v>
      </c>
      <c r="H157" s="812" t="s">
        <v>4584</v>
      </c>
      <c r="I157" s="379">
        <f>NIC_sup_charge</f>
        <v>0</v>
      </c>
      <c r="J157" s="404"/>
      <c r="L157" s="7">
        <f>IF(NIC_total&gt;0,IF(NIC1_amount&lt;=0,IF(AND(NIC_charge&gt;0,NIC_sup_charge&gt;0),1,0),0),0)</f>
        <v>0</v>
      </c>
    </row>
    <row r="158" spans="1:13" x14ac:dyDescent="0.2">
      <c r="A158" s="3370" t="s">
        <v>4290</v>
      </c>
      <c r="C158" s="711" t="s">
        <v>5971</v>
      </c>
      <c r="D158" s="2990" t="s">
        <v>6008</v>
      </c>
      <c r="I158" s="379">
        <f>NIC4_amount</f>
        <v>500.22</v>
      </c>
      <c r="L158" s="7">
        <f>IF(NIC_total&gt;0,IF(NIC1_amount&gt;0,1,0),0)</f>
        <v>1</v>
      </c>
      <c r="M158" s="1430"/>
    </row>
    <row r="159" spans="1:13" x14ac:dyDescent="0.2">
      <c r="A159" s="3370" t="s">
        <v>4379</v>
      </c>
      <c r="B159" s="979"/>
      <c r="C159" s="4"/>
      <c r="D159" s="2989" t="str">
        <f>"Addaswyd eich Dosbarth 4 ar gyfer Dosbarth 2 sy'n ddyledus a phrif gyfraniadau Dosbarth 1 " &amp;DOLLAR(NIC1_amount,2)</f>
        <v>Addaswyd eich Dosbarth 4 ar gyfer Dosbarth 2 sy'n ddyledus a phrif gyfraniadau Dosbarth 1 $2,954.64</v>
      </c>
      <c r="E159" s="979"/>
      <c r="F159" s="979"/>
      <c r="G159" s="979"/>
      <c r="I159" s="979"/>
      <c r="J159" s="979"/>
      <c r="K159" s="979"/>
      <c r="L159" s="979">
        <f>IF(NIC4_amount&gt;0,IF(NIC1_amount&gt;0,1,0),0)</f>
        <v>1</v>
      </c>
      <c r="M159" s="1430"/>
    </row>
    <row r="160" spans="1:13" x14ac:dyDescent="0.2">
      <c r="A160" s="3370" t="s">
        <v>4380</v>
      </c>
      <c r="C160" s="711" t="s">
        <v>6009</v>
      </c>
      <c r="D160" s="2990" t="s">
        <v>6010</v>
      </c>
      <c r="I160" s="379">
        <f>NIC2_amount</f>
        <v>117</v>
      </c>
      <c r="L160" s="7">
        <f>IF(NIC_total&gt;0,IF(NIC2_amount&gt;0,1,0),0)</f>
        <v>1</v>
      </c>
      <c r="M160" s="1430"/>
    </row>
    <row r="161" spans="1:13" x14ac:dyDescent="0.2">
      <c r="A161" s="3384" t="s">
        <v>2591</v>
      </c>
      <c r="B161" s="406"/>
      <c r="C161" s="4"/>
      <c r="D161" s="3002" t="s">
        <v>7371</v>
      </c>
      <c r="F161" s="2989"/>
      <c r="H161" s="2989"/>
      <c r="J161" s="379">
        <f>NIC_total</f>
        <v>617.22</v>
      </c>
      <c r="L161" s="979">
        <f>IF(AND(NIC_total&gt;0,NIC2_amount=0),1,0)</f>
        <v>0</v>
      </c>
    </row>
    <row r="162" spans="1:13" x14ac:dyDescent="0.2">
      <c r="A162" s="3373" t="s">
        <v>4011</v>
      </c>
      <c r="B162" s="1967"/>
      <c r="C162" s="1971"/>
      <c r="D162" s="3002" t="s">
        <v>7370</v>
      </c>
      <c r="E162" s="1057"/>
      <c r="F162" s="1972"/>
      <c r="G162" s="1057"/>
      <c r="H162" s="1972"/>
      <c r="I162" s="1057"/>
      <c r="J162" s="379">
        <f>NIC_total</f>
        <v>617.22</v>
      </c>
      <c r="K162" s="1430"/>
      <c r="L162" s="979">
        <f>IF(AND(NIC_total&gt;0,NIC2_amount&gt;0,NIC2_amount&lt;NIC_total),1,0)</f>
        <v>1</v>
      </c>
    </row>
    <row r="163" spans="1:13" x14ac:dyDescent="0.2">
      <c r="A163" s="3372" t="s">
        <v>4011</v>
      </c>
      <c r="B163" s="1967"/>
      <c r="C163" s="1971"/>
      <c r="D163" s="3002" t="s">
        <v>7369</v>
      </c>
      <c r="E163" s="1057"/>
      <c r="F163" s="1972"/>
      <c r="G163" s="1057"/>
      <c r="H163" s="1972"/>
      <c r="I163" s="1057"/>
      <c r="J163" s="379">
        <f>NIC_total</f>
        <v>617.22</v>
      </c>
      <c r="K163" s="1430"/>
      <c r="L163" s="7">
        <f>IF(AND(NIC_total&gt;0,NIC2_amount&gt;0,NIC2_amount=NIC_total),1,0)</f>
        <v>0</v>
      </c>
    </row>
    <row r="164" spans="1:13" x14ac:dyDescent="0.2">
      <c r="A164" s="3370" t="s">
        <v>2592</v>
      </c>
      <c r="B164" s="406"/>
      <c r="C164" s="942"/>
      <c r="D164" s="774"/>
      <c r="E164" s="2994"/>
      <c r="F164" s="2989"/>
      <c r="H164" s="2989"/>
      <c r="I164" s="88"/>
      <c r="J164" s="404"/>
      <c r="L164" s="7">
        <f>IF(NIC_total&gt;0,1,0)</f>
        <v>1</v>
      </c>
    </row>
    <row r="165" spans="1:13" x14ac:dyDescent="0.2">
      <c r="A165" s="3370" t="s">
        <v>37</v>
      </c>
      <c r="B165" s="406"/>
      <c r="C165" s="4" t="s">
        <v>5971</v>
      </c>
      <c r="D165" s="2989" t="str">
        <f>"Treth heb ei thalu am flynyddoedd cynharach yn eich cod ar gyfer "&amp;tax_year</f>
        <v>Treth heb ei thalu am flynyddoedd cynharach yn eich cod ar gyfer 2019-20</v>
      </c>
      <c r="F165" s="2989"/>
      <c r="G165" s="3134"/>
      <c r="H165" s="3134"/>
      <c r="I165" s="88"/>
      <c r="J165" s="379">
        <f>unpaid_tax_in_code</f>
        <v>2999</v>
      </c>
      <c r="L165" s="7">
        <f>IF(unpaid_tax_in_code&gt;0,1,0)</f>
        <v>1</v>
      </c>
    </row>
    <row r="166" spans="1:13" x14ac:dyDescent="0.2">
      <c r="A166" s="3371" t="s">
        <v>38</v>
      </c>
      <c r="B166" s="406"/>
      <c r="C166" s="4" t="s">
        <v>5971</v>
      </c>
      <c r="D166" s="2989" t="s">
        <v>6070</v>
      </c>
      <c r="F166" s="2989"/>
      <c r="G166" s="2989"/>
      <c r="H166" s="2989"/>
      <c r="I166" s="88"/>
      <c r="J166" s="379">
        <f>Student_loan</f>
        <v>0</v>
      </c>
      <c r="L166" s="7">
        <f>IF(AND(Student_loan&gt;0,SL_type=1),1,0)</f>
        <v>0</v>
      </c>
    </row>
    <row r="167" spans="1:13" x14ac:dyDescent="0.2">
      <c r="A167" s="3372" t="s">
        <v>4011</v>
      </c>
      <c r="B167" s="406"/>
      <c r="C167" s="4" t="s">
        <v>5971</v>
      </c>
      <c r="D167" s="2989" t="s">
        <v>6075</v>
      </c>
      <c r="F167" s="2989"/>
      <c r="G167" s="2989"/>
      <c r="H167" s="2989"/>
      <c r="I167" s="88"/>
      <c r="J167" s="379">
        <f>Student_loan</f>
        <v>0</v>
      </c>
      <c r="L167" s="7">
        <f>IF(AND(Student_loan&gt;0,SL_type=2),1,0)</f>
        <v>0</v>
      </c>
    </row>
    <row r="168" spans="1:13" x14ac:dyDescent="0.2">
      <c r="A168" s="3383" t="s">
        <v>7440</v>
      </c>
      <c r="B168" s="3172"/>
      <c r="C168" s="3173" t="s">
        <v>5971</v>
      </c>
      <c r="D168" s="4268" t="s">
        <v>8957</v>
      </c>
      <c r="E168" s="3174"/>
      <c r="F168" s="3174"/>
      <c r="G168" s="3174"/>
      <c r="H168" s="3174"/>
      <c r="I168" s="3175"/>
      <c r="J168" s="3176">
        <f>Post_grad_loan</f>
        <v>0</v>
      </c>
      <c r="K168" s="3177"/>
      <c r="L168" s="3177">
        <f>IF(AND(Post_grad_loan&gt;0,PGL_type=3),1,0)</f>
        <v>0</v>
      </c>
    </row>
    <row r="169" spans="1:13" x14ac:dyDescent="0.2">
      <c r="A169" s="3370" t="s">
        <v>57</v>
      </c>
      <c r="B169" s="406"/>
      <c r="C169" s="4" t="s">
        <v>5971</v>
      </c>
      <c r="D169" s="2989" t="s">
        <v>6011</v>
      </c>
      <c r="F169" s="2989"/>
      <c r="G169" s="2989"/>
      <c r="H169" s="2989"/>
      <c r="I169" s="88"/>
      <c r="J169" s="379">
        <f>Child_Benefit_tax_charge</f>
        <v>0</v>
      </c>
      <c r="L169" s="7">
        <f>IF(Child_Benefit_tax_charge&gt;0,1,0)</f>
        <v>0</v>
      </c>
    </row>
    <row r="170" spans="1:13" x14ac:dyDescent="0.2">
      <c r="A170" s="3370" t="s">
        <v>3296</v>
      </c>
      <c r="C170" s="4" t="s">
        <v>5971</v>
      </c>
      <c r="D170" s="2997" t="str">
        <f>"Cyfanswm y taliadau a godir ar gynilion pensiwn ("&amp;DOLLAR(Pension_charges_gross,2)&amp;" llai treth a chaiff ei thrin fel petai wedi'i thalu "&amp;DOLLAR(Pension_charges_tax_paid,2)&amp;")"</f>
        <v>Cyfanswm y taliadau a godir ar gynilion pensiwn ($0.00 llai treth a chaiff ei thrin fel petai wedi'i thalu $0.00)</v>
      </c>
      <c r="J170" s="404">
        <f>Pension_charges</f>
        <v>0</v>
      </c>
      <c r="L170" s="7">
        <f>IF(Pension_charges&gt;0,1,0)</f>
        <v>0</v>
      </c>
    </row>
    <row r="171" spans="1:13" x14ac:dyDescent="0.2">
      <c r="A171" s="3370" t="s">
        <v>565</v>
      </c>
      <c r="C171" s="4" t="s">
        <v>5971</v>
      </c>
      <c r="D171" s="2997" t="s">
        <v>6012</v>
      </c>
      <c r="H171" s="401">
        <f>Pension_lump_sum_amount</f>
        <v>0</v>
      </c>
      <c r="I171" s="405" t="str">
        <f>"x "&amp;Pension_lump_sum_rate*100&amp;"% ="</f>
        <v>x 0% =</v>
      </c>
      <c r="J171" s="404">
        <f>Pension_lump_sum_tax</f>
        <v>0</v>
      </c>
      <c r="L171" s="7">
        <f>IF(Pension_lump_sum_amount&gt;0,1,0)</f>
        <v>0</v>
      </c>
    </row>
    <row r="172" spans="1:13" x14ac:dyDescent="0.2">
      <c r="A172" s="3370" t="s">
        <v>2469</v>
      </c>
      <c r="C172" s="4" t="s">
        <v>5971</v>
      </c>
      <c r="D172" s="2997" t="s">
        <v>6004</v>
      </c>
      <c r="H172" s="401"/>
      <c r="I172" s="405"/>
      <c r="J172" s="404">
        <f>non_dom_charge_amount</f>
        <v>0</v>
      </c>
      <c r="L172" s="7">
        <f>IF(non_dom_charge_amount&gt;0,1,0)</f>
        <v>0</v>
      </c>
      <c r="M172" s="1430"/>
    </row>
    <row r="173" spans="1:13" x14ac:dyDescent="0.2">
      <c r="A173" s="3370" t="s">
        <v>5901</v>
      </c>
      <c r="C173" s="4" t="s">
        <v>5971</v>
      </c>
      <c r="D173" s="2997" t="s">
        <v>6071</v>
      </c>
      <c r="H173" s="401"/>
      <c r="I173" s="405"/>
      <c r="J173" s="404">
        <f>pens_tax_due</f>
        <v>0</v>
      </c>
      <c r="L173" s="7">
        <f>IF(pens_tax_due&gt;0,1,0)</f>
        <v>0</v>
      </c>
    </row>
    <row r="174" spans="1:13" x14ac:dyDescent="0.2">
      <c r="A174" s="3370" t="s">
        <v>5902</v>
      </c>
      <c r="C174" s="4" t="s">
        <v>5953</v>
      </c>
      <c r="D174" s="2997" t="s">
        <v>6072</v>
      </c>
      <c r="H174" s="401"/>
      <c r="I174" s="405"/>
      <c r="J174" s="404">
        <f>pens_tax_rel_due</f>
        <v>0</v>
      </c>
      <c r="L174" s="7">
        <f>IF(pens_tax_rel_due&gt;0,1,0)</f>
        <v>0</v>
      </c>
    </row>
    <row r="175" spans="1:13" x14ac:dyDescent="0.2">
      <c r="A175" s="3384" t="s">
        <v>39</v>
      </c>
      <c r="B175" s="406"/>
      <c r="C175" s="4535" t="s">
        <v>6471</v>
      </c>
      <c r="D175" s="4536"/>
      <c r="E175" s="4536"/>
      <c r="F175" s="4536"/>
      <c r="G175" s="4536"/>
      <c r="H175" s="4536"/>
      <c r="I175" s="4536"/>
      <c r="J175" s="408">
        <f>IT_plus_class4</f>
        <v>14908.429999999998</v>
      </c>
      <c r="K175" s="1430"/>
      <c r="L175" s="979">
        <f>IF(AND(NIC_total&gt;0,NIC2_amount&gt;0,NIC2_amount=NIC_total),1,0)</f>
        <v>0</v>
      </c>
      <c r="M175" s="979"/>
    </row>
    <row r="176" spans="1:13" x14ac:dyDescent="0.2">
      <c r="A176" s="3373" t="s">
        <v>4011</v>
      </c>
      <c r="B176" s="1967"/>
      <c r="C176" s="90" t="s">
        <v>6470</v>
      </c>
      <c r="D176" s="1969"/>
      <c r="E176" s="1970"/>
      <c r="F176" s="1970"/>
      <c r="G176" s="1970"/>
      <c r="H176" s="1970"/>
      <c r="I176" s="1970"/>
      <c r="J176" s="408">
        <f>IT_plus_class4</f>
        <v>14908.429999999998</v>
      </c>
      <c r="K176" s="1430"/>
      <c r="L176" s="979">
        <f>IF(AND(NIC_total&gt;0,NIC2_amount=0),1,0)</f>
        <v>0</v>
      </c>
    </row>
    <row r="177" spans="1:12" x14ac:dyDescent="0.2">
      <c r="A177" s="3373" t="s">
        <v>4011</v>
      </c>
      <c r="B177" s="1967"/>
      <c r="C177" s="4535" t="s">
        <v>7623</v>
      </c>
      <c r="D177" s="4536"/>
      <c r="E177" s="4536"/>
      <c r="F177" s="4536"/>
      <c r="G177" s="4536"/>
      <c r="H177" s="4536"/>
      <c r="I177" s="4536"/>
      <c r="J177" s="408">
        <f>IT_plus_class4</f>
        <v>14908.429999999998</v>
      </c>
      <c r="K177" s="1430"/>
      <c r="L177" s="979">
        <f>IF(AND(NIC_total&gt;0,NIC2_amount&gt;0,NIC2_amount&lt;NIC_total),1,0)</f>
        <v>1</v>
      </c>
    </row>
    <row r="178" spans="1:12" x14ac:dyDescent="0.2">
      <c r="A178" s="3372" t="s">
        <v>4011</v>
      </c>
      <c r="B178" s="1967"/>
      <c r="C178" s="90" t="s">
        <v>6000</v>
      </c>
      <c r="D178" s="82"/>
      <c r="E178" s="407"/>
      <c r="F178" s="407"/>
      <c r="G178" s="407"/>
      <c r="H178" s="407"/>
      <c r="I178" s="407"/>
      <c r="J178" s="408">
        <f>IT_plus_class4</f>
        <v>14908.429999999998</v>
      </c>
      <c r="L178" s="3178">
        <f>IF(AND(unpaid_tax_in_code+Student_loan+Post_grad_loan+Child_Benefit_tax_charge+Pension_charges_gross+Pension_lump_sum_amount+non_dom_charge_amount+pens_tax_due+pens_tax_rel_due&gt;0,NIC_total=0),1,0)</f>
        <v>0</v>
      </c>
    </row>
    <row r="179" spans="1:12" x14ac:dyDescent="0.2">
      <c r="A179" s="3370" t="s">
        <v>805</v>
      </c>
      <c r="B179" s="406"/>
      <c r="C179" s="537"/>
      <c r="D179" s="537"/>
      <c r="E179" s="2989"/>
      <c r="F179" s="2989"/>
      <c r="G179" s="2989"/>
      <c r="H179" s="2989"/>
      <c r="I179" s="88"/>
      <c r="J179" s="404"/>
      <c r="L179" s="3177">
        <f>IF(NIC_total+unpaid_tax_in_code+Student_loan+Post_grad_loan+Child_Benefit_tax_charge+Pension_charges_gross+Pension_lump_sum_amount+non_dom_charge_amount+pens_tax_due+pens_tax_rel_due&gt;0,1,0)</f>
        <v>1</v>
      </c>
    </row>
    <row r="180" spans="1:12" x14ac:dyDescent="0.2">
      <c r="A180" s="3370" t="s">
        <v>3552</v>
      </c>
      <c r="B180" s="406"/>
      <c r="C180" s="1492" t="s">
        <v>5953</v>
      </c>
      <c r="D180" s="2990" t="s">
        <v>6013</v>
      </c>
      <c r="E180" s="2994"/>
      <c r="F180" s="2989"/>
      <c r="G180" s="2989"/>
      <c r="H180" s="2989"/>
      <c r="I180" s="88"/>
      <c r="J180" s="404"/>
      <c r="L180" s="7">
        <f>IF((total_tax_paid+debt_coded)&gt;0,1,0)</f>
        <v>1</v>
      </c>
    </row>
    <row r="181" spans="1:12" x14ac:dyDescent="0.2">
      <c r="A181" s="3371" t="s">
        <v>2561</v>
      </c>
      <c r="B181" s="406"/>
      <c r="C181" s="912"/>
      <c r="D181" s="2989" t="s">
        <v>6014</v>
      </c>
      <c r="E181" s="2994"/>
      <c r="F181" s="2989"/>
      <c r="G181" s="2989"/>
      <c r="H181" s="2989"/>
      <c r="I181" s="402">
        <f>tax_paid_E</f>
        <v>2000</v>
      </c>
      <c r="J181" s="404"/>
      <c r="L181" s="7">
        <f>IF(AND(tax_paid_E&gt;0,debt_coded=0),1,0)</f>
        <v>1</v>
      </c>
    </row>
    <row r="182" spans="1:12" x14ac:dyDescent="0.2">
      <c r="A182" s="3372" t="s">
        <v>4011</v>
      </c>
      <c r="B182" s="406"/>
      <c r="C182" s="912"/>
      <c r="D182" s="2989" t="s">
        <v>6015</v>
      </c>
      <c r="E182" s="2994"/>
      <c r="F182" s="2989"/>
      <c r="G182" s="2989"/>
      <c r="H182" s="402">
        <f>tax_paid_E</f>
        <v>2000</v>
      </c>
      <c r="I182" s="88"/>
      <c r="J182" s="404"/>
      <c r="L182" s="7">
        <f>IF(debt_coded&gt;0,1,0)</f>
        <v>0</v>
      </c>
    </row>
    <row r="183" spans="1:12" x14ac:dyDescent="0.2">
      <c r="A183" s="3370" t="s">
        <v>3172</v>
      </c>
      <c r="B183" s="406"/>
      <c r="C183" s="912"/>
      <c r="D183" s="406" t="s">
        <v>5953</v>
      </c>
      <c r="E183" s="2994" t="s">
        <v>6016</v>
      </c>
      <c r="F183" s="2989"/>
      <c r="G183" s="2989"/>
      <c r="H183" s="402">
        <f>debt_collected</f>
        <v>0</v>
      </c>
      <c r="I183" s="88"/>
      <c r="J183" s="404"/>
      <c r="L183" s="7">
        <f>IF(debt_coded&gt;0,1,0)</f>
        <v>0</v>
      </c>
    </row>
    <row r="184" spans="1:12" x14ac:dyDescent="0.2">
      <c r="A184" s="3370" t="s">
        <v>1843</v>
      </c>
      <c r="B184" s="406"/>
      <c r="C184" s="912"/>
      <c r="D184" s="2989" t="s">
        <v>6017</v>
      </c>
      <c r="E184" s="2994"/>
      <c r="F184" s="2989"/>
      <c r="G184" s="2989"/>
      <c r="H184" s="2989"/>
      <c r="I184" s="402">
        <f>SA_E_tax</f>
        <v>2000</v>
      </c>
      <c r="J184" s="404"/>
      <c r="L184" s="7">
        <f>IF(debt_coded&gt;0,1,0)</f>
        <v>0</v>
      </c>
    </row>
    <row r="185" spans="1:12" x14ac:dyDescent="0.2">
      <c r="A185" s="3370" t="s">
        <v>3260</v>
      </c>
      <c r="B185" s="406"/>
      <c r="D185" s="2994" t="s">
        <v>6018</v>
      </c>
      <c r="F185" s="2989"/>
      <c r="H185" s="2989"/>
      <c r="I185" s="402">
        <f>tax_paid_D</f>
        <v>0</v>
      </c>
      <c r="J185" s="404"/>
      <c r="L185" s="7">
        <f>IF(tax_paid_D&gt;0,1,0)</f>
        <v>0</v>
      </c>
    </row>
    <row r="186" spans="1:12" x14ac:dyDescent="0.2">
      <c r="A186" s="3370" t="s">
        <v>2327</v>
      </c>
      <c r="B186" s="406"/>
      <c r="D186" s="2989" t="s">
        <v>6019</v>
      </c>
      <c r="F186" s="2989"/>
      <c r="H186" s="2989"/>
      <c r="I186" s="402">
        <f>tax_paid_D_PTR</f>
        <v>0</v>
      </c>
      <c r="J186" s="404"/>
      <c r="L186" s="7">
        <f>IF(tax_paid_D_PTR&gt;0,1,0)</f>
        <v>0</v>
      </c>
    </row>
    <row r="187" spans="1:12" x14ac:dyDescent="0.2">
      <c r="A187" s="3370" t="s">
        <v>3329</v>
      </c>
      <c r="B187" s="406"/>
      <c r="D187" s="2989" t="s">
        <v>6020</v>
      </c>
      <c r="F187" s="2989"/>
      <c r="H187" s="2989"/>
      <c r="I187" s="402">
        <f>tax_paid_IFP</f>
        <v>0</v>
      </c>
      <c r="J187" s="404"/>
      <c r="L187" s="7">
        <f>IF(tax_paid_IFP&gt;0,1,0)</f>
        <v>0</v>
      </c>
    </row>
    <row r="188" spans="1:12" x14ac:dyDescent="0.2">
      <c r="A188" s="3370" t="s">
        <v>3332</v>
      </c>
      <c r="B188" s="406"/>
      <c r="D188" s="2989" t="s">
        <v>6021</v>
      </c>
      <c r="F188" s="2989"/>
      <c r="H188" s="2989"/>
      <c r="I188" s="402">
        <f>tax_paid_Foreign</f>
        <v>0</v>
      </c>
      <c r="J188" s="404"/>
      <c r="L188" s="7">
        <f>IF(tax_paid_Foreign&gt;0,1,0)</f>
        <v>0</v>
      </c>
    </row>
    <row r="189" spans="1:12" x14ac:dyDescent="0.2">
      <c r="A189" s="3370" t="s">
        <v>692</v>
      </c>
      <c r="B189" s="406"/>
      <c r="D189" s="2989" t="s">
        <v>6022</v>
      </c>
      <c r="F189" s="2989"/>
      <c r="H189" s="2989"/>
      <c r="I189" s="402">
        <f>tax_paid_Trust</f>
        <v>0</v>
      </c>
      <c r="J189" s="404"/>
      <c r="L189" s="7">
        <f>IF(tax_paid_Trust&gt;0,1,0)</f>
        <v>0</v>
      </c>
    </row>
    <row r="190" spans="1:12" x14ac:dyDescent="0.2">
      <c r="A190" s="3370" t="s">
        <v>1792</v>
      </c>
      <c r="B190" s="406"/>
      <c r="D190" s="2989" t="s">
        <v>6023</v>
      </c>
      <c r="F190" s="2989"/>
      <c r="H190" s="2989"/>
      <c r="I190" s="402">
        <f>tax_paid_Overseas</f>
        <v>0</v>
      </c>
      <c r="J190" s="404"/>
      <c r="L190" s="7">
        <f>IF(tax_paid_Overseas&gt;0,1,0)</f>
        <v>0</v>
      </c>
    </row>
    <row r="191" spans="1:12" x14ac:dyDescent="0.2">
      <c r="A191" s="3370" t="s">
        <v>2839</v>
      </c>
      <c r="B191" s="406"/>
      <c r="D191" s="2994" t="s">
        <v>6024</v>
      </c>
      <c r="F191" s="2989"/>
      <c r="H191" s="2989"/>
      <c r="I191" s="402">
        <f>tax_paid_Case3</f>
        <v>0</v>
      </c>
      <c r="J191" s="404"/>
      <c r="L191" s="7">
        <f>IF(tax_paid_Case3&gt;0,1,0)</f>
        <v>0</v>
      </c>
    </row>
    <row r="192" spans="1:12" x14ac:dyDescent="0.2">
      <c r="A192" s="3370" t="s">
        <v>2842</v>
      </c>
      <c r="B192" s="406"/>
      <c r="D192" s="2989" t="s">
        <v>6025</v>
      </c>
      <c r="F192" s="2989"/>
      <c r="H192" s="2989"/>
      <c r="I192" s="402">
        <f>tax_paid_CEG</f>
        <v>0</v>
      </c>
      <c r="J192" s="404"/>
      <c r="L192" s="7">
        <f>IF(tax_paid_CEG&gt;0,1,0)</f>
        <v>0</v>
      </c>
    </row>
    <row r="193" spans="1:13" x14ac:dyDescent="0.2">
      <c r="A193" s="3370" t="s">
        <v>1512</v>
      </c>
      <c r="B193" s="406"/>
      <c r="D193" s="2989" t="s">
        <v>6026</v>
      </c>
      <c r="F193" s="2989"/>
      <c r="H193" s="2989"/>
      <c r="I193" s="402">
        <f>tax_paid_Other</f>
        <v>0</v>
      </c>
      <c r="J193" s="404"/>
      <c r="L193" s="7">
        <f>IF(tax_paid_Other&gt;0,1,0)</f>
        <v>0</v>
      </c>
    </row>
    <row r="194" spans="1:13" x14ac:dyDescent="0.2">
      <c r="A194" s="3370" t="s">
        <v>1515</v>
      </c>
      <c r="B194" s="406"/>
      <c r="C194" s="766"/>
      <c r="D194" s="2989" t="str">
        <f>"Treth a dandalwyd ar gyfer "&amp;tax_year&amp;" y ya gynhwyswyd yn eich cod am "&amp;next_year</f>
        <v>Treth a dandalwyd ar gyfer 2019-20 y ya gynhwyswyd yn eich cod am 2020-21</v>
      </c>
      <c r="E194" s="1945"/>
      <c r="F194" s="3134"/>
      <c r="G194" s="3134"/>
      <c r="H194" s="3134"/>
      <c r="I194" s="402">
        <f>coded_in_later_year</f>
        <v>0</v>
      </c>
      <c r="L194" s="7">
        <f>IF(coded_in_later_year&gt;0,1,0)</f>
        <v>0</v>
      </c>
    </row>
    <row r="195" spans="1:13" x14ac:dyDescent="0.2">
      <c r="A195" s="3370" t="s">
        <v>2493</v>
      </c>
      <c r="B195" s="406"/>
      <c r="C195" s="2997"/>
      <c r="D195" s="2993" t="s">
        <v>6027</v>
      </c>
      <c r="F195" s="2989"/>
      <c r="G195" s="2989"/>
      <c r="H195" s="2989"/>
      <c r="J195" s="402">
        <f>total_tax_paid</f>
        <v>2000</v>
      </c>
      <c r="K195" s="2997"/>
      <c r="L195" s="979">
        <f>IF((total_tax_paid+debt_collected)&gt;0,1,0)</f>
        <v>1</v>
      </c>
    </row>
    <row r="196" spans="1:13" x14ac:dyDescent="0.2">
      <c r="A196" s="3370" t="s">
        <v>1530</v>
      </c>
      <c r="B196" s="406"/>
      <c r="C196" s="537"/>
      <c r="D196" s="537"/>
      <c r="E196" s="2989"/>
      <c r="F196" s="2989"/>
      <c r="G196" s="2989"/>
      <c r="H196" s="2989"/>
      <c r="I196" s="88"/>
      <c r="J196" s="404"/>
      <c r="L196" s="7">
        <f>IF((total_tax_paid+debt_collected)&gt;0,1,0)</f>
        <v>1</v>
      </c>
    </row>
    <row r="197" spans="1:13" x14ac:dyDescent="0.2">
      <c r="A197" s="3686" t="s">
        <v>6460</v>
      </c>
      <c r="B197" s="3677"/>
      <c r="C197" s="3682" t="s">
        <v>7379</v>
      </c>
      <c r="D197" s="3683"/>
      <c r="E197" s="3678"/>
      <c r="F197" s="3678"/>
      <c r="G197" s="3678"/>
      <c r="H197" s="3679" t="s">
        <v>4394</v>
      </c>
      <c r="I197" s="3678"/>
      <c r="J197" s="3680">
        <v>0</v>
      </c>
      <c r="K197" s="3463"/>
      <c r="L197" s="3463">
        <v>0</v>
      </c>
    </row>
    <row r="198" spans="1:13" x14ac:dyDescent="0.2">
      <c r="A198" s="3686" t="s">
        <v>6461</v>
      </c>
      <c r="B198" s="3681"/>
      <c r="C198" s="3682" t="s">
        <v>7380</v>
      </c>
      <c r="D198" s="3687"/>
      <c r="E198" s="3678"/>
      <c r="F198" s="3678"/>
      <c r="G198" s="3678"/>
      <c r="H198" s="3679" t="s">
        <v>3847</v>
      </c>
      <c r="I198" s="3678"/>
      <c r="J198" s="3680">
        <v>0</v>
      </c>
      <c r="K198" s="3463"/>
      <c r="L198" s="3463">
        <v>0</v>
      </c>
    </row>
    <row r="199" spans="1:13" x14ac:dyDescent="0.2">
      <c r="A199" s="3686" t="s">
        <v>6462</v>
      </c>
      <c r="B199" s="3677"/>
      <c r="C199" s="3682"/>
      <c r="D199" s="3683"/>
      <c r="E199" s="3678"/>
      <c r="F199" s="3678"/>
      <c r="G199" s="3678"/>
      <c r="H199" s="3684" t="s">
        <v>7381</v>
      </c>
      <c r="I199" s="3678"/>
      <c r="J199" s="3680">
        <v>0</v>
      </c>
      <c r="K199" s="3463"/>
      <c r="L199" s="3463">
        <v>0</v>
      </c>
    </row>
    <row r="200" spans="1:13" x14ac:dyDescent="0.2">
      <c r="A200" s="3374" t="s">
        <v>3586</v>
      </c>
      <c r="B200" s="406"/>
      <c r="C200" s="90" t="s">
        <v>6028</v>
      </c>
      <c r="D200" s="950"/>
      <c r="E200" s="951"/>
      <c r="F200" s="951"/>
      <c r="G200" s="951"/>
      <c r="H200" s="951"/>
      <c r="I200" s="407"/>
      <c r="J200" s="949">
        <f>Total_IT_class4_due</f>
        <v>12908.429999999998</v>
      </c>
      <c r="L200" s="7">
        <f>IF((total_tax_paid+debt_coded)&gt;0,IF((total_tax_paid)&gt;IT_plus_class4,1,0),0)</f>
        <v>0</v>
      </c>
    </row>
    <row r="201" spans="1:13" x14ac:dyDescent="0.2">
      <c r="A201" s="3373" t="s">
        <v>4011</v>
      </c>
      <c r="B201" s="406"/>
      <c r="C201" s="3131" t="s">
        <v>6471</v>
      </c>
      <c r="D201" s="3130"/>
      <c r="E201" s="2057"/>
      <c r="F201" s="3132"/>
      <c r="G201" s="2057"/>
      <c r="H201" s="2058"/>
      <c r="I201" s="2058"/>
      <c r="J201" s="3133">
        <f>Total_IT_class4_due</f>
        <v>12908.429999999998</v>
      </c>
      <c r="L201" s="7">
        <f>IF(AND(total_tax_paid+debt_coded&gt;0,IT_plus_class4&gt;=total_tax_paid,NIC_total&gt;0,NIC2_amount&gt;0,NIC2_amount=NIC_total),1,0)</f>
        <v>0</v>
      </c>
    </row>
    <row r="202" spans="1:13" x14ac:dyDescent="0.2">
      <c r="A202" s="3373" t="s">
        <v>4011</v>
      </c>
      <c r="B202" s="406"/>
      <c r="C202" s="3131" t="s">
        <v>6470</v>
      </c>
      <c r="D202" s="3130"/>
      <c r="E202" s="2057"/>
      <c r="F202" s="3132"/>
      <c r="G202" s="2057"/>
      <c r="H202" s="2058"/>
      <c r="I202" s="2058"/>
      <c r="J202" s="3133">
        <f>Total_IT_class4_due</f>
        <v>12908.429999999998</v>
      </c>
      <c r="L202" s="7">
        <f>IF(AND(total_tax_paid+debt_coded&gt;0,IT_plus_class4&gt;=total_tax_paid,NIC_total&gt;0,NIC2_amount=0),1,0)</f>
        <v>0</v>
      </c>
    </row>
    <row r="203" spans="1:13" x14ac:dyDescent="0.2">
      <c r="A203" s="3373" t="s">
        <v>4011</v>
      </c>
      <c r="B203" s="406"/>
      <c r="C203" s="3131" t="s">
        <v>7623</v>
      </c>
      <c r="D203" s="3130"/>
      <c r="E203" s="2057"/>
      <c r="F203" s="3132"/>
      <c r="G203" s="2057"/>
      <c r="H203" s="2058"/>
      <c r="I203" s="2058"/>
      <c r="J203" s="3133">
        <f>Total_IT_class4_due</f>
        <v>12908.429999999998</v>
      </c>
      <c r="L203" s="7">
        <f>IF(AND(total_tax_paid+debt_coded&gt;0,IT_plus_class4&gt;=total_tax_paid,NIC_total&gt;0,NIC2_amount&gt;0,NIC2_amount&lt;NIC_total),1,0)</f>
        <v>1</v>
      </c>
    </row>
    <row r="204" spans="1:13" x14ac:dyDescent="0.2">
      <c r="A204" s="3382" t="s">
        <v>4011</v>
      </c>
      <c r="B204" s="406"/>
      <c r="C204" s="90" t="str">
        <f>IF(NIC_total&gt;0,"Treth Incwm a Chyfraniadau Yswiriant Gwladol Dosbarth 4 sy'n Ddyledus","Cyfanswm Treth Incwm sy'n ddyledus")</f>
        <v>Treth Incwm a Chyfraniadau Yswiriant Gwladol Dosbarth 4 sy'n Ddyledus</v>
      </c>
      <c r="D204" s="82"/>
      <c r="E204" s="407"/>
      <c r="F204" s="1210"/>
      <c r="G204" s="407"/>
      <c r="H204" s="768"/>
      <c r="I204" s="768"/>
      <c r="J204" s="949">
        <f>Total_IT_class4_due</f>
        <v>12908.429999999998</v>
      </c>
      <c r="L204" s="7">
        <f>IF((total_tax_paid+debt_coded)&gt;0,IF(IT_plus_class4&gt;=total_tax_paid,1,0),0)</f>
        <v>1</v>
      </c>
    </row>
    <row r="205" spans="1:13" x14ac:dyDescent="0.2">
      <c r="A205" s="3370" t="s">
        <v>3012</v>
      </c>
      <c r="B205" s="406"/>
      <c r="J205" s="404"/>
      <c r="L205" s="1944">
        <f>IF(OR(Taxable_CG&gt;0,tax_on_gains_already_charged&gt;0),1,0)</f>
        <v>0</v>
      </c>
    </row>
    <row r="206" spans="1:13" x14ac:dyDescent="0.2">
      <c r="A206" s="3370" t="s">
        <v>3013</v>
      </c>
      <c r="B206" s="406"/>
      <c r="C206" s="2992" t="s">
        <v>5971</v>
      </c>
      <c r="D206" s="2992" t="s">
        <v>6029</v>
      </c>
      <c r="E206" s="2989"/>
      <c r="F206" s="2989"/>
      <c r="G206" s="2989"/>
      <c r="H206" s="2989"/>
      <c r="I206" s="88"/>
      <c r="J206" s="404"/>
      <c r="L206" s="1944">
        <f>IF(OR(Taxable_CG&gt;0,tax_on_gains_already_charged&gt;0),1,0)</f>
        <v>0</v>
      </c>
    </row>
    <row r="207" spans="1:13" x14ac:dyDescent="0.2">
      <c r="A207" s="3370" t="s">
        <v>5367</v>
      </c>
      <c r="B207" s="406"/>
      <c r="D207" s="2991" t="s">
        <v>6030</v>
      </c>
      <c r="G207" s="765">
        <f>Taxable_CG</f>
        <v>0</v>
      </c>
      <c r="H207" s="87"/>
      <c r="I207" s="824"/>
      <c r="J207" s="404"/>
      <c r="L207" s="1944">
        <f>IF(OR(Taxable_CG&gt;0,tax_on_gains_already_charged&gt;0),1,0)</f>
        <v>0</v>
      </c>
    </row>
    <row r="208" spans="1:13" x14ac:dyDescent="0.2">
      <c r="A208" s="3370" t="s">
        <v>3589</v>
      </c>
      <c r="B208" s="406"/>
      <c r="D208" s="4531" t="s">
        <v>9019</v>
      </c>
      <c r="E208" s="4531"/>
      <c r="F208" s="4531"/>
      <c r="G208" s="765">
        <f>CG_at_ER_rate</f>
        <v>0</v>
      </c>
      <c r="H208" s="1209" t="str">
        <f>"x "&amp;ER_CGT_rate*100&amp;"%"</f>
        <v>x 10%</v>
      </c>
      <c r="I208" s="824">
        <f>ER_rate_CGT</f>
        <v>0</v>
      </c>
      <c r="J208" s="404"/>
      <c r="L208" s="7">
        <f>IF(CG_at_ER_rate&gt;0,1,0)</f>
        <v>0</v>
      </c>
      <c r="M208" s="1049"/>
    </row>
    <row r="209" spans="1:13" x14ac:dyDescent="0.2">
      <c r="A209" s="3370" t="s">
        <v>2298</v>
      </c>
      <c r="B209" s="406"/>
      <c r="D209" s="2991" t="s">
        <v>6074</v>
      </c>
      <c r="G209" s="765">
        <f>CG_at_lower_rate_RP_CI</f>
        <v>0</v>
      </c>
      <c r="H209" s="1209" t="str">
        <f>"x "&amp;Lower_CGT_rate_RP_CI*100&amp;"%"</f>
        <v>x 18%</v>
      </c>
      <c r="I209" s="824">
        <f>Lower_rate_CGT_RP_CI</f>
        <v>0</v>
      </c>
      <c r="J209" s="404"/>
      <c r="L209" s="979">
        <f>IF(CG_at_lower_rate_RP_CI&gt;0,1,0)</f>
        <v>0</v>
      </c>
      <c r="M209" s="979"/>
    </row>
    <row r="210" spans="1:13" x14ac:dyDescent="0.2">
      <c r="A210" s="3370" t="s">
        <v>5368</v>
      </c>
      <c r="D210" s="2991" t="s">
        <v>6073</v>
      </c>
      <c r="G210" s="401">
        <f>CG_at_higher_rate_RP_CI</f>
        <v>0</v>
      </c>
      <c r="H210" s="1209" t="str">
        <f>"x "&amp;Upper_CGT_rate_RP_CI*100&amp;"%"</f>
        <v>x 28%</v>
      </c>
      <c r="I210" s="824">
        <f>Higher_rate_CGT_RP_CI</f>
        <v>0</v>
      </c>
      <c r="L210" s="979">
        <f>IF(CG_at_higher_rate_RP_CI&gt;0,1,0)</f>
        <v>0</v>
      </c>
      <c r="M210" s="979"/>
    </row>
    <row r="211" spans="1:13" x14ac:dyDescent="0.2">
      <c r="A211" s="3370" t="s">
        <v>2303</v>
      </c>
      <c r="B211" s="406"/>
      <c r="D211" s="2991" t="s">
        <v>7382</v>
      </c>
      <c r="G211" s="765">
        <f>CG_at_lower_rate</f>
        <v>0</v>
      </c>
      <c r="H211" s="1209" t="str">
        <f>"x "&amp;Lower_CGT_rate*100&amp;"%"</f>
        <v>x 10%</v>
      </c>
      <c r="I211" s="824">
        <f>Lower_rate_CGT</f>
        <v>0</v>
      </c>
      <c r="J211" s="404"/>
      <c r="L211" s="7">
        <f>IF(CG_at_lower_rate&gt;0,1,0)</f>
        <v>0</v>
      </c>
    </row>
    <row r="212" spans="1:13" x14ac:dyDescent="0.2">
      <c r="A212" s="3370" t="s">
        <v>5369</v>
      </c>
      <c r="D212" s="2991" t="s">
        <v>7383</v>
      </c>
      <c r="G212" s="401">
        <f>CG_at_higher_rate</f>
        <v>0</v>
      </c>
      <c r="H212" s="1209" t="str">
        <f>"x "&amp;Upper_CGT_rate*100&amp;"%"</f>
        <v>x 20%</v>
      </c>
      <c r="I212" s="824">
        <f>Higher_rate_CGT</f>
        <v>0</v>
      </c>
      <c r="L212" s="7">
        <f>IF(CG_at_higher_rate&gt;0,1,0)</f>
        <v>0</v>
      </c>
    </row>
    <row r="213" spans="1:13" x14ac:dyDescent="0.2">
      <c r="A213" s="3370" t="s">
        <v>1424</v>
      </c>
      <c r="D213" s="2991" t="s">
        <v>6031</v>
      </c>
      <c r="I213" s="404">
        <f>CGT_adjustment</f>
        <v>0</v>
      </c>
      <c r="L213" s="7">
        <f>IF(CGT_adjustment&lt;&gt;0,1,0)</f>
        <v>0</v>
      </c>
    </row>
    <row r="214" spans="1:13" x14ac:dyDescent="0.2">
      <c r="A214" s="3370" t="s">
        <v>2610</v>
      </c>
      <c r="I214" s="825">
        <f>Total_CGT_tax</f>
        <v>0</v>
      </c>
      <c r="L214" s="7">
        <f>IF(Total_CGT_tax&gt;0,1,0)</f>
        <v>0</v>
      </c>
    </row>
    <row r="215" spans="1:13" x14ac:dyDescent="0.2">
      <c r="A215" s="3376" t="s">
        <v>1647</v>
      </c>
      <c r="B215" s="406"/>
      <c r="D215" s="4" t="s">
        <v>5953</v>
      </c>
      <c r="E215" s="2989" t="s">
        <v>6033</v>
      </c>
      <c r="F215" s="2989"/>
      <c r="G215" s="826"/>
      <c r="H215" s="827"/>
      <c r="I215" s="402">
        <f>CG_FTCR</f>
        <v>0</v>
      </c>
      <c r="J215" s="404"/>
      <c r="L215" s="7">
        <f>IF(CG_FTCR&gt;0,IF(Total_CGT_tax+CG_trust_tax&gt;0,1,0),0)</f>
        <v>0</v>
      </c>
    </row>
    <row r="216" spans="1:13" x14ac:dyDescent="0.2">
      <c r="A216" s="3370" t="s">
        <v>3346</v>
      </c>
      <c r="B216" s="406"/>
      <c r="D216" s="4" t="s">
        <v>5971</v>
      </c>
      <c r="E216" s="2989" t="s">
        <v>6034</v>
      </c>
      <c r="F216" s="2989"/>
      <c r="H216" s="827"/>
      <c r="I216" s="402">
        <f>CG_trust_tax</f>
        <v>0</v>
      </c>
      <c r="J216" s="404"/>
      <c r="L216" s="7">
        <f>IF(CG_trust_tax&gt;0,1,0)</f>
        <v>0</v>
      </c>
    </row>
    <row r="217" spans="1:13" x14ac:dyDescent="0.2">
      <c r="A217" s="3370" t="s">
        <v>3349</v>
      </c>
      <c r="B217" s="406"/>
      <c r="D217" s="4" t="s">
        <v>5953</v>
      </c>
      <c r="E217" s="4379" t="s">
        <v>9020</v>
      </c>
      <c r="F217" s="2989"/>
      <c r="H217" s="827"/>
      <c r="I217" s="404">
        <f>tax_on_gains_already_charged</f>
        <v>0</v>
      </c>
      <c r="J217" s="404"/>
      <c r="L217" s="7">
        <f>IF(tax_on_gains_already_charged&gt;0,1,0)</f>
        <v>0</v>
      </c>
    </row>
    <row r="218" spans="1:13" x14ac:dyDescent="0.2">
      <c r="A218" s="3370" t="s">
        <v>4445</v>
      </c>
      <c r="B218" s="406"/>
      <c r="D218" s="2990" t="s">
        <v>6032</v>
      </c>
      <c r="G218" s="2989"/>
      <c r="H218" s="2989"/>
      <c r="I218" s="825"/>
      <c r="J218" s="402">
        <f>total_CG_due</f>
        <v>0</v>
      </c>
      <c r="L218" s="1944">
        <f>IF(OR(Taxable_CG&gt;0,tax_on_gains_already_charged&gt;0),1,0)</f>
        <v>0</v>
      </c>
    </row>
    <row r="219" spans="1:13" x14ac:dyDescent="0.2">
      <c r="A219" s="3374" t="s">
        <v>5374</v>
      </c>
      <c r="B219" s="406"/>
      <c r="D219" s="2990"/>
      <c r="G219" s="2989"/>
      <c r="H219" s="2989"/>
      <c r="J219" s="402"/>
      <c r="L219" s="1944">
        <f>IF(OR(Taxable_CG&gt;0,tax_on_gains_already_charged&gt;0),1,0)</f>
        <v>0</v>
      </c>
    </row>
    <row r="220" spans="1:13" x14ac:dyDescent="0.2">
      <c r="A220" s="3374" t="s">
        <v>3352</v>
      </c>
      <c r="B220" s="406"/>
      <c r="C220" s="90" t="s">
        <v>6028</v>
      </c>
      <c r="D220" s="950"/>
      <c r="E220" s="951"/>
      <c r="F220" s="951"/>
      <c r="G220" s="951"/>
      <c r="H220" s="951"/>
      <c r="I220" s="407"/>
      <c r="J220" s="949">
        <f>Total_IT_CG_class4_due</f>
        <v>12908.429999999998</v>
      </c>
      <c r="L220" s="1944">
        <f>IF(AND(OR(Taxable_CG&gt;0,tax_on_gains_already_charged&gt;0),total_tax_paid&gt;IT_plus_class4+total_CG_due),1,0)</f>
        <v>0</v>
      </c>
    </row>
    <row r="221" spans="1:13" x14ac:dyDescent="0.2">
      <c r="A221" s="3373" t="s">
        <v>4011</v>
      </c>
      <c r="B221" s="1967"/>
      <c r="C221" s="4535" t="s">
        <v>7386</v>
      </c>
      <c r="D221" s="4536"/>
      <c r="E221" s="4536"/>
      <c r="F221" s="4536"/>
      <c r="G221" s="4536"/>
      <c r="H221" s="4536"/>
      <c r="I221" s="4536"/>
      <c r="J221" s="2936">
        <f>Total_IT_CG_class4_due</f>
        <v>12908.429999999998</v>
      </c>
      <c r="K221" s="979"/>
      <c r="L221" s="3468">
        <f>IF(AND(OR(Taxable_CG&gt;0,tax_on_gains_already_charged&gt;0),IT_plus_class4+total_CG_due&gt;=total_tax_paid,NIC_total&gt;0,NIC2_amount&gt;0,NIC2_amount=NIC_total),1,0)</f>
        <v>0</v>
      </c>
    </row>
    <row r="222" spans="1:13" x14ac:dyDescent="0.2">
      <c r="A222" s="3373" t="s">
        <v>4011</v>
      </c>
      <c r="B222" s="1967"/>
      <c r="C222" s="4535" t="s">
        <v>7384</v>
      </c>
      <c r="D222" s="4536"/>
      <c r="E222" s="4536"/>
      <c r="F222" s="4536"/>
      <c r="G222" s="4536"/>
      <c r="H222" s="4536"/>
      <c r="I222" s="4536"/>
      <c r="J222" s="2936">
        <f>Total_IT_CG_class4_due</f>
        <v>12908.429999999998</v>
      </c>
      <c r="K222" s="979"/>
      <c r="L222" s="3468">
        <f>IF(AND(OR(Taxable_CG&gt;0,tax_on_gains_already_charged&gt;0),IT_plus_class4+total_CG_due&gt;=total_tax_paid,NIC_total&gt;0,NIC2_amount=0),1,0)</f>
        <v>0</v>
      </c>
    </row>
    <row r="223" spans="1:13" x14ac:dyDescent="0.2">
      <c r="A223" s="3373" t="s">
        <v>4011</v>
      </c>
      <c r="B223" s="1967"/>
      <c r="C223" s="4535" t="s">
        <v>7385</v>
      </c>
      <c r="D223" s="4536"/>
      <c r="E223" s="4536"/>
      <c r="F223" s="4536"/>
      <c r="G223" s="4536"/>
      <c r="H223" s="4536"/>
      <c r="I223" s="4536"/>
      <c r="J223" s="2936">
        <f>Total_IT_CG_class4_due</f>
        <v>12908.429999999998</v>
      </c>
      <c r="K223" s="979"/>
      <c r="L223" s="3468">
        <f>IF(AND(OR(Taxable_CG&gt;0,tax_on_gains_already_charged&gt;0),IT_plus_class4+total_CG_due&gt;=total_tax_paid,NIC_total&gt;0,NIC2_amount&gt;0,NIC2_amount&lt;NIC_total),1,0)</f>
        <v>0</v>
      </c>
    </row>
    <row r="224" spans="1:13" x14ac:dyDescent="0.2">
      <c r="A224" s="3376" t="s">
        <v>4011</v>
      </c>
      <c r="B224" s="406"/>
      <c r="C224" s="1968" t="str">
        <f>IF(NIC_total&gt;0,"Treth Incwm, Treth Enillion Cyfalaf a Chyfraniadau Yswiriant Gwladol Dosbarth","Treth Incwm a Threth Enillion Cyfalaf sy'n ddyledus")</f>
        <v>Treth Incwm, Treth Enillion Cyfalaf a Chyfraniadau Yswiriant Gwladol Dosbarth</v>
      </c>
      <c r="D224" s="82"/>
      <c r="E224" s="407"/>
      <c r="F224" s="407"/>
      <c r="G224" s="407"/>
      <c r="H224" s="407"/>
      <c r="I224" s="407"/>
      <c r="J224" s="949">
        <f>Total_IT_CG_class4_due</f>
        <v>12908.429999999998</v>
      </c>
      <c r="L224" s="1944">
        <f>IF(AND(OR(Taxable_CG&gt;0,tax_on_gains_already_charged&gt;0),IT_plus_class4+total_CG_due&gt;=total_tax_paid,NIC_total=0),1,0)</f>
        <v>0</v>
      </c>
    </row>
    <row r="225" spans="1:12" x14ac:dyDescent="0.2">
      <c r="A225" s="3370" t="s">
        <v>1418</v>
      </c>
      <c r="B225" s="406"/>
      <c r="C225" s="2992"/>
      <c r="D225" s="2992"/>
      <c r="E225" s="2989"/>
      <c r="F225" s="2989"/>
      <c r="G225" s="2989"/>
      <c r="H225" s="2990"/>
      <c r="I225" s="2989"/>
      <c r="J225" s="824"/>
      <c r="L225" s="7">
        <f>IF(total_CG_due&gt;0,1,0)</f>
        <v>0</v>
      </c>
    </row>
    <row r="226" spans="1:12" x14ac:dyDescent="0.2">
      <c r="A226" s="3384" t="s">
        <v>3355</v>
      </c>
      <c r="B226" s="406"/>
      <c r="C226" s="4" t="s">
        <v>5953</v>
      </c>
      <c r="D226" s="2989" t="s">
        <v>6035</v>
      </c>
      <c r="F226" s="2989"/>
      <c r="G226" s="2989"/>
      <c r="H226" s="2989"/>
      <c r="I226" s="88"/>
      <c r="J226" s="402">
        <f>tax_already_refunded</f>
        <v>600</v>
      </c>
      <c r="L226" s="7">
        <f>IF(AND(tax_already_refunded&gt;0,total_tax_paid&gt;(IT_plus_class4+total_CG_due)),1,0)</f>
        <v>0</v>
      </c>
    </row>
    <row r="227" spans="1:12" x14ac:dyDescent="0.2">
      <c r="A227" s="3372" t="s">
        <v>4011</v>
      </c>
      <c r="B227" s="406"/>
      <c r="C227" s="4" t="s">
        <v>5971</v>
      </c>
      <c r="D227" s="4195" t="s">
        <v>6035</v>
      </c>
      <c r="E227" s="4197"/>
      <c r="F227" s="4195"/>
      <c r="G227" s="4195"/>
      <c r="H227" s="4195"/>
      <c r="I227" s="88"/>
      <c r="J227" s="402">
        <f>tax_already_refunded</f>
        <v>600</v>
      </c>
      <c r="L227" s="7">
        <f>IF(AND(tax_already_refunded&gt;0,total_tax_paid&lt;=(IT_plus_class4+total_CG_due)),1,0)</f>
        <v>1</v>
      </c>
    </row>
    <row r="228" spans="1:12" x14ac:dyDescent="0.2">
      <c r="A228" s="3374" t="s">
        <v>2898</v>
      </c>
      <c r="B228" s="406"/>
      <c r="C228" s="4" t="s">
        <v>5953</v>
      </c>
      <c r="D228" s="2989" t="s">
        <v>6036</v>
      </c>
      <c r="F228" s="2989"/>
      <c r="G228" s="2989"/>
      <c r="H228" s="2989"/>
      <c r="I228" s="88"/>
      <c r="J228" s="402">
        <f>unpaid_tax_bf</f>
        <v>0</v>
      </c>
      <c r="L228" s="7">
        <f>IF(AND(unpaid_tax_bf&gt;0,total_tax_paid&gt;(IT_plus_class4+total_CG_due)),1,0)</f>
        <v>0</v>
      </c>
    </row>
    <row r="229" spans="1:12" x14ac:dyDescent="0.2">
      <c r="A229" s="3372" t="s">
        <v>4011</v>
      </c>
      <c r="B229" s="406"/>
      <c r="C229" s="4" t="s">
        <v>5971</v>
      </c>
      <c r="D229" s="4195" t="s">
        <v>6036</v>
      </c>
      <c r="E229" s="4197"/>
      <c r="F229" s="4195"/>
      <c r="G229" s="4195"/>
      <c r="H229" s="4195"/>
      <c r="I229" s="88"/>
      <c r="J229" s="402">
        <f>unpaid_tax_bf</f>
        <v>0</v>
      </c>
      <c r="L229" s="7">
        <f>IF(AND(unpaid_tax_bf&gt;0,total_tax_paid&lt;=(IT_plus_class4+total_CG_due)),1,0)</f>
        <v>0</v>
      </c>
    </row>
    <row r="230" spans="1:12" x14ac:dyDescent="0.2">
      <c r="A230" s="3374" t="s">
        <v>4427</v>
      </c>
      <c r="B230" s="775"/>
      <c r="C230" s="90" t="s">
        <v>6028</v>
      </c>
      <c r="D230" s="950"/>
      <c r="E230" s="407"/>
      <c r="F230" s="407"/>
      <c r="G230" s="407"/>
      <c r="H230" s="407"/>
      <c r="I230" s="407"/>
      <c r="J230" s="408">
        <f>Total_tax_NIC_due</f>
        <v>13508.429999999998</v>
      </c>
      <c r="L230" s="7">
        <f>IF(AND(OR(AllceIn_TPA&gt;0,(tax_already_refunded+unpaid_tax_bf)&gt;0),total_tax_paid&gt;(IT_plus_class4+total_CG_due+tax_already_refunded+unpaid_tax_bf)),1,0)</f>
        <v>0</v>
      </c>
    </row>
    <row r="231" spans="1:12" x14ac:dyDescent="0.2">
      <c r="A231" s="3375" t="s">
        <v>4011</v>
      </c>
      <c r="B231" s="406"/>
      <c r="C231" s="90" t="s">
        <v>6038</v>
      </c>
      <c r="D231" s="82"/>
      <c r="E231" s="407"/>
      <c r="F231" s="407"/>
      <c r="G231" s="407"/>
      <c r="H231" s="407"/>
      <c r="I231" s="407"/>
      <c r="J231" s="408">
        <f>Total_tax_NIC_due</f>
        <v>13508.429999999998</v>
      </c>
      <c r="L231" s="7">
        <f>IF(AND(OR(AllceIn_TPA&gt;0,(tax_already_refunded+unpaid_tax_bf)&gt;0),NIC_total&gt;0,(IT_plus_class4+total_CG_due+tax_already_refunded+unpaid_tax_bf)&gt;=total_tax_paid),1,0)</f>
        <v>1</v>
      </c>
    </row>
    <row r="232" spans="1:12" x14ac:dyDescent="0.2">
      <c r="A232" s="3376" t="s">
        <v>4011</v>
      </c>
      <c r="B232" s="775"/>
      <c r="C232" s="90" t="s">
        <v>6039</v>
      </c>
      <c r="D232" s="950"/>
      <c r="E232" s="407"/>
      <c r="F232" s="407"/>
      <c r="G232" s="407"/>
      <c r="H232" s="407"/>
      <c r="I232" s="407"/>
      <c r="J232" s="408">
        <f>Total_tax_NIC_due</f>
        <v>13508.429999999998</v>
      </c>
      <c r="L232" s="7">
        <f>IF(AND(OR(AllceIn_TPA&gt;0,(tax_already_refunded+unpaid_tax_bf)&gt;0),NIC_total=0,(IT_plus_class4+total_CG_due+tax_already_refunded+unpaid_tax_bf)&gt;=total_tax_paid),1,0)</f>
        <v>0</v>
      </c>
    </row>
    <row r="234" spans="1:12" x14ac:dyDescent="0.2">
      <c r="A234" s="779" t="s">
        <v>8880</v>
      </c>
    </row>
    <row r="235" spans="1:12" x14ac:dyDescent="0.2">
      <c r="A235" s="779" t="s">
        <v>6775</v>
      </c>
    </row>
    <row r="236" spans="1:12" x14ac:dyDescent="0.2">
      <c r="A236" s="779"/>
    </row>
    <row r="237" spans="1:12" x14ac:dyDescent="0.2">
      <c r="A237" s="779" t="s">
        <v>8897</v>
      </c>
    </row>
    <row r="245" spans="1:1" x14ac:dyDescent="0.2">
      <c r="A245" s="779"/>
    </row>
  </sheetData>
  <mergeCells count="45">
    <mergeCell ref="C17:F17"/>
    <mergeCell ref="C66:J66"/>
    <mergeCell ref="F94:G94"/>
    <mergeCell ref="F92:G92"/>
    <mergeCell ref="F85:G85"/>
    <mergeCell ref="F76:G76"/>
    <mergeCell ref="F80:G80"/>
    <mergeCell ref="F82:G82"/>
    <mergeCell ref="C68:J68"/>
    <mergeCell ref="C65:J65"/>
    <mergeCell ref="C70:J70"/>
    <mergeCell ref="C44:F44"/>
    <mergeCell ref="D46:F46"/>
    <mergeCell ref="C73:G73"/>
    <mergeCell ref="C59:J59"/>
    <mergeCell ref="C62:J62"/>
    <mergeCell ref="C222:I222"/>
    <mergeCell ref="C223:I223"/>
    <mergeCell ref="D147:H147"/>
    <mergeCell ref="C67:J67"/>
    <mergeCell ref="C69:J69"/>
    <mergeCell ref="D126:G126"/>
    <mergeCell ref="C151:G151"/>
    <mergeCell ref="C75:G75"/>
    <mergeCell ref="F78:G78"/>
    <mergeCell ref="C89:G89"/>
    <mergeCell ref="C90:G90"/>
    <mergeCell ref="F79:G79"/>
    <mergeCell ref="F83:G83"/>
    <mergeCell ref="C148:F148"/>
    <mergeCell ref="C149:F149"/>
    <mergeCell ref="D107:F107"/>
    <mergeCell ref="C21:F21"/>
    <mergeCell ref="C22:F22"/>
    <mergeCell ref="C221:I221"/>
    <mergeCell ref="C64:J64"/>
    <mergeCell ref="C177:I177"/>
    <mergeCell ref="C175:I175"/>
    <mergeCell ref="C60:J60"/>
    <mergeCell ref="C58:J58"/>
    <mergeCell ref="D130:F130"/>
    <mergeCell ref="C152:G152"/>
    <mergeCell ref="C143:F143"/>
    <mergeCell ref="D131:H131"/>
    <mergeCell ref="D208:F208"/>
  </mergeCells>
  <pageMargins bottom="0.196850393700787" footer="0" header="0" left="0.196850393700787" right="0.196850393700787" top="0.196850393700787"/>
  <pageSetup orientation="portrait" paperSize="8" r:id="rId1"/>
  <headerFooter alignWithMargins="0"/>
  <drawing r:id="rId2"/>
</worksheet>
</file>

<file path=xl/worksheets/sheet56.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Sheet73">
    <tabColor theme="9" tint="0.39997558519241921"/>
  </sheetPr>
  <dimension ref="A1:J135"/>
  <sheetViews>
    <sheetView showGridLines="0" topLeftCell="B79" workbookViewId="0">
      <selection activeCell="O21" sqref="O21"/>
    </sheetView>
  </sheetViews>
  <sheetFormatPr defaultColWidth="9.140625" defaultRowHeight="12.75" x14ac:dyDescent="0.2"/>
  <cols>
    <col min="1" max="1" customWidth="true" style="4" width="4.5703125" collapsed="true"/>
    <col min="2" max="2" bestFit="true" customWidth="true" style="979" width="23.0" collapsed="true"/>
    <col min="3" max="3" bestFit="true" customWidth="true" style="979" width="31.0" collapsed="true"/>
    <col min="4" max="4" customWidth="true" style="979" width="12.85546875" collapsed="true"/>
    <col min="5" max="5" customWidth="true" style="121" width="1.0" collapsed="true"/>
    <col min="6" max="6" customWidth="true" style="4" width="5.140625" collapsed="true"/>
    <col min="7" max="7" bestFit="true" customWidth="true" style="979" width="24.42578125" collapsed="true"/>
    <col min="8" max="8" bestFit="true" customWidth="true" style="979" width="21.5703125" collapsed="true"/>
    <col min="9" max="9" customWidth="true" style="979" width="12.85546875" collapsed="true"/>
    <col min="10" max="10" customWidth="true" style="121" width="2.7109375" collapsed="true"/>
    <col min="11" max="16384" style="121" width="9.140625" collapsed="true"/>
  </cols>
  <sheetData>
    <row customHeight="1" ht="12" r="1" spans="1:9" x14ac:dyDescent="0.2">
      <c r="A1" s="808" t="s">
        <v>2772</v>
      </c>
      <c r="B1" s="2797" t="s">
        <v>2773</v>
      </c>
      <c r="C1" s="2781" t="s">
        <v>823</v>
      </c>
      <c r="D1" s="2781" t="s">
        <v>808</v>
      </c>
      <c r="F1" s="808" t="s">
        <v>2772</v>
      </c>
      <c r="G1" s="2797" t="s">
        <v>2773</v>
      </c>
      <c r="H1" s="2781" t="s">
        <v>823</v>
      </c>
      <c r="I1" s="2781" t="s">
        <v>808</v>
      </c>
    </row>
    <row r="2" spans="1:9" x14ac:dyDescent="0.2">
      <c r="A2" s="809" t="s">
        <v>3850</v>
      </c>
      <c r="B2" s="2798" t="s">
        <v>2774</v>
      </c>
      <c r="C2" s="2782" t="str">
        <f>'NS income (c1)'!I11&amp;" + "&amp;'NS income (c1)'!I153</f>
        <v>c1.4 + c1.58</v>
      </c>
      <c r="D2" s="2783">
        <f>'NS income (c1)'!J11+'NS income (c1)'!J153</f>
        <v>33254</v>
      </c>
      <c r="F2" s="409" t="s">
        <v>947</v>
      </c>
      <c r="G2" s="2799" t="s">
        <v>3344</v>
      </c>
      <c r="H2" s="2783" t="str">
        <f>'Tax adj (c9)'!L104</f>
        <v>c9.31</v>
      </c>
      <c r="I2" s="2786">
        <f>'Tax adj (c9)'!M104</f>
        <v>0</v>
      </c>
    </row>
    <row r="3" spans="1:9" x14ac:dyDescent="0.2">
      <c r="A3" s="809" t="s">
        <v>616</v>
      </c>
      <c r="B3" s="2798" t="s">
        <v>3342</v>
      </c>
      <c r="C3" s="2783" t="str">
        <f>'NS income (c1)'!I14</f>
        <v>c1.5</v>
      </c>
      <c r="D3" s="2783">
        <f>'NS income (c1)'!J14</f>
        <v>0</v>
      </c>
      <c r="F3" s="3451" t="s">
        <v>8769</v>
      </c>
      <c r="G3" s="3452" t="s">
        <v>3354</v>
      </c>
      <c r="H3" s="3453" t="str">
        <f>'Tax adj (c9)'!L111</f>
        <v>c9.31a</v>
      </c>
      <c r="I3" s="3453">
        <f>'Tax adj (c9)'!M111</f>
        <v>0</v>
      </c>
    </row>
    <row r="4" spans="1:9" x14ac:dyDescent="0.2">
      <c r="A4" s="809" t="s">
        <v>617</v>
      </c>
      <c r="B4" s="2798" t="s">
        <v>3343</v>
      </c>
      <c r="C4" s="2783" t="str">
        <f>'NS income (c1)'!I21</f>
        <v>c1.8</v>
      </c>
      <c r="D4" s="2783">
        <f>'NS income (c1)'!J21</f>
        <v>0</v>
      </c>
      <c r="F4" s="3451" t="s">
        <v>8777</v>
      </c>
      <c r="G4" s="3452" t="s">
        <v>8783</v>
      </c>
      <c r="H4" s="3453" t="str">
        <f>'Div Cr (c10)'!I21</f>
        <v>c10.5</v>
      </c>
      <c r="I4" s="3453">
        <f>'Div Cr (c10)'!J21</f>
        <v>0</v>
      </c>
    </row>
    <row r="5" spans="1:9" x14ac:dyDescent="0.2">
      <c r="A5" s="809" t="s">
        <v>618</v>
      </c>
      <c r="B5" s="2798" t="s">
        <v>3345</v>
      </c>
      <c r="C5" s="2783" t="str">
        <f>'NS income (c1)'!I24&amp;" + "&amp;'NS income (c1)'!I153</f>
        <v>c1.9 + c1.58</v>
      </c>
      <c r="D5" s="2783">
        <f>'NS income (c1)'!J24+'NS income (c1)'!J153</f>
        <v>33254</v>
      </c>
      <c r="F5" s="809" t="s">
        <v>948</v>
      </c>
      <c r="G5" s="2798" t="s">
        <v>1301</v>
      </c>
      <c r="H5" s="2782" t="str">
        <f>'Tax adj (c9)'!L98</f>
        <v>c9.29</v>
      </c>
      <c r="I5" s="2783">
        <f>'Tax adj (c9)'!M98</f>
        <v>0</v>
      </c>
    </row>
    <row r="6" spans="1:9" x14ac:dyDescent="0.2">
      <c r="A6" s="809" t="s">
        <v>619</v>
      </c>
      <c r="B6" s="2798" t="s">
        <v>2700</v>
      </c>
      <c r="C6" s="2783" t="str">
        <f>'NS income (c1)'!I28</f>
        <v>c1.10</v>
      </c>
      <c r="D6" s="2783">
        <f>'NS income (c1)'!J28</f>
        <v>0</v>
      </c>
      <c r="F6" s="809" t="s">
        <v>831</v>
      </c>
      <c r="G6" s="2799" t="s">
        <v>1042</v>
      </c>
      <c r="H6" s="2783" t="str">
        <f>'Tax adj (c9)'!L117</f>
        <v>c9.32</v>
      </c>
      <c r="I6" s="2786">
        <f>'Tax adj (c9)'!M117</f>
        <v>11292.21</v>
      </c>
    </row>
    <row r="7" spans="1:9" x14ac:dyDescent="0.2">
      <c r="A7" s="809" t="s">
        <v>620</v>
      </c>
      <c r="B7" s="2798" t="s">
        <v>1041</v>
      </c>
      <c r="C7" s="2783" t="str">
        <f>'NS income (c1)'!I47&amp;" + "&amp;'NS income (c1)'!I55</f>
        <v>c1.17 + c1.20</v>
      </c>
      <c r="D7" s="2783">
        <f>'NS income (c1)'!J47+'NS income (c1)'!J55</f>
        <v>14190</v>
      </c>
      <c r="F7" s="809" t="s">
        <v>833</v>
      </c>
      <c r="G7" s="2799" t="s">
        <v>3823</v>
      </c>
      <c r="H7" s="2783" t="str">
        <f>'Tax adj (c9)'!C125</f>
        <v>c9.33</v>
      </c>
      <c r="I7" s="2783">
        <f>'Tax adj (c9)'!D125</f>
        <v>625</v>
      </c>
    </row>
    <row r="8" spans="1:9" x14ac:dyDescent="0.2">
      <c r="A8" s="3415" t="s">
        <v>621</v>
      </c>
      <c r="B8" s="3416" t="s">
        <v>7738</v>
      </c>
      <c r="C8" s="3343" t="str">
        <f>'NS income (c1)'!I73</f>
        <v>c1.27</v>
      </c>
      <c r="D8" s="3343">
        <f>'NS income (c1)'!J73</f>
        <v>0</v>
      </c>
      <c r="F8" s="56" t="s">
        <v>833</v>
      </c>
      <c r="G8" s="2799" t="s">
        <v>2766</v>
      </c>
      <c r="H8" s="2783" t="str">
        <f>'Tax adj (c9)'!F125</f>
        <v>c9.34</v>
      </c>
      <c r="I8" s="2786">
        <f>'Tax adj (c9)'!G125</f>
        <v>125</v>
      </c>
    </row>
    <row customHeight="1" ht="12" r="9" spans="1:9" x14ac:dyDescent="0.2">
      <c r="A9" s="3398" t="s">
        <v>7732</v>
      </c>
      <c r="B9" s="3399" t="s">
        <v>7739</v>
      </c>
      <c r="C9" s="3343" t="str">
        <f>'Savings (c2)'!H11</f>
        <v>c2.3</v>
      </c>
      <c r="D9" s="3343">
        <f>'Savings (c2)'!I11</f>
        <v>0</v>
      </c>
      <c r="F9" s="809" t="s">
        <v>834</v>
      </c>
      <c r="G9" s="2798" t="s">
        <v>6555</v>
      </c>
      <c r="H9" s="2783" t="s">
        <v>3328</v>
      </c>
      <c r="I9" s="2786">
        <f>'Tax adj (c9)'!G128</f>
        <v>0</v>
      </c>
    </row>
    <row customFormat="1" customHeight="1" ht="12" r="10" s="3392" spans="1:9" x14ac:dyDescent="0.2">
      <c r="A10" s="3398" t="s">
        <v>7734</v>
      </c>
      <c r="B10" s="3399" t="s">
        <v>7740</v>
      </c>
      <c r="C10" s="3343" t="str">
        <f>'Divs (c3)'!G5</f>
        <v>c3.1</v>
      </c>
      <c r="D10" s="3400">
        <f>'Divs (c3)'!H5</f>
        <v>0</v>
      </c>
      <c r="F10" s="809" t="s">
        <v>834</v>
      </c>
      <c r="G10" s="2798" t="str">
        <f>G81</f>
        <v>total-CG-due</v>
      </c>
      <c r="H10" s="2783" t="s">
        <v>7071</v>
      </c>
      <c r="I10" s="2795"/>
    </row>
    <row customHeight="1" ht="12" r="11" spans="1:9" x14ac:dyDescent="0.2">
      <c r="A11" s="809" t="s">
        <v>622</v>
      </c>
      <c r="B11" s="2798" t="s">
        <v>2392</v>
      </c>
      <c r="C11" s="2783" t="str">
        <f>'NS income (c1)'!I93</f>
        <v>c1.34</v>
      </c>
      <c r="D11" s="2783">
        <f>'NS income (c1)'!J93</f>
        <v>0</v>
      </c>
      <c r="F11" s="809" t="s">
        <v>2114</v>
      </c>
      <c r="G11" s="2798" t="str">
        <f>G42</f>
        <v>non-dom-charge-amount</v>
      </c>
      <c r="H11" s="1188" t="str">
        <f>H42</f>
        <v>c19.1</v>
      </c>
      <c r="I11" s="2782">
        <f>I42</f>
        <v>0</v>
      </c>
    </row>
    <row r="12" spans="1:9" x14ac:dyDescent="0.2">
      <c r="A12" s="809" t="s">
        <v>623</v>
      </c>
      <c r="B12" s="2798" t="s">
        <v>3824</v>
      </c>
      <c r="C12" s="3343" t="str">
        <f>'NS income (c1)'!I98&amp;" + "&amp;'NS income (c1)'!I113&amp;" + "&amp;'NS income (c1)'!I124</f>
        <v>c1.35 + c1.40 + c1.44</v>
      </c>
      <c r="D12" s="2783">
        <f>'NS income (c1)'!J98+'NS income (c1)'!J113+'NS income (c1)'!J124</f>
        <v>0</v>
      </c>
      <c r="F12" s="3878" t="s">
        <v>816</v>
      </c>
      <c r="G12" s="3879" t="str">
        <f>G35</f>
        <v>Child-Benefit-tax-charge</v>
      </c>
      <c r="H12" s="3880" t="s">
        <v>2942</v>
      </c>
      <c r="I12" s="3881">
        <v>0</v>
      </c>
    </row>
    <row r="13" spans="1:9" x14ac:dyDescent="0.2">
      <c r="A13" s="809" t="s">
        <v>3001</v>
      </c>
      <c r="B13" s="2798" t="s">
        <v>3002</v>
      </c>
      <c r="C13" s="2784" t="str">
        <f>'Divs (c3)'!G17</f>
        <v>c3.5</v>
      </c>
      <c r="D13" s="2783">
        <f>'Divs (c3)'!H17</f>
        <v>0</v>
      </c>
      <c r="F13" s="3882" t="s">
        <v>816</v>
      </c>
      <c r="G13" s="3723" t="s">
        <v>8463</v>
      </c>
      <c r="H13" s="3720" t="str">
        <f>'Tax adj (c9)'!F134</f>
        <v>c9.37</v>
      </c>
      <c r="I13" s="3883">
        <f>'Tax adj (c9)'!G134</f>
        <v>11292.21</v>
      </c>
    </row>
    <row r="14" spans="1:9" x14ac:dyDescent="0.2">
      <c r="A14" s="3398" t="s">
        <v>7736</v>
      </c>
      <c r="B14" s="3399" t="s">
        <v>7741</v>
      </c>
      <c r="C14" s="3401" t="str">
        <f>'Savings (c2)'!H40&amp;" + "&amp;'Divs (c3)'!G52</f>
        <v>c2.9 + c3.16</v>
      </c>
      <c r="D14" s="3343">
        <f>'Savings (c2)'!I40+'Divs (c3)'!H52</f>
        <v>0</v>
      </c>
      <c r="F14" s="809" t="s">
        <v>6076</v>
      </c>
      <c r="G14" s="2798" t="s">
        <v>5904</v>
      </c>
      <c r="H14" s="2783" t="str">
        <f>'Pensions (c25c26)'!J149</f>
        <v>c25.56</v>
      </c>
      <c r="I14" s="2782">
        <f>'Pensions (c25c26)'!K149</f>
        <v>0</v>
      </c>
    </row>
    <row customFormat="1" r="15" s="3392" spans="1:9" x14ac:dyDescent="0.2">
      <c r="A15" s="809" t="s">
        <v>624</v>
      </c>
      <c r="B15" s="2798" t="s">
        <v>2767</v>
      </c>
      <c r="C15" s="2783" t="str">
        <f><![CDATA['NS income (c1)'!I133&" + "&'Savings (c2)'!H53&" + "&'Divs (c3)'!G33&" + "&'Divs (c3)'!G63&" + "&'Divs (c3)'!G66]]></f>
        <v>c1.51 + c2.13 + c3.9 + c3.19 + c3.20</v>
      </c>
      <c r="D15" s="2783">
        <f>'NS income (c1)'!J133+'Savings (c2)'!I53+'Divs (c3)'!H33+'Divs (c3)'!H63+'Divs (c3)'!H66</f>
        <v>0</v>
      </c>
      <c r="F15" s="809" t="s">
        <v>835</v>
      </c>
      <c r="G15" s="2799" t="s">
        <v>1382</v>
      </c>
      <c r="H15" s="2783" t="str">
        <f>'Tax adj (c9)'!F140</f>
        <v>c9.39</v>
      </c>
      <c r="I15" s="2786">
        <f>'Tax adj (c9)'!G140</f>
        <v>0</v>
      </c>
    </row>
    <row r="16" spans="1:9" x14ac:dyDescent="0.2">
      <c r="A16" s="809" t="s">
        <v>625</v>
      </c>
      <c r="B16" s="2798" t="s">
        <v>1402</v>
      </c>
      <c r="C16" s="2783" t="str">
        <f>'Savings (c2)'!H67</f>
        <v>c2.17</v>
      </c>
      <c r="D16" s="2783">
        <f>'Savings (c2)'!I67</f>
        <v>3678</v>
      </c>
      <c r="F16" s="409" t="s">
        <v>836</v>
      </c>
      <c r="G16" s="2799" t="s">
        <v>1384</v>
      </c>
      <c r="H16" s="2785" t="str">
        <f>'Tax adj (c9)'!L140</f>
        <v>c9.40</v>
      </c>
      <c r="I16" s="2786">
        <f>'Tax adj (c9)'!M140</f>
        <v>11292.21</v>
      </c>
    </row>
    <row r="17" spans="1:9" x14ac:dyDescent="0.2">
      <c r="A17" s="809" t="s">
        <v>626</v>
      </c>
      <c r="B17" s="2798" t="s">
        <v>1383</v>
      </c>
      <c r="C17" s="2782" t="str">
        <f>'Divs (c3)'!G43</f>
        <v>c3.14</v>
      </c>
      <c r="D17" s="2783">
        <f>'Divs (c3)'!H43</f>
        <v>12750</v>
      </c>
      <c r="F17" s="809" t="s">
        <v>838</v>
      </c>
      <c r="G17" s="2799" t="s">
        <v>1386</v>
      </c>
      <c r="H17" s="2783" t="str">
        <f>'Tax adj (c9)'!F144</f>
        <v>c9.41</v>
      </c>
      <c r="I17" s="2783">
        <f>'Tax adj (c9)'!G144</f>
        <v>0</v>
      </c>
    </row>
    <row r="18" spans="1:9" x14ac:dyDescent="0.2">
      <c r="A18" s="809" t="s">
        <v>884</v>
      </c>
      <c r="B18" s="2798" t="s">
        <v>1385</v>
      </c>
      <c r="C18" s="2783" t="str">
        <f>'NS income (c1)'!I136</f>
        <v>c1.52</v>
      </c>
      <c r="D18" s="2783">
        <f>'NS income (c1)'!J136</f>
        <v>0</v>
      </c>
      <c r="F18" s="1385" t="s">
        <v>838</v>
      </c>
      <c r="G18" s="2803" t="s">
        <v>1388</v>
      </c>
      <c r="H18" s="3114" t="str">
        <f>'Tax adj (c9)'!L144</f>
        <v>c9.42</v>
      </c>
      <c r="I18" s="3114">
        <f>'Tax adj (c9)'!M144</f>
        <v>0</v>
      </c>
    </row>
    <row r="19" spans="1:9" x14ac:dyDescent="0.2">
      <c r="A19" s="809" t="s">
        <v>885</v>
      </c>
      <c r="B19" s="2798" t="s">
        <v>1387</v>
      </c>
      <c r="C19" s="2783" t="str">
        <f>'Savings (c2)'!H73&amp;" + "&amp;'Divs (c3)'!G55</f>
        <v>c2.18 + c3.17</v>
      </c>
      <c r="D19" s="2783">
        <f>'Savings (c2)'!I73+'Divs (c3)'!H55</f>
        <v>0</v>
      </c>
      <c r="F19" s="4205" t="s">
        <v>839</v>
      </c>
      <c r="G19" s="4206" t="s">
        <v>1096</v>
      </c>
      <c r="H19" s="4207" t="s">
        <v>3818</v>
      </c>
      <c r="I19" s="4207">
        <v>0</v>
      </c>
    </row>
    <row r="20" spans="1:9" x14ac:dyDescent="0.2">
      <c r="A20" s="809" t="s">
        <v>886</v>
      </c>
      <c r="B20" s="2798" t="s">
        <v>1389</v>
      </c>
      <c r="C20" s="2783" t="str">
        <f>'NS income (c1)'!I141&amp;" + "&amp;'NS income (c1)'!I145</f>
        <v>c1.56 + c1.56a</v>
      </c>
      <c r="D20" s="2783">
        <f>'NS income (c1)'!J141+'NS income (c1)'!J145</f>
        <v>0</v>
      </c>
      <c r="F20" s="3660" t="s">
        <v>8356</v>
      </c>
      <c r="G20" s="3661" t="s">
        <v>6522</v>
      </c>
      <c r="H20" s="3662" t="str">
        <f>'Tax due (c12)'!I88</f>
        <v>c12.22</v>
      </c>
      <c r="I20" s="3663">
        <f>box_c12_1_s23</f>
        <v>0</v>
      </c>
    </row>
    <row r="21" spans="1:9" x14ac:dyDescent="0.2">
      <c r="A21" s="809" t="s">
        <v>887</v>
      </c>
      <c r="B21" s="2798" t="s">
        <v>1097</v>
      </c>
      <c r="C21" s="2782" t="str">
        <f>'Divs (c3)'!G70</f>
        <v>c3.21</v>
      </c>
      <c r="D21" s="2783">
        <f>'Divs (c3)'!H70</f>
        <v>63872</v>
      </c>
      <c r="F21" s="3660" t="s">
        <v>8357</v>
      </c>
      <c r="G21" s="3661" t="s">
        <v>6523</v>
      </c>
      <c r="H21" s="3662" t="str">
        <f>'Tax due (c12)'!I92</f>
        <v>c12.23</v>
      </c>
      <c r="I21" s="3663">
        <f>box_c12_1_s811</f>
        <v>0</v>
      </c>
    </row>
    <row r="22" spans="1:9" x14ac:dyDescent="0.2">
      <c r="A22" s="809" t="s">
        <v>2548</v>
      </c>
      <c r="B22" s="2798" t="s">
        <v>1725</v>
      </c>
      <c r="C22" s="2783" t="str">
        <f>'Deductions (c4)'!H174</f>
        <v>c4.48</v>
      </c>
      <c r="D22" s="2783">
        <f>'Deductions (c4)'!I174</f>
        <v>1200</v>
      </c>
      <c r="F22" s="3660" t="s">
        <v>8358</v>
      </c>
      <c r="G22" s="3661" t="s">
        <v>1720</v>
      </c>
      <c r="H22" s="3662" t="str">
        <f>'Tax due (c12)'!I5</f>
        <v>c12.1</v>
      </c>
      <c r="I22" s="3663">
        <f>'Tax due (c12)'!J5</f>
        <v>11292.21</v>
      </c>
    </row>
    <row r="23" spans="1:9" x14ac:dyDescent="0.2">
      <c r="A23" s="809" t="s">
        <v>2549</v>
      </c>
      <c r="B23" s="2798" t="s">
        <v>1723</v>
      </c>
      <c r="C23" s="1188" t="str">
        <f>'Deductions (c4)'!H187</f>
        <v>c4.54</v>
      </c>
      <c r="D23" s="2783">
        <f>'Deductions (c4)'!I187</f>
        <v>0</v>
      </c>
      <c r="F23" s="56" t="s">
        <v>840</v>
      </c>
      <c r="G23" s="2798" t="s">
        <v>1720</v>
      </c>
      <c r="H23" s="2786" t="str">
        <f>'Tax due (c12)'!I5</f>
        <v>c12.1</v>
      </c>
      <c r="I23" s="2786">
        <f>'Tax due (c12)'!J5</f>
        <v>11292.21</v>
      </c>
    </row>
    <row r="24" spans="1:9" x14ac:dyDescent="0.2">
      <c r="A24" s="809" t="s">
        <v>2551</v>
      </c>
      <c r="B24" s="2798" t="s">
        <v>1721</v>
      </c>
      <c r="C24" s="1188" t="str">
        <f>'Deductions (c4)'!D150</f>
        <v>c4.39</v>
      </c>
      <c r="D24" s="2783">
        <f>'Deductions (c4)'!E150</f>
        <v>0</v>
      </c>
      <c r="F24" s="809" t="s">
        <v>3217</v>
      </c>
      <c r="G24" s="2798" t="s">
        <v>1722</v>
      </c>
      <c r="H24" s="2782" t="str">
        <f>'Class 4 NIC (c16)'!G94</f>
        <v>c16.15</v>
      </c>
      <c r="I24" s="2782">
        <f>'Class 4 NIC (c16)'!H94</f>
        <v>5558</v>
      </c>
    </row>
    <row r="25" spans="1:9" x14ac:dyDescent="0.2">
      <c r="A25" s="809" t="s">
        <v>2551</v>
      </c>
      <c r="B25" s="2798" t="s">
        <v>2744</v>
      </c>
      <c r="C25" s="979" t="str">
        <f>'Deductions (c4)'!D171</f>
        <v>c4.47</v>
      </c>
      <c r="D25" s="2782">
        <f>'Deductions (c4)'!E171</f>
        <v>0</v>
      </c>
      <c r="F25" s="809" t="s">
        <v>3217</v>
      </c>
      <c r="G25" s="2798" t="s">
        <v>1724</v>
      </c>
      <c r="H25" s="2786" t="str">
        <f>'Class 4 NIC (c16)'!J94</f>
        <v>c16.16</v>
      </c>
      <c r="I25" s="2786">
        <f>'Class 4 NIC (c16)'!K94</f>
        <v>500.22</v>
      </c>
    </row>
    <row r="26" spans="1:9" x14ac:dyDescent="0.2">
      <c r="A26" s="809" t="s">
        <v>2552</v>
      </c>
      <c r="B26" s="2798" t="s">
        <v>1346</v>
      </c>
      <c r="C26" s="2783" t="str">
        <f>'Deductions (c4)'!H181</f>
        <v>c4.51</v>
      </c>
      <c r="D26" s="2783">
        <f>'Deductions (c4)'!I181</f>
        <v>0</v>
      </c>
      <c r="F26" s="409" t="s">
        <v>2590</v>
      </c>
      <c r="G26" s="2798" t="s">
        <v>1726</v>
      </c>
      <c r="H26" s="2782" t="str">
        <f>'Class 4 NIC (c16)'!G97</f>
        <v>c16.17</v>
      </c>
      <c r="I26" s="2782">
        <f>'Class 4 NIC (c16)'!H97</f>
        <v>0</v>
      </c>
    </row>
    <row r="27" spans="1:9" x14ac:dyDescent="0.2">
      <c r="A27" s="809" t="s">
        <v>1728</v>
      </c>
      <c r="B27" s="2798" t="s">
        <v>1348</v>
      </c>
      <c r="C27" s="2783" t="str">
        <f>'Deductions (c4)'!H177</f>
        <v>c4.49</v>
      </c>
      <c r="D27" s="2783">
        <f>'Deductions (c4)'!I177</f>
        <v>0</v>
      </c>
      <c r="F27" s="409" t="s">
        <v>2590</v>
      </c>
      <c r="G27" s="2798" t="s">
        <v>1727</v>
      </c>
      <c r="H27" s="2785" t="str">
        <f>'Class 4 NIC (c16)'!J97</f>
        <v>c16.18</v>
      </c>
      <c r="I27" s="2785">
        <f>'Class 4 NIC (c16)'!K97</f>
        <v>0</v>
      </c>
    </row>
    <row r="28" spans="1:9" x14ac:dyDescent="0.2">
      <c r="A28" s="809" t="s">
        <v>1729</v>
      </c>
      <c r="B28" s="2798" t="s">
        <v>1351</v>
      </c>
      <c r="C28" s="1188" t="str">
        <f>'Deductions (c4)'!H239</f>
        <v>c4.64</v>
      </c>
      <c r="D28" s="2783">
        <f>'Deductions (c4)'!I239</f>
        <v>12500</v>
      </c>
      <c r="F28" s="409" t="s">
        <v>4290</v>
      </c>
      <c r="G28" s="2798" t="s">
        <v>4378</v>
      </c>
      <c r="H28" s="2785" t="str">
        <f>'Tax due (c12)'!F8</f>
        <v>c12.2</v>
      </c>
      <c r="I28" s="2785">
        <f>'Tax due (c12)'!G8</f>
        <v>500.22</v>
      </c>
    </row>
    <row r="29" spans="1:9" x14ac:dyDescent="0.2">
      <c r="A29" s="809" t="s">
        <v>4298</v>
      </c>
      <c r="B29" s="2798" t="s">
        <v>4299</v>
      </c>
      <c r="C29" s="2782" t="str">
        <f>'Deductions (c4)'!H276</f>
        <v>c4.68</v>
      </c>
      <c r="D29" s="2783">
        <f>'Deductions (c4)'!I276</f>
        <v>0</v>
      </c>
      <c r="F29" s="409" t="s">
        <v>4379</v>
      </c>
      <c r="G29" s="2798" t="s">
        <v>4381</v>
      </c>
      <c r="H29" s="2785" t="str">
        <f>'Class 4 NIC (c16)'!J110</f>
        <v>c16.21</v>
      </c>
      <c r="I29" s="2785">
        <f>'Class 4 NIC (c16)'!K110</f>
        <v>2954.64</v>
      </c>
    </row>
    <row r="30" spans="1:9" x14ac:dyDescent="0.2">
      <c r="A30" s="809" t="s">
        <v>59</v>
      </c>
      <c r="B30" s="2798" t="s">
        <v>3909</v>
      </c>
      <c r="C30" s="1188" t="str">
        <f>'Deductions (c4)'!H246</f>
        <v>c4.65</v>
      </c>
      <c r="D30" s="2783">
        <f>'Deductions (c4)'!I246</f>
        <v>0</v>
      </c>
      <c r="F30" s="409" t="s">
        <v>4380</v>
      </c>
      <c r="G30" s="2798" t="s">
        <v>4291</v>
      </c>
      <c r="H30" s="2785" t="str">
        <f>'Tax due (c12)'!F16</f>
        <v>c12.3</v>
      </c>
      <c r="I30" s="2785">
        <f>'Tax due (c12)'!G16</f>
        <v>117</v>
      </c>
    </row>
    <row r="31" spans="1:9" x14ac:dyDescent="0.2">
      <c r="A31" s="809" t="s">
        <v>60</v>
      </c>
      <c r="B31" s="2798" t="s">
        <v>2326</v>
      </c>
      <c r="C31" s="1188" t="str">
        <f>'Deductions (c4)'!H249</f>
        <v>c4.66</v>
      </c>
      <c r="D31" s="2783">
        <f>'Deductions (c4)'!I249</f>
        <v>0</v>
      </c>
      <c r="F31" s="409" t="s">
        <v>2591</v>
      </c>
      <c r="G31" s="2799" t="s">
        <v>1347</v>
      </c>
      <c r="H31" s="2786" t="str">
        <f>'Tax due (c12)'!I21</f>
        <v>c12.4</v>
      </c>
      <c r="I31" s="2786">
        <f>'Tax due (c12)'!J21</f>
        <v>617.22</v>
      </c>
    </row>
    <row customHeight="1" ht="12.75" r="32" spans="1:9" x14ac:dyDescent="0.2">
      <c r="A32" s="809" t="s">
        <v>61</v>
      </c>
      <c r="B32" s="2798" t="s">
        <v>637</v>
      </c>
      <c r="C32" s="1188" t="str">
        <f>'Deductions (c4)'!L295</f>
        <v>c4.71</v>
      </c>
      <c r="D32" s="2783">
        <f>'Deductions (c4)'!M295</f>
        <v>0</v>
      </c>
      <c r="F32" s="409" t="s">
        <v>37</v>
      </c>
      <c r="G32" s="2799" t="s">
        <v>1349</v>
      </c>
      <c r="H32" s="2786" t="str">
        <f>'Tax due (c12)'!F27</f>
        <v>c12.6</v>
      </c>
      <c r="I32" s="2786">
        <f>'Tax due (c12)'!G27</f>
        <v>2999</v>
      </c>
    </row>
    <row r="33" spans="1:9" x14ac:dyDescent="0.2">
      <c r="A33" s="809" t="s">
        <v>62</v>
      </c>
      <c r="B33" s="2798" t="s">
        <v>3331</v>
      </c>
      <c r="C33" s="1188" t="str">
        <f>'Deductions (c4)'!L302</f>
        <v>c4.72</v>
      </c>
      <c r="D33" s="2783">
        <f>'Deductions (c4)'!M302</f>
        <v>13700</v>
      </c>
      <c r="F33" s="409" t="s">
        <v>38</v>
      </c>
      <c r="G33" s="2799" t="s">
        <v>1350</v>
      </c>
      <c r="H33" s="2783" t="str">
        <f>'Tax due (c12)'!F30</f>
        <v>c12.7</v>
      </c>
      <c r="I33" s="2786">
        <f>'Tax due (c12)'!G30</f>
        <v>0</v>
      </c>
    </row>
    <row r="34" spans="1:9" x14ac:dyDescent="0.2">
      <c r="A34" s="809" t="s">
        <v>64</v>
      </c>
      <c r="B34" s="2798" t="s">
        <v>3334</v>
      </c>
      <c r="C34" s="2782" t="str">
        <f>'Taxable (c5)'!BA309</f>
        <v>c5.86</v>
      </c>
      <c r="D34" s="2783">
        <f>'Taxable (c5)'!BB309</f>
        <v>50172</v>
      </c>
      <c r="F34" s="3332" t="s">
        <v>7440</v>
      </c>
      <c r="G34" s="3333" t="s">
        <v>7441</v>
      </c>
      <c r="H34" s="3334" t="str">
        <f>'Tax due (c12)'!F33</f>
        <v>c12.7b</v>
      </c>
      <c r="I34" s="3335">
        <f>'Tax due (c12)'!G33</f>
        <v>0</v>
      </c>
    </row>
    <row r="35" spans="1:9" x14ac:dyDescent="0.2">
      <c r="A35" s="809" t="s">
        <v>67</v>
      </c>
      <c r="B35" s="2798" t="s">
        <v>1791</v>
      </c>
      <c r="C35" s="2783" t="str">
        <f>'Deductions (c4)'!H201</f>
        <v>c4.58</v>
      </c>
      <c r="D35" s="2783">
        <f>'Deductions (c4)'!I201</f>
        <v>1000</v>
      </c>
      <c r="F35" s="409" t="s">
        <v>57</v>
      </c>
      <c r="G35" s="2799" t="s">
        <v>2470</v>
      </c>
      <c r="H35" s="2783" t="str">
        <f>'Tax due (c12)'!F36</f>
        <v>c12.8</v>
      </c>
      <c r="I35" s="2786">
        <f>'Tax due (c12)'!G36</f>
        <v>0</v>
      </c>
    </row>
    <row r="36" spans="1:9" x14ac:dyDescent="0.2">
      <c r="A36" s="809" t="s">
        <v>67</v>
      </c>
      <c r="B36" s="2798" t="s">
        <v>2838</v>
      </c>
      <c r="C36" s="2782" t="str">
        <f>'Deductions (c4)'!H197</f>
        <v>c4.57</v>
      </c>
      <c r="D36" s="2783">
        <f>'Deductions (c4)'!I197</f>
        <v>625</v>
      </c>
      <c r="F36" s="809" t="s">
        <v>3296</v>
      </c>
      <c r="G36" s="2799" t="s">
        <v>2984</v>
      </c>
      <c r="H36" s="1188" t="str">
        <f>'Pensions (c25c26)'!D132</f>
        <v>c25.51</v>
      </c>
      <c r="I36" s="2786">
        <f>'Pensions (c25c26)'!E132</f>
        <v>0</v>
      </c>
    </row>
    <row r="37" spans="1:9" x14ac:dyDescent="0.2">
      <c r="A37" s="809" t="s">
        <v>67</v>
      </c>
      <c r="B37" s="2798" t="s">
        <v>2841</v>
      </c>
      <c r="C37" s="3477" t="str">
        <f>'Taxable (c5)'!AK8</f>
        <v>c5.2a</v>
      </c>
      <c r="D37" s="3478">
        <f>'Taxable (c5)'!AL8</f>
        <v>39125</v>
      </c>
      <c r="F37" s="809" t="s">
        <v>3296</v>
      </c>
      <c r="G37" s="2799" t="s">
        <v>2985</v>
      </c>
      <c r="H37" s="1188" t="str">
        <f>'Pensions (c25c26)'!D135</f>
        <v>c25.52</v>
      </c>
      <c r="I37" s="2786">
        <f>'Pensions (c25c26)'!E135</f>
        <v>0</v>
      </c>
    </row>
    <row r="38" spans="1:9" x14ac:dyDescent="0.2">
      <c r="A38" s="809" t="s">
        <v>6474</v>
      </c>
      <c r="B38" s="2798" t="s">
        <v>7037</v>
      </c>
      <c r="C38" s="3478" t="s">
        <v>7071</v>
      </c>
      <c r="D38" s="3478">
        <v>0</v>
      </c>
      <c r="F38" s="409" t="s">
        <v>3296</v>
      </c>
      <c r="G38" s="2799" t="s">
        <v>58</v>
      </c>
      <c r="H38" s="2783" t="str">
        <f>'Tax due (c12)'!F39</f>
        <v>c12.9</v>
      </c>
      <c r="I38" s="2786">
        <f>'Tax due (c12)'!G39</f>
        <v>0</v>
      </c>
    </row>
    <row r="39" spans="1:9" x14ac:dyDescent="0.2">
      <c r="A39" s="809" t="s">
        <v>6474</v>
      </c>
      <c r="B39" s="2798" t="s">
        <v>2838</v>
      </c>
      <c r="C39" s="2782" t="str">
        <f>'Deductions (c4)'!H197</f>
        <v>c4.57</v>
      </c>
      <c r="D39" s="2783">
        <f>'Deductions (c4)'!I197</f>
        <v>625</v>
      </c>
      <c r="F39" s="409" t="s">
        <v>565</v>
      </c>
      <c r="G39" s="2799" t="s">
        <v>3297</v>
      </c>
      <c r="H39" s="2783" t="str">
        <f>'Pensions (c25c26)'!G159</f>
        <v>c26.1</v>
      </c>
      <c r="I39" s="2783">
        <f>'Pensions (c25c26)'!H159</f>
        <v>0</v>
      </c>
    </row>
    <row r="40" spans="1:9" x14ac:dyDescent="0.2">
      <c r="A40" s="809" t="s">
        <v>6474</v>
      </c>
      <c r="B40" s="2798" t="s">
        <v>6475</v>
      </c>
      <c r="C40" s="2782" t="s">
        <v>7071</v>
      </c>
      <c r="D40" s="2783"/>
      <c r="F40" s="409" t="s">
        <v>565</v>
      </c>
      <c r="G40" s="2799" t="s">
        <v>3298</v>
      </c>
      <c r="H40" s="2783" t="str">
        <f>'Pensions (c25c26)'!G184</f>
        <v>c26.2</v>
      </c>
      <c r="I40" s="2796">
        <f>'Pensions (c25c26)'!H184</f>
        <v>0</v>
      </c>
    </row>
    <row r="41" spans="1:9" x14ac:dyDescent="0.2">
      <c r="A41" s="809" t="s">
        <v>67</v>
      </c>
      <c r="B41" s="2798" t="s">
        <v>1791</v>
      </c>
      <c r="C41" s="2783" t="str">
        <f>'Deductions (c4)'!H207</f>
        <v>c4.60</v>
      </c>
      <c r="D41" s="2783">
        <f>'Deductions (c4)'!I201</f>
        <v>1000</v>
      </c>
      <c r="F41" s="409" t="s">
        <v>565</v>
      </c>
      <c r="G41" s="2799" t="s">
        <v>3299</v>
      </c>
      <c r="H41" s="2783" t="str">
        <f>'Tax due (c12)'!F42</f>
        <v>c12.10</v>
      </c>
      <c r="I41" s="2786">
        <f>'Tax due (c12)'!G42</f>
        <v>0</v>
      </c>
    </row>
    <row r="42" spans="1:9" x14ac:dyDescent="0.2">
      <c r="A42" s="3110" t="s">
        <v>6773</v>
      </c>
      <c r="B42" s="2799" t="s">
        <v>6777</v>
      </c>
      <c r="C42" s="2793" t="str">
        <f>'tax it (c8)'!C7</f>
        <v>c8.1</v>
      </c>
      <c r="D42" s="3111">
        <f>'tax it (c8)'!D7</f>
        <v>2049</v>
      </c>
      <c r="F42" s="809" t="s">
        <v>2469</v>
      </c>
      <c r="G42" s="2798" t="s">
        <v>566</v>
      </c>
      <c r="H42" s="2783" t="str">
        <f>'RBC (c19)'!C17</f>
        <v>c19.1</v>
      </c>
      <c r="I42" s="2785">
        <f>'RBC (c19)'!D17</f>
        <v>0</v>
      </c>
    </row>
    <row r="43" spans="1:9" x14ac:dyDescent="0.2">
      <c r="A43" s="3110" t="s">
        <v>6773</v>
      </c>
      <c r="B43" s="2799" t="s">
        <v>6778</v>
      </c>
      <c r="C43" s="2793" t="str">
        <f>'tax it (c8)'!G7</f>
        <v>c8.1a</v>
      </c>
      <c r="D43" s="3112">
        <f>'tax it (c8)'!H7</f>
        <v>389.31</v>
      </c>
      <c r="F43" s="809" t="s">
        <v>5901</v>
      </c>
      <c r="G43" s="2798" t="s">
        <v>5904</v>
      </c>
      <c r="H43" s="2783" t="str">
        <f>'Pensions (c25c26)'!J149</f>
        <v>c25.56</v>
      </c>
      <c r="I43" s="2785">
        <f>'Pensions (c25c26)'!K149</f>
        <v>0</v>
      </c>
    </row>
    <row r="44" spans="1:9" x14ac:dyDescent="0.2">
      <c r="A44" s="809" t="s">
        <v>70</v>
      </c>
      <c r="B44" s="2799" t="s">
        <v>1514</v>
      </c>
      <c r="C44" s="2782" t="str">
        <f>'tax it (c8)'!C11</f>
        <v>c8.1b</v>
      </c>
      <c r="D44" s="2783">
        <f>'tax it (c8)'!D11</f>
        <v>12020</v>
      </c>
      <c r="F44" s="809" t="s">
        <v>5902</v>
      </c>
      <c r="G44" s="2798" t="s">
        <v>5905</v>
      </c>
      <c r="H44" s="2783" t="str">
        <f>'Pensions (c25c26)'!J152</f>
        <v>c25.57</v>
      </c>
      <c r="I44" s="2785">
        <f>'Pensions (c25c26)'!K152</f>
        <v>0</v>
      </c>
    </row>
    <row customHeight="1" ht="12" r="45" spans="1:9" x14ac:dyDescent="0.2">
      <c r="A45" s="809" t="s">
        <v>70</v>
      </c>
      <c r="B45" s="2799" t="s">
        <v>1529</v>
      </c>
      <c r="C45" s="2785" t="str">
        <f>'tax it (c8)'!G11</f>
        <v>c8.2</v>
      </c>
      <c r="D45" s="2786">
        <f>'tax it (c8)'!H11</f>
        <v>2404</v>
      </c>
      <c r="F45" s="409" t="s">
        <v>39</v>
      </c>
      <c r="G45" s="2799" t="s">
        <v>3907</v>
      </c>
      <c r="H45" s="2786" t="str">
        <f>'Tax due (c12)'!I48</f>
        <v>c12.12</v>
      </c>
      <c r="I45" s="2786">
        <f>'Tax due (c12)'!J48</f>
        <v>14908.429999999998</v>
      </c>
    </row>
    <row customHeight="1" ht="12" r="46" spans="1:9" x14ac:dyDescent="0.2">
      <c r="A46" s="3110" t="s">
        <v>6772</v>
      </c>
      <c r="B46" s="2799" t="s">
        <v>6779</v>
      </c>
      <c r="C46" s="2793" t="str">
        <f>'tax it (c8)'!C15</f>
        <v>c8.2a</v>
      </c>
      <c r="D46" s="3111">
        <f>'tax it (c8)'!D15</f>
        <v>18486</v>
      </c>
      <c r="F46" s="810" t="s">
        <v>2561</v>
      </c>
      <c r="G46" s="2804" t="s">
        <v>3908</v>
      </c>
      <c r="H46" s="2790" t="str">
        <f>'Tax paid (c11)'!I18</f>
        <v>c11.5</v>
      </c>
      <c r="I46" s="2791">
        <f>'Tax paid (c11)'!J18</f>
        <v>2000</v>
      </c>
    </row>
    <row r="47" spans="1:9" x14ac:dyDescent="0.2">
      <c r="A47" s="3110" t="s">
        <v>6772</v>
      </c>
      <c r="B47" s="2799" t="s">
        <v>6780</v>
      </c>
      <c r="C47" s="2793" t="str">
        <f>'tax it (c8)'!G15</f>
        <v>c8.2b</v>
      </c>
      <c r="D47" s="3112">
        <f>'tax it (c8)'!H15</f>
        <v>3882.06</v>
      </c>
      <c r="F47" s="809" t="s">
        <v>2066</v>
      </c>
      <c r="G47" s="2798" t="s">
        <v>2067</v>
      </c>
      <c r="H47" s="2791" t="str">
        <f>'Tax paid (c11)'!I21</f>
        <v>c11.6</v>
      </c>
      <c r="I47" s="2791">
        <f>'Tax paid (c11)'!J21</f>
        <v>0</v>
      </c>
    </row>
    <row r="48" spans="1:9" x14ac:dyDescent="0.2">
      <c r="A48" s="809" t="s">
        <v>71</v>
      </c>
      <c r="B48" s="2799" t="s">
        <v>3585</v>
      </c>
      <c r="C48" s="2782" t="str">
        <f>'tax it (c8)'!C19</f>
        <v>c8.3</v>
      </c>
      <c r="D48" s="2783">
        <f>'tax it (c8)'!D19</f>
        <v>1189</v>
      </c>
      <c r="F48" s="809" t="s">
        <v>2066</v>
      </c>
      <c r="G48" s="2798" t="s">
        <v>2068</v>
      </c>
      <c r="H48" s="2791" t="str">
        <f>'Tax paid (c11)'!I32</f>
        <v>c11.7</v>
      </c>
      <c r="I48" s="2791">
        <f>'Tax paid (c11)'!J32</f>
        <v>0</v>
      </c>
    </row>
    <row r="49" spans="1:9" x14ac:dyDescent="0.2">
      <c r="A49" s="809" t="s">
        <v>71</v>
      </c>
      <c r="B49" s="2799" t="s">
        <v>3588</v>
      </c>
      <c r="C49" s="2785" t="str">
        <f>'tax it (c8)'!G19</f>
        <v>c8.4</v>
      </c>
      <c r="D49" s="2786">
        <f>'tax it (c8)'!H19</f>
        <v>487.49</v>
      </c>
      <c r="F49" s="809" t="s">
        <v>2069</v>
      </c>
      <c r="G49" s="2798" t="s">
        <v>2070</v>
      </c>
      <c r="H49" s="2791" t="str">
        <f>'Tax paid (c11)'!I35</f>
        <v>c11.8</v>
      </c>
      <c r="I49" s="2791">
        <f>'Tax paid (c11)'!J35</f>
        <v>2000</v>
      </c>
    </row>
    <row r="50" spans="1:9" x14ac:dyDescent="0.2">
      <c r="A50" s="809" t="s">
        <v>3699</v>
      </c>
      <c r="B50" s="2799" t="s">
        <v>2994</v>
      </c>
      <c r="C50" s="2786" t="str">
        <f>'tax it (c8)'!C23</f>
        <v>c8.5</v>
      </c>
      <c r="D50" s="2782">
        <f>'tax it (c8)'!D23</f>
        <v>0</v>
      </c>
      <c r="F50" s="409" t="s">
        <v>3260</v>
      </c>
      <c r="G50" s="2799" t="s">
        <v>2325</v>
      </c>
      <c r="H50" s="2783" t="str">
        <f>'Tax paid (c11)'!I38&amp;" + "&amp;'Tax paid (c11)'!I41&amp;" + "&amp;'Tax paid (c11)'!I44</f>
        <v>c11.9 + c11.10 + c11.11</v>
      </c>
      <c r="I50" s="2786">
        <f>'Tax paid (c11)'!J38+'Tax paid (c11)'!J41+'Tax paid (c11)'!J44</f>
        <v>0</v>
      </c>
    </row>
    <row r="51" spans="1:9" x14ac:dyDescent="0.2">
      <c r="A51" s="809" t="s">
        <v>3699</v>
      </c>
      <c r="B51" s="2799" t="s">
        <v>2995</v>
      </c>
      <c r="C51" s="2786" t="str">
        <f>'tax it (c8)'!G23</f>
        <v>c8.6</v>
      </c>
      <c r="D51" s="2786">
        <f>'tax it (c8)'!H23</f>
        <v>0</v>
      </c>
      <c r="F51" s="409" t="s">
        <v>2327</v>
      </c>
      <c r="G51" s="2799" t="s">
        <v>636</v>
      </c>
      <c r="H51" s="1188" t="str">
        <f>'Tax paid (c11)'!I47&amp;" + "&amp;'Tax paid (c11)'!I50</f>
        <v>c11.12 + c11.13</v>
      </c>
      <c r="I51" s="2786">
        <f>'Tax paid (c11)'!J47+'Tax paid (c11)'!J50</f>
        <v>0</v>
      </c>
    </row>
    <row r="52" spans="1:9" x14ac:dyDescent="0.2">
      <c r="A52" s="809" t="s">
        <v>5048</v>
      </c>
      <c r="B52" s="2799" t="s">
        <v>3362</v>
      </c>
      <c r="C52" s="2782" t="str">
        <f>'tax it (c8)'!C28</f>
        <v>c8.7</v>
      </c>
      <c r="D52" s="2783">
        <f>'tax it (c8)'!D28</f>
        <v>0</v>
      </c>
      <c r="F52" s="409" t="s">
        <v>3329</v>
      </c>
      <c r="G52" s="2799" t="s">
        <v>3330</v>
      </c>
      <c r="H52" s="1188" t="str">
        <f>'Tax paid (c11)'!I53</f>
        <v>c11.14</v>
      </c>
      <c r="I52" s="2786">
        <f>'Tax paid (c11)'!J53</f>
        <v>0</v>
      </c>
    </row>
    <row r="53" spans="1:9" x14ac:dyDescent="0.2">
      <c r="A53" s="809" t="s">
        <v>5048</v>
      </c>
      <c r="B53" s="2799" t="s">
        <v>1641</v>
      </c>
      <c r="C53" s="2785" t="str">
        <f>'tax it (c8)'!G28</f>
        <v>c8.8</v>
      </c>
      <c r="D53" s="2786">
        <f>'tax it (c8)'!H28</f>
        <v>0</v>
      </c>
      <c r="F53" s="409" t="s">
        <v>3332</v>
      </c>
      <c r="G53" s="2799" t="s">
        <v>3333</v>
      </c>
      <c r="H53" s="1188" t="str">
        <f>'Tax paid (c11)'!I56</f>
        <v>c11.15</v>
      </c>
      <c r="I53" s="2786">
        <f>'Tax paid (c11)'!J56</f>
        <v>0</v>
      </c>
    </row>
    <row r="54" spans="1:9" x14ac:dyDescent="0.2">
      <c r="A54" s="809" t="s">
        <v>5049</v>
      </c>
      <c r="B54" s="2799" t="s">
        <v>7070</v>
      </c>
      <c r="C54" s="2785" t="s">
        <v>7071</v>
      </c>
      <c r="D54" s="2783"/>
      <c r="F54" s="409" t="s">
        <v>692</v>
      </c>
      <c r="G54" s="2799" t="s">
        <v>1790</v>
      </c>
      <c r="H54" s="1188" t="str">
        <f>'Tax paid (c11)'!I70</f>
        <v>c11.25</v>
      </c>
      <c r="I54" s="2786">
        <f>'Tax paid (c11)'!J70</f>
        <v>0</v>
      </c>
    </row>
    <row r="55" spans="1:9" x14ac:dyDescent="0.2">
      <c r="A55" s="809" t="s">
        <v>5049</v>
      </c>
      <c r="B55" s="2798" t="s">
        <v>6959</v>
      </c>
      <c r="C55" s="2782" t="str">
        <f>'tax it (c6)'!L60&amp;" + "&amp;'tax it (c6)'!AA60</f>
        <v>c6.17c + c6.51c</v>
      </c>
      <c r="D55" s="2783">
        <f>'tax it (c6)'!M60+'tax it (c6)'!AB60</f>
        <v>500</v>
      </c>
      <c r="F55" s="409" t="s">
        <v>1792</v>
      </c>
      <c r="G55" s="2799" t="s">
        <v>2837</v>
      </c>
      <c r="H55" s="1188" t="str">
        <f>'Tax paid (c11)'!I73</f>
        <v>c11.26</v>
      </c>
      <c r="I55" s="2786">
        <f>'Tax paid (c11)'!J73</f>
        <v>0</v>
      </c>
    </row>
    <row r="56" spans="1:9" x14ac:dyDescent="0.2">
      <c r="A56" s="809" t="s">
        <v>772</v>
      </c>
      <c r="B56" s="2799" t="s">
        <v>1642</v>
      </c>
      <c r="C56" s="2782" t="str">
        <f>'tax it (c8)'!C34</f>
        <v>c8.11</v>
      </c>
      <c r="D56" s="2783">
        <f>'tax it (c8)'!D34</f>
        <v>3178</v>
      </c>
      <c r="F56" s="409" t="s">
        <v>2839</v>
      </c>
      <c r="G56" s="2799" t="s">
        <v>2840</v>
      </c>
      <c r="H56" s="2783" t="str">
        <f>'Tax paid (c11)'!I76&amp;" + "&amp;'Tax paid (c11)'!I79</f>
        <v>c11.27 + c11.28</v>
      </c>
      <c r="I56" s="2786">
        <f>'Tax paid (c11)'!J76+'Tax paid (c11)'!J79</f>
        <v>0</v>
      </c>
    </row>
    <row r="57" spans="1:9" x14ac:dyDescent="0.2">
      <c r="A57" s="809" t="s">
        <v>772</v>
      </c>
      <c r="B57" s="2799" t="s">
        <v>1643</v>
      </c>
      <c r="C57" s="2785" t="str">
        <f>'tax it (c8)'!G34</f>
        <v>c8.12</v>
      </c>
      <c r="D57" s="2786">
        <f>'tax it (c8)'!H34</f>
        <v>635.6</v>
      </c>
      <c r="F57" s="409" t="s">
        <v>2842</v>
      </c>
      <c r="G57" s="2799" t="s">
        <v>2843</v>
      </c>
      <c r="H57" s="1188" t="str">
        <f>'Tax paid (c11)'!I82</f>
        <v>c11.29</v>
      </c>
      <c r="I57" s="2786">
        <f>'Tax paid (c11)'!J82</f>
        <v>0</v>
      </c>
    </row>
    <row r="58" spans="1:9" x14ac:dyDescent="0.2">
      <c r="A58" s="809" t="s">
        <v>6960</v>
      </c>
      <c r="B58" s="2798" t="s">
        <v>6961</v>
      </c>
      <c r="C58" s="2782" t="str">
        <f>'tax it (c6)'!L89&amp;" + "&amp;'tax it (c6)'!AA89</f>
        <v>c6.20b + c6.54b</v>
      </c>
      <c r="D58" s="2783">
        <f>'tax it (c6)'!M89+'tax it (c6)'!AB89</f>
        <v>0</v>
      </c>
      <c r="F58" s="409" t="s">
        <v>1512</v>
      </c>
      <c r="G58" s="2799" t="s">
        <v>1513</v>
      </c>
      <c r="H58" s="2783" t="str">
        <f>'Tax paid (c11)'!I85</f>
        <v>c11.30</v>
      </c>
      <c r="I58" s="2786">
        <f>'Tax paid (c11)'!J85</f>
        <v>0</v>
      </c>
    </row>
    <row r="59" spans="1:9" x14ac:dyDescent="0.2">
      <c r="A59" s="809" t="s">
        <v>773</v>
      </c>
      <c r="B59" s="2799" t="s">
        <v>1644</v>
      </c>
      <c r="C59" s="2782" t="str">
        <f>'tax it (c8)'!C37</f>
        <v>c8.13</v>
      </c>
      <c r="D59" s="2783">
        <f>'tax it (c8)'!D37</f>
        <v>0</v>
      </c>
      <c r="F59" s="409" t="s">
        <v>1515</v>
      </c>
      <c r="G59" s="2799" t="s">
        <v>3584</v>
      </c>
      <c r="H59" s="2783" t="str">
        <f>'Tax due (c12)'!F54</f>
        <v>c12.14</v>
      </c>
      <c r="I59" s="2786">
        <f>'Tax due (c12)'!G54</f>
        <v>0</v>
      </c>
    </row>
    <row r="60" spans="1:9" x14ac:dyDescent="0.2">
      <c r="A60" s="809" t="s">
        <v>773</v>
      </c>
      <c r="B60" s="2799" t="s">
        <v>1645</v>
      </c>
      <c r="C60" s="2785" t="str">
        <f>'tax it (c8)'!G37</f>
        <v>c8.14</v>
      </c>
      <c r="D60" s="2786">
        <f>'tax it (c8)'!H37</f>
        <v>0</v>
      </c>
      <c r="F60" s="409" t="s">
        <v>2493</v>
      </c>
      <c r="G60" s="2799" t="s">
        <v>1516</v>
      </c>
      <c r="H60" s="2783" t="str">
        <f>'Tax due (c12)'!I57</f>
        <v>c12.15</v>
      </c>
      <c r="I60" s="2786">
        <f>'Tax due (c12)'!J57</f>
        <v>2000</v>
      </c>
    </row>
    <row r="61" spans="1:9" x14ac:dyDescent="0.2">
      <c r="A61" s="809" t="s">
        <v>3018</v>
      </c>
      <c r="B61" s="2799" t="s">
        <v>3019</v>
      </c>
      <c r="C61" s="2786" t="str">
        <f>'tax it (c8)'!C40</f>
        <v>c8.15</v>
      </c>
      <c r="D61" s="2783">
        <f>'tax it (c8)'!D40</f>
        <v>0</v>
      </c>
      <c r="F61" s="3664" t="s">
        <v>6460</v>
      </c>
      <c r="G61" s="3665" t="s">
        <v>6522</v>
      </c>
      <c r="H61" s="3666" t="s">
        <v>4385</v>
      </c>
      <c r="I61" s="3667">
        <v>0</v>
      </c>
    </row>
    <row r="62" spans="1:9" x14ac:dyDescent="0.2">
      <c r="A62" s="809" t="s">
        <v>3018</v>
      </c>
      <c r="B62" s="2799" t="s">
        <v>1410</v>
      </c>
      <c r="C62" s="2786" t="str">
        <f>'tax it (c8)'!G40</f>
        <v>c8.16</v>
      </c>
      <c r="D62" s="2786">
        <f>'tax it (c8)'!H40</f>
        <v>0</v>
      </c>
      <c r="F62" s="3664" t="s">
        <v>6461</v>
      </c>
      <c r="G62" s="3665" t="s">
        <v>6523</v>
      </c>
      <c r="H62" s="3666" t="s">
        <v>4386</v>
      </c>
      <c r="I62" s="3667">
        <v>0</v>
      </c>
    </row>
    <row r="63" spans="1:9" x14ac:dyDescent="0.2">
      <c r="A63" s="809" t="s">
        <v>5065</v>
      </c>
      <c r="B63" s="2798" t="s">
        <v>6495</v>
      </c>
      <c r="C63" s="2782" t="str">
        <f>'tax it (c6)'!Q60</f>
        <v>c6.27</v>
      </c>
      <c r="D63" s="2783">
        <f>'tax it (c6)'!R60</f>
        <v>1703</v>
      </c>
      <c r="F63" s="3664" t="s">
        <v>6462</v>
      </c>
      <c r="G63" s="3665" t="s">
        <v>6524</v>
      </c>
      <c r="H63" s="3666" t="s">
        <v>3910</v>
      </c>
      <c r="I63" s="3667">
        <v>0</v>
      </c>
    </row>
    <row r="64" spans="1:9" x14ac:dyDescent="0.2">
      <c r="A64" s="809" t="s">
        <v>5066</v>
      </c>
      <c r="B64" s="2799" t="s">
        <v>1646</v>
      </c>
      <c r="C64" s="2782" t="str">
        <f>'tax it (c8)'!C48</f>
        <v>c8.19</v>
      </c>
      <c r="D64" s="2783">
        <f>'tax it (c8)'!D48</f>
        <v>0</v>
      </c>
      <c r="F64" s="409" t="s">
        <v>3586</v>
      </c>
      <c r="G64" s="2799" t="s">
        <v>3587</v>
      </c>
      <c r="H64" s="1188" t="str">
        <f>'Tax due (c12)'!I60&amp;" (Absolute value)"</f>
        <v>c12.16 (Absolute value)</v>
      </c>
      <c r="I64" s="2786">
        <f>ABS('Tax due (c12)'!J60)</f>
        <v>12908.429999999998</v>
      </c>
    </row>
    <row r="65" spans="1:9" x14ac:dyDescent="0.2">
      <c r="A65" s="809" t="s">
        <v>5066</v>
      </c>
      <c r="B65" s="2799" t="s">
        <v>3773</v>
      </c>
      <c r="C65" s="2785" t="str">
        <f>'tax it (c8)'!G48</f>
        <v>c8.20</v>
      </c>
      <c r="D65" s="2786">
        <f>'tax it (c8)'!H48</f>
        <v>0</v>
      </c>
      <c r="F65" s="409" t="s">
        <v>5367</v>
      </c>
      <c r="G65" s="2799" t="s">
        <v>3590</v>
      </c>
      <c r="H65" s="2782" t="str">
        <f>'CG (c18)'!C67&amp;" + "&amp;'CG (c18)'!O67&amp;" + "&amp;'CG (c18)'!S67</f>
        <v>c18.27 + c18.28 + c18.29</v>
      </c>
      <c r="I65" s="2783">
        <f>'CG (c18)'!D67+'CG (c18)'!P67+'CG (c18)'!T67</f>
        <v>0</v>
      </c>
    </row>
    <row r="66" spans="1:9" x14ac:dyDescent="0.2">
      <c r="A66" s="2188" t="s">
        <v>6496</v>
      </c>
      <c r="B66" s="2798" t="s">
        <v>6498</v>
      </c>
      <c r="C66" s="2782" t="str">
        <f>'tax it (c6)'!Q89</f>
        <v>c6.32</v>
      </c>
      <c r="D66" s="2793">
        <f>'tax it (c6)'!R89</f>
        <v>297</v>
      </c>
      <c r="F66" s="409" t="s">
        <v>3589</v>
      </c>
      <c r="G66" s="2798" t="s">
        <v>2299</v>
      </c>
      <c r="H66" s="1188" t="str">
        <f>'CG (c18)'!S67</f>
        <v>c18.29</v>
      </c>
      <c r="I66" s="2785">
        <f>'CG (c18)'!T67</f>
        <v>0</v>
      </c>
    </row>
    <row r="67" spans="1:9" x14ac:dyDescent="0.2">
      <c r="A67" s="809" t="s">
        <v>775</v>
      </c>
      <c r="B67" s="2799" t="s">
        <v>3348</v>
      </c>
      <c r="C67" s="2782" t="str">
        <f>'tax it (c8)'!C51</f>
        <v>c8.21</v>
      </c>
      <c r="D67" s="2783">
        <f>'tax it (c8)'!D51</f>
        <v>10750</v>
      </c>
      <c r="F67" s="409" t="s">
        <v>3589</v>
      </c>
      <c r="G67" s="2798" t="s">
        <v>2300</v>
      </c>
      <c r="H67" s="1188" t="str">
        <f>'CG (c18)'!W72</f>
        <v>c18.30</v>
      </c>
      <c r="I67" s="2785">
        <f>'CG (c18)'!X72</f>
        <v>0</v>
      </c>
    </row>
    <row r="68" spans="1:9" x14ac:dyDescent="0.2">
      <c r="A68" s="809" t="s">
        <v>775</v>
      </c>
      <c r="B68" s="2799" t="s">
        <v>3351</v>
      </c>
      <c r="C68" s="2785" t="str">
        <f>'tax it (c8)'!G51</f>
        <v>c8.22</v>
      </c>
      <c r="D68" s="2786">
        <f>'tax it (c8)'!H51</f>
        <v>3493.75</v>
      </c>
      <c r="F68" s="809" t="s">
        <v>2298</v>
      </c>
      <c r="G68" s="2798" t="s">
        <v>5370</v>
      </c>
      <c r="H68" s="1188" t="str">
        <f>'CG (c18)'!O106</f>
        <v>c18.41</v>
      </c>
      <c r="I68" s="2785">
        <f>'CG (c18)'!P106</f>
        <v>0</v>
      </c>
    </row>
    <row r="69" spans="1:9" x14ac:dyDescent="0.2">
      <c r="A69" s="2188" t="s">
        <v>6497</v>
      </c>
      <c r="B69" s="2798" t="s">
        <v>6527</v>
      </c>
      <c r="C69" s="2782" t="str">
        <f>'tax it (c6)'!Q45&amp;" minus ("&amp;'tax it (c6)'!Q60&amp;" + "&amp;'tax it (c6)'!Q89&amp;")"</f>
        <v>c6.25 minus (c6.27 + c6.32)</v>
      </c>
      <c r="D69" s="2793">
        <f>'tax it (c6)'!R45-('tax it (c6)'!R60+'tax it (c6)'!R89)</f>
        <v>0</v>
      </c>
      <c r="F69" s="809" t="s">
        <v>2298</v>
      </c>
      <c r="G69" s="2798" t="s">
        <v>5371</v>
      </c>
      <c r="H69" s="1188" t="str">
        <f>'CG (c18)'!W108</f>
        <v>c18.42</v>
      </c>
      <c r="I69" s="2785">
        <f>'CG (c18)'!X108</f>
        <v>0</v>
      </c>
    </row>
    <row r="70" spans="1:9" x14ac:dyDescent="0.2">
      <c r="A70" s="809" t="s">
        <v>1411</v>
      </c>
      <c r="B70" s="2799" t="s">
        <v>1412</v>
      </c>
      <c r="C70" s="2786" t="str">
        <f>'tax it (c8)'!C54</f>
        <v>c8.23</v>
      </c>
      <c r="D70" s="2783">
        <f>'tax it (c8)'!D54</f>
        <v>0</v>
      </c>
      <c r="F70" s="809" t="s">
        <v>5368</v>
      </c>
      <c r="G70" s="2798" t="s">
        <v>5372</v>
      </c>
      <c r="H70" s="1188" t="str">
        <f>'CG (c18)'!O109</f>
        <v>c18.43</v>
      </c>
      <c r="I70" s="2785">
        <f>'CG (c18)'!P109</f>
        <v>0</v>
      </c>
    </row>
    <row r="71" spans="1:9" x14ac:dyDescent="0.2">
      <c r="A71" s="809" t="s">
        <v>1411</v>
      </c>
      <c r="B71" s="2799" t="s">
        <v>2297</v>
      </c>
      <c r="C71" s="2786" t="str">
        <f>'tax it (c8)'!G54</f>
        <v>c8.24</v>
      </c>
      <c r="D71" s="2786">
        <f>'tax it (c8)'!H54</f>
        <v>0</v>
      </c>
      <c r="F71" s="809" t="s">
        <v>5368</v>
      </c>
      <c r="G71" s="2798" t="s">
        <v>5373</v>
      </c>
      <c r="H71" s="1188" t="str">
        <f>'CG (c18)'!W111</f>
        <v>c18.44</v>
      </c>
      <c r="I71" s="2785">
        <f>'CG (c18)'!X111</f>
        <v>0</v>
      </c>
    </row>
    <row r="72" spans="1:9" x14ac:dyDescent="0.2">
      <c r="A72" s="809" t="s">
        <v>776</v>
      </c>
      <c r="B72" s="2798" t="str">
        <f>B34</f>
        <v>taxable-income</v>
      </c>
      <c r="C72" s="1188" t="str">
        <f>C34</f>
        <v>c5.86</v>
      </c>
      <c r="D72" s="2782">
        <f>D34</f>
        <v>50172</v>
      </c>
      <c r="F72" s="809" t="s">
        <v>2303</v>
      </c>
      <c r="G72" s="2798" t="s">
        <v>2304</v>
      </c>
      <c r="H72" s="1188" t="str">
        <f>'CG (c18)'!O115</f>
        <v>c18.46</v>
      </c>
      <c r="I72" s="2785">
        <f>'CG (c18)'!P115</f>
        <v>0</v>
      </c>
    </row>
    <row r="73" spans="1:9" x14ac:dyDescent="0.2">
      <c r="A73" s="3878" t="s">
        <v>778</v>
      </c>
      <c r="B73" s="3879" t="s">
        <v>3354</v>
      </c>
      <c r="C73" s="4199" t="str">
        <f>'tax it (c8)'!G62</f>
        <v>c8.25</v>
      </c>
      <c r="D73" s="4200">
        <f>'tax it (c8)'!H62</f>
        <v>0</v>
      </c>
      <c r="F73" s="809" t="s">
        <v>2303</v>
      </c>
      <c r="G73" s="2798" t="s">
        <v>2305</v>
      </c>
      <c r="H73" s="1188" t="str">
        <f>'CG (c18)'!W117</f>
        <v>c18.47</v>
      </c>
      <c r="I73" s="2785">
        <f>'CG (c18)'!X117</f>
        <v>0</v>
      </c>
    </row>
    <row r="74" spans="1:9" x14ac:dyDescent="0.2">
      <c r="A74" s="809" t="s">
        <v>779</v>
      </c>
      <c r="B74" s="2798" t="s">
        <v>2897</v>
      </c>
      <c r="C74" s="2786" t="str">
        <f>'tax it (c8)'!G67</f>
        <v>c8.26</v>
      </c>
      <c r="D74" s="2786">
        <f>'tax it (c8)'!H67</f>
        <v>11292.21</v>
      </c>
      <c r="F74" s="809" t="s">
        <v>5369</v>
      </c>
      <c r="G74" s="2798" t="s">
        <v>2306</v>
      </c>
      <c r="H74" s="1188" t="str">
        <f>'CG (c18)'!O118</f>
        <v>c18.48</v>
      </c>
      <c r="I74" s="2785">
        <f>'CG (c18)'!P118</f>
        <v>0</v>
      </c>
    </row>
    <row r="75" spans="1:9" x14ac:dyDescent="0.2">
      <c r="A75" s="809" t="s">
        <v>2301</v>
      </c>
      <c r="B75" s="2798" t="s">
        <v>2302</v>
      </c>
      <c r="C75" s="2786" t="str">
        <f>'Tax adj (c9)'!I8</f>
        <v>c9.2</v>
      </c>
      <c r="D75" s="2786">
        <f>'Tax adj (c9)'!J8</f>
        <v>0</v>
      </c>
      <c r="F75" s="809" t="s">
        <v>5369</v>
      </c>
      <c r="G75" s="2798" t="s">
        <v>2307</v>
      </c>
      <c r="H75" s="1188" t="str">
        <f>'CG (c18)'!W120</f>
        <v>c18.49</v>
      </c>
      <c r="I75" s="2785">
        <f>'CG (c18)'!X120</f>
        <v>0</v>
      </c>
    </row>
    <row r="76" spans="1:9" x14ac:dyDescent="0.2">
      <c r="A76" s="809" t="s">
        <v>2705</v>
      </c>
      <c r="B76" s="2798" t="s">
        <v>1520</v>
      </c>
      <c r="C76" s="2783" t="str">
        <f>'Tax adj (c9)'!I11</f>
        <v>c9.3</v>
      </c>
      <c r="D76" s="2786">
        <f>'Tax adj (c9)'!J11</f>
        <v>0</v>
      </c>
      <c r="F76" s="809" t="s">
        <v>1424</v>
      </c>
      <c r="G76" s="2798" t="s">
        <v>1425</v>
      </c>
      <c r="H76" s="1188" t="str">
        <f>'CG (c18)'!W126</f>
        <v>c18.51</v>
      </c>
      <c r="I76" s="2785">
        <f>'CG (c18)'!X126</f>
        <v>0</v>
      </c>
    </row>
    <row r="77" spans="1:9" x14ac:dyDescent="0.2">
      <c r="A77" s="809" t="s">
        <v>2706</v>
      </c>
      <c r="B77" s="2798" t="s">
        <v>3487</v>
      </c>
      <c r="C77" s="2783" t="str">
        <f>'Tax adj (c9)'!I14</f>
        <v>c9.5</v>
      </c>
      <c r="D77" s="2786">
        <f>'Tax adj (c9)'!J14</f>
        <v>0</v>
      </c>
      <c r="F77" s="809" t="s">
        <v>2610</v>
      </c>
      <c r="G77" s="2798" t="s">
        <v>2691</v>
      </c>
      <c r="H77" s="1188" t="str">
        <f>'CG (c18)'!W130</f>
        <v>c18.52</v>
      </c>
      <c r="I77" s="2786">
        <f>'CG (c18)'!X130</f>
        <v>0</v>
      </c>
    </row>
    <row r="78" spans="1:9" x14ac:dyDescent="0.2">
      <c r="A78" s="809" t="s">
        <v>2707</v>
      </c>
      <c r="B78" s="2798" t="s">
        <v>3488</v>
      </c>
      <c r="C78" s="2783" t="str">
        <f>'Tax adj (c9)'!I17</f>
        <v>c9.7</v>
      </c>
      <c r="D78" s="2786">
        <f>'Tax adj (c9)'!J17</f>
        <v>0</v>
      </c>
      <c r="F78" s="409" t="s">
        <v>1647</v>
      </c>
      <c r="G78" s="2799" t="s">
        <v>3347</v>
      </c>
      <c r="H78" s="1188" t="str">
        <f>'CG (c18)'!W133</f>
        <v>c18.53</v>
      </c>
      <c r="I78" s="2786">
        <f>'CG (c18)'!X133</f>
        <v>0</v>
      </c>
    </row>
    <row r="79" spans="1:9" x14ac:dyDescent="0.2">
      <c r="A79" s="809" t="s">
        <v>3021</v>
      </c>
      <c r="B79" s="2798" t="s">
        <v>1340</v>
      </c>
      <c r="C79" s="2786" t="str">
        <f>'Tax adj (c9)'!I20</f>
        <v>c9.9</v>
      </c>
      <c r="D79" s="2786">
        <f>'Tax adj (c9)'!J20</f>
        <v>0</v>
      </c>
      <c r="F79" s="409" t="s">
        <v>3346</v>
      </c>
      <c r="G79" s="2799" t="s">
        <v>1648</v>
      </c>
      <c r="H79" s="1188" t="str">
        <f>'CG (c18)'!W139</f>
        <v>c18.55</v>
      </c>
      <c r="I79" s="2786">
        <f>'CG (c18)'!X139</f>
        <v>0</v>
      </c>
    </row>
    <row r="80" spans="1:9" x14ac:dyDescent="0.2">
      <c r="A80" s="809" t="s">
        <v>2708</v>
      </c>
      <c r="B80" s="2799" t="s">
        <v>3489</v>
      </c>
      <c r="C80" s="2783" t="str">
        <f>'Tax adj (c9)'!I23</f>
        <v>c9.11</v>
      </c>
      <c r="D80" s="2786">
        <f>'Tax adj (c9)'!J23</f>
        <v>0</v>
      </c>
      <c r="F80" s="809" t="s">
        <v>3349</v>
      </c>
      <c r="G80" s="2798" t="s">
        <v>5375</v>
      </c>
      <c r="H80" s="1188" t="str">
        <f>'CG (c18)'!W142&amp;" + "&amp;'CG (c18)'!W145</f>
        <v>c18.56 + c18.57</v>
      </c>
      <c r="I80" s="2785">
        <f>'CG (c18)'!X142+'CG (c18)'!X145</f>
        <v>0</v>
      </c>
    </row>
    <row r="81" spans="1:9" x14ac:dyDescent="0.2">
      <c r="A81" s="809" t="s">
        <v>1497</v>
      </c>
      <c r="B81" s="2799" t="s">
        <v>1498</v>
      </c>
      <c r="C81" s="2783" t="str">
        <f>'Tax adj (c9)'!I26</f>
        <v>c9.13</v>
      </c>
      <c r="D81" s="2786">
        <f>'Tax adj (c9)'!J26</f>
        <v>0</v>
      </c>
      <c r="F81" s="409" t="s">
        <v>4445</v>
      </c>
      <c r="G81" s="2799" t="s">
        <v>3350</v>
      </c>
      <c r="H81" s="2783" t="str">
        <f>'Tax due (c12)'!F64</f>
        <v>c12.17</v>
      </c>
      <c r="I81" s="2786">
        <f>'Tax due (c12)'!G64</f>
        <v>0</v>
      </c>
    </row>
    <row r="82" spans="1:9" x14ac:dyDescent="0.2">
      <c r="A82" s="809" t="s">
        <v>2709</v>
      </c>
      <c r="B82" s="2798" t="s">
        <v>3490</v>
      </c>
      <c r="C82" s="2783" t="str">
        <f>'Tax adj (c9)'!I33&amp;" x "&amp;A_rate*100&amp;"%"</f>
        <v>c9.15 x 10%</v>
      </c>
      <c r="D82" s="2786">
        <f>'Tax adj (c9)'!J33*A_rate</f>
        <v>0</v>
      </c>
      <c r="F82" s="409" t="s">
        <v>3352</v>
      </c>
      <c r="G82" s="2799" t="s">
        <v>3353</v>
      </c>
      <c r="H82" s="1188" t="str">
        <f>'Tax due (c12)'!I67&amp;" (Absolute value)"</f>
        <v>c12.18 (Absolute value)</v>
      </c>
      <c r="I82" s="2786">
        <f>ABS(box_18_3)</f>
        <v>12908.429999999998</v>
      </c>
    </row>
    <row r="83" spans="1:9" x14ac:dyDescent="0.2">
      <c r="A83" s="809" t="s">
        <v>1785</v>
      </c>
      <c r="B83" s="2798" t="s">
        <v>3491</v>
      </c>
      <c r="C83" s="2783" t="str">
        <f>'Tax adj (c9)'!I51</f>
        <v>c9.16</v>
      </c>
      <c r="D83" s="2783">
        <f>'Tax adj (c9)'!J51</f>
        <v>0</v>
      </c>
      <c r="F83" s="409" t="s">
        <v>3355</v>
      </c>
      <c r="G83" s="2799" t="s">
        <v>2896</v>
      </c>
      <c r="H83" s="2783" t="str">
        <f>'Tax due (c12)'!F73</f>
        <v>c12.19</v>
      </c>
      <c r="I83" s="2786">
        <f>'Tax due (c12)'!G73</f>
        <v>600</v>
      </c>
    </row>
    <row r="84" spans="1:9" x14ac:dyDescent="0.2">
      <c r="A84" s="809" t="s">
        <v>1785</v>
      </c>
      <c r="B84" s="2798" t="s">
        <v>3492</v>
      </c>
      <c r="C84" s="2783" t="str">
        <f>'Tax adj (c9)'!I51&amp;" x "&amp;A_rate*100&amp;"%"</f>
        <v>c9.16 x 10%</v>
      </c>
      <c r="D84" s="2786">
        <f>'Tax adj (c9)'!J51*A_rate</f>
        <v>0</v>
      </c>
      <c r="F84" s="409" t="s">
        <v>2898</v>
      </c>
      <c r="G84" s="2799" t="s">
        <v>2899</v>
      </c>
      <c r="H84" s="2783" t="str">
        <f>'Tax due (c12)'!F76</f>
        <v>c12.20</v>
      </c>
      <c r="I84" s="2786">
        <f>'Tax due (c12)'!G76</f>
        <v>0</v>
      </c>
    </row>
    <row r="85" spans="1:9" x14ac:dyDescent="0.2">
      <c r="A85" s="409" t="s">
        <v>1786</v>
      </c>
      <c r="B85" s="2798" t="s">
        <v>2475</v>
      </c>
      <c r="C85" s="2783" t="str">
        <f>'Tax adj (c9)'!I54</f>
        <v>c9.17</v>
      </c>
      <c r="D85" s="2783">
        <f>'Tax adj (c9)'!J54</f>
        <v>0</v>
      </c>
      <c r="F85" s="409" t="s">
        <v>4427</v>
      </c>
      <c r="G85" s="2799" t="s">
        <v>6119</v>
      </c>
      <c r="H85" s="2783" t="str">
        <f>'Tax due (c12)'!I79&amp;" (Absolute value)"</f>
        <v>c12.21 (Absolute value)</v>
      </c>
      <c r="I85" s="2785">
        <f>ABS('Tax due (c12)'!J79)</f>
        <v>13508.429999999998</v>
      </c>
    </row>
    <row customFormat="1" r="86" s="3342" spans="1:9" x14ac:dyDescent="0.2">
      <c r="A86" s="409" t="s">
        <v>1786</v>
      </c>
      <c r="B86" s="2798" t="s">
        <v>2476</v>
      </c>
      <c r="C86" s="2783" t="str">
        <f>'Tax adj (c9)'!I54&amp;" x "&amp;A_rate*100&amp;"%"</f>
        <v>c9.17 x 10%</v>
      </c>
      <c r="D86" s="2786">
        <f>'Tax adj (c9)'!J54*A_rate</f>
        <v>0</v>
      </c>
      <c r="F86" s="4"/>
      <c r="G86" s="979"/>
      <c r="H86" s="979"/>
      <c r="I86" s="979"/>
    </row>
    <row r="87" spans="1:9" x14ac:dyDescent="0.2">
      <c r="A87" s="409" t="s">
        <v>6120</v>
      </c>
      <c r="B87" s="2799" t="s">
        <v>4384</v>
      </c>
      <c r="C87" s="2783" t="str">
        <f>'Tax adj (c9)'!I75</f>
        <v>c9.20</v>
      </c>
      <c r="D87" s="2783">
        <f>'Tax adj (c9)'!J75</f>
        <v>0</v>
      </c>
    </row>
    <row customFormat="1" r="88" s="2217" spans="1:9" x14ac:dyDescent="0.2">
      <c r="A88" s="409" t="s">
        <v>6120</v>
      </c>
      <c r="B88" s="2799" t="s">
        <v>4387</v>
      </c>
      <c r="C88" s="2783" t="str">
        <f>'Tax adj (c9)'!L75</f>
        <v>c9.21</v>
      </c>
      <c r="D88" s="2785">
        <f>'Tax adj (c9)'!M75</f>
        <v>0</v>
      </c>
      <c r="F88" s="4"/>
      <c r="G88" s="979"/>
      <c r="H88" s="979"/>
      <c r="I88" s="979"/>
    </row>
    <row customFormat="1" r="89" s="3342" spans="1:9" x14ac:dyDescent="0.2">
      <c r="A89" s="409" t="s">
        <v>6266</v>
      </c>
      <c r="B89" s="2799" t="s">
        <v>6268</v>
      </c>
      <c r="C89" s="2783" t="str">
        <f>'LLIR (c24)'!E74</f>
        <v>c24.15a</v>
      </c>
      <c r="D89" s="2785">
        <f>'LLIR (c24)'!F74</f>
        <v>0</v>
      </c>
      <c r="F89" s="4"/>
      <c r="G89" s="979"/>
      <c r="H89" s="979"/>
      <c r="I89" s="979"/>
    </row>
    <row customFormat="1" r="90" s="3342" spans="1:9" x14ac:dyDescent="0.2">
      <c r="A90" s="409" t="s">
        <v>6266</v>
      </c>
      <c r="B90" s="2799" t="s">
        <v>6269</v>
      </c>
      <c r="C90" s="2783" t="str">
        <f>'Tax adj (c9)'!I78</f>
        <v>c9.22</v>
      </c>
      <c r="D90" s="2785">
        <f>'Tax adj (c9)'!J78</f>
        <v>0</v>
      </c>
      <c r="F90" s="4"/>
      <c r="G90" s="979"/>
      <c r="H90" s="979"/>
      <c r="I90" s="979"/>
    </row>
    <row r="91" spans="1:9" x14ac:dyDescent="0.2">
      <c r="A91" s="409" t="s">
        <v>6266</v>
      </c>
      <c r="B91" s="2799" t="s">
        <v>6267</v>
      </c>
      <c r="C91" s="2783" t="str">
        <f>'Tax adj (c9)'!L78</f>
        <v>c9.23</v>
      </c>
      <c r="D91" s="2785">
        <f>'Tax adj (c9)'!M78</f>
        <v>0</v>
      </c>
    </row>
    <row r="92" spans="1:9" x14ac:dyDescent="0.2">
      <c r="A92" s="3106" t="s">
        <v>6849</v>
      </c>
      <c r="B92" s="3107" t="s">
        <v>6852</v>
      </c>
      <c r="C92" s="3108" t="str">
        <f>'Tax adj (c9)'!I81</f>
        <v>c9.23a</v>
      </c>
      <c r="D92" s="3113">
        <f>'Tax adj (c9)'!J81</f>
        <v>0</v>
      </c>
    </row>
    <row r="93" spans="1:9" x14ac:dyDescent="0.2">
      <c r="A93" s="3106" t="s">
        <v>6849</v>
      </c>
      <c r="B93" s="3107" t="s">
        <v>6851</v>
      </c>
      <c r="C93" s="3108" t="str">
        <f>'Tax adj (c9)'!L81</f>
        <v>c9.23b</v>
      </c>
      <c r="D93" s="3113">
        <f>'Tax adj (c9)'!M81</f>
        <v>0</v>
      </c>
    </row>
    <row customFormat="1" r="94" s="2745" spans="1:9" x14ac:dyDescent="0.2">
      <c r="A94" s="409" t="s">
        <v>1787</v>
      </c>
      <c r="B94" s="2798" t="s">
        <v>2477</v>
      </c>
      <c r="C94" s="2783" t="str">
        <f>'Tax adj (c9)'!L86</f>
        <v>c9.25</v>
      </c>
      <c r="D94" s="2786">
        <f>'Tax adj (c9)'!M86</f>
        <v>0</v>
      </c>
      <c r="F94" s="4"/>
      <c r="G94" s="979"/>
      <c r="H94" s="979"/>
      <c r="I94" s="979"/>
    </row>
    <row customFormat="1" r="95" s="2745" spans="1:9" x14ac:dyDescent="0.2">
      <c r="A95" s="809" t="s">
        <v>1788</v>
      </c>
      <c r="B95" s="2798" t="s">
        <v>3341</v>
      </c>
      <c r="C95" s="2782" t="str">
        <f>'Tax adj (c9)'!L95</f>
        <v>c9.28</v>
      </c>
      <c r="D95" s="2783">
        <f>'Tax adj (c9)'!M95</f>
        <v>0</v>
      </c>
      <c r="F95" s="4"/>
      <c r="G95" s="979"/>
      <c r="H95" s="979"/>
      <c r="I95" s="979"/>
    </row>
    <row customFormat="1" r="96" s="2745" spans="1:9" x14ac:dyDescent="0.2">
      <c r="A96" s="809" t="s">
        <v>6458</v>
      </c>
      <c r="B96" s="2798" t="s">
        <v>6459</v>
      </c>
      <c r="C96" s="2782" t="s">
        <v>7071</v>
      </c>
      <c r="D96" s="2794"/>
      <c r="F96" s="4"/>
      <c r="G96" s="979"/>
      <c r="H96" s="979"/>
      <c r="I96" s="979"/>
    </row>
    <row r="97" spans="1:9" x14ac:dyDescent="0.2">
      <c r="A97" s="2745"/>
    </row>
    <row r="101" spans="1:9" x14ac:dyDescent="0.2">
      <c r="A101" s="2745"/>
      <c r="B101" s="3402" t="s">
        <v>4548</v>
      </c>
      <c r="C101" s="3403"/>
      <c r="D101" s="3403"/>
      <c r="E101" s="3404"/>
      <c r="F101" s="3405"/>
      <c r="G101" s="3403"/>
      <c r="H101" s="3406"/>
    </row>
    <row r="102" spans="1:9" x14ac:dyDescent="0.2">
      <c r="B102" s="2801"/>
      <c r="C102" s="2789"/>
      <c r="D102" s="2789"/>
      <c r="E102" s="1069"/>
      <c r="F102" s="1068"/>
      <c r="G102" s="2789"/>
      <c r="H102" s="2792"/>
    </row>
    <row r="104" spans="1:9" x14ac:dyDescent="0.2">
      <c r="A104" s="779" t="s">
        <v>7747</v>
      </c>
      <c r="C104" s="2788"/>
      <c r="E104" s="3392"/>
      <c r="H104" s="2788"/>
      <c r="I104" s="2788"/>
    </row>
    <row r="106" spans="1:9" x14ac:dyDescent="0.2">
      <c r="A106" s="779" t="s">
        <v>8904</v>
      </c>
    </row>
    <row r="112" spans="1:9" x14ac:dyDescent="0.2">
      <c r="E112" s="83"/>
    </row>
    <row r="116" spans="5:5" x14ac:dyDescent="0.2">
      <c r="E116" s="83"/>
    </row>
    <row r="117" spans="5:5" x14ac:dyDescent="0.2">
      <c r="E117" s="83"/>
    </row>
    <row r="118" spans="5:5" x14ac:dyDescent="0.2">
      <c r="E118" s="83"/>
    </row>
    <row r="132" spans="2:2" x14ac:dyDescent="0.2">
      <c r="B132" s="2802"/>
    </row>
    <row r="133" spans="2:2" x14ac:dyDescent="0.2">
      <c r="B133" s="2802"/>
    </row>
    <row r="134" spans="2:2" x14ac:dyDescent="0.2">
      <c r="B134" s="2802"/>
    </row>
    <row r="135" spans="2:2" x14ac:dyDescent="0.2">
      <c r="B135" s="2802"/>
    </row>
  </sheetData>
  <phoneticPr fontId="67" type="noConversion"/>
  <pageMargins bottom="0.196850393700787" footer="0" header="0" left="0.196850393700787" right="0.196850393700787" top="0.196850393700787"/>
  <pageSetup orientation="portrait" paperSize="9" r:id="rId1"/>
  <headerFooter alignWithMargins="0"/>
</worksheet>
</file>

<file path=xl/worksheets/sheet57.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Sheet49">
    <tabColor rgb="FFFFFF99"/>
  </sheetPr>
  <dimension ref="A2:Q42"/>
  <sheetViews>
    <sheetView showGridLines="0" workbookViewId="0" zoomScale="75">
      <selection activeCell="J6" sqref="J6"/>
    </sheetView>
  </sheetViews>
  <sheetFormatPr defaultColWidth="9.140625" defaultRowHeight="12.75" x14ac:dyDescent="0.2"/>
  <cols>
    <col min="1" max="1" bestFit="true" customWidth="true" style="32" width="12.28515625" collapsed="true"/>
    <col min="2" max="2" customWidth="true" style="32" width="15.28515625" collapsed="true"/>
    <col min="3" max="3" customWidth="true" style="32" width="2.7109375" collapsed="true"/>
    <col min="4" max="4" customWidth="true" style="32" width="15.42578125" collapsed="true"/>
    <col min="5" max="5" customWidth="true" style="32" width="2.7109375" collapsed="true"/>
    <col min="6" max="6" customWidth="true" style="32" width="14.85546875" collapsed="true"/>
    <col min="7" max="7" customWidth="true" style="32" width="2.7109375" collapsed="true"/>
    <col min="8" max="8" customWidth="true" style="32" width="15.140625" collapsed="true"/>
    <col min="9" max="9" customWidth="true" style="32" width="2.7109375" collapsed="true"/>
    <col min="10" max="10" customWidth="true" style="32" width="15.42578125" collapsed="true"/>
    <col min="11" max="11" customWidth="true" style="32" width="2.7109375" collapsed="true"/>
    <col min="12" max="12" customWidth="true" style="32" width="15.28515625" collapsed="true"/>
    <col min="13" max="13" customWidth="true" style="32" width="1.7109375" collapsed="true"/>
    <col min="14" max="14" customWidth="true" style="32" width="13.42578125" collapsed="true"/>
    <col min="15" max="15" customWidth="true" style="32" width="1.5703125" collapsed="true"/>
    <col min="16" max="16" customWidth="true" style="32" width="12.85546875" collapsed="true"/>
    <col min="17" max="17" customWidth="true" style="32" width="2.28515625" collapsed="true"/>
    <col min="18" max="16384" style="32" width="9.140625" collapsed="true"/>
  </cols>
  <sheetData>
    <row r="2" spans="1:16" x14ac:dyDescent="0.2">
      <c r="A2" s="32" t="s">
        <v>3410</v>
      </c>
      <c r="B2" s="382" t="s">
        <v>3548</v>
      </c>
      <c r="C2" s="181"/>
      <c r="D2" s="382" t="s">
        <v>3549</v>
      </c>
      <c r="E2" s="181"/>
      <c r="F2" s="382" t="s">
        <v>3550</v>
      </c>
      <c r="G2" s="181"/>
      <c r="H2" s="1997" t="s">
        <v>962</v>
      </c>
      <c r="I2" s="386"/>
      <c r="J2" s="1998" t="s">
        <v>962</v>
      </c>
      <c r="L2" s="1998" t="s">
        <v>5137</v>
      </c>
      <c r="M2" s="386"/>
      <c r="N2" s="1998" t="s">
        <v>5138</v>
      </c>
      <c r="O2" s="386"/>
      <c r="P2" s="1999" t="s">
        <v>3410</v>
      </c>
    </row>
    <row r="3" spans="1:16" x14ac:dyDescent="0.2">
      <c r="A3" s="32" t="s">
        <v>53</v>
      </c>
      <c r="B3" s="383" t="s">
        <v>1375</v>
      </c>
      <c r="C3" s="181"/>
      <c r="D3" s="383" t="s">
        <v>659</v>
      </c>
      <c r="E3" s="181"/>
      <c r="F3" s="383" t="s">
        <v>1375</v>
      </c>
      <c r="G3" s="181"/>
      <c r="H3" s="2000" t="s">
        <v>963</v>
      </c>
      <c r="I3" s="386"/>
      <c r="J3" s="2001"/>
      <c r="L3" s="2002" t="s">
        <v>2557</v>
      </c>
      <c r="M3" s="386"/>
      <c r="N3" s="2003" t="s">
        <v>2196</v>
      </c>
      <c r="O3" s="386"/>
      <c r="P3" s="2004" t="s">
        <v>3150</v>
      </c>
    </row>
    <row r="4" spans="1:16" x14ac:dyDescent="0.2">
      <c r="A4" s="32" t="s">
        <v>2900</v>
      </c>
      <c r="B4" s="385">
        <f>IF(FTCR_run_1,IF(item_1_ind=1,FTCR!G10,IF(remit_basis,IF(item_1_ind=3,FTCR!G10,IF(item_1_ind=4,FTCR!G10*100/90,0)),0)),0)</f>
        <v>0</v>
      </c>
      <c r="C4" s="386"/>
      <c r="D4" s="387">
        <f>IF(FTCR_run_1,IF(item_1_ind=2,FTCR!G10,0),0)</f>
        <v>0</v>
      </c>
      <c r="E4" s="386"/>
      <c r="F4" s="385">
        <f>IF(FTCR_run_1,IF(item_1_ind=3,IF(remit_basis,0,FTCR!G10),0),0)</f>
        <v>0</v>
      </c>
      <c r="G4" s="386"/>
      <c r="H4" s="2005">
        <v>0</v>
      </c>
      <c r="I4" s="386"/>
      <c r="J4" s="104">
        <f>IF(FTCR_run_1,IF(item_1_ind=4,IF(remit_basis,0,FTCR!G10),0),0)</f>
        <v>0</v>
      </c>
      <c r="L4" s="388">
        <f>IF(FTCR_run_1,IF(item_1_ind=5,FTCR!G10,0),0)</f>
        <v>0</v>
      </c>
      <c r="M4" s="386"/>
      <c r="N4" s="385">
        <f>IF(FTCR_run_1,IF(item_1_ind=6,FTCR!G10,0),0)</f>
        <v>0</v>
      </c>
      <c r="O4" s="386"/>
      <c r="P4" s="385">
        <f>IF(FTCR_run_1,FTCR!G10,0)</f>
        <v>0</v>
      </c>
    </row>
    <row r="5" spans="1:16" x14ac:dyDescent="0.2">
      <c r="A5" s="32" t="s">
        <v>2901</v>
      </c>
      <c r="B5" s="385">
        <f>IF(FTCR_run_2,IF(item_2_ind=1,FTCR!G14,IF(remit_basis,IF(item_1_ind=3,FTCR!G14,IF(item_1_ind=4,FTCR!G14*100/90,0)),0)),0)</f>
        <v>0</v>
      </c>
      <c r="C5" s="386"/>
      <c r="D5" s="387">
        <f>IF(FTCR_run_2,IF(item_2_ind=2,FTCR!G14,0),0)</f>
        <v>0</v>
      </c>
      <c r="E5" s="386"/>
      <c r="F5" s="385">
        <f>IF(FTCR_run_2,IF(item_2_ind=3,IF(remit_basis,0,FTCR!G14),0),0)</f>
        <v>0</v>
      </c>
      <c r="G5" s="386"/>
      <c r="H5" s="2005">
        <v>0</v>
      </c>
      <c r="I5" s="386"/>
      <c r="J5" s="104">
        <f>IF(FTCR_run_2,IF(item_2_ind=4,IF(remit_basis,0,FTCR!G14),0),0)</f>
        <v>0</v>
      </c>
      <c r="L5" s="388">
        <f>IF(FTCR_run_2,IF(item_2_ind=5,FTCR!G14,0),0)</f>
        <v>0</v>
      </c>
      <c r="M5" s="386"/>
      <c r="N5" s="385">
        <f>IF(FTCR_run_2,IF(item_2_ind=6,FTCR!G14,0),0)</f>
        <v>0</v>
      </c>
      <c r="O5" s="386"/>
      <c r="P5" s="385">
        <f>IF(FTCR_run_2,FTCR!G14,0)</f>
        <v>0</v>
      </c>
    </row>
    <row r="6" spans="1:16" x14ac:dyDescent="0.2">
      <c r="A6" s="32" t="s">
        <v>2902</v>
      </c>
      <c r="B6" s="385">
        <f>IF(FTCR_run_3,IF(item_3_ind=1,FTCR!G18,IF(remit_basis,IF(item_1_ind=3,FTCR!G18,IF(item_1_ind=4,FTCR!G18*100/90,0)),0)),0)</f>
        <v>0</v>
      </c>
      <c r="C6" s="386"/>
      <c r="D6" s="387">
        <f>IF(FTCR_run_3,IF(item_3_ind=2,FTCR!G18,0),0)</f>
        <v>0</v>
      </c>
      <c r="E6" s="386"/>
      <c r="F6" s="385">
        <f>IF(FTCR_run_3,IF(item_3_ind=3,IF(remit_basis,0,FTCR!G18),0),0)</f>
        <v>0</v>
      </c>
      <c r="G6" s="386"/>
      <c r="H6" s="2005">
        <v>0</v>
      </c>
      <c r="I6" s="386"/>
      <c r="J6" s="104">
        <f>IF(FTCR_run_3,IF(item_3_ind=4,IF(remit_basis,0,FTCR!G18),0),0)</f>
        <v>0</v>
      </c>
      <c r="L6" s="388">
        <f>IF(FTCR_run_3,IF(item_3_ind=5,FTCR!G18,0),0)</f>
        <v>0</v>
      </c>
      <c r="M6" s="386"/>
      <c r="N6" s="385">
        <f>IF(FTCR_run_3,IF(item_3_ind=6,FTCR!G18,0),0)</f>
        <v>0</v>
      </c>
      <c r="O6" s="386"/>
      <c r="P6" s="385">
        <f>IF(FTCR_run_3,FTCR!G18,0)</f>
        <v>0</v>
      </c>
    </row>
    <row r="7" spans="1:16" x14ac:dyDescent="0.2">
      <c r="A7" s="32" t="s">
        <v>2168</v>
      </c>
      <c r="B7" s="385">
        <f>IF(FTCR_run_4,IF(item_4_ind=1,FTCR!G22,IF(remit_basis,IF(item_1_ind=3,FTCR!G22,IF(item_1_ind=4,FTCR!G22*100/90,0)),0)),0)</f>
        <v>0</v>
      </c>
      <c r="D7" s="385">
        <f>IF(FTCR_run_4,IF(item_4_ind=2,FTCR!G22,0),0)</f>
        <v>0</v>
      </c>
      <c r="F7" s="385">
        <f>IF(FTCR_run_4,IF(item_4_ind=3,IF(remit_basis,0,FTCR!G22),0),0)</f>
        <v>0</v>
      </c>
      <c r="H7" s="2005">
        <v>0</v>
      </c>
      <c r="J7" s="104">
        <f>IF(FTCR_run_4,IF(item_4_ind=4,IF(remit_basis,0,FTCR!G22),0),0)</f>
        <v>0</v>
      </c>
      <c r="L7" s="385">
        <f>IF(FTCR_run_4,IF(item_4_ind=5,FTCR!G22,0),0)</f>
        <v>0</v>
      </c>
      <c r="N7" s="385">
        <f>IF(FTCR_run_4,IF(item_4_ind=6,FTCR!G22,0),0)</f>
        <v>0</v>
      </c>
      <c r="P7" s="385">
        <f>IF(FTCR_run_4,FTCR!G22,0)</f>
        <v>0</v>
      </c>
    </row>
    <row r="8" spans="1:16" x14ac:dyDescent="0.2">
      <c r="A8" s="32" t="s">
        <v>2206</v>
      </c>
      <c r="B8" s="385">
        <f>IF(FTCR_run_5,IF(item_5_ind=1,FTCR!G26,IF(remit_basis,IF(item_1_ind=3,FTCR!G26,IF(item_1_ind=4,FTCR!G26*100/90,0)),0)),0)</f>
        <v>0</v>
      </c>
      <c r="C8" s="386"/>
      <c r="D8" s="387">
        <f>IF(FTCR_run_5,IF(item_5_ind=2,FTCR!G26,0),0)</f>
        <v>0</v>
      </c>
      <c r="E8" s="386"/>
      <c r="F8" s="385">
        <f>IF(FTCR_run_5,IF(item_5_ind=3,IF(remit_basis,0,FTCR!G26),0),0)</f>
        <v>0</v>
      </c>
      <c r="G8" s="386"/>
      <c r="H8" s="2005">
        <v>0</v>
      </c>
      <c r="I8" s="386"/>
      <c r="J8" s="104">
        <f>IF(FTCR_run_5,IF(item_5_ind=4,IF(remit_basis,0,FTCR!G26),0),0)</f>
        <v>0</v>
      </c>
      <c r="L8" s="388">
        <f>IF(FTCR_run_5,IF(item_5_ind=5,FTCR!G26,0),0)</f>
        <v>0</v>
      </c>
      <c r="M8" s="386"/>
      <c r="N8" s="385">
        <f>IF(FTCR_run_5,IF(item_5_ind=6,FTCR!G26,0),0)</f>
        <v>0</v>
      </c>
      <c r="O8" s="386"/>
      <c r="P8" s="385">
        <f>IF(FTCR_run_5,FTCR!G26,0)</f>
        <v>0</v>
      </c>
    </row>
    <row r="9" spans="1:16" x14ac:dyDescent="0.2">
      <c r="A9" s="32" t="s">
        <v>2207</v>
      </c>
      <c r="B9" s="385">
        <f>IF(FTCR_run_6,IF(item_6_ind=1,FTCR!G30,IF(remit_basis,IF(item_1_ind=3,FTCR!G30,IF(item_1_ind=4,FTCR!G30*100/90,0)),0)),0)</f>
        <v>0</v>
      </c>
      <c r="C9" s="386"/>
      <c r="D9" s="387">
        <f>IF(FTCR_run_6,IF(item_6_ind=2,FTCR!G30,0),0)</f>
        <v>0</v>
      </c>
      <c r="E9" s="386"/>
      <c r="F9" s="385">
        <f>IF(FTCR_run_6,IF(item_6_ind=3,IF(remit_basis,0,FTCR!G30),0),0)</f>
        <v>0</v>
      </c>
      <c r="G9" s="386"/>
      <c r="H9" s="2005">
        <v>0</v>
      </c>
      <c r="I9" s="386"/>
      <c r="J9" s="104">
        <f>IF(FTCR_run_6,IF(item_6_ind=4,IF(remit_basis,0,FTCR!G30),0),0)</f>
        <v>0</v>
      </c>
      <c r="L9" s="388">
        <f>IF(FTCR_run_6,IF(item_6_ind=5,FTCR!G30,0),0)</f>
        <v>0</v>
      </c>
      <c r="M9" s="386"/>
      <c r="N9" s="385">
        <f>IF(FTCR_run_6,IF(item_6_ind=6,FTCR!G30,0),0)</f>
        <v>0</v>
      </c>
      <c r="O9" s="386"/>
      <c r="P9" s="385">
        <f>IF(FTCR_run_6,FTCR!G30,0)</f>
        <v>0</v>
      </c>
    </row>
    <row r="10" spans="1:16" x14ac:dyDescent="0.2">
      <c r="A10" s="32" t="s">
        <v>2208</v>
      </c>
      <c r="B10" s="385">
        <f>IF(FTCR_run_7,IF(item_7_ind=1,FTCR!G34,IF(remit_basis,IF(item_1_ind=3,FTCR!G34,IF(item_1_ind=4,FTCR!G34*100/90,0)),0)),0)</f>
        <v>0</v>
      </c>
      <c r="C10" s="386"/>
      <c r="D10" s="387">
        <f>IF(FTCR_run_7,IF(item_7_ind=2,FTCR!G34,0),0)</f>
        <v>0</v>
      </c>
      <c r="E10" s="386"/>
      <c r="F10" s="385">
        <f>IF(FTCR_run_7,IF(item_7_ind=3,IF(remit_basis,0,FTCR!G34),0),0)</f>
        <v>0</v>
      </c>
      <c r="G10" s="386"/>
      <c r="H10" s="2005">
        <v>0</v>
      </c>
      <c r="I10" s="386"/>
      <c r="J10" s="104">
        <f>IF(FTCR_run_7,IF(item_7_ind=4,IF(remit_basis,0,FTCR!G34),0),0)</f>
        <v>0</v>
      </c>
      <c r="L10" s="388">
        <f>IF(FTCR_run_7,IF(item_7_ind=5,FTCR!G34,0),0)</f>
        <v>0</v>
      </c>
      <c r="M10" s="386"/>
      <c r="N10" s="385">
        <f>IF(FTCR_run_7,IF(item_7_ind=6,FTCR!G34,0),0)</f>
        <v>0</v>
      </c>
      <c r="O10" s="386"/>
      <c r="P10" s="385">
        <f>IF(FTCR_run_7,FTCR!G34,0)</f>
        <v>0</v>
      </c>
    </row>
    <row r="11" spans="1:16" x14ac:dyDescent="0.2">
      <c r="A11" s="32" t="s">
        <v>2209</v>
      </c>
      <c r="B11" s="385">
        <f>IF(FTCR_run_8,IF(item_8_ind=1,FTCR!G38,IF(remit_basis,IF(item_1_ind=3,FTCR!G38,IF(item_1_ind=4,FTCR!G38*100/90,0)),0)),0)</f>
        <v>0</v>
      </c>
      <c r="D11" s="385">
        <f>IF(FTCR_run_8,IF(item_8_ind=2,FTCR!G38,0),0)</f>
        <v>0</v>
      </c>
      <c r="F11" s="385">
        <f>IF(FTCR_run_8,IF(item_8_ind=3,IF(remit_basis,0,FTCR!G38),0),0)</f>
        <v>0</v>
      </c>
      <c r="H11" s="2005">
        <v>0</v>
      </c>
      <c r="J11" s="104">
        <f>IF(FTCR_run_8,IF(item_8_ind=4,IF(remit_basis,0,FTCR!G38),0),0)</f>
        <v>0</v>
      </c>
      <c r="L11" s="385">
        <f>IF(FTCR_run_8,IF(item_8_ind=5,FTCR!G38,0),0)</f>
        <v>0</v>
      </c>
      <c r="N11" s="385">
        <f>IF(FTCR_run_8,IF(item_8_ind=6,FTCR!G38,0),0)</f>
        <v>0</v>
      </c>
      <c r="P11" s="385">
        <f>IF(FTCR_run_8,FTCR!G38,0)</f>
        <v>0</v>
      </c>
    </row>
    <row r="12" spans="1:16" x14ac:dyDescent="0.2">
      <c r="A12" s="32" t="s">
        <v>1193</v>
      </c>
      <c r="B12" s="385">
        <f>IF(FTCR_run_9,IF(item_9_ind=1,FTCR!G42,IF(remit_basis,IF(item_1_ind=3,FTCR!G42,IF(item_1_ind=4,FTCR!G42*100/90,0)),0)),0)</f>
        <v>0</v>
      </c>
      <c r="D12" s="387">
        <f>IF(FTCR_run_9,IF(item_9_ind=2,FTCR!G42,0),0)</f>
        <v>0</v>
      </c>
      <c r="F12" s="385">
        <f>IF(FTCR_run_9,IF(item_9_ind=3,IF(remit_basis,0,FTCR!G42),0),0)</f>
        <v>0</v>
      </c>
      <c r="H12" s="2005">
        <v>0</v>
      </c>
      <c r="J12" s="104">
        <f>IF(FTCR_run_9,IF(item_9_ind=4,IF(remit_basis,0,FTCR!G42),0),0)</f>
        <v>0</v>
      </c>
      <c r="L12" s="388">
        <f>IF(FTCR_run_9,IF(item_9_ind=5,FTCR!G42,0),0)</f>
        <v>0</v>
      </c>
      <c r="N12" s="385">
        <f>IF(FTCR_run_9,IF(item_9_ind=6,FTCR!G42,0),0)</f>
        <v>0</v>
      </c>
      <c r="P12" s="385">
        <f>IF(FTCR_run_9,FTCR!G42,0)</f>
        <v>0</v>
      </c>
    </row>
    <row ht="13.5" r="13" spans="1:16" thickBot="1" x14ac:dyDescent="0.25">
      <c r="A13" s="32" t="s">
        <v>1194</v>
      </c>
      <c r="B13" s="1281">
        <f>IF(FTCR_run_10,IF(item_10_ind=1,FTCR!G46,IF(remit_basis,IF(item_1_ind=3,FTCR!G46,IF(item_1_ind=4,FTCR!G46*100/90,0)),0)),0)</f>
        <v>0</v>
      </c>
      <c r="D13" s="1281">
        <f>IF(FTCR_run_10,IF(item_10_ind=2,FTCR!G46,0),0)</f>
        <v>0</v>
      </c>
      <c r="F13" s="1281">
        <f>IF(FTCR_run_10,IF(item_10_ind=3,IF(remit_basis,0,FTCR!G46),0),0)</f>
        <v>0</v>
      </c>
      <c r="H13" s="2006">
        <v>0</v>
      </c>
      <c r="J13" s="1281">
        <f>IF(FTCR_run_10,IF(item_10_ind=4,IF(remit_basis,0,FTCR!G46),0),0)</f>
        <v>0</v>
      </c>
      <c r="L13" s="1281">
        <f>IF(FTCR_run_10,IF(item_10_ind=5,FTCR!G46,0),0)</f>
        <v>0</v>
      </c>
      <c r="N13" s="1281">
        <f>IF(FTCR_run_10,IF(item_10_ind=6,FTCR!G46,0),0)</f>
        <v>0</v>
      </c>
      <c r="P13" s="1281">
        <f>IF(FTCR_run_10,FTCR!G46,0)</f>
        <v>0</v>
      </c>
    </row>
    <row r="14" spans="1:16" x14ac:dyDescent="0.2">
      <c r="A14" s="32" t="s">
        <v>2903</v>
      </c>
      <c r="B14" s="1282">
        <f>SUM(B4:B13)</f>
        <v>0</v>
      </c>
      <c r="D14" s="1282">
        <f>SUM(D4:D13)</f>
        <v>0</v>
      </c>
      <c r="F14" s="1282">
        <f>SUM(F4:F13)</f>
        <v>0</v>
      </c>
      <c r="H14" s="2007">
        <v>0</v>
      </c>
      <c r="J14" s="1282">
        <f>SUM(J4:J13)</f>
        <v>0</v>
      </c>
      <c r="L14" s="1282">
        <f>SUM(L4:L13)</f>
        <v>0</v>
      </c>
      <c r="N14" s="1282">
        <f>SUM(N4:N13)</f>
        <v>0</v>
      </c>
      <c r="P14" s="1282">
        <f>SUM(P4:P13)</f>
        <v>0</v>
      </c>
    </row>
    <row r="16" spans="1:16" x14ac:dyDescent="0.2">
      <c r="A16" s="32" t="s">
        <v>1772</v>
      </c>
    </row>
    <row r="17" spans="1:16" x14ac:dyDescent="0.2">
      <c r="A17" s="32" t="s">
        <v>2900</v>
      </c>
      <c r="B17" s="385">
        <f>IF(FTCR_run_1,FTCR!M10,0)</f>
        <v>0</v>
      </c>
      <c r="J17" s="535" t="s">
        <v>3647</v>
      </c>
    </row>
    <row r="18" spans="1:16" x14ac:dyDescent="0.2">
      <c r="A18" s="32" t="s">
        <v>2901</v>
      </c>
      <c r="B18" s="385">
        <f>IF(FTCR_run_2,FTCR!M14,0)</f>
        <v>0</v>
      </c>
      <c r="J18" s="7">
        <v>1</v>
      </c>
      <c r="K18" s="7" t="s">
        <v>2660</v>
      </c>
    </row>
    <row r="19" spans="1:16" x14ac:dyDescent="0.2">
      <c r="A19" s="32" t="s">
        <v>2902</v>
      </c>
      <c r="B19" s="385">
        <f>IF(FTCR_run_3,FTCR!M18,0)</f>
        <v>0</v>
      </c>
      <c r="J19" s="7">
        <v>2</v>
      </c>
      <c r="K19" s="7" t="s">
        <v>901</v>
      </c>
    </row>
    <row r="20" spans="1:16" x14ac:dyDescent="0.2">
      <c r="A20" s="32" t="s">
        <v>2168</v>
      </c>
      <c r="B20" s="385">
        <f>IF(FTCR_run_4,FTCR!M22,0)</f>
        <v>0</v>
      </c>
      <c r="J20" s="7">
        <v>3</v>
      </c>
      <c r="K20" s="7" t="s">
        <v>902</v>
      </c>
    </row>
    <row r="21" spans="1:16" x14ac:dyDescent="0.2">
      <c r="A21" s="32" t="s">
        <v>2206</v>
      </c>
      <c r="B21" s="385">
        <f>IF(FTCR_run_5,FTCR!M26,0)</f>
        <v>0</v>
      </c>
      <c r="J21" s="7">
        <v>4</v>
      </c>
      <c r="K21" s="979" t="s">
        <v>690</v>
      </c>
    </row>
    <row r="22" spans="1:16" x14ac:dyDescent="0.2">
      <c r="A22" s="32" t="s">
        <v>2207</v>
      </c>
      <c r="B22" s="385">
        <f>IF(FTCR_run_6,FTCR!M30,0)</f>
        <v>0</v>
      </c>
      <c r="J22" s="7">
        <v>5</v>
      </c>
      <c r="K22" s="7" t="s">
        <v>950</v>
      </c>
      <c r="P22" s="534"/>
    </row>
    <row r="23" spans="1:16" x14ac:dyDescent="0.2">
      <c r="A23" s="32" t="s">
        <v>2208</v>
      </c>
      <c r="B23" s="385">
        <f>IF(FTCR_run_7,FTCR!M34,0)</f>
        <v>0</v>
      </c>
      <c r="J23" s="7">
        <v>6</v>
      </c>
      <c r="K23" s="7" t="s">
        <v>1047</v>
      </c>
      <c r="P23" s="534"/>
    </row>
    <row r="24" spans="1:16" x14ac:dyDescent="0.2">
      <c r="A24" s="32" t="s">
        <v>2209</v>
      </c>
      <c r="B24" s="385">
        <f>IF(FTCR_run_8,FTCR!M38,0)</f>
        <v>0</v>
      </c>
    </row>
    <row r="25" spans="1:16" x14ac:dyDescent="0.2">
      <c r="A25" s="32" t="s">
        <v>1193</v>
      </c>
      <c r="B25" s="385">
        <f>IF(FTCR_run_9,FTCR!M42,0)</f>
        <v>0</v>
      </c>
      <c r="J25"/>
      <c r="K25"/>
    </row>
    <row r="26" spans="1:16" x14ac:dyDescent="0.2">
      <c r="A26" s="32" t="s">
        <v>1194</v>
      </c>
      <c r="B26" s="385">
        <f>IF(FTCR_run_10,FTCR!M46,0)</f>
        <v>0</v>
      </c>
      <c r="J26"/>
      <c r="K26"/>
    </row>
    <row r="27" spans="1:16" x14ac:dyDescent="0.2">
      <c r="A27" s="32" t="s">
        <v>2903</v>
      </c>
      <c r="B27" s="538">
        <f>SUM(B17:B26)</f>
        <v>0</v>
      </c>
    </row>
    <row r="30" spans="1:16" x14ac:dyDescent="0.2">
      <c r="B30" s="539" t="s">
        <v>3703</v>
      </c>
      <c r="F30" s="538" t="s">
        <v>3708</v>
      </c>
      <c r="H30" s="539" t="s">
        <v>1124</v>
      </c>
      <c r="J30" s="539" t="s">
        <v>3702</v>
      </c>
      <c r="L30" s="539" t="s">
        <v>3344</v>
      </c>
      <c r="P30" s="534"/>
    </row>
    <row r="31" spans="1:16" x14ac:dyDescent="0.2">
      <c r="B31" s="540"/>
      <c r="D31" s="535" t="s">
        <v>3707</v>
      </c>
      <c r="F31" s="14">
        <v>0</v>
      </c>
      <c r="H31" s="540"/>
      <c r="J31" s="540"/>
      <c r="L31" s="540"/>
    </row>
    <row r="32" spans="1:16" x14ac:dyDescent="0.2">
      <c r="A32" s="32" t="s">
        <v>103</v>
      </c>
      <c r="B32" s="14" t="b">
        <v>0</v>
      </c>
      <c r="D32" s="535" t="s">
        <v>3704</v>
      </c>
      <c r="F32" s="14">
        <v>0</v>
      </c>
      <c r="H32" s="540">
        <f>IF(F31=F32,0,MAX(0,F31-F32))</f>
        <v>0</v>
      </c>
      <c r="J32" s="541">
        <f>IF(FTCR_run_1,FTCR!U11,0)</f>
        <v>0</v>
      </c>
      <c r="L32" s="538">
        <f ref="L32:L39" si="0" t="shared">MIN(H32,J32)</f>
        <v>0</v>
      </c>
    </row>
    <row r="33" spans="1:12" x14ac:dyDescent="0.2">
      <c r="A33" s="32" t="s">
        <v>104</v>
      </c>
      <c r="B33" s="14" t="b">
        <v>0</v>
      </c>
      <c r="D33" s="535" t="s">
        <v>3705</v>
      </c>
      <c r="F33" s="14">
        <v>0</v>
      </c>
      <c r="H33" s="540">
        <f ref="H33:H41" si="1" t="shared">IF(F32=F33,0,MAX(0,F32-F33))</f>
        <v>0</v>
      </c>
      <c r="J33" s="542">
        <f>IF(FTCR_run_2,FTCR!U12,0)</f>
        <v>0</v>
      </c>
      <c r="L33" s="538">
        <f si="0" t="shared"/>
        <v>0</v>
      </c>
    </row>
    <row r="34" spans="1:12" x14ac:dyDescent="0.2">
      <c r="A34" s="32" t="s">
        <v>105</v>
      </c>
      <c r="B34" s="14" t="b">
        <v>0</v>
      </c>
      <c r="C34" s="536"/>
      <c r="D34" s="535" t="s">
        <v>3706</v>
      </c>
      <c r="F34" s="14">
        <v>0</v>
      </c>
      <c r="H34" s="540">
        <f si="1" t="shared"/>
        <v>0</v>
      </c>
      <c r="J34" s="542">
        <f>IF(FTCR_run_3,FTCR!U13,0)</f>
        <v>0</v>
      </c>
      <c r="L34" s="538">
        <f si="0" t="shared"/>
        <v>0</v>
      </c>
    </row>
    <row r="35" spans="1:12" x14ac:dyDescent="0.2">
      <c r="A35" s="32" t="s">
        <v>106</v>
      </c>
      <c r="B35" s="14" t="b">
        <v>0</v>
      </c>
      <c r="D35" s="535" t="s">
        <v>2169</v>
      </c>
      <c r="F35" s="14">
        <v>0</v>
      </c>
      <c r="H35" s="540">
        <f si="1" t="shared"/>
        <v>0</v>
      </c>
      <c r="J35" s="542">
        <f>IF(FTCR_run_4,FTCR!U14,0)</f>
        <v>0</v>
      </c>
      <c r="L35" s="542">
        <f si="0" t="shared"/>
        <v>0</v>
      </c>
    </row>
    <row r="36" spans="1:12" x14ac:dyDescent="0.2">
      <c r="A36" s="32" t="s">
        <v>107</v>
      </c>
      <c r="B36" s="14" t="b">
        <v>0</v>
      </c>
      <c r="D36" s="535" t="s">
        <v>1716</v>
      </c>
      <c r="F36" s="14">
        <v>0</v>
      </c>
      <c r="H36" s="540">
        <f si="1" t="shared"/>
        <v>0</v>
      </c>
      <c r="J36" s="541">
        <f>IF(FTCR_run_5,FTCR!U15,0)</f>
        <v>0</v>
      </c>
      <c r="L36" s="538">
        <f si="0" t="shared"/>
        <v>0</v>
      </c>
    </row>
    <row r="37" spans="1:12" x14ac:dyDescent="0.2">
      <c r="A37" s="32" t="s">
        <v>108</v>
      </c>
      <c r="B37" s="14" t="b">
        <v>0</v>
      </c>
      <c r="D37" s="535" t="s">
        <v>1717</v>
      </c>
      <c r="F37" s="14">
        <v>0</v>
      </c>
      <c r="H37" s="540">
        <f si="1" t="shared"/>
        <v>0</v>
      </c>
      <c r="J37" s="542">
        <f>IF(FTCR_run_6,FTCR!U16,0)</f>
        <v>0</v>
      </c>
      <c r="L37" s="538">
        <f si="0" t="shared"/>
        <v>0</v>
      </c>
    </row>
    <row r="38" spans="1:12" x14ac:dyDescent="0.2">
      <c r="A38" s="32" t="s">
        <v>109</v>
      </c>
      <c r="B38" s="14" t="b">
        <v>0</v>
      </c>
      <c r="C38" s="536"/>
      <c r="D38" s="535" t="s">
        <v>1718</v>
      </c>
      <c r="F38" s="14">
        <v>0</v>
      </c>
      <c r="H38" s="540">
        <f si="1" t="shared"/>
        <v>0</v>
      </c>
      <c r="J38" s="542">
        <f>IF(FTCR_run_7,FTCR!U17,0)</f>
        <v>0</v>
      </c>
      <c r="L38" s="538">
        <f si="0" t="shared"/>
        <v>0</v>
      </c>
    </row>
    <row r="39" spans="1:12" x14ac:dyDescent="0.2">
      <c r="A39" s="32" t="s">
        <v>110</v>
      </c>
      <c r="B39" s="14" t="b">
        <v>0</v>
      </c>
      <c r="D39" s="535" t="s">
        <v>1719</v>
      </c>
      <c r="F39" s="14">
        <v>0</v>
      </c>
      <c r="H39" s="540">
        <f si="1" t="shared"/>
        <v>0</v>
      </c>
      <c r="J39" s="542">
        <f>IF(FTCR_run_8,FTCR!U18,0)</f>
        <v>0</v>
      </c>
      <c r="L39" s="542">
        <f si="0" t="shared"/>
        <v>0</v>
      </c>
    </row>
    <row r="40" spans="1:12" x14ac:dyDescent="0.2">
      <c r="A40" s="32" t="s">
        <v>111</v>
      </c>
      <c r="B40" s="14" t="b">
        <v>0</v>
      </c>
      <c r="D40" s="535" t="s">
        <v>101</v>
      </c>
      <c r="F40" s="14">
        <v>0</v>
      </c>
      <c r="H40" s="540">
        <f si="1" t="shared"/>
        <v>0</v>
      </c>
      <c r="J40" s="542">
        <f>IF(FTCR_run_9,FTCR!U19,0)</f>
        <v>0</v>
      </c>
      <c r="L40" s="538">
        <f>MIN(H40,J40)</f>
        <v>0</v>
      </c>
    </row>
    <row r="41" spans="1:12" x14ac:dyDescent="0.2">
      <c r="A41" s="32" t="s">
        <v>112</v>
      </c>
      <c r="B41" s="14" t="b">
        <v>0</v>
      </c>
      <c r="D41" s="535" t="s">
        <v>102</v>
      </c>
      <c r="F41" s="14">
        <v>0</v>
      </c>
      <c r="H41" s="540">
        <f si="1" t="shared"/>
        <v>0</v>
      </c>
      <c r="J41" s="542">
        <f>IF(FTCR_run_10,FTCR!U20,0)</f>
        <v>0</v>
      </c>
      <c r="L41" s="542">
        <f>MIN(H41,J41)</f>
        <v>0</v>
      </c>
    </row>
    <row r="42" spans="1:12" x14ac:dyDescent="0.2">
      <c r="D42" s="535" t="s">
        <v>2903</v>
      </c>
      <c r="H42" s="538">
        <f>SUM(H32:H41)</f>
        <v>0</v>
      </c>
      <c r="J42" s="538">
        <f>SUM(J32:J41)</f>
        <v>0</v>
      </c>
      <c r="L42" s="538">
        <f>SUM(L32:L41)</f>
        <v>0</v>
      </c>
    </row>
  </sheetData>
  <phoneticPr fontId="67" type="noConversion"/>
  <pageMargins bottom="0.196850393700787" footer="0" header="0" left="0.196850393700787" right="0.196850393700787" top="0.196850393700787"/>
  <pageSetup orientation="landscape" paperSize="9" r:id="rId1"/>
  <headerFooter alignWithMargins="0"/>
</worksheet>
</file>

<file path=xl/worksheets/sheet5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Sheet86"/>
  <dimension ref="A2:Q42"/>
  <sheetViews>
    <sheetView showGridLines="0" workbookViewId="0" zoomScale="75"/>
  </sheetViews>
  <sheetFormatPr defaultColWidth="9.140625" defaultRowHeight="12.75" x14ac:dyDescent="0.2"/>
  <cols>
    <col min="1" max="1" bestFit="true" customWidth="true" style="1323" width="12.28515625" collapsed="true"/>
    <col min="2" max="2" customWidth="true" style="1323" width="15.28515625" collapsed="true"/>
    <col min="3" max="3" customWidth="true" style="1323" width="2.7109375" collapsed="true"/>
    <col min="4" max="4" customWidth="true" style="1323" width="15.42578125" collapsed="true"/>
    <col min="5" max="5" customWidth="true" style="1323" width="2.7109375" collapsed="true"/>
    <col min="6" max="6" customWidth="true" style="1323" width="14.85546875" collapsed="true"/>
    <col min="7" max="7" customWidth="true" style="1323" width="2.7109375" collapsed="true"/>
    <col min="8" max="8" customWidth="true" style="1323" width="15.140625" collapsed="true"/>
    <col min="9" max="9" customWidth="true" style="1323" width="2.7109375" collapsed="true"/>
    <col min="10" max="10" customWidth="true" style="1323" width="15.42578125" collapsed="true"/>
    <col min="11" max="11" customWidth="true" style="1323" width="2.7109375" collapsed="true"/>
    <col min="12" max="12" customWidth="true" style="1323" width="15.28515625" collapsed="true"/>
    <col min="13" max="13" customWidth="true" style="1323" width="1.7109375" collapsed="true"/>
    <col min="14" max="14" customWidth="true" style="1323" width="13.42578125" collapsed="true"/>
    <col min="15" max="15" customWidth="true" style="1323" width="1.5703125" collapsed="true"/>
    <col min="16" max="16" customWidth="true" style="1323" width="12.85546875" collapsed="true"/>
    <col min="17" max="17" customWidth="true" style="1323" width="2.28515625" collapsed="true"/>
    <col min="18" max="16384" style="1323" width="9.140625" collapsed="true"/>
  </cols>
  <sheetData>
    <row r="2" spans="1:16" x14ac:dyDescent="0.2">
      <c r="A2" s="1323" t="s">
        <v>3410</v>
      </c>
      <c r="B2" s="3116" t="s">
        <v>3548</v>
      </c>
      <c r="C2" s="1326"/>
      <c r="D2" s="3116" t="s">
        <v>3549</v>
      </c>
      <c r="E2" s="1326"/>
      <c r="F2" s="3116" t="s">
        <v>3550</v>
      </c>
      <c r="G2" s="1326"/>
      <c r="H2" s="1997" t="s">
        <v>962</v>
      </c>
      <c r="I2" s="386"/>
      <c r="J2" s="1998" t="s">
        <v>962</v>
      </c>
      <c r="K2" s="32"/>
      <c r="L2" s="1998" t="s">
        <v>5137</v>
      </c>
      <c r="M2" s="386"/>
      <c r="N2" s="1998" t="s">
        <v>5138</v>
      </c>
      <c r="O2" s="386"/>
      <c r="P2" s="1999" t="s">
        <v>3410</v>
      </c>
    </row>
    <row r="3" spans="1:16" x14ac:dyDescent="0.2">
      <c r="A3" s="1323" t="s">
        <v>53</v>
      </c>
      <c r="B3" s="3117" t="s">
        <v>1375</v>
      </c>
      <c r="C3" s="1326"/>
      <c r="D3" s="3117" t="s">
        <v>659</v>
      </c>
      <c r="E3" s="1326"/>
      <c r="F3" s="3117" t="s">
        <v>1375</v>
      </c>
      <c r="G3" s="1326"/>
      <c r="H3" s="2000" t="s">
        <v>963</v>
      </c>
      <c r="I3" s="386"/>
      <c r="J3" s="2001"/>
      <c r="K3" s="32"/>
      <c r="L3" s="2002" t="s">
        <v>2557</v>
      </c>
      <c r="M3" s="386"/>
      <c r="N3" s="2003" t="s">
        <v>2196</v>
      </c>
      <c r="O3" s="386"/>
      <c r="P3" s="2004" t="s">
        <v>3150</v>
      </c>
    </row>
    <row r="4" spans="1:16" x14ac:dyDescent="0.2">
      <c r="A4" s="1323" t="s">
        <v>2900</v>
      </c>
      <c r="B4" s="1325"/>
      <c r="C4" s="1326"/>
      <c r="D4" s="1327"/>
      <c r="E4" s="1326"/>
      <c r="F4" s="1325"/>
      <c r="G4" s="1326"/>
      <c r="H4" s="2005"/>
      <c r="I4" s="386"/>
      <c r="J4" s="104"/>
      <c r="K4" s="32"/>
      <c r="L4" s="388"/>
      <c r="M4" s="386"/>
      <c r="N4" s="385"/>
      <c r="O4" s="386"/>
      <c r="P4" s="385"/>
    </row>
    <row r="5" spans="1:16" x14ac:dyDescent="0.2">
      <c r="A5" s="1323" t="s">
        <v>2901</v>
      </c>
      <c r="B5" s="1325"/>
      <c r="C5" s="1326"/>
      <c r="D5" s="1327"/>
      <c r="E5" s="1326"/>
      <c r="F5" s="1325"/>
      <c r="G5" s="1326"/>
      <c r="H5" s="2005"/>
      <c r="I5" s="386"/>
      <c r="J5" s="104"/>
      <c r="K5" s="32"/>
      <c r="L5" s="388"/>
      <c r="M5" s="386"/>
      <c r="N5" s="385"/>
      <c r="O5" s="386"/>
      <c r="P5" s="385"/>
    </row>
    <row r="6" spans="1:16" x14ac:dyDescent="0.2">
      <c r="A6" s="1323" t="s">
        <v>2902</v>
      </c>
      <c r="B6" s="1325"/>
      <c r="C6" s="1326"/>
      <c r="D6" s="1327"/>
      <c r="E6" s="1326"/>
      <c r="F6" s="1325"/>
      <c r="G6" s="1326"/>
      <c r="H6" s="2005"/>
      <c r="I6" s="386"/>
      <c r="J6" s="104"/>
      <c r="K6" s="32"/>
      <c r="L6" s="388"/>
      <c r="M6" s="386"/>
      <c r="N6" s="385"/>
      <c r="O6" s="386"/>
      <c r="P6" s="385"/>
    </row>
    <row r="7" spans="1:16" x14ac:dyDescent="0.2">
      <c r="A7" s="1323" t="s">
        <v>2168</v>
      </c>
      <c r="B7" s="1325"/>
      <c r="D7" s="1325"/>
      <c r="F7" s="1325"/>
      <c r="H7" s="2005"/>
      <c r="I7" s="32"/>
      <c r="J7" s="104"/>
      <c r="K7" s="32"/>
      <c r="L7" s="385"/>
      <c r="M7" s="32"/>
      <c r="N7" s="385"/>
      <c r="O7" s="32"/>
      <c r="P7" s="385"/>
    </row>
    <row r="8" spans="1:16" x14ac:dyDescent="0.2">
      <c r="A8" s="1323" t="s">
        <v>2206</v>
      </c>
      <c r="B8" s="1325"/>
      <c r="C8" s="1326"/>
      <c r="D8" s="1327"/>
      <c r="E8" s="1326"/>
      <c r="F8" s="1325"/>
      <c r="G8" s="1326"/>
      <c r="H8" s="2005"/>
      <c r="I8" s="386"/>
      <c r="J8" s="104"/>
      <c r="K8" s="32"/>
      <c r="L8" s="388"/>
      <c r="M8" s="386"/>
      <c r="N8" s="385"/>
      <c r="O8" s="386"/>
      <c r="P8" s="385"/>
    </row>
    <row r="9" spans="1:16" x14ac:dyDescent="0.2">
      <c r="A9" s="1323" t="s">
        <v>2207</v>
      </c>
      <c r="B9" s="1325"/>
      <c r="C9" s="1326"/>
      <c r="D9" s="1327"/>
      <c r="E9" s="1326"/>
      <c r="F9" s="1325"/>
      <c r="G9" s="1326"/>
      <c r="H9" s="2005"/>
      <c r="I9" s="386"/>
      <c r="J9" s="104"/>
      <c r="K9" s="32"/>
      <c r="L9" s="388"/>
      <c r="M9" s="386"/>
      <c r="N9" s="385"/>
      <c r="O9" s="386"/>
      <c r="P9" s="385"/>
    </row>
    <row r="10" spans="1:16" x14ac:dyDescent="0.2">
      <c r="A10" s="1323" t="s">
        <v>2208</v>
      </c>
      <c r="B10" s="1325"/>
      <c r="C10" s="1326"/>
      <c r="D10" s="1327"/>
      <c r="E10" s="1326"/>
      <c r="F10" s="1325"/>
      <c r="G10" s="1326"/>
      <c r="H10" s="2005"/>
      <c r="I10" s="386"/>
      <c r="J10" s="104"/>
      <c r="K10" s="32"/>
      <c r="L10" s="388"/>
      <c r="M10" s="386"/>
      <c r="N10" s="385"/>
      <c r="O10" s="386"/>
      <c r="P10" s="385"/>
    </row>
    <row r="11" spans="1:16" x14ac:dyDescent="0.2">
      <c r="A11" s="1323" t="s">
        <v>2209</v>
      </c>
      <c r="B11" s="1325"/>
      <c r="D11" s="1325"/>
      <c r="F11" s="1325"/>
      <c r="H11" s="2005"/>
      <c r="I11" s="32"/>
      <c r="J11" s="104"/>
      <c r="K11" s="32"/>
      <c r="L11" s="385"/>
      <c r="M11" s="32"/>
      <c r="N11" s="385"/>
      <c r="O11" s="32"/>
      <c r="P11" s="385"/>
    </row>
    <row r="12" spans="1:16" x14ac:dyDescent="0.2">
      <c r="A12" s="1323" t="s">
        <v>1193</v>
      </c>
      <c r="B12" s="1325"/>
      <c r="D12" s="1327"/>
      <c r="F12" s="1325"/>
      <c r="H12" s="2005"/>
      <c r="I12" s="32"/>
      <c r="J12" s="104"/>
      <c r="K12" s="32"/>
      <c r="L12" s="388"/>
      <c r="M12" s="32"/>
      <c r="N12" s="385"/>
      <c r="O12" s="32"/>
      <c r="P12" s="385"/>
    </row>
    <row ht="13.5" r="13" spans="1:16" thickBot="1" x14ac:dyDescent="0.25">
      <c r="A13" s="1323" t="s">
        <v>1194</v>
      </c>
      <c r="B13" s="1325"/>
      <c r="D13" s="1325"/>
      <c r="F13" s="1325"/>
      <c r="H13" s="2006"/>
      <c r="I13" s="32"/>
      <c r="J13" s="1281"/>
      <c r="K13" s="32"/>
      <c r="L13" s="1281"/>
      <c r="M13" s="32"/>
      <c r="N13" s="1281"/>
      <c r="O13" s="32"/>
      <c r="P13" s="1281"/>
    </row>
    <row r="14" spans="1:16" x14ac:dyDescent="0.2">
      <c r="A14" s="1323" t="s">
        <v>2903</v>
      </c>
      <c r="B14" s="1328"/>
      <c r="D14" s="1328"/>
      <c r="F14" s="1328"/>
      <c r="H14" s="2007"/>
      <c r="I14" s="32"/>
      <c r="J14" s="1282"/>
      <c r="K14" s="32"/>
      <c r="L14" s="1282"/>
      <c r="M14" s="32"/>
      <c r="N14" s="1282"/>
      <c r="O14" s="32"/>
      <c r="P14" s="1282"/>
    </row>
    <row r="15" spans="1:16" x14ac:dyDescent="0.2">
      <c r="H15" s="32"/>
      <c r="I15" s="32"/>
      <c r="J15" s="32"/>
      <c r="K15" s="32"/>
      <c r="L15" s="32"/>
      <c r="M15" s="32"/>
      <c r="N15" s="32"/>
      <c r="O15" s="32"/>
      <c r="P15" s="32"/>
    </row>
    <row r="16" spans="1:16" x14ac:dyDescent="0.2">
      <c r="A16" s="1323" t="s">
        <v>1772</v>
      </c>
      <c r="H16" s="32"/>
      <c r="I16" s="32"/>
      <c r="J16" s="32"/>
      <c r="K16" s="32"/>
      <c r="L16" s="32"/>
      <c r="M16" s="32"/>
      <c r="N16" s="32"/>
      <c r="O16" s="32"/>
      <c r="P16" s="32"/>
    </row>
    <row r="17" spans="1:16" x14ac:dyDescent="0.2">
      <c r="A17" s="1323" t="s">
        <v>2900</v>
      </c>
      <c r="B17" s="1325"/>
      <c r="H17" s="32"/>
      <c r="I17" s="32"/>
      <c r="J17" s="535" t="s">
        <v>3647</v>
      </c>
      <c r="K17" s="32"/>
      <c r="L17" s="32"/>
      <c r="M17" s="32"/>
      <c r="N17" s="32"/>
      <c r="O17" s="32"/>
      <c r="P17" s="32"/>
    </row>
    <row r="18" spans="1:16" x14ac:dyDescent="0.2">
      <c r="A18" s="1323" t="s">
        <v>2901</v>
      </c>
      <c r="B18" s="1325"/>
      <c r="H18" s="32"/>
      <c r="I18" s="32"/>
      <c r="J18" s="7">
        <v>1</v>
      </c>
      <c r="K18" s="7" t="s">
        <v>2660</v>
      </c>
      <c r="L18" s="32"/>
      <c r="M18" s="32"/>
      <c r="N18" s="32"/>
      <c r="O18" s="32"/>
      <c r="P18" s="32"/>
    </row>
    <row r="19" spans="1:16" x14ac:dyDescent="0.2">
      <c r="A19" s="1323" t="s">
        <v>2902</v>
      </c>
      <c r="B19" s="1325"/>
      <c r="H19" s="32"/>
      <c r="I19" s="32"/>
      <c r="J19" s="7">
        <v>2</v>
      </c>
      <c r="K19" s="7" t="s">
        <v>901</v>
      </c>
      <c r="L19" s="32"/>
      <c r="M19" s="32"/>
      <c r="N19" s="32"/>
      <c r="O19" s="32"/>
      <c r="P19" s="32"/>
    </row>
    <row r="20" spans="1:16" x14ac:dyDescent="0.2">
      <c r="A20" s="1323" t="s">
        <v>2168</v>
      </c>
      <c r="B20" s="1325"/>
      <c r="H20" s="32"/>
      <c r="I20" s="32"/>
      <c r="J20" s="7">
        <v>3</v>
      </c>
      <c r="K20" s="7" t="s">
        <v>902</v>
      </c>
      <c r="L20" s="32"/>
      <c r="M20" s="32"/>
      <c r="N20" s="32"/>
      <c r="O20" s="32"/>
      <c r="P20" s="32"/>
    </row>
    <row r="21" spans="1:16" x14ac:dyDescent="0.2">
      <c r="A21" s="1323" t="s">
        <v>2206</v>
      </c>
      <c r="B21" s="1325"/>
      <c r="H21" s="32"/>
      <c r="I21" s="32"/>
      <c r="J21" s="7">
        <v>4</v>
      </c>
      <c r="K21" s="979" t="s">
        <v>690</v>
      </c>
      <c r="L21" s="32"/>
      <c r="M21" s="32"/>
      <c r="N21" s="32"/>
      <c r="O21" s="32"/>
      <c r="P21" s="32"/>
    </row>
    <row r="22" spans="1:16" x14ac:dyDescent="0.2">
      <c r="A22" s="1323" t="s">
        <v>2207</v>
      </c>
      <c r="B22" s="1325"/>
      <c r="H22" s="32"/>
      <c r="I22" s="32"/>
      <c r="J22" s="7">
        <v>5</v>
      </c>
      <c r="K22" s="7" t="s">
        <v>950</v>
      </c>
      <c r="L22" s="32"/>
      <c r="M22" s="32"/>
      <c r="N22" s="32"/>
      <c r="O22" s="32"/>
      <c r="P22" s="534"/>
    </row>
    <row r="23" spans="1:16" x14ac:dyDescent="0.2">
      <c r="A23" s="1323" t="s">
        <v>2208</v>
      </c>
      <c r="B23" s="1325"/>
      <c r="H23" s="32"/>
      <c r="I23" s="32"/>
      <c r="J23" s="7">
        <v>6</v>
      </c>
      <c r="K23" s="7" t="s">
        <v>1047</v>
      </c>
      <c r="L23" s="32"/>
      <c r="M23" s="32"/>
      <c r="N23" s="32"/>
      <c r="O23" s="32"/>
      <c r="P23" s="534"/>
    </row>
    <row r="24" spans="1:16" x14ac:dyDescent="0.2">
      <c r="A24" s="1323" t="s">
        <v>2209</v>
      </c>
      <c r="B24" s="1325"/>
      <c r="H24" s="32"/>
      <c r="I24" s="32"/>
      <c r="J24" s="32"/>
      <c r="K24" s="32"/>
      <c r="L24" s="32"/>
      <c r="M24" s="32"/>
      <c r="N24" s="32"/>
      <c r="O24" s="32"/>
      <c r="P24" s="32"/>
    </row>
    <row r="25" spans="1:16" x14ac:dyDescent="0.2">
      <c r="A25" s="1323" t="s">
        <v>1193</v>
      </c>
      <c r="B25" s="1325"/>
      <c r="J25" s="3118"/>
      <c r="K25" s="3118"/>
    </row>
    <row r="26" spans="1:16" x14ac:dyDescent="0.2">
      <c r="A26" s="1323" t="s">
        <v>1194</v>
      </c>
      <c r="B26" s="1325"/>
      <c r="J26" s="3118"/>
      <c r="K26" s="3118"/>
    </row>
    <row r="27" spans="1:16" x14ac:dyDescent="0.2">
      <c r="A27" s="1323" t="s">
        <v>2903</v>
      </c>
      <c r="B27" s="1328"/>
    </row>
    <row r="30" spans="1:16" x14ac:dyDescent="0.2">
      <c r="B30" s="1331"/>
      <c r="F30" s="1328" t="s">
        <v>3708</v>
      </c>
      <c r="H30" s="1331" t="s">
        <v>1124</v>
      </c>
      <c r="J30" s="1331" t="s">
        <v>3702</v>
      </c>
      <c r="L30" s="1331" t="s">
        <v>3344</v>
      </c>
      <c r="P30" s="1330"/>
    </row>
    <row r="31" spans="1:16" x14ac:dyDescent="0.2">
      <c r="B31" s="1324"/>
      <c r="D31" s="1329" t="s">
        <v>3707</v>
      </c>
      <c r="F31" s="1332"/>
      <c r="H31" s="1324"/>
      <c r="J31" s="1324"/>
      <c r="L31" s="1324"/>
    </row>
    <row r="32" spans="1:16" x14ac:dyDescent="0.2">
      <c r="A32" s="1323" t="s">
        <v>103</v>
      </c>
      <c r="B32" s="1332"/>
      <c r="D32" s="1329" t="s">
        <v>3704</v>
      </c>
      <c r="F32" s="1332"/>
      <c r="H32" s="1324"/>
      <c r="J32" s="1333"/>
      <c r="L32" s="1328"/>
    </row>
    <row r="33" spans="1:12" x14ac:dyDescent="0.2">
      <c r="A33" s="1323" t="s">
        <v>104</v>
      </c>
      <c r="B33" s="1332"/>
      <c r="D33" s="1329" t="s">
        <v>3705</v>
      </c>
      <c r="F33" s="1332"/>
      <c r="H33" s="1324"/>
      <c r="J33" s="1334"/>
      <c r="L33" s="1328"/>
    </row>
    <row r="34" spans="1:12" x14ac:dyDescent="0.2">
      <c r="A34" s="1323" t="s">
        <v>105</v>
      </c>
      <c r="B34" s="1332"/>
      <c r="C34" s="1335"/>
      <c r="D34" s="1329" t="s">
        <v>3706</v>
      </c>
      <c r="F34" s="1332"/>
      <c r="H34" s="1324"/>
      <c r="J34" s="1334"/>
      <c r="L34" s="1328"/>
    </row>
    <row r="35" spans="1:12" x14ac:dyDescent="0.2">
      <c r="A35" s="1323" t="s">
        <v>106</v>
      </c>
      <c r="B35" s="1332"/>
      <c r="D35" s="1329" t="s">
        <v>2169</v>
      </c>
      <c r="F35" s="1332"/>
      <c r="H35" s="1324"/>
      <c r="J35" s="1334"/>
      <c r="L35" s="1334"/>
    </row>
    <row r="36" spans="1:12" x14ac:dyDescent="0.2">
      <c r="A36" s="1323" t="s">
        <v>107</v>
      </c>
      <c r="B36" s="1332"/>
      <c r="D36" s="1329" t="s">
        <v>1716</v>
      </c>
      <c r="F36" s="1332"/>
      <c r="H36" s="1324"/>
      <c r="J36" s="1333"/>
      <c r="L36" s="1328"/>
    </row>
    <row r="37" spans="1:12" x14ac:dyDescent="0.2">
      <c r="A37" s="1323" t="s">
        <v>108</v>
      </c>
      <c r="B37" s="1332"/>
      <c r="D37" s="1329" t="s">
        <v>1717</v>
      </c>
      <c r="F37" s="1332"/>
      <c r="H37" s="1324"/>
      <c r="J37" s="1334"/>
      <c r="L37" s="1328"/>
    </row>
    <row r="38" spans="1:12" x14ac:dyDescent="0.2">
      <c r="A38" s="1323" t="s">
        <v>109</v>
      </c>
      <c r="B38" s="1332"/>
      <c r="C38" s="1335"/>
      <c r="D38" s="1329" t="s">
        <v>1718</v>
      </c>
      <c r="F38" s="1332"/>
      <c r="H38" s="1324"/>
      <c r="J38" s="1334"/>
      <c r="L38" s="1328"/>
    </row>
    <row r="39" spans="1:12" x14ac:dyDescent="0.2">
      <c r="A39" s="1323" t="s">
        <v>110</v>
      </c>
      <c r="B39" s="1332"/>
      <c r="D39" s="1329" t="s">
        <v>1719</v>
      </c>
      <c r="F39" s="1332"/>
      <c r="H39" s="1324"/>
      <c r="J39" s="1334"/>
      <c r="L39" s="1334"/>
    </row>
    <row r="40" spans="1:12" x14ac:dyDescent="0.2">
      <c r="A40" s="1323" t="s">
        <v>111</v>
      </c>
      <c r="B40" s="1332"/>
      <c r="D40" s="1329" t="s">
        <v>101</v>
      </c>
      <c r="F40" s="1332"/>
      <c r="H40" s="1324"/>
      <c r="J40" s="1334"/>
      <c r="L40" s="1328"/>
    </row>
    <row r="41" spans="1:12" x14ac:dyDescent="0.2">
      <c r="A41" s="1323" t="s">
        <v>112</v>
      </c>
      <c r="B41" s="1332"/>
      <c r="D41" s="1329" t="s">
        <v>102</v>
      </c>
      <c r="F41" s="1332"/>
      <c r="H41" s="1324"/>
      <c r="J41" s="1334"/>
      <c r="L41" s="1334"/>
    </row>
    <row r="42" spans="1:12" x14ac:dyDescent="0.2">
      <c r="D42" s="1329" t="s">
        <v>2903</v>
      </c>
      <c r="H42" s="1328"/>
      <c r="J42" s="1328"/>
      <c r="L42" s="1328"/>
    </row>
  </sheetData>
  <pageMargins bottom="0.196850393700787" footer="0" header="0" left="0.196850393700787" right="0.196850393700787" top="0.196850393700787"/>
  <pageSetup orientation="landscape" paperSize="9" r:id="rId1"/>
  <headerFooter alignWithMargins="0"/>
</worksheet>
</file>

<file path=xl/worksheets/sheet59.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Sheet3"/>
  <dimension ref="A1:AH153"/>
  <sheetViews>
    <sheetView showGridLines="0" topLeftCell="B109" workbookViewId="0">
      <selection activeCell="I168" sqref="I168"/>
    </sheetView>
  </sheetViews>
  <sheetFormatPr defaultColWidth="9.140625" defaultRowHeight="12" x14ac:dyDescent="0.2"/>
  <cols>
    <col min="1" max="1" customWidth="true" hidden="true" style="121" width="6.0" collapsed="true"/>
    <col min="2" max="2" customWidth="true" style="121" width="28.0" collapsed="true"/>
    <col min="3" max="3" customWidth="true" style="121" width="10.0" collapsed="true"/>
    <col min="4" max="4" customWidth="true" style="121" width="18.7109375" collapsed="true"/>
    <col min="5" max="5" customWidth="true" style="121" width="5.85546875" collapsed="true"/>
    <col min="6" max="6" customWidth="true" style="121" width="13.85546875" collapsed="true"/>
    <col min="7" max="7" customWidth="true" style="93" width="14.7109375" collapsed="true"/>
    <col min="8" max="8" customWidth="true" style="93" width="5.42578125" collapsed="true"/>
    <col min="9" max="9" customWidth="true" style="121" width="5.7109375" collapsed="true"/>
    <col min="10" max="10" customWidth="true" style="121" width="13.85546875" collapsed="true"/>
    <col min="11" max="11" customWidth="true" style="121" width="4.42578125" collapsed="true"/>
    <col min="12" max="13" customWidth="true" style="121" width="5.7109375" collapsed="true"/>
    <col min="14" max="14" customWidth="true" style="121" width="10.42578125" collapsed="true"/>
    <col min="15" max="15" customWidth="true" style="121" width="3.85546875" collapsed="true"/>
    <col min="16" max="16" customWidth="true" style="121" width="16.140625" collapsed="true"/>
    <col min="17" max="17" customWidth="true" style="121" width="4.7109375" collapsed="true"/>
    <col min="18" max="18" customWidth="true" style="121" width="11.0" collapsed="true"/>
    <col min="19" max="19" customWidth="true" style="121" width="5.140625" collapsed="true"/>
    <col min="20" max="20" customWidth="true" style="121" width="12.7109375" collapsed="true"/>
    <col min="21" max="21" customWidth="true" style="121" width="2.28515625" collapsed="true"/>
    <col min="22" max="22" customWidth="true" style="121" width="7.85546875" collapsed="true"/>
    <col min="23" max="23" customWidth="true" style="121" width="5.28515625" collapsed="true"/>
    <col min="24" max="24" customWidth="true" style="121" width="10.140625" collapsed="true"/>
    <col min="25" max="25" customWidth="true" style="121" width="3.85546875" collapsed="true"/>
    <col min="26" max="26" customWidth="true" style="121" width="6.85546875" collapsed="true"/>
    <col min="27" max="27" customWidth="true" style="121" width="5.85546875" collapsed="true"/>
    <col min="28" max="28" customWidth="true" style="121" width="10.42578125" collapsed="true"/>
    <col min="29" max="29" customWidth="true" style="121" width="9.7109375" collapsed="true"/>
    <col min="30" max="30" customWidth="true" style="121" width="5.5703125" collapsed="true"/>
    <col min="31" max="31" style="121" width="9.140625" collapsed="true"/>
    <col min="32" max="33" customWidth="true" style="121" width="3.7109375" collapsed="true"/>
    <col min="34" max="16384" style="121" width="9.140625" collapsed="true"/>
  </cols>
  <sheetData>
    <row ht="18" r="1" spans="1:33" x14ac:dyDescent="0.25">
      <c r="A1" s="121" t="s">
        <v>2620</v>
      </c>
      <c r="B1" s="2724" t="s">
        <v>2778</v>
      </c>
      <c r="C1" s="661"/>
      <c r="D1" s="37"/>
      <c r="E1" s="37"/>
      <c r="F1" s="37"/>
      <c r="AD1" s="37"/>
      <c r="AE1" s="37"/>
      <c r="AF1" s="37"/>
      <c r="AG1" s="37"/>
    </row>
    <row r="2" spans="1:33" x14ac:dyDescent="0.2">
      <c r="A2" s="121" t="s">
        <v>2621</v>
      </c>
      <c r="G2" s="3028" t="s">
        <v>7394</v>
      </c>
      <c r="H2" s="3029"/>
      <c r="I2" s="3030"/>
      <c r="J2" s="3030"/>
      <c r="K2" s="3030"/>
      <c r="L2" s="3031"/>
      <c r="AD2" s="37"/>
      <c r="AE2" s="37"/>
      <c r="AF2" s="37"/>
      <c r="AG2" s="37"/>
    </row>
    <row r="3" spans="1:33" x14ac:dyDescent="0.2">
      <c r="A3" s="121" t="s">
        <v>2881</v>
      </c>
      <c r="B3" s="684" t="s">
        <v>2074</v>
      </c>
      <c r="L3" s="37"/>
      <c r="M3" s="37"/>
      <c r="AD3" s="37"/>
      <c r="AE3" s="37"/>
      <c r="AF3" s="37"/>
      <c r="AG3" s="37"/>
    </row>
    <row r="4" spans="1:33" x14ac:dyDescent="0.2">
      <c r="A4" s="121" t="s">
        <v>2622</v>
      </c>
      <c r="C4" s="684"/>
      <c r="F4" s="682" t="str">
        <f><![CDATA["Total all instances ("&EMP&EMP!C4&" + "&EMP&EMP!C10&")"]]></f>
        <v>Total all instances (EMP1 + EMP3)</v>
      </c>
      <c r="H4" s="94"/>
      <c r="AD4" s="37"/>
      <c r="AE4" s="37"/>
      <c r="AF4" s="37"/>
      <c r="AG4" s="37"/>
    </row>
    <row r="5" spans="1:33" x14ac:dyDescent="0.2">
      <c r="A5" s="121" t="s">
        <v>553</v>
      </c>
      <c r="B5" s="2691" t="s">
        <v>6975</v>
      </c>
      <c r="C5" s="36"/>
      <c r="E5" s="683" t="str">
        <f>A1</f>
        <v>c1.1</v>
      </c>
      <c r="F5" s="392">
        <f>EMP!S5+EMP!T5</f>
        <v>33254</v>
      </c>
      <c r="G5" s="999" t="s">
        <v>4948</v>
      </c>
      <c r="AD5" s="37"/>
      <c r="AE5" s="37"/>
      <c r="AF5" s="37"/>
      <c r="AG5" s="37"/>
    </row>
    <row r="6" spans="1:33" x14ac:dyDescent="0.2">
      <c r="A6" s="2810" t="s">
        <v>7078</v>
      </c>
      <c r="AD6" s="37"/>
      <c r="AE6" s="37"/>
      <c r="AF6" s="37"/>
      <c r="AG6" s="37"/>
    </row>
    <row r="7" spans="1:33" x14ac:dyDescent="0.2">
      <c r="A7" s="2810" t="s">
        <v>7079</v>
      </c>
      <c r="F7" s="682" t="str">
        <f>"Total all instances ("&amp;MOR&amp;MOR!C19&amp;")"</f>
        <v>Total all instances (MOR38)</v>
      </c>
      <c r="AD7" s="37"/>
      <c r="AE7" s="37"/>
      <c r="AF7" s="37"/>
      <c r="AG7" s="37"/>
    </row>
    <row r="8" spans="1:33" x14ac:dyDescent="0.2">
      <c r="A8" s="2810" t="s">
        <v>7080</v>
      </c>
      <c r="E8" s="683" t="str">
        <f>A2</f>
        <v>c1.2</v>
      </c>
      <c r="F8" s="392">
        <f>TRUNC(MOR!D20,0)</f>
        <v>0</v>
      </c>
      <c r="G8" s="999" t="s">
        <v>4949</v>
      </c>
      <c r="AD8" s="37"/>
      <c r="AE8" s="37"/>
      <c r="AF8" s="37"/>
      <c r="AG8" s="37"/>
    </row>
    <row r="9" spans="1:33" x14ac:dyDescent="0.2">
      <c r="A9" s="121" t="s">
        <v>554</v>
      </c>
      <c r="AD9" s="37"/>
      <c r="AE9" s="37"/>
      <c r="AF9" s="37"/>
      <c r="AG9" s="37"/>
    </row>
    <row r="10" spans="1:33" x14ac:dyDescent="0.2">
      <c r="A10" s="121" t="s">
        <v>555</v>
      </c>
      <c r="B10" s="36"/>
      <c r="C10" s="36"/>
      <c r="F10" s="682" t="str">
        <f>ASE&amp;ASE!C8&amp;" + "&amp;ASE&amp;ASE!C11</f>
        <v>ASE3 + ASE4</v>
      </c>
      <c r="H10" s="94"/>
      <c r="J10" s="38" t="str">
        <f>E5&amp;" + "&amp;E8&amp;" + "&amp;E11</f>
        <v>c1.1 + c1.2 + c1.3</v>
      </c>
      <c r="AE10" s="37"/>
      <c r="AF10" s="37"/>
      <c r="AG10" s="37"/>
    </row>
    <row r="11" spans="1:33" x14ac:dyDescent="0.2">
      <c r="A11" s="121" t="s">
        <v>3718</v>
      </c>
      <c r="B11" s="36" t="s">
        <v>7</v>
      </c>
      <c r="C11" s="36"/>
      <c r="E11" s="683" t="str">
        <f>A3</f>
        <v>c1.3</v>
      </c>
      <c r="F11" s="392">
        <f>TRUNC(ASE!D9+ASE!D12,0)</f>
        <v>0</v>
      </c>
      <c r="G11" s="933" t="s">
        <v>1743</v>
      </c>
      <c r="H11" s="94"/>
      <c r="I11" s="683" t="str">
        <f>A4</f>
        <v>c1.4</v>
      </c>
      <c r="J11" s="392">
        <f>F5+F8+F11</f>
        <v>33254</v>
      </c>
      <c r="AD11" s="37"/>
      <c r="AE11" s="37"/>
      <c r="AF11" s="37"/>
      <c r="AG11" s="37"/>
    </row>
    <row r="12" spans="1:33" x14ac:dyDescent="0.2">
      <c r="A12" s="121" t="s">
        <v>2882</v>
      </c>
      <c r="G12" s="94"/>
      <c r="H12" s="94"/>
      <c r="AD12" s="37"/>
      <c r="AE12" s="37"/>
      <c r="AF12" s="37"/>
      <c r="AG12" s="37"/>
    </row>
    <row r="13" spans="1:33" x14ac:dyDescent="0.2">
      <c r="A13" s="121" t="s">
        <v>3719</v>
      </c>
      <c r="B13" s="36" t="s">
        <v>6973</v>
      </c>
      <c r="C13" s="36"/>
      <c r="F13" s="684"/>
      <c r="J13" s="682" t="str">
        <f><![CDATA["Total all instances ("&EMP&EMP!C16&" to "&EMP&EMP!G25&")"]]></f>
        <v>Total all instances (EMP9 to EMP16)</v>
      </c>
      <c r="AD13" s="37"/>
      <c r="AE13" s="37"/>
      <c r="AF13" s="37"/>
      <c r="AG13" s="37"/>
    </row>
    <row r="14" spans="1:33" x14ac:dyDescent="0.2">
      <c r="A14" s="121" t="s">
        <v>3720</v>
      </c>
      <c r="F14" s="806"/>
      <c r="H14" s="682"/>
      <c r="I14" s="683" t="str">
        <f>A5</f>
        <v>c1.5</v>
      </c>
      <c r="J14" s="392">
        <f>EMP!S17+EMP!T17</f>
        <v>0</v>
      </c>
      <c r="K14" s="999" t="s">
        <v>4948</v>
      </c>
      <c r="N14" s="371"/>
      <c r="O14" s="371"/>
      <c r="AD14" s="37"/>
      <c r="AE14" s="37"/>
      <c r="AF14" s="37"/>
      <c r="AG14" s="37"/>
    </row>
    <row r="15" spans="1:33" x14ac:dyDescent="0.2">
      <c r="A15" s="121" t="s">
        <v>3721</v>
      </c>
      <c r="D15" s="2712" t="str">
        <f>"Complete "&amp;E16&amp;" to "&amp;E18&amp;" for each instance of employment"</f>
        <v>Complete c1.5a to c1.5c for each instance of employment</v>
      </c>
      <c r="E15" s="2712"/>
      <c r="F15" s="2712"/>
      <c r="G15" s="2712"/>
      <c r="H15" s="394"/>
      <c r="AD15" s="37"/>
      <c r="AE15" s="37"/>
      <c r="AF15" s="37"/>
      <c r="AG15" s="37"/>
    </row>
    <row r="16" spans="1:33" x14ac:dyDescent="0.2">
      <c r="A16" s="121" t="s">
        <v>3722</v>
      </c>
      <c r="B16" s="795"/>
      <c r="C16" s="795"/>
      <c r="D16" s="93" t="str">
        <f><![CDATA["("&EMP&EMP!C4&" + "&EMP&EMP!C10&") + ("&EMP&EMP!C16&" to "&EMP&EMP!G25&")"]]></f>
        <v>(EMP1 + EMP3) + (EMP9 to EMP16)</v>
      </c>
      <c r="E16" s="683" t="str">
        <f>A6</f>
        <v>c1.5a</v>
      </c>
      <c r="F16" s="392">
        <f>EMP!S5+EMP!S17</f>
        <v>33254</v>
      </c>
      <c r="G16" s="392">
        <f>EMP!T5+EMP!T17</f>
        <v>0</v>
      </c>
      <c r="H16" s="933" t="s">
        <v>1743</v>
      </c>
      <c r="AD16" s="37"/>
      <c r="AE16" s="37"/>
      <c r="AF16" s="37"/>
      <c r="AG16" s="37"/>
    </row>
    <row r="17" spans="1:33" x14ac:dyDescent="0.2">
      <c r="A17" s="121" t="s">
        <v>2641</v>
      </c>
      <c r="B17" s="795"/>
      <c r="C17" s="795"/>
      <c r="D17" s="2711" t="str">
        <f>"Total "&amp;EMP&amp;EMP!C30&amp;" to "&amp;EMP&amp;EMP!G33</f>
        <v>Total EMP17 to EMP20</v>
      </c>
      <c r="E17" s="683" t="str">
        <f>A7</f>
        <v>c1.5b</v>
      </c>
      <c r="F17" s="392">
        <f>EMP!S31</f>
        <v>0</v>
      </c>
      <c r="G17" s="392">
        <f>EMP!T31</f>
        <v>0</v>
      </c>
      <c r="H17" s="933" t="s">
        <v>3701</v>
      </c>
      <c r="AD17" s="37"/>
      <c r="AE17" s="37"/>
      <c r="AF17" s="37"/>
      <c r="AG17" s="37"/>
    </row>
    <row r="18" spans="1:33" x14ac:dyDescent="0.2">
      <c r="A18" s="121" t="s">
        <v>2642</v>
      </c>
      <c r="B18" s="795"/>
      <c r="C18" s="795"/>
      <c r="D18" s="93" t="str">
        <f>"lower of "&amp;E16&amp;" and "&amp;E17</f>
        <v>lower of c1.5a and c1.5b</v>
      </c>
      <c r="E18" s="683" t="str">
        <f>A8</f>
        <v>c1.5c</v>
      </c>
      <c r="F18" s="392">
        <f>MIN(F16,F17)</f>
        <v>0</v>
      </c>
      <c r="G18" s="392">
        <f>MIN(G16,G17)</f>
        <v>0</v>
      </c>
      <c r="AD18" s="37"/>
      <c r="AE18" s="37"/>
      <c r="AF18" s="37"/>
      <c r="AG18" s="37"/>
    </row>
    <row r="19" spans="1:33" x14ac:dyDescent="0.2">
      <c r="A19" s="121" t="s">
        <v>2643</v>
      </c>
      <c r="N19" s="371"/>
      <c r="O19" s="371"/>
      <c r="AD19" s="37"/>
      <c r="AE19" s="37"/>
      <c r="AF19" s="37"/>
      <c r="AG19" s="37"/>
    </row>
    <row r="20" spans="1:33" x14ac:dyDescent="0.2">
      <c r="A20" s="121" t="s">
        <v>2644</v>
      </c>
      <c r="B20" s="36" t="s">
        <v>6974</v>
      </c>
      <c r="C20" s="36"/>
      <c r="D20" s="93" t="str">
        <f>"Sum of all boxes "&amp;E18</f>
        <v>Sum of all boxes c1.5c</v>
      </c>
      <c r="E20" s="683" t="str">
        <f>A9</f>
        <v>c1.6</v>
      </c>
      <c r="F20" s="392">
        <f>F18+G18</f>
        <v>0</v>
      </c>
      <c r="G20" s="1803"/>
      <c r="H20" s="94"/>
      <c r="J20" s="38" t="str">
        <f>E20&amp;" + "&amp;E21</f>
        <v>c1.6 + c1.7</v>
      </c>
      <c r="AD20" s="37"/>
      <c r="AE20" s="37"/>
      <c r="AF20" s="37"/>
      <c r="AG20" s="37"/>
    </row>
    <row r="21" spans="1:33" x14ac:dyDescent="0.2">
      <c r="A21" s="121" t="s">
        <v>2883</v>
      </c>
      <c r="D21" s="682" t="str">
        <f>"Total all boxes "&amp;ASE&amp;ASE!G11&amp;" to "&amp;ASE&amp;ASE!G17</f>
        <v>Total all boxes ASE11 to ASE13</v>
      </c>
      <c r="E21" s="683" t="str">
        <f>A10</f>
        <v>c1.7</v>
      </c>
      <c r="F21" s="107">
        <f>TRUNC((ASE!H12+ASE!H15+ASE!H18)+0.99,0)</f>
        <v>0</v>
      </c>
      <c r="G21" s="933" t="s">
        <v>3701</v>
      </c>
      <c r="H21" s="38"/>
      <c r="I21" s="683" t="str">
        <f>A11</f>
        <v>c1.8</v>
      </c>
      <c r="J21" s="104">
        <f>F20+F21</f>
        <v>0</v>
      </c>
      <c r="N21" s="102"/>
      <c r="O21" s="102"/>
      <c r="AD21" s="37"/>
      <c r="AE21" s="37"/>
      <c r="AF21" s="37"/>
      <c r="AG21" s="37"/>
    </row>
    <row r="22" spans="1:33" x14ac:dyDescent="0.2">
      <c r="A22" s="121" t="s">
        <v>3292</v>
      </c>
      <c r="B22" s="36"/>
      <c r="C22" s="36"/>
      <c r="G22" s="121"/>
      <c r="H22" s="121"/>
      <c r="AD22" s="37"/>
      <c r="AE22" s="37"/>
      <c r="AF22" s="37"/>
      <c r="AG22" s="37"/>
    </row>
    <row r="23" spans="1:33" x14ac:dyDescent="0.2">
      <c r="A23" s="121" t="s">
        <v>3293</v>
      </c>
      <c r="J23" s="38" t="str">
        <f>"("&amp;I11&amp;" + "&amp;I14&amp;") minus "&amp;I21</f>
        <v>(c1.4 + c1.5) minus c1.8</v>
      </c>
      <c r="AD23" s="37"/>
      <c r="AE23" s="37"/>
      <c r="AF23" s="37"/>
      <c r="AG23" s="37"/>
    </row>
    <row r="24" spans="1:33" x14ac:dyDescent="0.2">
      <c r="A24" s="121" t="s">
        <v>3723</v>
      </c>
      <c r="B24" s="372" t="s">
        <v>2176</v>
      </c>
      <c r="C24" s="372"/>
      <c r="G24" s="121"/>
      <c r="H24" s="121"/>
      <c r="I24" s="683" t="str">
        <f>A12</f>
        <v>c1.9</v>
      </c>
      <c r="J24" s="370">
        <f>MAX(0,J11+J14-J21)</f>
        <v>33254</v>
      </c>
      <c r="AD24" s="37"/>
      <c r="AE24" s="37"/>
      <c r="AF24" s="37"/>
      <c r="AG24" s="37"/>
    </row>
    <row r="25" spans="1:33" x14ac:dyDescent="0.2">
      <c r="A25" s="121" t="s">
        <v>3724</v>
      </c>
      <c r="B25" s="685"/>
      <c r="C25" s="685"/>
      <c r="D25" s="685"/>
      <c r="E25" s="685"/>
      <c r="F25" s="685"/>
      <c r="G25" s="685"/>
      <c r="H25" s="685"/>
      <c r="I25" s="685"/>
      <c r="J25" s="685"/>
      <c r="K25" s="685"/>
      <c r="L25" s="685"/>
      <c r="M25" s="686"/>
      <c r="O25" s="371"/>
      <c r="AE25" s="37"/>
      <c r="AF25" s="37"/>
      <c r="AG25" s="37"/>
    </row>
    <row r="26" spans="1:33" x14ac:dyDescent="0.2">
      <c r="A26" s="121" t="s">
        <v>3725</v>
      </c>
      <c r="D26" s="380"/>
      <c r="G26" s="121"/>
      <c r="H26" s="121"/>
      <c r="AE26" s="37"/>
      <c r="AF26" s="37"/>
      <c r="AG26" s="37"/>
    </row>
    <row r="27" spans="1:33" x14ac:dyDescent="0.2">
      <c r="A27" s="121" t="s">
        <v>3726</v>
      </c>
      <c r="J27" s="688" t="str">
        <f>"from "&amp;ASE&amp;ASE!C5</f>
        <v>from ASE1</v>
      </c>
      <c r="AD27" s="37"/>
      <c r="AE27" s="37"/>
      <c r="AF27" s="37"/>
      <c r="AG27" s="37"/>
    </row>
    <row r="28" spans="1:33" x14ac:dyDescent="0.2">
      <c r="A28" s="121" t="s">
        <v>2612</v>
      </c>
      <c r="B28" s="687" t="s">
        <v>2171</v>
      </c>
      <c r="C28" s="687"/>
      <c r="D28" s="687"/>
      <c r="E28" s="684"/>
      <c r="F28" s="684"/>
      <c r="H28" s="688"/>
      <c r="I28" s="683" t="str">
        <f>A13</f>
        <v>c1.10</v>
      </c>
      <c r="J28" s="370">
        <f>TRUNC(ASE!D6,0)</f>
        <v>0</v>
      </c>
      <c r="K28" s="933" t="s">
        <v>1743</v>
      </c>
      <c r="N28" s="371"/>
      <c r="AD28" s="37"/>
      <c r="AE28" s="37"/>
      <c r="AF28" s="37"/>
      <c r="AG28" s="37"/>
    </row>
    <row r="29" spans="1:33" x14ac:dyDescent="0.2">
      <c r="A29" s="121" t="s">
        <v>2613</v>
      </c>
      <c r="B29" s="685"/>
      <c r="C29" s="685"/>
      <c r="D29" s="685"/>
      <c r="E29" s="685"/>
      <c r="F29" s="685"/>
      <c r="G29" s="685"/>
      <c r="H29" s="685"/>
      <c r="I29" s="685"/>
      <c r="J29" s="685"/>
      <c r="K29" s="685"/>
      <c r="L29" s="685"/>
      <c r="M29" s="686"/>
      <c r="AE29" s="37"/>
      <c r="AF29" s="37"/>
      <c r="AG29" s="37"/>
    </row>
    <row r="30" spans="1:33" x14ac:dyDescent="0.2">
      <c r="A30" s="121" t="s">
        <v>2614</v>
      </c>
      <c r="AE30" s="37"/>
      <c r="AF30" s="37"/>
      <c r="AG30" s="37"/>
    </row>
    <row customFormat="1" r="31" s="2712" spans="1:33" x14ac:dyDescent="0.2">
      <c r="A31" s="121" t="s">
        <v>2615</v>
      </c>
      <c r="B31" s="687" t="s">
        <v>2639</v>
      </c>
      <c r="G31" s="93"/>
      <c r="H31" s="93"/>
      <c r="AE31" s="37"/>
      <c r="AF31" s="37"/>
      <c r="AG31" s="37"/>
    </row>
    <row r="32" spans="1:33" x14ac:dyDescent="0.2">
      <c r="A32" s="121" t="s">
        <v>2616</v>
      </c>
      <c r="C32" s="687"/>
      <c r="F32" s="688" t="str">
        <f>"Total all instances ("&amp;SSE&amp;SE!C5&amp;")"</f>
        <v>Total all instances (SSE29)</v>
      </c>
      <c r="G32" s="121"/>
      <c r="H32" s="121"/>
      <c r="AE32" s="37"/>
      <c r="AF32" s="37"/>
      <c r="AG32" s="37"/>
    </row>
    <row r="33" spans="1:33" x14ac:dyDescent="0.2">
      <c r="A33" s="121" t="s">
        <v>2617</v>
      </c>
      <c r="B33" s="372" t="s">
        <v>4349</v>
      </c>
      <c r="C33" s="372"/>
      <c r="D33" s="93"/>
      <c r="E33" s="683" t="str">
        <f>A14</f>
        <v>c1.11</v>
      </c>
      <c r="F33" s="370">
        <f>TRUNC(SE!D6+0.99,0)</f>
        <v>0</v>
      </c>
      <c r="G33" s="1057" t="s">
        <v>4446</v>
      </c>
      <c r="H33" s="94"/>
      <c r="I33" s="372"/>
      <c r="AE33" s="37"/>
      <c r="AF33" s="37"/>
      <c r="AG33" s="37"/>
    </row>
    <row r="34" spans="1:33" x14ac:dyDescent="0.2">
      <c r="A34" s="121" t="s">
        <v>3294</v>
      </c>
      <c r="F34" s="93" t="str">
        <f>"Copy to "&amp;'Deductions (c4)'!Q30</f>
        <v>Copy to c4.5</v>
      </c>
      <c r="G34" s="121"/>
      <c r="AE34" s="37"/>
      <c r="AF34" s="37"/>
      <c r="AG34" s="37"/>
    </row>
    <row customFormat="1" r="35" s="2303" spans="1:33" x14ac:dyDescent="0.2">
      <c r="A35" s="121" t="s">
        <v>2618</v>
      </c>
      <c r="H35" s="93"/>
      <c r="AE35" s="37"/>
      <c r="AF35" s="37"/>
      <c r="AG35" s="37"/>
    </row>
    <row r="36" spans="1:33" x14ac:dyDescent="0.2">
      <c r="A36" s="121" t="s">
        <v>2619</v>
      </c>
      <c r="F36" s="688" t="str">
        <f>"Total all instances ("&amp;SSE&amp;SE!C8&amp;")"</f>
        <v>Total all instances (SSE31)</v>
      </c>
      <c r="G36" s="121"/>
      <c r="J36" s="93" t="str">
        <f>E37&amp;" + "&amp;E33</f>
        <v>c1.12 + c1.11</v>
      </c>
      <c r="AE36" s="37"/>
      <c r="AF36" s="37"/>
      <c r="AG36" s="37"/>
    </row>
    <row r="37" spans="1:33" x14ac:dyDescent="0.2">
      <c r="A37" s="121" t="s">
        <v>3420</v>
      </c>
      <c r="B37" s="121" t="s">
        <v>6976</v>
      </c>
      <c r="D37" s="93"/>
      <c r="E37" s="683" t="str">
        <f>A15</f>
        <v>c1.12</v>
      </c>
      <c r="F37" s="370">
        <f>TRUNC(SE!D9,0)</f>
        <v>0</v>
      </c>
      <c r="G37" s="1057" t="s">
        <v>4451</v>
      </c>
      <c r="I37" s="683" t="str">
        <f>A16</f>
        <v>c1.13</v>
      </c>
      <c r="J37" s="370">
        <f>MAX(F37+F33,0)</f>
        <v>0</v>
      </c>
      <c r="AE37" s="37"/>
      <c r="AF37" s="37"/>
      <c r="AG37" s="37"/>
    </row>
    <row r="38" spans="1:33" x14ac:dyDescent="0.2">
      <c r="A38" s="121" t="s">
        <v>2780</v>
      </c>
      <c r="G38" s="121"/>
      <c r="AE38" s="37"/>
      <c r="AF38" s="37"/>
      <c r="AG38" s="37"/>
    </row>
    <row r="39" spans="1:33" x14ac:dyDescent="0.2">
      <c r="A39" s="121" t="s">
        <v>1136</v>
      </c>
      <c r="F39" s="688" t="str">
        <f>"Total all instances ("&amp;FSE&amp;SE!G11&amp;")"</f>
        <v>Total all instances (FSE74)</v>
      </c>
      <c r="G39" s="121"/>
      <c r="AE39" s="37"/>
      <c r="AF39" s="37"/>
      <c r="AG39" s="37"/>
    </row>
    <row r="40" spans="1:33" x14ac:dyDescent="0.2">
      <c r="A40" s="121" t="s">
        <v>2786</v>
      </c>
      <c r="B40" s="372" t="s">
        <v>4349</v>
      </c>
      <c r="D40" s="93"/>
      <c r="E40" s="683" t="str">
        <f>A17</f>
        <v>c1.14</v>
      </c>
      <c r="F40" s="370">
        <f>TRUNC(SE!H12+0.99,0)</f>
        <v>0</v>
      </c>
      <c r="G40" s="1057" t="s">
        <v>4447</v>
      </c>
      <c r="AD40" s="371"/>
    </row>
    <row r="41" spans="1:33" x14ac:dyDescent="0.2">
      <c r="A41" s="121" t="s">
        <v>4341</v>
      </c>
      <c r="F41" s="93" t="str">
        <f>"Copy to "&amp;'Deductions (c4)'!Q41</f>
        <v>Copy to c4.7</v>
      </c>
      <c r="G41" s="121"/>
      <c r="AD41" s="372"/>
    </row>
    <row customFormat="1" r="42" s="2303" spans="1:33" x14ac:dyDescent="0.2">
      <c r="A42" s="121" t="s">
        <v>4342</v>
      </c>
      <c r="H42" s="93"/>
      <c r="AD42" s="372"/>
    </row>
    <row r="43" spans="1:33" x14ac:dyDescent="0.2">
      <c r="A43" s="121" t="s">
        <v>4343</v>
      </c>
      <c r="F43" s="688" t="str">
        <f>"Total all instances ("&amp;FSE&amp;SE!G14&amp;")"</f>
        <v>Total all instances (FSE76)</v>
      </c>
      <c r="G43" s="121"/>
      <c r="J43" s="93" t="str">
        <f>E44&amp;" + "&amp;E40</f>
        <v>c1.15 + c1.14</v>
      </c>
    </row>
    <row r="44" spans="1:33" x14ac:dyDescent="0.2">
      <c r="A44" s="121" t="s">
        <v>4344</v>
      </c>
      <c r="B44" s="121" t="s">
        <v>6976</v>
      </c>
      <c r="D44" s="93"/>
      <c r="E44" s="683" t="str">
        <f>A18</f>
        <v>c1.15</v>
      </c>
      <c r="F44" s="370">
        <f>TRUNC(SE!H15,0)</f>
        <v>14190</v>
      </c>
      <c r="G44" s="1057" t="s">
        <v>4452</v>
      </c>
      <c r="H44" s="94"/>
      <c r="I44" s="683" t="str">
        <f>A19</f>
        <v>c1.16</v>
      </c>
      <c r="J44" s="370">
        <f>MAX(F44+F40,0)</f>
        <v>14190</v>
      </c>
      <c r="M44" s="102"/>
      <c r="AD44" s="372"/>
    </row>
    <row r="45" spans="1:33" x14ac:dyDescent="0.2">
      <c r="A45" s="121" t="s">
        <v>4345</v>
      </c>
      <c r="AD45" s="372"/>
    </row>
    <row r="46" spans="1:33" x14ac:dyDescent="0.2">
      <c r="A46" s="121" t="s">
        <v>4346</v>
      </c>
      <c r="J46" s="93" t="str">
        <f>I37&amp;" + "&amp;I44</f>
        <v>c1.13 + c1.16</v>
      </c>
    </row>
    <row r="47" spans="1:33" x14ac:dyDescent="0.2">
      <c r="A47" s="121" t="s">
        <v>4347</v>
      </c>
      <c r="B47" s="121" t="s">
        <v>4352</v>
      </c>
      <c r="I47" s="683" t="str">
        <f>A20</f>
        <v>c1.17</v>
      </c>
      <c r="J47" s="370">
        <f>J37+J44</f>
        <v>14190</v>
      </c>
      <c r="AD47" s="372"/>
    </row>
    <row r="48" spans="1:33" x14ac:dyDescent="0.2">
      <c r="A48" s="121" t="s">
        <v>4348</v>
      </c>
      <c r="B48" s="685"/>
      <c r="C48" s="685"/>
      <c r="D48" s="685"/>
      <c r="E48" s="685"/>
      <c r="F48" s="685"/>
      <c r="G48" s="685"/>
      <c r="H48" s="685"/>
      <c r="I48" s="685"/>
      <c r="J48" s="685"/>
      <c r="K48" s="685"/>
      <c r="L48" s="685"/>
      <c r="M48" s="686"/>
      <c r="AD48" s="372"/>
    </row>
    <row r="49" spans="1:30" x14ac:dyDescent="0.2">
      <c r="A49" s="121" t="s">
        <v>4353</v>
      </c>
    </row>
    <row r="50" spans="1:30" x14ac:dyDescent="0.2">
      <c r="A50" s="121" t="s">
        <v>4354</v>
      </c>
      <c r="B50" s="687" t="s">
        <v>3295</v>
      </c>
      <c r="F50" s="689" t="str">
        <f>"from "&amp;LUN&amp;LUN!K4</f>
        <v>from LUN51</v>
      </c>
      <c r="AD50" s="372"/>
    </row>
    <row r="51" spans="1:30" x14ac:dyDescent="0.2">
      <c r="A51" s="121" t="s">
        <v>4355</v>
      </c>
      <c r="B51" s="372" t="s">
        <v>4349</v>
      </c>
      <c r="C51" s="687"/>
      <c r="E51" s="683" t="str">
        <f>A21</f>
        <v>c1.18</v>
      </c>
      <c r="F51" s="370">
        <f>TRUNC(LUN!L5+0.99,0)</f>
        <v>0</v>
      </c>
      <c r="G51" s="1057" t="s">
        <v>3701</v>
      </c>
      <c r="L51" s="102"/>
    </row>
    <row customFormat="1" r="52" s="2303" spans="1:30" x14ac:dyDescent="0.2">
      <c r="A52" s="121" t="s">
        <v>4356</v>
      </c>
      <c r="B52" s="372"/>
      <c r="C52" s="687"/>
      <c r="E52" s="687"/>
      <c r="F52" s="93" t="str">
        <f>"Copy to "&amp;'Deductions (c4)'!Q129</f>
        <v>Copy to c4.35</v>
      </c>
      <c r="G52" s="1057"/>
      <c r="H52" s="93"/>
      <c r="L52" s="102"/>
    </row>
    <row r="53" spans="1:30" x14ac:dyDescent="0.2">
      <c r="A53" s="121" t="s">
        <v>4357</v>
      </c>
      <c r="G53" s="121"/>
    </row>
    <row r="54" spans="1:30" x14ac:dyDescent="0.2">
      <c r="A54" s="121" t="s">
        <v>4358</v>
      </c>
      <c r="F54" s="688" t="str">
        <f>"from "&amp;LUN&amp;LUN!K7</f>
        <v>from LUN52</v>
      </c>
      <c r="G54" s="121"/>
      <c r="J54" s="93" t="str">
        <f>E55&amp;" + "&amp;E51</f>
        <v>c1.19 + c1.18</v>
      </c>
    </row>
    <row r="55" spans="1:30" x14ac:dyDescent="0.2">
      <c r="A55" s="121" t="s">
        <v>4371</v>
      </c>
      <c r="B55" s="121" t="s">
        <v>6976</v>
      </c>
      <c r="E55" s="683" t="str">
        <f>A22</f>
        <v>c1.19</v>
      </c>
      <c r="F55" s="370">
        <f>TRUNC(LUN!L8,0)</f>
        <v>0</v>
      </c>
      <c r="G55" s="1057" t="s">
        <v>1743</v>
      </c>
      <c r="I55" s="683" t="str">
        <f>A23</f>
        <v>c1.20</v>
      </c>
      <c r="J55" s="370">
        <f>MAX(F55+F51,0)</f>
        <v>0</v>
      </c>
    </row>
    <row r="56" spans="1:30" x14ac:dyDescent="0.2">
      <c r="A56" s="121" t="s">
        <v>4372</v>
      </c>
      <c r="B56" s="685"/>
      <c r="C56" s="685"/>
      <c r="D56" s="685"/>
      <c r="E56" s="685"/>
      <c r="F56" s="685"/>
      <c r="G56" s="685"/>
      <c r="H56" s="685"/>
      <c r="I56" s="685"/>
      <c r="J56" s="685"/>
      <c r="K56" s="685"/>
      <c r="L56" s="685"/>
      <c r="M56" s="686"/>
    </row>
    <row r="57" spans="1:30" x14ac:dyDescent="0.2">
      <c r="A57" s="121" t="s">
        <v>4373</v>
      </c>
      <c r="B57" s="372"/>
      <c r="C57" s="372"/>
      <c r="G57" s="121"/>
      <c r="H57" s="121"/>
    </row>
    <row r="58" spans="1:30" x14ac:dyDescent="0.2">
      <c r="A58" s="121" t="s">
        <v>4374</v>
      </c>
      <c r="B58" s="687" t="s">
        <v>1488</v>
      </c>
      <c r="C58" s="687"/>
      <c r="F58" s="688" t="str">
        <f>"Total all instances ("&amp;SPS&amp;PS!C10&amp;")"</f>
        <v>Total all instances (SPS17)</v>
      </c>
      <c r="G58" s="121"/>
      <c r="H58" s="121"/>
      <c r="O58" s="371"/>
    </row>
    <row r="59" spans="1:30" x14ac:dyDescent="0.2">
      <c r="A59" s="121" t="s">
        <v>4375</v>
      </c>
      <c r="B59" s="372" t="s">
        <v>4349</v>
      </c>
      <c r="C59" s="372"/>
      <c r="E59" s="683" t="str">
        <f>A24</f>
        <v>c1.21</v>
      </c>
      <c r="F59" s="370">
        <f>TRUNC(PS!D11+0.99,0)</f>
        <v>0</v>
      </c>
      <c r="G59" s="1057" t="s">
        <v>4448</v>
      </c>
      <c r="H59" s="94"/>
      <c r="I59" s="372"/>
      <c r="K59" s="372"/>
      <c r="M59" s="371"/>
    </row>
    <row r="60" spans="1:30" x14ac:dyDescent="0.2">
      <c r="A60" s="121" t="s">
        <v>6894</v>
      </c>
      <c r="G60" s="121"/>
      <c r="N60" s="371"/>
      <c r="O60" s="116"/>
    </row>
    <row customFormat="1" r="61" s="2303" spans="1:30" x14ac:dyDescent="0.2">
      <c r="A61" s="121" t="s">
        <v>4376</v>
      </c>
      <c r="H61" s="93"/>
      <c r="N61" s="371"/>
      <c r="O61" s="116"/>
    </row>
    <row r="62" spans="1:30" x14ac:dyDescent="0.2">
      <c r="A62" s="121" t="s">
        <v>4587</v>
      </c>
      <c r="F62" s="688" t="str">
        <f>"Total all instances ("&amp;SPS&amp;PS!C13&amp;")"</f>
        <v>Total all instances (SPS20)</v>
      </c>
      <c r="G62" s="121"/>
      <c r="J62" s="93" t="str">
        <f>E63&amp;" + "&amp;E59</f>
        <v>c1.22 + c1.21</v>
      </c>
      <c r="O62" s="116"/>
    </row>
    <row r="63" spans="1:30" x14ac:dyDescent="0.2">
      <c r="B63" s="121" t="s">
        <v>6977</v>
      </c>
      <c r="E63" s="683" t="str">
        <f>A25</f>
        <v>c1.22</v>
      </c>
      <c r="F63" s="370">
        <f>TRUNC(PS!D14,0)</f>
        <v>0</v>
      </c>
      <c r="G63" s="1057" t="s">
        <v>4453</v>
      </c>
      <c r="I63" s="683" t="str">
        <f>A26</f>
        <v>c1.23</v>
      </c>
      <c r="J63" s="370">
        <f>MAX(F63+F59,0)</f>
        <v>0</v>
      </c>
    </row>
    <row r="64" spans="1:30" x14ac:dyDescent="0.2">
      <c r="G64" s="121"/>
    </row>
    <row r="65" spans="1:13" x14ac:dyDescent="0.2">
      <c r="F65" s="688" t="str">
        <f><![CDATA["Total all instances ("&FPS&PS!J4&" + "&FPS&PS!G19&" + "&FPS&PS!G28&" + "&FPS&PS!G31&")"]]></f>
        <v>Total all instances (FPS17 + FPS38 + FPS47 + FPS58)</v>
      </c>
      <c r="G65" s="121"/>
    </row>
    <row r="66" spans="1:13" x14ac:dyDescent="0.2">
      <c r="B66" s="372" t="s">
        <v>4349</v>
      </c>
      <c r="E66" s="683" t="str">
        <f>A27</f>
        <v>c1.24</v>
      </c>
      <c r="F66" s="370">
        <f>TRUNC(PS!K5+0.99,0)+TRUNC(PS!H20+0.99,0)+TRUNC(PS!H29+0.99,0)+TRUNC(PS!H32+0.99,0)</f>
        <v>0</v>
      </c>
      <c r="G66" s="1057" t="s">
        <v>4449</v>
      </c>
      <c r="H66" s="94"/>
      <c r="K66" s="371"/>
    </row>
    <row r="67" spans="1:13" x14ac:dyDescent="0.2">
      <c r="F67" s="93" t="str">
        <f>"Copy to "&amp;'Deductions (c4)'!Q82</f>
        <v>Copy to c4.19</v>
      </c>
      <c r="G67" s="121"/>
    </row>
    <row customFormat="1" r="68" s="2303" spans="1:13" x14ac:dyDescent="0.2">
      <c r="A68" s="121"/>
      <c r="F68" s="93"/>
      <c r="H68" s="93"/>
    </row>
    <row r="69" spans="1:13" x14ac:dyDescent="0.2">
      <c r="F69" s="688" t="str">
        <f>"Total all instances ("&amp;FPS&amp;PS!G43&amp;")"</f>
        <v>Total all instances (FPS76)</v>
      </c>
      <c r="G69" s="121"/>
      <c r="J69" s="93" t="str">
        <f>E70&amp;" + "&amp;E66</f>
        <v>c1.25 + c1.24</v>
      </c>
    </row>
    <row r="70" spans="1:13" x14ac:dyDescent="0.2">
      <c r="A70" s="2303"/>
      <c r="B70" s="121" t="s">
        <v>6977</v>
      </c>
      <c r="E70" s="683" t="str">
        <f>A28</f>
        <v>c1.25</v>
      </c>
      <c r="F70" s="370">
        <f>TRUNC(PS!H44,0)</f>
        <v>0</v>
      </c>
      <c r="G70" s="1057" t="s">
        <v>4454</v>
      </c>
      <c r="I70" s="683" t="str">
        <f>A29</f>
        <v>c1.26</v>
      </c>
      <c r="J70" s="370">
        <f>MAX(F70+F66,0)</f>
        <v>0</v>
      </c>
    </row>
    <row r="71" spans="1:13" x14ac:dyDescent="0.2">
      <c r="G71" s="121"/>
    </row>
    <row r="72" spans="1:13" x14ac:dyDescent="0.2">
      <c r="J72" s="93" t="str">
        <f>I63&amp;" + "&amp;I70</f>
        <v>c1.23 + c1.26</v>
      </c>
    </row>
    <row r="73" spans="1:13" x14ac:dyDescent="0.2">
      <c r="B73" s="121" t="s">
        <v>4350</v>
      </c>
      <c r="I73" s="683" t="str">
        <f>A30</f>
        <v>c1.27</v>
      </c>
      <c r="J73" s="370">
        <f>J63+J70</f>
        <v>0</v>
      </c>
    </row>
    <row r="74" spans="1:13" x14ac:dyDescent="0.2">
      <c r="B74" s="685"/>
      <c r="C74" s="685"/>
      <c r="D74" s="685"/>
      <c r="E74" s="685"/>
      <c r="F74" s="685"/>
      <c r="G74" s="685"/>
      <c r="H74" s="685"/>
      <c r="I74" s="685"/>
      <c r="J74" s="685"/>
      <c r="K74" s="685"/>
      <c r="L74" s="685"/>
      <c r="M74" s="686"/>
    </row>
    <row r="75" spans="1:13" x14ac:dyDescent="0.2">
      <c r="G75" s="121"/>
      <c r="H75" s="121"/>
      <c r="L75" s="102"/>
    </row>
    <row r="76" spans="1:13" x14ac:dyDescent="0.2">
      <c r="B76" s="687" t="s">
        <v>2601</v>
      </c>
      <c r="C76" s="687"/>
      <c r="K76" s="933"/>
    </row>
    <row r="77" spans="1:13" x14ac:dyDescent="0.2">
      <c r="B77" s="687" t="s">
        <v>4408</v>
      </c>
      <c r="F77" s="688" t="str">
        <f><![CDATA["Total all instances (lower of "&PRO&PRO!C7&" and "&PRO&PRO!C10&")"]]></f>
        <v>Total all instances (lower of PRO13 and PRO14)</v>
      </c>
    </row>
    <row r="78" spans="1:13" x14ac:dyDescent="0.2">
      <c r="B78" s="372" t="s">
        <v>5231</v>
      </c>
      <c r="E78" s="683" t="str">
        <f>A31</f>
        <v>c1.28</v>
      </c>
      <c r="F78" s="370">
        <f>MAX(0,MIN(TRUNC(PRO!D8,0),TRUNC(PRO!D11+0.99,0)))+MAX(0,MIN(TRUNC(PRO!D15,0),TRUNC(PRO!D18+0.99,0)))</f>
        <v>0</v>
      </c>
      <c r="G78" s="1057" t="s">
        <v>4450</v>
      </c>
    </row>
    <row r="79" spans="1:13" x14ac:dyDescent="0.2">
      <c r="F79" s="93" t="str">
        <f>"Copy to "&amp;'Deductions (c4)'!Q108</f>
        <v>Copy to c4.27</v>
      </c>
      <c r="G79" s="121"/>
    </row>
    <row customFormat="1" r="80" s="2303" spans="1:13" x14ac:dyDescent="0.2">
      <c r="A80" s="121"/>
      <c r="H80" s="93"/>
    </row>
    <row r="81" spans="1:13" x14ac:dyDescent="0.2">
      <c r="F81" s="688" t="str">
        <f>"Total all instances ("&amp;PRO&amp;PRO!G10&amp;")"</f>
        <v>Total all instances (PRO15)</v>
      </c>
      <c r="G81" s="121"/>
      <c r="J81" s="93" t="str">
        <f>E82&amp;" + "&amp;E78</f>
        <v>c1.29 + c1.28</v>
      </c>
    </row>
    <row r="82" spans="1:13" x14ac:dyDescent="0.2">
      <c r="A82" s="2303"/>
      <c r="B82" s="121" t="s">
        <v>6978</v>
      </c>
      <c r="E82" s="683" t="str">
        <f>A32</f>
        <v>c1.29</v>
      </c>
      <c r="F82" s="370">
        <f>TRUNC(PRO!H11,0)+TRUNC(PRO!H18,0)</f>
        <v>0</v>
      </c>
      <c r="G82" s="1057" t="s">
        <v>4477</v>
      </c>
      <c r="I82" s="683" t="str">
        <f>A33</f>
        <v>c1.30</v>
      </c>
      <c r="J82" s="370">
        <f>MAX(F82+F78,0)</f>
        <v>0</v>
      </c>
    </row>
    <row customFormat="1" r="84" s="2712" spans="1:13" x14ac:dyDescent="0.2">
      <c r="A84" s="121"/>
      <c r="B84" s="687" t="s">
        <v>4409</v>
      </c>
      <c r="G84" s="93"/>
      <c r="H84" s="93"/>
    </row>
    <row r="85" spans="1:13" x14ac:dyDescent="0.2">
      <c r="F85" s="689" t="str">
        <f>"lower of "&amp;PRO&amp;PRO!G27&amp;" and "&amp;PRO&amp;PRO!G30</f>
        <v>lower of PRO38 and PRO39</v>
      </c>
    </row>
    <row r="86" spans="1:13" x14ac:dyDescent="0.2">
      <c r="B86" s="372" t="s">
        <v>5231</v>
      </c>
      <c r="E86" s="683" t="str">
        <f>A34</f>
        <v>c1.31</v>
      </c>
      <c r="F86" s="370">
        <f>MAX(0,MIN(TRUNC(PRO!H28,0),TRUNC(PRO!H31+0.99,0)))</f>
        <v>0</v>
      </c>
      <c r="G86" s="1057" t="s">
        <v>3701</v>
      </c>
    </row>
    <row r="87" spans="1:13" x14ac:dyDescent="0.2">
      <c r="A87" s="2712"/>
      <c r="F87" s="93" t="str">
        <f>"Copy to "&amp;'Deductions (c4)'!Q111</f>
        <v>Copy to c4.28</v>
      </c>
      <c r="G87" s="121"/>
    </row>
    <row customFormat="1" r="88" s="2303" spans="1:13" x14ac:dyDescent="0.2">
      <c r="A88" s="121"/>
      <c r="F88" s="93"/>
      <c r="H88" s="93"/>
    </row>
    <row r="89" spans="1:13" x14ac:dyDescent="0.2">
      <c r="F89" s="689" t="str">
        <f>"from "&amp;PRO&amp;PRO!G33</f>
        <v>from PRO40</v>
      </c>
      <c r="G89" s="121"/>
      <c r="J89" s="93" t="str">
        <f>E90&amp;" + "&amp;E86</f>
        <v>c1.32 + c1.31</v>
      </c>
    </row>
    <row r="90" spans="1:13" x14ac:dyDescent="0.2">
      <c r="A90" s="2303"/>
      <c r="B90" s="121" t="s">
        <v>6978</v>
      </c>
      <c r="E90" s="683" t="str">
        <f>A35</f>
        <v>c1.32</v>
      </c>
      <c r="F90" s="370">
        <f>TRUNC(PRO!H34,0)</f>
        <v>0</v>
      </c>
      <c r="G90" s="1057" t="s">
        <v>1743</v>
      </c>
      <c r="I90" s="683" t="str">
        <f>A36</f>
        <v>c1.33</v>
      </c>
      <c r="J90" s="370">
        <f>MAX(F90+F86,0)</f>
        <v>0</v>
      </c>
    </row>
    <row r="92" spans="1:13" x14ac:dyDescent="0.2">
      <c r="J92" s="93" t="str">
        <f>I82&amp;" + "&amp;I90</f>
        <v>c1.30 + c1.33</v>
      </c>
    </row>
    <row r="93" spans="1:13" x14ac:dyDescent="0.2">
      <c r="B93" s="121" t="s">
        <v>2601</v>
      </c>
      <c r="I93" s="683" t="str">
        <f>A37</f>
        <v>c1.34</v>
      </c>
      <c r="J93" s="370">
        <f>J82+J90</f>
        <v>0</v>
      </c>
    </row>
    <row r="94" spans="1:13" x14ac:dyDescent="0.2">
      <c r="B94" s="685"/>
      <c r="C94" s="685"/>
      <c r="D94" s="685"/>
      <c r="E94" s="685"/>
      <c r="F94" s="685"/>
      <c r="G94" s="685"/>
      <c r="H94" s="685"/>
      <c r="I94" s="685"/>
      <c r="J94" s="685"/>
      <c r="K94" s="685"/>
      <c r="L94" s="685"/>
      <c r="M94" s="686"/>
    </row>
    <row customFormat="1" r="96" s="2712" spans="1:13" x14ac:dyDescent="0.2">
      <c r="A96" s="121"/>
      <c r="B96" s="687" t="s">
        <v>1370</v>
      </c>
      <c r="G96" s="93"/>
      <c r="H96" s="93"/>
    </row>
    <row r="97" spans="1:13" x14ac:dyDescent="0.2">
      <c r="C97" s="687"/>
      <c r="H97" s="121"/>
      <c r="J97" s="682" t="str">
        <f><![CDATA[FOR&FOR!G28&" + "&FOR&FOR!G34&" + "&FOR&FOR!K33&" + "&FOR&FOR!K36]]></f>
        <v>FOR9 + FOR13 + FOR41 + FOR42</v>
      </c>
    </row>
    <row r="98" spans="1:13" x14ac:dyDescent="0.2">
      <c r="B98" s="121" t="s">
        <v>4585</v>
      </c>
      <c r="H98" s="121"/>
      <c r="I98" s="683" t="str">
        <f>A38</f>
        <v>c1.35</v>
      </c>
      <c r="J98" s="370">
        <f>TRUNC(FOR!H29,0)+TRUNC(FOR!H35,0)+TRUNC(FOR!L34,0)+TRUNC(FOR!L37,0)</f>
        <v>0</v>
      </c>
      <c r="K98" s="933" t="s">
        <v>1743</v>
      </c>
    </row>
    <row r="99" spans="1:13" x14ac:dyDescent="0.2">
      <c r="A99" s="2712"/>
    </row>
    <row r="100" spans="1:13" x14ac:dyDescent="0.2">
      <c r="B100" s="121" t="s">
        <v>4337</v>
      </c>
      <c r="F100" s="689" t="str">
        <f>"from "&amp;FOR&amp;FOR!K10</f>
        <v>from FOR26</v>
      </c>
    </row>
    <row r="101" spans="1:13" x14ac:dyDescent="0.2">
      <c r="B101" s="372" t="s">
        <v>4349</v>
      </c>
      <c r="E101" s="683" t="str">
        <f>A39</f>
        <v>c1.36</v>
      </c>
      <c r="F101" s="370">
        <f>TRUNC(FOR!L11+0.99,0)</f>
        <v>0</v>
      </c>
      <c r="G101" s="1057" t="s">
        <v>3701</v>
      </c>
    </row>
    <row r="102" spans="1:13" x14ac:dyDescent="0.2">
      <c r="G102" s="121"/>
    </row>
    <row r="103" spans="1:13" x14ac:dyDescent="0.2">
      <c r="F103" s="689" t="str">
        <f>"from "&amp;FOR&amp;FOR!O15</f>
        <v>from FOR30</v>
      </c>
      <c r="G103" s="121"/>
    </row>
    <row r="104" spans="1:13" x14ac:dyDescent="0.2">
      <c r="B104" s="372" t="s">
        <v>6979</v>
      </c>
      <c r="C104" s="372"/>
      <c r="E104" s="683" t="str">
        <f>A40</f>
        <v>c1.37</v>
      </c>
      <c r="F104" s="370">
        <f>TRUNC(FOR!P16,0)</f>
        <v>0</v>
      </c>
      <c r="G104" s="1057" t="s">
        <v>1743</v>
      </c>
    </row>
    <row r="105" spans="1:13" x14ac:dyDescent="0.2">
      <c r="B105" s="37"/>
      <c r="C105" s="37"/>
      <c r="D105" s="37"/>
      <c r="G105" s="37"/>
      <c r="H105" s="37"/>
      <c r="I105" s="37"/>
      <c r="J105" s="37"/>
      <c r="K105" s="37"/>
      <c r="L105" s="37"/>
      <c r="M105" s="372"/>
    </row>
    <row r="106" spans="1:13" x14ac:dyDescent="0.2">
      <c r="B106" s="37"/>
      <c r="C106" s="37"/>
      <c r="D106" s="37"/>
      <c r="E106" s="37"/>
      <c r="F106" s="689" t="str">
        <f>"from "&amp;FOR&amp;FOR!K19</f>
        <v>from FOR31</v>
      </c>
      <c r="G106" s="38"/>
      <c r="H106" s="38"/>
      <c r="I106" s="37"/>
      <c r="J106" s="37"/>
      <c r="K106" s="37"/>
      <c r="L106" s="37"/>
      <c r="M106" s="37"/>
    </row>
    <row r="107" spans="1:13" x14ac:dyDescent="0.2">
      <c r="B107" s="121" t="s">
        <v>4132</v>
      </c>
      <c r="E107" s="683" t="str">
        <f>A41</f>
        <v>c1.38</v>
      </c>
      <c r="F107" s="370">
        <f>TRUNC(FOR!L20+0.99,0)</f>
        <v>0</v>
      </c>
      <c r="G107" s="1057" t="s">
        <v>3701</v>
      </c>
    </row>
    <row r="109" spans="1:13" x14ac:dyDescent="0.2">
      <c r="F109" s="689" t="str">
        <f>"from "&amp;FOR&amp;FOR!O19</f>
        <v>from FOR32</v>
      </c>
    </row>
    <row r="110" spans="1:13" x14ac:dyDescent="0.2">
      <c r="B110" s="121" t="s">
        <v>4588</v>
      </c>
      <c r="E110" s="683" t="str">
        <f>A42</f>
        <v>c1.39</v>
      </c>
      <c r="F110" s="370">
        <f>TRUNC(FOR!P20+0.99,0)</f>
        <v>0</v>
      </c>
      <c r="G110" s="1057" t="s">
        <v>3701</v>
      </c>
    </row>
    <row r="112" spans="1:13" x14ac:dyDescent="0.2">
      <c r="J112" s="93" t="str">
        <f><![CDATA[E104&" + "&E101&" minus ("&E107&" + "&E110&")"]]></f>
        <v>c1.37 + c1.36 minus (c1.38 + c1.39)</v>
      </c>
    </row>
    <row r="113" spans="1:16" x14ac:dyDescent="0.2">
      <c r="B113" s="121" t="s">
        <v>6317</v>
      </c>
      <c r="I113" s="683" t="str">
        <f>A43</f>
        <v>c1.40</v>
      </c>
      <c r="J113" s="370">
        <f>MAX(F104+F101-(F107+F110),0)</f>
        <v>0</v>
      </c>
    </row>
    <row r="115" spans="1:16" x14ac:dyDescent="0.2">
      <c r="B115" s="687" t="s">
        <v>4139</v>
      </c>
      <c r="C115" s="687"/>
    </row>
    <row r="116" spans="1:16" x14ac:dyDescent="0.2">
      <c r="B116" s="687" t="s">
        <v>113</v>
      </c>
      <c r="C116" s="687"/>
      <c r="D116" s="93" t="str">
        <f>"If "&amp;NRD&amp;NRD!H5&amp;" = Y"</f>
        <v>If NRD28 = Y</v>
      </c>
      <c r="E116" s="684"/>
    </row>
    <row r="117" spans="1:16" x14ac:dyDescent="0.2">
      <c r="D117" s="689" t="str">
        <f>"from "&amp;INC&amp;'INC(1)'!I21</f>
        <v>from INC6</v>
      </c>
      <c r="E117" s="690" t="str">
        <f>A44</f>
        <v>c1.41</v>
      </c>
      <c r="F117" s="104">
        <f>IF(remit_basis=TRUE,TRUNC('INC(1)'!J22,0),0)</f>
        <v>0</v>
      </c>
      <c r="G117" s="933" t="s">
        <v>1743</v>
      </c>
    </row>
    <row r="118" spans="1:16" x14ac:dyDescent="0.2">
      <c r="B118" s="372"/>
      <c r="C118" s="372"/>
      <c r="D118" s="689" t="str">
        <f>"from "&amp;FOR&amp;FOR!G17</f>
        <v>from FOR4</v>
      </c>
      <c r="E118" s="690" t="str">
        <f>A45</f>
        <v>c1.42</v>
      </c>
      <c r="F118" s="104">
        <f>IF(remit_basis=TRUE,TRUNC(FOR!H18,0),0)</f>
        <v>0</v>
      </c>
      <c r="G118" s="933" t="s">
        <v>1743</v>
      </c>
    </row>
    <row r="119" spans="1:16" x14ac:dyDescent="0.2">
      <c r="A119" s="2303"/>
      <c r="B119" s="372"/>
      <c r="C119" s="372"/>
      <c r="D119" s="689" t="str">
        <f>"From "&amp;FOR&amp;FOR!G20</f>
        <v>From FOR6</v>
      </c>
      <c r="E119" s="690" t="str">
        <f>A46</f>
        <v>c1.43</v>
      </c>
      <c r="F119" s="104">
        <f>IF(remit_basis=TRUE,TRUNC(MAX(0,FOR!H21),0),0)</f>
        <v>0</v>
      </c>
      <c r="G119" s="933" t="s">
        <v>1743</v>
      </c>
      <c r="H119" s="121"/>
    </row>
    <row r="120" spans="1:16" x14ac:dyDescent="0.2">
      <c r="A120" s="2303"/>
      <c r="D120" s="93" t="str">
        <f>"else "&amp;E117&amp;" to "&amp;E119&amp;" = 0 zero"</f>
        <v>else c1.41 to c1.43 = 0 zero</v>
      </c>
      <c r="E120" s="687"/>
      <c r="F120" s="102"/>
      <c r="G120" s="121"/>
      <c r="H120" s="121"/>
    </row>
    <row customFormat="1" r="121" s="2303" spans="1:16" x14ac:dyDescent="0.2">
      <c r="D121" s="93" t="s">
        <v>2495</v>
      </c>
      <c r="E121" s="687"/>
      <c r="F121" s="102"/>
    </row>
    <row customFormat="1" r="122" s="2323" spans="1:16" x14ac:dyDescent="0.2">
      <c r="A122" s="121"/>
      <c r="D122" s="93"/>
      <c r="E122" s="687"/>
      <c r="F122" s="102"/>
    </row>
    <row customFormat="1" r="123" s="2303" spans="1:16" x14ac:dyDescent="0.2">
      <c r="A123" s="121"/>
      <c r="D123" s="93"/>
      <c r="E123" s="687"/>
      <c r="F123" s="102"/>
      <c r="I123" s="121"/>
      <c r="J123" s="93" t="str">
        <f>E117&amp;" + "&amp;E118&amp;" + "&amp;E119</f>
        <v>c1.41 + c1.42 + c1.43</v>
      </c>
    </row>
    <row customFormat="1" r="124" s="2303" spans="1:16" x14ac:dyDescent="0.2">
      <c r="A124" s="2323"/>
      <c r="D124" s="93"/>
      <c r="E124" s="687"/>
      <c r="F124" s="102"/>
      <c r="I124" s="683" t="str">
        <f>A47</f>
        <v>c1.44</v>
      </c>
      <c r="J124" s="370">
        <f>F117+F118+F119</f>
        <v>0</v>
      </c>
    </row>
    <row r="125" spans="1:16" x14ac:dyDescent="0.2">
      <c r="B125" s="685"/>
      <c r="C125" s="685"/>
      <c r="D125" s="962"/>
      <c r="E125" s="685"/>
      <c r="F125" s="685"/>
      <c r="G125" s="685"/>
      <c r="H125" s="685"/>
      <c r="I125" s="685"/>
      <c r="J125" s="685"/>
      <c r="K125" s="685"/>
      <c r="L125" s="685"/>
      <c r="M125" s="686"/>
      <c r="P125" s="1151"/>
    </row>
    <row r="126" spans="1:16" x14ac:dyDescent="0.2">
      <c r="B126" s="687"/>
      <c r="C126" s="687"/>
      <c r="G126" s="121"/>
      <c r="H126" s="121"/>
      <c r="K126" s="371"/>
    </row>
    <row r="127" spans="1:16" x14ac:dyDescent="0.2">
      <c r="B127" s="687" t="s">
        <v>656</v>
      </c>
    </row>
    <row r="128" spans="1:16" x14ac:dyDescent="0.2">
      <c r="D128" s="682" t="str">
        <f><![CDATA["("&TRU&TRU!C11&" + "&TRU&TRU!C20&" + "&TRU&TRU!K6&") x NS_gross ("&NS_gross_F&")"]]></f>
        <v>(TRU3 + TRU7 + TRU16) x NS_gross (100/80)</v>
      </c>
      <c r="E128" s="683" t="str">
        <f ref="E128:E133" si="0" t="shared">A48</f>
        <v>c1.45</v>
      </c>
      <c r="F128" s="370">
        <f>TRUNC((TRUNC(TRU!D12,0)+TRUNC(TRU!D21,0)+TRUNC(TRU!L7,0))*NS_gross,0)</f>
        <v>0</v>
      </c>
      <c r="G128" s="933" t="s">
        <v>1743</v>
      </c>
      <c r="H128" s="128"/>
      <c r="I128" s="371"/>
      <c r="J128" s="371"/>
    </row>
    <row r="129" spans="2:13" x14ac:dyDescent="0.2">
      <c r="D129" s="689" t="str">
        <f>TRU&amp;TRU!C6&amp;" x trust_gross ("&amp;trust_gross_F&amp;")"</f>
        <v>TRU1 x trust_gross (100/55)</v>
      </c>
      <c r="E129" s="683" t="str">
        <f si="0" t="shared"/>
        <v>c1.46</v>
      </c>
      <c r="F129" s="392">
        <f>TRUNC(TRU!D7*100/data!K52,0)</f>
        <v>0</v>
      </c>
      <c r="G129" s="933" t="s">
        <v>1743</v>
      </c>
    </row>
    <row r="130" spans="2:13" x14ac:dyDescent="0.2">
      <c r="D130" s="689" t="str">
        <f>TRU&amp;TRU!C32&amp;" x trust_gross ("&amp;trust_gross_F&amp;")"</f>
        <v>TRU10 x trust_gross (100/55)</v>
      </c>
      <c r="E130" s="683" t="str">
        <f si="0" t="shared"/>
        <v>c1.47</v>
      </c>
      <c r="F130" s="392">
        <f>TRUNC(TRU!D33*100/data!K52,0)</f>
        <v>0</v>
      </c>
      <c r="G130" s="933" t="s">
        <v>1743</v>
      </c>
    </row>
    <row r="131" spans="2:13" x14ac:dyDescent="0.2">
      <c r="D131" s="689" t="str">
        <f>"from "&amp;TRU&amp;TRU!K20</f>
        <v>from TRU22</v>
      </c>
      <c r="E131" s="683" t="str">
        <f si="0" t="shared"/>
        <v>c1.48</v>
      </c>
      <c r="F131" s="392">
        <f>TRUNC(TRU!L21,0)</f>
        <v>0</v>
      </c>
      <c r="G131" s="933" t="s">
        <v>1743</v>
      </c>
      <c r="J131" s="93" t="str">
        <f>E128&amp;" + "&amp;E129&amp;" + "&amp;E130&amp;"+"</f>
        <v>c1.45 + c1.46 + c1.47+</v>
      </c>
    </row>
    <row r="132" spans="2:13" x14ac:dyDescent="0.2">
      <c r="D132" s="689" t="str">
        <f>TRU&amp;TRU!O11&amp;" x Gross_By_22 ("&amp;Gross_By_22_F&amp;")"</f>
        <v>TRU20 x Gross_By_22 (100/78)</v>
      </c>
      <c r="E132" s="683" t="str">
        <f si="0" t="shared"/>
        <v>c1.49</v>
      </c>
      <c r="F132" s="370">
        <f>TRUNC(TRU!P12*100/78,0)</f>
        <v>0</v>
      </c>
      <c r="G132" s="933" t="s">
        <v>1743</v>
      </c>
      <c r="J132" s="93" t="str">
        <f>E131&amp;" + "&amp;E132&amp;" + "&amp;E133</f>
        <v>c1.48 + c1.49 + c1.50</v>
      </c>
    </row>
    <row r="133" spans="2:13" x14ac:dyDescent="0.2">
      <c r="D133" s="689" t="str">
        <f>"from "&amp;TRU&amp;TRU!G28</f>
        <v>from TRU13</v>
      </c>
      <c r="E133" s="683" t="str">
        <f si="0" t="shared"/>
        <v>c1.50</v>
      </c>
      <c r="F133" s="392">
        <f>TRUNC(TRU!H29,0)</f>
        <v>0</v>
      </c>
      <c r="G133" s="933" t="s">
        <v>1743</v>
      </c>
      <c r="H133" s="121"/>
      <c r="I133" s="683" t="str">
        <f>A54</f>
        <v>c1.51</v>
      </c>
      <c r="J133" s="370">
        <f>F128+F129+F130+F131+F132+F133</f>
        <v>0</v>
      </c>
    </row>
    <row r="134" spans="2:13" x14ac:dyDescent="0.2">
      <c r="B134" s="685"/>
      <c r="C134" s="685"/>
      <c r="D134" s="685"/>
      <c r="E134" s="685"/>
      <c r="F134" s="685"/>
      <c r="G134" s="685"/>
      <c r="H134" s="685"/>
      <c r="I134" s="685"/>
      <c r="J134" s="685"/>
      <c r="K134" s="685"/>
      <c r="L134" s="685"/>
      <c r="M134" s="686"/>
    </row>
    <row r="136" spans="2:13" x14ac:dyDescent="0.2">
      <c r="B136" s="687" t="s">
        <v>657</v>
      </c>
      <c r="C136" s="687"/>
      <c r="D136" s="715"/>
      <c r="F136" s="684"/>
      <c r="H136" s="682" t="str">
        <f><![CDATA[INC&'INC(2)'!C4&" + "&INC&'INC(2)'!C13&" + "&INC&'INC(2)'!G7&" + "&INC&'INC(2)'!G13&" + "&INC&'INC(2)'!G16]]></f>
        <v>INC8 + INC11 + INC13 + INC15 + INC16</v>
      </c>
      <c r="I136" s="683" t="str">
        <f>A55</f>
        <v>c1.52</v>
      </c>
      <c r="J136" s="105">
        <f>TRUNC('INC(2)'!D5,0)+TRUNC('INC(2)'!D14,0)+TRUNC('INC(2)'!H8,0)+TRUNC('INC(2)'!H14,0)+TRUNC('INC(2)'!H17,0)</f>
        <v>0</v>
      </c>
      <c r="K136" s="933" t="s">
        <v>1743</v>
      </c>
    </row>
    <row r="137" spans="2:13" x14ac:dyDescent="0.2">
      <c r="B137" s="685"/>
      <c r="C137" s="685"/>
      <c r="D137" s="685"/>
      <c r="E137" s="685"/>
      <c r="F137" s="685"/>
      <c r="G137" s="685"/>
      <c r="H137" s="685"/>
      <c r="I137" s="685"/>
      <c r="J137" s="685"/>
      <c r="K137" s="685"/>
      <c r="L137" s="685"/>
      <c r="M137" s="686"/>
    </row>
    <row r="138" spans="2:13" x14ac:dyDescent="0.2">
      <c r="B138" s="372"/>
      <c r="C138" s="372"/>
      <c r="I138" s="94"/>
      <c r="J138" s="94"/>
      <c r="K138" s="94"/>
    </row>
    <row r="139" spans="2:13" x14ac:dyDescent="0.2">
      <c r="B139" s="687" t="s">
        <v>2776</v>
      </c>
      <c r="C139" s="687"/>
      <c r="D139" s="691" t="str">
        <f>INC&amp;'INC(2)'!C22&amp;" minus "&amp;INC&amp;'INC(2)'!C25</f>
        <v>INC17 minus INC18</v>
      </c>
      <c r="E139" s="683" t="str">
        <f>A56</f>
        <v>c1.53</v>
      </c>
      <c r="F139" s="392">
        <f>TRUNC(MAX(0,'INC(2)'!D23-'INC(2)'!D26),0)</f>
        <v>0</v>
      </c>
      <c r="G139" s="999" t="s">
        <v>1743</v>
      </c>
      <c r="I139" s="94"/>
      <c r="J139" s="94" t="str">
        <f>"("&amp;E139&amp;" + "&amp;E140&amp;")"</f>
        <v>(c1.53 + c1.54)</v>
      </c>
      <c r="K139" s="94"/>
      <c r="M139" s="372"/>
    </row>
    <row r="140" spans="2:13" x14ac:dyDescent="0.2">
      <c r="B140" s="372"/>
      <c r="C140" s="372"/>
      <c r="D140" s="689" t="str">
        <f>"from "&amp;INC&amp;'INC(2)'!G22</f>
        <v>from INC20</v>
      </c>
      <c r="E140" s="683" t="str">
        <f>A57</f>
        <v>c1.54</v>
      </c>
      <c r="F140" s="392">
        <f>TRUNC('INC(2)'!H23,0)</f>
        <v>0</v>
      </c>
      <c r="G140" s="933" t="s">
        <v>1743</v>
      </c>
      <c r="I140" s="94"/>
      <c r="J140" s="93" t="str">
        <f>" minus "&amp;E141</f>
        <v xml:space="preserve"> minus c1.55</v>
      </c>
      <c r="K140" s="94"/>
    </row>
    <row r="141" spans="2:13" x14ac:dyDescent="0.2">
      <c r="B141" s="372"/>
      <c r="C141" s="372"/>
      <c r="D141" s="691" t="str">
        <f>"from "&amp;AIL&amp;AIL!C5</f>
        <v>from AIL1</v>
      </c>
      <c r="E141" s="683" t="str">
        <f>A58</f>
        <v>c1.55</v>
      </c>
      <c r="F141" s="104">
        <f>TRUNC(AIL!D6+0.99,0)</f>
        <v>0</v>
      </c>
      <c r="G141" s="933" t="s">
        <v>3701</v>
      </c>
      <c r="H141" s="121"/>
      <c r="I141" s="683" t="str">
        <f>A59</f>
        <v>c1.56</v>
      </c>
      <c r="J141" s="370">
        <f>MAX(0,F139+F140-F141)</f>
        <v>0</v>
      </c>
      <c r="K141" s="94"/>
    </row>
    <row r="142" spans="2:13" x14ac:dyDescent="0.2">
      <c r="B142" s="685"/>
      <c r="C142" s="685"/>
      <c r="D142" s="685"/>
      <c r="E142" s="685"/>
      <c r="F142" s="685"/>
      <c r="G142" s="685"/>
      <c r="H142" s="685"/>
      <c r="I142" s="685"/>
      <c r="J142" s="685"/>
      <c r="K142" s="685"/>
      <c r="L142" s="685"/>
      <c r="M142" s="686"/>
    </row>
    <row r="143" spans="2:13" x14ac:dyDescent="0.2">
      <c r="E143" s="2261"/>
    </row>
    <row r="144" spans="2:13" x14ac:dyDescent="0.2">
      <c r="I144" s="93"/>
      <c r="J144" s="691" t="s">
        <v>6893</v>
      </c>
    </row>
    <row r="145" spans="2:13" x14ac:dyDescent="0.2">
      <c r="B145" s="687" t="s">
        <v>6901</v>
      </c>
      <c r="C145" s="2982"/>
      <c r="I145" s="683" t="str">
        <f>A60</f>
        <v>c1.56a</v>
      </c>
      <c r="J145" s="392">
        <f>TRUNC(AIL!D36,0)+TRUNC(AIL!H36,0)</f>
        <v>0</v>
      </c>
      <c r="K145" s="999" t="s">
        <v>1743</v>
      </c>
      <c r="L145" s="2982"/>
    </row>
    <row r="148" spans="2:13" x14ac:dyDescent="0.2">
      <c r="B148" s="102"/>
      <c r="C148" s="102"/>
      <c r="D148" s="102"/>
      <c r="G148" s="128"/>
      <c r="H148" s="128"/>
      <c r="I148" s="372"/>
      <c r="J148" s="93" t="str">
        <f><![CDATA[I24&" + "&I28&" + "&I47&" + "&I55&" + "&I73&" + "&I93&" + "&I98&" + "&I113&" + "&I124&" + "&I133&" + "&I136&" + "&I141&" + "&I145]]></f>
        <v>c1.9 + c1.10 + c1.17 + c1.20 + c1.27 + c1.34 + c1.35 + c1.40 + c1.44 + c1.51 + c1.52 + c1.56 + c1.56a</v>
      </c>
      <c r="K148" s="128"/>
      <c r="L148" s="128"/>
    </row>
    <row r="149" spans="2:13" x14ac:dyDescent="0.2">
      <c r="B149" s="415" t="s">
        <v>3084</v>
      </c>
      <c r="C149" s="415"/>
      <c r="D149" s="415"/>
      <c r="E149" s="371"/>
      <c r="F149" s="371"/>
      <c r="G149" s="371"/>
      <c r="H149" s="371"/>
      <c r="I149" s="683" t="str">
        <f>A61</f>
        <v>c1.57</v>
      </c>
      <c r="J149" s="370">
        <f>MAX(0,J24+J28+J47+J55+J73+J93+J98+J113+J124+J133+J136+J141+J145-TCRWS!B14)</f>
        <v>47444</v>
      </c>
      <c r="K149" s="94"/>
      <c r="L149" s="94"/>
    </row>
    <row r="150" spans="2:13" x14ac:dyDescent="0.2">
      <c r="B150" s="685"/>
      <c r="C150" s="685"/>
      <c r="D150" s="685"/>
      <c r="E150" s="685"/>
      <c r="F150" s="685"/>
      <c r="G150" s="685"/>
      <c r="H150" s="685"/>
      <c r="I150" s="685"/>
      <c r="J150" s="685"/>
      <c r="K150" s="685"/>
      <c r="L150" s="685"/>
      <c r="M150" s="686"/>
    </row>
    <row r="152" spans="2:13" x14ac:dyDescent="0.2">
      <c r="B152" s="684" t="s">
        <v>1795</v>
      </c>
      <c r="C152" s="684"/>
      <c r="J152" s="692" t="str">
        <f>"from "&amp;ASE&amp;ASE!C14</f>
        <v>from ASE5</v>
      </c>
    </row>
    <row r="153" spans="2:13" x14ac:dyDescent="0.2">
      <c r="H153" s="692"/>
      <c r="I153" s="683" t="str">
        <f>A62</f>
        <v>c1.58</v>
      </c>
      <c r="J153" s="370">
        <f>MAX(0,TRUNC(ASE!D15,0)-TCRWS!D14)</f>
        <v>0</v>
      </c>
      <c r="K153" s="933" t="s">
        <v>1743</v>
      </c>
    </row>
  </sheetData>
  <phoneticPr fontId="67" type="noConversion"/>
  <pageMargins bottom="0.19685039370078741" footer="0" header="0" left="0.19685039370078741" right="0.19685039370078741" top="0.19685039370078741"/>
  <pageSetup horizontalDpi="4294967293" orientation="portrait" paperSize="9" r:id="rId1"/>
  <headerFooter alignWithMargins="0"/>
</worksheet>
</file>

<file path=xl/worksheets/sheet60.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Sheet47"/>
  <dimension ref="A1:L77"/>
  <sheetViews>
    <sheetView showGridLines="0" topLeftCell="B1" workbookViewId="0">
      <selection activeCell="M21" sqref="M21"/>
    </sheetView>
  </sheetViews>
  <sheetFormatPr defaultColWidth="9.140625" defaultRowHeight="12" x14ac:dyDescent="0.2"/>
  <cols>
    <col min="1" max="1" customWidth="true" hidden="true" style="386" width="4.5703125" collapsed="true"/>
    <col min="2" max="2" customWidth="true" style="386" width="39.5703125" collapsed="true"/>
    <col min="3" max="3" customWidth="true" style="386" width="8.7109375" collapsed="true"/>
    <col min="4" max="4" customWidth="true" style="386" width="14.140625" collapsed="true"/>
    <col min="5" max="5" customWidth="true" style="386" width="5.7109375" collapsed="true"/>
    <col min="6" max="6" customWidth="true" style="386" width="11.28515625" collapsed="true"/>
    <col min="7" max="7" customWidth="true" style="386" width="8.140625" collapsed="true"/>
    <col min="8" max="8" customWidth="true" style="386" width="6.28515625" collapsed="true"/>
    <col min="9" max="9" customWidth="true" style="386" width="10.85546875" collapsed="true"/>
    <col min="10" max="10" bestFit="true" customWidth="true" style="386" width="6.28515625" collapsed="true"/>
    <col min="11" max="16384" style="386" width="9.140625" collapsed="true"/>
  </cols>
  <sheetData>
    <row ht="18" r="1" spans="1:10" x14ac:dyDescent="0.25">
      <c r="A1" s="386" t="s">
        <v>121</v>
      </c>
      <c r="B1" s="2724" t="s">
        <v>1355</v>
      </c>
      <c r="C1" s="712"/>
    </row>
    <row r="2" spans="1:10" x14ac:dyDescent="0.2">
      <c r="A2" s="386" t="s">
        <v>2623</v>
      </c>
      <c r="D2" s="389"/>
      <c r="E2" s="3028" t="s">
        <v>7394</v>
      </c>
      <c r="F2" s="3032"/>
      <c r="G2" s="3032"/>
      <c r="H2" s="3032"/>
      <c r="I2" s="3033"/>
    </row>
    <row r="3" spans="1:10" x14ac:dyDescent="0.2">
      <c r="A3" s="386" t="s">
        <v>2624</v>
      </c>
      <c r="B3" s="705" t="s">
        <v>3901</v>
      </c>
    </row>
    <row r="4" spans="1:10" x14ac:dyDescent="0.2">
      <c r="A4" s="386" t="s">
        <v>806</v>
      </c>
      <c r="C4" s="705"/>
      <c r="F4" s="700" t="str">
        <f>"Total all instances ("&amp;SPS&amp;PS!C28&amp;")"</f>
        <v>Total all instances (SPS28)</v>
      </c>
    </row>
    <row r="5" spans="1:10" x14ac:dyDescent="0.2">
      <c r="A5" s="386" t="s">
        <v>807</v>
      </c>
      <c r="B5" s="687" t="s">
        <v>6082</v>
      </c>
      <c r="C5" s="694"/>
      <c r="E5" s="701" t="str">
        <f>A1</f>
        <v>c2.1</v>
      </c>
      <c r="F5" s="695">
        <f>TRUNC(PS!D29,0)</f>
        <v>0</v>
      </c>
      <c r="G5" s="999" t="s">
        <v>4453</v>
      </c>
      <c r="H5" s="694"/>
      <c r="I5" s="694"/>
    </row>
    <row r="6" spans="1:10" x14ac:dyDescent="0.2">
      <c r="A6" s="386" t="s">
        <v>3749</v>
      </c>
      <c r="B6" s="705"/>
    </row>
    <row r="7" spans="1:10" x14ac:dyDescent="0.2">
      <c r="A7" s="386" t="s">
        <v>1751</v>
      </c>
      <c r="F7" s="702" t="s">
        <v>5071</v>
      </c>
    </row>
    <row r="8" spans="1:10" x14ac:dyDescent="0.2">
      <c r="A8" s="386" t="s">
        <v>3896</v>
      </c>
      <c r="B8" s="687" t="s">
        <v>5069</v>
      </c>
      <c r="F8" s="702" t="str">
        <f><![CDATA["("&FPS&PS!G16&" + "&FPS&PS!J46&")"]]></f>
        <v>(FPS35 + FPS73)</v>
      </c>
    </row>
    <row r="9" spans="1:10" x14ac:dyDescent="0.2">
      <c r="A9" s="386" t="s">
        <v>3897</v>
      </c>
      <c r="B9" s="1778" t="s">
        <v>5070</v>
      </c>
      <c r="C9" s="694"/>
      <c r="E9" s="701" t="str">
        <f>A2</f>
        <v>c2.2</v>
      </c>
      <c r="F9" s="695">
        <f>TRUNC(PS!H17,0)+TRUNC(PS!K47,0)</f>
        <v>0</v>
      </c>
      <c r="G9" s="999" t="s">
        <v>4454</v>
      </c>
      <c r="H9" s="694"/>
      <c r="I9" s="694"/>
    </row>
    <row r="10" spans="1:10" x14ac:dyDescent="0.2">
      <c r="A10" s="386" t="s">
        <v>1752</v>
      </c>
      <c r="B10" s="705"/>
      <c r="C10" s="694"/>
      <c r="D10" s="694"/>
      <c r="E10" s="694"/>
      <c r="F10" s="694"/>
      <c r="G10" s="694"/>
      <c r="H10" s="694"/>
      <c r="I10" s="698" t="str">
        <f>E5&amp;" + "&amp;E9</f>
        <v>c2.1 + c2.2</v>
      </c>
    </row>
    <row r="11" spans="1:10" x14ac:dyDescent="0.2">
      <c r="A11" s="386" t="s">
        <v>1753</v>
      </c>
      <c r="H11" s="701" t="str">
        <f>A3</f>
        <v>c2.3</v>
      </c>
      <c r="I11" s="695">
        <f>F5+F9</f>
        <v>0</v>
      </c>
    </row>
    <row r="12" spans="1:10" x14ac:dyDescent="0.2">
      <c r="A12" s="386" t="s">
        <v>1754</v>
      </c>
      <c r="B12" s="713"/>
      <c r="C12" s="713"/>
      <c r="D12" s="713"/>
      <c r="E12" s="713"/>
      <c r="F12" s="713"/>
      <c r="G12" s="713"/>
      <c r="H12" s="713"/>
      <c r="I12" s="713"/>
      <c r="J12" s="713"/>
    </row>
    <row r="13" spans="1:10" x14ac:dyDescent="0.2">
      <c r="A13" s="386" t="s">
        <v>630</v>
      </c>
    </row>
    <row r="14" spans="1:10" x14ac:dyDescent="0.2">
      <c r="A14" s="386" t="s">
        <v>1755</v>
      </c>
      <c r="B14" s="705" t="s">
        <v>1370</v>
      </c>
      <c r="C14" s="705"/>
      <c r="D14" s="697"/>
      <c r="E14" s="697"/>
      <c r="F14" s="694"/>
    </row>
    <row r="15" spans="1:10" x14ac:dyDescent="0.2">
      <c r="A15" s="386" t="s">
        <v>1756</v>
      </c>
      <c r="F15" s="703" t="str">
        <f>FOR&amp;FOR!O36&amp;" divided by BR_rate ("&amp;BR_rate * 100&amp;"%)"</f>
        <v>FOR45 divided by BR_rate (20%)</v>
      </c>
    </row>
    <row r="16" spans="1:10" x14ac:dyDescent="0.2">
      <c r="A16" s="386" t="s">
        <v>1757</v>
      </c>
      <c r="B16" s="687" t="s">
        <v>4140</v>
      </c>
      <c r="C16" s="705"/>
      <c r="E16" s="704" t="str">
        <f>A4</f>
        <v>c2.4</v>
      </c>
      <c r="F16" s="385">
        <f>TRUNC((FOR!P37/BR_rate),0)</f>
        <v>0</v>
      </c>
      <c r="G16" s="929" t="s">
        <v>1743</v>
      </c>
    </row>
    <row r="17" spans="1:11" x14ac:dyDescent="0.2">
      <c r="A17" s="386" t="s">
        <v>631</v>
      </c>
    </row>
    <row r="18" spans="1:11" x14ac:dyDescent="0.2">
      <c r="A18" s="386" t="s">
        <v>1465</v>
      </c>
      <c r="B18" s="687" t="s">
        <v>4137</v>
      </c>
      <c r="C18" s="687"/>
      <c r="F18" s="703" t="str">
        <f>"Lower of "&amp;FOR&amp;FOR!K39&amp;" and "&amp;E16</f>
        <v>Lower of FOR43 and c2.4</v>
      </c>
    </row>
    <row r="19" spans="1:11" x14ac:dyDescent="0.2">
      <c r="A19" s="386" t="s">
        <v>4305</v>
      </c>
      <c r="B19" s="687" t="s">
        <v>4140</v>
      </c>
      <c r="E19" s="704" t="str">
        <f>A5</f>
        <v>c2.5</v>
      </c>
      <c r="F19" s="388">
        <f>MIN(TRUNC(FOR!L40,0),F16)</f>
        <v>0</v>
      </c>
      <c r="G19" s="929" t="s">
        <v>1743</v>
      </c>
    </row>
    <row r="20" spans="1:11" x14ac:dyDescent="0.2">
      <c r="F20" s="680" t="str">
        <f>"copy to "&amp;'Divs (c3)'!G52</f>
        <v>copy to c3.16</v>
      </c>
    </row>
    <row r="21" spans="1:11" x14ac:dyDescent="0.2">
      <c r="B21" s="713"/>
      <c r="C21" s="713"/>
      <c r="D21" s="713"/>
      <c r="E21" s="713"/>
      <c r="F21" s="713"/>
      <c r="G21" s="713"/>
      <c r="H21" s="713"/>
      <c r="I21" s="713"/>
      <c r="J21" s="713"/>
      <c r="K21" s="713"/>
    </row>
    <row r="23" spans="1:11" x14ac:dyDescent="0.2">
      <c r="F23" s="698" t="str">
        <f>"if "&amp;FOR&amp;FOR!K39&amp;" minus "&amp;E19&amp;" &gt; 0 (zero) then"</f>
        <v>if FOR43 minus c2.5 &gt; 0 (zero) then</v>
      </c>
    </row>
    <row r="24" spans="1:11" x14ac:dyDescent="0.2">
      <c r="F24" s="698" t="str">
        <f>E28&amp;" = "&amp;FOR&amp;FOR!K39&amp;" minus "&amp;E19</f>
        <v>c2.6 = FOR43 minus c2.5</v>
      </c>
    </row>
    <row r="25" spans="1:11" x14ac:dyDescent="0.2">
      <c r="F25" s="93" t="s">
        <v>2386</v>
      </c>
    </row>
    <row r="26" spans="1:11" x14ac:dyDescent="0.2">
      <c r="F26" s="698" t="str">
        <f>E28&amp;" = 0 (zero)"</f>
        <v>c2.6 = 0 (zero)</v>
      </c>
    </row>
    <row r="27" spans="1:11" x14ac:dyDescent="0.2">
      <c r="B27" s="687" t="s">
        <v>4141</v>
      </c>
      <c r="C27" s="694"/>
      <c r="D27" s="694"/>
      <c r="E27" s="694"/>
      <c r="F27" s="128" t="s">
        <v>2495</v>
      </c>
      <c r="G27" s="694"/>
      <c r="H27" s="694"/>
      <c r="I27" s="694"/>
    </row>
    <row r="28" spans="1:11" x14ac:dyDescent="0.2">
      <c r="B28" s="687" t="s">
        <v>4142</v>
      </c>
      <c r="C28" s="694"/>
      <c r="E28" s="704" t="str">
        <f>A6</f>
        <v>c2.6</v>
      </c>
      <c r="F28" s="695">
        <f>TRUNC(MAX(0,FOR!L40-F19),0)</f>
        <v>0</v>
      </c>
      <c r="G28" s="929" t="s">
        <v>1743</v>
      </c>
    </row>
    <row r="29" spans="1:11" x14ac:dyDescent="0.2">
      <c r="B29" s="687"/>
      <c r="C29" s="694"/>
    </row>
    <row r="30" spans="1:11" x14ac:dyDescent="0.2">
      <c r="E30" s="680" t="str">
        <f>"If "&amp;NRD&amp;NRD!H5&amp;" = N"</f>
        <v>If NRD28 = N</v>
      </c>
    </row>
    <row r="31" spans="1:11" x14ac:dyDescent="0.2">
      <c r="E31" s="705" t="str">
        <f>E34&amp;"= "&amp;FOR&amp;FOR!G17</f>
        <v>c2.7= FOR4</v>
      </c>
    </row>
    <row r="32" spans="1:11" x14ac:dyDescent="0.2">
      <c r="E32" s="94" t="s">
        <v>4036</v>
      </c>
    </row>
    <row r="33" spans="2:11" x14ac:dyDescent="0.2">
      <c r="B33" s="687" t="s">
        <v>4138</v>
      </c>
      <c r="C33" s="687"/>
      <c r="E33" s="680" t="s">
        <v>2495</v>
      </c>
    </row>
    <row r="34" spans="2:11" x14ac:dyDescent="0.2">
      <c r="B34" s="687" t="s">
        <v>3685</v>
      </c>
      <c r="C34" s="687"/>
      <c r="E34" s="704" t="str">
        <f>A7</f>
        <v>c2.7</v>
      </c>
      <c r="F34" s="695">
        <f>IF(remit_basis=FALSE,TRUNC(FOR!H18,0),0)</f>
        <v>0</v>
      </c>
      <c r="G34" s="929" t="s">
        <v>1743</v>
      </c>
    </row>
    <row r="35" spans="2:11" x14ac:dyDescent="0.2">
      <c r="B35" s="694"/>
      <c r="C35" s="694"/>
    </row>
    <row r="36" spans="2:11" x14ac:dyDescent="0.2">
      <c r="F36" s="700" t="str">
        <f>"from "&amp;INC&amp;'INC(1)'!C21</f>
        <v>from INC3</v>
      </c>
    </row>
    <row r="37" spans="2:11" x14ac:dyDescent="0.2">
      <c r="B37" s="687" t="s">
        <v>4306</v>
      </c>
      <c r="E37" s="704" t="str">
        <f>A8</f>
        <v>c2.8</v>
      </c>
      <c r="F37" s="695">
        <f>TRUNC('INC(1)'!D22,0)</f>
        <v>0</v>
      </c>
      <c r="G37" s="929" t="s">
        <v>1743</v>
      </c>
    </row>
    <row r="39" spans="2:11" x14ac:dyDescent="0.2">
      <c r="I39" s="698" t="str">
        <f>E28&amp;" + "&amp;E34&amp;" + "&amp;E37</f>
        <v>c2.6 + c2.7 + c2.8</v>
      </c>
    </row>
    <row r="40" spans="2:11" x14ac:dyDescent="0.2">
      <c r="H40" s="704" t="str">
        <f>A9</f>
        <v>c2.9</v>
      </c>
      <c r="I40" s="695">
        <f>F28+F34+F37</f>
        <v>0</v>
      </c>
    </row>
    <row r="41" spans="2:11" x14ac:dyDescent="0.2">
      <c r="B41" s="713"/>
      <c r="C41" s="713"/>
      <c r="D41" s="713"/>
      <c r="E41" s="713"/>
      <c r="F41" s="713"/>
      <c r="G41" s="713"/>
      <c r="H41" s="713"/>
      <c r="I41" s="713"/>
      <c r="J41" s="713"/>
      <c r="K41" s="713"/>
    </row>
    <row r="43" spans="2:11" x14ac:dyDescent="0.2">
      <c r="B43" s="705" t="s">
        <v>656</v>
      </c>
      <c r="C43" s="705"/>
    </row>
    <row r="45" spans="2:11" x14ac:dyDescent="0.2">
      <c r="B45" s="705" t="s">
        <v>5072</v>
      </c>
      <c r="F45" s="702" t="str">
        <f><![CDATA["("&TRU&TRU!C15&" + "&TRU&TRU!C24&" + "&TRU&TRU!K11&") x"]]></f>
        <v>(TRU4 + TRU8 + TRU17) x</v>
      </c>
    </row>
    <row r="46" spans="2:11" x14ac:dyDescent="0.2">
      <c r="B46" s="1778" t="s">
        <v>5077</v>
      </c>
      <c r="F46" s="702" t="str">
        <f>"savings_gross ("&amp;savings_gross_F&amp;")"</f>
        <v>savings_gross (100/80)</v>
      </c>
    </row>
    <row r="47" spans="2:11" x14ac:dyDescent="0.2">
      <c r="B47" s="1778" t="s">
        <v>5074</v>
      </c>
      <c r="E47" s="701" t="str">
        <f>A10</f>
        <v>c2.10</v>
      </c>
      <c r="F47" s="695">
        <f>TRUNC((TRUNC(TRU!D16,0)+TRUNC(TRU!D25,0)+TRUNC(TRU!L12,0))*savings_gross,0)</f>
        <v>0</v>
      </c>
      <c r="G47" s="929" t="s">
        <v>1743</v>
      </c>
    </row>
    <row r="49" spans="2:11" x14ac:dyDescent="0.2">
      <c r="F49" s="702" t="str">
        <f>TRU&amp;TRU!G20&amp;" x trust_gross ("&amp;trust_gross_F&amp;")"</f>
        <v>TRU11 x trust_gross (100/55)</v>
      </c>
    </row>
    <row r="50" spans="2:11" x14ac:dyDescent="0.2">
      <c r="B50" s="705" t="s">
        <v>5073</v>
      </c>
      <c r="E50" s="701" t="str">
        <f>A11</f>
        <v>c2.11</v>
      </c>
      <c r="F50" s="695">
        <f>TRUNC((TRU!H21)*trust_gross,0)</f>
        <v>0</v>
      </c>
      <c r="G50" s="929" t="s">
        <v>1743</v>
      </c>
    </row>
    <row r="51" spans="2:11" x14ac:dyDescent="0.2">
      <c r="B51" s="705"/>
    </row>
    <row r="52" spans="2:11" x14ac:dyDescent="0.2">
      <c r="B52" s="705"/>
      <c r="F52" s="703" t="str">
        <f>"from "&amp;TRU&amp;TRU!G32</f>
        <v>from TRU14</v>
      </c>
      <c r="I52" s="698" t="str">
        <f>E47&amp;" + "&amp;E50&amp;" + "&amp;E53</f>
        <v>c2.10 + c2.11 + c2.12</v>
      </c>
    </row>
    <row r="53" spans="2:11" x14ac:dyDescent="0.2">
      <c r="B53" s="687" t="s">
        <v>5075</v>
      </c>
      <c r="E53" s="701" t="str">
        <f>A12</f>
        <v>c2.12</v>
      </c>
      <c r="F53" s="695">
        <f>TRUNC(TRU!H33,0)</f>
        <v>0</v>
      </c>
      <c r="G53" s="929" t="s">
        <v>1743</v>
      </c>
      <c r="H53" s="701" t="str">
        <f>A13</f>
        <v>c2.13</v>
      </c>
      <c r="I53" s="695">
        <f>F47+F50+F53</f>
        <v>0</v>
      </c>
    </row>
    <row r="54" spans="2:11" x14ac:dyDescent="0.2">
      <c r="B54" s="713"/>
      <c r="C54" s="713"/>
      <c r="D54" s="713"/>
      <c r="E54" s="713"/>
      <c r="F54" s="713"/>
      <c r="G54" s="713"/>
      <c r="H54" s="713"/>
      <c r="I54" s="713"/>
      <c r="J54" s="713"/>
      <c r="K54" s="713"/>
    </row>
    <row r="56" spans="2:11" x14ac:dyDescent="0.2">
      <c r="B56" s="687" t="s">
        <v>5057</v>
      </c>
      <c r="C56" s="705"/>
    </row>
    <row r="57" spans="2:11" x14ac:dyDescent="0.2">
      <c r="B57" s="694"/>
      <c r="C57" s="694"/>
      <c r="F57" s="702" t="str">
        <f>INC&amp;'INC(1)'!C15&amp;" x savings_gross ("&amp;savings_gross_F&amp;")"</f>
        <v>INC1 x savings_gross (100/80)</v>
      </c>
    </row>
    <row r="58" spans="2:11" x14ac:dyDescent="0.2">
      <c r="B58" s="687" t="s">
        <v>4480</v>
      </c>
      <c r="E58" s="701" t="str">
        <f>A14</f>
        <v>c2.14</v>
      </c>
      <c r="F58" s="695">
        <f>TRUNC('INC(1)'!D16*savings_gross,0)</f>
        <v>0</v>
      </c>
      <c r="G58" s="929" t="s">
        <v>1743</v>
      </c>
    </row>
    <row r="60" spans="2:11" x14ac:dyDescent="0.2">
      <c r="F60" s="703" t="str">
        <f>"from "&amp;INC&amp;'INC(1)'!C18</f>
        <v>from INC2</v>
      </c>
    </row>
    <row r="61" spans="2:11" x14ac:dyDescent="0.2">
      <c r="B61" s="687" t="s">
        <v>4134</v>
      </c>
      <c r="E61" s="701" t="str">
        <f>A15</f>
        <v>c2.15</v>
      </c>
      <c r="F61" s="695">
        <f>TRUNC('INC(1)'!D19)</f>
        <v>3678</v>
      </c>
      <c r="G61" s="929" t="s">
        <v>1743</v>
      </c>
    </row>
    <row r="63" spans="2:11" x14ac:dyDescent="0.2">
      <c r="F63" s="703" t="str">
        <f>"from "&amp;AOI&amp;AOI!G7</f>
        <v>from AOI3</v>
      </c>
    </row>
    <row r="64" spans="2:11" x14ac:dyDescent="0.2">
      <c r="B64" s="687" t="s">
        <v>5058</v>
      </c>
      <c r="E64" s="701" t="str">
        <f>A16</f>
        <v>c2.16</v>
      </c>
      <c r="F64" s="695">
        <f>TRUNC(AOI!H8,0)</f>
        <v>0</v>
      </c>
      <c r="G64" s="929" t="s">
        <v>1743</v>
      </c>
    </row>
    <row r="65" spans="2:11" x14ac:dyDescent="0.2">
      <c r="B65" s="687"/>
      <c r="E65" s="705"/>
      <c r="F65" s="2743"/>
      <c r="G65" s="929"/>
      <c r="H65" s="705"/>
      <c r="I65" s="2743"/>
    </row>
    <row r="66" spans="2:11" x14ac:dyDescent="0.2">
      <c r="B66" s="687"/>
      <c r="E66" s="705"/>
      <c r="F66" s="2743"/>
      <c r="G66" s="929"/>
      <c r="I66" s="698" t="str">
        <f>E58&amp;" + "&amp;E61&amp;" + "&amp;E64</f>
        <v>c2.14 + c2.15 + c2.16</v>
      </c>
    </row>
    <row r="67" spans="2:11" x14ac:dyDescent="0.2">
      <c r="B67" s="687" t="s">
        <v>6980</v>
      </c>
      <c r="E67" s="705"/>
      <c r="F67" s="2743"/>
      <c r="G67" s="929"/>
      <c r="H67" s="701" t="str">
        <f>A17</f>
        <v>c2.17</v>
      </c>
      <c r="I67" s="695">
        <f>F58+F61+F64</f>
        <v>3678</v>
      </c>
    </row>
    <row r="68" spans="2:11" x14ac:dyDescent="0.2">
      <c r="B68" s="713"/>
      <c r="C68" s="713"/>
      <c r="D68" s="713"/>
      <c r="E68" s="713"/>
      <c r="F68" s="713"/>
      <c r="G68" s="713"/>
      <c r="H68" s="713"/>
      <c r="I68" s="713"/>
      <c r="J68" s="713"/>
      <c r="K68" s="713"/>
    </row>
    <row r="70" spans="2:11" x14ac:dyDescent="0.2">
      <c r="B70" s="687" t="s">
        <v>658</v>
      </c>
    </row>
    <row r="72" spans="2:11" x14ac:dyDescent="0.2">
      <c r="B72" s="687" t="s">
        <v>4875</v>
      </c>
      <c r="I72" s="702" t="str">
        <f>AOI&amp;AOI!C19&amp;" + "&amp;AOI&amp;AOI!G13</f>
        <v>AOI6 + AOI8</v>
      </c>
    </row>
    <row r="73" spans="2:11" x14ac:dyDescent="0.2">
      <c r="B73" s="1778" t="s">
        <v>5076</v>
      </c>
      <c r="C73" s="705"/>
      <c r="D73" s="697"/>
      <c r="E73" s="697"/>
      <c r="F73" s="697"/>
      <c r="H73" s="701" t="str">
        <f>A18</f>
        <v>c2.18</v>
      </c>
      <c r="I73" s="695">
        <f>TRUNC(AOI!D20+AOI!H14,0)</f>
        <v>0</v>
      </c>
      <c r="J73" s="929" t="s">
        <v>1743</v>
      </c>
    </row>
    <row r="74" spans="2:11" x14ac:dyDescent="0.2">
      <c r="B74" s="713"/>
      <c r="C74" s="713"/>
      <c r="D74" s="713"/>
      <c r="E74" s="713"/>
      <c r="F74" s="713"/>
      <c r="G74" s="713"/>
      <c r="H74" s="713"/>
      <c r="I74" s="713"/>
      <c r="J74" s="713"/>
      <c r="K74" s="713"/>
    </row>
    <row r="76" spans="2:11" x14ac:dyDescent="0.2">
      <c r="F76" s="697"/>
      <c r="G76" s="697"/>
      <c r="H76" s="697"/>
      <c r="I76" s="698" t="str">
        <f><![CDATA[H11&" + "&H40&" + "&H53&" + "&H67&" + "&H73]]></f>
        <v>c2.3 + c2.9 + c2.13 + c2.17 + c2.18</v>
      </c>
    </row>
    <row r="77" spans="2:11" x14ac:dyDescent="0.2">
      <c r="B77" s="415" t="s">
        <v>4950</v>
      </c>
      <c r="C77" s="699"/>
      <c r="H77" s="701" t="str">
        <f>A19</f>
        <v>c2.19</v>
      </c>
      <c r="I77" s="695">
        <f>MAX(0,I11+I40+I53+I67+I73-TCRWS!F14)</f>
        <v>3678</v>
      </c>
    </row>
  </sheetData>
  <phoneticPr fontId="67" type="noConversion"/>
  <pageMargins bottom="0.19685039370078741" footer="0.19685039370078741" header="0" left="0.19685039370078741" right="0.19685039370078741" top="0.19685039370078741"/>
  <pageSetup horizontalDpi="4294967293" orientation="portrait" paperSize="9" r:id="rId1" verticalDpi="1200"/>
  <headerFooter alignWithMargins="0"/>
</worksheet>
</file>

<file path=xl/worksheets/sheet61.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Sheet53"/>
  <dimension ref="A1:P94"/>
  <sheetViews>
    <sheetView showGridLines="0" topLeftCell="B1" workbookViewId="0">
      <selection activeCell="L17" sqref="L17"/>
    </sheetView>
  </sheetViews>
  <sheetFormatPr defaultColWidth="9.140625" defaultRowHeight="12" x14ac:dyDescent="0.2"/>
  <cols>
    <col min="1" max="1" customWidth="true" hidden="true" style="121" width="7.0" collapsed="true"/>
    <col min="2" max="2" customWidth="true" style="121" width="41.140625" collapsed="true"/>
    <col min="3" max="3" customWidth="true" style="121" width="7.7109375" collapsed="true"/>
    <col min="4" max="4" customWidth="true" style="121" width="5.7109375" collapsed="true"/>
    <col min="5" max="5" customWidth="true" style="121" width="10.85546875" collapsed="true"/>
    <col min="6" max="6" customWidth="true" style="121" width="6.7109375" collapsed="true"/>
    <col min="7" max="7" customWidth="true" style="121" width="5.85546875" collapsed="true"/>
    <col min="8" max="8" customWidth="true" style="121" width="11.85546875" collapsed="true"/>
    <col min="9" max="9" customWidth="true" style="121" width="6.85546875" collapsed="true"/>
    <col min="10" max="10" customWidth="true" style="121" width="10.42578125" collapsed="true"/>
    <col min="11" max="11" customWidth="true" style="121" width="1.85546875" collapsed="true"/>
    <col min="12" max="12" customWidth="true" style="121" width="8.85546875" collapsed="true"/>
    <col min="13" max="13" customWidth="true" style="121" width="5.42578125" collapsed="true"/>
    <col min="14" max="14" customWidth="true" style="121" width="11.0" collapsed="true"/>
    <col min="15" max="15" customWidth="true" style="121" width="2.7109375" collapsed="true"/>
    <col min="16" max="16384" style="121" width="9.140625" collapsed="true"/>
  </cols>
  <sheetData>
    <row ht="18" r="1" spans="1:15" x14ac:dyDescent="0.25">
      <c r="A1" s="121" t="s">
        <v>3730</v>
      </c>
      <c r="B1" s="2724" t="s">
        <v>1356</v>
      </c>
    </row>
    <row r="2" spans="1:15" x14ac:dyDescent="0.2">
      <c r="A2" s="121" t="s">
        <v>122</v>
      </c>
      <c r="E2" s="3028" t="s">
        <v>7394</v>
      </c>
      <c r="F2" s="3032"/>
      <c r="G2" s="3032"/>
      <c r="H2" s="3032"/>
      <c r="I2" s="3033"/>
    </row>
    <row customFormat="1" r="3" s="2712" spans="1:15" x14ac:dyDescent="0.2">
      <c r="A3" s="121" t="s">
        <v>123</v>
      </c>
      <c r="E3" s="2710"/>
      <c r="F3" s="389"/>
      <c r="G3" s="389"/>
      <c r="H3" s="389"/>
      <c r="I3" s="389"/>
    </row>
    <row r="4" spans="1:15" x14ac:dyDescent="0.2">
      <c r="A4" s="121" t="s">
        <v>124</v>
      </c>
      <c r="B4" s="687" t="s">
        <v>3901</v>
      </c>
      <c r="C4" s="709"/>
      <c r="D4" s="709"/>
      <c r="E4" s="684"/>
      <c r="F4" s="684"/>
      <c r="G4" s="684"/>
      <c r="H4" s="688" t="str">
        <f>"Total all instances ("&amp;FPS&amp;PS!G40&amp;")"</f>
        <v>Total all instances (FPS70)</v>
      </c>
      <c r="I4" s="37"/>
      <c r="J4" s="37"/>
      <c r="K4" s="37"/>
      <c r="L4" s="37"/>
      <c r="M4" s="37"/>
      <c r="N4" s="37"/>
      <c r="O4" s="37"/>
    </row>
    <row r="5" spans="1:15" x14ac:dyDescent="0.2">
      <c r="A5" s="121" t="s">
        <v>125</v>
      </c>
      <c r="B5" s="684" t="s">
        <v>6207</v>
      </c>
      <c r="C5" s="710"/>
      <c r="D5" s="684"/>
      <c r="E5" s="710"/>
      <c r="G5" s="683" t="str">
        <f>'Divs (c3)'!A1</f>
        <v>c3.1</v>
      </c>
      <c r="H5" s="370">
        <f>TRUNC(PS!H41,0)</f>
        <v>0</v>
      </c>
      <c r="I5" s="999" t="s">
        <v>1743</v>
      </c>
      <c r="J5" s="371"/>
      <c r="K5" s="371"/>
      <c r="L5" s="371"/>
    </row>
    <row r="6" spans="1:15" x14ac:dyDescent="0.2">
      <c r="A6" s="121" t="s">
        <v>126</v>
      </c>
      <c r="B6" s="685"/>
      <c r="C6" s="685"/>
      <c r="D6" s="685"/>
      <c r="E6" s="685"/>
      <c r="F6" s="685"/>
      <c r="G6" s="685"/>
      <c r="H6" s="685"/>
      <c r="I6" s="685"/>
    </row>
    <row r="7" spans="1:15" x14ac:dyDescent="0.2">
      <c r="A7" s="121" t="s">
        <v>127</v>
      </c>
      <c r="B7" s="37"/>
      <c r="C7" s="371"/>
      <c r="D7" s="371"/>
      <c r="E7" s="371"/>
      <c r="F7" s="371"/>
      <c r="G7" s="371"/>
      <c r="H7" s="371"/>
      <c r="I7" s="371"/>
    </row>
    <row r="8" spans="1:15" x14ac:dyDescent="0.2">
      <c r="A8" s="121" t="s">
        <v>128</v>
      </c>
      <c r="B8" s="687" t="s">
        <v>3794</v>
      </c>
      <c r="E8" s="689" t="str">
        <f>"from "&amp;FOR&amp;FOR!G31</f>
        <v>from FOR11</v>
      </c>
    </row>
    <row r="9" spans="1:15" x14ac:dyDescent="0.2">
      <c r="A9" s="121" t="s">
        <v>129</v>
      </c>
      <c r="D9" s="690" t="str">
        <f>'Divs (c3)'!A2</f>
        <v>c3.2</v>
      </c>
      <c r="E9" s="107">
        <f>TRUNC(FOR!H32,0)</f>
        <v>0</v>
      </c>
      <c r="F9" s="934" t="s">
        <v>1743</v>
      </c>
    </row>
    <row r="10" spans="1:15" x14ac:dyDescent="0.2">
      <c r="A10" s="121" t="s">
        <v>130</v>
      </c>
      <c r="B10" s="687" t="s">
        <v>4138</v>
      </c>
      <c r="K10" s="371"/>
    </row>
    <row r="11" spans="1:15" x14ac:dyDescent="0.2">
      <c r="A11" s="121" t="s">
        <v>131</v>
      </c>
      <c r="D11" s="93" t="str">
        <f>"If "&amp;NRD&amp;NRD!H5&amp;" = N"</f>
        <v>If NRD28 = N</v>
      </c>
    </row>
    <row r="12" spans="1:15" x14ac:dyDescent="0.2">
      <c r="A12" s="121" t="s">
        <v>132</v>
      </c>
      <c r="B12" s="93"/>
      <c r="C12" s="682" t="str">
        <f>"from "&amp;INC&amp;'INC(1)'!I21</f>
        <v>from INC6</v>
      </c>
      <c r="D12" s="690" t="str">
        <f>'Divs (c3)'!A3</f>
        <v>c3.3</v>
      </c>
      <c r="E12" s="370">
        <f>IF(remit_basis=FALSE,TRUNC('INC(1)'!J22,0),0)</f>
        <v>0</v>
      </c>
      <c r="F12" s="934" t="s">
        <v>1743</v>
      </c>
    </row>
    <row r="13" spans="1:15" x14ac:dyDescent="0.2">
      <c r="A13" s="121" t="s">
        <v>133</v>
      </c>
      <c r="C13" s="689" t="str">
        <f>"from "&amp;FOR&amp;FOR!G20</f>
        <v>from FOR6</v>
      </c>
      <c r="D13" s="690" t="str">
        <f>'Divs (c3)'!A4</f>
        <v>c3.4</v>
      </c>
      <c r="E13" s="370">
        <f>IF(remit_basis=FALSE,TRUNC(MAX(0,FOR!H21),0),0)</f>
        <v>0</v>
      </c>
      <c r="F13" s="934" t="s">
        <v>1743</v>
      </c>
      <c r="K13" s="372"/>
    </row>
    <row r="14" spans="1:15" x14ac:dyDescent="0.2">
      <c r="A14" s="1945" t="s">
        <v>8511</v>
      </c>
      <c r="D14" s="93" t="s">
        <v>2386</v>
      </c>
    </row>
    <row r="15" spans="1:15" x14ac:dyDescent="0.2">
      <c r="A15" s="121" t="s">
        <v>134</v>
      </c>
      <c r="D15" s="93" t="str">
        <f>D12&amp;" to "&amp;D13&amp;" = 0 (zero)"</f>
        <v>c3.3 to c3.4 = 0 (zero)</v>
      </c>
    </row>
    <row r="16" spans="1:15" x14ac:dyDescent="0.2">
      <c r="A16" s="121" t="s">
        <v>1179</v>
      </c>
      <c r="D16" s="93" t="s">
        <v>2495</v>
      </c>
      <c r="H16" s="93" t="str">
        <f>D9&amp;" + "&amp;D12&amp;" + "&amp;D13</f>
        <v>c3.2 + c3.3 + c3.4</v>
      </c>
    </row>
    <row r="17" spans="1:15" x14ac:dyDescent="0.2">
      <c r="A17" s="121" t="s">
        <v>1180</v>
      </c>
      <c r="C17" s="93"/>
      <c r="D17" s="93"/>
      <c r="G17" s="690" t="str">
        <f>'Divs (c3)'!A5</f>
        <v>c3.5</v>
      </c>
      <c r="H17" s="370">
        <f>MAX(0,E9+E12+E13-(TCRWS!H14+TCRWS!J14))</f>
        <v>0</v>
      </c>
    </row>
    <row r="18" spans="1:15" x14ac:dyDescent="0.2">
      <c r="A18" s="121" t="s">
        <v>1181</v>
      </c>
      <c r="B18" s="685"/>
      <c r="C18" s="685"/>
      <c r="D18" s="685"/>
      <c r="E18" s="685"/>
      <c r="F18" s="685"/>
      <c r="G18" s="685"/>
      <c r="H18" s="685"/>
      <c r="I18" s="685"/>
      <c r="O18" s="371"/>
    </row>
    <row r="19" spans="1:15" x14ac:dyDescent="0.2">
      <c r="A19" s="121" t="s">
        <v>1639</v>
      </c>
      <c r="B19" s="37"/>
      <c r="C19" s="371"/>
      <c r="D19" s="371"/>
      <c r="E19" s="371"/>
      <c r="F19" s="371"/>
      <c r="G19" s="371"/>
      <c r="H19" s="371"/>
      <c r="I19" s="371"/>
      <c r="O19" s="372"/>
    </row>
    <row r="20" spans="1:15" x14ac:dyDescent="0.2">
      <c r="A20" s="121" t="s">
        <v>1640</v>
      </c>
      <c r="B20" s="687" t="s">
        <v>656</v>
      </c>
      <c r="O20" s="372"/>
    </row>
    <row r="21" spans="1:15" x14ac:dyDescent="0.2">
      <c r="A21" s="121" t="s">
        <v>1135</v>
      </c>
      <c r="B21" s="687" t="s">
        <v>4135</v>
      </c>
      <c r="O21" s="371"/>
    </row>
    <row r="22" spans="1:15" x14ac:dyDescent="0.2">
      <c r="A22" s="121" t="s">
        <v>2282</v>
      </c>
      <c r="O22" s="371"/>
    </row>
    <row r="23" spans="1:15" x14ac:dyDescent="0.2">
      <c r="A23" s="121" t="s">
        <v>1708</v>
      </c>
      <c r="E23" s="682" t="str">
        <f><![CDATA["("&TRU&TRU!G11&" + "&TRU&TRU!C28&") x divs_gross ("&divs_gross_F&")"]]></f>
        <v>(TRU5 + TRU9) x divs_gross (100/92.5)</v>
      </c>
      <c r="O23" s="371"/>
    </row>
    <row r="24" spans="1:15" x14ac:dyDescent="0.2">
      <c r="A24" s="121" t="s">
        <v>1711</v>
      </c>
      <c r="B24" s="687" t="s">
        <v>6140</v>
      </c>
      <c r="D24" s="683" t="str">
        <f>'Divs (c3)'!A6</f>
        <v>c3.6</v>
      </c>
      <c r="E24" s="370">
        <f>TRUNC(TRUNC(TRU!H12,0)*100/data!K47+TRUNC(TRU!D29,0)*100/data!K47,0)</f>
        <v>0</v>
      </c>
      <c r="F24" s="934" t="s">
        <v>1743</v>
      </c>
      <c r="O24" s="102"/>
    </row>
    <row r="25" spans="1:15" x14ac:dyDescent="0.2">
      <c r="A25" s="121" t="s">
        <v>2404</v>
      </c>
      <c r="G25" s="38"/>
      <c r="H25" s="38"/>
    </row>
    <row r="26" spans="1:15" x14ac:dyDescent="0.2">
      <c r="A26" s="121" t="s">
        <v>3137</v>
      </c>
      <c r="E26" s="682" t="str">
        <f>TRU&amp;TRU!K15&amp;" x divs_gross ("&amp;divs_gross_F&amp;")"</f>
        <v>TRU18 x divs_gross (100/92.5)</v>
      </c>
      <c r="J26" s="371"/>
      <c r="K26" s="371"/>
      <c r="L26" s="371"/>
      <c r="M26" s="372"/>
      <c r="N26" s="371"/>
    </row>
    <row r="27" spans="1:15" x14ac:dyDescent="0.2">
      <c r="A27" s="121" t="s">
        <v>2566</v>
      </c>
      <c r="B27" s="687" t="s">
        <v>5079</v>
      </c>
      <c r="D27" s="683" t="str">
        <f>'Divs (c3)'!A7</f>
        <v>c3.7</v>
      </c>
      <c r="E27" s="370">
        <f>TRUNC(TRUNC(TRU!L16,0)*100/data!K47,0)</f>
        <v>0</v>
      </c>
      <c r="F27" s="934" t="s">
        <v>1743</v>
      </c>
      <c r="G27" s="38"/>
      <c r="H27" s="38"/>
      <c r="K27" s="106"/>
      <c r="N27" s="371"/>
    </row>
    <row r="28" spans="1:15" x14ac:dyDescent="0.2">
      <c r="N28" s="371"/>
    </row>
    <row r="29" spans="1:15" x14ac:dyDescent="0.2">
      <c r="E29" s="689" t="str">
        <f>TRU&amp;TRU!G24&amp;" x trust_div_gross ("&amp;trust_div_gross_F&amp;")"</f>
        <v>TRU12 x trust_div_gross (100/61.9)</v>
      </c>
    </row>
    <row r="30" spans="1:15" x14ac:dyDescent="0.2">
      <c r="B30" s="687" t="s">
        <v>6141</v>
      </c>
      <c r="D30" s="683" t="str">
        <f>'Divs (c3)'!A8</f>
        <v>c3.8</v>
      </c>
      <c r="E30" s="370">
        <f>TRUNC(TRUNC(TRU!H25,0)*100/data!K53,0)</f>
        <v>0</v>
      </c>
      <c r="F30" s="934" t="s">
        <v>1743</v>
      </c>
      <c r="G30" s="38"/>
      <c r="H30" s="38"/>
    </row>
    <row r="32" spans="1:15" x14ac:dyDescent="0.2">
      <c r="H32" s="93" t="str">
        <f>D24&amp;" + "&amp;D27&amp;" + "&amp;D30</f>
        <v>c3.6 + c3.7 + c3.8</v>
      </c>
      <c r="I32" s="371"/>
      <c r="J32" s="371"/>
      <c r="K32" s="371"/>
      <c r="L32" s="371"/>
      <c r="M32" s="371"/>
      <c r="N32" s="371"/>
    </row>
    <row r="33" spans="2:14" x14ac:dyDescent="0.2">
      <c r="B33" s="687" t="s">
        <v>6145</v>
      </c>
      <c r="C33" s="93"/>
      <c r="D33" s="93"/>
      <c r="G33" s="683" t="str">
        <f>'Divs (c3)'!A9</f>
        <v>c3.9</v>
      </c>
      <c r="H33" s="370">
        <f>E24+E27+E30</f>
        <v>0</v>
      </c>
      <c r="J33" s="371"/>
      <c r="K33" s="371"/>
      <c r="L33" s="371"/>
      <c r="M33" s="371"/>
      <c r="N33" s="371"/>
    </row>
    <row r="34" spans="2:14" x14ac:dyDescent="0.2">
      <c r="B34" s="685"/>
      <c r="C34" s="685"/>
      <c r="D34" s="685"/>
      <c r="E34" s="685"/>
      <c r="F34" s="685"/>
      <c r="G34" s="685"/>
      <c r="H34" s="685"/>
      <c r="I34" s="685"/>
    </row>
    <row r="35" spans="2:14" x14ac:dyDescent="0.2">
      <c r="B35" s="37"/>
      <c r="C35" s="371"/>
      <c r="D35" s="371"/>
      <c r="E35" s="371"/>
      <c r="F35" s="371"/>
      <c r="G35" s="371"/>
      <c r="H35" s="371"/>
      <c r="I35" s="371"/>
    </row>
    <row r="36" spans="2:14" x14ac:dyDescent="0.2">
      <c r="B36" s="687" t="s">
        <v>2436</v>
      </c>
      <c r="F36" s="707"/>
      <c r="G36" s="38"/>
      <c r="H36" s="38"/>
    </row>
    <row r="37" spans="2:14" x14ac:dyDescent="0.2">
      <c r="C37" s="682" t="str">
        <f>"from "&amp;INC&amp;'INC(1)'!I15</f>
        <v>from INC4</v>
      </c>
      <c r="D37" s="683" t="str">
        <f>'Divs (c3)'!A10</f>
        <v>c3.10</v>
      </c>
      <c r="E37" s="370">
        <f>TRUNC('INC(1)'!J16,0)</f>
        <v>0</v>
      </c>
      <c r="F37" s="934" t="s">
        <v>1743</v>
      </c>
      <c r="G37" s="38"/>
      <c r="H37" s="38"/>
    </row>
    <row r="38" spans="2:14" x14ac:dyDescent="0.2">
      <c r="B38" s="372"/>
      <c r="C38" s="682" t="str">
        <f>"from "&amp;INC&amp;'INC(1)'!I18</f>
        <v>from INC5</v>
      </c>
      <c r="D38" s="1779" t="str">
        <f>A11</f>
        <v>c3.11</v>
      </c>
      <c r="E38" s="1296">
        <f>TRUNC('INC(1)'!J19,0)</f>
        <v>12750</v>
      </c>
      <c r="F38" s="934" t="s">
        <v>1743</v>
      </c>
      <c r="G38" s="38"/>
      <c r="H38" s="38"/>
    </row>
    <row r="39" spans="2:14" x14ac:dyDescent="0.2">
      <c r="B39" s="372"/>
      <c r="C39" s="689" t="str">
        <f>"from "&amp;AOI&amp;AOI!C28</f>
        <v>from AOI12</v>
      </c>
      <c r="D39" s="683" t="str">
        <f>'Divs (c3)'!A12</f>
        <v>c3.12</v>
      </c>
      <c r="E39" s="370">
        <f>TRUNC(AOI!D29,0)</f>
        <v>0</v>
      </c>
      <c r="F39" s="934" t="s">
        <v>1743</v>
      </c>
      <c r="G39" s="36"/>
      <c r="H39" s="38"/>
    </row>
    <row r="40" spans="2:14" x14ac:dyDescent="0.2">
      <c r="B40" s="372"/>
      <c r="C40" s="689" t="str">
        <f>"from "&amp;AOI&amp;AOI!G28</f>
        <v>from AOI13</v>
      </c>
      <c r="D40" s="683" t="str">
        <f>'Divs (c3)'!A13</f>
        <v>c3.13</v>
      </c>
      <c r="E40" s="370">
        <f>TRUNC(AOI!H29)</f>
        <v>0</v>
      </c>
      <c r="F40" s="934" t="s">
        <v>1743</v>
      </c>
    </row>
    <row r="41" spans="2:14" x14ac:dyDescent="0.2">
      <c r="C41" s="4076" t="str">
        <f>"from "&amp;AOI&amp;AOI!G31</f>
        <v>from AOI13.1</v>
      </c>
      <c r="D41" s="4077" t="str">
        <f>'Divs (c3)'!A14</f>
        <v>c3.13a</v>
      </c>
      <c r="E41" s="370">
        <f>TRUNC(AOI!H32)</f>
        <v>0</v>
      </c>
      <c r="F41" s="934" t="s">
        <v>1743</v>
      </c>
      <c r="I41" s="128"/>
    </row>
    <row r="42" spans="2:14" x14ac:dyDescent="0.2">
      <c r="H42" s="2325" t="str">
        <f><![CDATA[D37&" + "&D38&" + "&D39&" + "&D40&" + "&D41]]></f>
        <v>c3.10 + c3.11 + c3.12 + c3.13 + c3.13a</v>
      </c>
    </row>
    <row r="43" spans="2:14" x14ac:dyDescent="0.2">
      <c r="B43" s="687" t="s">
        <v>6981</v>
      </c>
      <c r="G43" s="683" t="str">
        <f>'Divs (c3)'!A15</f>
        <v>c3.14</v>
      </c>
      <c r="H43" s="370">
        <f>E37+E38+E39+E40+E41</f>
        <v>12750</v>
      </c>
    </row>
    <row r="44" spans="2:14" x14ac:dyDescent="0.2">
      <c r="B44" s="685"/>
      <c r="C44" s="685"/>
      <c r="D44" s="685"/>
      <c r="E44" s="685"/>
      <c r="F44" s="685"/>
      <c r="G44" s="685"/>
      <c r="H44" s="685"/>
      <c r="I44" s="685"/>
    </row>
    <row r="45" spans="2:14" x14ac:dyDescent="0.2">
      <c r="B45" s="37"/>
      <c r="C45" s="371"/>
      <c r="D45" s="371"/>
      <c r="E45" s="371"/>
      <c r="F45" s="371"/>
      <c r="G45" s="371"/>
      <c r="H45" s="371"/>
      <c r="I45" s="371"/>
    </row>
    <row r="46" spans="2:14" x14ac:dyDescent="0.2">
      <c r="B46" s="102"/>
      <c r="C46" s="128"/>
      <c r="G46" s="128"/>
      <c r="H46" s="128" t="str">
        <f>G5&amp;" + "&amp;G17&amp;" + "&amp;G33&amp;" + "&amp;G43</f>
        <v>c3.1 + c3.5 + c3.9 + c3.14</v>
      </c>
      <c r="I46" s="102"/>
    </row>
    <row r="47" spans="2:14" x14ac:dyDescent="0.2">
      <c r="B47" s="415" t="s">
        <v>905</v>
      </c>
      <c r="C47" s="371"/>
      <c r="D47" s="371"/>
      <c r="E47" s="371"/>
      <c r="F47" s="371"/>
      <c r="G47" s="683" t="str">
        <f>'Divs (c3)'!A16</f>
        <v>c3.15</v>
      </c>
      <c r="H47" s="370">
        <f>H5+H17+H33+H43</f>
        <v>12750</v>
      </c>
    </row>
    <row ht="12.75" r="48" spans="2:14" thickBot="1" x14ac:dyDescent="0.25">
      <c r="B48" s="1240"/>
      <c r="C48" s="1240"/>
      <c r="D48" s="1240"/>
      <c r="E48" s="1240"/>
      <c r="F48" s="1240"/>
      <c r="G48" s="1240"/>
      <c r="H48" s="1240"/>
      <c r="I48" s="1240"/>
    </row>
    <row r="49" spans="2:9" x14ac:dyDescent="0.2">
      <c r="B49" s="1241"/>
      <c r="C49" s="1241"/>
      <c r="D49" s="1241"/>
      <c r="E49" s="1241"/>
      <c r="F49" s="1241"/>
      <c r="G49" s="1241"/>
      <c r="H49" s="1241"/>
      <c r="I49" s="1241"/>
    </row>
    <row r="50" spans="2:9" x14ac:dyDescent="0.2">
      <c r="B50" s="415" t="s">
        <v>1357</v>
      </c>
    </row>
    <row r="51" spans="2:9" x14ac:dyDescent="0.2">
      <c r="H51" s="128" t="str">
        <f>"from "&amp;'Savings (c2)'!E19</f>
        <v>from c2.5</v>
      </c>
    </row>
    <row r="52" spans="2:9" x14ac:dyDescent="0.2">
      <c r="B52" s="687" t="s">
        <v>1370</v>
      </c>
      <c r="E52" s="684"/>
      <c r="G52" s="683" t="str">
        <f>'Divs (c3)'!A17</f>
        <v>c3.16</v>
      </c>
      <c r="H52" s="370">
        <f>'Savings (c2)'!F19</f>
        <v>0</v>
      </c>
      <c r="I52" s="934"/>
    </row>
    <row r="54" spans="2:9" x14ac:dyDescent="0.2">
      <c r="H54" s="688" t="str">
        <f>"from "&amp;AOI&amp;AOI!C13</f>
        <v>from AOI4</v>
      </c>
    </row>
    <row r="55" spans="2:9" x14ac:dyDescent="0.2">
      <c r="B55" s="687" t="s">
        <v>658</v>
      </c>
      <c r="C55" s="371"/>
      <c r="D55" s="372"/>
      <c r="E55" s="371"/>
      <c r="G55" s="683" t="str">
        <f>'Divs (c3)'!A18</f>
        <v>c3.17</v>
      </c>
      <c r="H55" s="370">
        <f>TRUNC(AOI!D14,0)</f>
        <v>0</v>
      </c>
      <c r="I55" s="934" t="s">
        <v>1743</v>
      </c>
    </row>
    <row r="56" spans="2:9" x14ac:dyDescent="0.2">
      <c r="F56" s="684"/>
      <c r="G56" s="684"/>
    </row>
    <row r="57" spans="2:9" x14ac:dyDescent="0.2">
      <c r="F57" s="684"/>
      <c r="G57" s="687"/>
      <c r="H57" s="128" t="str">
        <f>G52&amp;" + "&amp;G55</f>
        <v>c3.16 + c3.17</v>
      </c>
    </row>
    <row r="58" spans="2:9" x14ac:dyDescent="0.2">
      <c r="F58" s="684"/>
      <c r="G58" s="683" t="str">
        <f>'Divs (c3)'!A19</f>
        <v>c3.18</v>
      </c>
      <c r="H58" s="370">
        <f>MAX(0,H52+H55-TCRWS!L14)</f>
        <v>0</v>
      </c>
    </row>
    <row r="59" spans="2:9" x14ac:dyDescent="0.2">
      <c r="B59" s="685"/>
      <c r="C59" s="685"/>
      <c r="D59" s="685"/>
      <c r="E59" s="685"/>
      <c r="F59" s="685"/>
      <c r="G59" s="685"/>
      <c r="H59" s="685"/>
      <c r="I59" s="685"/>
    </row>
    <row r="61" spans="2:9" x14ac:dyDescent="0.2">
      <c r="B61" s="661" t="s">
        <v>2777</v>
      </c>
    </row>
    <row r="62" spans="2:9" x14ac:dyDescent="0.2">
      <c r="H62" s="688" t="str">
        <f>TRU&amp;TRU!O6&amp;" x NS_gross ("&amp;NS_gross_F&amp;")"</f>
        <v>TRU19 x NS_gross (100/80)</v>
      </c>
    </row>
    <row r="63" spans="2:9" x14ac:dyDescent="0.2">
      <c r="B63" s="687" t="s">
        <v>656</v>
      </c>
      <c r="D63" s="371"/>
      <c r="E63" s="371"/>
      <c r="G63" s="683" t="str">
        <f>'Divs (c3)'!A20</f>
        <v>c3.19</v>
      </c>
      <c r="H63" s="370">
        <f>TRUNC(TRU!P7*NS_gross,0)</f>
        <v>0</v>
      </c>
      <c r="I63" s="934" t="s">
        <v>1743</v>
      </c>
    </row>
    <row r="64" spans="2:9" x14ac:dyDescent="0.2">
      <c r="F64" s="684"/>
      <c r="G64" s="684"/>
    </row>
    <row r="65" spans="1:9" x14ac:dyDescent="0.2">
      <c r="H65" s="689" t="str">
        <f>"from "&amp;TRU&amp;TRU!G6</f>
        <v>from TRU2</v>
      </c>
    </row>
    <row r="66" spans="1:9" x14ac:dyDescent="0.2">
      <c r="G66" s="683" t="str">
        <f>'Divs (c3)'!A21</f>
        <v>c3.20</v>
      </c>
      <c r="H66" s="370">
        <f>TRUNC(TRU!H7,0)</f>
        <v>0</v>
      </c>
      <c r="I66" s="934" t="s">
        <v>1743</v>
      </c>
    </row>
    <row r="67" spans="1:9" x14ac:dyDescent="0.2">
      <c r="B67" s="685"/>
      <c r="C67" s="685"/>
      <c r="D67" s="685"/>
      <c r="E67" s="685"/>
      <c r="F67" s="685"/>
      <c r="G67" s="685"/>
      <c r="H67" s="685"/>
      <c r="I67" s="685"/>
    </row>
    <row r="69" spans="1:9" x14ac:dyDescent="0.2">
      <c r="C69" s="102"/>
      <c r="D69" s="102"/>
      <c r="E69" s="102"/>
      <c r="F69" s="102"/>
      <c r="H69" s="128" t="str">
        <f><![CDATA['NS income (c1)'!I149&" + "&'NS income (c1)'!I153&" + "&'Savings (c2)'!H77&" + "&G47&" + "&G58&" + "&G63&" + "&G66]]></f>
        <v>c1.57 + c1.58 + c2.19 + c3.15 + c3.18 + c3.19 + c3.20</v>
      </c>
    </row>
    <row r="70" spans="1:9" x14ac:dyDescent="0.2">
      <c r="B70" s="415" t="s">
        <v>3904</v>
      </c>
      <c r="G70" s="683" t="str">
        <f>'Divs (c3)'!A22</f>
        <v>c3.21</v>
      </c>
      <c r="H70" s="708">
        <f>'NS income (c1)'!J149+'NS income (c1)'!J153+'Savings (c2)'!I77+H47+H58+H63+H66</f>
        <v>63872</v>
      </c>
    </row>
    <row r="71" spans="1:9" x14ac:dyDescent="0.2">
      <c r="B71" s="685"/>
      <c r="C71" s="685"/>
      <c r="D71" s="685"/>
      <c r="E71" s="685"/>
      <c r="F71" s="685"/>
      <c r="G71" s="685"/>
      <c r="H71" s="685"/>
      <c r="I71" s="685"/>
    </row>
    <row r="73" spans="1:9" x14ac:dyDescent="0.2">
      <c r="B73" s="711" t="s">
        <v>2437</v>
      </c>
    </row>
    <row r="75" spans="1:9" x14ac:dyDescent="0.2">
      <c r="A75" s="2303"/>
      <c r="B75" s="711" t="s">
        <v>973</v>
      </c>
    </row>
    <row customFormat="1" r="76" s="2303" spans="1:9" x14ac:dyDescent="0.2">
      <c r="A76" s="121"/>
      <c r="B76" s="711"/>
    </row>
    <row r="77" spans="1:9" x14ac:dyDescent="0.2">
      <c r="B77" s="684" t="s">
        <v>1709</v>
      </c>
      <c r="H77" s="689" t="str">
        <f>"from NRD"&amp;NRD!D16</f>
        <v>from NRD20</v>
      </c>
    </row>
    <row r="78" spans="1:9" x14ac:dyDescent="0.2">
      <c r="B78" s="684" t="s">
        <v>1710</v>
      </c>
      <c r="G78" s="683" t="str">
        <f>'Divs (c3)'!A23</f>
        <v>c3.22</v>
      </c>
      <c r="H78" s="370">
        <f>TRUNC(NRD!E17,0)</f>
        <v>0</v>
      </c>
      <c r="I78" s="932" t="s">
        <v>1743</v>
      </c>
    </row>
    <row r="80" spans="1:9" x14ac:dyDescent="0.2">
      <c r="H80" s="128" t="str">
        <f>G70&amp;" + "&amp;G78</f>
        <v>c3.21 + c3.22</v>
      </c>
    </row>
    <row r="81" spans="1:9" x14ac:dyDescent="0.2">
      <c r="B81" s="415" t="s">
        <v>4145</v>
      </c>
      <c r="G81" s="683" t="str">
        <f>'Divs (c3)'!A24</f>
        <v>c3.23</v>
      </c>
      <c r="H81" s="708">
        <f>H70+H78</f>
        <v>63872</v>
      </c>
    </row>
    <row r="82" spans="1:9" x14ac:dyDescent="0.2">
      <c r="B82" s="685"/>
      <c r="C82" s="685"/>
      <c r="D82" s="685"/>
      <c r="E82" s="685"/>
      <c r="F82" s="685"/>
      <c r="G82" s="685"/>
      <c r="H82" s="685"/>
      <c r="I82" s="685"/>
    </row>
    <row r="84" spans="1:9" x14ac:dyDescent="0.2">
      <c r="H84" s="692" t="str">
        <f>"from "&amp;AIL&amp;AIL!G5</f>
        <v>from AIL6</v>
      </c>
    </row>
    <row r="85" spans="1:9" x14ac:dyDescent="0.2">
      <c r="B85" s="121" t="s">
        <v>4148</v>
      </c>
      <c r="G85" s="726" t="str">
        <f>A25</f>
        <v>c3.24</v>
      </c>
      <c r="H85" s="109">
        <f>TRUNC(AIL!H6,0)</f>
        <v>0</v>
      </c>
      <c r="I85" s="932" t="s">
        <v>1743</v>
      </c>
    </row>
    <row r="87" spans="1:9" x14ac:dyDescent="0.2">
      <c r="H87" s="692" t="str">
        <f><![CDATA["from "&REL&'REL(1)'!C6&" + "&REL&'REL(1)'!C9&" + "&REL&'REL(1)'!H6&" + "&REL&'REL(1)'!H9]]></f>
        <v>from REL1 + REL2 + REL3 + REL4</v>
      </c>
    </row>
    <row r="88" spans="1:9" x14ac:dyDescent="0.2">
      <c r="B88" s="1215" t="s">
        <v>4147</v>
      </c>
      <c r="C88" s="117"/>
      <c r="D88" s="117"/>
      <c r="E88" s="117"/>
      <c r="G88" s="726" t="str">
        <f>A26</f>
        <v>c3.25</v>
      </c>
      <c r="H88" s="109">
        <f>TRUNC('REL(1)'!D7+0.99,0)+TRUNC('REL(1)'!D10+0.99,0)+TRUNC('REL(1)'!I7+0.99,0)+TRUNC('REL(1)'!I10+0.99,0)</f>
        <v>2200</v>
      </c>
      <c r="I88" s="932" t="s">
        <v>3701</v>
      </c>
    </row>
    <row r="90" spans="1:9" x14ac:dyDescent="0.2">
      <c r="B90" s="415"/>
      <c r="H90" s="93" t="str">
        <f>"("&amp;G81&amp;" + "&amp;G85&amp;") minus "&amp;G88</f>
        <v>(c3.23 + c3.24) minus c3.25</v>
      </c>
    </row>
    <row r="91" spans="1:9" x14ac:dyDescent="0.2">
      <c r="B91" s="415" t="s">
        <v>6982</v>
      </c>
      <c r="G91" s="726" t="str">
        <f>A27</f>
        <v>c3.26</v>
      </c>
      <c r="H91" s="109">
        <f>MAX(0,(H81+H85)-H88)</f>
        <v>61672</v>
      </c>
    </row>
    <row r="92" spans="1:9" x14ac:dyDescent="0.2">
      <c r="H92" s="121" t="str">
        <f>"Copy to "&amp;'Deductions (c4)'!D156</f>
        <v>Copy to c4.41</v>
      </c>
    </row>
    <row r="94" spans="1:9" x14ac:dyDescent="0.2">
      <c r="A94" s="117"/>
    </row>
  </sheetData>
  <phoneticPr fontId="67" type="noConversion"/>
  <pageMargins bottom="0.19685" footer="0" header="0" left="0.19685" right="0.19685" top="0.19685"/>
  <pageSetup horizontalDpi="4294967293" orientation="portrait" paperSize="9" r:id="rId1" verticalDpi="1200"/>
  <headerFooter alignWithMargins="0"/>
</worksheet>
</file>

<file path=xl/worksheets/sheet62.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Sheet88">
    <tabColor rgb="FFB482DA"/>
  </sheetPr>
  <dimension ref="A1:AC44"/>
  <sheetViews>
    <sheetView showGridLines="0" topLeftCell="B10" workbookViewId="0">
      <selection activeCell="J14" sqref="J14"/>
    </sheetView>
  </sheetViews>
  <sheetFormatPr defaultColWidth="9.140625" defaultRowHeight="12.75" x14ac:dyDescent="0.2"/>
  <cols>
    <col min="1" max="1" customWidth="true" hidden="true" style="7" width="5.28515625" collapsed="true"/>
    <col min="2" max="2" customWidth="true" style="7" width="43.140625" collapsed="true"/>
    <col min="3" max="3" customWidth="true" style="7" width="10.42578125" collapsed="true"/>
    <col min="4" max="4" customWidth="true" style="7" width="5.7109375" collapsed="true"/>
    <col min="5" max="5" customWidth="true" style="7" width="16.140625" collapsed="true"/>
    <col min="6" max="6" customWidth="true" style="7" width="10.5703125" collapsed="true"/>
    <col min="7" max="7" customWidth="true" style="7" width="6.0" collapsed="true"/>
    <col min="8" max="8" customWidth="true" style="7" width="6.140625" collapsed="true"/>
    <col min="9" max="9" customWidth="true" style="7" width="16.140625" collapsed="true"/>
    <col min="10" max="10" customWidth="true" style="7" width="12.7109375" collapsed="true"/>
    <col min="11" max="12" customWidth="true" style="7" width="6.0" collapsed="true"/>
    <col min="13" max="13" customWidth="true" style="7" width="16.140625" collapsed="true"/>
    <col min="14" max="14" customWidth="true" style="7" width="12.7109375" collapsed="true"/>
    <col min="15" max="15" customWidth="true" style="7" width="6.0" collapsed="true"/>
    <col min="16" max="16" customWidth="true" style="7" width="6.140625" collapsed="true"/>
    <col min="17" max="17" customWidth="true" style="7" width="16.140625" collapsed="true"/>
    <col min="18" max="18" customWidth="true" style="7" width="13.140625" collapsed="true"/>
    <col min="19" max="19" customWidth="true" style="7" width="12.7109375" collapsed="true"/>
    <col min="20" max="20" customWidth="true" style="7" width="6.140625" collapsed="true"/>
    <col min="21" max="21" customWidth="true" style="7" width="16.140625" collapsed="true"/>
    <col min="22" max="22" customWidth="true" style="7" width="12.7109375" collapsed="true"/>
    <col min="23" max="24" customWidth="true" style="7" width="6.140625" collapsed="true"/>
    <col min="25" max="25" customWidth="true" style="7" width="16.0" collapsed="true"/>
    <col min="26" max="26" customWidth="true" style="7" width="13.140625" collapsed="true"/>
    <col min="27" max="27" customWidth="true" style="7" width="6.140625" collapsed="true"/>
    <col min="28" max="28" customWidth="true" style="7" width="16.140625" collapsed="true"/>
    <col min="29" max="16384" style="7" width="9.140625" collapsed="true"/>
  </cols>
  <sheetData>
    <row ht="18" r="1" spans="1:21" x14ac:dyDescent="0.25">
      <c r="A1" s="979" t="s">
        <v>6400</v>
      </c>
      <c r="B1" s="2724" t="s">
        <v>6453</v>
      </c>
    </row>
    <row r="2" spans="1:21" x14ac:dyDescent="0.2">
      <c r="A2" s="7" t="s">
        <v>6750</v>
      </c>
      <c r="E2" s="3028" t="s">
        <v>7394</v>
      </c>
      <c r="F2" s="3032"/>
      <c r="G2" s="3032"/>
      <c r="H2" s="3032"/>
      <c r="I2" s="3033"/>
    </row>
    <row r="3" spans="1:21" x14ac:dyDescent="0.2">
      <c r="A3" s="979" t="s">
        <v>6401</v>
      </c>
    </row>
    <row r="4" spans="1:21" x14ac:dyDescent="0.2">
      <c r="A4" s="979" t="s">
        <v>6751</v>
      </c>
      <c r="B4" s="2982" t="s">
        <v>6364</v>
      </c>
      <c r="C4" s="2982"/>
      <c r="D4" s="37"/>
      <c r="E4" s="2982"/>
      <c r="F4" s="2982"/>
      <c r="G4" s="37"/>
      <c r="H4" s="37"/>
      <c r="I4" s="386"/>
      <c r="J4" s="386"/>
      <c r="K4" s="386"/>
      <c r="L4" s="709"/>
      <c r="M4" s="988"/>
      <c r="N4" s="2982"/>
      <c r="O4" s="386"/>
      <c r="P4" s="2982"/>
      <c r="Q4" s="2982"/>
      <c r="R4" s="2982"/>
      <c r="S4" s="2982"/>
      <c r="T4" s="2982"/>
      <c r="U4" s="2982"/>
    </row>
    <row r="5" spans="1:21" x14ac:dyDescent="0.2">
      <c r="A5" s="979" t="s">
        <v>7390</v>
      </c>
      <c r="B5" s="3149" t="s">
        <v>7482</v>
      </c>
      <c r="C5" s="2982"/>
      <c r="D5" s="37"/>
      <c r="E5" s="2982"/>
      <c r="F5" s="2982"/>
      <c r="G5" s="37"/>
      <c r="H5" s="37"/>
      <c r="I5" s="386"/>
      <c r="J5" s="386"/>
      <c r="K5" s="386"/>
      <c r="L5" s="709"/>
      <c r="M5" s="988"/>
      <c r="N5" s="2982"/>
      <c r="O5" s="386"/>
      <c r="P5" s="2982"/>
      <c r="Q5" s="2982"/>
      <c r="R5" s="2982"/>
      <c r="S5" s="2982"/>
      <c r="T5" s="2982"/>
      <c r="U5" s="2982"/>
    </row>
    <row r="6" spans="1:21" x14ac:dyDescent="0.2">
      <c r="A6" s="979" t="s">
        <v>6402</v>
      </c>
      <c r="B6" s="981"/>
      <c r="C6" s="981"/>
      <c r="D6" s="974"/>
      <c r="E6" s="981"/>
      <c r="F6" s="981"/>
      <c r="G6" s="974"/>
      <c r="H6" s="974"/>
      <c r="I6" s="981"/>
      <c r="J6" s="981"/>
      <c r="K6" s="981"/>
      <c r="L6" s="2116"/>
      <c r="M6" s="1938"/>
      <c r="N6" s="981"/>
      <c r="O6" s="981"/>
      <c r="P6" s="981"/>
      <c r="Q6" s="981"/>
      <c r="R6" s="2982"/>
      <c r="S6" s="2982"/>
      <c r="T6" s="2982"/>
      <c r="U6" s="2982"/>
    </row>
    <row r="7" spans="1:21" x14ac:dyDescent="0.2">
      <c r="A7" s="979" t="s">
        <v>6766</v>
      </c>
      <c r="B7" s="2982"/>
      <c r="C7" s="2982"/>
      <c r="D7" s="37"/>
      <c r="E7" s="2982"/>
      <c r="F7" s="2982"/>
      <c r="G7" s="37"/>
      <c r="H7" s="37"/>
      <c r="I7" s="386"/>
      <c r="J7" s="386"/>
      <c r="K7" s="386"/>
      <c r="L7" s="709"/>
      <c r="M7" s="988"/>
      <c r="N7" s="2982"/>
      <c r="O7" s="386"/>
      <c r="P7" s="2982"/>
      <c r="Q7" s="2982"/>
      <c r="R7" s="2982"/>
      <c r="S7" s="2982"/>
      <c r="T7" s="2982"/>
      <c r="U7" s="2982"/>
    </row>
    <row r="8" spans="1:21" x14ac:dyDescent="0.2">
      <c r="A8" s="979" t="s">
        <v>6786</v>
      </c>
      <c r="B8" s="4343"/>
      <c r="C8" s="1057"/>
      <c r="D8" s="993"/>
      <c r="E8" s="1057"/>
      <c r="F8" s="1057"/>
      <c r="G8" s="993"/>
      <c r="H8" s="993"/>
      <c r="I8" s="1057"/>
      <c r="J8" s="386"/>
      <c r="K8" s="386"/>
      <c r="L8" s="709"/>
      <c r="M8" s="988"/>
      <c r="N8" s="2982"/>
      <c r="O8" s="386"/>
      <c r="P8" s="2982"/>
      <c r="Q8" s="2982"/>
      <c r="R8" s="2982"/>
      <c r="S8" s="2982"/>
      <c r="T8" s="2982"/>
      <c r="U8" s="2982"/>
    </row>
    <row r="9" spans="1:21" x14ac:dyDescent="0.2">
      <c r="A9" s="979" t="s">
        <v>6433</v>
      </c>
      <c r="B9" s="2982" t="str">
        <f>"if "&amp;NRD!P4&amp;" = Y"</f>
        <v>if box_NRD1 = Y</v>
      </c>
      <c r="C9" s="2982"/>
      <c r="D9" s="37"/>
      <c r="E9" s="1057"/>
      <c r="F9" s="2982"/>
      <c r="G9" s="37"/>
      <c r="H9" s="37"/>
      <c r="I9" s="386"/>
      <c r="J9" s="386"/>
      <c r="K9" s="386"/>
      <c r="L9" s="709"/>
      <c r="M9" s="988"/>
      <c r="N9" s="2982"/>
      <c r="O9" s="386"/>
      <c r="P9" s="2982"/>
      <c r="Q9" s="2982"/>
      <c r="R9" s="2982"/>
      <c r="S9" s="2982"/>
      <c r="T9" s="2982"/>
      <c r="U9" s="2982"/>
    </row>
    <row r="10" spans="1:21" x14ac:dyDescent="0.2">
      <c r="A10" s="979" t="s">
        <v>6767</v>
      </c>
      <c r="B10" s="2982" t="str">
        <f>D21&amp;" = 1"</f>
        <v>c3a.1 = 1</v>
      </c>
      <c r="C10" s="2982"/>
      <c r="D10" s="37"/>
      <c r="E10" s="2982"/>
      <c r="F10" s="2982"/>
      <c r="G10" s="37"/>
      <c r="H10" s="37"/>
      <c r="I10" s="386"/>
      <c r="J10" s="386"/>
      <c r="K10" s="386"/>
      <c r="L10" s="709"/>
      <c r="M10" s="988"/>
      <c r="N10" s="2982"/>
      <c r="O10" s="386"/>
      <c r="P10" s="2982"/>
      <c r="Q10" s="2982"/>
      <c r="R10" s="2982"/>
      <c r="S10" s="2982"/>
      <c r="T10" s="2982"/>
      <c r="U10" s="2982"/>
    </row>
    <row r="11" spans="1:21" x14ac:dyDescent="0.2">
      <c r="A11" s="979" t="s">
        <v>6434</v>
      </c>
      <c r="B11" s="2982" t="s">
        <v>2386</v>
      </c>
      <c r="C11" s="2982"/>
      <c r="D11" s="37"/>
      <c r="E11" s="3154" t="s">
        <v>7393</v>
      </c>
      <c r="F11" s="2982"/>
      <c r="G11" s="37"/>
      <c r="H11" s="37"/>
      <c r="I11" s="386"/>
      <c r="J11" s="386"/>
      <c r="K11" s="386"/>
      <c r="L11" s="709"/>
      <c r="M11" s="988"/>
      <c r="N11" s="2982"/>
      <c r="O11" s="386"/>
      <c r="P11" s="2982"/>
      <c r="Q11" s="2982"/>
      <c r="R11" s="2982"/>
      <c r="S11" s="2982"/>
      <c r="T11" s="2982"/>
      <c r="U11" s="2982"/>
    </row>
    <row r="12" spans="1:21" x14ac:dyDescent="0.2">
      <c r="A12" s="979" t="s">
        <v>6435</v>
      </c>
      <c r="B12" s="2982" t="str">
        <f>"Calculate "&amp;D21</f>
        <v>Calculate c3a.1</v>
      </c>
      <c r="C12" s="3153"/>
      <c r="D12" s="3149"/>
      <c r="E12" s="3154" t="str">
        <f>D21&amp;" = 2"</f>
        <v>c3a.1 = 2</v>
      </c>
      <c r="F12" s="2982"/>
      <c r="G12" s="37"/>
      <c r="H12" s="37"/>
      <c r="I12" s="386"/>
      <c r="J12" s="386"/>
      <c r="K12" s="386"/>
      <c r="L12" s="709"/>
      <c r="M12" s="988"/>
      <c r="N12" s="2982"/>
      <c r="O12" s="386"/>
      <c r="P12" s="2982"/>
      <c r="Q12" s="2982"/>
      <c r="R12" s="2982"/>
      <c r="S12" s="2982"/>
      <c r="T12" s="2982"/>
      <c r="U12" s="2982"/>
    </row>
    <row r="13" spans="1:21" x14ac:dyDescent="0.2">
      <c r="B13" s="723"/>
      <c r="C13" s="3149"/>
      <c r="D13" s="3149"/>
      <c r="E13" s="3149" t="s">
        <v>2386</v>
      </c>
      <c r="F13" s="2982"/>
      <c r="G13" s="711"/>
      <c r="H13" s="2982"/>
      <c r="I13" s="1270"/>
      <c r="J13" s="2982"/>
      <c r="K13" s="2982"/>
      <c r="L13" s="2982"/>
      <c r="M13" s="1270"/>
      <c r="N13" s="1297"/>
      <c r="O13" s="2982"/>
      <c r="P13" s="2982"/>
      <c r="Q13" s="2982"/>
      <c r="R13" s="2982"/>
      <c r="S13" s="2982"/>
      <c r="T13" s="2982"/>
      <c r="U13" s="2982"/>
    </row>
    <row customFormat="1" ht="12" r="14" s="2982" spans="1:21" x14ac:dyDescent="0.2">
      <c r="B14" s="723"/>
      <c r="E14" s="3154" t="s">
        <v>7517</v>
      </c>
    </row>
    <row customFormat="1" ht="12" r="15" s="2982" spans="1:21" x14ac:dyDescent="0.2">
      <c r="B15" s="723"/>
      <c r="C15" s="3155"/>
      <c r="D15" s="3149"/>
      <c r="E15" s="3154" t="str">
        <f>D21&amp;" = 3"</f>
        <v>c3a.1 = 3</v>
      </c>
    </row>
    <row customFormat="1" ht="12" r="16" s="3140" spans="1:21" x14ac:dyDescent="0.2">
      <c r="B16" s="723"/>
      <c r="C16" s="3155"/>
      <c r="D16" s="3149"/>
      <c r="E16" s="3149" t="s">
        <v>2386</v>
      </c>
    </row>
    <row customFormat="1" ht="12" r="17" s="3140" spans="2:28" x14ac:dyDescent="0.2">
      <c r="B17" s="723"/>
      <c r="C17" s="3139"/>
      <c r="E17" s="3154" t="str">
        <f>D21&amp;" = 1"</f>
        <v>c3a.1 = 1</v>
      </c>
    </row>
    <row customFormat="1" ht="12" r="18" s="2982" spans="2:28" x14ac:dyDescent="0.2">
      <c r="C18" s="3139"/>
      <c r="D18" s="3140"/>
      <c r="E18" s="3209" t="s">
        <v>2495</v>
      </c>
    </row>
    <row customFormat="1" ht="12" r="19" s="2982" spans="2:28" x14ac:dyDescent="0.2">
      <c r="C19" s="3139"/>
      <c r="D19" s="3140"/>
      <c r="E19" s="3209" t="s">
        <v>2495</v>
      </c>
    </row>
    <row customFormat="1" ht="12" r="20" s="2982" spans="2:28" x14ac:dyDescent="0.2">
      <c r="C20" s="3139"/>
      <c r="D20" s="3140"/>
      <c r="E20" s="3209" t="s">
        <v>2495</v>
      </c>
    </row>
    <row customFormat="1" ht="12" r="21" s="2982" spans="2:28" x14ac:dyDescent="0.2">
      <c r="D21" s="714" t="str">
        <f>A1</f>
        <v>c3a.1</v>
      </c>
      <c r="E21" s="370">
        <f>IF(non_resident,1,IF(Residency_Status_in_UK=2,2,IF(Residency_Status_in_UK=3,3,1)))</f>
        <v>2</v>
      </c>
    </row>
    <row customFormat="1" ht="12" r="22" s="2982" spans="2:28" x14ac:dyDescent="0.2"/>
    <row customFormat="1" ht="12" r="23" s="2982" spans="2:28" x14ac:dyDescent="0.2">
      <c r="C23" s="375"/>
      <c r="D23" s="2115"/>
      <c r="E23" s="669" t="s">
        <v>2495</v>
      </c>
      <c r="F23" s="375"/>
    </row>
    <row customFormat="1" ht="12" r="24" s="2982" spans="2:28" x14ac:dyDescent="0.2"/>
    <row customFormat="1" ht="12" r="25" s="2982" spans="2:28" x14ac:dyDescent="0.2">
      <c r="O25" s="1297"/>
    </row>
    <row customFormat="1" ht="12" r="28" s="2982" spans="2:28" x14ac:dyDescent="0.2">
      <c r="G28" s="2974"/>
      <c r="I28" s="93" t="str">
        <f>"if "&amp;D21&amp;" = 2"</f>
        <v>if c3a.1 = 2</v>
      </c>
      <c r="M28" s="93" t="str">
        <f>"if "&amp;D21&amp;" = 2"</f>
        <v>if c3a.1 = 2</v>
      </c>
      <c r="Q28" s="93" t="str">
        <f>"if "&amp;D21&amp;" = 2"</f>
        <v>if c3a.1 = 2</v>
      </c>
      <c r="Y28" s="93" t="str">
        <f>"if "&amp;D21&amp;" = 2"</f>
        <v>if c3a.1 = 2</v>
      </c>
      <c r="AB28" s="93" t="str">
        <f>"if "&amp;D21&amp;" = 2"</f>
        <v>if c3a.1 = 2</v>
      </c>
    </row>
    <row customFormat="1" ht="12" r="29" s="2982" spans="2:28" x14ac:dyDescent="0.2">
      <c r="G29" s="2974"/>
      <c r="I29" s="2325" t="str">
        <f>H33&amp;" = SSR_band ("&amp;DOLLAR(SSR_band,0)&amp;")"</f>
        <v>c3a.1a = SSR_band ($2,049)</v>
      </c>
      <c r="M29" s="2325" t="str">
        <f>L33&amp;" = SBR_band ("&amp;DOLLAR(SBR_band,0)&amp;")"</f>
        <v>c3a.2 = SBR_band ($10,395)</v>
      </c>
      <c r="Q29" s="2325" t="str">
        <f>P33&amp;" = SIR_band ("&amp;DOLLAR(SIR_band,0)&amp;")"</f>
        <v>c3a.2a = SIR_band ($18,486)</v>
      </c>
      <c r="Y29" s="2325" t="str">
        <f>X33&amp;" = SHR_band ("&amp;DOLLAR(SHR_band,0)&amp;")"</f>
        <v>c3a.3 = SHR_band ($119,070)</v>
      </c>
      <c r="AB29" s="93" t="str">
        <f>AA33&amp;" = SAHR_band ("&amp;DOLLAR(SAHR_band,0)&amp;")"</f>
        <v>c3a.3a = SAHR_band ($150,000)</v>
      </c>
    </row>
    <row customFormat="1" ht="12" r="30" s="2982" spans="2:28" x14ac:dyDescent="0.2">
      <c r="G30" s="2974"/>
      <c r="I30" s="93" t="s">
        <v>2386</v>
      </c>
      <c r="M30" s="2982" t="s">
        <v>2386</v>
      </c>
      <c r="Q30" s="93" t="s">
        <v>2386</v>
      </c>
      <c r="Y30" s="2982" t="s">
        <v>2386</v>
      </c>
      <c r="AB30" s="2982" t="s">
        <v>2386</v>
      </c>
    </row>
    <row customFormat="1" ht="12" r="31" s="3214" spans="2:28" x14ac:dyDescent="0.2">
      <c r="G31" s="3213"/>
      <c r="I31" s="93" t="str">
        <f>H33&amp;" = 0 (zero)"</f>
        <v>c3a.1a = 0 (zero)</v>
      </c>
      <c r="M31" s="93" t="str">
        <f>L33&amp;" = BR_band ("&amp;DOLLAR(BR_band,0)&amp;")"</f>
        <v>c3a.2 = BR_band ($37,500)</v>
      </c>
      <c r="Q31" s="93" t="str">
        <f>P33&amp;" = 0 (zero)"</f>
        <v>c3a.2a = 0 (zero)</v>
      </c>
      <c r="Y31" s="2325" t="str">
        <f>X33&amp;" = HR_band ("&amp;DOLLAR(HR_band,0)&amp;")"</f>
        <v>c3a.3 = HR_band ($112,500)</v>
      </c>
      <c r="AB31" s="93" t="str">
        <f>AA33&amp;" = AHR_band ("&amp;DOLLAR(AHR_band,0)&amp;")"</f>
        <v>c3a.3a = AHR_band ($150,000)</v>
      </c>
    </row>
    <row r="32" spans="2:28" x14ac:dyDescent="0.2">
      <c r="G32" s="2974"/>
      <c r="H32" s="2982"/>
      <c r="I32" s="93" t="s">
        <v>2495</v>
      </c>
      <c r="J32" s="2982"/>
      <c r="K32" s="2982"/>
      <c r="L32" s="2982"/>
      <c r="M32" s="93" t="s">
        <v>2495</v>
      </c>
      <c r="O32" s="2982"/>
      <c r="P32" s="2982"/>
      <c r="Q32" s="93" t="s">
        <v>2495</v>
      </c>
      <c r="R32" s="2982"/>
      <c r="S32" s="1945"/>
      <c r="T32" s="2982"/>
      <c r="U32" s="93" t="str">
        <f><![CDATA["BR_band ("&DOLLAR(BR_band,0)&") minus ("&H33&" + "&L33&" + "&P33&")"]]></f>
        <v>BR_band ($37,500) minus (c3a.1a + c3a.2 + c3a.2a)</v>
      </c>
      <c r="X32" s="2982"/>
      <c r="Y32" s="93" t="s">
        <v>2495</v>
      </c>
      <c r="Z32" s="2982"/>
      <c r="AA32" s="2982"/>
      <c r="AB32" s="93" t="s">
        <v>2495</v>
      </c>
    </row>
    <row r="33" spans="2:28" x14ac:dyDescent="0.2">
      <c r="B33" s="2982" t="s">
        <v>1742</v>
      </c>
      <c r="G33" s="2974"/>
      <c r="H33" s="2157" t="str">
        <f>A2</f>
        <v>c3a.1a</v>
      </c>
      <c r="I33" s="370">
        <f>IF(AND(Resident,E21=2),SSR_band,0)</f>
        <v>2049</v>
      </c>
      <c r="J33" s="2982"/>
      <c r="K33" s="2982"/>
      <c r="L33" s="714" t="str">
        <f>A3</f>
        <v>c3a.2</v>
      </c>
      <c r="M33" s="370">
        <f>IF(AND(Resident,E21=2),SBR_band,BR_band)</f>
        <v>10395</v>
      </c>
      <c r="N33" s="2982"/>
      <c r="O33" s="2982"/>
      <c r="P33" s="2157" t="str">
        <f>A4</f>
        <v>c3a.2a</v>
      </c>
      <c r="Q33" s="370">
        <f>IF(AND(Resident,E21=2),SIR_band,0)</f>
        <v>18486</v>
      </c>
      <c r="R33" s="2982"/>
      <c r="S33" s="2982"/>
      <c r="T33" s="2157" t="str">
        <f>A5</f>
        <v>c3a.2b</v>
      </c>
      <c r="U33" s="370">
        <f>BR_band-(I33+M33+Q33)</f>
        <v>6570</v>
      </c>
      <c r="V33" s="985" t="s">
        <v>1521</v>
      </c>
      <c r="W33" s="985"/>
      <c r="X33" s="714" t="str">
        <f>A6</f>
        <v>c3a.3</v>
      </c>
      <c r="Y33" s="370">
        <f>IF(AND(Resident,E21=2),SHR_band,HR_band)</f>
        <v>119070</v>
      </c>
      <c r="Z33" s="2982"/>
      <c r="AA33" s="714" t="str">
        <f>A7</f>
        <v>c3a.3a</v>
      </c>
      <c r="AB33" s="370">
        <f>IF(AND(Resident,E21=2),SAHR_band,AHR_band)</f>
        <v>150000</v>
      </c>
    </row>
    <row r="34" spans="2:28" x14ac:dyDescent="0.2">
      <c r="G34" s="2982"/>
      <c r="H34" s="2982"/>
      <c r="I34" s="2982"/>
      <c r="J34" s="2982"/>
      <c r="K34" s="2982"/>
      <c r="L34" s="2982"/>
      <c r="M34" s="2982"/>
      <c r="N34" s="2982"/>
      <c r="O34" s="2982"/>
      <c r="R34" s="2982"/>
      <c r="S34" s="2982"/>
      <c r="X34" s="2982"/>
      <c r="Y34" s="2982"/>
      <c r="Z34" s="2982"/>
      <c r="AA34" s="2982"/>
      <c r="AB34" s="2982"/>
    </row>
    <row r="35" spans="2:28" x14ac:dyDescent="0.2">
      <c r="G35" s="375"/>
      <c r="H35" s="2982"/>
      <c r="I35" s="2982"/>
      <c r="J35" s="375"/>
      <c r="K35" s="375"/>
      <c r="L35" s="375"/>
      <c r="M35" s="3154" t="str">
        <f>"if "&amp;D21&amp;" = 3"</f>
        <v>if c3a.1 = 3</v>
      </c>
      <c r="N35" s="375"/>
      <c r="O35" s="375"/>
      <c r="P35" s="2982"/>
      <c r="Q35" s="375"/>
      <c r="R35" s="375"/>
      <c r="S35" s="375"/>
      <c r="X35" s="375"/>
      <c r="Y35" s="3154" t="str">
        <f>"if "&amp;D21&amp;" = 3"</f>
        <v>if c3a.1 = 3</v>
      </c>
      <c r="Z35" s="2982"/>
      <c r="AA35" s="2982"/>
      <c r="AB35" s="3154" t="str">
        <f>"if "&amp;D21&amp;" = 3"</f>
        <v>if c3a.1 = 3</v>
      </c>
    </row>
    <row r="36" spans="2:28" x14ac:dyDescent="0.2">
      <c r="G36" s="2982"/>
      <c r="H36" s="2982"/>
      <c r="I36" s="2982"/>
      <c r="J36" s="2982"/>
      <c r="K36" s="2982"/>
      <c r="L36" s="3149"/>
      <c r="M36" s="3154" t="str">
        <f>L44&amp;" = WBR_rate ("&amp;WBR_rate*100&amp;"%)"</f>
        <v>c3a.4 = WBR_rate (20%)</v>
      </c>
      <c r="N36" s="2982"/>
      <c r="O36" s="2982"/>
      <c r="P36" s="2982"/>
      <c r="Q36" s="2982"/>
      <c r="R36" s="2982"/>
      <c r="S36" s="2982"/>
      <c r="X36" s="3149"/>
      <c r="Y36" s="3154" t="str">
        <f>X44&amp;" = WHR_rate ("&amp;WHR_rate*100&amp;"%)"</f>
        <v>c3a.5 = WHR_rate (40%)</v>
      </c>
      <c r="Z36" s="2982"/>
      <c r="AA36" s="3149"/>
      <c r="AB36" s="3154" t="str">
        <f>AA44&amp;" = WAHR_rate ("&amp;WAHR_rate*100&amp;"%)"</f>
        <v>c3a.6 = WAHR_rate (45%)</v>
      </c>
    </row>
    <row r="37" spans="2:28" x14ac:dyDescent="0.2">
      <c r="G37" s="2982"/>
      <c r="H37" s="2982"/>
      <c r="I37" s="2982"/>
      <c r="J37" s="2982"/>
      <c r="K37" s="2982"/>
      <c r="L37" s="2982"/>
      <c r="M37" s="3149" t="s">
        <v>2386</v>
      </c>
      <c r="N37" s="2982"/>
      <c r="O37" s="2982"/>
      <c r="P37" s="2982"/>
      <c r="Q37" s="2982"/>
      <c r="R37" s="2982"/>
      <c r="S37" s="2982"/>
      <c r="X37" s="2982"/>
      <c r="Y37" s="3149" t="s">
        <v>2386</v>
      </c>
      <c r="Z37" s="2982"/>
      <c r="AA37" s="2982"/>
      <c r="AB37" s="3149" t="s">
        <v>2386</v>
      </c>
    </row>
    <row r="38" spans="2:28" x14ac:dyDescent="0.2">
      <c r="G38" s="2982"/>
      <c r="H38" s="2982"/>
      <c r="I38" s="2982"/>
      <c r="J38" s="2982"/>
      <c r="K38" s="2982"/>
      <c r="L38" s="2982"/>
      <c r="M38" s="93" t="str">
        <f>"if "&amp;D21&amp;" = 2"</f>
        <v>if c3a.1 = 2</v>
      </c>
      <c r="N38" s="2982"/>
      <c r="O38" s="2982"/>
      <c r="P38" s="2982"/>
      <c r="Q38" s="2982"/>
      <c r="R38" s="2982"/>
      <c r="S38" s="2982"/>
      <c r="X38" s="2982"/>
      <c r="Y38" s="93" t="str">
        <f>"if "&amp;D21&amp;" = 2"</f>
        <v>if c3a.1 = 2</v>
      </c>
      <c r="Z38" s="2982"/>
      <c r="AA38" s="2982"/>
      <c r="AB38" s="93" t="str">
        <f>"if "&amp;D21&amp;" = 2"</f>
        <v>if c3a.1 = 2</v>
      </c>
    </row>
    <row r="39" spans="2:28" x14ac:dyDescent="0.2">
      <c r="G39" s="2982"/>
      <c r="H39" s="2982"/>
      <c r="I39" s="2982"/>
      <c r="J39" s="2982"/>
      <c r="K39" s="2982"/>
      <c r="L39" s="2982"/>
      <c r="M39" s="93" t="str">
        <f>L44&amp;" = SBR_rate ("&amp;SBR_rate*100&amp;"%)"</f>
        <v>c3a.4 = SBR_rate (20%)</v>
      </c>
      <c r="N39" s="2982"/>
      <c r="O39" s="2982"/>
      <c r="P39" s="2982"/>
      <c r="Q39" s="2982"/>
      <c r="R39" s="2982"/>
      <c r="S39" s="2982"/>
      <c r="X39" s="2982"/>
      <c r="Y39" s="93" t="str">
        <f>X44&amp;" = SHR_rate ("&amp;SHR_rate*100&amp;"%)"</f>
        <v>c3a.5 = SHR_rate (41%)</v>
      </c>
      <c r="Z39" s="2982"/>
      <c r="AA39" s="2982"/>
      <c r="AB39" s="93" t="str">
        <f>AA44&amp;" = SAHR_rate ("&amp;SAHR_rate*100&amp;"%)"</f>
        <v>c3a.6 = SAHR_rate (46%)</v>
      </c>
    </row>
    <row r="40" spans="2:28" x14ac:dyDescent="0.2">
      <c r="G40" s="2982"/>
      <c r="H40" s="2982"/>
      <c r="I40" s="2982"/>
      <c r="J40" s="2982"/>
      <c r="K40" s="2982"/>
      <c r="L40" s="2982"/>
      <c r="M40" s="2982" t="s">
        <v>2386</v>
      </c>
      <c r="N40" s="2982"/>
      <c r="O40" s="2982"/>
      <c r="P40" s="2982"/>
      <c r="Q40" s="2982"/>
      <c r="R40" s="2982"/>
      <c r="S40" s="2982"/>
      <c r="X40" s="2982"/>
      <c r="Y40" s="2982" t="s">
        <v>2386</v>
      </c>
      <c r="Z40" s="2982"/>
      <c r="AA40" s="2982"/>
      <c r="AB40" s="2982" t="s">
        <v>2386</v>
      </c>
    </row>
    <row r="41" spans="2:28" x14ac:dyDescent="0.2">
      <c r="G41" s="2982"/>
      <c r="H41" s="2982"/>
      <c r="I41" s="2982"/>
      <c r="J41" s="2982"/>
      <c r="K41" s="2982"/>
      <c r="L41" s="2982"/>
      <c r="M41" s="93" t="str">
        <f>L44&amp;" = BR_rate ("&amp;BR_rate*100&amp;"%)"</f>
        <v>c3a.4 = BR_rate (20%)</v>
      </c>
      <c r="N41" s="2982"/>
      <c r="O41" s="2982"/>
      <c r="P41" s="2982"/>
      <c r="Q41" s="2982"/>
      <c r="R41" s="2982"/>
      <c r="S41" s="2982"/>
      <c r="X41" s="2982"/>
      <c r="Y41" s="93" t="str">
        <f>X44&amp;" = HR_rate ("&amp;HR_rate*100&amp;"%)"</f>
        <v>c3a.5 = HR_rate (40%)</v>
      </c>
      <c r="Z41" s="2982"/>
      <c r="AA41" s="2982"/>
      <c r="AB41" s="93" t="str">
        <f>AA44&amp;" = AHR_rate ("&amp;AHR_rate*100&amp;"%)"</f>
        <v>c3a.6 = AHR_rate (45%)</v>
      </c>
    </row>
    <row r="42" spans="2:28" x14ac:dyDescent="0.2">
      <c r="G42" s="3214"/>
      <c r="H42" s="3214"/>
      <c r="I42" s="3214"/>
      <c r="J42" s="3214"/>
      <c r="K42" s="3214"/>
      <c r="L42" s="3214"/>
      <c r="M42" s="93" t="s">
        <v>2495</v>
      </c>
      <c r="N42" s="3214"/>
      <c r="O42" s="3214"/>
      <c r="P42" s="3214"/>
      <c r="Q42" s="3214"/>
      <c r="R42" s="3214"/>
      <c r="S42" s="3214"/>
      <c r="X42" s="3214"/>
      <c r="Y42" s="93" t="s">
        <v>2495</v>
      </c>
      <c r="Z42" s="3214"/>
      <c r="AA42" s="3214"/>
      <c r="AB42" s="93" t="s">
        <v>2495</v>
      </c>
    </row>
    <row r="43" spans="2:28" x14ac:dyDescent="0.2">
      <c r="G43" s="2982"/>
      <c r="H43" s="2982"/>
      <c r="I43" s="93" t="str">
        <f>"SSR_rate ("&amp;SSR_rate*100&amp;"%)"</f>
        <v>SSR_rate (19%)</v>
      </c>
      <c r="J43" s="2982"/>
      <c r="K43" s="2982"/>
      <c r="L43" s="2982"/>
      <c r="M43" s="3154" t="s">
        <v>2495</v>
      </c>
      <c r="N43" s="2982"/>
      <c r="O43" s="2982"/>
      <c r="P43" s="2982"/>
      <c r="Q43" s="93" t="str">
        <f>"SIR_rate ("&amp;SIR_rate*100&amp;"%)"</f>
        <v>SIR_rate (21%)</v>
      </c>
      <c r="R43" s="2982"/>
      <c r="S43" s="2982"/>
      <c r="X43" s="2982"/>
      <c r="Y43" s="3154" t="s">
        <v>2495</v>
      </c>
      <c r="Z43" s="2982"/>
      <c r="AA43" s="2982"/>
      <c r="AB43" s="3154" t="s">
        <v>2495</v>
      </c>
    </row>
    <row r="44" spans="2:28" x14ac:dyDescent="0.2">
      <c r="B44" s="2982" t="s">
        <v>6436</v>
      </c>
      <c r="G44" s="2974"/>
      <c r="H44" s="2157" t="str">
        <f>A8</f>
        <v>c3a.3b</v>
      </c>
      <c r="I44" s="2896">
        <f>SSR_rate</f>
        <v>0.19</v>
      </c>
      <c r="J44" s="2982"/>
      <c r="K44" s="2982"/>
      <c r="L44" s="714" t="str">
        <f>A9</f>
        <v>c3a.4</v>
      </c>
      <c r="M44" s="2896">
        <f>IF(AND(Resident,E21=3),WBR_rate,IF(AND(Resident,E21=2),SBR_rate,BR_rate))</f>
        <v>0.2</v>
      </c>
      <c r="N44" s="2982"/>
      <c r="O44" s="2982"/>
      <c r="P44" s="2157" t="str">
        <f>A10</f>
        <v>c3a.4a</v>
      </c>
      <c r="Q44" s="2896">
        <f>SIR_rate</f>
        <v>0.21</v>
      </c>
      <c r="R44" s="2982"/>
      <c r="S44" s="2982"/>
      <c r="X44" s="714" t="str">
        <f>A11</f>
        <v>c3a.5</v>
      </c>
      <c r="Y44" s="2896">
        <f>IF(AND(Resident,E21=3),WHR_rate,IF(AND(Resident,E21=2),SHR_rate,HR_rate))</f>
        <v>0.41</v>
      </c>
      <c r="Z44" s="2982"/>
      <c r="AA44" s="714" t="str">
        <f>A12</f>
        <v>c3a.6</v>
      </c>
      <c r="AB44" s="2896">
        <f>IF(AND(Resident,E21=3),WAHR_rate,IF(AND(Resident,E21=2),SAHR_rate,AHR_rate))</f>
        <v>0.46</v>
      </c>
    </row>
  </sheetData>
  <pageMargins bottom="0.75" footer="0.3" header="0.3" left="0.7" right="0.7" top="0.75"/>
  <pageSetup orientation="portrait" paperSize="9" r:id="rId1"/>
</worksheet>
</file>

<file path=xl/worksheets/sheet63.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E00-000000000000}">
  <sheetPr codeName="Sheet4">
    <tabColor rgb="FFFFFF00"/>
  </sheetPr>
  <dimension ref="A1:U437"/>
  <sheetViews>
    <sheetView showGridLines="0" topLeftCell="B424" workbookViewId="0" zoomScaleNormal="100">
      <selection activeCell="E266" sqref="E265:E266"/>
    </sheetView>
  </sheetViews>
  <sheetFormatPr defaultColWidth="9.140625" defaultRowHeight="12" x14ac:dyDescent="0.2"/>
  <cols>
    <col min="1" max="1" customWidth="true" hidden="true" style="121" width="6.7109375" collapsed="true"/>
    <col min="2" max="2" customWidth="true" style="121" width="52.140625" collapsed="true"/>
    <col min="3" max="3" customWidth="true" style="121" width="11.85546875" collapsed="true"/>
    <col min="4" max="4" customWidth="true" style="121" width="6.85546875" collapsed="true"/>
    <col min="5" max="5" customWidth="true" style="121" width="19.140625" collapsed="true"/>
    <col min="6" max="6" customWidth="true" style="121" width="12.5703125" collapsed="true"/>
    <col min="7" max="7" customWidth="true" style="121" width="10.140625" collapsed="true"/>
    <col min="8" max="8" customWidth="true" style="121" width="6.85546875" collapsed="true"/>
    <col min="9" max="9" customWidth="true" style="121" width="19.140625" collapsed="true"/>
    <col min="10" max="10" customWidth="true" style="121" width="12.5703125" collapsed="true"/>
    <col min="11" max="11" customWidth="true" style="121" width="10.140625" collapsed="true"/>
    <col min="12" max="12" customWidth="true" style="121" width="6.85546875" collapsed="true"/>
    <col min="13" max="13" customWidth="true" style="121" width="19.140625" collapsed="true"/>
    <col min="14" max="14" customWidth="true" style="121" width="12.28515625" collapsed="true"/>
    <col min="15" max="15" customWidth="true" style="2303" width="10.140625" collapsed="true"/>
    <col min="16" max="16" customWidth="true" style="121" width="10.140625" collapsed="true"/>
    <col min="17" max="17" customWidth="true" style="121" width="6.85546875" collapsed="true"/>
    <col min="18" max="18" customWidth="true" style="121" width="19.140625" collapsed="true"/>
    <col min="19" max="19" bestFit="true" customWidth="true" style="121" width="4.0" collapsed="true"/>
    <col min="20" max="20" customWidth="true" style="121" width="11.28515625" collapsed="true"/>
    <col min="21" max="16384" style="121" width="9.140625" collapsed="true"/>
  </cols>
  <sheetData>
    <row ht="18" r="1" spans="1:19" x14ac:dyDescent="0.25">
      <c r="A1" s="121" t="s">
        <v>3054</v>
      </c>
      <c r="B1" s="2725" t="s">
        <v>4151</v>
      </c>
      <c r="C1" s="711"/>
    </row>
    <row r="2" spans="1:19" x14ac:dyDescent="0.2">
      <c r="A2" s="121" t="s">
        <v>3731</v>
      </c>
      <c r="B2" s="375"/>
      <c r="D2" s="3035" t="s">
        <v>7395</v>
      </c>
      <c r="E2" s="3030"/>
      <c r="F2" s="3030"/>
      <c r="G2" s="3030"/>
      <c r="H2" s="3036"/>
      <c r="I2" s="3030"/>
      <c r="J2" s="3031"/>
    </row>
    <row r="3" spans="1:19" x14ac:dyDescent="0.2">
      <c r="A3" s="121" t="s">
        <v>3732</v>
      </c>
      <c r="B3" s="711" t="s">
        <v>4152</v>
      </c>
      <c r="C3" s="711"/>
    </row>
    <row customFormat="1" ht="18" r="4" s="2596" spans="1:19" x14ac:dyDescent="0.25">
      <c r="A4" s="121" t="s">
        <v>3733</v>
      </c>
      <c r="B4" s="711"/>
      <c r="C4" s="711"/>
      <c r="D4" s="2725" t="s">
        <v>4219</v>
      </c>
      <c r="E4" s="711"/>
      <c r="F4" s="711"/>
      <c r="G4" s="711"/>
      <c r="H4" s="2725" t="s">
        <v>4220</v>
      </c>
      <c r="I4" s="711"/>
      <c r="J4" s="711"/>
      <c r="K4" s="711"/>
      <c r="L4" s="2725" t="s">
        <v>7158</v>
      </c>
      <c r="M4" s="711"/>
      <c r="N4" s="2832"/>
      <c r="O4" s="2832"/>
      <c r="P4" s="2725" t="s">
        <v>4218</v>
      </c>
      <c r="Q4" s="711"/>
    </row>
    <row ht="18" r="5" spans="1:19" x14ac:dyDescent="0.25">
      <c r="A5" s="121" t="s">
        <v>2771</v>
      </c>
      <c r="B5" s="1200" t="s">
        <v>4215</v>
      </c>
      <c r="D5" s="711"/>
      <c r="E5" s="711"/>
      <c r="F5" s="711"/>
      <c r="G5" s="711"/>
      <c r="H5" s="711"/>
      <c r="I5" s="711"/>
      <c r="J5" s="711"/>
      <c r="K5" s="711"/>
      <c r="L5" s="2725" t="s">
        <v>7159</v>
      </c>
      <c r="M5" s="711"/>
      <c r="N5" s="711"/>
      <c r="O5" s="711"/>
      <c r="P5" s="2725"/>
      <c r="Q5" s="711"/>
      <c r="R5" s="978"/>
      <c r="S5" s="978"/>
    </row>
    <row customFormat="1" r="6" s="978" spans="1:19" x14ac:dyDescent="0.2">
      <c r="A6" s="121" t="s">
        <v>3105</v>
      </c>
      <c r="B6" s="1216" t="s">
        <v>965</v>
      </c>
    </row>
    <row r="7" spans="1:19" x14ac:dyDescent="0.2">
      <c r="A7" s="121" t="s">
        <v>3106</v>
      </c>
      <c r="B7" s="684" t="s">
        <v>4131</v>
      </c>
      <c r="E7" s="1019" t="str">
        <f>"from "&amp;CGT&amp;CGT!C37</f>
        <v>from CGT41</v>
      </c>
      <c r="L7" s="2303"/>
      <c r="M7" s="2303"/>
    </row>
    <row r="8" spans="1:19" x14ac:dyDescent="0.2">
      <c r="A8" s="121" t="s">
        <v>3107</v>
      </c>
      <c r="B8" s="2744" t="s">
        <v>4219</v>
      </c>
      <c r="D8" s="714" t="str">
        <f>A1</f>
        <v>c4.1</v>
      </c>
      <c r="E8" s="1027">
        <f>TRUNC(ABS(CGT!D38)+0.99,0)</f>
        <v>0</v>
      </c>
      <c r="F8" s="932" t="s">
        <v>3701</v>
      </c>
      <c r="L8" s="2303"/>
      <c r="M8" s="2303"/>
      <c r="Q8" s="2303"/>
    </row>
    <row r="9" spans="1:19" x14ac:dyDescent="0.2">
      <c r="A9" s="121" t="s">
        <v>3108</v>
      </c>
      <c r="L9" s="2303"/>
      <c r="M9" s="2303"/>
    </row>
    <row r="10" spans="1:19" x14ac:dyDescent="0.2">
      <c r="A10" s="121" t="s">
        <v>3879</v>
      </c>
      <c r="B10" s="684" t="s">
        <v>4217</v>
      </c>
      <c r="L10" s="2303"/>
      <c r="R10" s="1019" t="str">
        <f>"from "&amp;CGT&amp;CGT!C40</f>
        <v>from CGT42</v>
      </c>
    </row>
    <row customFormat="1" r="11" s="2596" spans="1:19" x14ac:dyDescent="0.2">
      <c r="A11" s="121" t="s">
        <v>3880</v>
      </c>
      <c r="B11" s="684" t="s">
        <v>4216</v>
      </c>
      <c r="Q11" s="714" t="str">
        <f>A2</f>
        <v>c4.2</v>
      </c>
      <c r="R11" s="1027">
        <f>TRUNC(ABS(CGT!D41)+0.99,0)</f>
        <v>0</v>
      </c>
      <c r="S11" s="932" t="s">
        <v>3701</v>
      </c>
    </row>
    <row customFormat="1" r="12" s="2596" spans="1:19" x14ac:dyDescent="0.2">
      <c r="A12" s="121" t="s">
        <v>3881</v>
      </c>
      <c r="B12" s="2744" t="s">
        <v>4218</v>
      </c>
      <c r="Q12" s="709"/>
      <c r="R12" s="394"/>
      <c r="S12" s="932"/>
    </row>
    <row customFormat="1" r="13" s="2596" spans="1:19" x14ac:dyDescent="0.2">
      <c r="A13" s="121" t="s">
        <v>3882</v>
      </c>
      <c r="B13" s="684"/>
      <c r="Q13" s="709"/>
      <c r="R13" s="394"/>
      <c r="S13" s="932"/>
    </row>
    <row r="14" spans="1:19" x14ac:dyDescent="0.2">
      <c r="A14" s="121" t="s">
        <v>3883</v>
      </c>
      <c r="L14" s="2303"/>
      <c r="M14" s="1019"/>
    </row>
    <row r="15" spans="1:19" x14ac:dyDescent="0.2">
      <c r="A15" s="121" t="s">
        <v>3884</v>
      </c>
    </row>
    <row r="16" spans="1:19" x14ac:dyDescent="0.2">
      <c r="A16" s="121" t="s">
        <v>3885</v>
      </c>
      <c r="M16" s="93" t="str">
        <f>D8&amp;" minus "&amp;Q11</f>
        <v>c4.1 minus c4.2</v>
      </c>
    </row>
    <row r="17" spans="1:19" x14ac:dyDescent="0.2">
      <c r="A17" s="121" t="s">
        <v>3886</v>
      </c>
      <c r="B17" s="2744" t="s">
        <v>6983</v>
      </c>
      <c r="L17" s="714" t="str">
        <f>A3</f>
        <v>c4.3</v>
      </c>
      <c r="M17" s="1027">
        <f>MAX(0,E8-R11)</f>
        <v>0</v>
      </c>
    </row>
    <row r="18" spans="1:19" x14ac:dyDescent="0.2">
      <c r="A18" s="121" t="s">
        <v>3887</v>
      </c>
      <c r="R18" s="38" t="s">
        <v>4039</v>
      </c>
    </row>
    <row r="19" spans="1:19" x14ac:dyDescent="0.2">
      <c r="A19" s="121" t="s">
        <v>3888</v>
      </c>
      <c r="R19" s="696" t="str">
        <f>Q23&amp;" = 0 (zero)"</f>
        <v>c4.4 = 0 (zero)</v>
      </c>
    </row>
    <row r="20" spans="1:19" x14ac:dyDescent="0.2">
      <c r="A20" s="121" t="s">
        <v>3889</v>
      </c>
      <c r="R20" s="93" t="s">
        <v>2386</v>
      </c>
    </row>
    <row r="21" spans="1:19" x14ac:dyDescent="0.2">
      <c r="A21" s="121" t="s">
        <v>3890</v>
      </c>
      <c r="B21" s="1200" t="s">
        <v>4221</v>
      </c>
      <c r="R21" s="93" t="str">
        <f>Q23&amp;" = "&amp;AOR&amp;AOR!G8</f>
        <v>c4.4 = AOR8</v>
      </c>
    </row>
    <row r="22" spans="1:19" x14ac:dyDescent="0.2">
      <c r="A22" s="121" t="s">
        <v>3891</v>
      </c>
      <c r="B22" s="715" t="s">
        <v>942</v>
      </c>
      <c r="R22" s="93" t="s">
        <v>2495</v>
      </c>
    </row>
    <row r="23" spans="1:19" x14ac:dyDescent="0.2">
      <c r="A23" s="121" t="s">
        <v>3892</v>
      </c>
      <c r="B23" s="2744" t="s">
        <v>4218</v>
      </c>
      <c r="Q23" s="714" t="str">
        <f>A4</f>
        <v>c4.4</v>
      </c>
      <c r="R23" s="109">
        <f>IF(non_resident,0,TRUNC(AOR!H9+0.99,0))</f>
        <v>0</v>
      </c>
      <c r="S23" s="993" t="s">
        <v>3701</v>
      </c>
    </row>
    <row r="24" spans="1:19" x14ac:dyDescent="0.2">
      <c r="A24" s="121" t="s">
        <v>2365</v>
      </c>
      <c r="B24" s="1029"/>
      <c r="C24" s="1029"/>
      <c r="D24" s="1029"/>
      <c r="E24" s="1029"/>
      <c r="F24" s="1029"/>
      <c r="G24" s="1029"/>
      <c r="H24" s="1029"/>
      <c r="I24" s="1029"/>
      <c r="J24" s="1029"/>
      <c r="K24" s="1029"/>
      <c r="L24" s="1029"/>
      <c r="M24" s="1029"/>
      <c r="N24" s="1029"/>
      <c r="O24" s="1029"/>
      <c r="P24" s="1029"/>
      <c r="Q24" s="1029"/>
      <c r="R24" s="1029"/>
      <c r="S24" s="1029"/>
    </row>
    <row customFormat="1" r="25" s="2303" spans="1:19" x14ac:dyDescent="0.2">
      <c r="A25" s="121" t="s">
        <v>2366</v>
      </c>
      <c r="B25" s="37"/>
      <c r="C25" s="37"/>
      <c r="D25" s="37"/>
      <c r="E25" s="37"/>
      <c r="F25" s="37"/>
      <c r="G25" s="37"/>
      <c r="H25" s="37"/>
      <c r="I25" s="37"/>
      <c r="J25" s="37"/>
      <c r="K25" s="37"/>
      <c r="L25" s="37"/>
      <c r="M25" s="37"/>
      <c r="N25" s="37"/>
      <c r="O25" s="37"/>
      <c r="P25" s="37"/>
      <c r="Q25" s="37"/>
      <c r="R25" s="37"/>
      <c r="S25" s="37"/>
    </row>
    <row customFormat="1" r="26" s="2303" spans="1:19" x14ac:dyDescent="0.2">
      <c r="A26" s="121" t="s">
        <v>3484</v>
      </c>
      <c r="B26" s="37"/>
      <c r="C26" s="37"/>
      <c r="D26" s="37"/>
      <c r="E26" s="37"/>
      <c r="F26" s="37"/>
      <c r="G26" s="37"/>
      <c r="H26" s="37"/>
      <c r="I26" s="37"/>
      <c r="J26" s="37"/>
      <c r="K26" s="37"/>
      <c r="L26" s="37"/>
      <c r="M26" s="37"/>
      <c r="N26" s="37"/>
      <c r="O26" s="37"/>
      <c r="P26" s="37"/>
      <c r="Q26" s="37"/>
      <c r="S26" s="37"/>
    </row>
    <row r="27" spans="1:19" x14ac:dyDescent="0.2">
      <c r="A27" s="121" t="s">
        <v>3485</v>
      </c>
      <c r="B27" s="1200" t="s">
        <v>6899</v>
      </c>
      <c r="C27" s="37"/>
      <c r="D27" s="37"/>
      <c r="E27" s="37"/>
      <c r="F27" s="37"/>
      <c r="G27" s="37"/>
      <c r="H27" s="37"/>
      <c r="I27" s="37"/>
      <c r="J27" s="37"/>
      <c r="K27" s="37"/>
      <c r="L27" s="37"/>
      <c r="M27" s="37"/>
      <c r="N27" s="37"/>
      <c r="O27" s="37"/>
      <c r="P27" s="37"/>
      <c r="Q27" s="37"/>
      <c r="R27" s="37"/>
      <c r="S27" s="37"/>
    </row>
    <row customFormat="1" r="28" s="2596" spans="1:19" x14ac:dyDescent="0.2">
      <c r="A28" s="121" t="s">
        <v>3486</v>
      </c>
      <c r="B28" s="1218" t="s">
        <v>4222</v>
      </c>
      <c r="C28" s="37"/>
      <c r="D28" s="37"/>
      <c r="E28" s="37"/>
      <c r="F28" s="37"/>
      <c r="G28" s="37"/>
      <c r="H28" s="37"/>
      <c r="I28" s="37"/>
      <c r="J28" s="37"/>
      <c r="K28" s="37"/>
      <c r="L28" s="37"/>
      <c r="M28" s="37"/>
      <c r="N28" s="37"/>
      <c r="S28" s="37"/>
    </row>
    <row customFormat="1" r="29" s="2596" spans="1:19" x14ac:dyDescent="0.2">
      <c r="A29" s="121" t="s">
        <v>3235</v>
      </c>
      <c r="B29" s="709" t="s">
        <v>6984</v>
      </c>
      <c r="C29" s="37"/>
      <c r="D29" s="37"/>
      <c r="E29" s="37"/>
      <c r="F29" s="37"/>
      <c r="G29" s="37"/>
      <c r="H29" s="37"/>
      <c r="I29" s="37"/>
      <c r="J29" s="37"/>
      <c r="K29" s="37"/>
      <c r="L29" s="37"/>
      <c r="M29" s="37"/>
      <c r="N29" s="37"/>
      <c r="O29" s="2303"/>
      <c r="P29" s="121"/>
      <c r="Q29" s="121"/>
      <c r="R29" s="93" t="str">
        <f>"from "&amp;'NS income (c1)'!E33</f>
        <v>from c1.11</v>
      </c>
      <c r="S29" s="37"/>
    </row>
    <row customFormat="1" r="30" s="2596" spans="1:19" x14ac:dyDescent="0.2">
      <c r="A30" s="121" t="s">
        <v>3236</v>
      </c>
      <c r="B30" s="2744" t="s">
        <v>4218</v>
      </c>
      <c r="C30" s="37"/>
      <c r="D30" s="37"/>
      <c r="E30" s="37"/>
      <c r="F30" s="37"/>
      <c r="G30" s="37"/>
      <c r="H30" s="37"/>
      <c r="I30" s="37"/>
      <c r="J30" s="37"/>
      <c r="K30" s="37"/>
      <c r="L30" s="37"/>
      <c r="M30" s="37"/>
      <c r="N30" s="37"/>
      <c r="O30" s="2303"/>
      <c r="P30" s="1019" t="str">
        <f>"Total all instances ("&amp;SSE&amp;SE!C5&amp;")"</f>
        <v>Total all instances (SSE29)</v>
      </c>
      <c r="Q30" s="714" t="str">
        <f>A5</f>
        <v>c4.5</v>
      </c>
      <c r="R30" s="1027">
        <f>'NS income (c1)'!F33</f>
        <v>0</v>
      </c>
      <c r="S30" s="37"/>
    </row>
    <row customFormat="1" r="31" s="2596" spans="1:19" x14ac:dyDescent="0.2">
      <c r="A31" s="121" t="s">
        <v>3237</v>
      </c>
      <c r="C31" s="37"/>
      <c r="D31" s="37"/>
      <c r="E31" s="37"/>
      <c r="F31" s="37"/>
      <c r="G31" s="37"/>
      <c r="H31" s="37"/>
      <c r="I31" s="37"/>
      <c r="J31" s="37"/>
      <c r="K31" s="37"/>
      <c r="L31" s="37"/>
      <c r="M31" s="37"/>
      <c r="N31" s="37"/>
      <c r="O31" s="37"/>
      <c r="P31" s="37"/>
      <c r="Q31" s="37"/>
      <c r="R31" s="37"/>
      <c r="S31" s="37"/>
    </row>
    <row customFormat="1" r="32" s="2596" spans="1:19" x14ac:dyDescent="0.2">
      <c r="A32" s="121" t="s">
        <v>3238</v>
      </c>
      <c r="B32" s="1200"/>
      <c r="C32" s="37"/>
      <c r="D32" s="37"/>
      <c r="E32" s="37"/>
      <c r="F32" s="37"/>
      <c r="G32" s="37"/>
      <c r="H32" s="37"/>
      <c r="I32" s="37"/>
      <c r="J32" s="37"/>
      <c r="K32" s="37"/>
      <c r="L32" s="37"/>
      <c r="M32" s="37"/>
      <c r="N32" s="37"/>
      <c r="O32" s="37"/>
      <c r="P32" s="37"/>
      <c r="Q32" s="37"/>
      <c r="R32" s="37"/>
      <c r="S32" s="37"/>
    </row>
    <row r="33" spans="1:18" x14ac:dyDescent="0.2">
      <c r="A33" s="121" t="s">
        <v>3239</v>
      </c>
      <c r="O33" s="121"/>
    </row>
    <row r="34" spans="1:18" x14ac:dyDescent="0.2">
      <c r="A34" s="121" t="s">
        <v>4153</v>
      </c>
      <c r="M34" s="1019"/>
      <c r="O34" s="121"/>
    </row>
    <row r="35" spans="1:18" x14ac:dyDescent="0.2">
      <c r="A35" s="121" t="s">
        <v>4154</v>
      </c>
    </row>
    <row r="36" spans="1:18" x14ac:dyDescent="0.2">
      <c r="A36" s="121" t="s">
        <v>4155</v>
      </c>
      <c r="B36" s="709" t="s">
        <v>4130</v>
      </c>
      <c r="M36" s="1019" t="str">
        <f>"Total all instances ("&amp;SSE&amp;SE!C11&amp;")"</f>
        <v>Total all instances (SSE33)</v>
      </c>
    </row>
    <row r="37" spans="1:18" x14ac:dyDescent="0.2">
      <c r="A37" s="121" t="s">
        <v>4156</v>
      </c>
      <c r="B37" s="2744" t="s">
        <v>6983</v>
      </c>
      <c r="C37" s="709"/>
      <c r="L37" s="714" t="str">
        <f>A6</f>
        <v>c4.6</v>
      </c>
      <c r="M37" s="1027">
        <f>TRUNC(ABS(SE!D12)+0.99,0)</f>
        <v>0</v>
      </c>
      <c r="N37" s="929" t="s">
        <v>4446</v>
      </c>
      <c r="O37" s="929"/>
    </row>
    <row customFormat="1" r="38" s="2596" spans="1:18" x14ac:dyDescent="0.2">
      <c r="A38" s="121" t="s">
        <v>4157</v>
      </c>
      <c r="B38" s="709"/>
      <c r="C38" s="709"/>
      <c r="L38" s="709"/>
      <c r="M38" s="394"/>
      <c r="N38" s="929"/>
      <c r="O38" s="929"/>
    </row>
    <row r="39" spans="1:18" x14ac:dyDescent="0.2">
      <c r="A39" s="121" t="s">
        <v>4158</v>
      </c>
      <c r="B39" s="709" t="s">
        <v>4166</v>
      </c>
    </row>
    <row r="40" spans="1:18" x14ac:dyDescent="0.2">
      <c r="A40" s="121" t="s">
        <v>4159</v>
      </c>
      <c r="B40" s="709" t="s">
        <v>4167</v>
      </c>
      <c r="R40" s="93" t="str">
        <f>"from "&amp;'NS income (c1)'!E40</f>
        <v>from c1.14</v>
      </c>
    </row>
    <row r="41" spans="1:18" x14ac:dyDescent="0.2">
      <c r="A41" s="121" t="s">
        <v>4160</v>
      </c>
      <c r="B41" s="2744" t="s">
        <v>4218</v>
      </c>
      <c r="P41" s="1019" t="str">
        <f>"Total all instances ("&amp;FSE&amp;SE!G11&amp;")"</f>
        <v>Total all instances (FSE74)</v>
      </c>
      <c r="Q41" s="714" t="str">
        <f>A7</f>
        <v>c4.7</v>
      </c>
      <c r="R41" s="1027">
        <f>'NS income (c1)'!F40</f>
        <v>0</v>
      </c>
    </row>
    <row customFormat="1" r="42" s="2596" spans="1:18" x14ac:dyDescent="0.2">
      <c r="A42" s="121" t="s">
        <v>4161</v>
      </c>
      <c r="P42" s="1019"/>
      <c r="Q42" s="709"/>
      <c r="R42" s="394"/>
    </row>
    <row r="43" spans="1:18" x14ac:dyDescent="0.2">
      <c r="A43" s="121" t="s">
        <v>4162</v>
      </c>
    </row>
    <row r="44" spans="1:18" x14ac:dyDescent="0.2">
      <c r="A44" s="121" t="s">
        <v>4163</v>
      </c>
      <c r="B44" s="709" t="s">
        <v>4130</v>
      </c>
      <c r="E44" s="1019" t="str">
        <f>"Total all instances ("&amp;FSE&amp;SE!G17&amp;")"</f>
        <v>Total all instances (FSE78)</v>
      </c>
      <c r="H44" s="981"/>
      <c r="I44" s="93" t="s">
        <v>6393</v>
      </c>
    </row>
    <row r="45" spans="1:18" x14ac:dyDescent="0.2">
      <c r="A45" s="121" t="s">
        <v>4164</v>
      </c>
      <c r="B45" s="2744" t="s">
        <v>4219</v>
      </c>
      <c r="D45" s="714" t="str">
        <f>A8</f>
        <v>c4.8</v>
      </c>
      <c r="E45" s="1027">
        <f>TRUNC(ABS(SE!H18)+0.99,0)</f>
        <v>0</v>
      </c>
      <c r="F45" s="999" t="s">
        <v>4447</v>
      </c>
      <c r="H45" s="2199" t="str">
        <f>A9</f>
        <v>c4.9</v>
      </c>
      <c r="I45" s="2201"/>
    </row>
    <row r="46" spans="1:18" x14ac:dyDescent="0.2">
      <c r="A46" s="121" t="s">
        <v>4182</v>
      </c>
    </row>
    <row r="47" spans="1:18" x14ac:dyDescent="0.2">
      <c r="A47" s="121" t="s">
        <v>4183</v>
      </c>
      <c r="J47" s="981"/>
      <c r="K47" s="981"/>
    </row>
    <row r="48" spans="1:18" x14ac:dyDescent="0.2">
      <c r="A48" s="121" t="s">
        <v>4184</v>
      </c>
      <c r="B48" s="2116"/>
      <c r="J48" s="1803"/>
      <c r="K48" s="981"/>
    </row>
    <row r="49" spans="1:18" x14ac:dyDescent="0.2">
      <c r="A49" s="121" t="s">
        <v>4185</v>
      </c>
      <c r="B49" s="709" t="s">
        <v>3337</v>
      </c>
      <c r="I49" s="1019" t="str">
        <f>"Total all instances ("&amp;FSE&amp;SE!G8&amp;")"</f>
        <v>Total all instances (FSE69)</v>
      </c>
    </row>
    <row customFormat="1" r="50" s="2303" spans="1:18" x14ac:dyDescent="0.2">
      <c r="A50" s="121" t="s">
        <v>4186</v>
      </c>
      <c r="B50" s="2744" t="s">
        <v>4220</v>
      </c>
      <c r="C50" s="121"/>
      <c r="D50" s="121"/>
      <c r="E50" s="121"/>
      <c r="F50" s="121"/>
      <c r="G50" s="121"/>
      <c r="H50" s="714" t="str">
        <f>A10</f>
        <v>c4.10</v>
      </c>
      <c r="I50" s="1027">
        <f>TRUNC(SE!H9+0.99,0)</f>
        <v>0</v>
      </c>
      <c r="J50" s="999" t="s">
        <v>4447</v>
      </c>
      <c r="K50" s="121"/>
      <c r="L50" s="121"/>
      <c r="M50" s="1019"/>
    </row>
    <row customFormat="1" r="51" s="2303" spans="1:18" x14ac:dyDescent="0.2">
      <c r="A51" s="121" t="s">
        <v>4187</v>
      </c>
      <c r="B51" s="121"/>
      <c r="C51" s="121"/>
      <c r="D51" s="121"/>
      <c r="E51" s="121"/>
      <c r="F51" s="121"/>
      <c r="G51" s="121"/>
      <c r="H51" s="121"/>
      <c r="I51" s="121"/>
      <c r="J51" s="121"/>
      <c r="K51" s="121"/>
      <c r="L51" s="121"/>
      <c r="M51" s="121"/>
    </row>
    <row r="52" spans="1:18" x14ac:dyDescent="0.2">
      <c r="A52" s="121" t="s">
        <v>4188</v>
      </c>
      <c r="B52" s="709" t="str">
        <f>"Capped &amp; uncapped Relief element of "&amp;D45</f>
        <v>Capped &amp; uncapped Relief element of c4.8</v>
      </c>
      <c r="M52" s="93" t="str">
        <f>D45&amp;" minus "&amp;H50</f>
        <v>c4.8 minus c4.10</v>
      </c>
    </row>
    <row r="53" spans="1:18" x14ac:dyDescent="0.2">
      <c r="A53" s="121" t="s">
        <v>4189</v>
      </c>
      <c r="B53" s="2744" t="s">
        <v>6983</v>
      </c>
      <c r="L53" s="714" t="str">
        <f>A11</f>
        <v>c4.11</v>
      </c>
      <c r="M53" s="1027">
        <f>MAX(0,E45-I50)</f>
        <v>0</v>
      </c>
    </row>
    <row r="54" spans="1:18" x14ac:dyDescent="0.2">
      <c r="A54" s="121" t="s">
        <v>4190</v>
      </c>
    </row>
    <row r="55" spans="1:18" x14ac:dyDescent="0.2">
      <c r="A55" s="121" t="s">
        <v>4191</v>
      </c>
      <c r="R55" s="93" t="str">
        <f>"lower of "&amp;D45&amp;" and "&amp;H50</f>
        <v>lower of c4.8 and c4.10</v>
      </c>
    </row>
    <row r="56" spans="1:18" x14ac:dyDescent="0.2">
      <c r="A56" s="121" t="s">
        <v>4192</v>
      </c>
      <c r="B56" s="2744" t="s">
        <v>4218</v>
      </c>
      <c r="Q56" s="714" t="str">
        <f>A12</f>
        <v>c4.12</v>
      </c>
      <c r="R56" s="1027">
        <f>MIN(E45,I50)</f>
        <v>0</v>
      </c>
    </row>
    <row r="57" spans="1:18" x14ac:dyDescent="0.2">
      <c r="A57" s="121" t="s">
        <v>4193</v>
      </c>
    </row>
    <row customFormat="1" r="58" s="2303" spans="1:18" x14ac:dyDescent="0.2">
      <c r="A58" s="121" t="s">
        <v>4194</v>
      </c>
      <c r="B58" s="1218" t="s">
        <v>3901</v>
      </c>
    </row>
    <row r="59" spans="1:18" x14ac:dyDescent="0.2">
      <c r="A59" s="121" t="s">
        <v>4200</v>
      </c>
      <c r="B59" s="709" t="s">
        <v>4166</v>
      </c>
    </row>
    <row r="60" spans="1:18" x14ac:dyDescent="0.2">
      <c r="A60" s="121" t="s">
        <v>4201</v>
      </c>
      <c r="B60" s="709" t="s">
        <v>4167</v>
      </c>
      <c r="R60" s="93" t="str">
        <f>"from "&amp;'NS income (c1)'!E59</f>
        <v>from c1.21</v>
      </c>
    </row>
    <row customFormat="1" r="61" s="2596" spans="1:18" x14ac:dyDescent="0.2">
      <c r="A61" s="121" t="s">
        <v>4202</v>
      </c>
      <c r="B61" s="2744" t="s">
        <v>4218</v>
      </c>
      <c r="O61" s="2303"/>
      <c r="P61" s="1019" t="str">
        <f>"Total all instances ("&amp;SPS&amp;PS!C10&amp;")"</f>
        <v>Total all instances (SPS17)</v>
      </c>
      <c r="Q61" s="714" t="str">
        <f>A13</f>
        <v>c4.13</v>
      </c>
      <c r="R61" s="1027">
        <f>'NS income (c1)'!F59</f>
        <v>0</v>
      </c>
    </row>
    <row customFormat="1" r="62" s="2596" spans="1:18" x14ac:dyDescent="0.2">
      <c r="A62" s="121" t="s">
        <v>4203</v>
      </c>
    </row>
    <row r="63" spans="1:18" x14ac:dyDescent="0.2">
      <c r="A63" s="121" t="s">
        <v>4204</v>
      </c>
      <c r="O63" s="121"/>
    </row>
    <row r="64" spans="1:18" x14ac:dyDescent="0.2">
      <c r="A64" s="121" t="s">
        <v>6374</v>
      </c>
    </row>
    <row r="65" spans="1:18" x14ac:dyDescent="0.2">
      <c r="A65" s="121" t="s">
        <v>6375</v>
      </c>
      <c r="B65" s="709" t="s">
        <v>4130</v>
      </c>
      <c r="E65" s="1019" t="str">
        <f>"Total all instances ("&amp;SPS&amp;PS!C16&amp;")"</f>
        <v>Total all instances (SPS22)</v>
      </c>
      <c r="H65" s="2190"/>
      <c r="I65" s="93" t="s">
        <v>6393</v>
      </c>
    </row>
    <row r="66" spans="1:18" x14ac:dyDescent="0.2">
      <c r="A66" s="121" t="s">
        <v>6376</v>
      </c>
      <c r="B66" s="2744" t="s">
        <v>4219</v>
      </c>
      <c r="D66" s="714" t="str">
        <f>A14</f>
        <v>c4.14</v>
      </c>
      <c r="E66" s="1027">
        <f>TRUNC(ABS(PS!D17)+0.99,0)</f>
        <v>0</v>
      </c>
      <c r="F66" s="929" t="s">
        <v>4448</v>
      </c>
      <c r="H66" s="2199" t="str">
        <f>A15</f>
        <v>c4.15</v>
      </c>
      <c r="I66" s="2200"/>
    </row>
    <row r="67" spans="1:18" x14ac:dyDescent="0.2">
      <c r="A67" s="121" t="s">
        <v>4205</v>
      </c>
    </row>
    <row r="68" spans="1:18" x14ac:dyDescent="0.2">
      <c r="A68" s="121" t="s">
        <v>4206</v>
      </c>
      <c r="B68" s="2116"/>
      <c r="J68" s="981"/>
      <c r="K68" s="981"/>
    </row>
    <row r="69" spans="1:18" x14ac:dyDescent="0.2">
      <c r="A69" s="121" t="s">
        <v>4207</v>
      </c>
      <c r="B69" s="709" t="s">
        <v>3337</v>
      </c>
      <c r="I69" s="1019" t="str">
        <f>"Total all instances ("&amp;SPS&amp;PS!C4&amp;")"</f>
        <v>Total all instances (SPS13)</v>
      </c>
    </row>
    <row customFormat="1" r="70" s="2303" spans="1:18" x14ac:dyDescent="0.2">
      <c r="A70" s="121" t="s">
        <v>4238</v>
      </c>
      <c r="B70" s="2744" t="s">
        <v>4220</v>
      </c>
      <c r="C70" s="121"/>
      <c r="D70" s="121"/>
      <c r="E70" s="121"/>
      <c r="F70" s="121"/>
      <c r="G70" s="121"/>
      <c r="H70" s="714" t="str">
        <f>A16</f>
        <v>c4.16</v>
      </c>
      <c r="I70" s="1027">
        <f>TRUNC(PS!D5+0.99,0)</f>
        <v>0</v>
      </c>
      <c r="J70" s="929" t="s">
        <v>4448</v>
      </c>
      <c r="K70" s="121"/>
      <c r="L70" s="121"/>
      <c r="M70" s="1019"/>
    </row>
    <row customFormat="1" r="71" s="2303" spans="1:18" x14ac:dyDescent="0.2">
      <c r="A71" s="121" t="s">
        <v>4239</v>
      </c>
      <c r="B71" s="121"/>
      <c r="C71" s="121"/>
      <c r="D71" s="121"/>
      <c r="E71" s="121"/>
      <c r="F71" s="121"/>
      <c r="G71" s="121"/>
      <c r="H71" s="121"/>
      <c r="I71" s="121"/>
      <c r="J71" s="121"/>
      <c r="K71" s="121"/>
      <c r="L71" s="121"/>
      <c r="M71" s="121"/>
    </row>
    <row r="72" spans="1:18" x14ac:dyDescent="0.2">
      <c r="A72" s="121" t="s">
        <v>4240</v>
      </c>
      <c r="B72" s="709" t="str">
        <f>"Capped &amp; uncapped Relief element of "&amp;D66</f>
        <v>Capped &amp; uncapped Relief element of c4.14</v>
      </c>
      <c r="M72" s="93" t="str">
        <f>D66&amp;" minus "&amp;H70</f>
        <v>c4.14 minus c4.16</v>
      </c>
    </row>
    <row r="73" spans="1:18" x14ac:dyDescent="0.2">
      <c r="A73" s="121" t="s">
        <v>4241</v>
      </c>
      <c r="B73" s="2744" t="s">
        <v>6983</v>
      </c>
      <c r="L73" s="714" t="str">
        <f>A17</f>
        <v>c4.17</v>
      </c>
      <c r="M73" s="1027">
        <f>MAX(0,E66-I70)</f>
        <v>0</v>
      </c>
    </row>
    <row r="74" spans="1:18" x14ac:dyDescent="0.2">
      <c r="A74" s="121" t="s">
        <v>4248</v>
      </c>
    </row>
    <row r="75" spans="1:18" x14ac:dyDescent="0.2">
      <c r="A75" s="121" t="s">
        <v>4338</v>
      </c>
      <c r="R75" s="93" t="str">
        <f>"lower of "&amp;D66&amp;" and "&amp;H70</f>
        <v>lower of c4.14 and c4.16</v>
      </c>
    </row>
    <row r="76" spans="1:18" x14ac:dyDescent="0.2">
      <c r="A76" s="121" t="s">
        <v>4351</v>
      </c>
      <c r="B76" s="2744" t="s">
        <v>4218</v>
      </c>
      <c r="N76" s="933"/>
      <c r="O76" s="933"/>
      <c r="Q76" s="714" t="str">
        <f>A18</f>
        <v>c4.18</v>
      </c>
      <c r="R76" s="1027">
        <f>MIN(E66,I70)</f>
        <v>0</v>
      </c>
    </row>
    <row r="77" spans="1:18" x14ac:dyDescent="0.2">
      <c r="A77" s="121" t="s">
        <v>5831</v>
      </c>
    </row>
    <row customFormat="1" r="78" s="2303" spans="1:18" x14ac:dyDescent="0.2">
      <c r="A78" s="121" t="s">
        <v>5832</v>
      </c>
    </row>
    <row customFormat="1" r="79" s="2303" spans="1:18" x14ac:dyDescent="0.2">
      <c r="A79" s="2712" t="s">
        <v>6517</v>
      </c>
    </row>
    <row customFormat="1" r="80" s="2303" spans="1:18" x14ac:dyDescent="0.2">
      <c r="A80" s="2712" t="s">
        <v>6518</v>
      </c>
      <c r="B80" s="709" t="s">
        <v>4166</v>
      </c>
    </row>
    <row r="81" spans="1:18" x14ac:dyDescent="0.2">
      <c r="A81" s="2712" t="s">
        <v>6629</v>
      </c>
      <c r="B81" s="709" t="s">
        <v>4167</v>
      </c>
      <c r="R81" s="93" t="str">
        <f>"from "&amp;'NS income (c1)'!E66</f>
        <v>from c1.24</v>
      </c>
    </row>
    <row r="82" spans="1:18" x14ac:dyDescent="0.2">
      <c r="A82" s="2712" t="s">
        <v>6631</v>
      </c>
      <c r="B82" s="2744" t="s">
        <v>4218</v>
      </c>
      <c r="P82" s="1019" t="str">
        <f><![CDATA["Total all instances ("&FPS&PS!J4&" + "&FPS&PS!G19&" + "&FPS&PS!G28&" + "&FPS&PS!G31&")"]]></f>
        <v>Total all instances (FPS17 + FPS38 + FPS47 + FPS58)</v>
      </c>
      <c r="Q82" s="714" t="str">
        <f>A19</f>
        <v>c4.19</v>
      </c>
      <c r="R82" s="1027">
        <f>'NS income (c1)'!F66</f>
        <v>0</v>
      </c>
    </row>
    <row customFormat="1" r="83" s="2596" spans="1:18" x14ac:dyDescent="0.2">
      <c r="A83" s="2712" t="s">
        <v>6633</v>
      </c>
      <c r="B83" s="709"/>
      <c r="E83" s="1019"/>
      <c r="P83" s="1019"/>
      <c r="Q83" s="709"/>
      <c r="R83" s="394"/>
    </row>
    <row customFormat="1" r="84" s="2596" spans="1:18" x14ac:dyDescent="0.2">
      <c r="A84" s="2712" t="s">
        <v>6634</v>
      </c>
      <c r="B84" s="709"/>
      <c r="P84" s="1019"/>
      <c r="Q84" s="709"/>
      <c r="R84" s="394"/>
    </row>
    <row r="85" spans="1:18" x14ac:dyDescent="0.2">
      <c r="A85" s="2712" t="s">
        <v>6636</v>
      </c>
    </row>
    <row r="86" spans="1:18" x14ac:dyDescent="0.2">
      <c r="A86" s="2712" t="s">
        <v>6638</v>
      </c>
      <c r="B86" s="709" t="s">
        <v>4130</v>
      </c>
      <c r="E86" s="1019" t="str">
        <f><![CDATA["Total all instances ("&FPS&PS!G10&" + "&FPS&PS!J19&")"]]></f>
        <v>Total all instances (FPS22 + FPS39)</v>
      </c>
      <c r="H86" s="2190"/>
      <c r="I86" s="93" t="s">
        <v>6393</v>
      </c>
    </row>
    <row r="87" spans="1:18" x14ac:dyDescent="0.2">
      <c r="A87" s="2712" t="s">
        <v>6640</v>
      </c>
      <c r="B87" s="2744" t="s">
        <v>4219</v>
      </c>
      <c r="D87" s="714" t="str">
        <f>A20</f>
        <v>c4.20</v>
      </c>
      <c r="E87" s="1027">
        <f>TRUNC(ABS(PS!H11)+0.99,0)+TRUNC(ABS(PS!K20)+0.99,0)</f>
        <v>0</v>
      </c>
      <c r="F87" s="929" t="s">
        <v>4449</v>
      </c>
      <c r="H87" s="2199" t="str">
        <f>A21</f>
        <v>c4.21</v>
      </c>
      <c r="I87" s="2200"/>
    </row>
    <row r="88" spans="1:18" x14ac:dyDescent="0.2">
      <c r="A88" s="2712" t="s">
        <v>6642</v>
      </c>
    </row>
    <row r="89" spans="1:18" x14ac:dyDescent="0.2">
      <c r="A89" s="2712" t="s">
        <v>6644</v>
      </c>
      <c r="B89" s="709" t="s">
        <v>3337</v>
      </c>
      <c r="I89" s="1019" t="str">
        <f>"Total all instances ("&amp;FPS&amp;PS!G4&amp;")"</f>
        <v>Total all instances (FPS13)</v>
      </c>
    </row>
    <row r="90" spans="1:18" x14ac:dyDescent="0.2">
      <c r="A90" s="2712" t="s">
        <v>6646</v>
      </c>
      <c r="B90" s="2744" t="s">
        <v>4220</v>
      </c>
      <c r="H90" s="714" t="str">
        <f>A22</f>
        <v>c4.22</v>
      </c>
      <c r="I90" s="1027">
        <f>TRUNC(PS!H5+0.99,0)</f>
        <v>0</v>
      </c>
      <c r="J90" s="929" t="s">
        <v>4449</v>
      </c>
      <c r="M90" s="1019"/>
    </row>
    <row r="91" spans="1:18" x14ac:dyDescent="0.2">
      <c r="A91" s="2712" t="s">
        <v>6648</v>
      </c>
    </row>
    <row r="92" spans="1:18" x14ac:dyDescent="0.2">
      <c r="A92" s="2712" t="s">
        <v>6650</v>
      </c>
      <c r="B92" s="709" t="str">
        <f>"Capped Relief element of "&amp;D87</f>
        <v>Capped Relief element of c4.20</v>
      </c>
      <c r="M92" s="93" t="str">
        <f>D87&amp;" minus "&amp;H90</f>
        <v>c4.20 minus c4.22</v>
      </c>
    </row>
    <row r="93" spans="1:18" x14ac:dyDescent="0.2">
      <c r="A93" s="2712" t="s">
        <v>6651</v>
      </c>
      <c r="B93" s="2744" t="s">
        <v>6983</v>
      </c>
      <c r="L93" s="714" t="str">
        <f>A23</f>
        <v>c4.23</v>
      </c>
      <c r="M93" s="1027">
        <f>MAX(0,E87-I90)</f>
        <v>0</v>
      </c>
    </row>
    <row customFormat="1" r="94" s="2712" spans="1:18" x14ac:dyDescent="0.2">
      <c r="A94" s="2712" t="s">
        <v>6653</v>
      </c>
      <c r="B94" s="709"/>
      <c r="L94" s="709"/>
      <c r="M94" s="394"/>
      <c r="Q94" s="121"/>
      <c r="R94" s="121"/>
    </row>
    <row customFormat="1" r="95" s="2712" spans="1:18" x14ac:dyDescent="0.2">
      <c r="A95" s="3440" t="s">
        <v>7970</v>
      </c>
      <c r="B95" s="709"/>
      <c r="L95" s="709"/>
      <c r="M95" s="394"/>
      <c r="Q95" s="121"/>
      <c r="R95" s="93" t="str">
        <f>"lower of "&amp;D87&amp;" and "&amp;H90</f>
        <v>lower of c4.20 and c4.22</v>
      </c>
    </row>
    <row customFormat="1" r="96" s="2712" spans="1:18" x14ac:dyDescent="0.2">
      <c r="A96" s="3440" t="s">
        <v>7971</v>
      </c>
      <c r="B96" s="2744" t="s">
        <v>4218</v>
      </c>
      <c r="L96" s="709"/>
      <c r="M96" s="394"/>
      <c r="Q96" s="714" t="str">
        <f>A24</f>
        <v>c4.24</v>
      </c>
      <c r="R96" s="1027">
        <f>MIN(E87,I90)</f>
        <v>0</v>
      </c>
    </row>
    <row customFormat="1" r="97" s="2303" spans="1:20" x14ac:dyDescent="0.2">
      <c r="A97" s="3440" t="s">
        <v>7973</v>
      </c>
      <c r="L97" s="709"/>
      <c r="M97" s="394"/>
      <c r="Q97" s="709"/>
      <c r="R97" s="394"/>
    </row>
    <row r="98" spans="1:20" x14ac:dyDescent="0.2">
      <c r="A98" s="3440" t="s">
        <v>7974</v>
      </c>
      <c r="B98" s="1200" t="s">
        <v>6900</v>
      </c>
      <c r="M98" s="93" t="str">
        <f><![CDATA[L37&" + "&L53&" + "&L73&" + "&L93]]></f>
        <v>c4.6 + c4.11 + c4.17 + c4.23</v>
      </c>
      <c r="Q98" s="709"/>
    </row>
    <row r="99" spans="1:20" x14ac:dyDescent="0.2">
      <c r="A99" s="3440" t="s">
        <v>7975</v>
      </c>
      <c r="B99" s="2744" t="s">
        <v>6983</v>
      </c>
      <c r="L99" s="714" t="str">
        <f>A25</f>
        <v>c4.25</v>
      </c>
      <c r="M99" s="1027">
        <f>M37+M53+M73+M93</f>
        <v>0</v>
      </c>
      <c r="Q99" s="709"/>
      <c r="R99" s="394"/>
    </row>
    <row customFormat="1" r="100" s="2712" spans="1:20" x14ac:dyDescent="0.2">
      <c r="A100" s="2303" t="s">
        <v>6987</v>
      </c>
      <c r="B100" s="1200"/>
      <c r="L100" s="709"/>
      <c r="M100" s="394"/>
      <c r="Q100" s="121"/>
      <c r="R100" s="93" t="str">
        <f>Q30&amp;" + "&amp;Q41&amp;" + "&amp;Q56&amp;" + "</f>
        <v xml:space="preserve">c4.5 + c4.7 + c4.12 + </v>
      </c>
    </row>
    <row customFormat="1" r="101" s="2712" spans="1:20" x14ac:dyDescent="0.2">
      <c r="A101" s="121" t="s">
        <v>6377</v>
      </c>
      <c r="B101" s="1200"/>
      <c r="L101" s="709"/>
      <c r="M101" s="394"/>
      <c r="Q101" s="121"/>
      <c r="R101" s="93" t="str">
        <f><![CDATA[Q61&" + "&Q76&" + "&Q82&" + "&Q96]]></f>
        <v>c4.13 + c4.18 + c4.19 + c4.24</v>
      </c>
    </row>
    <row customFormat="1" r="102" s="2712" spans="1:20" x14ac:dyDescent="0.2">
      <c r="A102" s="121" t="s">
        <v>6378</v>
      </c>
      <c r="B102" s="2744" t="s">
        <v>4218</v>
      </c>
      <c r="L102" s="709"/>
      <c r="M102" s="394"/>
      <c r="Q102" s="714" t="str">
        <f>A26</f>
        <v>c4.26</v>
      </c>
      <c r="R102" s="1027">
        <f>R30+R41+R56+R61+R76+R82+R96</f>
        <v>0</v>
      </c>
    </row>
    <row r="103" spans="1:20" x14ac:dyDescent="0.2">
      <c r="A103" s="2810" t="s">
        <v>6519</v>
      </c>
      <c r="B103" s="1029"/>
      <c r="C103" s="1029"/>
      <c r="D103" s="1029"/>
      <c r="E103" s="1029"/>
      <c r="F103" s="1029"/>
      <c r="G103" s="1029"/>
      <c r="H103" s="1029"/>
      <c r="I103" s="1029"/>
      <c r="J103" s="1029"/>
      <c r="K103" s="1029"/>
      <c r="L103" s="1029"/>
      <c r="M103" s="1029"/>
      <c r="N103" s="1029"/>
      <c r="O103" s="1029"/>
      <c r="P103" s="1029"/>
      <c r="Q103" s="1029"/>
      <c r="R103" s="1029"/>
      <c r="S103" s="1029"/>
    </row>
    <row r="104" spans="1:20" x14ac:dyDescent="0.2">
      <c r="A104" s="121" t="s">
        <v>6438</v>
      </c>
      <c r="B104" s="1217" t="s">
        <v>2603</v>
      </c>
      <c r="C104" s="1030"/>
      <c r="D104" s="1030"/>
      <c r="E104" s="1030"/>
      <c r="F104" s="1030"/>
      <c r="G104" s="1030"/>
      <c r="H104" s="1030"/>
      <c r="I104" s="1030"/>
      <c r="J104" s="1030"/>
      <c r="K104" s="1030"/>
      <c r="L104" s="1030"/>
      <c r="M104" s="1030"/>
      <c r="N104" s="1030"/>
      <c r="O104" s="37"/>
      <c r="S104" s="1030"/>
    </row>
    <row customFormat="1" r="105" s="2303" spans="1:20" x14ac:dyDescent="0.2">
      <c r="A105" s="121" t="s">
        <v>5833</v>
      </c>
      <c r="B105" s="1200"/>
      <c r="C105" s="37"/>
      <c r="D105" s="37"/>
      <c r="E105" s="37"/>
      <c r="F105" s="37"/>
      <c r="G105" s="37"/>
      <c r="H105" s="37"/>
      <c r="I105" s="37"/>
      <c r="J105" s="37"/>
      <c r="K105" s="37"/>
      <c r="L105" s="37"/>
      <c r="M105" s="37"/>
      <c r="N105" s="37"/>
      <c r="O105" s="37"/>
      <c r="S105" s="37"/>
    </row>
    <row customFormat="1" r="106" s="2303" spans="1:20" x14ac:dyDescent="0.2">
      <c r="A106" s="121" t="s">
        <v>5834</v>
      </c>
      <c r="B106" s="1200"/>
      <c r="C106" s="37"/>
      <c r="D106" s="37"/>
      <c r="E106" s="37"/>
      <c r="F106" s="37"/>
      <c r="G106" s="37"/>
      <c r="H106" s="37"/>
      <c r="I106" s="37"/>
      <c r="J106" s="37"/>
      <c r="K106" s="37"/>
      <c r="L106" s="37"/>
      <c r="M106" s="37"/>
      <c r="N106" s="37"/>
      <c r="O106" s="37"/>
      <c r="S106" s="37"/>
    </row>
    <row r="107" spans="1:20" x14ac:dyDescent="0.2">
      <c r="A107" s="121" t="s">
        <v>5835</v>
      </c>
      <c r="B107" s="709" t="s">
        <v>4168</v>
      </c>
      <c r="R107" s="93" t="str">
        <f>"from "&amp;'NS income (c1)'!E78</f>
        <v>from c1.28</v>
      </c>
      <c r="T107" s="981"/>
    </row>
    <row r="108" spans="1:20" x14ac:dyDescent="0.2">
      <c r="A108" s="121" t="s">
        <v>6043</v>
      </c>
      <c r="B108" s="2744" t="s">
        <v>4218</v>
      </c>
      <c r="M108" s="37"/>
      <c r="N108" s="37"/>
      <c r="O108" s="37"/>
      <c r="P108" s="1780" t="str">
        <f><![CDATA["Total all instances (lower of "&PRO&PRO!C7&" and "&PRO&PRO!C10&")"]]></f>
        <v>Total all instances (lower of PRO13 and PRO14)</v>
      </c>
      <c r="Q108" s="714" t="str">
        <f>A27</f>
        <v>c4.27</v>
      </c>
      <c r="R108" s="1027">
        <f>'NS income (c1)'!F78</f>
        <v>0</v>
      </c>
    </row>
    <row customFormat="1" r="109" s="2303" spans="1:20" x14ac:dyDescent="0.2">
      <c r="B109" s="121"/>
    </row>
    <row r="110" spans="1:20" x14ac:dyDescent="0.2">
      <c r="B110" s="709" t="s">
        <v>4168</v>
      </c>
      <c r="R110" s="93" t="str">
        <f>"from "&amp;'NS income (c1)'!E86</f>
        <v>from c1.31</v>
      </c>
    </row>
    <row r="111" spans="1:20" x14ac:dyDescent="0.2">
      <c r="B111" s="2744" t="s">
        <v>4218</v>
      </c>
      <c r="P111" s="1019" t="str">
        <f>"lower of "&amp;PRO&amp;PRO!G27&amp;" and "&amp;PRO&amp;PRO!G30</f>
        <v>lower of PRO38 and PRO39</v>
      </c>
      <c r="Q111" s="714" t="str">
        <f>A28</f>
        <v>c4.28</v>
      </c>
      <c r="R111" s="1027">
        <f>'NS income (c1)'!F86</f>
        <v>0</v>
      </c>
    </row>
    <row r="113" spans="1:19" x14ac:dyDescent="0.2">
      <c r="D113" s="2190"/>
      <c r="E113" s="93" t="s">
        <v>6393</v>
      </c>
      <c r="F113" s="2190"/>
      <c r="G113" s="2190"/>
      <c r="H113" s="2190"/>
      <c r="I113" s="93" t="s">
        <v>6393</v>
      </c>
    </row>
    <row r="114" spans="1:19" x14ac:dyDescent="0.2">
      <c r="B114" s="2116"/>
      <c r="D114" s="2199" t="str">
        <f>A29</f>
        <v>c4.29</v>
      </c>
      <c r="E114" s="2200"/>
      <c r="F114" s="1803"/>
      <c r="G114" s="2190"/>
      <c r="H114" s="2199" t="str">
        <f>A30</f>
        <v>c4.30</v>
      </c>
      <c r="I114" s="2200"/>
    </row>
    <row r="115" spans="1:19" x14ac:dyDescent="0.2">
      <c r="D115" s="2190"/>
      <c r="E115" s="2190"/>
      <c r="F115" s="2190"/>
      <c r="G115" s="2190"/>
      <c r="H115" s="2190"/>
      <c r="I115" s="2190"/>
    </row>
    <row r="116" spans="1:19" x14ac:dyDescent="0.2">
      <c r="B116" s="709" t="s">
        <v>4132</v>
      </c>
      <c r="M116" s="1019" t="str">
        <f>"from "&amp;PRO&amp;PRO!G36</f>
        <v>from PRO42</v>
      </c>
      <c r="Q116" s="981"/>
      <c r="R116" s="93" t="s">
        <v>6393</v>
      </c>
    </row>
    <row r="117" spans="1:19" x14ac:dyDescent="0.2">
      <c r="A117" s="2596"/>
      <c r="B117" s="2744" t="s">
        <v>6983</v>
      </c>
      <c r="L117" s="714" t="str">
        <f>A31</f>
        <v>c4.31</v>
      </c>
      <c r="M117" s="1027">
        <f>TRUNC(ABS(PRO!H37)+0.99,0)</f>
        <v>0</v>
      </c>
      <c r="N117" s="932" t="s">
        <v>3701</v>
      </c>
      <c r="O117" s="932"/>
      <c r="Q117" s="714" t="str">
        <f>A32</f>
        <v>c4.32</v>
      </c>
      <c r="R117" s="2200"/>
    </row>
    <row customFormat="1" r="118" s="2303" spans="1:19" x14ac:dyDescent="0.2">
      <c r="A118" s="2596"/>
    </row>
    <row customFormat="1" r="119" s="2596" spans="1:19" x14ac:dyDescent="0.2">
      <c r="A119" s="121"/>
      <c r="B119" s="1200" t="s">
        <v>1169</v>
      </c>
      <c r="R119" s="1019"/>
    </row>
    <row customFormat="1" r="120" s="2596" spans="1:19" x14ac:dyDescent="0.2">
      <c r="A120" s="2303"/>
      <c r="B120" s="709" t="s">
        <v>4170</v>
      </c>
      <c r="N120" s="121"/>
      <c r="O120" s="2303"/>
      <c r="P120" s="93"/>
      <c r="Q120" s="93"/>
      <c r="R120" s="93" t="str">
        <f>'NS income (c1)'!E101&amp;" minus ("&amp;'NS income (c1)'!E107&amp;" + "&amp;'NS income (c1)'!E110&amp;")"</f>
        <v>c1.36 minus (c1.38 + c1.39)</v>
      </c>
      <c r="S120" s="121"/>
    </row>
    <row customFormat="1" r="121" s="2596" spans="1:19" x14ac:dyDescent="0.2">
      <c r="A121" s="2303"/>
      <c r="B121" s="2744" t="s">
        <v>4218</v>
      </c>
      <c r="N121" s="121"/>
      <c r="O121" s="2303"/>
      <c r="P121" s="1019" t="str">
        <f><![CDATA[FOR&FOR!K10&" minus ("&FOR&FOR!K19&" + "&FOR&FOR!O19&")"]]></f>
        <v>FOR26 minus (FOR31 + FOR32)</v>
      </c>
      <c r="Q121" s="714" t="str">
        <f>A33</f>
        <v>c4.33</v>
      </c>
      <c r="R121" s="1027">
        <f>MAX(0,TRUNC('NS income (c1)'!F101-('NS income (c1)'!F107+'NS income (c1)'!F110)+0.99,0))</f>
        <v>0</v>
      </c>
      <c r="S121" s="932" t="s">
        <v>3701</v>
      </c>
    </row>
    <row customFormat="1" r="122" s="2303" spans="1:19" x14ac:dyDescent="0.2">
      <c r="A122" s="121"/>
    </row>
    <row r="124" spans="1:19" x14ac:dyDescent="0.2">
      <c r="A124" s="2303"/>
      <c r="B124" s="684" t="s">
        <v>4169</v>
      </c>
      <c r="M124" s="1019" t="str">
        <f>"from "&amp;FOR&amp;FOR!K19</f>
        <v>from FOR31</v>
      </c>
    </row>
    <row r="125" spans="1:19" x14ac:dyDescent="0.2">
      <c r="A125" s="2303"/>
      <c r="B125" s="2744" t="s">
        <v>6983</v>
      </c>
      <c r="L125" s="714" t="str">
        <f>A34</f>
        <v>c4.34</v>
      </c>
      <c r="M125" s="1027">
        <f>TRUNC(ABS(FOR!L20)+0.99,0)</f>
        <v>0</v>
      </c>
      <c r="N125" s="932" t="s">
        <v>3701</v>
      </c>
      <c r="O125" s="932"/>
    </row>
    <row r="126" spans="1:19" x14ac:dyDescent="0.2">
      <c r="A126" s="2596"/>
    </row>
    <row r="127" spans="1:19" x14ac:dyDescent="0.2">
      <c r="A127" s="2596"/>
      <c r="B127" s="1200" t="s">
        <v>578</v>
      </c>
    </row>
    <row r="128" spans="1:19" x14ac:dyDescent="0.2">
      <c r="A128" s="2596"/>
      <c r="B128" s="709" t="s">
        <v>6985</v>
      </c>
      <c r="R128" s="93" t="str">
        <f>"from "&amp;'NS income (c1)'!E51</f>
        <v>from c1.18</v>
      </c>
    </row>
    <row customFormat="1" r="129" s="2596" spans="1:18" x14ac:dyDescent="0.2">
      <c r="B129" s="2744" t="s">
        <v>4218</v>
      </c>
      <c r="M129" s="1019"/>
      <c r="P129" s="1019" t="str">
        <f>"from "&amp;LUN&amp;LUN!K4</f>
        <v>from LUN51</v>
      </c>
      <c r="Q129" s="714" t="str">
        <f>A35</f>
        <v>c4.35</v>
      </c>
      <c r="R129" s="1027">
        <f>'NS income (c1)'!F51</f>
        <v>0</v>
      </c>
    </row>
    <row customFormat="1" r="130" s="2596" spans="1:18" x14ac:dyDescent="0.2">
      <c r="A130" s="2303"/>
      <c r="B130" s="709"/>
      <c r="M130" s="1019"/>
      <c r="R130" s="93"/>
    </row>
    <row customFormat="1" r="131" s="2596" spans="1:18" x14ac:dyDescent="0.2">
      <c r="A131" s="121"/>
      <c r="B131" s="709"/>
      <c r="M131" s="1019"/>
      <c r="R131" s="93"/>
    </row>
    <row customFormat="1" r="132" s="2596" spans="1:18" x14ac:dyDescent="0.2">
      <c r="A132" s="121"/>
      <c r="B132" s="709"/>
      <c r="M132" s="1019"/>
      <c r="R132" s="93"/>
    </row>
    <row r="133" spans="1:18" x14ac:dyDescent="0.2">
      <c r="A133" s="2303"/>
      <c r="M133" s="1019"/>
    </row>
    <row r="134" spans="1:18" x14ac:dyDescent="0.2">
      <c r="A134" s="2303"/>
    </row>
    <row r="135" spans="1:18" x14ac:dyDescent="0.2">
      <c r="A135" s="2303"/>
      <c r="B135" s="684" t="s">
        <v>4133</v>
      </c>
      <c r="M135" s="1019" t="str">
        <f>"from "&amp;LUN&amp;LUN!K10</f>
        <v>from LUN56</v>
      </c>
    </row>
    <row r="136" spans="1:18" x14ac:dyDescent="0.2">
      <c r="B136" s="2744" t="s">
        <v>6983</v>
      </c>
      <c r="L136" s="714" t="str">
        <f>A36</f>
        <v>c4.36</v>
      </c>
      <c r="M136" s="1027">
        <f>TRUNC(ABS(LUN!L11)+0.99,0)</f>
        <v>0</v>
      </c>
      <c r="N136" s="932" t="s">
        <v>3701</v>
      </c>
      <c r="O136" s="932"/>
    </row>
    <row r="137" spans="1:18" x14ac:dyDescent="0.2">
      <c r="B137" s="2303"/>
    </row>
    <row customFormat="1" r="138" s="2303" spans="1:18" x14ac:dyDescent="0.2">
      <c r="A138" s="121"/>
      <c r="B138" s="1200" t="s">
        <v>3831</v>
      </c>
    </row>
    <row r="139" spans="1:18" x14ac:dyDescent="0.2">
      <c r="B139" s="684" t="s">
        <v>1882</v>
      </c>
      <c r="M139" s="1019" t="str">
        <f>"from "&amp;AOR&amp;AOR!C20</f>
        <v>from AOR6</v>
      </c>
    </row>
    <row r="140" spans="1:18" x14ac:dyDescent="0.2">
      <c r="B140" s="2744" t="s">
        <v>6983</v>
      </c>
      <c r="L140" s="714" t="str">
        <f>A37</f>
        <v>c4.37</v>
      </c>
      <c r="M140" s="1027">
        <f>TRUNC(ABS(AOR!D21)+0.99,0)</f>
        <v>0</v>
      </c>
      <c r="N140" s="932" t="s">
        <v>3701</v>
      </c>
      <c r="O140" s="932"/>
    </row>
    <row r="141" spans="1:18" x14ac:dyDescent="0.2">
      <c r="B141" s="2303"/>
    </row>
    <row customFormat="1" r="142" s="2303" spans="1:18" x14ac:dyDescent="0.2">
      <c r="A142" s="121"/>
      <c r="B142" s="1200" t="s">
        <v>4172</v>
      </c>
    </row>
    <row r="143" spans="1:18" x14ac:dyDescent="0.2">
      <c r="B143" s="684" t="s">
        <v>4171</v>
      </c>
      <c r="M143" s="1019" t="str">
        <f>"from "&amp;AOR&amp;AOR!C17</f>
        <v>from AOR5</v>
      </c>
    </row>
    <row r="144" spans="1:18" x14ac:dyDescent="0.2">
      <c r="B144" s="2744" t="s">
        <v>6983</v>
      </c>
      <c r="L144" s="714" t="str">
        <f>A38</f>
        <v>c4.38</v>
      </c>
      <c r="M144" s="1027">
        <f>TRUNC(AOR!D18+0.99,0)</f>
        <v>0</v>
      </c>
      <c r="N144" s="932" t="s">
        <v>3701</v>
      </c>
      <c r="O144" s="932"/>
    </row>
    <row customFormat="1" r="145" s="2303" spans="1:15" x14ac:dyDescent="0.2">
      <c r="A145" s="121"/>
      <c r="B145" s="684"/>
      <c r="L145" s="709"/>
      <c r="M145" s="394"/>
      <c r="N145" s="932"/>
      <c r="O145" s="932"/>
    </row>
    <row customFormat="1" r="146" s="2303" spans="1:15" x14ac:dyDescent="0.2">
      <c r="A146" s="121"/>
      <c r="B146" s="684"/>
      <c r="L146" s="709"/>
      <c r="M146" s="394"/>
      <c r="N146" s="932"/>
      <c r="O146" s="932"/>
    </row>
    <row customFormat="1" r="147" s="2303" spans="1:15" x14ac:dyDescent="0.2">
      <c r="A147" s="121"/>
      <c r="B147" s="684"/>
      <c r="L147" s="709"/>
      <c r="M147" s="394"/>
      <c r="N147" s="932"/>
      <c r="O147" s="932"/>
    </row>
    <row r="148" spans="1:15" x14ac:dyDescent="0.2">
      <c r="E148" s="93" t="str">
        <f><![CDATA[D8&" + "&Q23&" + "&Q30&" + "&L37&" + "&Q41&" + "&D45&" + "&Q61&" + "&D66&" + "&Q82&" + "&D87]]></f>
        <v>c4.1 + c4.4 + c4.5 + c4.6 + c4.7 + c4.8 + c4.13 + c4.14 + c4.19 + c4.20</v>
      </c>
    </row>
    <row r="149" spans="1:15" x14ac:dyDescent="0.2">
      <c r="B149" s="2982"/>
      <c r="C149" s="2982"/>
      <c r="E149" s="93" t="str">
        <f><![CDATA[" + "&Q108&" + "&Q111&" + "&L117&" + "&Q121&" + "&L125&" + "&Q129&" + "&L136&" + "&L140&" + "&L144]]></f>
        <v xml:space="preserve"> + c4.27 + c4.28 + c4.31 + c4.33 + c4.34 + c4.35 + c4.36 + c4.37 + c4.38</v>
      </c>
    </row>
    <row r="150" spans="1:15" x14ac:dyDescent="0.2">
      <c r="B150" s="1448" t="s">
        <v>4175</v>
      </c>
      <c r="D150" s="714" t="str">
        <f>A39</f>
        <v>c4.39</v>
      </c>
      <c r="E150" s="1027">
        <f>E8+R23+R30+M37+R41+E45+R61+E66+R82+E87+R108+R111+M117+R121+M125+R129+M136+M140+M144</f>
        <v>0</v>
      </c>
    </row>
    <row r="151" spans="1:15" x14ac:dyDescent="0.2">
      <c r="A151" s="2303"/>
      <c r="M151" s="93" t="str">
        <f><![CDATA[L17&" + "&L99&" + "&L117&" + "&L125&" + "]]></f>
        <v xml:space="preserve">c4.3 + c4.25 + c4.31 + c4.34 + </v>
      </c>
    </row>
    <row r="152" spans="1:15" x14ac:dyDescent="0.2">
      <c r="A152" s="2303"/>
      <c r="B152" s="978"/>
      <c r="M152" s="93" t="str">
        <f>L136&amp;" + "&amp;L140&amp;" + "&amp;L144</f>
        <v>c4.36 + c4.37 + c4.38</v>
      </c>
    </row>
    <row r="153" spans="1:15" x14ac:dyDescent="0.2">
      <c r="A153" s="2303"/>
      <c r="B153" s="2306" t="s">
        <v>4246</v>
      </c>
      <c r="L153" s="714" t="str">
        <f>A40</f>
        <v>c4.40</v>
      </c>
      <c r="M153" s="1027">
        <f>M17+M99+M117+M125+M136+M140+M144</f>
        <v>0</v>
      </c>
    </row>
    <row r="155" spans="1:15" x14ac:dyDescent="0.2">
      <c r="B155" s="415" t="s">
        <v>4144</v>
      </c>
      <c r="E155" s="38" t="str">
        <f>"from "&amp;'Divs (c3)'!G91</f>
        <v>from c3.26</v>
      </c>
    </row>
    <row r="156" spans="1:15" x14ac:dyDescent="0.2">
      <c r="B156" s="415" t="s">
        <v>4149</v>
      </c>
      <c r="D156" s="714" t="str">
        <f>A41</f>
        <v>c4.41</v>
      </c>
      <c r="E156" s="1027">
        <f>'Divs (c3)'!H91</f>
        <v>61672</v>
      </c>
    </row>
    <row r="158" spans="1:15" x14ac:dyDescent="0.2">
      <c r="D158" s="706"/>
      <c r="E158" s="698" t="str">
        <f>D156&amp;" x Dedn_taper ("&amp;Dedn_taper*100&amp;"%)"</f>
        <v>c4.41 x Dedn_taper (25%)</v>
      </c>
      <c r="F158" s="1219"/>
    </row>
    <row r="159" spans="1:15" x14ac:dyDescent="0.2">
      <c r="D159" s="719" t="str">
        <f>A42</f>
        <v>c4.42</v>
      </c>
      <c r="E159" s="752">
        <f>TRUNC((E156*Dedn_taper)+0.99,0)</f>
        <v>15418</v>
      </c>
      <c r="F159" s="929" t="s">
        <v>3701</v>
      </c>
      <c r="G159" s="386"/>
      <c r="H159" s="386"/>
      <c r="I159" s="386"/>
    </row>
    <row r="160" spans="1:15" x14ac:dyDescent="0.2">
      <c r="H160" s="386"/>
      <c r="I160" s="706"/>
      <c r="J160" s="386"/>
      <c r="K160" s="386"/>
      <c r="L160" s="706"/>
      <c r="M160" s="386"/>
    </row>
    <row r="161" spans="1:19" x14ac:dyDescent="0.2">
      <c r="B161" s="415" t="s">
        <v>4173</v>
      </c>
      <c r="H161" s="386"/>
      <c r="I161" s="93" t="str">
        <f>"Dedn_cap ("&amp;DOLLAR(Dedn_cap,0)&amp;")"</f>
        <v>Dedn_cap ($50,000)</v>
      </c>
      <c r="J161" s="386"/>
      <c r="K161" s="386"/>
      <c r="L161" s="706"/>
      <c r="M161" s="698" t="str">
        <f>"larger of "&amp;D159&amp;" and "&amp;H162</f>
        <v>larger of c4.42 and c4.43</v>
      </c>
      <c r="R161" s="1019"/>
    </row>
    <row r="162" spans="1:19" x14ac:dyDescent="0.2">
      <c r="B162" s="415" t="s">
        <v>4177</v>
      </c>
      <c r="H162" s="719" t="str">
        <f>A43</f>
        <v>c4.43</v>
      </c>
      <c r="I162" s="1028">
        <f>Dedn_cap</f>
        <v>50000</v>
      </c>
      <c r="J162" s="386"/>
      <c r="K162" s="386"/>
      <c r="L162" s="719" t="str">
        <f>A44</f>
        <v>c4.44</v>
      </c>
      <c r="M162" s="752">
        <f>MAX(E159,I162)</f>
        <v>50000</v>
      </c>
    </row>
    <row r="163" spans="1:19" x14ac:dyDescent="0.2">
      <c r="A163" s="2331"/>
    </row>
    <row r="164" spans="1:19" x14ac:dyDescent="0.2">
      <c r="M164" s="93" t="str">
        <f>"lower of "&amp;L153&amp;" and "&amp;L162</f>
        <v>lower of c4.40 and c4.44</v>
      </c>
    </row>
    <row r="165" spans="1:19" x14ac:dyDescent="0.2">
      <c r="B165" s="2306" t="s">
        <v>4196</v>
      </c>
      <c r="L165" s="719" t="str">
        <f>A45</f>
        <v>c4.45</v>
      </c>
      <c r="M165" s="752">
        <f>MIN(M153,M162)</f>
        <v>0</v>
      </c>
    </row>
    <row r="166" spans="1:19" x14ac:dyDescent="0.2">
      <c r="R166" s="93" t="str">
        <f><![CDATA[Q11&" + "&Q23&" + "&Q102&" + "&Q108&" + "]]></f>
        <v xml:space="preserve">c4.2 + c4.4 + c4.26 + c4.27 + </v>
      </c>
    </row>
    <row customFormat="1" r="167" s="2303" spans="1:19" x14ac:dyDescent="0.2">
      <c r="A167" s="121"/>
      <c r="P167" s="121"/>
      <c r="Q167" s="121"/>
      <c r="R167" s="93" t="str">
        <f>Q111&amp;" + "&amp;Q121&amp;" + "&amp;Q129</f>
        <v>c4.28 + c4.33 + c4.35</v>
      </c>
    </row>
    <row customFormat="1" r="168" s="2303" spans="1:19" x14ac:dyDescent="0.2">
      <c r="A168" s="121"/>
      <c r="B168" s="2306" t="s">
        <v>4176</v>
      </c>
      <c r="Q168" s="714" t="str">
        <f>A46</f>
        <v>c4.46</v>
      </c>
      <c r="R168" s="1027">
        <f>R11+R23+R102+R108+R111+R121+R129</f>
        <v>0</v>
      </c>
    </row>
    <row customFormat="1" r="169" s="2303" spans="1:19" x14ac:dyDescent="0.2">
      <c r="A169" s="121"/>
    </row>
    <row r="170" spans="1:19" x14ac:dyDescent="0.2">
      <c r="E170" s="93" t="str">
        <f>L165&amp;" + "&amp;Q168</f>
        <v>c4.45 + c4.46</v>
      </c>
    </row>
    <row r="171" spans="1:19" x14ac:dyDescent="0.2">
      <c r="B171" s="415" t="s">
        <v>4247</v>
      </c>
      <c r="D171" s="714" t="str">
        <f>A47</f>
        <v>c4.47</v>
      </c>
      <c r="E171" s="1027">
        <f>M165+R168</f>
        <v>0</v>
      </c>
    </row>
    <row r="172" spans="1:19" x14ac:dyDescent="0.2">
      <c r="B172" s="685"/>
      <c r="C172" s="685"/>
      <c r="D172" s="685"/>
      <c r="E172" s="685"/>
      <c r="F172" s="685"/>
      <c r="G172" s="685"/>
      <c r="H172" s="685"/>
      <c r="I172" s="685"/>
      <c r="J172" s="685"/>
      <c r="K172" s="685"/>
      <c r="L172" s="685"/>
      <c r="M172" s="685"/>
      <c r="N172" s="685"/>
      <c r="O172" s="2305"/>
      <c r="P172" s="685"/>
      <c r="Q172" s="685"/>
      <c r="R172" s="685"/>
      <c r="S172" s="685"/>
    </row>
    <row r="174" spans="1:19" x14ac:dyDescent="0.2">
      <c r="B174" s="709" t="s">
        <v>4178</v>
      </c>
      <c r="C174" s="37"/>
      <c r="D174" s="37"/>
      <c r="F174" s="37"/>
      <c r="G174" s="1019" t="str">
        <f><![CDATA[REL&'REL(1)'!C9&" + "&REL&'REL(1)'!H6&" + "&REL&'REL(1)'!H9]]></f>
        <v>REL2 + REL3 + REL4</v>
      </c>
      <c r="H174" s="714" t="str">
        <f>A48</f>
        <v>c4.48</v>
      </c>
      <c r="I174" s="1027">
        <f>TRUNC('REL(1)'!D10+0.99,0)+TRUNC('REL(1)'!I7+0.99,0)+TRUNC('REL(1)'!I10+0.99,0)</f>
        <v>1200</v>
      </c>
      <c r="J174" s="929" t="s">
        <v>3701</v>
      </c>
    </row>
    <row r="176" spans="1:19" x14ac:dyDescent="0.2">
      <c r="H176" s="116"/>
      <c r="I176" s="1019" t="str">
        <f>REL&amp;'REL(1)'!H19&amp;" + "&amp;REL&amp;'REL(1)'!H22</f>
        <v>REL9 + REL10</v>
      </c>
    </row>
    <row r="177" spans="1:10" x14ac:dyDescent="0.2">
      <c r="B177" s="709" t="s">
        <v>1657</v>
      </c>
      <c r="H177" s="714" t="str">
        <f>A49</f>
        <v>c4.49</v>
      </c>
      <c r="I177" s="109">
        <f>TRUNC('REL(1)'!I20+'REL(1)'!I23+0.99,0)</f>
        <v>0</v>
      </c>
      <c r="J177" s="993" t="s">
        <v>3701</v>
      </c>
    </row>
    <row r="178" spans="1:10" x14ac:dyDescent="0.2">
      <c r="I178" s="93" t="s">
        <v>4249</v>
      </c>
    </row>
    <row customFormat="1" r="179" s="2331" spans="1:10" x14ac:dyDescent="0.2">
      <c r="A179" s="121"/>
      <c r="J179" s="93"/>
    </row>
    <row r="180" spans="1:10" x14ac:dyDescent="0.2">
      <c r="E180" s="1019" t="str">
        <f>"from "&amp;AOR&amp;AOR!C14</f>
        <v>from AOR4</v>
      </c>
      <c r="I180" s="93" t="str">
        <f>D181&amp;"  x NS_gross ("&amp;NS_gross_F&amp;")"</f>
        <v>c4.50  x NS_gross (100/80)</v>
      </c>
    </row>
    <row r="181" spans="1:10" x14ac:dyDescent="0.2">
      <c r="B181" s="715" t="s">
        <v>4195</v>
      </c>
      <c r="D181" s="714" t="str">
        <f>A50</f>
        <v>c4.50</v>
      </c>
      <c r="E181" s="109">
        <f>TRUNC(AOR!D15+0.99,0)</f>
        <v>0</v>
      </c>
      <c r="F181" s="993" t="s">
        <v>3701</v>
      </c>
      <c r="H181" s="714" t="str">
        <f>A51</f>
        <v>c4.51</v>
      </c>
      <c r="I181" s="109">
        <f>TRUNC((E181*NS_gross)+0.99,0)</f>
        <v>0</v>
      </c>
      <c r="J181" s="993" t="s">
        <v>3701</v>
      </c>
    </row>
    <row r="183" spans="1:10" x14ac:dyDescent="0.2">
      <c r="B183" s="715"/>
      <c r="E183" s="1019" t="str">
        <f>"from "&amp;TRU&amp;TRU!K28</f>
        <v>from TRU24</v>
      </c>
    </row>
    <row r="184" spans="1:10" x14ac:dyDescent="0.2">
      <c r="B184" s="715" t="s">
        <v>6986</v>
      </c>
      <c r="D184" s="714" t="str">
        <f>A52</f>
        <v>c4.52</v>
      </c>
      <c r="E184" s="109">
        <f>TRUNC(TRU!L29+0.99,0)</f>
        <v>0</v>
      </c>
      <c r="F184" s="993" t="s">
        <v>3701</v>
      </c>
    </row>
    <row r="186" spans="1:10" x14ac:dyDescent="0.2">
      <c r="E186" s="93" t="str">
        <f><![CDATA['NS income (c1)'!I133&" + "&'Savings (c2)'!H53&" + "&'Divs (c3)'!G33&" + "&'Divs (c3)'!G63&" + "&'Divs (c3)'!G66]]></f>
        <v>c1.51 + c2.13 + c3.9 + c3.19 + c3.20</v>
      </c>
      <c r="I186" s="93" t="str">
        <f>"lower of "&amp;D184&amp;" and "&amp;D187</f>
        <v>lower of c4.52 and c4.53</v>
      </c>
    </row>
    <row r="187" spans="1:10" x14ac:dyDescent="0.2">
      <c r="B187" s="715" t="s">
        <v>5196</v>
      </c>
      <c r="D187" s="714" t="str">
        <f>A53</f>
        <v>c4.53</v>
      </c>
      <c r="E187" s="109">
        <f>'NS income (c1)'!J133+'Savings (c2)'!I53+'Divs (c3)'!H33+'Divs (c3)'!H63+'Divs (c3)'!H66</f>
        <v>0</v>
      </c>
      <c r="H187" s="714" t="str">
        <f>A54</f>
        <v>c4.54</v>
      </c>
      <c r="I187" s="109">
        <f>TRUNC(MIN(E184,E187)+0.99,0)</f>
        <v>0</v>
      </c>
      <c r="J187" s="993" t="s">
        <v>3701</v>
      </c>
    </row>
    <row r="190" spans="1:10" x14ac:dyDescent="0.2">
      <c r="A190" s="2596"/>
      <c r="B190" s="415" t="s">
        <v>4179</v>
      </c>
      <c r="H190" s="706"/>
      <c r="I190" s="698" t="str">
        <f><![CDATA['Divs (c3)'!G81&" minus ("&D171&" + "&H174&" + "&H177&" + "&H181&" + "&H187&")"]]></f>
        <v>c3.23 minus (c4.47 + c4.48 + c4.49 + c4.51 + c4.54)</v>
      </c>
    </row>
    <row customFormat="1" r="191" s="2596" spans="1:10" x14ac:dyDescent="0.2">
      <c r="A191" s="121"/>
      <c r="B191" s="415" t="s">
        <v>4242</v>
      </c>
      <c r="F191" s="121"/>
      <c r="G191" s="121"/>
      <c r="H191" s="714" t="str">
        <f>A55</f>
        <v>c4.55</v>
      </c>
      <c r="I191" s="1027">
        <f>MAX(0,'Divs (c3)'!H81-(E171+I174+I177+I181+I187))</f>
        <v>62672</v>
      </c>
    </row>
    <row r="193" spans="2:19" x14ac:dyDescent="0.2">
      <c r="B193" s="685"/>
      <c r="C193" s="685"/>
      <c r="D193" s="685"/>
      <c r="E193" s="685"/>
      <c r="F193" s="685"/>
      <c r="G193" s="685"/>
      <c r="H193" s="685"/>
      <c r="I193" s="685"/>
      <c r="J193" s="685"/>
      <c r="K193" s="685"/>
      <c r="L193" s="685"/>
      <c r="M193" s="685"/>
      <c r="N193" s="685"/>
      <c r="O193" s="2305"/>
      <c r="P193" s="685"/>
      <c r="Q193" s="685"/>
      <c r="R193" s="685"/>
      <c r="S193" s="685"/>
    </row>
    <row r="195" spans="2:19" x14ac:dyDescent="0.2">
      <c r="B195" s="51" t="s">
        <v>4198</v>
      </c>
    </row>
    <row r="196" spans="2:19" x14ac:dyDescent="0.2">
      <c r="B196" s="684" t="s">
        <v>538</v>
      </c>
      <c r="C196" s="114"/>
      <c r="D196" s="684"/>
      <c r="E196" s="1019" t="str">
        <f><![CDATA["("&REL&'REL(1)'!C16&" minus "&REL&'REL(1)'!C22&") + "&REL&'REL(1)'!H16]]></f>
        <v>(REL5 minus REL7) + REL8</v>
      </c>
      <c r="F196" s="116"/>
      <c r="G196" s="116"/>
      <c r="H196" s="116"/>
      <c r="I196" s="118" t="str">
        <f>D197&amp;" x gift_aid ("&amp;gift_aid_F&amp;")"</f>
        <v>c4.56 x gift_aid (100/80)</v>
      </c>
      <c r="J196" s="116"/>
    </row>
    <row r="197" spans="2:19" x14ac:dyDescent="0.2">
      <c r="D197" s="714" t="str">
        <f>A56</f>
        <v>c4.56</v>
      </c>
      <c r="E197" s="109">
        <f>TRUNC((MAX(0,'REL(1)'!D17-'REL(1)'!D23)+'REL(1)'!I17)+0.99,0)</f>
        <v>500</v>
      </c>
      <c r="F197" s="993" t="s">
        <v>3701</v>
      </c>
      <c r="H197" s="714" t="str">
        <f>A57</f>
        <v>c4.57</v>
      </c>
      <c r="I197" s="392">
        <f>TRUNC((E197*gift_aid)+0.99,0)</f>
        <v>625</v>
      </c>
      <c r="J197" s="993" t="s">
        <v>3701</v>
      </c>
      <c r="K197" s="37"/>
    </row>
    <row r="198" spans="2:19" x14ac:dyDescent="0.2">
      <c r="E198" s="1220"/>
      <c r="I198" s="93" t="str">
        <f>"copy to "&amp;'Tax adj (c9)'!C125</f>
        <v>copy to c9.33</v>
      </c>
    </row>
    <row r="200" spans="2:19" x14ac:dyDescent="0.2">
      <c r="H200" s="116"/>
      <c r="I200" s="1019" t="str">
        <f>"from "&amp;REL&amp;'REL(1)'!C6</f>
        <v>from REL1</v>
      </c>
    </row>
    <row r="201" spans="2:19" x14ac:dyDescent="0.2">
      <c r="B201" s="684" t="s">
        <v>4181</v>
      </c>
      <c r="C201" s="114"/>
      <c r="D201" s="116"/>
      <c r="H201" s="714" t="str">
        <f>A58</f>
        <v>c4.58</v>
      </c>
      <c r="I201" s="109">
        <f>TRUNC('REL(1)'!D7+0.99,0)</f>
        <v>1000</v>
      </c>
      <c r="J201" s="993" t="s">
        <v>3701</v>
      </c>
    </row>
    <row r="202" spans="2:19" x14ac:dyDescent="0.2">
      <c r="B202" s="684"/>
      <c r="C202" s="116"/>
      <c r="D202" s="116"/>
      <c r="F202" s="116"/>
      <c r="G202" s="116"/>
      <c r="H202" s="116"/>
      <c r="I202" s="116"/>
      <c r="J202" s="116"/>
    </row>
    <row r="203" spans="2:19" x14ac:dyDescent="0.2">
      <c r="B203" s="684"/>
      <c r="C203" s="37"/>
      <c r="F203" s="37"/>
      <c r="G203" s="37"/>
      <c r="H203" s="37"/>
      <c r="I203" s="38" t="str">
        <f>H197&amp;" + "&amp;H201</f>
        <v>c4.57 + c4.58</v>
      </c>
      <c r="J203" s="37"/>
      <c r="K203" s="37"/>
    </row>
    <row r="204" spans="2:19" x14ac:dyDescent="0.2">
      <c r="B204" s="822" t="s">
        <v>4180</v>
      </c>
      <c r="C204" s="37"/>
      <c r="F204" s="37"/>
      <c r="G204" s="37"/>
      <c r="H204" s="714" t="str">
        <f>A59</f>
        <v>c4.59</v>
      </c>
      <c r="I204" s="109">
        <f>I197+I201</f>
        <v>1625</v>
      </c>
      <c r="J204" s="988"/>
      <c r="K204" s="37"/>
    </row>
    <row r="205" spans="2:19" x14ac:dyDescent="0.2">
      <c r="K205" s="37"/>
    </row>
    <row r="206" spans="2:19" x14ac:dyDescent="0.2">
      <c r="I206" s="93" t="s">
        <v>6393</v>
      </c>
    </row>
    <row r="207" spans="2:19" x14ac:dyDescent="0.2">
      <c r="H207" s="714" t="s">
        <v>4201</v>
      </c>
      <c r="I207" s="109"/>
    </row>
    <row r="209" spans="1:19" x14ac:dyDescent="0.2">
      <c r="B209" s="51" t="s">
        <v>4197</v>
      </c>
      <c r="H209" s="116"/>
      <c r="I209" s="1019" t="str">
        <f>"from "&amp;AOR&amp;AOR!G8</f>
        <v>from AOR8</v>
      </c>
    </row>
    <row r="210" spans="1:19" x14ac:dyDescent="0.2">
      <c r="B210" s="715" t="s">
        <v>942</v>
      </c>
      <c r="H210" s="714" t="str">
        <f>A61</f>
        <v>c4.61</v>
      </c>
      <c r="I210" s="109">
        <f>TRUNC(AOR!H9+0.99,0)</f>
        <v>0</v>
      </c>
      <c r="J210" s="993" t="s">
        <v>3701</v>
      </c>
    </row>
    <row r="212" spans="1:19" x14ac:dyDescent="0.2">
      <c r="B212" s="51" t="s">
        <v>4208</v>
      </c>
      <c r="I212" s="93" t="str">
        <f>H204&amp;"  minus "&amp;H210</f>
        <v>c4.59  minus c4.61</v>
      </c>
    </row>
    <row r="213" spans="1:19" x14ac:dyDescent="0.2">
      <c r="A213" s="2712"/>
      <c r="B213" s="715"/>
      <c r="H213" s="714" t="str">
        <f>A62</f>
        <v>c4.62</v>
      </c>
      <c r="I213" s="109">
        <f>I204-I210</f>
        <v>1625</v>
      </c>
      <c r="J213" s="985" t="s">
        <v>1521</v>
      </c>
    </row>
    <row customFormat="1" r="214" s="2712" spans="1:19" x14ac:dyDescent="0.2">
      <c r="A214" s="121"/>
      <c r="B214" s="715"/>
      <c r="H214" s="709"/>
      <c r="I214" s="988"/>
      <c r="J214" s="985"/>
    </row>
    <row r="215" spans="1:19" x14ac:dyDescent="0.2">
      <c r="B215" s="685"/>
      <c r="C215" s="685"/>
      <c r="D215" s="685"/>
      <c r="E215" s="685"/>
      <c r="F215" s="685"/>
      <c r="G215" s="685"/>
      <c r="H215" s="685"/>
      <c r="I215" s="685"/>
      <c r="J215" s="685"/>
      <c r="K215" s="685"/>
      <c r="L215" s="685"/>
      <c r="M215" s="685"/>
      <c r="N215" s="685"/>
      <c r="O215" s="2305"/>
      <c r="P215" s="685"/>
      <c r="Q215" s="685"/>
      <c r="R215" s="685"/>
      <c r="S215" s="685"/>
    </row>
    <row r="217" spans="1:19" x14ac:dyDescent="0.2">
      <c r="B217" s="661" t="s">
        <v>4143</v>
      </c>
      <c r="C217" s="661"/>
    </row>
    <row r="218" spans="1:19" x14ac:dyDescent="0.2">
      <c r="I218" s="93" t="str">
        <f>H191&amp;" minus "&amp;H213</f>
        <v>c4.55 minus c4.62</v>
      </c>
    </row>
    <row r="219" spans="1:19" x14ac:dyDescent="0.2">
      <c r="B219" s="121" t="s">
        <v>4199</v>
      </c>
      <c r="H219" s="714" t="str">
        <f>A63</f>
        <v>c4.63</v>
      </c>
      <c r="I219" s="109">
        <f>MAX(0,I191-I213)</f>
        <v>61047</v>
      </c>
    </row>
    <row r="220" spans="1:19" x14ac:dyDescent="0.2">
      <c r="I220" s="93" t="str">
        <f>"Copy to "&amp;'allowances (c14c15)'!K5&amp;", "&amp;'allowances (c14c15)'!H45&amp;" and "&amp;'CBC(c28)'!I19</f>
        <v>Copy to c14.1, c15.2 and c28.7</v>
      </c>
    </row>
    <row r="221" spans="1:19" x14ac:dyDescent="0.2">
      <c r="I221" s="93"/>
    </row>
    <row r="222" spans="1:19" x14ac:dyDescent="0.2">
      <c r="B222" s="685"/>
      <c r="C222" s="685"/>
      <c r="D222" s="685"/>
      <c r="E222" s="685"/>
      <c r="F222" s="685"/>
      <c r="G222" s="685"/>
      <c r="H222" s="685"/>
      <c r="I222" s="962"/>
      <c r="J222" s="685"/>
      <c r="K222" s="685"/>
      <c r="L222" s="685"/>
      <c r="M222" s="685"/>
      <c r="N222" s="685"/>
      <c r="O222" s="2305"/>
      <c r="P222" s="685"/>
      <c r="Q222" s="685"/>
      <c r="R222" s="685"/>
      <c r="S222" s="685"/>
    </row>
    <row r="225" spans="2:19" x14ac:dyDescent="0.2">
      <c r="I225" s="93" t="str">
        <f><![CDATA[Q30&" + "&Q41&" + "&Q61&" + "&Q82&" + "]]></f>
        <v xml:space="preserve">c4.5 + c4.7 + c4.13 + c4.19 + </v>
      </c>
    </row>
    <row r="226" spans="2:19" x14ac:dyDescent="0.2">
      <c r="E226" s="93" t="str">
        <f>"from "&amp;'NS income (c1)'!I149</f>
        <v>from c1.57</v>
      </c>
      <c r="I226" s="93" t="str">
        <f><![CDATA[Q108&" + "&Q111&" + "&Q121&" + "&Q129]]></f>
        <v>c4.27 + c4.28 + c4.33 + c4.35</v>
      </c>
      <c r="M226" s="93" t="str">
        <f>D227&amp;" minus "&amp;H227</f>
        <v>c4.63a minus c4.63b</v>
      </c>
    </row>
    <row r="227" spans="2:19" x14ac:dyDescent="0.2">
      <c r="B227" s="121" t="s">
        <v>4349</v>
      </c>
      <c r="D227" s="714" t="str">
        <f>A64</f>
        <v>c4.63a</v>
      </c>
      <c r="E227" s="752">
        <f>'NS income (c1)'!J149</f>
        <v>47444</v>
      </c>
      <c r="H227" s="714" t="str">
        <f>A65</f>
        <v>c4.63b</v>
      </c>
      <c r="I227" s="752">
        <f>R30+R41+R61+R82+R108+R111+R121+R129</f>
        <v>0</v>
      </c>
      <c r="L227" s="714" t="str">
        <f>A66</f>
        <v>c4.63c</v>
      </c>
      <c r="M227" s="752">
        <f>MAX(0,E227-I227)</f>
        <v>47444</v>
      </c>
    </row>
    <row r="228" spans="2:19" x14ac:dyDescent="0.2">
      <c r="M228" s="2117" t="str">
        <f>"copy to box "&amp;'Taxable (c5)'!E17</f>
        <v>copy to box c5.3</v>
      </c>
    </row>
    <row r="229" spans="2:19" x14ac:dyDescent="0.2">
      <c r="B229" s="685"/>
      <c r="C229" s="685"/>
      <c r="D229" s="685"/>
      <c r="E229" s="685"/>
      <c r="F229" s="685"/>
      <c r="G229" s="685"/>
      <c r="H229" s="685"/>
      <c r="I229" s="685"/>
      <c r="J229" s="685"/>
      <c r="K229" s="685"/>
      <c r="L229" s="685"/>
      <c r="M229" s="1875"/>
      <c r="N229" s="685"/>
      <c r="O229" s="2305"/>
      <c r="P229" s="685"/>
      <c r="Q229" s="685"/>
      <c r="R229" s="685"/>
      <c r="S229" s="685"/>
    </row>
    <row r="232" spans="2:19" x14ac:dyDescent="0.2">
      <c r="B232" s="661" t="s">
        <v>2659</v>
      </c>
    </row>
    <row r="233" spans="2:19" x14ac:dyDescent="0.2">
      <c r="B233" s="121" t="str">
        <f><![CDATA["if ("&NRD!P10&" = Y and "&NRD!P11&" = N and "&NRD!P9&" = N)"]]></f>
        <v>if (box_NRD28 = Y and box_NRD29 = N and box_NRD16 = N)</v>
      </c>
    </row>
    <row r="234" spans="2:19" x14ac:dyDescent="0.2">
      <c r="B234" s="121" t="str">
        <f><![CDATA["or ("&NRD!P4&" = Y and "&NRD!P8&" = N and "&NRD!P9&" = N)"]]></f>
        <v>or (box_NRD1 = Y and box_NRD15 = N and box_NRD16 = N)</v>
      </c>
    </row>
    <row r="235" spans="2:19" x14ac:dyDescent="0.2">
      <c r="B235" s="36" t="str">
        <f>"or (Calculation type = non-resident)"</f>
        <v>or (Calculation type = non-resident)</v>
      </c>
    </row>
    <row r="236" spans="2:19" x14ac:dyDescent="0.2">
      <c r="B236" s="852" t="str">
        <f>"set boxes "&amp;H239&amp;" to "&amp;L280&amp;" to 0 (zero)"</f>
        <v>set boxes c4.64 to c4.69 to 0 (zero)</v>
      </c>
    </row>
    <row r="237" spans="2:19" x14ac:dyDescent="0.2">
      <c r="B237" s="930" t="s">
        <v>2386</v>
      </c>
    </row>
    <row r="238" spans="2:19" x14ac:dyDescent="0.2">
      <c r="C238" s="852"/>
      <c r="I238" s="93" t="str">
        <f>"from "&amp;'allowances (c14c15)'!K25</f>
        <v>from c14.6</v>
      </c>
    </row>
    <row r="239" spans="2:19" x14ac:dyDescent="0.2">
      <c r="B239" s="36" t="s">
        <v>1414</v>
      </c>
      <c r="C239" s="36"/>
      <c r="H239" s="714" t="str">
        <f>A67</f>
        <v>c4.64</v>
      </c>
      <c r="I239" s="752">
        <f>IF(non_resident,0,IF(UK_allowance_claim,'allowances (c14c15)'!L25,0))</f>
        <v>12500</v>
      </c>
      <c r="J239" s="977"/>
      <c r="L239" s="37"/>
    </row>
    <row r="240" spans="2:19" x14ac:dyDescent="0.2">
      <c r="B240" s="94"/>
      <c r="C240" s="94"/>
      <c r="E240" s="37"/>
      <c r="J240" s="375"/>
    </row>
    <row r="241" spans="1:19" x14ac:dyDescent="0.2">
      <c r="H241" s="94" t="str">
        <f>"if "&amp;REL&amp;'REL(2)'!C4&amp;" = Y"</f>
        <v>if REL13 = Y</v>
      </c>
    </row>
    <row r="242" spans="1:19" x14ac:dyDescent="0.2">
      <c r="H242" s="36" t="str">
        <f>H246&amp;" = BPA ("&amp;DOLLAR(BPA,0)&amp;")"</f>
        <v>c4.65 = BPA ($2,450)</v>
      </c>
      <c r="I242" s="1945"/>
    </row>
    <row r="243" spans="1:19" x14ac:dyDescent="0.2">
      <c r="H243" s="94" t="s">
        <v>2386</v>
      </c>
    </row>
    <row r="244" spans="1:19" x14ac:dyDescent="0.2">
      <c r="H244" s="121" t="str">
        <f>H246&amp;" = 0 (zero)"</f>
        <v>c4.65 = 0 (zero)</v>
      </c>
    </row>
    <row r="245" spans="1:19" x14ac:dyDescent="0.2">
      <c r="C245" s="94"/>
      <c r="H245" s="94" t="s">
        <v>2495</v>
      </c>
    </row>
    <row r="246" spans="1:19" x14ac:dyDescent="0.2">
      <c r="B246" s="121" t="s">
        <v>3413</v>
      </c>
      <c r="C246" s="36"/>
      <c r="E246" s="37"/>
      <c r="F246" s="37"/>
      <c r="H246" s="714" t="str">
        <f>A68</f>
        <v>c4.65</v>
      </c>
      <c r="I246" s="752">
        <f>IF(non_resident,0,IF(BPA_claimed,IF(UK_allowance_claim,BPA,0),0))</f>
        <v>0</v>
      </c>
      <c r="J246" s="976"/>
    </row>
    <row r="247" spans="1:19" x14ac:dyDescent="0.2">
      <c r="C247" s="94"/>
      <c r="H247" s="684"/>
      <c r="I247" s="375"/>
      <c r="J247" s="375"/>
    </row>
    <row r="248" spans="1:19" x14ac:dyDescent="0.2">
      <c r="B248" s="94"/>
      <c r="C248" s="94"/>
      <c r="H248" s="684"/>
      <c r="I248" s="1019" t="str">
        <f>"from "&amp;CAL&amp;CAL!C19</f>
        <v>from CAL12</v>
      </c>
      <c r="J248" s="93"/>
    </row>
    <row r="249" spans="1:19" x14ac:dyDescent="0.2">
      <c r="A249" s="981"/>
      <c r="B249" s="36" t="s">
        <v>635</v>
      </c>
      <c r="C249" s="36"/>
      <c r="E249" s="37"/>
      <c r="H249" s="714" t="str">
        <f>A69</f>
        <v>c4.66</v>
      </c>
      <c r="I249" s="752">
        <f>IF(non_resident,0,IF(UK_allowance_claim,TRUNC(CAL!D20+0.99,0),0))</f>
        <v>0</v>
      </c>
      <c r="J249" s="932" t="s">
        <v>3701</v>
      </c>
    </row>
    <row r="250" spans="1:19" x14ac:dyDescent="0.2">
      <c r="A250" s="981"/>
    </row>
    <row r="251" spans="1:19" x14ac:dyDescent="0.2">
      <c r="M251" s="38" t="str">
        <f>H239&amp;" + "&amp;H246&amp;" + "&amp;H249</f>
        <v>c4.64 + c4.65 + c4.66</v>
      </c>
    </row>
    <row r="252" spans="1:19" x14ac:dyDescent="0.2">
      <c r="B252" s="51" t="s">
        <v>2779</v>
      </c>
      <c r="C252" s="51"/>
      <c r="L252" s="714" t="str">
        <f>A70</f>
        <v>c4.67</v>
      </c>
      <c r="M252" s="752">
        <f>IF(non_resident,0,IF(UK_allowance_claim,I239+I246+I249,0))</f>
        <v>12500</v>
      </c>
    </row>
    <row r="255" spans="1:19" x14ac:dyDescent="0.2">
      <c r="B255" s="685"/>
      <c r="C255" s="685"/>
      <c r="D255" s="685"/>
      <c r="E255" s="685"/>
      <c r="F255" s="685"/>
      <c r="G255" s="685"/>
      <c r="H255" s="685"/>
      <c r="I255" s="685"/>
      <c r="J255" s="685"/>
      <c r="K255" s="685"/>
      <c r="L255" s="685"/>
      <c r="M255" s="685"/>
      <c r="N255" s="685"/>
      <c r="O255" s="2305"/>
      <c r="P255" s="685"/>
      <c r="Q255" s="685"/>
      <c r="R255" s="685"/>
      <c r="S255" s="685"/>
    </row>
    <row r="257" spans="1:15" x14ac:dyDescent="0.2">
      <c r="B257" s="711" t="s">
        <v>4370</v>
      </c>
    </row>
    <row r="258" spans="1:15" x14ac:dyDescent="0.2">
      <c r="A258" s="2712"/>
    </row>
    <row customFormat="1" r="259" s="2712" spans="1:15" x14ac:dyDescent="0.2">
      <c r="A259" s="121"/>
      <c r="B259" s="4344"/>
    </row>
    <row r="260" spans="1:15" x14ac:dyDescent="0.2">
      <c r="B260" s="4345"/>
      <c r="C260" s="1043"/>
    </row>
    <row r="261" spans="1:15" x14ac:dyDescent="0.2">
      <c r="B261" s="4346"/>
      <c r="C261" s="1045"/>
    </row>
    <row r="262" spans="1:15" x14ac:dyDescent="0.2">
      <c r="B262" s="4347"/>
      <c r="C262" s="1048"/>
    </row>
    <row r="264" spans="1:15" x14ac:dyDescent="0.2">
      <c r="B264" s="121" t="str">
        <f><![CDATA["if ("&NRD!P4&" = Y and "&NRD!P8&" = Y and "&NRD!P9&" = N)"]]></f>
        <v>if (box_NRD1 = Y and box_NRD15 = Y and box_NRD16 = N)</v>
      </c>
    </row>
    <row r="265" spans="1:15" x14ac:dyDescent="0.2">
      <c r="B265" s="852" t="str">
        <f>H276&amp;" = 0 (zero)"</f>
        <v>c4.68 = 0 (zero)</v>
      </c>
    </row>
    <row r="266" spans="1:15" x14ac:dyDescent="0.2">
      <c r="B266" s="930" t="s">
        <v>2386</v>
      </c>
    </row>
    <row r="267" spans="1:15" x14ac:dyDescent="0.2">
      <c r="H267" s="121" t="s">
        <v>4973</v>
      </c>
      <c r="I267" s="1035"/>
      <c r="N267" s="37"/>
      <c r="O267" s="37"/>
    </row>
    <row r="268" spans="1:15" x14ac:dyDescent="0.2">
      <c r="H268" s="1221" t="str">
        <f>"OR (("&amp;'Tax adj (c9)'!I51&amp;" + "&amp;'Tax adj (c9)'!I54&amp;") &gt; 0 (zero))"</f>
        <v>OR ((c9.16 + c9.17) &gt; 0 (zero))</v>
      </c>
      <c r="I268" s="1035"/>
      <c r="J268" s="1222"/>
    </row>
    <row r="269" spans="1:15" x14ac:dyDescent="0.2">
      <c r="H269" s="1221" t="str">
        <f><![CDATA["     OR ("&NRD!P9&" = Y and "&H239&" <= "&H191&")"]]></f>
        <v xml:space="preserve">     OR (box_NRD16 = Y and c4.64 &lt;= c4.55)</v>
      </c>
    </row>
    <row r="270" spans="1:15" x14ac:dyDescent="0.2">
      <c r="H270" s="1221" t="str">
        <f>"       then "&amp;H276&amp;" = 0 (zero)"</f>
        <v xml:space="preserve">       then c4.68 = 0 (zero)</v>
      </c>
    </row>
    <row r="271" spans="1:15" x14ac:dyDescent="0.2">
      <c r="H271" s="1223" t="s">
        <v>2386</v>
      </c>
    </row>
    <row r="272" spans="1:15" x14ac:dyDescent="0.2">
      <c r="H272" s="1221" t="s">
        <v>4974</v>
      </c>
    </row>
    <row r="273" spans="1:19" x14ac:dyDescent="0.2">
      <c r="H273" s="930" t="str">
        <f>H276&amp;" = T_P_A ("&amp;DOLLAR(T_P_A,0)&amp;")"</f>
        <v>c4.68 = T_P_A ($1,250)</v>
      </c>
      <c r="I273" s="1945"/>
    </row>
    <row r="274" spans="1:19" x14ac:dyDescent="0.2">
      <c r="H274" s="93" t="s">
        <v>2495</v>
      </c>
    </row>
    <row r="275" spans="1:19" x14ac:dyDescent="0.2">
      <c r="H275" s="91" t="s">
        <v>2495</v>
      </c>
    </row>
    <row r="276" spans="1:19" x14ac:dyDescent="0.2">
      <c r="B276" s="684" t="s">
        <v>4382</v>
      </c>
      <c r="H276" s="714" t="str">
        <f>A71</f>
        <v>c4.68</v>
      </c>
      <c r="I276" s="752">
        <f>IF(OR(non_resident,AND(box_NRD1=TRUE,box_NRD15=TRUE,box_NRD16=FALSE),('Tax adj (c9)'!J51+'Tax adj (c9)'!J54&gt;0),AND(box_NRD16=TRUE,I239&lt;=I191)),0,IF(OR(MAT_OUT,MA_transfer),T_P_A,0))</f>
        <v>0</v>
      </c>
    </row>
    <row r="277" spans="1:19" x14ac:dyDescent="0.2">
      <c r="A277" s="2938"/>
    </row>
    <row customFormat="1" r="278" s="2938" spans="1:19" x14ac:dyDescent="0.2">
      <c r="A278" s="121"/>
      <c r="B278" s="852" t="s">
        <v>2495</v>
      </c>
    </row>
    <row r="279" spans="1:19" x14ac:dyDescent="0.2">
      <c r="M279" s="93" t="str">
        <f>L252&amp;" minus "&amp;H276</f>
        <v>c4.67 minus c4.68</v>
      </c>
    </row>
    <row r="280" spans="1:19" x14ac:dyDescent="0.2">
      <c r="A280" s="2712"/>
      <c r="B280" s="684" t="s">
        <v>3894</v>
      </c>
      <c r="L280" s="714" t="str">
        <f>A72</f>
        <v>c4.69</v>
      </c>
      <c r="M280" s="752">
        <f>IF(non_resident,0,MAX(0,M252-I276))</f>
        <v>12500</v>
      </c>
    </row>
    <row customFormat="1" r="281" s="2712" spans="1:19" x14ac:dyDescent="0.2">
      <c r="A281" s="375"/>
      <c r="B281" s="684"/>
      <c r="L281" s="709"/>
      <c r="M281" s="784"/>
    </row>
    <row r="283" spans="1:19" x14ac:dyDescent="0.2">
      <c r="B283" s="121" t="s">
        <v>2495</v>
      </c>
    </row>
    <row r="284" spans="1:19" x14ac:dyDescent="0.2">
      <c r="B284" s="685"/>
      <c r="C284" s="685"/>
      <c r="D284" s="685"/>
      <c r="E284" s="685"/>
      <c r="F284" s="685"/>
      <c r="G284" s="685"/>
      <c r="H284" s="685"/>
      <c r="I284" s="685"/>
      <c r="J284" s="685"/>
      <c r="K284" s="685"/>
      <c r="L284" s="685"/>
      <c r="M284" s="685"/>
      <c r="N284" s="685"/>
      <c r="O284" s="2305"/>
      <c r="P284" s="685"/>
      <c r="Q284" s="685"/>
      <c r="R284" s="685"/>
      <c r="S284" s="685"/>
    </row>
    <row r="286" spans="1:19" x14ac:dyDescent="0.2">
      <c r="B286" s="371"/>
      <c r="C286" s="371"/>
      <c r="D286" s="380"/>
      <c r="E286" s="37"/>
      <c r="F286" s="37"/>
      <c r="M286" s="93" t="str">
        <f><![CDATA[D171&" + "&H174&" + "&H177&" + "&H181&" + "&H187&" + "&L280]]></f>
        <v>c4.47 + c4.48 + c4.49 + c4.51 + c4.54 + c4.69</v>
      </c>
    </row>
    <row r="287" spans="1:19" x14ac:dyDescent="0.2">
      <c r="B287" s="661" t="s">
        <v>3921</v>
      </c>
      <c r="C287" s="661"/>
      <c r="D287" s="371"/>
      <c r="E287" s="37"/>
      <c r="G287" s="37"/>
      <c r="H287" s="37"/>
      <c r="I287" s="37"/>
      <c r="J287" s="37"/>
      <c r="L287" s="714" t="str">
        <f>A73</f>
        <v>c4.70</v>
      </c>
      <c r="M287" s="752">
        <f>E171+I174+I177+I181+I187+M280</f>
        <v>13700</v>
      </c>
    </row>
    <row r="288" spans="1:19" x14ac:dyDescent="0.2">
      <c r="B288" s="371"/>
      <c r="C288" s="371"/>
      <c r="D288" s="371"/>
      <c r="E288" s="37"/>
      <c r="F288" s="37"/>
      <c r="G288" s="37"/>
      <c r="H288" s="37"/>
      <c r="I288" s="37"/>
      <c r="J288" s="37"/>
      <c r="K288" s="37"/>
      <c r="L288" s="37"/>
      <c r="M288" s="666" t="str">
        <f>"Copy to "&amp;'Taxable (c5)'!E8</f>
        <v>Copy to c5.1</v>
      </c>
    </row>
    <row r="289" spans="2:13" x14ac:dyDescent="0.2">
      <c r="B289" s="983"/>
      <c r="C289" s="983"/>
      <c r="D289" s="983"/>
      <c r="E289" s="974"/>
      <c r="F289" s="974"/>
      <c r="G289" s="981"/>
      <c r="H289" s="981"/>
      <c r="K289" s="995"/>
    </row>
    <row r="290" spans="2:13" x14ac:dyDescent="0.2">
      <c r="B290" s="983"/>
      <c r="C290" s="983"/>
      <c r="D290" s="983"/>
      <c r="E290" s="974"/>
      <c r="F290" s="974"/>
      <c r="G290" s="981"/>
      <c r="H290" s="981"/>
      <c r="J290" s="797"/>
      <c r="K290" s="797"/>
      <c r="L290" s="996"/>
      <c r="M290" s="996" t="s">
        <v>4039</v>
      </c>
    </row>
    <row r="291" spans="2:13" x14ac:dyDescent="0.2">
      <c r="K291" s="797"/>
      <c r="M291" s="996" t="str">
        <f>L295&amp;" = "&amp;'non-res (c91)'!H116</f>
        <v>c4.71 = c91.27</v>
      </c>
    </row>
    <row r="292" spans="2:13" x14ac:dyDescent="0.2">
      <c r="M292" s="904" t="s">
        <v>2386</v>
      </c>
    </row>
    <row r="293" spans="2:13" x14ac:dyDescent="0.2">
      <c r="K293" s="797"/>
      <c r="M293" s="996" t="str">
        <f>L295&amp;" = 0 (zero)"</f>
        <v>c4.71 = 0 (zero)</v>
      </c>
    </row>
    <row r="294" spans="2:13" x14ac:dyDescent="0.2">
      <c r="B294" s="371" t="s">
        <v>4136</v>
      </c>
      <c r="C294" s="983"/>
      <c r="D294" s="983"/>
      <c r="E294" s="984"/>
      <c r="F294" s="974"/>
      <c r="G294" s="974"/>
      <c r="H294" s="981"/>
      <c r="I294" s="797"/>
      <c r="M294" s="904" t="s">
        <v>2495</v>
      </c>
    </row>
    <row r="295" spans="2:13" x14ac:dyDescent="0.2">
      <c r="B295" s="983"/>
      <c r="C295" s="983"/>
      <c r="D295" s="983"/>
      <c r="E295" s="983"/>
      <c r="F295" s="983"/>
      <c r="G295" s="983"/>
      <c r="H295" s="981"/>
      <c r="L295" s="925" t="str">
        <f>A74</f>
        <v>c4.71</v>
      </c>
      <c r="M295" s="997">
        <f>IF(non_resident,'non-res (c91)'!I116,0)</f>
        <v>0</v>
      </c>
    </row>
    <row r="296" spans="2:13" x14ac:dyDescent="0.2">
      <c r="B296" s="983"/>
      <c r="C296" s="983"/>
      <c r="D296" s="983"/>
      <c r="E296" s="983"/>
      <c r="F296" s="983"/>
      <c r="G296" s="983"/>
      <c r="H296" s="983"/>
      <c r="I296" s="797"/>
    </row>
    <row r="297" spans="2:13" x14ac:dyDescent="0.2">
      <c r="B297" s="983"/>
      <c r="C297" s="983"/>
      <c r="D297" s="983"/>
      <c r="E297" s="984"/>
      <c r="F297" s="983"/>
      <c r="G297" s="983"/>
      <c r="H297" s="983"/>
      <c r="M297" s="996" t="s">
        <v>4039</v>
      </c>
    </row>
    <row r="298" spans="2:13" x14ac:dyDescent="0.2">
      <c r="B298" s="981"/>
      <c r="C298" s="981"/>
      <c r="D298" s="981"/>
      <c r="E298" s="981"/>
      <c r="F298" s="981"/>
      <c r="G298" s="981"/>
      <c r="H298" s="981"/>
      <c r="M298" s="1930" t="str">
        <f>L302&amp;" = "&amp;L287&amp;" + "&amp;L295</f>
        <v>c4.72 = c4.70 + c4.71</v>
      </c>
    </row>
    <row r="299" spans="2:13" x14ac:dyDescent="0.2">
      <c r="B299" s="981"/>
      <c r="C299" s="981"/>
      <c r="D299" s="981"/>
      <c r="E299" s="981"/>
      <c r="F299" s="981"/>
      <c r="G299" s="981"/>
      <c r="H299" s="981"/>
      <c r="M299" s="904" t="s">
        <v>2386</v>
      </c>
    </row>
    <row r="300" spans="2:13" x14ac:dyDescent="0.2">
      <c r="B300" s="981"/>
      <c r="C300" s="981"/>
      <c r="D300" s="981"/>
      <c r="E300" s="981"/>
      <c r="F300" s="981"/>
      <c r="G300" s="981"/>
      <c r="H300" s="981"/>
      <c r="M300" s="996" t="str">
        <f>L302&amp;" = "&amp;L287</f>
        <v>c4.72 = c4.70</v>
      </c>
    </row>
    <row r="301" spans="2:13" x14ac:dyDescent="0.2">
      <c r="B301" s="981"/>
      <c r="C301" s="981"/>
      <c r="D301" s="981"/>
      <c r="E301" s="981"/>
      <c r="F301" s="981"/>
      <c r="G301" s="981"/>
      <c r="H301" s="981"/>
      <c r="M301" s="904" t="s">
        <v>2495</v>
      </c>
    </row>
    <row r="302" spans="2:13" x14ac:dyDescent="0.2">
      <c r="L302" s="925" t="str">
        <f>A75</f>
        <v>c4.72</v>
      </c>
      <c r="M302" s="997">
        <f>IF(non_resident,M287+M295,M287)</f>
        <v>13700</v>
      </c>
    </row>
    <row r="303" spans="2:13" x14ac:dyDescent="0.2">
      <c r="B303" s="722"/>
      <c r="C303" s="386"/>
      <c r="D303" s="386"/>
      <c r="E303" s="38" t="s">
        <v>4039</v>
      </c>
      <c r="H303" s="386"/>
      <c r="I303" s="386"/>
      <c r="J303" s="386"/>
      <c r="K303" s="386"/>
    </row>
    <row r="304" spans="2:13" x14ac:dyDescent="0.2">
      <c r="B304" s="722"/>
      <c r="C304" s="386"/>
      <c r="D304" s="386"/>
      <c r="E304" s="386" t="str">
        <f>D308&amp;" = "&amp;'non-res (c91)'!M116</f>
        <v>c4.73 = c91.28</v>
      </c>
      <c r="H304" s="386"/>
      <c r="I304" s="386"/>
      <c r="J304" s="386"/>
      <c r="K304" s="386"/>
      <c r="L304" s="386"/>
      <c r="M304" s="386"/>
    </row>
    <row r="305" spans="1:16" x14ac:dyDescent="0.2">
      <c r="B305" s="722"/>
      <c r="C305" s="386"/>
      <c r="D305" s="38"/>
      <c r="E305" s="36" t="s">
        <v>2386</v>
      </c>
      <c r="H305" s="386"/>
      <c r="I305" s="386"/>
      <c r="J305" s="386"/>
      <c r="K305" s="386"/>
      <c r="L305" s="386"/>
      <c r="M305" s="386"/>
    </row>
    <row r="306" spans="1:16" x14ac:dyDescent="0.2">
      <c r="C306" s="386"/>
      <c r="D306" s="386"/>
      <c r="E306" s="386" t="str">
        <f>D308&amp;" = "&amp;'Divs (c3)'!G70</f>
        <v>c4.73 = c3.21</v>
      </c>
      <c r="H306" s="386"/>
      <c r="I306" s="386"/>
      <c r="J306" s="386"/>
      <c r="K306" s="386"/>
      <c r="L306" s="386"/>
      <c r="M306" s="386"/>
    </row>
    <row r="307" spans="1:16" x14ac:dyDescent="0.2">
      <c r="B307" s="722"/>
      <c r="C307" s="386"/>
      <c r="D307" s="386"/>
      <c r="E307" s="121" t="s">
        <v>2495</v>
      </c>
      <c r="H307" s="386"/>
      <c r="I307" s="386"/>
      <c r="J307" s="386"/>
      <c r="K307" s="386"/>
      <c r="L307" s="386"/>
      <c r="M307" s="681" t="str">
        <f>D308&amp;" minus "&amp;L287</f>
        <v>c4.73 minus c4.70</v>
      </c>
    </row>
    <row r="308" spans="1:16" x14ac:dyDescent="0.2">
      <c r="B308" s="661" t="s">
        <v>5836</v>
      </c>
      <c r="C308" s="386"/>
      <c r="D308" s="719" t="str">
        <f>A76</f>
        <v>c4.73</v>
      </c>
      <c r="E308" s="385">
        <f>IF(non_resident,'non-res (c91)'!N116,'Divs (c3)'!H70)</f>
        <v>63872</v>
      </c>
      <c r="H308" s="386"/>
      <c r="I308" s="386"/>
      <c r="J308" s="386"/>
      <c r="K308" s="720" t="s">
        <v>4012</v>
      </c>
      <c r="L308" s="719" t="str">
        <f>A77</f>
        <v>c4.74</v>
      </c>
      <c r="M308" s="388">
        <f>MAX(0,E308-M287)</f>
        <v>50172</v>
      </c>
    </row>
    <row r="310" spans="1:16" x14ac:dyDescent="0.2">
      <c r="C310" s="684"/>
      <c r="D310" s="37"/>
      <c r="G310" s="37"/>
      <c r="H310" s="37"/>
      <c r="I310" s="386"/>
      <c r="J310" s="386"/>
      <c r="K310" s="386"/>
      <c r="L310" s="37"/>
      <c r="M310" s="38" t="str">
        <f>"from "&amp;H204</f>
        <v>from c4.59</v>
      </c>
    </row>
    <row r="311" spans="1:16" x14ac:dyDescent="0.2">
      <c r="A311" s="2596"/>
      <c r="B311" s="661" t="s">
        <v>4180</v>
      </c>
      <c r="D311" s="37"/>
      <c r="G311" s="37"/>
      <c r="H311" s="37"/>
      <c r="I311" s="386"/>
      <c r="J311" s="386"/>
      <c r="K311" s="386"/>
      <c r="L311" s="714" t="str">
        <f>A78</f>
        <v>c4.75</v>
      </c>
      <c r="M311" s="109">
        <f>I204</f>
        <v>1625</v>
      </c>
    </row>
    <row customFormat="1" r="312" s="2596" spans="1:16" x14ac:dyDescent="0.2">
      <c r="B312" s="2595"/>
      <c r="D312" s="37"/>
      <c r="G312" s="37"/>
      <c r="H312" s="37"/>
      <c r="I312" s="386"/>
      <c r="J312" s="386"/>
      <c r="K312" s="386"/>
      <c r="L312" s="709"/>
      <c r="M312" s="988"/>
    </row>
    <row customFormat="1" r="313" s="2596" spans="1:16" x14ac:dyDescent="0.2">
      <c r="B313" s="2595"/>
      <c r="D313" s="37"/>
      <c r="G313" s="37"/>
      <c r="H313" s="37"/>
      <c r="I313" s="386"/>
      <c r="J313" s="386"/>
      <c r="K313" s="386"/>
      <c r="L313" s="709"/>
      <c r="M313" s="988"/>
    </row>
    <row customFormat="1" r="314" s="2596" spans="1:16" x14ac:dyDescent="0.2">
      <c r="B314" s="2595"/>
      <c r="D314" s="37"/>
      <c r="G314" s="37"/>
      <c r="H314" s="37"/>
      <c r="I314" s="386"/>
      <c r="J314" s="386"/>
      <c r="K314" s="386"/>
      <c r="L314" s="709"/>
      <c r="M314" s="988"/>
    </row>
    <row customFormat="1" r="315" s="2596" spans="1:16" x14ac:dyDescent="0.2">
      <c r="B315" s="2595"/>
      <c r="D315" s="37"/>
      <c r="G315" s="37"/>
      <c r="H315" s="37"/>
      <c r="I315" s="386"/>
      <c r="J315" s="386"/>
      <c r="K315" s="386"/>
      <c r="L315" s="709"/>
      <c r="M315" s="988"/>
    </row>
    <row customFormat="1" r="316" s="375" spans="1:16" x14ac:dyDescent="0.2">
      <c r="A316" s="121"/>
      <c r="B316" s="822" t="s">
        <v>6044</v>
      </c>
      <c r="C316" s="822"/>
      <c r="D316" s="121"/>
      <c r="E316" s="121"/>
      <c r="F316" s="121"/>
      <c r="G316" s="121"/>
      <c r="P316" s="121"/>
    </row>
    <row r="317" spans="1:16" x14ac:dyDescent="0.2">
      <c r="B317" s="684" t="s">
        <v>6275</v>
      </c>
      <c r="C317" s="822"/>
      <c r="H317" s="2982"/>
      <c r="I317" s="2982"/>
      <c r="J317" s="2982"/>
      <c r="K317" s="2982"/>
      <c r="L317" s="2982"/>
      <c r="M317" s="93" t="str">
        <f>"("&amp;'NS income (c1)'!I149&amp;" + "&amp;'NS income (c1)'!I153&amp;") minus "&amp;L287</f>
        <v>(c1.57 + c1.58) minus c4.70</v>
      </c>
    </row>
    <row r="318" spans="1:16" x14ac:dyDescent="0.2">
      <c r="B318" s="684" t="s">
        <v>6237</v>
      </c>
      <c r="C318" s="822"/>
      <c r="H318" s="2982"/>
      <c r="I318" s="2982"/>
      <c r="J318" s="2982"/>
      <c r="K318" s="93" t="s">
        <v>6626</v>
      </c>
      <c r="L318" s="2157" t="str">
        <f>A79</f>
        <v>c4.75a</v>
      </c>
      <c r="M318" s="2158">
        <f>MAX(0,('NS income (c1)'!J149+'NS income (c1)'!J153)-M287)</f>
        <v>33744</v>
      </c>
      <c r="N318" s="2674"/>
    </row>
    <row r="319" spans="1:16" x14ac:dyDescent="0.2">
      <c r="B319" s="684" t="s">
        <v>6046</v>
      </c>
      <c r="H319" s="2982"/>
      <c r="I319" s="2982"/>
      <c r="J319" s="2982"/>
      <c r="K319" s="2982"/>
      <c r="L319" s="2982"/>
      <c r="M319" s="2982"/>
    </row>
    <row r="320" spans="1:16" x14ac:dyDescent="0.2">
      <c r="B320" s="684" t="s">
        <v>6047</v>
      </c>
      <c r="H320" s="2982"/>
      <c r="I320" s="2982"/>
      <c r="J320" s="2982"/>
      <c r="K320" s="2982"/>
      <c r="L320" s="2982"/>
      <c r="M320" s="93" t="str">
        <f>L287&amp;" minus ("&amp;'NS income (c1)'!I149&amp;" + "&amp;'NS income (c1)'!I153&amp;")"</f>
        <v>c4.70 minus (c1.57 + c1.58)</v>
      </c>
    </row>
    <row r="321" spans="2:13" x14ac:dyDescent="0.2">
      <c r="B321" s="684" t="s">
        <v>6045</v>
      </c>
      <c r="H321" s="2982"/>
      <c r="I321" s="2982"/>
      <c r="J321" s="2982"/>
      <c r="K321" s="93" t="s">
        <v>6627</v>
      </c>
      <c r="L321" s="2157" t="str">
        <f>A80</f>
        <v>c4.75b</v>
      </c>
      <c r="M321" s="2158">
        <f>MAX(0,M287-('NS income (c1)'!J149+'NS income (c1)'!J153))</f>
        <v>0</v>
      </c>
    </row>
    <row r="322" spans="2:13" x14ac:dyDescent="0.2">
      <c r="H322" s="2982"/>
      <c r="I322" s="2982"/>
      <c r="J322" s="2982"/>
      <c r="K322" s="2982"/>
      <c r="L322" s="2982"/>
      <c r="M322" s="2982"/>
    </row>
    <row r="323" spans="2:13" x14ac:dyDescent="0.2">
      <c r="B323" s="684"/>
      <c r="C323" s="822"/>
      <c r="H323" s="2982"/>
      <c r="I323" s="2982"/>
      <c r="J323" s="2982"/>
      <c r="K323" s="2982"/>
      <c r="L323" s="2982"/>
      <c r="M323" s="93" t="str">
        <f>"lower of "&amp;'Savings (c2)'!H77&amp;" and PSA_HR ("&amp;DOLLAR(PSA_HR,0)&amp;")"</f>
        <v>lower of c2.19 and PSA_HR ($500)</v>
      </c>
    </row>
    <row r="324" spans="2:13" x14ac:dyDescent="0.2">
      <c r="B324" s="684"/>
      <c r="C324" s="822"/>
      <c r="H324" s="2982"/>
      <c r="I324" s="2982"/>
      <c r="J324" s="2982"/>
      <c r="K324" s="93" t="s">
        <v>6628</v>
      </c>
      <c r="L324" s="2157" t="str">
        <f>A81</f>
        <v>c4.75c</v>
      </c>
      <c r="M324" s="2158">
        <f>MIN('Savings (c2)'!I77,PSA_HR)</f>
        <v>500</v>
      </c>
    </row>
    <row r="325" spans="2:13" x14ac:dyDescent="0.2">
      <c r="B325" s="684"/>
      <c r="C325" s="822"/>
      <c r="H325" s="2982"/>
      <c r="I325" s="2982"/>
      <c r="J325" s="2982"/>
      <c r="K325" s="2982"/>
      <c r="L325" s="2982"/>
      <c r="M325" s="2982"/>
    </row>
    <row r="326" spans="2:13" x14ac:dyDescent="0.2">
      <c r="B326" s="684"/>
      <c r="C326" s="822"/>
      <c r="H326" s="2982"/>
      <c r="I326" s="2982"/>
      <c r="J326" s="2982"/>
      <c r="K326" s="2982"/>
      <c r="L326" s="2982"/>
      <c r="M326" s="93" t="str">
        <f>'Savings (c2)'!H77&amp;" minus PSA_HR ("&amp;DOLLAR(PSA_HR,0)&amp;")"</f>
        <v>c2.19 minus PSA_HR ($500)</v>
      </c>
    </row>
    <row r="327" spans="2:13" x14ac:dyDescent="0.2">
      <c r="B327" s="684"/>
      <c r="C327" s="822"/>
      <c r="H327" s="2982"/>
      <c r="I327" s="2982"/>
      <c r="J327" s="2982"/>
      <c r="K327" s="93" t="s">
        <v>6630</v>
      </c>
      <c r="L327" s="2157" t="str">
        <f>A82</f>
        <v>c4.75d</v>
      </c>
      <c r="M327" s="2158">
        <f>MAX(0,('Savings (c2)'!I77-PSA_HR))</f>
        <v>3178</v>
      </c>
    </row>
    <row r="328" spans="2:13" x14ac:dyDescent="0.2">
      <c r="B328" s="684"/>
      <c r="C328" s="822"/>
      <c r="H328" s="2982"/>
      <c r="I328" s="2982"/>
      <c r="J328" s="2982"/>
      <c r="K328" s="93"/>
      <c r="L328" s="2982"/>
      <c r="M328" s="2982"/>
    </row>
    <row r="329" spans="2:13" x14ac:dyDescent="0.2">
      <c r="B329" s="684"/>
      <c r="C329" s="822"/>
      <c r="H329" s="2982"/>
      <c r="I329" s="2982"/>
      <c r="J329" s="2982"/>
      <c r="K329" s="2982"/>
      <c r="L329" s="2982"/>
      <c r="M329" s="93" t="str">
        <f>L327&amp;" minus "&amp;L321</f>
        <v>c4.75d minus c4.75b</v>
      </c>
    </row>
    <row r="330" spans="2:13" x14ac:dyDescent="0.2">
      <c r="B330" s="684"/>
      <c r="C330" s="822"/>
      <c r="H330" s="2982"/>
      <c r="I330" s="2982"/>
      <c r="J330" s="2982"/>
      <c r="K330" s="93" t="s">
        <v>6632</v>
      </c>
      <c r="L330" s="2157" t="str">
        <f>A83</f>
        <v>c4.75e</v>
      </c>
      <c r="M330" s="2158">
        <f>MAX(0,M327-M321)</f>
        <v>3178</v>
      </c>
    </row>
    <row r="331" spans="2:13" x14ac:dyDescent="0.2">
      <c r="B331" s="684"/>
      <c r="C331" s="822"/>
      <c r="H331" s="2982"/>
      <c r="I331" s="2982"/>
      <c r="J331" s="2982"/>
      <c r="K331" s="2982"/>
      <c r="L331" s="2982"/>
      <c r="M331" s="2982"/>
    </row>
    <row r="332" spans="2:13" x14ac:dyDescent="0.2">
      <c r="B332" s="684"/>
      <c r="C332" s="822"/>
      <c r="H332" s="2982"/>
      <c r="I332" s="2982"/>
      <c r="J332" s="2982"/>
      <c r="K332" s="2982"/>
      <c r="L332" s="2982"/>
      <c r="M332" s="93" t="str">
        <f>L321&amp;" minus ("&amp;L324&amp;" + "&amp;L327&amp;")"</f>
        <v>c4.75b minus (c4.75c + c4.75d)</v>
      </c>
    </row>
    <row r="333" spans="2:13" x14ac:dyDescent="0.2">
      <c r="B333" s="684"/>
      <c r="C333" s="822"/>
      <c r="H333" s="2982"/>
      <c r="I333" s="2982"/>
      <c r="J333" s="2982"/>
      <c r="K333" s="93" t="s">
        <v>6627</v>
      </c>
      <c r="L333" s="2157" t="str">
        <f>A84</f>
        <v>c4.75f</v>
      </c>
      <c r="M333" s="2158">
        <f>MAX(0,M321-(M324+M327))</f>
        <v>0</v>
      </c>
    </row>
    <row r="334" spans="2:13" x14ac:dyDescent="0.2">
      <c r="B334" s="684"/>
      <c r="C334" s="822"/>
      <c r="H334" s="2982"/>
      <c r="I334" s="2982"/>
      <c r="J334" s="2982"/>
      <c r="K334" s="2982"/>
      <c r="L334" s="2982"/>
      <c r="M334" s="2982"/>
    </row>
    <row r="335" spans="2:13" x14ac:dyDescent="0.2">
      <c r="B335" s="684"/>
      <c r="C335" s="822"/>
      <c r="H335" s="2982"/>
      <c r="I335" s="2982"/>
      <c r="J335" s="2982"/>
      <c r="K335" s="2982"/>
      <c r="L335" s="2982"/>
      <c r="M335" s="93" t="str">
        <f>'Divs (c3)'!G47&amp;" minus "&amp;L333</f>
        <v>c3.15 minus c4.75f</v>
      </c>
    </row>
    <row r="336" spans="2:13" x14ac:dyDescent="0.2">
      <c r="B336" s="684"/>
      <c r="C336" s="822"/>
      <c r="H336" s="2982"/>
      <c r="I336" s="2982"/>
      <c r="J336" s="2982"/>
      <c r="K336" s="93" t="s">
        <v>6635</v>
      </c>
      <c r="L336" s="2157" t="str">
        <f>A85</f>
        <v>c4.75g</v>
      </c>
      <c r="M336" s="2158">
        <f>MAX(0,'Divs (c3)'!H47-M333)</f>
        <v>12750</v>
      </c>
    </row>
    <row r="337" spans="2:14" x14ac:dyDescent="0.2">
      <c r="B337" s="684"/>
      <c r="C337" s="822"/>
      <c r="H337" s="2982"/>
      <c r="I337" s="2982"/>
      <c r="J337" s="2982"/>
      <c r="K337" s="93"/>
      <c r="L337" s="2982"/>
      <c r="M337" s="2982"/>
    </row>
    <row r="338" spans="2:14" x14ac:dyDescent="0.2">
      <c r="B338" s="684"/>
      <c r="C338" s="822"/>
      <c r="H338" s="2982"/>
      <c r="I338" s="2982"/>
      <c r="J338" s="1945"/>
      <c r="K338" s="1945"/>
      <c r="L338" s="2982"/>
      <c r="M338" s="93" t="str">
        <f><![CDATA[" (BR_band ("&DOLLAR(BR_band,0)&") + "&L311&") minus ("&L318&" + "&L336&")"]]></f>
        <v xml:space="preserve"> (BR_band ($37,500) + c4.75) minus (c4.75a + c4.75g)</v>
      </c>
    </row>
    <row r="339" spans="2:14" x14ac:dyDescent="0.2">
      <c r="B339" s="684"/>
      <c r="C339" s="822"/>
      <c r="H339" s="2982"/>
      <c r="I339" s="2982"/>
      <c r="J339" s="2982"/>
      <c r="K339" s="93" t="s">
        <v>6637</v>
      </c>
      <c r="L339" s="2157" t="str">
        <f>A86</f>
        <v>c4.75h</v>
      </c>
      <c r="M339" s="2158">
        <f>MAX(0,((BR_band+M311)-(M318+M336)))</f>
        <v>0</v>
      </c>
      <c r="N339" s="806"/>
    </row>
    <row r="340" spans="2:14" x14ac:dyDescent="0.2">
      <c r="B340" s="684"/>
      <c r="C340" s="822"/>
      <c r="H340" s="2982"/>
      <c r="I340" s="2982"/>
      <c r="J340" s="2982"/>
      <c r="K340" s="2982"/>
      <c r="L340" s="2982"/>
      <c r="M340" s="2982"/>
    </row>
    <row r="341" spans="2:14" x14ac:dyDescent="0.2">
      <c r="B341" s="684"/>
      <c r="C341" s="822"/>
      <c r="H341" s="2982"/>
      <c r="I341" s="2982"/>
      <c r="J341" s="2982"/>
      <c r="K341" s="2982"/>
      <c r="L341" s="2982"/>
      <c r="M341" s="93" t="str">
        <f><![CDATA["lower of "&L324&" and ("&L339&" minus "&L330&")"]]></f>
        <v>lower of c4.75c and (c4.75h minus c4.75e)</v>
      </c>
    </row>
    <row r="342" spans="2:14" x14ac:dyDescent="0.2">
      <c r="B342" s="684"/>
      <c r="C342" s="822"/>
      <c r="H342" s="2982"/>
      <c r="I342" s="2982"/>
      <c r="J342" s="2982"/>
      <c r="K342" s="93" t="s">
        <v>6639</v>
      </c>
      <c r="L342" s="2157" t="str">
        <f>A87</f>
        <v>c4.75i</v>
      </c>
      <c r="M342" s="2158">
        <f>MIN(M324,MAX(0,M339-M330))</f>
        <v>0</v>
      </c>
    </row>
    <row r="343" spans="2:14" x14ac:dyDescent="0.2">
      <c r="B343" s="684"/>
      <c r="C343" s="822"/>
      <c r="H343" s="2982"/>
      <c r="I343" s="2982"/>
      <c r="J343" s="2982"/>
      <c r="K343" s="2982"/>
      <c r="L343" s="2982"/>
      <c r="M343" s="2982"/>
    </row>
    <row r="344" spans="2:14" x14ac:dyDescent="0.2">
      <c r="B344" s="684"/>
      <c r="C344" s="822"/>
      <c r="H344" s="2982"/>
      <c r="I344" s="2982"/>
      <c r="J344" s="2982"/>
      <c r="K344" s="2982"/>
      <c r="L344" s="2982"/>
      <c r="M344" s="93" t="str">
        <f>L324&amp;" minus "&amp;L342</f>
        <v>c4.75c minus c4.75i</v>
      </c>
    </row>
    <row r="345" spans="2:14" x14ac:dyDescent="0.2">
      <c r="B345" s="684"/>
      <c r="C345" s="822"/>
      <c r="H345" s="2982"/>
      <c r="I345" s="2982"/>
      <c r="J345" s="2982"/>
      <c r="K345" s="93" t="s">
        <v>6641</v>
      </c>
      <c r="L345" s="2157" t="str">
        <f>A88</f>
        <v>c4.75j</v>
      </c>
      <c r="M345" s="2158">
        <f>MAX(0,M324-M342)</f>
        <v>500</v>
      </c>
    </row>
    <row r="346" spans="2:14" x14ac:dyDescent="0.2">
      <c r="B346" s="684"/>
      <c r="C346" s="822"/>
      <c r="H346" s="2982"/>
      <c r="I346" s="2982"/>
      <c r="J346" s="2982"/>
      <c r="K346" s="2982"/>
      <c r="L346" s="2982"/>
      <c r="M346" s="2982"/>
    </row>
    <row r="347" spans="2:14" x14ac:dyDescent="0.2">
      <c r="B347" s="684"/>
      <c r="C347" s="822"/>
      <c r="H347" s="2982"/>
      <c r="I347" s="2982"/>
      <c r="J347" s="2982"/>
      <c r="K347" s="2982"/>
      <c r="L347" s="2982"/>
      <c r="M347" s="93" t="str">
        <f>"lower of ("&amp;L339&amp;" minus PSA_HR ("&amp;DOLLAR(PSA_HR,0)&amp;")) and "&amp;L345</f>
        <v>lower of (c4.75h minus PSA_HR ($500)) and c4.75j</v>
      </c>
    </row>
    <row r="348" spans="2:14" x14ac:dyDescent="0.2">
      <c r="B348" s="684"/>
      <c r="C348" s="822"/>
      <c r="H348" s="2982"/>
      <c r="I348" s="2982"/>
      <c r="J348" s="2982"/>
      <c r="K348" s="93" t="s">
        <v>6643</v>
      </c>
      <c r="L348" s="2157" t="str">
        <f>A89</f>
        <v>c4.75k</v>
      </c>
      <c r="M348" s="2158">
        <f>MIN(MAX(0,(M339-PSA_HR)),M345)</f>
        <v>0</v>
      </c>
    </row>
    <row r="349" spans="2:14" x14ac:dyDescent="0.2">
      <c r="B349" s="684"/>
      <c r="C349" s="822"/>
    </row>
    <row r="350" spans="2:14" x14ac:dyDescent="0.2">
      <c r="B350" s="684"/>
      <c r="C350" s="822"/>
      <c r="I350" s="2982"/>
      <c r="J350" s="1945"/>
      <c r="K350" s="1945"/>
      <c r="L350" s="2982"/>
      <c r="M350" s="93" t="str">
        <f><![CDATA["(BR_band ("&DOLLAR(BR_band,0)&") + "&L311&") minus ("&L318&" + "&L324&" + "&L330&")"]]></f>
        <v>(BR_band ($37,500) + c4.75) minus (c4.75a + c4.75c + c4.75e)</v>
      </c>
    </row>
    <row r="351" spans="2:14" x14ac:dyDescent="0.2">
      <c r="B351" s="684"/>
      <c r="C351" s="822"/>
      <c r="I351" s="2982"/>
      <c r="J351" s="2982"/>
      <c r="K351" s="93" t="s">
        <v>6645</v>
      </c>
      <c r="L351" s="2157" t="str">
        <f>A90</f>
        <v>c4.75l</v>
      </c>
      <c r="M351" s="2158">
        <f>MAX(0,((BR_band+M311)-(M318+M324+M330)))</f>
        <v>1703</v>
      </c>
    </row>
    <row r="352" spans="2:14" x14ac:dyDescent="0.2">
      <c r="B352" s="684"/>
      <c r="C352" s="822"/>
    </row>
    <row r="353" spans="2:18" x14ac:dyDescent="0.2">
      <c r="B353" s="684"/>
      <c r="C353" s="822"/>
      <c r="L353" s="2982"/>
      <c r="M353" s="93" t="str">
        <f>"lower of "&amp;L336&amp;" and "&amp;L351</f>
        <v>lower of c4.75g and c4.75l</v>
      </c>
    </row>
    <row r="354" spans="2:18" x14ac:dyDescent="0.2">
      <c r="B354" s="684"/>
      <c r="C354" s="822"/>
      <c r="K354" s="93" t="s">
        <v>6647</v>
      </c>
      <c r="L354" s="2157" t="str">
        <f>A91</f>
        <v>c4.75m</v>
      </c>
      <c r="M354" s="2158">
        <f>MIN(M336,M351)</f>
        <v>1703</v>
      </c>
    </row>
    <row r="355" spans="2:18" x14ac:dyDescent="0.2">
      <c r="B355" s="684"/>
      <c r="C355" s="822"/>
    </row>
    <row r="356" spans="2:18" x14ac:dyDescent="0.2">
      <c r="B356" s="684"/>
      <c r="C356" s="822"/>
      <c r="M356" s="93" t="str">
        <f>L336&amp;" minus "&amp;L354</f>
        <v>c4.75g minus c4.75m</v>
      </c>
    </row>
    <row r="357" spans="2:18" x14ac:dyDescent="0.2">
      <c r="B357" s="684"/>
      <c r="C357" s="822"/>
      <c r="K357" s="93" t="s">
        <v>6649</v>
      </c>
      <c r="L357" s="2157" t="str">
        <f>A92</f>
        <v>c4.75n</v>
      </c>
      <c r="M357" s="2158">
        <f>MAX(0,M336-M354)</f>
        <v>11047</v>
      </c>
      <c r="O357" s="3440"/>
    </row>
    <row r="358" spans="2:18" x14ac:dyDescent="0.2">
      <c r="B358" s="684"/>
      <c r="C358" s="822"/>
      <c r="O358" s="3440"/>
      <c r="Q358" s="1945"/>
      <c r="R358" s="2325" t="str">
        <f>L287&amp;" minus ("&amp;L327&amp;" + "&amp;L336&amp;")"</f>
        <v>c4.70 minus (c4.75d + c4.75g)</v>
      </c>
    </row>
    <row r="359" spans="2:18" x14ac:dyDescent="0.2">
      <c r="B359" s="684"/>
      <c r="C359" s="822"/>
      <c r="M359" s="93" t="str">
        <f>L333&amp;" minus "&amp;L336</f>
        <v>c4.75f minus c4.75g</v>
      </c>
      <c r="O359" s="3440"/>
      <c r="Q359" s="3469" t="str">
        <f>A95</f>
        <v>c4.75q</v>
      </c>
      <c r="R359" s="2937">
        <f>MAX(0,M287-(M327+M336))</f>
        <v>0</v>
      </c>
    </row>
    <row r="360" spans="2:18" x14ac:dyDescent="0.2">
      <c r="B360" s="684"/>
      <c r="C360" s="822"/>
      <c r="J360" s="2982"/>
      <c r="K360" s="93" t="s">
        <v>6627</v>
      </c>
      <c r="L360" s="2157" t="str">
        <f>A93</f>
        <v>c4.75o</v>
      </c>
      <c r="M360" s="2158">
        <f>MAX(0,M333-M336)</f>
        <v>0</v>
      </c>
      <c r="O360" s="3440"/>
      <c r="Q360" s="3440"/>
      <c r="R360" s="3440"/>
    </row>
    <row r="361" spans="2:18" x14ac:dyDescent="0.2">
      <c r="B361" s="684"/>
      <c r="C361" s="822"/>
      <c r="O361" s="3440"/>
      <c r="Q361" s="1945"/>
      <c r="R361" s="2325" t="str">
        <f>'NS income (c1)'!I149&amp;" minus "&amp;Q359</f>
        <v>c1.57 minus c4.75q</v>
      </c>
    </row>
    <row r="362" spans="2:18" x14ac:dyDescent="0.2">
      <c r="B362" s="684"/>
      <c r="C362" s="822"/>
      <c r="K362" s="2982"/>
      <c r="L362" s="2982"/>
      <c r="M362" s="93" t="str">
        <f><![CDATA["("&'Divs (c3)'!G58&" + "&'Divs (c3)'!G63&" + "&'Divs (c3)'!G66&") minus "&L360]]></f>
        <v>(c3.18 + c3.19 + c3.20) minus c4.75o</v>
      </c>
      <c r="O362" s="3440"/>
      <c r="Q362" s="3469" t="str">
        <f>A96</f>
        <v>c4.75r</v>
      </c>
      <c r="R362" s="2937">
        <f>MAX(0,'NS income (c1)'!J149-R359)</f>
        <v>47444</v>
      </c>
    </row>
    <row r="363" spans="2:18" x14ac:dyDescent="0.2">
      <c r="B363" s="684"/>
      <c r="C363" s="822"/>
      <c r="J363" s="2982"/>
      <c r="K363" s="93" t="s">
        <v>6652</v>
      </c>
      <c r="L363" s="2157" t="str">
        <f>A94</f>
        <v>c4.75p</v>
      </c>
      <c r="M363" s="2158">
        <f>MAX(0,('Divs (c3)'!H58+'Divs (c3)'!H63+'Divs (c3)'!H66)-M360)</f>
        <v>0</v>
      </c>
      <c r="Q363" s="1945"/>
      <c r="R363" s="2325" t="str">
        <f>"lower of "&amp;L324&amp;" and"</f>
        <v>lower of c4.75c and</v>
      </c>
    </row>
    <row r="364" spans="2:18" x14ac:dyDescent="0.2">
      <c r="B364" s="684"/>
      <c r="C364" s="822"/>
      <c r="O364" s="121"/>
      <c r="P364" s="1945"/>
      <c r="Q364" s="1945"/>
      <c r="R364" s="2325" t="str">
        <f><![CDATA["((BR_band ("&DOLLAR(BR_band,0)&") + "&L311&") minus "&Q362&")"]]></f>
        <v>((BR_band ($37,500) + c4.75) minus c4.75r)</v>
      </c>
    </row>
    <row customFormat="1" r="365" s="3440" spans="2:18" x14ac:dyDescent="0.2">
      <c r="B365" s="684"/>
      <c r="C365" s="822"/>
      <c r="L365" s="1945"/>
      <c r="M365" s="2325" t="str">
        <f>L324&amp;" minus "&amp;Q365</f>
        <v>c4.75c minus c4.75s</v>
      </c>
      <c r="O365" s="2681"/>
      <c r="P365" s="2681" t="s">
        <v>7972</v>
      </c>
      <c r="Q365" s="3469" t="str">
        <f>A97</f>
        <v>c4.75s</v>
      </c>
      <c r="R365" s="2937">
        <f>MIN(M324,MAX(0,((BR_band+M311)-R362)))</f>
        <v>0</v>
      </c>
    </row>
    <row customFormat="1" r="366" s="3440" spans="2:18" x14ac:dyDescent="0.2">
      <c r="B366" s="684"/>
      <c r="C366" s="822"/>
      <c r="K366" s="2681" t="s">
        <v>7976</v>
      </c>
      <c r="L366" s="3470" t="str">
        <f>A98</f>
        <v>c4.75t</v>
      </c>
      <c r="M366" s="2937">
        <f>MAX(0,M324-R365)</f>
        <v>500</v>
      </c>
      <c r="O366" s="2681"/>
      <c r="P366" s="709"/>
      <c r="Q366" s="988"/>
    </row>
    <row customFormat="1" r="367" s="3440" spans="2:18" x14ac:dyDescent="0.2">
      <c r="B367" s="684"/>
      <c r="C367" s="822"/>
      <c r="O367" s="2681"/>
      <c r="P367" s="709"/>
      <c r="Q367" s="988"/>
    </row>
    <row customFormat="1" r="368" s="3440" spans="2:18" x14ac:dyDescent="0.2">
      <c r="B368" s="684"/>
      <c r="C368" s="822"/>
      <c r="K368" s="3471"/>
      <c r="L368" s="1945"/>
      <c r="M368" s="2325" t="str">
        <f>L308&amp;" minus "&amp;L366</f>
        <v>c4.74 minus c4.75t</v>
      </c>
      <c r="O368" s="2681"/>
      <c r="P368" s="709"/>
      <c r="Q368" s="988"/>
    </row>
    <row r="369" spans="1:18" x14ac:dyDescent="0.2">
      <c r="B369" s="684"/>
      <c r="C369" s="822"/>
      <c r="J369" s="3471"/>
      <c r="K369" s="3472" t="s">
        <v>7977</v>
      </c>
      <c r="L369" s="3470" t="str">
        <f>A99</f>
        <v>c4.75u</v>
      </c>
      <c r="M369" s="2937">
        <f>MAX(0,M308-M366)</f>
        <v>49672</v>
      </c>
      <c r="N369" s="2674" t="s">
        <v>7978</v>
      </c>
    </row>
    <row r="370" spans="1:18" x14ac:dyDescent="0.2">
      <c r="B370" s="684"/>
      <c r="C370" s="822"/>
      <c r="J370" s="2982"/>
      <c r="K370" s="2982"/>
      <c r="L370" s="2982"/>
      <c r="M370" s="2982"/>
    </row>
    <row customFormat="1" r="371" s="2712" spans="1:18" x14ac:dyDescent="0.2">
      <c r="A371" s="121"/>
      <c r="B371" s="822"/>
      <c r="C371" s="822"/>
      <c r="Q371" s="121"/>
      <c r="R371" s="93" t="s">
        <v>6393</v>
      </c>
    </row>
    <row r="372" spans="1:18" x14ac:dyDescent="0.2">
      <c r="E372" s="689" t="s">
        <v>6356</v>
      </c>
      <c r="I372" s="689" t="s">
        <v>6654</v>
      </c>
      <c r="M372" s="689" t="s">
        <v>6516</v>
      </c>
      <c r="Q372" s="2161" t="str">
        <f>A100</f>
        <v>c4.76</v>
      </c>
      <c r="R372" s="2158"/>
    </row>
    <row customFormat="1" r="373" s="3659" spans="1:18" x14ac:dyDescent="0.2">
      <c r="E373" s="689"/>
      <c r="I373" s="689"/>
      <c r="M373" s="689"/>
      <c r="Q373" s="832"/>
      <c r="R373" s="988"/>
    </row>
    <row r="374" spans="1:18" x14ac:dyDescent="0.2">
      <c r="B374" s="822"/>
      <c r="K374" s="981"/>
      <c r="L374" s="981"/>
      <c r="M374" s="93" t="str">
        <f>"if "&amp;L357&amp;" &gt; 0 (zero)"</f>
        <v>if c4.75n &gt; 0 (zero)</v>
      </c>
    </row>
    <row r="375" spans="1:18" x14ac:dyDescent="0.2">
      <c r="B375" s="822"/>
      <c r="F375" s="2982"/>
      <c r="G375" s="2982"/>
      <c r="H375" s="2982"/>
      <c r="I375" s="93"/>
      <c r="K375" s="981"/>
      <c r="L375" s="981"/>
      <c r="M375" s="2325" t="str">
        <f>"and (("&amp;L357&amp;" &gt; "&amp;L345&amp;")"</f>
        <v>and ((c4.75n &gt; c4.75j)</v>
      </c>
    </row>
    <row r="376" spans="1:18" x14ac:dyDescent="0.2">
      <c r="C376" s="2982"/>
      <c r="D376" s="2982"/>
      <c r="E376" s="93" t="str">
        <f><![CDATA["if "&L318&" > ("&'Status (c3a)'!H33&" + "&'Status (c3a)'!L33&" + "&'Status (c3a)'!P33&" + "&L311&")"]]></f>
        <v>if c4.75a &gt; (c3a.1a + c3a.2 + c3a.2a + c4.75)</v>
      </c>
      <c r="G376" s="1945"/>
      <c r="H376" s="1945"/>
      <c r="I376" s="2325" t="str">
        <f><![CDATA["if "&L369&" > (BR_band ("&DOLLAR(BR_band,0)&") + "&L311&")"]]></f>
        <v>if c4.75u &gt; (BR_band ($37,500) + c4.75)</v>
      </c>
      <c r="K376" s="3439"/>
      <c r="L376" s="3439"/>
      <c r="M376" s="2325" t="str">
        <f><![CDATA["or ("&L354&" + "&L357&" > T_P_A ("&DOLLAR(T_P_A,0)&")))"]]></f>
        <v>or (c4.75m + c4.75n &gt; T_P_A ($1,250)))</v>
      </c>
      <c r="R376" s="93" t="str">
        <f><![CDATA["if "&D381&" + "&H381&" + "&L381&" > 0 (zero)"]]></f>
        <v>if c4.76a + c4.76b + c4.76b1 &gt; 0 (zero)</v>
      </c>
    </row>
    <row r="377" spans="1:18" x14ac:dyDescent="0.2">
      <c r="E377" s="93" t="str">
        <f>D381&amp;" = 1 (HR_case? 'Y')"</f>
        <v>c4.76a = 1 (HR_case? 'Y')</v>
      </c>
      <c r="I377" s="93" t="str">
        <f>H381&amp;" = 1 (HR_case? 'Y')"</f>
        <v>c4.76b = 1 (HR_case? 'Y')</v>
      </c>
      <c r="K377" s="981"/>
      <c r="L377" s="981"/>
      <c r="M377" s="93" t="str">
        <f>L381&amp;" = 1 (HR_case? 'Y')"</f>
        <v>c4.76b1 = 1 (HR_case? 'Y')</v>
      </c>
      <c r="R377" s="93" t="str">
        <f>Q381&amp;" = 1 (HR_case? 'Y')"</f>
        <v>c4.76c = 1 (HR_case? 'Y')</v>
      </c>
    </row>
    <row r="378" spans="1:18" x14ac:dyDescent="0.2">
      <c r="B378" s="716"/>
      <c r="E378" s="93" t="s">
        <v>2386</v>
      </c>
      <c r="I378" s="93" t="s">
        <v>2386</v>
      </c>
      <c r="K378" s="981"/>
      <c r="L378" s="981"/>
      <c r="M378" s="93" t="s">
        <v>2386</v>
      </c>
      <c r="R378" s="93" t="s">
        <v>2386</v>
      </c>
    </row>
    <row r="379" spans="1:18" x14ac:dyDescent="0.2">
      <c r="E379" s="93" t="str">
        <f>D381&amp;" = 0 (HR_case? 'N')"</f>
        <v>c4.76a = 0 (HR_case? 'N')</v>
      </c>
      <c r="I379" s="93" t="str">
        <f>H381&amp;" = 0 (HR_case? 'N')"</f>
        <v>c4.76b = 0 (HR_case? 'N')</v>
      </c>
      <c r="K379" s="981"/>
      <c r="L379" s="981"/>
      <c r="M379" s="93" t="str">
        <f>L381&amp;" = 0 (HR_case? 'N')"</f>
        <v>c4.76b1 = 0 (HR_case? 'N')</v>
      </c>
      <c r="R379" s="93" t="str">
        <f>Q381&amp;" = 0 (HR_case? 'N')"</f>
        <v>c4.76c = 0 (HR_case? 'N')</v>
      </c>
    </row>
    <row r="380" spans="1:18" x14ac:dyDescent="0.2">
      <c r="E380" s="93" t="s">
        <v>2495</v>
      </c>
      <c r="I380" s="93" t="s">
        <v>2495</v>
      </c>
      <c r="K380" s="981"/>
      <c r="L380" s="981"/>
      <c r="M380" s="2159" t="s">
        <v>2495</v>
      </c>
      <c r="R380" s="93" t="s">
        <v>2495</v>
      </c>
    </row>
    <row r="381" spans="1:18" x14ac:dyDescent="0.2">
      <c r="D381" s="2161" t="str">
        <f>A101</f>
        <v>c4.76a</v>
      </c>
      <c r="E381" s="2075">
        <f>IF(M318&gt;('Status (c3a)'!I33+'Status (c3a)'!M33+'Status (c3a)'!Q33+M311),1,0)</f>
        <v>1</v>
      </c>
      <c r="G381" s="121" t="s">
        <v>6520</v>
      </c>
      <c r="H381" s="2161" t="str">
        <f>A102</f>
        <v>c4.76b</v>
      </c>
      <c r="I381" s="2027">
        <f>IF(M369&gt;BR_band+M311,1,0)</f>
        <v>1</v>
      </c>
      <c r="K381" s="121" t="s">
        <v>6521</v>
      </c>
      <c r="L381" s="2161" t="str">
        <f>A103</f>
        <v>c4.76b1</v>
      </c>
      <c r="M381" s="2027">
        <f>IF(AND(M357&gt;0,OR((M357&gt;M345),(M354+M357&gt;T_P_A))),1,0)</f>
        <v>1</v>
      </c>
      <c r="P381" s="93" t="s">
        <v>6048</v>
      </c>
      <c r="Q381" s="2161" t="str">
        <f>A104</f>
        <v>c4.76c</v>
      </c>
      <c r="R381" s="2027">
        <f>IF(E381+I381+M381&gt;0,1,0)</f>
        <v>1</v>
      </c>
    </row>
    <row r="382" spans="1:18" x14ac:dyDescent="0.2">
      <c r="A382" s="2303"/>
      <c r="B382" s="2156" t="str">
        <f><![CDATA["if "&'Deductions (c4)'!H276&" = T_P_A "&DOLLAR(T_P_A,0)&" and "&'Deductions (c4)'!Q381&" = 1 (HR_case? YES)"]]></f>
        <v>if c4.68 = T_P_A $1,250 and c4.76c = 1 (HR_case? YES)</v>
      </c>
      <c r="C382" s="83"/>
    </row>
    <row r="383" spans="1:18" x14ac:dyDescent="0.2">
      <c r="B383" s="94" t="str">
        <f>'Deductions (c4)'!H276&amp;" = 0 (zero)"</f>
        <v>c4.68 = 0 (zero)</v>
      </c>
      <c r="C383" s="83"/>
    </row>
    <row r="384" spans="1:18" x14ac:dyDescent="0.2">
      <c r="B384" s="94" t="str">
        <f>"Calculate boxes "&amp;'Deductions (c4)'!L280&amp;" through "&amp;'Deductions (c4)'!Q381</f>
        <v>Calculate boxes c4.69 through c4.76c</v>
      </c>
      <c r="C384" s="83"/>
    </row>
    <row r="385" spans="1:13" x14ac:dyDescent="0.2">
      <c r="B385" s="94" t="s">
        <v>2386</v>
      </c>
      <c r="C385" s="83"/>
    </row>
    <row r="386" spans="1:13" x14ac:dyDescent="0.2">
      <c r="B386" s="94" t="str">
        <f>"Retain calculation from "&amp;'Deductions (c4)'!H276&amp;" to "&amp;'Deductions (c4)'!Q381</f>
        <v>Retain calculation from c4.68 to c4.76c</v>
      </c>
      <c r="C386" s="83"/>
    </row>
    <row r="387" spans="1:13" x14ac:dyDescent="0.2">
      <c r="B387" s="94" t="s">
        <v>2495</v>
      </c>
      <c r="C387" s="83"/>
    </row>
    <row r="388" spans="1:13" x14ac:dyDescent="0.2">
      <c r="C388" s="83"/>
    </row>
    <row r="389" spans="1:13" x14ac:dyDescent="0.2">
      <c r="B389" s="822" t="s">
        <v>5047</v>
      </c>
      <c r="C389" s="83"/>
    </row>
    <row r="390" spans="1:13" x14ac:dyDescent="0.2">
      <c r="B390" s="684" t="str">
        <f>"Boxes "&amp;L404&amp;" and "&amp;L419&amp;" are used to calculate the amount of personal savings allowance"</f>
        <v>Boxes c4.77 and c4.78 are used to calculate the amount of personal savings allowance</v>
      </c>
      <c r="C390" s="83"/>
    </row>
    <row r="391" spans="1:13" x14ac:dyDescent="0.2">
      <c r="C391" s="83"/>
    </row>
    <row r="392" spans="1:13" x14ac:dyDescent="0.2">
      <c r="B392" s="822" t="s">
        <v>4551</v>
      </c>
      <c r="C392" s="2302"/>
      <c r="D392" s="2303"/>
      <c r="E392" s="2303"/>
      <c r="F392" s="2303"/>
      <c r="G392" s="2303"/>
    </row>
    <row r="393" spans="1:13" x14ac:dyDescent="0.2">
      <c r="A393" s="2982"/>
      <c r="B393" s="2674" t="s">
        <v>6236</v>
      </c>
      <c r="C393" s="822"/>
      <c r="D393" s="2303"/>
      <c r="E393" s="2303"/>
      <c r="F393" s="2303"/>
      <c r="G393" s="2303"/>
    </row>
    <row customFormat="1" r="394" s="2982" spans="1:13" x14ac:dyDescent="0.2">
      <c r="B394" s="2674" t="s">
        <v>6913</v>
      </c>
      <c r="C394" s="2974"/>
    </row>
    <row customFormat="1" r="395" s="2982" spans="1:13" x14ac:dyDescent="0.2">
      <c r="B395" s="2674" t="s">
        <v>6914</v>
      </c>
      <c r="C395" s="2974"/>
    </row>
    <row customFormat="1" r="396" s="2982" spans="1:13" x14ac:dyDescent="0.2">
      <c r="B396" s="2674" t="s">
        <v>6915</v>
      </c>
      <c r="C396" s="822"/>
    </row>
    <row customFormat="1" r="397" s="2982" spans="1:13" x14ac:dyDescent="0.2">
      <c r="A397" s="2303"/>
      <c r="B397" s="3034" t="s">
        <v>7052</v>
      </c>
      <c r="C397" s="822"/>
    </row>
    <row customFormat="1" r="398" s="2303" spans="1:13" x14ac:dyDescent="0.2">
      <c r="A398" s="121"/>
      <c r="B398" s="2307"/>
      <c r="C398" s="822"/>
    </row>
    <row r="399" spans="1:13" x14ac:dyDescent="0.2">
      <c r="B399" s="2303"/>
      <c r="C399" s="2302"/>
      <c r="D399" s="2303"/>
      <c r="E399" s="2303"/>
      <c r="F399" s="2303"/>
      <c r="G399" s="2303"/>
      <c r="M399" s="1225" t="str">
        <f><![CDATA["If "&L308&" > (BR_band ("&DOLLAR(BR_band,0)&") + "&L311&")"]]></f>
        <v>If c4.74 &gt; (BR_band ($37,500) + c4.75)</v>
      </c>
    </row>
    <row r="400" spans="1:13" x14ac:dyDescent="0.2">
      <c r="B400" s="2304"/>
      <c r="C400" s="2302"/>
      <c r="D400" s="2303"/>
      <c r="E400" s="2303"/>
      <c r="F400" s="2303"/>
      <c r="G400" s="2303"/>
      <c r="M400" s="93" t="str">
        <f>L404&amp;" = 1 (HR_case? 'Y')"</f>
        <v>c4.77 = 1 (HR_case? 'Y')</v>
      </c>
    </row>
    <row r="401" spans="1:13" x14ac:dyDescent="0.2">
      <c r="B401" s="2303"/>
      <c r="C401" s="2302"/>
      <c r="D401" s="2303"/>
      <c r="E401" s="2303"/>
      <c r="F401" s="2303"/>
      <c r="G401" s="2303"/>
      <c r="M401" s="93" t="s">
        <v>2386</v>
      </c>
    </row>
    <row r="402" spans="1:13" x14ac:dyDescent="0.2">
      <c r="B402" s="2303"/>
      <c r="C402" s="2302"/>
      <c r="D402" s="2303"/>
      <c r="E402" s="2303"/>
      <c r="F402" s="2303"/>
      <c r="G402" s="2303"/>
      <c r="M402" s="93" t="str">
        <f>L404&amp;" = 0 (HR_case? 'N')"</f>
        <v>c4.77 = 0 (HR_case? 'N')</v>
      </c>
    </row>
    <row r="403" spans="1:13" x14ac:dyDescent="0.2">
      <c r="B403" s="2303"/>
      <c r="C403" s="2302"/>
      <c r="D403" s="2303"/>
      <c r="E403" s="2303"/>
      <c r="F403" s="2303"/>
      <c r="G403" s="2303"/>
      <c r="M403" s="93" t="s">
        <v>2495</v>
      </c>
    </row>
    <row r="404" spans="1:13" x14ac:dyDescent="0.2">
      <c r="B404" s="2303"/>
      <c r="C404" s="2302"/>
      <c r="D404" s="2303"/>
      <c r="E404" s="2303"/>
      <c r="F404" s="2303"/>
      <c r="G404" s="2303"/>
      <c r="K404" s="798" t="s">
        <v>6049</v>
      </c>
      <c r="L404" s="2161" t="str">
        <f>A105</f>
        <v>c4.77</v>
      </c>
      <c r="M404" s="2160">
        <f>IF(M308&gt;BR_band+M311,1,0)</f>
        <v>1</v>
      </c>
    </row>
    <row r="405" spans="1:13" x14ac:dyDescent="0.2">
      <c r="B405" s="2303"/>
      <c r="C405" s="822"/>
      <c r="D405" s="2303"/>
      <c r="E405" s="2303"/>
      <c r="F405" s="2303"/>
      <c r="G405" s="2303"/>
    </row>
    <row r="406" spans="1:13" x14ac:dyDescent="0.2">
      <c r="B406" s="822" t="s">
        <v>5046</v>
      </c>
      <c r="C406" s="2303"/>
      <c r="D406" s="2303"/>
      <c r="E406" s="2303"/>
      <c r="F406" s="2303"/>
      <c r="G406" s="2303"/>
    </row>
    <row r="407" spans="1:13" x14ac:dyDescent="0.2">
      <c r="A407" s="2982"/>
      <c r="B407" s="2674" t="s">
        <v>6233</v>
      </c>
      <c r="C407" s="2303"/>
      <c r="D407" s="2303"/>
      <c r="E407" s="2303"/>
      <c r="F407" s="2303"/>
      <c r="G407" s="2303"/>
    </row>
    <row customFormat="1" r="408" s="2982" spans="1:13" x14ac:dyDescent="0.2">
      <c r="B408" s="2674" t="s">
        <v>6916</v>
      </c>
    </row>
    <row customFormat="1" r="409" s="2982" spans="1:13" x14ac:dyDescent="0.2">
      <c r="B409" s="2674" t="s">
        <v>6917</v>
      </c>
    </row>
    <row customFormat="1" r="410" s="2982" spans="1:13" x14ac:dyDescent="0.2">
      <c r="B410" s="2674" t="s">
        <v>6918</v>
      </c>
      <c r="C410" s="2974"/>
    </row>
    <row customFormat="1" r="411" s="2982" spans="1:13" x14ac:dyDescent="0.2">
      <c r="B411" s="2674" t="s">
        <v>6919</v>
      </c>
      <c r="C411" s="2974"/>
    </row>
    <row customFormat="1" r="412" s="2982" spans="1:13" x14ac:dyDescent="0.2">
      <c r="A412" s="121"/>
      <c r="B412" s="2674" t="s">
        <v>6920</v>
      </c>
      <c r="C412" s="2974"/>
    </row>
    <row customFormat="1" r="413" s="2303" spans="1:13" x14ac:dyDescent="0.2">
      <c r="A413" s="121"/>
      <c r="B413" s="2118"/>
      <c r="C413" s="2302"/>
    </row>
    <row r="414" spans="1:13" x14ac:dyDescent="0.2">
      <c r="C414" s="83"/>
      <c r="M414" s="93" t="str">
        <f><![CDATA["If "&L308&" > (AHR_band ("&DOLLAR(AHR_band,0)&") + "&L311&")"]]></f>
        <v>If c4.74 &gt; (AHR_band ($150,000) + c4.75)</v>
      </c>
    </row>
    <row r="415" spans="1:13" x14ac:dyDescent="0.2">
      <c r="C415" s="83"/>
      <c r="M415" s="93" t="str">
        <f>L419&amp;" = 1 (AHR_case? 'Y')"</f>
        <v>c4.78 = 1 (AHR_case? 'Y')</v>
      </c>
    </row>
    <row r="416" spans="1:13" x14ac:dyDescent="0.2">
      <c r="C416" s="83"/>
      <c r="M416" s="93" t="s">
        <v>2386</v>
      </c>
    </row>
    <row r="417" spans="2:13" x14ac:dyDescent="0.2">
      <c r="C417" s="83"/>
      <c r="M417" s="93" t="str">
        <f>L419&amp;" = 0 (AHR_case? 'N')"</f>
        <v>c4.78 = 0 (AHR_case? 'N')</v>
      </c>
    </row>
    <row r="418" spans="2:13" x14ac:dyDescent="0.2">
      <c r="C418" s="83"/>
      <c r="M418" s="93" t="s">
        <v>2495</v>
      </c>
    </row>
    <row r="419" spans="2:13" x14ac:dyDescent="0.2">
      <c r="C419" s="83"/>
      <c r="K419" s="798" t="s">
        <v>6050</v>
      </c>
      <c r="L419" s="2161" t="str">
        <f>A106</f>
        <v>c4.78</v>
      </c>
      <c r="M419" s="2160">
        <f>IF(M308&gt;AHR_band+M311,1,0)</f>
        <v>0</v>
      </c>
    </row>
    <row r="420" spans="2:13" x14ac:dyDescent="0.2">
      <c r="C420" s="83"/>
    </row>
    <row r="421" spans="2:13" x14ac:dyDescent="0.2">
      <c r="C421" s="83"/>
      <c r="M421" s="93" t="str">
        <f>"if "&amp;L419&amp;" = 1 (Y)"</f>
        <v>if c4.78 = 1 (Y)</v>
      </c>
    </row>
    <row r="422" spans="2:13" x14ac:dyDescent="0.2">
      <c r="C422" s="83"/>
      <c r="M422" s="93" t="str">
        <f>L430&amp;" = PSA_AHR ("&amp;DOLLAR(PSA_AHR,0)&amp;")"</f>
        <v>c4.79 = PSA_AHR ($0)</v>
      </c>
    </row>
    <row r="423" spans="2:13" x14ac:dyDescent="0.2">
      <c r="C423" s="83"/>
      <c r="M423" s="93" t="s">
        <v>2386</v>
      </c>
    </row>
    <row r="424" spans="2:13" x14ac:dyDescent="0.2">
      <c r="C424" s="83"/>
      <c r="M424" s="93" t="str">
        <f>"if "&amp;L404&amp;" = 1 (Y)"</f>
        <v>if c4.77 = 1 (Y)</v>
      </c>
    </row>
    <row r="425" spans="2:13" x14ac:dyDescent="0.2">
      <c r="C425" s="83"/>
      <c r="M425" s="93" t="str">
        <f>L430&amp;" = PSA_HR ("&amp;DOLLAR(PSA_HR,0)&amp;")"</f>
        <v>c4.79 = PSA_HR ($500)</v>
      </c>
    </row>
    <row r="426" spans="2:13" x14ac:dyDescent="0.2">
      <c r="C426" s="83"/>
      <c r="M426" s="93" t="s">
        <v>2386</v>
      </c>
    </row>
    <row r="427" spans="2:13" x14ac:dyDescent="0.2">
      <c r="C427" s="83"/>
      <c r="M427" s="93" t="str">
        <f>L430&amp;" = PSA_BR ("&amp;DOLLAR(PSA_BR,0)&amp;")"</f>
        <v>c4.79 = PSA_BR ($1,000)</v>
      </c>
    </row>
    <row r="428" spans="2:13" x14ac:dyDescent="0.2">
      <c r="C428" s="83"/>
      <c r="M428" s="93" t="s">
        <v>2495</v>
      </c>
    </row>
    <row r="429" spans="2:13" x14ac:dyDescent="0.2">
      <c r="C429" s="83"/>
      <c r="M429" s="93" t="s">
        <v>2495</v>
      </c>
    </row>
    <row r="430" spans="2:13" x14ac:dyDescent="0.2">
      <c r="B430" s="822" t="s">
        <v>5045</v>
      </c>
      <c r="C430" s="83"/>
      <c r="L430" s="2161" t="str">
        <f>A107</f>
        <v>c4.79</v>
      </c>
      <c r="M430" s="2160">
        <f>IF(AHR_case_PSA=1,PSA_AHR,IF(HR_case_PSA=1,PSA_HR,PSA_BR))</f>
        <v>500</v>
      </c>
    </row>
    <row r="432" spans="2:13" x14ac:dyDescent="0.2">
      <c r="M432" s="38" t="s">
        <v>4039</v>
      </c>
    </row>
    <row r="433" spans="2:13" x14ac:dyDescent="0.2">
      <c r="M433" s="93" t="str">
        <f>L437&amp;" = 0 (zero)"</f>
        <v>c4.80 = 0 (zero)</v>
      </c>
    </row>
    <row r="434" spans="2:13" x14ac:dyDescent="0.2">
      <c r="M434" s="121" t="s">
        <v>2386</v>
      </c>
    </row>
    <row r="435" spans="2:13" x14ac:dyDescent="0.2">
      <c r="M435" s="93" t="str">
        <f>L437&amp;" = DA ("&amp;DOLLAR(DTA,0)&amp;")"</f>
        <v>c4.80 = DA ($2,000)</v>
      </c>
    </row>
    <row r="436" spans="2:13" x14ac:dyDescent="0.2">
      <c r="M436" s="121" t="s">
        <v>2495</v>
      </c>
    </row>
    <row r="437" spans="2:13" x14ac:dyDescent="0.2">
      <c r="B437" s="822" t="s">
        <v>5053</v>
      </c>
      <c r="L437" s="2161" t="str">
        <f>A108</f>
        <v>c4.80</v>
      </c>
      <c r="M437" s="2160">
        <f>IF(non_resident,0,DTA)</f>
        <v>2000</v>
      </c>
    </row>
  </sheetData>
  <phoneticPr fontId="67" type="noConversion"/>
  <pageMargins bottom="0.19685039370078741" footer="0.19685039370078741" header="0.19685039370078741" left="0.15748031496062992" right="0.15748031496062992" top="0.19685039370078741"/>
  <pageSetup orientation="portrait" paperSize="9" r:id="rId1"/>
  <headerFooter alignWithMargins="0"/>
</worksheet>
</file>

<file path=xl/worksheets/sheet64.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F00-000000000000}">
  <sheetPr codeName="Sheet41">
    <tabColor rgb="FFFFFF00"/>
  </sheetPr>
  <dimension ref="A1:CC373"/>
  <sheetViews>
    <sheetView showGridLines="0" topLeftCell="B1" workbookViewId="0" zoomScale="109" zoomScaleNormal="109" zoomScaleSheetLayoutView="50">
      <selection activeCell="N17" sqref="N17"/>
    </sheetView>
  </sheetViews>
  <sheetFormatPr defaultColWidth="10.42578125" defaultRowHeight="12" x14ac:dyDescent="0.2"/>
  <cols>
    <col min="1" max="1" customWidth="true" hidden="true" style="2982" width="5.85546875" collapsed="true"/>
    <col min="2" max="2" customWidth="true" style="2982" width="2.5703125" collapsed="true"/>
    <col min="3" max="3" customWidth="true" style="2974" width="17.85546875" collapsed="true"/>
    <col min="4" max="4" customWidth="true" style="2982" width="14.7109375" collapsed="true"/>
    <col min="5" max="5" customWidth="true" style="2982" width="6.28515625" collapsed="true"/>
    <col min="6" max="6" customWidth="true" style="2982" width="31.85546875" collapsed="true"/>
    <col min="7" max="8" customWidth="true" style="2982" width="9.28515625" collapsed="true"/>
    <col min="9" max="9" customWidth="true" style="2982" width="6.42578125" collapsed="true"/>
    <col min="10" max="10" customWidth="true" style="2982" width="31.85546875" collapsed="true"/>
    <col min="11" max="12" customWidth="true" style="2982" width="9.28515625" collapsed="true"/>
    <col min="13" max="13" customWidth="true" style="2982" width="7.140625" collapsed="true"/>
    <col min="14" max="14" customWidth="true" style="2982" width="31.85546875" collapsed="true"/>
    <col min="15" max="15" customWidth="true" style="2982" width="17.42578125" collapsed="true"/>
    <col min="16" max="16" customWidth="true" style="2982" width="23.42578125" collapsed="true"/>
    <col min="17" max="17" customWidth="true" style="2982" width="7.140625" collapsed="true"/>
    <col min="18" max="18" customWidth="true" style="2982" width="31.85546875" collapsed="true"/>
    <col min="19" max="19" customWidth="true" style="2982" width="17.42578125" collapsed="true"/>
    <col min="20" max="20" customWidth="true" style="2982" width="27.0" collapsed="true"/>
    <col min="21" max="21" customWidth="true" style="2982" width="7.140625" collapsed="true"/>
    <col min="22" max="22" customWidth="true" style="2982" width="31.85546875" collapsed="true"/>
    <col min="23" max="23" customWidth="true" style="3482" width="17.5703125" collapsed="true"/>
    <col min="24" max="24" customWidth="true" style="3482" width="84.28515625" collapsed="true"/>
    <col min="25" max="25" customWidth="true" style="3482" width="8.28515625" collapsed="true"/>
    <col min="26" max="26" customWidth="true" style="3482" width="31.85546875" collapsed="true"/>
    <col min="27" max="28" customWidth="true" style="2982" width="9.28515625" collapsed="true"/>
    <col min="29" max="29" customWidth="true" style="2982" width="7.42578125" collapsed="true"/>
    <col min="30" max="30" customWidth="true" style="2982" width="31.85546875" collapsed="true"/>
    <col min="31" max="31" customWidth="true" style="2982" width="14.0" collapsed="true"/>
    <col min="32" max="32" customWidth="true" style="2982" width="9.28515625" collapsed="true"/>
    <col min="33" max="33" customWidth="true" style="2982" width="7.7109375" collapsed="true"/>
    <col min="34" max="34" customWidth="true" style="2982" width="31.85546875" collapsed="true"/>
    <col min="35" max="36" customWidth="true" style="2982" width="9.28515625" collapsed="true"/>
    <col min="37" max="37" customWidth="true" style="2982" width="7.140625" collapsed="true"/>
    <col min="38" max="38" customWidth="true" style="2982" width="31.85546875" collapsed="true"/>
    <col min="39" max="39" customWidth="true" style="2982" width="6.28515625" collapsed="true"/>
    <col min="40" max="40" customWidth="true" style="2982" width="9.28515625" collapsed="true"/>
    <col min="41" max="41" customWidth="true" style="2982" width="7.42578125" collapsed="true"/>
    <col min="42" max="42" customWidth="true" style="2982" width="31.85546875" collapsed="true"/>
    <col min="43" max="43" customWidth="true" style="2982" width="8.140625" collapsed="true"/>
    <col min="44" max="44" customWidth="true" style="2982" width="16.0" collapsed="true"/>
    <col min="45" max="45" customWidth="true" style="2982" width="7.5703125" collapsed="true"/>
    <col min="46" max="46" customWidth="true" style="2982" width="33.28515625" collapsed="true"/>
    <col min="47" max="47" customWidth="true" style="2982" width="9.0" collapsed="true"/>
    <col min="48" max="48" customWidth="true" style="2982" width="21.85546875" collapsed="true"/>
    <col min="49" max="49" customWidth="true" style="2982" width="7.85546875" collapsed="true"/>
    <col min="50" max="50" customWidth="true" style="2982" width="33.42578125" collapsed="true"/>
    <col min="51" max="51" customWidth="true" style="2982" width="9.28515625" collapsed="true"/>
    <col min="52" max="52" bestFit="true" customWidth="true" style="2982" width="18.7109375" collapsed="true"/>
    <col min="53" max="53" customWidth="true" style="2982" width="5.5703125" collapsed="true"/>
    <col min="54" max="54" customWidth="true" style="2982" width="31.85546875" collapsed="true"/>
    <col min="55" max="55" customWidth="true" style="2982" width="5.5703125" collapsed="true"/>
    <col min="56" max="56" bestFit="true" customWidth="true" style="2982" width="18.28515625" collapsed="true"/>
    <col min="57" max="16384" style="2982" width="10.42578125" collapsed="true"/>
  </cols>
  <sheetData>
    <row ht="18" r="1" spans="1:52" x14ac:dyDescent="0.25">
      <c r="A1" s="2982" t="s">
        <v>2375</v>
      </c>
      <c r="B1" s="2732" t="s">
        <v>1178</v>
      </c>
      <c r="C1" s="2979"/>
      <c r="G1" s="3037" t="s">
        <v>7395</v>
      </c>
      <c r="H1" s="3038"/>
      <c r="I1" s="3038"/>
      <c r="J1" s="3038"/>
      <c r="K1" s="3038"/>
      <c r="L1" s="3039"/>
      <c r="M1" s="37"/>
      <c r="N1" s="37"/>
      <c r="O1" s="37"/>
      <c r="P1" s="37"/>
      <c r="Q1" s="37"/>
      <c r="R1" s="37"/>
      <c r="S1" s="37"/>
      <c r="T1" s="37"/>
    </row>
    <row ht="18" r="2" spans="1:52" x14ac:dyDescent="0.25">
      <c r="A2" s="2982" t="s">
        <v>2376</v>
      </c>
      <c r="C2" s="1731" t="s">
        <v>6154</v>
      </c>
    </row>
    <row customHeight="1" ht="12" r="3" spans="1:52" x14ac:dyDescent="0.25">
      <c r="A3" s="2982" t="s">
        <v>6379</v>
      </c>
      <c r="C3" s="1731"/>
      <c r="F3" s="1220"/>
      <c r="G3" s="1477"/>
      <c r="Q3" s="115"/>
      <c r="R3" s="115"/>
    </row>
    <row customHeight="1" ht="12" r="4" spans="1:52" x14ac:dyDescent="0.25">
      <c r="A4" s="2982" t="s">
        <v>2377</v>
      </c>
      <c r="C4" s="1731"/>
      <c r="F4" s="981"/>
      <c r="G4" s="1477"/>
      <c r="Q4" s="115"/>
      <c r="R4" s="115"/>
    </row>
    <row customHeight="1" ht="12" r="5" spans="1:52" x14ac:dyDescent="0.25">
      <c r="A5" s="2982" t="s">
        <v>6776</v>
      </c>
      <c r="C5" s="1731"/>
      <c r="F5" s="981"/>
      <c r="G5" s="1477"/>
      <c r="Q5" s="115"/>
      <c r="R5" s="115"/>
    </row>
    <row customHeight="1" ht="12" r="6" spans="1:52" x14ac:dyDescent="0.25">
      <c r="A6" s="2982" t="s">
        <v>2378</v>
      </c>
      <c r="C6" s="1731"/>
      <c r="F6" s="1220"/>
      <c r="G6" s="1477"/>
      <c r="Q6" s="115"/>
      <c r="R6" s="115"/>
    </row>
    <row customHeight="1" ht="12" r="7" spans="1:52" x14ac:dyDescent="0.2">
      <c r="A7" s="2982" t="s">
        <v>6782</v>
      </c>
      <c r="F7" s="93" t="str">
        <f>'Deductions (c4)'!L287&amp;" minus "&amp;'Deductions (c4)'!H227</f>
        <v>c4.70 minus c4.63b</v>
      </c>
      <c r="G7" s="1477"/>
      <c r="Q7" s="115"/>
      <c r="R7" s="115"/>
      <c r="V7" s="93" t="str">
        <f>'Status (c3a)'!L33&amp;" + "&amp;'Deductions (c4)'!H204</f>
        <v>c3a.2 + c4.59</v>
      </c>
      <c r="W7" s="93"/>
      <c r="X7" s="93"/>
      <c r="Y7" s="93"/>
      <c r="Z7" s="93"/>
      <c r="AA7" s="93"/>
      <c r="AL7" s="3328" t="str">
        <f>"BR_band ("&amp;DOLLAR(BR_band,0)&amp;") + "&amp;'Deductions (c4)'!H204</f>
        <v>BR_band ($37,500) + c4.59</v>
      </c>
      <c r="AM7" s="733"/>
    </row>
    <row customHeight="1" ht="12" r="8" spans="1:52" x14ac:dyDescent="0.2">
      <c r="A8" s="2982" t="s">
        <v>7039</v>
      </c>
      <c r="D8" s="2978" t="s">
        <v>6146</v>
      </c>
      <c r="E8" s="2162" t="str">
        <f>A1</f>
        <v>c5.1</v>
      </c>
      <c r="F8" s="1978">
        <f>MAX(0,'Deductions (c4)'!M287-'Deductions (c4)'!I227)</f>
        <v>13700</v>
      </c>
      <c r="G8" s="1477"/>
      <c r="Q8" s="115"/>
      <c r="R8" s="115"/>
      <c r="T8" s="93" t="s">
        <v>6336</v>
      </c>
      <c r="U8" s="2162" t="str">
        <f>A2</f>
        <v>c5.2</v>
      </c>
      <c r="V8" s="1978">
        <f>'Status (c3a)'!M33+'Deductions (c4)'!I204</f>
        <v>12020</v>
      </c>
      <c r="W8" s="394"/>
      <c r="X8" s="394"/>
      <c r="Y8" s="394"/>
      <c r="Z8" s="394"/>
      <c r="AA8" s="394"/>
      <c r="AE8" s="1057"/>
      <c r="AF8" s="1057"/>
      <c r="AJ8" s="93" t="s">
        <v>7038</v>
      </c>
      <c r="AK8" s="2157" t="str">
        <f>A3</f>
        <v>c5.2a</v>
      </c>
      <c r="AL8" s="1978">
        <f>BR_band+'Deductions (c4)'!I204</f>
        <v>39125</v>
      </c>
    </row>
    <row customHeight="1" ht="12" r="9" spans="1:52" x14ac:dyDescent="0.2">
      <c r="A9" s="2982" t="s">
        <v>2379</v>
      </c>
      <c r="B9" s="1875"/>
      <c r="C9" s="1932"/>
      <c r="D9" s="1875"/>
      <c r="E9" s="1875"/>
      <c r="F9" s="1875"/>
      <c r="G9" s="1875"/>
      <c r="H9" s="1875"/>
      <c r="I9" s="1875"/>
      <c r="J9" s="1875"/>
      <c r="K9" s="1875"/>
      <c r="L9" s="1875"/>
      <c r="M9" s="1875"/>
      <c r="N9" s="1875"/>
      <c r="O9" s="1875"/>
      <c r="P9" s="1875"/>
      <c r="Q9" s="1875"/>
      <c r="R9" s="1875"/>
      <c r="S9" s="1875"/>
      <c r="T9" s="1875"/>
      <c r="U9" s="1875"/>
      <c r="V9" s="1875"/>
      <c r="W9" s="2305"/>
      <c r="X9" s="2305"/>
      <c r="Y9" s="2305"/>
      <c r="Z9" s="2305"/>
      <c r="AA9" s="1875"/>
      <c r="AB9" s="1875"/>
      <c r="AC9" s="1875"/>
      <c r="AD9" s="1875"/>
      <c r="AE9" s="1875"/>
      <c r="AF9" s="1875"/>
      <c r="AG9" s="1875"/>
      <c r="AH9" s="1875"/>
      <c r="AI9" s="1875"/>
      <c r="AJ9" s="1875"/>
      <c r="AK9" s="1875"/>
      <c r="AL9" s="1875"/>
      <c r="AM9" s="1875"/>
      <c r="AN9" s="1875"/>
      <c r="AO9" s="1875"/>
      <c r="AP9" s="1875"/>
      <c r="AQ9" s="1875"/>
      <c r="AR9" s="1875"/>
      <c r="AS9" s="1875"/>
      <c r="AT9" s="1875"/>
      <c r="AU9" s="1875"/>
      <c r="AV9" s="1932"/>
      <c r="AW9" s="1875"/>
      <c r="AX9" s="1875"/>
      <c r="AY9" s="1875"/>
      <c r="AZ9" s="1875"/>
    </row>
    <row customHeight="1" ht="12" r="10" spans="1:52" x14ac:dyDescent="0.2">
      <c r="A10" s="2982" t="s">
        <v>2380</v>
      </c>
      <c r="C10" s="2979"/>
      <c r="AV10" s="2979"/>
    </row>
    <row customHeight="1" ht="12" r="11" spans="1:52" x14ac:dyDescent="0.2">
      <c r="A11" s="2982" t="s">
        <v>3055</v>
      </c>
      <c r="G11" s="1477"/>
      <c r="R11" s="682" t="s">
        <v>6781</v>
      </c>
      <c r="T11" s="3243"/>
      <c r="U11" s="3243"/>
      <c r="V11" s="3245" t="str">
        <f><![CDATA["BR_rate ("&BR_rate*100&"%) / SBR_rate ("&SBR_rate*100&"%) / WBR_rate ("&WBR_rate*100&"%)"]]></f>
        <v>BR_rate (20%) / SBR_rate (20%) / WBR_rate (20%)</v>
      </c>
      <c r="W11" s="682"/>
      <c r="X11" s="682"/>
      <c r="Y11" s="682"/>
      <c r="Z11" s="682"/>
      <c r="AA11" s="682"/>
      <c r="AD11" s="682" t="s">
        <v>6783</v>
      </c>
      <c r="AE11" s="682"/>
      <c r="AF11" s="682"/>
      <c r="AL11" s="3245" t="str">
        <f><![CDATA["HR_rate ("&HR_rate*100&"%) / SHR_rate ("&SHR_rate*100&"%) / WHR_rate ("&WHR_rate*100&"%)"]]></f>
        <v>HR_rate (40%) / SHR_rate (41%) / WHR_rate (40%)</v>
      </c>
      <c r="AP11" s="682"/>
      <c r="AT11" s="3245" t="str">
        <f><![CDATA["AHR_rate ("&AHR_rate*100&"%) / SAHR_rate ("&SAHR_rate*100&"%) / WAHR_rate ("&WAHR_rate*100&"%)"]]></f>
        <v>AHR_rate (45%) / SAHR_rate (46%) / WAHR_rate (45%)</v>
      </c>
      <c r="AV11" s="2974"/>
    </row>
    <row customHeight="1" ht="12" r="12" spans="1:52" x14ac:dyDescent="0.2">
      <c r="A12" s="2982" t="s">
        <v>2381</v>
      </c>
      <c r="F12" s="2978" t="s">
        <v>4039</v>
      </c>
      <c r="G12" s="1477"/>
      <c r="AH12" s="3392"/>
      <c r="AV12" s="2974"/>
    </row>
    <row customHeight="1" ht="12" r="13" spans="1:52" x14ac:dyDescent="0.2">
      <c r="A13" s="2982" t="s">
        <v>2382</v>
      </c>
      <c r="F13" s="93" t="str">
        <f>E17&amp;" = "&amp;'non-res (c91)'!M33&amp;" minus "&amp;'Deductions (c4)'!H227</f>
        <v>c5.3 = c91.6 minus c4.63b</v>
      </c>
      <c r="G13" s="1477"/>
      <c r="AH13" s="410"/>
      <c r="AV13" s="2974"/>
    </row>
    <row customHeight="1" ht="12" r="14" spans="1:52" x14ac:dyDescent="0.2">
      <c r="A14" s="2982" t="s">
        <v>2383</v>
      </c>
      <c r="F14" s="93" t="s">
        <v>2386</v>
      </c>
      <c r="G14" s="1477"/>
      <c r="AH14" s="410"/>
      <c r="AV14" s="2974"/>
    </row>
    <row customHeight="1" ht="12" r="15" spans="1:52" x14ac:dyDescent="0.2">
      <c r="A15" s="2982" t="s">
        <v>2056</v>
      </c>
      <c r="F15" s="93" t="str">
        <f>E17&amp;" = "&amp;'Deductions (c4)'!L227</f>
        <v>c5.3 = c4.63c</v>
      </c>
      <c r="G15" s="1477"/>
      <c r="J15" s="806"/>
      <c r="AD15" s="93" t="str">
        <f><![CDATA["lower of ("&E17&" minus ("&Q17&" + "&U17&"))"]]></f>
        <v>lower of (c5.3 minus (c5.3a + c5.4))</v>
      </c>
      <c r="AE15" s="93"/>
      <c r="AF15" s="93"/>
      <c r="AH15" s="410"/>
      <c r="AL15" s="93" t="str">
        <f><![CDATA["lower of ("&E17&" minus ("&Q17&" + "&U17&" + "&AC17&")) and"]]></f>
        <v>lower of (c5.3 minus (c5.3a + c5.4 + c5.4a)) and</v>
      </c>
      <c r="AV15" s="2974"/>
    </row>
    <row customHeight="1" ht="12" r="16" spans="1:52" x14ac:dyDescent="0.2">
      <c r="A16" s="2982" t="s">
        <v>6656</v>
      </c>
      <c r="F16" s="93" t="s">
        <v>2495</v>
      </c>
      <c r="G16" s="1477"/>
      <c r="R16" s="93" t="str">
        <f>"lower of "&amp;E17&amp;" and "&amp;'Status (c3a)'!H33</f>
        <v>lower of c5.3 and c3a.1a</v>
      </c>
      <c r="V16" s="93" t="str">
        <f>"lower of ("&amp;E17&amp;" minus "&amp;Q17&amp;") and "&amp;U8</f>
        <v>lower of (c5.3 minus c5.3a) and c5.2</v>
      </c>
      <c r="W16" s="93"/>
      <c r="X16" s="93"/>
      <c r="Y16" s="93"/>
      <c r="Z16" s="93"/>
      <c r="AA16" s="93"/>
      <c r="AD16" s="93" t="str">
        <f>"and "&amp;'Status (c3a)'!P33</f>
        <v>and c3a.2a</v>
      </c>
      <c r="AE16" s="93"/>
      <c r="AF16" s="93"/>
      <c r="AH16" s="3409" t="s">
        <v>6393</v>
      </c>
      <c r="AL16" s="93" t="str">
        <f>'Status (c3a)'!X33</f>
        <v>c3a.3</v>
      </c>
      <c r="AT16" s="93" t="str">
        <f><![CDATA[E17&" minus ("&Q17&" + "&U17&" + "&AK17&" + "&AC17&")"]]></f>
        <v>c5.3 minus (c5.3a + c5.4 + c5.5 + c5.4a)</v>
      </c>
      <c r="AV16" s="2974"/>
    </row>
    <row customHeight="1" ht="12" r="17" spans="1:52" x14ac:dyDescent="0.2">
      <c r="A17" s="2982" t="s">
        <v>2057</v>
      </c>
      <c r="C17" s="2672" t="s">
        <v>2660</v>
      </c>
      <c r="D17" s="2673"/>
      <c r="E17" s="2162" t="s">
        <v>2377</v>
      </c>
      <c r="F17" s="1978">
        <f>IF(non_resident,MAX(0,'non-res (c91)'!N33-'Deductions (c4)'!I227),'Deductions (c4)'!M227)</f>
        <v>47444</v>
      </c>
      <c r="G17" s="1477"/>
      <c r="Q17" s="2162" t="str">
        <f>A5</f>
        <v>c5.3a</v>
      </c>
      <c r="R17" s="1978">
        <f>MIN(F17,'Status (c3a)'!I33)</f>
        <v>2049</v>
      </c>
      <c r="U17" s="2162" t="str">
        <f>A6</f>
        <v>c5.4</v>
      </c>
      <c r="V17" s="1978">
        <f>MIN(MAX(0,F17-R17),V8)</f>
        <v>12020</v>
      </c>
      <c r="W17" s="394"/>
      <c r="X17" s="394"/>
      <c r="Y17" s="394"/>
      <c r="Z17" s="394"/>
      <c r="AA17" s="394"/>
      <c r="AC17" s="2162" t="str">
        <f>A7</f>
        <v>c5.4a</v>
      </c>
      <c r="AD17" s="1978">
        <f>MAX(0,MIN((F17-(R17+V17)),'Status (c3a)'!Q33))</f>
        <v>18486</v>
      </c>
      <c r="AE17" s="3408"/>
      <c r="AF17" s="3407" t="s">
        <v>6953</v>
      </c>
      <c r="AG17" s="2162" t="str">
        <f>A8</f>
        <v>c5.4b</v>
      </c>
      <c r="AH17" s="1978">
        <v>0</v>
      </c>
      <c r="AK17" s="2162" t="str">
        <f>A9</f>
        <v>c5.5</v>
      </c>
      <c r="AL17" s="1978">
        <f>MAX(0,MIN((F17-(R17+V17+AD17)),'Status (c3a)'!Y33))</f>
        <v>14889</v>
      </c>
      <c r="AS17" s="2162" t="str">
        <f>A10</f>
        <v>c5.6</v>
      </c>
      <c r="AT17" s="2075">
        <f>MAX(0,F17-(R17+V17+AL17+AD17))</f>
        <v>0</v>
      </c>
      <c r="AV17" s="2641" t="s">
        <v>2660</v>
      </c>
      <c r="AW17" s="2674"/>
    </row>
    <row customHeight="1" ht="12" r="18" spans="1:52" x14ac:dyDescent="0.2">
      <c r="A18" s="2982" t="s">
        <v>2058</v>
      </c>
      <c r="B18" s="1875"/>
      <c r="C18" s="1932"/>
      <c r="D18" s="1875"/>
      <c r="E18" s="1875"/>
      <c r="F18" s="1875"/>
      <c r="G18" s="1875"/>
      <c r="H18" s="1875"/>
      <c r="I18" s="1875"/>
      <c r="J18" s="1875"/>
      <c r="K18" s="1875"/>
      <c r="L18" s="1875"/>
      <c r="M18" s="1875"/>
      <c r="N18" s="1875"/>
      <c r="O18" s="1875"/>
      <c r="P18" s="1875"/>
      <c r="Q18" s="1875"/>
      <c r="R18" s="1875"/>
      <c r="S18" s="1875"/>
      <c r="T18" s="1875"/>
      <c r="U18" s="1875"/>
      <c r="V18" s="1875"/>
      <c r="W18" s="2305"/>
      <c r="X18" s="2305"/>
      <c r="Y18" s="2305"/>
      <c r="Z18" s="2305"/>
      <c r="AA18" s="1875"/>
      <c r="AB18" s="1875"/>
      <c r="AC18" s="1875"/>
      <c r="AD18" s="1875"/>
      <c r="AE18" s="1875"/>
      <c r="AF18" s="1875"/>
      <c r="AG18" s="1875"/>
      <c r="AH18" s="1875"/>
      <c r="AI18" s="1875"/>
      <c r="AJ18" s="1875"/>
      <c r="AK18" s="1875"/>
      <c r="AL18" s="1875"/>
      <c r="AM18" s="1875"/>
      <c r="AN18" s="1875"/>
      <c r="AO18" s="1875"/>
      <c r="AP18" s="1875"/>
      <c r="AQ18" s="1875"/>
      <c r="AR18" s="1875"/>
      <c r="AS18" s="1875"/>
      <c r="AT18" s="1875"/>
      <c r="AU18" s="1875"/>
      <c r="AV18" s="1932"/>
      <c r="AW18" s="1875"/>
      <c r="AX18" s="1875"/>
      <c r="AY18" s="1875"/>
      <c r="AZ18" s="1875"/>
    </row>
    <row customHeight="1" ht="12" r="19" spans="1:52" x14ac:dyDescent="0.2">
      <c r="A19" s="2982" t="s">
        <v>2059</v>
      </c>
      <c r="C19" s="2979"/>
      <c r="AV19" s="2979"/>
    </row>
    <row customHeight="1" ht="12" r="20" spans="1:52" x14ac:dyDescent="0.2">
      <c r="A20" s="2982" t="s">
        <v>2060</v>
      </c>
      <c r="C20" s="2979"/>
      <c r="G20" s="1477"/>
      <c r="Q20" s="115"/>
      <c r="R20" s="115"/>
      <c r="V20" s="682" t="s">
        <v>6657</v>
      </c>
      <c r="W20" s="682"/>
      <c r="X20" s="682"/>
      <c r="Y20" s="682"/>
      <c r="Z20" s="682"/>
      <c r="AA20" s="682"/>
      <c r="AL20" s="682" t="s">
        <v>6658</v>
      </c>
      <c r="AT20" s="682" t="s">
        <v>6659</v>
      </c>
      <c r="AV20" s="2979"/>
    </row>
    <row r="21" spans="1:52" x14ac:dyDescent="0.2">
      <c r="A21" s="2982" t="s">
        <v>2061</v>
      </c>
      <c r="C21" s="2979"/>
      <c r="G21" s="1477"/>
      <c r="Q21" s="115"/>
      <c r="R21" s="115"/>
      <c r="AV21" s="2979"/>
    </row>
    <row r="22" spans="1:52" x14ac:dyDescent="0.2">
      <c r="A22" s="2982" t="s">
        <v>2062</v>
      </c>
      <c r="G22" s="1477"/>
      <c r="Q22" s="115"/>
      <c r="R22" s="115"/>
      <c r="V22" s="93"/>
      <c r="W22" s="93"/>
      <c r="X22" s="93"/>
      <c r="Y22" s="93"/>
      <c r="Z22" s="93"/>
      <c r="AA22" s="93"/>
      <c r="AL22" s="1220"/>
      <c r="AV22" s="2974"/>
    </row>
    <row customHeight="1" ht="12" r="23" spans="1:52" x14ac:dyDescent="0.2">
      <c r="A23" s="2982" t="s">
        <v>968</v>
      </c>
      <c r="F23" s="93" t="s">
        <v>6393</v>
      </c>
      <c r="G23" s="1477"/>
      <c r="Q23" s="115"/>
      <c r="R23" s="115"/>
      <c r="V23" s="93" t="s">
        <v>6393</v>
      </c>
      <c r="W23" s="93"/>
      <c r="X23" s="93"/>
      <c r="Y23" s="93"/>
      <c r="Z23" s="93"/>
      <c r="AA23" s="93"/>
      <c r="AL23" s="93" t="s">
        <v>6393</v>
      </c>
      <c r="AT23" s="93" t="s">
        <v>6393</v>
      </c>
      <c r="AV23" s="2974"/>
    </row>
    <row customHeight="1" ht="12" r="24" spans="1:52" x14ac:dyDescent="0.2">
      <c r="A24" s="2982" t="s">
        <v>2844</v>
      </c>
      <c r="C24" s="2672" t="s">
        <v>1795</v>
      </c>
      <c r="D24" s="2673"/>
      <c r="E24" s="2157" t="str">
        <f>A11</f>
        <v>c5.7</v>
      </c>
      <c r="F24" s="2163">
        <v>0</v>
      </c>
      <c r="G24" s="1477"/>
      <c r="Q24" s="115"/>
      <c r="R24" s="115"/>
      <c r="U24" s="2157" t="str">
        <f>A12</f>
        <v>c5.8</v>
      </c>
      <c r="V24" s="2163">
        <v>0</v>
      </c>
      <c r="W24" s="1931"/>
      <c r="X24" s="1931"/>
      <c r="Y24" s="1931"/>
      <c r="Z24" s="1931"/>
      <c r="AA24" s="1931"/>
      <c r="AK24" s="2157" t="str">
        <f>A13</f>
        <v>c5.9</v>
      </c>
      <c r="AL24" s="2075">
        <v>0</v>
      </c>
      <c r="AS24" s="2157" t="str">
        <f>A14</f>
        <v>c5.10</v>
      </c>
      <c r="AT24" s="2075">
        <v>0</v>
      </c>
      <c r="AV24" s="2641" t="s">
        <v>1795</v>
      </c>
      <c r="AW24" s="2674"/>
    </row>
    <row customHeight="1" ht="12" r="25" spans="1:52" x14ac:dyDescent="0.2">
      <c r="A25" s="2982" t="s">
        <v>1360</v>
      </c>
      <c r="B25" s="1875"/>
      <c r="C25" s="1932"/>
      <c r="D25" s="1875"/>
      <c r="E25" s="1875"/>
      <c r="F25" s="1875"/>
      <c r="G25" s="1875"/>
      <c r="H25" s="1875"/>
      <c r="I25" s="1875"/>
      <c r="J25" s="1875"/>
      <c r="K25" s="1875"/>
      <c r="L25" s="1875"/>
      <c r="M25" s="1875"/>
      <c r="N25" s="1875"/>
      <c r="O25" s="1875"/>
      <c r="P25" s="1875"/>
      <c r="Q25" s="1875"/>
      <c r="R25" s="1875"/>
      <c r="S25" s="1875"/>
      <c r="T25" s="1875"/>
      <c r="U25" s="1875"/>
      <c r="V25" s="1875"/>
      <c r="W25" s="2305"/>
      <c r="X25" s="2305"/>
      <c r="Y25" s="2305"/>
      <c r="Z25" s="2305"/>
      <c r="AA25" s="1875"/>
      <c r="AB25" s="1875"/>
      <c r="AC25" s="1875"/>
      <c r="AD25" s="1875"/>
      <c r="AE25" s="1875"/>
      <c r="AF25" s="1875"/>
      <c r="AG25" s="1875"/>
      <c r="AH25" s="1875"/>
      <c r="AI25" s="1875"/>
      <c r="AJ25" s="1875"/>
      <c r="AK25" s="1875"/>
      <c r="AL25" s="1875"/>
      <c r="AM25" s="1875"/>
      <c r="AN25" s="1875"/>
      <c r="AO25" s="1875"/>
      <c r="AP25" s="1875"/>
      <c r="AQ25" s="1875"/>
      <c r="AR25" s="1875"/>
      <c r="AS25" s="1875"/>
      <c r="AT25" s="1875"/>
      <c r="AU25" s="1875"/>
      <c r="AV25" s="1932"/>
      <c r="AW25" s="1875"/>
      <c r="AX25" s="1875"/>
      <c r="AY25" s="1875"/>
      <c r="AZ25" s="1875"/>
    </row>
    <row customHeight="1" ht="12" r="26" spans="1:52" x14ac:dyDescent="0.2">
      <c r="A26" s="2982" t="s">
        <v>6380</v>
      </c>
      <c r="C26" s="2979"/>
      <c r="AV26" s="2979"/>
    </row>
    <row customHeight="1" ht="12" r="27" spans="1:52" x14ac:dyDescent="0.2">
      <c r="A27" s="2982" t="s">
        <v>6381</v>
      </c>
      <c r="C27" s="2979"/>
      <c r="G27" s="1477"/>
      <c r="J27" s="682" t="s">
        <v>6515</v>
      </c>
      <c r="N27" s="682" t="s">
        <v>6170</v>
      </c>
      <c r="O27" s="682"/>
      <c r="P27" s="682"/>
      <c r="Q27" s="115"/>
      <c r="R27" s="115"/>
      <c r="V27" s="682" t="s">
        <v>6657</v>
      </c>
      <c r="W27" s="682"/>
      <c r="X27" s="682"/>
      <c r="Y27" s="682"/>
      <c r="Z27" s="682"/>
      <c r="AA27" s="682"/>
      <c r="AH27" s="682" t="s">
        <v>6147</v>
      </c>
      <c r="AI27" s="682"/>
      <c r="AL27" s="682" t="s">
        <v>6658</v>
      </c>
      <c r="AP27" s="682" t="s">
        <v>6148</v>
      </c>
      <c r="AT27" s="682" t="s">
        <v>6659</v>
      </c>
      <c r="AV27" s="2979"/>
    </row>
    <row customHeight="1" ht="12" r="28" spans="1:52" x14ac:dyDescent="0.2">
      <c r="A28" s="2982" t="s">
        <v>6382</v>
      </c>
      <c r="C28" s="2979"/>
      <c r="G28" s="1477"/>
      <c r="H28" s="1476"/>
      <c r="Q28" s="115"/>
      <c r="R28" s="115"/>
      <c r="V28" s="682"/>
      <c r="W28" s="682"/>
      <c r="X28" s="682"/>
      <c r="Y28" s="682"/>
      <c r="Z28" s="682"/>
      <c r="AA28" s="682"/>
      <c r="AH28" s="682"/>
      <c r="AI28" s="682"/>
      <c r="AL28" s="682"/>
      <c r="AT28" s="682"/>
      <c r="AV28" s="2979"/>
    </row>
    <row customHeight="1" ht="12" r="29" spans="1:52" x14ac:dyDescent="0.2">
      <c r="A29" s="2982" t="s">
        <v>3056</v>
      </c>
      <c r="G29" s="1477"/>
      <c r="H29" s="1476"/>
      <c r="N29" s="93" t="str">
        <f>"lower of ("&amp;E36&amp;" minus "&amp;I36&amp;") and "&amp;'Deductions (c4)'!L430</f>
        <v>lower of (c5.11 minus c5.12) and c4.79</v>
      </c>
      <c r="O29" s="93"/>
      <c r="P29" s="93"/>
      <c r="Q29" s="115"/>
      <c r="R29" s="115"/>
      <c r="AG29" s="3327"/>
      <c r="AH29" s="3328" t="str">
        <f><![CDATA["("&'Status (c3a)'!AA33&" + "&'Deductions (c4)'!H204&") minus ("&E17&" + "&M36&" + "&U36&")"]]></f>
        <v>(c3a.3a + c4.59) minus (c5.3 + c5.15 + c5.16)</v>
      </c>
      <c r="AI29" s="2167"/>
      <c r="AP29" s="2325" t="str">
        <f>"from "&amp;'Deductions (c4)'!L430</f>
        <v>from c4.79</v>
      </c>
      <c r="AV29" s="2974"/>
    </row>
    <row customHeight="1" ht="12" r="30" spans="1:52" x14ac:dyDescent="0.2">
      <c r="A30" s="2982" t="s">
        <v>3057</v>
      </c>
      <c r="G30" s="1477"/>
      <c r="K30" s="1297"/>
      <c r="M30" s="2157" t="str">
        <f>A18</f>
        <v>c5.13</v>
      </c>
      <c r="N30" s="1978">
        <f>MIN(MAX(0,F36-J36),'Deductions (c4)'!M430)</f>
        <v>500</v>
      </c>
      <c r="O30" s="394"/>
      <c r="P30" s="394"/>
      <c r="Q30" s="115"/>
      <c r="R30" s="115"/>
      <c r="AG30" s="2162" t="str">
        <f>A22</f>
        <v>c5.17</v>
      </c>
      <c r="AH30" s="1978">
        <f>MAX(0,('Status (c3a)'!AB33+'Deductions (c4)'!I204)-(F17+N36+V36))</f>
        <v>104181</v>
      </c>
      <c r="AI30" s="394"/>
      <c r="AO30" s="2157" t="str">
        <f>A26</f>
        <v>c5.20a</v>
      </c>
      <c r="AP30" s="1978">
        <f>PSA</f>
        <v>500</v>
      </c>
      <c r="AV30" s="2974"/>
    </row>
    <row customHeight="1" ht="12" r="31" spans="1:52" x14ac:dyDescent="0.2">
      <c r="A31" s="2982" t="s">
        <v>3058</v>
      </c>
      <c r="F31" s="2978" t="s">
        <v>4039</v>
      </c>
      <c r="G31" s="1477"/>
      <c r="Q31" s="115"/>
      <c r="R31" s="115"/>
      <c r="V31" s="806"/>
      <c r="W31" s="806"/>
      <c r="X31" s="806"/>
      <c r="Y31" s="806"/>
      <c r="Z31" s="806"/>
      <c r="AA31" s="806"/>
      <c r="AG31" s="93"/>
      <c r="AH31" s="2982" t="s">
        <v>6152</v>
      </c>
      <c r="AP31" s="2982" t="str">
        <f>"lower of "&amp;E36&amp;" minus"</f>
        <v>lower of c5.11 minus</v>
      </c>
      <c r="AV31" s="2974"/>
    </row>
    <row customHeight="1" ht="12" r="32" spans="1:52" x14ac:dyDescent="0.2">
      <c r="A32" s="2982" t="s">
        <v>3795</v>
      </c>
      <c r="F32" s="2982" t="str">
        <f>E36&amp;" = "&amp;'non-res (c91)'!M59</f>
        <v>c5.11 = c91.14</v>
      </c>
      <c r="G32" s="1477"/>
      <c r="J32" s="93" t="str">
        <f>"lower of "&amp;E36&amp;" and SR_band ("&amp;DOLLAR(SR_band,0)&amp;")"</f>
        <v>lower of c5.11 and SR_band ($5,000)</v>
      </c>
      <c r="N32" s="3305" t="str">
        <f><![CDATA["lower of "&M30&" and ("&AK8&" minus "&E17&")"]]></f>
        <v>lower of c5.13 and (c5.2a minus c5.3)</v>
      </c>
      <c r="O32" s="93"/>
      <c r="P32" s="93"/>
      <c r="Q32" s="115"/>
      <c r="R32" s="115"/>
      <c r="AG32" s="93"/>
      <c r="AH32" s="93" t="str">
        <f><![CDATA["("&AG30&" and ("&'Deductions (c4)'!L430&" minus "&M33&"))"]]></f>
        <v>(c5.17 and (c4.79 minus c5.14))</v>
      </c>
      <c r="AI32" s="93"/>
      <c r="AL32" s="93"/>
      <c r="AP32" s="93" t="str">
        <f><![CDATA["("&M36&" + "&U36&" + "&AG36&" + "&AK36&") and"]]></f>
        <v>(c5.15 + c5.16 + c5.19 + c5.20) and</v>
      </c>
      <c r="AV32" s="2974"/>
    </row>
    <row customHeight="1" ht="12" r="33" spans="1:52" x14ac:dyDescent="0.2">
      <c r="A33" s="2982" t="s">
        <v>3796</v>
      </c>
      <c r="F33" s="2982" t="s">
        <v>2386</v>
      </c>
      <c r="G33" s="1477"/>
      <c r="I33" s="2157" t="str">
        <f>A16</f>
        <v>c5.11a</v>
      </c>
      <c r="J33" s="1978">
        <f>MIN(F36,SR_band)</f>
        <v>3678</v>
      </c>
      <c r="M33" s="2157" t="str">
        <f>A19</f>
        <v>c5.14</v>
      </c>
      <c r="N33" s="1978">
        <f>MAX(0,MIN(N30,(AL8-F17)))</f>
        <v>0</v>
      </c>
      <c r="O33" s="394"/>
      <c r="P33" s="394"/>
      <c r="Q33" s="115"/>
      <c r="R33" s="115"/>
      <c r="AG33" s="2162" t="str">
        <f>A23</f>
        <v>c5.18</v>
      </c>
      <c r="AH33" s="1978">
        <f>MAX(0,MIN(AH30,PSA-N33))</f>
        <v>500</v>
      </c>
      <c r="AI33" s="394"/>
      <c r="AL33" s="2982" t="s">
        <v>6152</v>
      </c>
      <c r="AP33" s="93" t="str">
        <f><![CDATA["("&'Deductions (c4)'!L430&" minus ("&M33&" + "&AG36&"))"]]></f>
        <v>(c4.79 minus (c5.14 + c5.19))</v>
      </c>
      <c r="AV33" s="2974"/>
    </row>
    <row customHeight="1" ht="12" r="34" spans="1:52" x14ac:dyDescent="0.2">
      <c r="A34" s="2982" t="s">
        <v>3797</v>
      </c>
      <c r="F34" s="2982" t="str">
        <f>E36&amp;" = "&amp;'Savings (c2)'!H77</f>
        <v>c5.11 = c2.19</v>
      </c>
      <c r="G34" s="1477"/>
      <c r="J34" s="93" t="str">
        <f>"lower of "&amp;I33&amp;" and"</f>
        <v>lower of c5.11a and</v>
      </c>
      <c r="Q34" s="115"/>
      <c r="R34" s="115"/>
      <c r="V34" s="93" t="str">
        <f>"lower of ("&amp;E36&amp;" minus "&amp;M36&amp;") and"</f>
        <v>lower of (c5.11 minus c5.15) and</v>
      </c>
      <c r="W34" s="93"/>
      <c r="X34" s="93"/>
      <c r="Y34" s="93"/>
      <c r="Z34" s="93"/>
      <c r="AA34" s="93"/>
      <c r="AG34" s="93"/>
      <c r="AH34" s="2982" t="str">
        <f>"lower of "&amp;AG33&amp;" and"</f>
        <v>lower of c5.18 and</v>
      </c>
      <c r="AL34" s="93" t="str">
        <f><![CDATA["("&E36&" minus ("&M36&" + "&U36&" + "&AG36&")) and"]]></f>
        <v>(c5.11 minus (c5.15 + c5.16 + c5.19)) and</v>
      </c>
      <c r="AO34" s="2157" t="str">
        <f>A27</f>
        <v>c5.20b</v>
      </c>
      <c r="AP34" s="1978">
        <f>MAX(0,MIN(F36-(N36+V36+AH36+AL36),MAX(0,PSA-(N33+AH36))))</f>
        <v>0</v>
      </c>
      <c r="AT34" s="2982" t="str">
        <f>E36&amp;" minus"</f>
        <v>c5.11 minus</v>
      </c>
      <c r="AV34" s="2974"/>
    </row>
    <row customHeight="1" ht="12" r="35" spans="1:52" x14ac:dyDescent="0.2">
      <c r="A35" s="2982" t="s">
        <v>2997</v>
      </c>
      <c r="F35" s="2982" t="s">
        <v>2495</v>
      </c>
      <c r="G35" s="1477"/>
      <c r="J35" s="93" t="str">
        <f><![CDATA["(("&E8&" + SR_band ("&DOLLAR(SR_band,0)&")) minus "&E17&")"]]></f>
        <v>((c5.1 + SR_band ($5,000)) minus c5.3)</v>
      </c>
      <c r="N35" s="93" t="str">
        <f>I36&amp;" + "&amp;M33</f>
        <v>c5.12 + c5.14</v>
      </c>
      <c r="O35" s="93"/>
      <c r="P35" s="93"/>
      <c r="Q35" s="115"/>
      <c r="R35" s="115"/>
      <c r="V35" s="3305" t="str">
        <f><![CDATA["("&AK8&" minus ("&E17&" + "&M36&"))"]]></f>
        <v>(c5.2a minus (c5.3 + c5.15))</v>
      </c>
      <c r="W35" s="93"/>
      <c r="X35" s="93"/>
      <c r="Y35" s="93"/>
      <c r="Z35" s="93"/>
      <c r="AA35" s="93"/>
      <c r="AH35" s="93" t="str">
        <f><![CDATA["("&E36&" minus ("&M36&" + "&U36&"))"]]></f>
        <v>(c5.11 minus (c5.15 + c5.16))</v>
      </c>
      <c r="AI35" s="93"/>
      <c r="AL35" s="2325" t="str">
        <f>"("&amp;AG30&amp;" minus "&amp;AG36&amp;")"</f>
        <v>(c5.17 minus c5.19)</v>
      </c>
      <c r="AP35" s="93" t="str">
        <f>"lower of "&amp;AO30&amp;" and "&amp;AO34</f>
        <v>lower of c5.20a and c5.20b</v>
      </c>
      <c r="AT35" s="93" t="str">
        <f><![CDATA["("&M36&" + "&U36&" + "&AG36&" + "&AK36&" + "&AO36&")"]]></f>
        <v>(c5.15 + c5.16 + c5.19 + c5.20 + c5.20c)</v>
      </c>
      <c r="AV35" s="2974"/>
    </row>
    <row customHeight="1" ht="12" r="36" spans="1:52" x14ac:dyDescent="0.2">
      <c r="A36" s="2982" t="s">
        <v>2998</v>
      </c>
      <c r="C36" s="2672" t="s">
        <v>3650</v>
      </c>
      <c r="D36" s="2673"/>
      <c r="E36" s="2157" t="str">
        <f>A15</f>
        <v>c5.11</v>
      </c>
      <c r="F36" s="1978">
        <f>IF(non_resident,'non-res (c91)'!N59,'Savings (c2)'!I77)</f>
        <v>3678</v>
      </c>
      <c r="G36" s="1477"/>
      <c r="I36" s="2157" t="str">
        <f>A17</f>
        <v>c5.12</v>
      </c>
      <c r="J36" s="1978">
        <f>MIN(J33,MAX(0,(F8+SR_band)-F17))</f>
        <v>0</v>
      </c>
      <c r="M36" s="2162" t="str">
        <f>A20</f>
        <v>c5.15</v>
      </c>
      <c r="N36" s="1978">
        <f>J36+N33</f>
        <v>0</v>
      </c>
      <c r="O36" s="394"/>
      <c r="P36" s="394"/>
      <c r="Q36" s="115"/>
      <c r="R36" s="115"/>
      <c r="U36" s="2162" t="str">
        <f>A21</f>
        <v>c5.16</v>
      </c>
      <c r="V36" s="1978">
        <f>MAX(0,MIN(F36-N36,AL8-(F17+N36)))</f>
        <v>0</v>
      </c>
      <c r="W36" s="394"/>
      <c r="X36" s="394"/>
      <c r="Y36" s="394"/>
      <c r="Z36" s="394"/>
      <c r="AA36" s="371"/>
      <c r="AC36" s="375"/>
      <c r="AD36" s="375"/>
      <c r="AE36" s="375"/>
      <c r="AF36" s="375"/>
      <c r="AG36" s="2157" t="str">
        <f>A24</f>
        <v>c5.19</v>
      </c>
      <c r="AH36" s="2075">
        <f>MAX(0,MIN(AH33,F36-(N36+V36)))</f>
        <v>500</v>
      </c>
      <c r="AI36" s="371"/>
      <c r="AK36" s="2157" t="str">
        <f>A25</f>
        <v>c5.20</v>
      </c>
      <c r="AL36" s="1978">
        <f>MAX(0,MIN((F36-(N36+V36+AH36)),(AH30-AH36)))</f>
        <v>3178</v>
      </c>
      <c r="AO36" s="2157" t="str">
        <f>A28</f>
        <v>c5.20c</v>
      </c>
      <c r="AP36" s="2075">
        <f>MAX(0,MIN(AP30,AP34))</f>
        <v>0</v>
      </c>
      <c r="AS36" s="2157" t="str">
        <f>A29</f>
        <v>c5.21</v>
      </c>
      <c r="AT36" s="1978">
        <f>MAX(0,F36-(N36+V36+AH36+AL36+AP36))</f>
        <v>0</v>
      </c>
      <c r="AV36" s="2641" t="s">
        <v>3650</v>
      </c>
      <c r="AW36" s="2674"/>
    </row>
    <row customHeight="1" ht="12" r="37" spans="1:52" x14ac:dyDescent="0.2">
      <c r="A37" s="2982" t="s">
        <v>2999</v>
      </c>
      <c r="B37" s="1875"/>
      <c r="C37" s="1932"/>
      <c r="D37" s="1875"/>
      <c r="E37" s="1875"/>
      <c r="F37" s="1875"/>
      <c r="G37" s="1875"/>
      <c r="H37" s="1875"/>
      <c r="I37" s="1875"/>
      <c r="J37" s="1875"/>
      <c r="K37" s="1875"/>
      <c r="L37" s="1875"/>
      <c r="M37" s="1875"/>
      <c r="N37" s="1875"/>
      <c r="O37" s="1875"/>
      <c r="P37" s="1875"/>
      <c r="Q37" s="1875"/>
      <c r="R37" s="1875"/>
      <c r="S37" s="1875"/>
      <c r="T37" s="1875"/>
      <c r="U37" s="1875"/>
      <c r="V37" s="1875"/>
      <c r="W37" s="2305"/>
      <c r="X37" s="2305"/>
      <c r="Y37" s="2305"/>
      <c r="Z37" s="2305"/>
      <c r="AA37" s="1875"/>
      <c r="AB37" s="1875"/>
      <c r="AC37" s="1875"/>
      <c r="AD37" s="1875"/>
      <c r="AE37" s="1875"/>
      <c r="AF37" s="1875"/>
      <c r="AG37" s="1875"/>
      <c r="AH37" s="1875"/>
      <c r="AI37" s="1875"/>
      <c r="AJ37" s="1875"/>
      <c r="AK37" s="1875"/>
      <c r="AL37" s="1875"/>
      <c r="AM37" s="1875"/>
      <c r="AN37" s="1875"/>
      <c r="AO37" s="1875"/>
      <c r="AP37" s="1875"/>
      <c r="AQ37" s="1875"/>
      <c r="AR37" s="1875"/>
      <c r="AS37" s="1875"/>
      <c r="AT37" s="1875"/>
      <c r="AU37" s="1875"/>
      <c r="AV37" s="1932"/>
      <c r="AW37" s="1875"/>
      <c r="AX37" s="1875"/>
      <c r="AY37" s="1875"/>
      <c r="AZ37" s="1875"/>
    </row>
    <row customHeight="1" ht="12" r="38" spans="1:52" x14ac:dyDescent="0.2">
      <c r="A38" s="2982" t="s">
        <v>4420</v>
      </c>
      <c r="C38" s="2979"/>
      <c r="AV38" s="2979"/>
    </row>
    <row customHeight="1" ht="12" r="39" spans="1:52" x14ac:dyDescent="0.2">
      <c r="A39" s="2982" t="s">
        <v>4421</v>
      </c>
      <c r="C39" s="2979"/>
      <c r="G39" s="1477"/>
      <c r="N39" s="682" t="s">
        <v>6171</v>
      </c>
      <c r="O39" s="682"/>
      <c r="P39" s="682"/>
      <c r="Q39" s="115"/>
      <c r="R39" s="115"/>
      <c r="V39" s="682" t="s">
        <v>6660</v>
      </c>
      <c r="W39" s="682"/>
      <c r="X39" s="682"/>
      <c r="Y39" s="682"/>
      <c r="Z39" s="682"/>
      <c r="AH39" s="682" t="s">
        <v>6147</v>
      </c>
      <c r="AI39" s="682"/>
      <c r="AL39" s="682" t="s">
        <v>6661</v>
      </c>
      <c r="AP39" s="682" t="s">
        <v>6148</v>
      </c>
      <c r="AT39" s="682" t="s">
        <v>6662</v>
      </c>
      <c r="AV39" s="2979"/>
    </row>
    <row customHeight="1" ht="12" r="40" spans="1:52" x14ac:dyDescent="0.2">
      <c r="A40" s="2982" t="s">
        <v>4422</v>
      </c>
      <c r="C40" s="2979"/>
      <c r="G40" s="1477"/>
      <c r="N40" s="682"/>
      <c r="O40" s="682"/>
      <c r="P40" s="682"/>
      <c r="Q40" s="115"/>
      <c r="R40" s="115"/>
      <c r="V40" s="682"/>
      <c r="W40" s="682"/>
      <c r="X40" s="682"/>
      <c r="Y40" s="682"/>
      <c r="Z40" s="682"/>
      <c r="AH40" s="682"/>
      <c r="AI40" s="682"/>
      <c r="AL40" s="682"/>
      <c r="AP40" s="682"/>
      <c r="AT40" s="682"/>
      <c r="AV40" s="2979"/>
    </row>
    <row customHeight="1" ht="12" r="41" spans="1:52" x14ac:dyDescent="0.2">
      <c r="A41" s="2982" t="s">
        <v>4423</v>
      </c>
      <c r="C41" s="2979"/>
      <c r="G41" s="1477"/>
      <c r="J41" s="806"/>
      <c r="Q41" s="115"/>
      <c r="R41" s="115"/>
      <c r="AF41" s="4034"/>
      <c r="AG41" s="3327"/>
      <c r="AH41" s="3328" t="str">
        <f><![CDATA["("&'Status (c3a)'!AA33&" + "&'Deductions (c4)'!H204&") minus ("&E17&" + "&E36&" + "&M49&" + "&U49&")"]]></f>
        <v>(c3a.3a + c4.59) minus (c5.3 + c5.11 + c5.24 + c5.25)</v>
      </c>
      <c r="AI41" s="2167"/>
      <c r="AV41" s="2979"/>
    </row>
    <row r="42" spans="1:52" x14ac:dyDescent="0.2">
      <c r="A42" s="2982" t="s">
        <v>4424</v>
      </c>
      <c r="G42" s="1477"/>
      <c r="Q42" s="115"/>
      <c r="R42" s="115"/>
      <c r="AA42" s="682"/>
      <c r="AG42" s="2157" t="str">
        <f>A34</f>
        <v>c5.26</v>
      </c>
      <c r="AH42" s="1978">
        <f>MAX(0,('Status (c3a)'!AB33+'Deductions (c4)'!I204)-(F17+F36+N49+V49))</f>
        <v>100503</v>
      </c>
      <c r="AI42" s="394"/>
      <c r="AO42" s="806"/>
      <c r="AP42" s="3042" t="str">
        <f><![CDATA["HR_band ("&DOLLAR(HR_band,0)&") minus ("&AS17&" + "&AS36&")"]]></f>
        <v>HR_band ($112,500) minus (c5.6 + c5.21)</v>
      </c>
      <c r="AV42" s="2974"/>
    </row>
    <row r="43" spans="1:52" x14ac:dyDescent="0.2">
      <c r="A43" s="2982" t="s">
        <v>6383</v>
      </c>
      <c r="G43" s="1477"/>
      <c r="N43" s="682"/>
      <c r="O43" s="682"/>
      <c r="P43" s="682"/>
      <c r="Q43" s="115"/>
      <c r="R43" s="115"/>
      <c r="AA43" s="682"/>
      <c r="AG43" s="93"/>
      <c r="AH43" s="93" t="str">
        <f>"lower of ("&amp;'Deductions (c4)'!L437&amp;" and "&amp;AG42&amp;")"</f>
        <v>lower of (c4.80 and c5.26)</v>
      </c>
      <c r="AI43" s="93"/>
      <c r="AL43" s="682"/>
      <c r="AO43" s="2157" t="str">
        <f>A39</f>
        <v>c5.31</v>
      </c>
      <c r="AP43" s="1978">
        <f>MAX(0,HR_band-(AT17+AT36))</f>
        <v>112500</v>
      </c>
      <c r="AT43" s="682"/>
      <c r="AV43" s="2974"/>
    </row>
    <row r="44" spans="1:52" x14ac:dyDescent="0.2">
      <c r="A44" s="2982" t="s">
        <v>6784</v>
      </c>
      <c r="F44" s="2978" t="s">
        <v>4039</v>
      </c>
      <c r="G44" s="1477"/>
      <c r="N44" s="93" t="str">
        <f>"lower of ("&amp;E49&amp;" and "&amp;'Deductions (c4)'!L437&amp;")"</f>
        <v>lower of (c5.22 and c4.80)</v>
      </c>
      <c r="O44" s="93"/>
      <c r="P44" s="93"/>
      <c r="Q44" s="115"/>
      <c r="R44" s="115"/>
      <c r="AG44" s="2157" t="str">
        <f>A35</f>
        <v>c5.27</v>
      </c>
      <c r="AH44" s="1978">
        <f>MAX(0,MIN('Deductions (c4)'!M437,AH42))</f>
        <v>2000</v>
      </c>
      <c r="AI44" s="394"/>
      <c r="AL44" s="682"/>
      <c r="AP44" s="2982" t="str">
        <f>"lower of "&amp;E49&amp;" minus"</f>
        <v>lower of c5.22 minus</v>
      </c>
      <c r="AV44" s="2974"/>
    </row>
    <row r="45" spans="1:52" x14ac:dyDescent="0.2">
      <c r="A45" s="2982" t="s">
        <v>6384</v>
      </c>
      <c r="F45" s="2975" t="str">
        <f>E49&amp;" = "&amp;'non-res (c91)'!M93</f>
        <v>c5.22 = c91.23</v>
      </c>
      <c r="G45" s="1477"/>
      <c r="M45" s="2157" t="str">
        <f>A31</f>
        <v>c5.23</v>
      </c>
      <c r="N45" s="2027">
        <f>MIN(F49,'Deductions (c4)'!M437)</f>
        <v>2000</v>
      </c>
      <c r="O45" s="37"/>
      <c r="P45" s="37"/>
      <c r="Q45" s="115"/>
      <c r="R45" s="115"/>
      <c r="U45" s="2984"/>
      <c r="V45" s="2984"/>
      <c r="W45" s="3483"/>
      <c r="X45" s="3483"/>
      <c r="Y45" s="3483"/>
      <c r="Z45" s="3483"/>
      <c r="AA45" s="2984"/>
      <c r="AG45" s="93"/>
      <c r="AH45" s="93" t="str">
        <f><![CDATA["lower of ("&AG44&" and ("&'Deductions (c4)'!L437&" minus "&M49&"))"]]></f>
        <v>lower of (c5.27 and (c4.80 minus c5.24))</v>
      </c>
      <c r="AI45" s="93"/>
      <c r="AP45" s="93" t="str">
        <f><![CDATA["("&M49&" + "&U49&" + "&AG49&" + "&AK49&") and"]]></f>
        <v>(c5.24 + c5.25 + c5.29 + c5.30) and</v>
      </c>
      <c r="AV45" s="2974"/>
    </row>
    <row r="46" spans="1:52" x14ac:dyDescent="0.2">
      <c r="A46" s="2982" t="s">
        <v>6785</v>
      </c>
      <c r="F46" s="2982" t="s">
        <v>2386</v>
      </c>
      <c r="G46" s="1477"/>
      <c r="Q46" s="115"/>
      <c r="R46" s="115"/>
      <c r="V46" s="3305" t="str">
        <f>"lower of ("&amp;E49&amp;" minus "&amp;M49&amp;") and"</f>
        <v>lower of (c5.22 minus c5.24) and</v>
      </c>
      <c r="W46" s="93"/>
      <c r="X46" s="93"/>
      <c r="Y46" s="93"/>
      <c r="Z46" s="93"/>
      <c r="AA46" s="93"/>
      <c r="AG46" s="2157" t="str">
        <f>A36</f>
        <v>c5.28</v>
      </c>
      <c r="AH46" s="1978">
        <f>MAX(0,MIN(AH44,'Deductions (c4)'!M437-N49))</f>
        <v>2000</v>
      </c>
      <c r="AI46" s="394"/>
      <c r="AL46" s="2982" t="s">
        <v>6152</v>
      </c>
      <c r="AP46" s="410" t="str">
        <f>'Deductions (c4)'!L437&amp;" minus ("&amp;M49&amp;" + "&amp;AG49&amp;")"</f>
        <v>c4.80 minus (c5.24 + c5.29)</v>
      </c>
      <c r="AV46" s="2974"/>
    </row>
    <row r="47" spans="1:52" x14ac:dyDescent="0.2">
      <c r="A47" s="2982" t="s">
        <v>6385</v>
      </c>
      <c r="F47" s="2982" t="str">
        <f>E49&amp;" = "&amp;'Divs (c3)'!G47</f>
        <v>c5.22 = c3.15</v>
      </c>
      <c r="G47" s="1477"/>
      <c r="N47" s="93" t="str">
        <f>"lower of ("&amp;M45&amp;" and"</f>
        <v>lower of (c5.23 and</v>
      </c>
      <c r="O47" s="93"/>
      <c r="P47" s="93"/>
      <c r="Q47" s="115"/>
      <c r="R47" s="115"/>
      <c r="V47" s="3305" t="str">
        <f>"("&amp;AK8&amp;" minus"</f>
        <v>(c5.2a minus</v>
      </c>
      <c r="W47" s="93"/>
      <c r="X47" s="93"/>
      <c r="Y47" s="93"/>
      <c r="Z47" s="93"/>
      <c r="AH47" s="93" t="str">
        <f>"lower of "&amp;AG46&amp;" and"</f>
        <v>lower of c5.28 and</v>
      </c>
      <c r="AI47" s="93"/>
      <c r="AL47" s="93" t="str">
        <f><![CDATA[E49&" minus ("&M49&" + "&U49&" + "&AG49&") and"]]></f>
        <v>c5.22 minus (c5.24 + c5.25 + c5.29) and</v>
      </c>
      <c r="AO47" s="2157" t="str">
        <f>A40</f>
        <v>c5.32</v>
      </c>
      <c r="AP47" s="1978">
        <f>MAX(0,MIN(F49-(N49+V49+AH49+AL49),('Deductions (c4)'!M437-(N49+AH49))))</f>
        <v>0</v>
      </c>
      <c r="AQ47" s="2684"/>
      <c r="AR47" s="2684"/>
      <c r="AT47" s="2982" t="str">
        <f>E49&amp;" minus "</f>
        <v xml:space="preserve">c5.22 minus </v>
      </c>
      <c r="AV47" s="2974"/>
    </row>
    <row r="48" spans="1:52" x14ac:dyDescent="0.2">
      <c r="A48" s="2982" t="s">
        <v>6386</v>
      </c>
      <c r="F48" s="2982" t="s">
        <v>2495</v>
      </c>
      <c r="G48" s="1477"/>
      <c r="M48" s="93"/>
      <c r="N48" s="3305" t="str">
        <f><![CDATA["("&AK8&" minus ("&E17&" + "&E36&")))"]]></f>
        <v>(c5.2a minus (c5.3 + c5.11)))</v>
      </c>
      <c r="O48" s="93"/>
      <c r="P48" s="93"/>
      <c r="Q48" s="115"/>
      <c r="R48" s="115"/>
      <c r="V48" s="3305" t="str">
        <f>"("&amp;E17&amp;" + "&amp;E36&amp;" + "&amp;M49&amp;"))"</f>
        <v>(c5.3 + c5.11 + c5.24))</v>
      </c>
      <c r="W48" s="93"/>
      <c r="X48" s="93"/>
      <c r="Y48" s="93"/>
      <c r="Z48" s="93"/>
      <c r="AA48" s="93"/>
      <c r="AH48" s="93" t="str">
        <f><![CDATA["("&E49&" minus ("&M49&" + "&U49&"))"]]></f>
        <v>(c5.22 minus (c5.24 + c5.25))</v>
      </c>
      <c r="AI48" s="93"/>
      <c r="AL48" s="93" t="str">
        <f>"("&amp;AG42&amp;" minus "&amp;AG49&amp;")"</f>
        <v>(c5.26 minus c5.29)</v>
      </c>
      <c r="AP48" s="2982" t="str">
        <f>"lower of "&amp;AO43&amp;" and "&amp;AO47</f>
        <v>lower of c5.31 and c5.32</v>
      </c>
      <c r="AT48" s="93" t="str">
        <f><![CDATA["("&M49&" + "&U49&" + "&AG49&" + "&AK49&" + "&AO49&")"]]></f>
        <v>(c5.24 + c5.25 + c5.29 + c5.30 + c5.33)</v>
      </c>
      <c r="AV48" s="2974"/>
    </row>
    <row r="49" spans="1:54" x14ac:dyDescent="0.2">
      <c r="A49" s="2982" t="s">
        <v>4425</v>
      </c>
      <c r="C49" s="2672" t="s">
        <v>6155</v>
      </c>
      <c r="D49" s="2673"/>
      <c r="E49" s="2157" t="str">
        <f>A30</f>
        <v>c5.22</v>
      </c>
      <c r="F49" s="2027">
        <f>IF(non_resident,'non-res (c91)'!N93,'Divs (c3)'!H47)</f>
        <v>12750</v>
      </c>
      <c r="G49" s="1477"/>
      <c r="M49" s="2157" t="str">
        <f>A32</f>
        <v>c5.24</v>
      </c>
      <c r="N49" s="2075">
        <f>MAX(0,MIN(N45,AL8-(F17+F36)))</f>
        <v>0</v>
      </c>
      <c r="O49" s="371"/>
      <c r="P49" s="371"/>
      <c r="Q49" s="115"/>
      <c r="R49" s="115"/>
      <c r="U49" s="2157" t="str">
        <f>A33</f>
        <v>c5.25</v>
      </c>
      <c r="V49" s="2075">
        <f>MAX(0,MIN(MAX(0,F49-N49),AL8-(F17+F36+N49)))</f>
        <v>0</v>
      </c>
      <c r="W49" s="371"/>
      <c r="X49" s="371"/>
      <c r="Y49" s="371"/>
      <c r="Z49" s="371"/>
      <c r="AA49" s="3369"/>
      <c r="AG49" s="2157" t="str">
        <f>A37</f>
        <v>c5.29</v>
      </c>
      <c r="AH49" s="1978">
        <f>MAX(0,MIN(AH46,F49-(N49+V49)))</f>
        <v>2000</v>
      </c>
      <c r="AI49" s="394"/>
      <c r="AK49" s="2157" t="str">
        <f>A38</f>
        <v>c5.30</v>
      </c>
      <c r="AL49" s="1978">
        <f>MAX(0,MIN((F49-(N49+V49+AH49)),(AH42-AH49)))</f>
        <v>10750</v>
      </c>
      <c r="AM49" s="2684"/>
      <c r="AO49" s="2157" t="str">
        <f>A41</f>
        <v>c5.33</v>
      </c>
      <c r="AP49" s="2075">
        <f>MAX(0,MIN(AP43,AP47))</f>
        <v>0</v>
      </c>
      <c r="AS49" s="2157" t="str">
        <f>A42</f>
        <v>c5.34</v>
      </c>
      <c r="AT49" s="1978">
        <f>MAX(0,F49-(N49+V49+AH49+AL49+AP49))</f>
        <v>0</v>
      </c>
      <c r="AV49" s="2641" t="s">
        <v>6155</v>
      </c>
      <c r="AW49" s="2674"/>
    </row>
    <row r="50" spans="1:54" x14ac:dyDescent="0.2">
      <c r="A50" s="2982" t="s">
        <v>4426</v>
      </c>
      <c r="B50" s="1875"/>
      <c r="C50" s="1932"/>
      <c r="D50" s="1875"/>
      <c r="E50" s="1875"/>
      <c r="F50" s="1875"/>
      <c r="G50" s="1875"/>
      <c r="H50" s="1875"/>
      <c r="I50" s="1875"/>
      <c r="J50" s="1875"/>
      <c r="K50" s="1875"/>
      <c r="L50" s="1875"/>
      <c r="M50" s="1875"/>
      <c r="N50" s="1875"/>
      <c r="O50" s="1875"/>
      <c r="P50" s="1875"/>
      <c r="Q50" s="1875"/>
      <c r="R50" s="1875"/>
      <c r="S50" s="1875"/>
      <c r="T50" s="1875"/>
      <c r="U50" s="1875"/>
      <c r="V50" s="1875"/>
      <c r="W50" s="2305"/>
      <c r="X50" s="2305"/>
      <c r="Y50" s="2305"/>
      <c r="Z50" s="2305"/>
      <c r="AA50" s="1875"/>
      <c r="AB50" s="1875"/>
      <c r="AC50" s="1875"/>
      <c r="AD50" s="1875"/>
      <c r="AE50" s="1875"/>
      <c r="AF50" s="1875"/>
      <c r="AG50" s="1875"/>
      <c r="AH50" s="1875"/>
      <c r="AI50" s="1875"/>
      <c r="AJ50" s="1875"/>
      <c r="AK50" s="1875"/>
      <c r="AL50" s="1875"/>
      <c r="AM50" s="1875"/>
      <c r="AN50" s="1875"/>
      <c r="AO50" s="1875"/>
      <c r="AP50" s="1875"/>
      <c r="AQ50" s="1875"/>
      <c r="AR50" s="1875"/>
      <c r="AS50" s="1875"/>
      <c r="AT50" s="1875"/>
      <c r="AU50" s="1875"/>
      <c r="AV50" s="1932"/>
      <c r="AW50" s="1875"/>
      <c r="AX50" s="1875"/>
      <c r="AY50" s="1875"/>
      <c r="AZ50" s="1875"/>
    </row>
    <row customHeight="1" ht="12" r="51" spans="1:54" x14ac:dyDescent="0.2">
      <c r="A51" s="2982" t="s">
        <v>6149</v>
      </c>
    </row>
    <row r="52" spans="1:54" x14ac:dyDescent="0.2">
      <c r="A52" s="2982" t="s">
        <v>6150</v>
      </c>
      <c r="C52" s="2979"/>
      <c r="G52" s="1477"/>
      <c r="R52" s="682" t="s">
        <v>6781</v>
      </c>
      <c r="V52" s="3245" t="str">
        <f><![CDATA["BR_rate ("&BR_rate*100&"%) / SBR_rate ("&SBR_rate*100&"%) / WBR_rate ("&WBR_rate*100&"%)"]]></f>
        <v>BR_rate (20%) / SBR_rate (20%) / WBR_rate (20%)</v>
      </c>
      <c r="W52" s="682"/>
      <c r="X52" s="682"/>
      <c r="Y52" s="682"/>
      <c r="Z52" s="682"/>
      <c r="AA52" s="682"/>
      <c r="AD52" s="682" t="s">
        <v>6783</v>
      </c>
      <c r="AE52" s="682"/>
      <c r="AF52" s="682"/>
      <c r="AL52" s="3245" t="str">
        <f><![CDATA["HR_rate ("&HR_rate*100&"%) / SHR_rate ("&SHR_rate*100&"%) / WHR_rate ("&WHR_rate*100&"%)"]]></f>
        <v>HR_rate (40%) / SHR_rate (41%) / WHR_rate (40%)</v>
      </c>
      <c r="AP52" s="682"/>
      <c r="AT52" s="3245" t="str">
        <f><![CDATA["AHR_rate ("&AHR_rate*100&"%) / SAHR_rate ("&SAHR_rate*100&"%) / WAHR_rate ("&WAHR_rate*100&"%)"]]></f>
        <v>AHR_rate (45%) / SAHR_rate (46%) / WAHR_rate (45%)</v>
      </c>
      <c r="AV52" s="2979"/>
    </row>
    <row r="53" spans="1:54" x14ac:dyDescent="0.2">
      <c r="A53" s="2982" t="s">
        <v>6151</v>
      </c>
      <c r="C53" s="2979"/>
      <c r="G53" s="1477"/>
      <c r="R53" s="682"/>
      <c r="V53" s="682"/>
      <c r="W53" s="682"/>
      <c r="X53" s="682"/>
      <c r="Y53" s="682"/>
      <c r="Z53" s="682"/>
      <c r="AA53" s="682"/>
      <c r="AD53" s="682"/>
      <c r="AE53" s="682"/>
      <c r="AF53" s="682"/>
      <c r="AL53" s="682"/>
      <c r="AP53" s="682"/>
      <c r="AT53" s="682"/>
      <c r="AV53" s="2979"/>
    </row>
    <row r="54" spans="1:54" x14ac:dyDescent="0.2">
      <c r="A54" s="2982" t="s">
        <v>6157</v>
      </c>
      <c r="C54" s="2979"/>
      <c r="G54" s="1477"/>
      <c r="V54" s="93" t="str">
        <f>"lower of ("&amp;E57&amp;" minus "&amp;Q57&amp;") and"</f>
        <v>lower of (c5.34a minus c5.34a1) and</v>
      </c>
      <c r="W54" s="93"/>
      <c r="X54" s="93"/>
      <c r="Y54" s="93"/>
      <c r="Z54" s="93"/>
      <c r="AL54" s="93"/>
      <c r="AV54" s="2979"/>
    </row>
    <row r="55" spans="1:54" x14ac:dyDescent="0.2">
      <c r="A55" s="2982" t="s">
        <v>6158</v>
      </c>
      <c r="G55" s="1477"/>
      <c r="R55" s="93" t="str">
        <f>"lower of "&amp;E57&amp;" and"</f>
        <v>lower of c5.34a and</v>
      </c>
      <c r="V55" s="93" t="str">
        <f>"("&amp;U8&amp;" minus ("&amp;U17&amp;" + "</f>
        <v xml:space="preserve">(c5.2 minus (c5.4 + </v>
      </c>
      <c r="W55" s="93"/>
      <c r="X55" s="93"/>
      <c r="Y55" s="93"/>
      <c r="Z55" s="93"/>
      <c r="AA55" s="93"/>
      <c r="AD55" s="93" t="str">
        <f><![CDATA["lower of ("&E57&" minus ("&Q57&" + "&U57&")) and"]]></f>
        <v>lower of (c5.34a minus (c5.34a1 + c5.34b)) and</v>
      </c>
      <c r="AE55" s="93"/>
      <c r="AF55" s="93"/>
      <c r="AL55" s="93" t="str">
        <f><![CDATA["lower of ("&E57&" minus ("&Q57&" + "&U57&" + "&AC57&")) and"]]></f>
        <v>lower of (c5.34a minus (c5.34a1 + c5.34b + c5.34b1)) and</v>
      </c>
      <c r="AV55" s="2974"/>
    </row>
    <row customHeight="1" ht="12" r="56" spans="1:54" x14ac:dyDescent="0.2">
      <c r="A56" s="2982" t="s">
        <v>6159</v>
      </c>
      <c r="F56" s="93" t="str">
        <f>"from "&amp;'NS income (c1)'!I153</f>
        <v>from c1.58</v>
      </c>
      <c r="G56" s="1477"/>
      <c r="R56" s="93" t="str">
        <f><![CDATA["("&'Status (c3a)'!H33&" minus ("&E17&" + "&E36&" + "&E49&"))"]]></f>
        <v>(c3a.1a minus (c5.3 + c5.11 + c5.22))</v>
      </c>
      <c r="V56" s="93" t="str">
        <f><![CDATA[M36&" + "&U36&" + "&M49&" + "&U49&"))"]]></f>
        <v>c5.15 + c5.16 + c5.24 + c5.25))</v>
      </c>
      <c r="W56" s="93"/>
      <c r="X56" s="93"/>
      <c r="Y56" s="93"/>
      <c r="Z56" s="93"/>
      <c r="AA56" s="93"/>
      <c r="AD56" s="93" t="str">
        <f><![CDATA["("&'Status (c3a)'!P33&" minus ("&U17&" + "&AC17&" + "&M36&" + "&U36&" + "&M49&" + "&U49&"))"]]></f>
        <v>(c3a.2a minus (c5.4 + c5.4a + c5.15 + c5.16 + c5.24 + c5.25))</v>
      </c>
      <c r="AE56" s="93"/>
      <c r="AF56" s="93"/>
      <c r="AK56" s="3327"/>
      <c r="AL56" s="3328" t="str">
        <f><![CDATA["(("&'Status (c3a)'!AA33&" + "&'Deductions (c4)'!H204&") minus ("&E17&" + "&E36&" + "&E49&" + "&Q57&" + "&U57&" + "&AC57&"))"]]></f>
        <v>((c3a.3a + c4.59) minus (c5.3 + c5.11 + c5.22 + c5.34a1 + c5.34b + c5.34b1))</v>
      </c>
      <c r="AT56" s="93" t="str">
        <f><![CDATA[E57&" minus ("&Q57&" + "&U57&" + "&AC57&" + "&AK57&")"]]></f>
        <v>c5.34a minus (c5.34a1 + c5.34b + c5.34b1 + c5.34c)</v>
      </c>
      <c r="AV56" s="2974"/>
    </row>
    <row r="57" spans="1:54" x14ac:dyDescent="0.2">
      <c r="A57" s="2982" t="s">
        <v>6160</v>
      </c>
      <c r="C57" s="2672" t="s">
        <v>1795</v>
      </c>
      <c r="D57" s="2673"/>
      <c r="E57" s="2157" t="str">
        <f>A43</f>
        <v>c5.34a</v>
      </c>
      <c r="F57" s="2163">
        <f>'NS income (c1)'!J153</f>
        <v>0</v>
      </c>
      <c r="G57" s="1477"/>
      <c r="Q57" s="2162" t="str">
        <f>A44</f>
        <v>c5.34a1</v>
      </c>
      <c r="R57" s="1978">
        <f>MIN(F57,(MAX(0,'Status (c3a)'!I33-(F17+F36+F49))))</f>
        <v>0</v>
      </c>
      <c r="U57" s="2157" t="str">
        <f>A45</f>
        <v>c5.34b</v>
      </c>
      <c r="V57" s="1978">
        <f>MAX(0,MIN((F57-R57),V8-(V17+N36+V36+N49+V49)))</f>
        <v>0</v>
      </c>
      <c r="W57" s="1931"/>
      <c r="X57" s="1931"/>
      <c r="Y57" s="1931"/>
      <c r="Z57" s="1931"/>
      <c r="AA57" s="1931"/>
      <c r="AC57" s="2162" t="str">
        <f>A46</f>
        <v>c5.34b1</v>
      </c>
      <c r="AD57" s="1978">
        <f>MAX(0,MIN((F57-(R57+V57)),'Status (c3a)'!Q33-(V17+AD17+N36+V36+N49+V49)))</f>
        <v>0</v>
      </c>
      <c r="AE57" s="394"/>
      <c r="AF57" s="394"/>
      <c r="AK57" s="2157" t="str">
        <f>A47</f>
        <v>c5.34c</v>
      </c>
      <c r="AL57" s="1978">
        <f>MAX(0,MIN((F57-(R57+V57+AD57)),('Status (c3a)'!AB33+'Deductions (c4)'!I204)-(F17+F36+F49+R57+V57+AD57)))</f>
        <v>0</v>
      </c>
      <c r="AS57" s="2157" t="str">
        <f>A48</f>
        <v>c5.34d</v>
      </c>
      <c r="AT57" s="1978">
        <f>MAX(0,F57-(R57+V57+AD57+AL57))</f>
        <v>0</v>
      </c>
      <c r="AV57" s="2641" t="s">
        <v>1795</v>
      </c>
      <c r="AW57" s="2674"/>
    </row>
    <row r="58" spans="1:54" x14ac:dyDescent="0.2">
      <c r="A58" s="2982" t="s">
        <v>6670</v>
      </c>
      <c r="B58" s="1875"/>
      <c r="C58" s="1932"/>
      <c r="D58" s="1875"/>
      <c r="E58" s="1875"/>
      <c r="F58" s="1875"/>
      <c r="G58" s="1875"/>
      <c r="H58" s="1875"/>
      <c r="I58" s="1875"/>
      <c r="J58" s="1875"/>
      <c r="K58" s="1875"/>
      <c r="L58" s="1875"/>
      <c r="M58" s="1875"/>
      <c r="N58" s="1875"/>
      <c r="O58" s="1875"/>
      <c r="P58" s="1875"/>
      <c r="Q58" s="1875"/>
      <c r="R58" s="1875"/>
      <c r="S58" s="1875"/>
      <c r="T58" s="1875"/>
      <c r="U58" s="1875"/>
      <c r="V58" s="1875"/>
      <c r="W58" s="2305"/>
      <c r="X58" s="2305"/>
      <c r="Y58" s="2305"/>
      <c r="Z58" s="2305"/>
      <c r="AA58" s="1875"/>
      <c r="AB58" s="1875"/>
      <c r="AC58" s="1875"/>
      <c r="AD58" s="1875"/>
      <c r="AE58" s="1875"/>
      <c r="AF58" s="1875"/>
      <c r="AG58" s="1875"/>
      <c r="AH58" s="1875"/>
      <c r="AI58" s="1875"/>
      <c r="AJ58" s="1875"/>
      <c r="AK58" s="1875"/>
      <c r="AL58" s="1875"/>
      <c r="AM58" s="1875"/>
      <c r="AN58" s="1875"/>
      <c r="AO58" s="1875"/>
      <c r="AP58" s="1875"/>
      <c r="AQ58" s="1875"/>
      <c r="AR58" s="1875"/>
      <c r="AS58" s="1875"/>
      <c r="AT58" s="1875"/>
      <c r="AU58" s="1875"/>
      <c r="AV58" s="1875"/>
      <c r="AW58" s="1875"/>
      <c r="AX58" s="1875"/>
      <c r="AY58" s="1875"/>
      <c r="AZ58" s="1875"/>
    </row>
    <row r="59" spans="1:54" x14ac:dyDescent="0.2">
      <c r="A59" s="2982" t="s">
        <v>6673</v>
      </c>
      <c r="C59" s="2979"/>
    </row>
    <row ht="18" r="60" spans="1:54" x14ac:dyDescent="0.25">
      <c r="A60" s="2982" t="s">
        <v>6800</v>
      </c>
      <c r="B60" s="1731" t="s">
        <v>1178</v>
      </c>
      <c r="C60" s="2979"/>
      <c r="G60" s="724"/>
      <c r="H60" s="117"/>
      <c r="J60" s="682" t="s">
        <v>5157</v>
      </c>
      <c r="O60" s="682"/>
      <c r="R60" s="682" t="s">
        <v>6425</v>
      </c>
      <c r="S60" s="682"/>
      <c r="AD60" s="682" t="s">
        <v>6425</v>
      </c>
      <c r="AH60" s="682" t="s">
        <v>6771</v>
      </c>
      <c r="AL60" s="682" t="s">
        <v>5155</v>
      </c>
      <c r="AM60" s="1057"/>
      <c r="AP60" s="682" t="s">
        <v>6770</v>
      </c>
      <c r="AR60" s="1057"/>
      <c r="AT60" s="682"/>
      <c r="AW60" s="1057"/>
      <c r="AX60" s="682" t="s">
        <v>6156</v>
      </c>
      <c r="BB60" s="682" t="s">
        <v>2872</v>
      </c>
    </row>
    <row ht="18" r="61" spans="1:54" x14ac:dyDescent="0.25">
      <c r="A61" s="2982" t="s">
        <v>6801</v>
      </c>
      <c r="B61" s="1731"/>
      <c r="C61" s="1731" t="s">
        <v>6153</v>
      </c>
      <c r="G61" s="724"/>
      <c r="H61" s="117"/>
      <c r="J61" s="2640" t="s">
        <v>6804</v>
      </c>
      <c r="N61" s="2640" t="s">
        <v>6808</v>
      </c>
      <c r="O61" s="682"/>
      <c r="R61" s="682" t="s">
        <v>5156</v>
      </c>
      <c r="AL61" s="682"/>
      <c r="AM61" s="1057"/>
      <c r="AR61" s="1057"/>
      <c r="AT61" s="682"/>
      <c r="AW61" s="1057"/>
      <c r="AX61" s="682"/>
      <c r="BB61" s="682"/>
    </row>
    <row customFormat="1" customHeight="1" ht="11.45" r="62" s="3436" spans="1:54" x14ac:dyDescent="0.25">
      <c r="A62" s="2982" t="s">
        <v>6802</v>
      </c>
      <c r="B62" s="1731"/>
      <c r="C62" s="1731"/>
      <c r="G62" s="724"/>
      <c r="H62" s="117"/>
      <c r="J62" s="2640"/>
      <c r="N62" s="2640"/>
      <c r="O62" s="682"/>
      <c r="R62" s="2681"/>
      <c r="W62" s="3482"/>
      <c r="X62" s="2982"/>
      <c r="Y62" s="981"/>
      <c r="Z62" s="2325" t="str">
        <f>"lower of "&amp;M153&amp;" and "&amp;U192</f>
        <v>lower of c5.50 and c5.56.1</v>
      </c>
      <c r="AL62" s="682"/>
      <c r="AM62" s="1057"/>
      <c r="AR62" s="1057"/>
      <c r="AT62" s="682"/>
      <c r="AW62" s="1057"/>
      <c r="AX62" s="682"/>
      <c r="BB62" s="682"/>
    </row>
    <row customFormat="1" customHeight="1" ht="11.45" r="63" s="3436" spans="1:54" x14ac:dyDescent="0.25">
      <c r="A63" s="2982" t="s">
        <v>6803</v>
      </c>
      <c r="B63" s="1731"/>
      <c r="C63" s="1731"/>
      <c r="G63" s="724"/>
      <c r="H63" s="117"/>
      <c r="J63" s="2640"/>
      <c r="N63" s="2640"/>
      <c r="O63" s="682"/>
      <c r="R63" s="2681"/>
      <c r="W63" s="3482"/>
      <c r="X63" s="2325" t="s">
        <v>8025</v>
      </c>
      <c r="Y63" s="2119" t="str">
        <f>A189</f>
        <v>c5.58a.1</v>
      </c>
      <c r="Z63" s="2321">
        <f>MIN(N153,V192)</f>
        <v>0</v>
      </c>
      <c r="AL63" s="682"/>
      <c r="AM63" s="1057"/>
      <c r="AR63" s="1057"/>
      <c r="AT63" s="682"/>
      <c r="AW63" s="1057"/>
      <c r="AX63" s="682"/>
      <c r="BB63" s="682"/>
    </row>
    <row customFormat="1" customHeight="1" ht="11.45" r="64" s="3436" spans="1:54" x14ac:dyDescent="0.25">
      <c r="A64" s="2982" t="s">
        <v>6161</v>
      </c>
      <c r="B64" s="1731"/>
      <c r="C64" s="1731"/>
      <c r="G64" s="724"/>
      <c r="H64" s="117"/>
      <c r="J64" s="2640"/>
      <c r="N64" s="2640"/>
      <c r="O64" s="682"/>
      <c r="R64" s="2681" t="s">
        <v>8170</v>
      </c>
      <c r="W64" s="3482"/>
      <c r="X64" s="3482"/>
      <c r="Y64" s="2325"/>
      <c r="Z64" s="2325" t="str">
        <f>"from "&amp;U192</f>
        <v>from c5.56.1</v>
      </c>
      <c r="AA64" s="3482"/>
      <c r="AL64" s="682"/>
      <c r="AM64" s="1057"/>
      <c r="AR64" s="1057"/>
      <c r="AT64" s="682"/>
      <c r="AV64" s="2982"/>
      <c r="AW64" s="2982"/>
      <c r="AX64" s="2325" t="str">
        <f>AK8&amp;" minus ("&amp;'Deductions (c4)'!L308&amp;" minus "&amp;'Divs (c3)'!G58&amp;")"</f>
        <v>c5.2a minus (c4.74 minus c3.18)</v>
      </c>
      <c r="BB64" s="682"/>
    </row>
    <row customFormat="1" customHeight="1" ht="11.45" r="65" s="3490" spans="1:54" x14ac:dyDescent="0.25">
      <c r="A65" s="2982" t="s">
        <v>6162</v>
      </c>
      <c r="B65" s="1731"/>
      <c r="C65" s="1731"/>
      <c r="G65" s="724"/>
      <c r="H65" s="117"/>
      <c r="J65" s="2640"/>
      <c r="N65" s="2640"/>
      <c r="O65" s="682"/>
      <c r="R65" s="2325" t="str">
        <f><![CDATA["if "&M123&" <= BR_band ("&DOLLAR(BR_band,0)&") + "&'Deductions (c4)'!H204]]></f>
        <v>if c5.48b &lt;= BR_band ($37,500) + c4.59</v>
      </c>
      <c r="X65" s="2325" t="s">
        <v>7857</v>
      </c>
      <c r="Y65" s="3442" t="str">
        <f>A190</f>
        <v>c5.58a.2</v>
      </c>
      <c r="Z65" s="2321">
        <f>V192</f>
        <v>33744</v>
      </c>
      <c r="AA65" s="3482"/>
      <c r="AL65" s="682"/>
      <c r="AM65" s="1057"/>
      <c r="AR65" s="1057"/>
      <c r="AT65" s="682"/>
      <c r="AV65" s="2325" t="s">
        <v>7802</v>
      </c>
      <c r="AW65" s="3419" t="str">
        <f>A330</f>
        <v>c5.66j</v>
      </c>
      <c r="AX65" s="2321">
        <f>MAX(0,AL8-('Deductions (c4)'!M308-'Divs (c3)'!H58))</f>
        <v>0</v>
      </c>
      <c r="BB65" s="682"/>
    </row>
    <row customFormat="1" customHeight="1" ht="11.45" r="66" s="3490" spans="1:54" x14ac:dyDescent="0.25">
      <c r="A66" s="2982" t="s">
        <v>6387</v>
      </c>
      <c r="B66" s="1731"/>
      <c r="C66" s="1731"/>
      <c r="G66" s="724"/>
      <c r="H66" s="117"/>
      <c r="J66" s="2640"/>
      <c r="N66" s="2640"/>
      <c r="O66" s="682"/>
      <c r="R66" s="2325" t="str">
        <f>Q70&amp;" = 0 (zero)"</f>
        <v>c5.52a = 0 (zero)</v>
      </c>
      <c r="X66" s="3482"/>
      <c r="Y66" s="2325"/>
      <c r="Z66" s="2325" t="str">
        <f>U194&amp;" minus ("&amp;Q222&amp;" minus "&amp;U244&amp;")"</f>
        <v>c5.56.2 minus (c5.55.7 minus c5.56p)</v>
      </c>
      <c r="AA66" s="3482"/>
      <c r="AL66" s="682"/>
      <c r="AM66" s="1057"/>
      <c r="AR66" s="1057"/>
      <c r="AT66" s="682"/>
      <c r="AV66" s="3421"/>
      <c r="AW66" s="4458"/>
      <c r="AX66" s="2325" t="str">
        <f><![CDATA["(larger of (("&I126&" + "&Q126&" + "&AG126&" + "&AK126&" + "&AO126&") and "&AS92&") + "&AS94&") minus "&AS88]]></f>
        <v>(larger of ((c5.44 + c5.52h + c5.58.7 + c5.62 + c5.66.7) and c5.66d) + c5.66e) minus c5.66b</v>
      </c>
      <c r="BB66" s="682"/>
    </row>
    <row customFormat="1" customHeight="1" ht="11.45" r="67" s="3490" spans="1:54" x14ac:dyDescent="0.25">
      <c r="A67" s="2982" t="s">
        <v>6388</v>
      </c>
      <c r="B67" s="1731"/>
      <c r="C67" s="1731"/>
      <c r="G67" s="724"/>
      <c r="H67" s="117"/>
      <c r="J67" s="2640"/>
      <c r="N67" s="2640"/>
      <c r="O67" s="682"/>
      <c r="R67" s="1945" t="s">
        <v>2386</v>
      </c>
      <c r="X67" s="2325" t="s">
        <v>7858</v>
      </c>
      <c r="Y67" s="3442" t="str">
        <f>A191</f>
        <v>c5.58a.3</v>
      </c>
      <c r="Z67" s="2321">
        <f>MAX(0,V194-(R222-V244))</f>
        <v>3678</v>
      </c>
      <c r="AA67" s="3482"/>
      <c r="AL67" s="682"/>
      <c r="AM67" s="1057"/>
      <c r="AR67" s="1057"/>
      <c r="AT67" s="682"/>
      <c r="AV67" s="3421"/>
      <c r="AW67" s="3419" t="str">
        <f>A331</f>
        <v>c5.66j1</v>
      </c>
      <c r="AX67" s="2321">
        <f>MAX(0,((MAX((J126+R126+AH126+AL126+AP126),AT92)+AT94)-AT88))</f>
        <v>10522</v>
      </c>
      <c r="BB67" s="682"/>
    </row>
    <row customFormat="1" customHeight="1" ht="11.45" r="68" s="3490" spans="1:54" x14ac:dyDescent="0.25">
      <c r="A68" s="2982" t="s">
        <v>6423</v>
      </c>
      <c r="B68" s="1731"/>
      <c r="C68" s="1731"/>
      <c r="G68" s="724"/>
      <c r="H68" s="117"/>
      <c r="J68" s="2640"/>
      <c r="N68" s="2640"/>
      <c r="O68" s="682"/>
      <c r="R68" s="2325" t="str">
        <f><![CDATA[Q70&" = "&E8&" minus ("&I182&" + "&I253&" + "&M182&")"]]></f>
        <v>c5.52a = c5.1 minus (c5.47 + c5.48 + c5.52)</v>
      </c>
      <c r="X68" s="3482"/>
      <c r="Y68" s="2325"/>
      <c r="Z68" s="2325" t="str">
        <f>E49&amp;" minus ("&amp;I253&amp;" + "&amp;U253&amp;")"</f>
        <v>c5.22 minus (c5.48 + c5.58)</v>
      </c>
      <c r="AA68" s="3482"/>
      <c r="AL68" s="682"/>
      <c r="AM68" s="1057"/>
      <c r="AR68" s="1057"/>
      <c r="AT68" s="682"/>
      <c r="AV68" s="3421"/>
      <c r="AW68" s="4458"/>
      <c r="AX68" s="2325" t="str">
        <f>"lower of "&amp;AW67&amp;" and "&amp;'Deductions (c4)'!L430</f>
        <v>lower of c5.66j1 and c4.79</v>
      </c>
      <c r="BB68" s="682"/>
    </row>
    <row customHeight="1" ht="11.45" r="69" spans="1:54" x14ac:dyDescent="0.25">
      <c r="A69" s="2982" t="s">
        <v>6163</v>
      </c>
      <c r="B69" s="1731"/>
      <c r="C69" s="1731"/>
      <c r="G69" s="724"/>
      <c r="H69" s="117"/>
      <c r="J69" s="682"/>
      <c r="N69" s="682"/>
      <c r="O69" s="682"/>
      <c r="P69" s="981"/>
      <c r="Q69" s="981"/>
      <c r="R69" s="1945" t="s">
        <v>2495</v>
      </c>
      <c r="X69" s="2325" t="s">
        <v>8116</v>
      </c>
      <c r="Y69" s="3442" t="str">
        <f>A192</f>
        <v>c5.58a.4</v>
      </c>
      <c r="Z69" s="2321">
        <f>MAX(0,F49-(J253+V253))</f>
        <v>12750</v>
      </c>
      <c r="AA69" s="3482"/>
      <c r="AL69" s="682"/>
      <c r="AM69" s="1057"/>
      <c r="AR69" s="1057"/>
      <c r="AT69" s="682"/>
      <c r="AV69" s="3421"/>
      <c r="AW69" s="3419" t="str">
        <f>A332</f>
        <v>c5.66j2</v>
      </c>
      <c r="AX69" s="2321">
        <f>MIN(AX67,PSA)</f>
        <v>500</v>
      </c>
      <c r="BB69" s="682"/>
    </row>
    <row customHeight="1" ht="11.45" r="70" spans="1:54" x14ac:dyDescent="0.25">
      <c r="A70" s="2982" t="s">
        <v>6164</v>
      </c>
      <c r="B70" s="1731"/>
      <c r="C70" s="1731"/>
      <c r="G70" s="724"/>
      <c r="H70" s="117"/>
      <c r="J70" s="682"/>
      <c r="N70" s="682"/>
      <c r="O70" s="682"/>
      <c r="P70" s="2325" t="s">
        <v>6513</v>
      </c>
      <c r="Q70" s="2162" t="str">
        <f>A84</f>
        <v>c5.52a</v>
      </c>
      <c r="R70" s="1978">
        <f>IF(N123&lt;=BR_band+'Deductions (c4)'!I204,0,MAX(0,F8-(J182+J253+N182)))</f>
        <v>0</v>
      </c>
      <c r="Y70" s="2325"/>
      <c r="Z70" s="2325" t="str">
        <f><![CDATA["(BR_band ("&DOLLAR(BR_band,0)&") + "&'Deductions (c4)'!L311&") minus ("&Y65&" + "&Y67&")"]]></f>
        <v>(BR_band ($37,500) + c4.75) minus (c5.58a.2 + c5.58a.3)</v>
      </c>
      <c r="AA70" s="3482"/>
      <c r="AL70" s="682"/>
      <c r="AM70" s="1057"/>
      <c r="AR70" s="1057"/>
      <c r="AT70" s="682"/>
      <c r="AW70" s="3394"/>
      <c r="AX70" s="2325" t="str">
        <f>"lower of "&amp;AW69&amp;" and "&amp;E275</f>
        <v>lower of c5.66j2 and c5.41</v>
      </c>
      <c r="BB70" s="682"/>
    </row>
    <row customHeight="1" ht="11.45" r="71" spans="1:54" x14ac:dyDescent="0.25">
      <c r="A71" s="2982" t="s">
        <v>6165</v>
      </c>
      <c r="B71" s="1731"/>
      <c r="C71" s="1731"/>
      <c r="G71" s="724"/>
      <c r="H71" s="117"/>
      <c r="J71" s="682"/>
      <c r="N71" s="682"/>
      <c r="O71" s="682"/>
      <c r="P71" s="93"/>
      <c r="R71" s="2325" t="str">
        <f>Q70&amp;" minus "&amp;AK49</f>
        <v>c5.52a minus c5.30</v>
      </c>
      <c r="S71" s="682"/>
      <c r="X71" s="3449" t="s">
        <v>7935</v>
      </c>
      <c r="Y71" s="3442" t="str">
        <f>A193</f>
        <v>c5.58a.5</v>
      </c>
      <c r="Z71" s="2321">
        <f>MAX(0,(BR_band+'Deductions (c4)'!M311)-(Z65+Z67))</f>
        <v>1703</v>
      </c>
      <c r="AA71" s="3482"/>
      <c r="AL71" s="682"/>
      <c r="AM71" s="1057"/>
      <c r="AR71" s="1057"/>
      <c r="AT71" s="682"/>
      <c r="AV71" s="2325" t="s">
        <v>7803</v>
      </c>
      <c r="AW71" s="3419" t="str">
        <f>A333</f>
        <v>c5.66k</v>
      </c>
      <c r="AX71" s="2321">
        <f>MIN(AX69,F275)</f>
        <v>0</v>
      </c>
      <c r="BB71" s="682"/>
    </row>
    <row customHeight="1" ht="11.45" r="72" spans="1:54" x14ac:dyDescent="0.25">
      <c r="A72" s="2982" t="s">
        <v>6677</v>
      </c>
      <c r="B72" s="1731"/>
      <c r="C72" s="1731"/>
      <c r="G72" s="724"/>
      <c r="H72" s="117"/>
      <c r="J72" s="682"/>
      <c r="N72" s="682"/>
      <c r="O72" s="682"/>
      <c r="P72" s="2325" t="s">
        <v>6169</v>
      </c>
      <c r="Q72" s="2162" t="str">
        <f>A85</f>
        <v>c5.52b</v>
      </c>
      <c r="R72" s="1978">
        <f>MAX(0,R70-AL49)</f>
        <v>0</v>
      </c>
      <c r="S72" s="3366"/>
      <c r="Y72" s="2325"/>
      <c r="Z72" s="2325" t="str">
        <f>"lower of "&amp;U198&amp;" and "&amp;Y71</f>
        <v>lower of c5.56b and c5.58a.5</v>
      </c>
      <c r="AA72" s="3482"/>
      <c r="AL72" s="682"/>
      <c r="AM72" s="1057"/>
      <c r="AR72" s="1057"/>
      <c r="AT72" s="682"/>
      <c r="AW72" s="3394"/>
      <c r="AX72" s="2325" t="str">
        <f>"lower of "&amp;AW65&amp;" and "&amp;AW71</f>
        <v>lower of c5.66j and c5.66k</v>
      </c>
      <c r="BB72" s="682"/>
    </row>
    <row customHeight="1" ht="11.45" r="73" spans="1:54" x14ac:dyDescent="0.25">
      <c r="A73" s="2982" t="s">
        <v>6680</v>
      </c>
      <c r="B73" s="1731"/>
      <c r="C73" s="1731"/>
      <c r="G73" s="724"/>
      <c r="H73" s="117"/>
      <c r="J73" s="682"/>
      <c r="N73" s="682"/>
      <c r="O73" s="682"/>
      <c r="P73" s="1945"/>
      <c r="Q73" s="1945"/>
      <c r="R73" s="2325" t="str">
        <f><![CDATA["lower of ((("&E17&" + ("&E36&" minus "&M36&")) minus "&Q72&") and ("&Q70&" minus "&Q72&"))"]]></f>
        <v>lower of (((c5.3 + (c5.11 minus c5.15)) minus c5.52b) and (c5.52a minus c5.52b))</v>
      </c>
      <c r="S73" s="682"/>
      <c r="X73" s="3449" t="s">
        <v>6988</v>
      </c>
      <c r="Y73" s="3442" t="str">
        <f>A194</f>
        <v>c5.58a.6</v>
      </c>
      <c r="Z73" s="2321">
        <f>MIN(V198,Z71)</f>
        <v>1703</v>
      </c>
      <c r="AA73" s="3482"/>
      <c r="AL73" s="682"/>
      <c r="AM73" s="1057"/>
      <c r="AV73" s="2325" t="s">
        <v>7804</v>
      </c>
      <c r="AW73" s="3419" t="str">
        <f>A334</f>
        <v>c5.66l</v>
      </c>
      <c r="AX73" s="2321">
        <f>MIN(AX65,AX71)</f>
        <v>0</v>
      </c>
      <c r="BB73" s="682"/>
    </row>
    <row customHeight="1" ht="11.45" r="74" spans="1:54" x14ac:dyDescent="0.25">
      <c r="A74" s="2982" t="s">
        <v>6166</v>
      </c>
      <c r="B74" s="1731"/>
      <c r="C74" s="1731"/>
      <c r="G74" s="724"/>
      <c r="H74" s="117"/>
      <c r="J74" s="682"/>
      <c r="N74" s="682"/>
      <c r="O74" s="682"/>
      <c r="P74" s="2325" t="s">
        <v>6494</v>
      </c>
      <c r="Q74" s="2162" t="str">
        <f>A86</f>
        <v>c5.52c</v>
      </c>
      <c r="R74" s="1978">
        <f>MAX(0,MIN(((F17+(F36-N36))-R72),R70-R72))</f>
        <v>0</v>
      </c>
      <c r="S74" s="682"/>
      <c r="Y74" s="2325"/>
      <c r="Z74" s="2325" t="str">
        <f>Y71&amp;" minus "&amp;Y73</f>
        <v>c5.58a.5 minus c5.58a.6</v>
      </c>
      <c r="AA74" s="3482"/>
      <c r="AL74" s="682"/>
      <c r="AM74" s="1057"/>
      <c r="AW74" s="3394"/>
      <c r="AX74" s="2325" t="str">
        <f>AW71&amp;" minus "&amp;AW73</f>
        <v>c5.66k minus c5.66l</v>
      </c>
      <c r="BB74" s="682"/>
    </row>
    <row customHeight="1" ht="11.45" r="75" spans="1:54" x14ac:dyDescent="0.25">
      <c r="A75" s="3436" t="s">
        <v>7930</v>
      </c>
      <c r="B75" s="1731"/>
      <c r="C75" s="1731"/>
      <c r="G75" s="724"/>
      <c r="H75" s="117"/>
      <c r="J75" s="682"/>
      <c r="N75" s="682"/>
      <c r="O75" s="682"/>
      <c r="Q75" s="1945"/>
      <c r="R75" s="2325" t="str">
        <f>"If MAT_IN and "&amp;'Deductions (c4)'!Q381&amp;" = 0 (zero)"</f>
        <v>If MAT_IN and c4.76c = 0 (zero)</v>
      </c>
      <c r="X75" s="3449" t="s">
        <v>6989</v>
      </c>
      <c r="Y75" s="3442" t="str">
        <f>A195</f>
        <v>c5.58a.7</v>
      </c>
      <c r="Z75" s="2321">
        <f>MAX(0,Z71-Z73)</f>
        <v>0</v>
      </c>
      <c r="AA75" s="3482"/>
      <c r="AL75" s="682"/>
      <c r="AM75" s="1057"/>
      <c r="AV75" s="2325" t="s">
        <v>7805</v>
      </c>
      <c r="AW75" s="3419" t="str">
        <f>A335</f>
        <v>c5.66m</v>
      </c>
      <c r="AX75" s="2321">
        <f>MAX(0,AX71-AX73)</f>
        <v>0</v>
      </c>
      <c r="BB75" s="682"/>
    </row>
    <row customHeight="1" ht="11.45" r="76" spans="1:54" x14ac:dyDescent="0.25">
      <c r="A76" s="2982" t="s">
        <v>6167</v>
      </c>
      <c r="B76" s="1731"/>
      <c r="C76" s="1731"/>
      <c r="G76" s="724"/>
      <c r="H76" s="117"/>
      <c r="J76" s="682"/>
      <c r="N76" s="682"/>
      <c r="O76" s="682"/>
      <c r="P76" s="93"/>
      <c r="Q76" s="1945"/>
      <c r="R76" s="2325" t="str">
        <f><![CDATA["and "&'Deductions (c4)'!L308&" > (BR_band ("&DOLLAR(BR_band,0)&") + "&'Deductions (c4)'!L311&")"]]></f>
        <v>and c4.74 &gt; (BR_band ($37,500) + c4.75)</v>
      </c>
      <c r="Y76" s="2325"/>
      <c r="Z76" s="2325" t="str">
        <f><![CDATA["lower of ("&'Deductions (c4)'!L437&" minus "&Y73&") and ("&Y69&" minus ("&Y73&" + "&Y75&"))"]]></f>
        <v>lower of (c4.80 minus c5.58a.6) and (c5.58a.4 minus (c5.58a.6 + c5.58a.7))</v>
      </c>
      <c r="AA76" s="3482"/>
      <c r="AL76" s="682"/>
      <c r="AM76" s="1057"/>
      <c r="AW76" s="1945"/>
      <c r="AX76" s="2325" t="str">
        <f><![CDATA["(("&AS88&" minus "&AS92&") + "&E275&") minus "&'Deductions (c4)'!L430]]></f>
        <v>((c5.66b minus c5.66d) + c5.41) minus c4.79</v>
      </c>
      <c r="BB76" s="682"/>
    </row>
    <row customHeight="1" ht="11.45" r="77" spans="1:54" x14ac:dyDescent="0.25">
      <c r="A77" s="2982" t="s">
        <v>7391</v>
      </c>
      <c r="B77" s="1731"/>
      <c r="C77" s="1731"/>
      <c r="G77" s="724"/>
      <c r="H77" s="117"/>
      <c r="J77" s="682"/>
      <c r="N77" s="2640" t="s">
        <v>6805</v>
      </c>
      <c r="O77" s="682"/>
      <c r="P77" s="3421"/>
      <c r="Q77" s="3427"/>
      <c r="R77" s="2325" t="str">
        <f>Q81&amp;" = "&amp;'Deductions (c4)'!L354&amp;" + "&amp;'Deductions (c4)'!L357</f>
        <v>c5.52d = c4.75m + c4.75n</v>
      </c>
      <c r="S77" s="936"/>
      <c r="X77" s="3449" t="s">
        <v>8117</v>
      </c>
      <c r="Y77" s="3442" t="str">
        <f>A196</f>
        <v>c5.58a.8</v>
      </c>
      <c r="Z77" s="2321">
        <f>MAX(0,MIN(DA-Z73,Z69-(Z73+Z75)))</f>
        <v>297</v>
      </c>
      <c r="AA77" s="3482"/>
      <c r="AL77" s="682"/>
      <c r="AM77" s="1057"/>
      <c r="AV77" s="2325" t="s">
        <v>8931</v>
      </c>
      <c r="AW77" s="3419" t="str">
        <f>A336</f>
        <v>c5.66n</v>
      </c>
      <c r="AX77" s="2321">
        <f>MAX(0,((AT88-AT92)+F275)-PSA)</f>
        <v>3178</v>
      </c>
      <c r="BB77" s="682"/>
    </row>
    <row customFormat="1" customHeight="1" ht="11.45" r="78" s="3421" spans="1:54" x14ac:dyDescent="0.25">
      <c r="A78" s="2982" t="s">
        <v>6389</v>
      </c>
      <c r="B78" s="1731"/>
      <c r="C78" s="1731"/>
      <c r="G78" s="724"/>
      <c r="H78" s="117"/>
      <c r="J78" s="682"/>
      <c r="N78" s="2640" t="s">
        <v>6806</v>
      </c>
      <c r="O78" s="682"/>
      <c r="P78" s="3490"/>
      <c r="Q78" s="3427"/>
      <c r="R78" s="3428" t="s">
        <v>2386</v>
      </c>
      <c r="S78" s="936"/>
      <c r="W78" s="3482"/>
      <c r="X78" s="3482"/>
      <c r="Y78" s="2325"/>
      <c r="Z78" s="2325" t="str">
        <f><![CDATA[Y69&" minus ("&Y73&" + "&Y75&" + "&Y77&")"]]></f>
        <v>c5.58a.4 minus (c5.58a.6 + c5.58a.7 + c5.58a.8)</v>
      </c>
      <c r="AA78" s="3482"/>
      <c r="AL78" s="682"/>
      <c r="AM78" s="1057"/>
      <c r="AV78" s="2982"/>
      <c r="AW78" s="2982"/>
      <c r="AX78" s="2982"/>
      <c r="BB78" s="682"/>
    </row>
    <row customFormat="1" customHeight="1" ht="11.45" r="79" s="3421" spans="1:54" x14ac:dyDescent="0.25">
      <c r="A79" s="2982" t="s">
        <v>6390</v>
      </c>
      <c r="B79" s="1731"/>
      <c r="C79" s="1731"/>
      <c r="G79" s="724"/>
      <c r="H79" s="117"/>
      <c r="J79" s="682"/>
      <c r="N79" s="2640" t="s">
        <v>6807</v>
      </c>
      <c r="O79" s="682"/>
      <c r="P79" s="3490"/>
      <c r="Q79" s="3427"/>
      <c r="R79" s="3428" t="str">
        <f>Q81&amp;" = 0 (zero)"</f>
        <v>c5.52d = 0 (zero)</v>
      </c>
      <c r="S79" s="936"/>
      <c r="W79" s="3482"/>
      <c r="X79" s="3449" t="s">
        <v>8118</v>
      </c>
      <c r="Y79" s="3442" t="str">
        <f>A197</f>
        <v>c5.58a.9</v>
      </c>
      <c r="Z79" s="2321">
        <f>MAX(0,Z69-(Z73+Z75+Z77))</f>
        <v>10750</v>
      </c>
      <c r="AA79" s="3482"/>
      <c r="AL79" s="682"/>
      <c r="AM79" s="1057"/>
      <c r="AU79" s="2982"/>
      <c r="AV79" s="1945"/>
      <c r="AW79" s="1945"/>
      <c r="AX79" s="2325" t="str">
        <f><![CDATA["lower of ("&I126&" + "&Q126&" + "&AG126&" + "&AK126&" + "&AO126&") and "&AS88]]></f>
        <v>lower of (c5.44 + c5.52h + c5.58.7 + c5.62 + c5.66.7) and c5.66b</v>
      </c>
      <c r="BB79" s="682"/>
    </row>
    <row customFormat="1" customHeight="1" ht="11.45" r="80" s="3421" spans="1:54" x14ac:dyDescent="0.25">
      <c r="A80" s="2982" t="s">
        <v>6391</v>
      </c>
      <c r="B80" s="1731"/>
      <c r="C80" s="1731"/>
      <c r="G80" s="724"/>
      <c r="H80" s="117"/>
      <c r="J80" s="682"/>
      <c r="O80" s="682"/>
      <c r="P80" s="3490"/>
      <c r="Q80" s="3427"/>
      <c r="R80" s="3428" t="s">
        <v>2495</v>
      </c>
      <c r="S80" s="936"/>
      <c r="W80" s="3482"/>
      <c r="X80" s="3482"/>
      <c r="Y80" s="2325"/>
      <c r="Z80" s="2325" t="str">
        <f><![CDATA["lower of ("&E153&" minus "&I153&") and ("&'Status (c3a)'!H33&" minus ("&Y65&" + "&Y67&" + "&Y69&"))"]]></f>
        <v>lower of (c5.36 minus c5.45) and (c3a.1a minus (c5.58a.2 + c5.58a.3 + c5.58a.4))</v>
      </c>
      <c r="AA80" s="3482"/>
      <c r="AL80" s="682"/>
      <c r="AM80" s="1057"/>
      <c r="AU80" s="2982"/>
      <c r="AV80" s="2325" t="s">
        <v>8466</v>
      </c>
      <c r="AW80" s="3419" t="str">
        <f>A337</f>
        <v>c5.66o</v>
      </c>
      <c r="AX80" s="2321">
        <f>MIN(J126+R126+AH126+AL126+AP126,AT88)</f>
        <v>3678</v>
      </c>
      <c r="BB80" s="682"/>
    </row>
    <row customFormat="1" customHeight="1" ht="11.45" r="81" s="3421" spans="1:79" x14ac:dyDescent="0.25">
      <c r="A81" s="2982" t="s">
        <v>6424</v>
      </c>
      <c r="B81" s="1731"/>
      <c r="C81" s="1731"/>
      <c r="G81" s="724"/>
      <c r="H81" s="117"/>
      <c r="J81" s="682"/>
      <c r="N81" s="682"/>
      <c r="O81" s="682"/>
      <c r="P81" s="2325" t="str">
        <f>"Allowances for Dividends to retain more beneficial MAT_IN ("&amp;DOLLAR(T_P_A,0)&amp;")"</f>
        <v>Allowances for Dividends to retain more beneficial MAT_IN ($1,250)</v>
      </c>
      <c r="Q81" s="2162" t="str">
        <f>A87</f>
        <v>c5.52d</v>
      </c>
      <c r="R81" s="3638">
        <f>IF(AND(MAT_IN,HR_case_MAT=0,'Deductions (c4)'!M308&gt;BR_band+'Deductions (c4)'!M311),'Deductions (c4)'!M354+'Deductions (c4)'!M357,0)</f>
        <v>0</v>
      </c>
      <c r="S81" s="3431" t="s">
        <v>2694</v>
      </c>
      <c r="W81" s="3482"/>
      <c r="X81" s="2325" t="s">
        <v>8119</v>
      </c>
      <c r="Y81" s="3442" t="str">
        <f>A198</f>
        <v>c5.58a.10</v>
      </c>
      <c r="Z81" s="2321">
        <f>MAX(0,MIN(F153-J153,'Status (c3a)'!I33-(Z65+Z67+Z69)))</f>
        <v>0</v>
      </c>
      <c r="AA81" s="2674" t="s">
        <v>7978</v>
      </c>
      <c r="AG81" s="2982"/>
      <c r="AH81" s="2982"/>
      <c r="AI81" s="2982"/>
      <c r="AJ81" s="2982"/>
      <c r="AK81" s="2982"/>
      <c r="AL81" s="682"/>
      <c r="AM81" s="1057"/>
      <c r="AN81" s="2982"/>
      <c r="AO81" s="2982"/>
      <c r="AP81" s="2982"/>
      <c r="AQ81" s="2982"/>
      <c r="AR81" s="2982"/>
      <c r="AS81" s="2982"/>
      <c r="AT81" s="2982"/>
      <c r="AV81" s="1945"/>
      <c r="AW81" s="1945"/>
      <c r="AX81" s="2325" t="str">
        <f><![CDATA["lower of ("&E176&" minus ("&I176&" + "&Q176&" + "&AK176&" + "&AS176&" + "&AS92&")) and "&AW80]]></f>
        <v>lower of (c5.37 minus (c5.46 + c5.52l + c5.64 + c5.68a + c5.66d)) and c5.66o</v>
      </c>
      <c r="AY81" s="2982"/>
      <c r="AZ81" s="2982"/>
      <c r="BA81" s="2982"/>
      <c r="BB81" s="682"/>
      <c r="BC81" s="2982"/>
      <c r="BD81" s="2982"/>
      <c r="BE81" s="2982"/>
      <c r="BF81" s="2982"/>
      <c r="BG81" s="2982"/>
      <c r="BH81" s="2982"/>
      <c r="BI81" s="2982"/>
      <c r="BJ81" s="2982"/>
      <c r="BK81" s="2982"/>
      <c r="BL81" s="2982"/>
      <c r="BM81" s="2982"/>
      <c r="BN81" s="2982"/>
      <c r="BO81" s="2982"/>
      <c r="BP81" s="2982"/>
      <c r="BQ81" s="2982"/>
      <c r="BR81" s="2982"/>
      <c r="BS81" s="2982"/>
      <c r="BT81" s="2982"/>
      <c r="BU81" s="2982"/>
      <c r="BV81" s="2982"/>
      <c r="BW81" s="2982"/>
      <c r="BX81" s="2982"/>
      <c r="BY81" s="2982"/>
      <c r="BZ81" s="2982"/>
      <c r="CA81" s="2982"/>
    </row>
    <row customHeight="1" ht="11.45" r="82" spans="1:79" x14ac:dyDescent="0.25">
      <c r="A82" s="2982" t="s">
        <v>6168</v>
      </c>
      <c r="B82" s="1731"/>
      <c r="C82" s="1731"/>
      <c r="G82" s="724"/>
      <c r="H82" s="117"/>
      <c r="I82" s="715"/>
      <c r="J82" s="682"/>
      <c r="N82" s="2640"/>
      <c r="O82" s="682"/>
      <c r="R82" s="1945" t="str">
        <f>"lower of ("&amp;E126&amp;" minus "&amp;I126&amp;") and "&amp;AC17</f>
        <v>lower of (c5.35 minus c5.44) and c5.4a</v>
      </c>
      <c r="S82" s="1789"/>
      <c r="Y82" s="2325"/>
      <c r="Z82" s="2325" t="str">
        <f><![CDATA["lower of ("&E153&" minus ("&I153&" + "&Y81&")) and (("&'Status (c3a)'!H33&" + "&U8&") minus ("&Y65&" + "&Y67&" + "&Y69&" + "&Y81&"))"]]></f>
        <v>lower of (c5.36 minus (c5.45 + c5.58a.10)) and ((c3a.1a + c5.2) minus (c5.58a.2 + c5.58a.3 + c5.58a.4 + c5.58a.10))</v>
      </c>
      <c r="AA82" s="3482"/>
      <c r="AL82" s="682"/>
      <c r="AM82" s="1057"/>
      <c r="AU82" s="3421"/>
      <c r="AW82" s="3419" t="str">
        <f>A338</f>
        <v>c5.66p</v>
      </c>
      <c r="AX82" s="2321">
        <f>MAX(0,MIN(F176-(J176+R176+AL176+AT176+AT92),AX80))</f>
        <v>3678</v>
      </c>
      <c r="BB82" s="682"/>
    </row>
    <row customHeight="1" ht="11.45" r="83" spans="1:79" x14ac:dyDescent="0.25">
      <c r="A83" s="2982" t="s">
        <v>6172</v>
      </c>
      <c r="B83" s="1731"/>
      <c r="C83" s="1731"/>
      <c r="G83" s="724"/>
      <c r="H83" s="117"/>
      <c r="I83" s="715"/>
      <c r="J83" s="682"/>
      <c r="O83" s="682"/>
      <c r="P83" s="93"/>
      <c r="Q83" s="2162" t="str">
        <f>A88</f>
        <v>c5.52e</v>
      </c>
      <c r="R83" s="1978">
        <f>MIN(MAX(0,F126-J126),AD17)</f>
        <v>18486</v>
      </c>
      <c r="S83" s="3431" t="s">
        <v>2694</v>
      </c>
      <c r="X83" s="2325" t="s">
        <v>8120</v>
      </c>
      <c r="Y83" s="3442" t="str">
        <f>A199</f>
        <v>c5.58a.11</v>
      </c>
      <c r="Z83" s="2321">
        <f>MAX(0,MIN(F153-(J153+Z81),('Status (c3a)'!I33+V8)-(Z65+Z67+Z69+Z81)))</f>
        <v>0</v>
      </c>
      <c r="AA83" s="3482"/>
      <c r="AG83" s="3421"/>
      <c r="AH83" s="3421"/>
      <c r="AI83" s="3421"/>
      <c r="AJ83" s="3421"/>
      <c r="AK83" s="3421"/>
      <c r="AL83" s="682"/>
      <c r="AM83" s="1057"/>
      <c r="AN83" s="3421"/>
      <c r="AO83" s="3421"/>
      <c r="AP83" s="3421"/>
      <c r="AQ83" s="3421"/>
      <c r="AR83" s="3421"/>
      <c r="AS83" s="3421"/>
      <c r="AT83" s="3421"/>
      <c r="AW83" s="1945"/>
      <c r="AX83" s="2325" t="str">
        <f>"lower of "&amp;AW77&amp;" and "&amp;AW82</f>
        <v>lower of c5.66n and c5.66p</v>
      </c>
      <c r="AY83" s="3421"/>
      <c r="AZ83" s="3421"/>
      <c r="BA83" s="3421"/>
      <c r="BB83" s="682"/>
      <c r="BC83" s="3421"/>
      <c r="BD83" s="3421"/>
      <c r="BE83" s="3421"/>
      <c r="BF83" s="3421"/>
      <c r="BG83" s="3421"/>
      <c r="BH83" s="3421"/>
      <c r="BI83" s="3421"/>
      <c r="BJ83" s="3421"/>
      <c r="BK83" s="3421"/>
      <c r="BL83" s="3421"/>
      <c r="BM83" s="3421"/>
      <c r="BN83" s="3421"/>
      <c r="BO83" s="3421"/>
      <c r="BP83" s="3421"/>
      <c r="BQ83" s="3421"/>
      <c r="BR83" s="3421"/>
      <c r="BS83" s="3421"/>
      <c r="BT83" s="3421"/>
      <c r="BU83" s="3421"/>
      <c r="BV83" s="3421"/>
      <c r="BW83" s="3421"/>
      <c r="BX83" s="3421"/>
      <c r="BY83" s="3421"/>
      <c r="BZ83" s="3421"/>
      <c r="CA83" s="3421"/>
    </row>
    <row customFormat="1" customHeight="1" ht="11.45" r="84" s="3421" spans="1:79" x14ac:dyDescent="0.25">
      <c r="A84" s="2982" t="s">
        <v>6663</v>
      </c>
      <c r="B84" s="1731"/>
      <c r="C84" s="1731"/>
      <c r="G84" s="724"/>
      <c r="H84" s="117"/>
      <c r="I84" s="715"/>
      <c r="J84" s="682"/>
      <c r="O84" s="682"/>
      <c r="P84" s="93"/>
      <c r="Q84" s="3427"/>
      <c r="R84" s="2325" t="str">
        <f>"if "&amp;M126&amp;" &gt; 0 (zero)"</f>
        <v>if c5.49 &gt; 0 (zero)</v>
      </c>
      <c r="S84" s="1789"/>
      <c r="W84" s="3482"/>
      <c r="X84" s="981"/>
      <c r="Y84" s="2325"/>
      <c r="Z84" s="2325" t="str">
        <f><![CDATA["lower of ("&E153&" minus ("&I153&" + "&Y81&" + "&Y83&")) and (("&'Status (c3a)'!H33&" + "&U8&" + "&'Status (c3a)'!P33&") minus ("&Y65&" + "&Y67&" + "&Y69&" + "&Y81&" + "&Y83&"))"]]></f>
        <v>lower of (c5.36 minus (c5.45 + c5.58a.10 + c5.58a.11)) and ((c3a.1a + c5.2 + c3a.2a) minus (c5.58a.2 + c5.58a.3 + c5.58a.4 + c5.58a.10 + c5.58a.11))</v>
      </c>
      <c r="AA84" s="3482"/>
      <c r="AL84" s="682"/>
      <c r="AM84" s="1057"/>
      <c r="AU84" s="2982"/>
      <c r="AW84" s="3419" t="str">
        <f>A339</f>
        <v>c5.66p1</v>
      </c>
      <c r="AX84" s="2321">
        <f>MIN(AX77,AX82)</f>
        <v>3178</v>
      </c>
      <c r="BB84" s="682"/>
    </row>
    <row customFormat="1" customHeight="1" ht="11.45" r="85" s="3421" spans="1:79" x14ac:dyDescent="0.25">
      <c r="A85" s="2982" t="s">
        <v>6664</v>
      </c>
      <c r="B85" s="1731"/>
      <c r="C85" s="1731"/>
      <c r="G85" s="724"/>
      <c r="H85" s="117"/>
      <c r="I85" s="715"/>
      <c r="J85" s="682"/>
      <c r="O85" s="682"/>
      <c r="P85" s="2325"/>
      <c r="Q85" s="3427"/>
      <c r="R85" s="2325" t="str">
        <f><![CDATA[Q89&" = lower of ("&E126&" minus "&I126&") and ("&M126&"  + "&Q83&")"]]></f>
        <v>c5.52e1 = lower of (c5.35 minus c5.44) and (c5.49  + c5.52e)</v>
      </c>
      <c r="S85" s="1789"/>
      <c r="W85" s="3482"/>
      <c r="X85" s="2325" t="s">
        <v>8121</v>
      </c>
      <c r="Y85" s="3442" t="str">
        <f>A200</f>
        <v>c5.58a.12</v>
      </c>
      <c r="Z85" s="2321">
        <f>MAX(0,MIN(F153-(J153+Z81+Z83),('Status (c3a)'!I33+V8+'Status (c3a)'!Q33)-(Z65+Z67+Z69+Z81+Z83)))</f>
        <v>0</v>
      </c>
      <c r="AA85" s="3482"/>
      <c r="AL85" s="682"/>
      <c r="AM85" s="1057"/>
      <c r="AQ85" s="2982"/>
      <c r="AR85" s="3362"/>
      <c r="AS85" s="1945"/>
      <c r="AT85" s="2325" t="str">
        <f><![CDATA["("&E126&" + "&E280&") minus ("&I126&" + "&Q126&" + "&AG126&" + "&AK126&" + "&AO126&")"]]></f>
        <v>(c5.35 + c5.42) minus (c5.44 + c5.52h + c5.58.7 + c5.62 + c5.66.7)</v>
      </c>
      <c r="AU85" s="2982"/>
      <c r="AW85" s="1945"/>
      <c r="AX85" s="2325" t="str">
        <f><![CDATA["lower of ("&AW84&" minus ("&AS92&" + "&AW69&")) and ("&AS98&" minus ("&AS92&" + "&AS100&"))"]]></f>
        <v>lower of (c5.66p1 minus (c5.66d + c5.66j2)) and (c5.66g minus (c5.66d + c5.66h))</v>
      </c>
      <c r="BB85" s="682"/>
    </row>
    <row customFormat="1" customHeight="1" ht="11.45" r="86" s="3421" spans="1:79" x14ac:dyDescent="0.25">
      <c r="A86" s="2982" t="s">
        <v>6666</v>
      </c>
      <c r="B86" s="1731"/>
      <c r="C86" s="1731"/>
      <c r="G86" s="724"/>
      <c r="H86" s="117"/>
      <c r="I86" s="715"/>
      <c r="J86" s="682"/>
      <c r="N86" s="2640"/>
      <c r="O86" s="682"/>
      <c r="P86" s="93"/>
      <c r="Q86" s="715"/>
      <c r="R86" s="3429" t="s">
        <v>2386</v>
      </c>
      <c r="S86" s="1789"/>
      <c r="W86" s="3482"/>
      <c r="X86" s="3482"/>
      <c r="Y86" s="2325"/>
      <c r="Z86" s="2325" t="str">
        <f><![CDATA["lower of ("&E153&" minus ("&I153&" + "&Y81&" + "&Y83&" + "&Y85&")) and (("&'Status (c3a)'!H33&" + "&U8&" + "&'Status (c3a)'!P33&" + "&'Status (c3a)'!X33&") minus ("&Y65&" + "&Y67&" + "&Y69&" + "&Y81&" + "&Y83&" + "&Y85&"))"]]></f>
        <v>lower of (c5.36 minus (c5.45 + c5.58a.10 + c5.58a.11 + c5.58a.12)) and ((c3a.1a + c5.2 + c3a.2a + c3a.3) minus (c5.58a.2 + c5.58a.3 + c5.58a.4 + c5.58a.10 + c5.58a.11 + c5.58a.12))</v>
      </c>
      <c r="AA86" s="3482"/>
      <c r="AL86" s="682"/>
      <c r="AM86" s="1057"/>
      <c r="AQ86" s="1945"/>
      <c r="AR86" s="2325" t="s">
        <v>7794</v>
      </c>
      <c r="AS86" s="3419" t="str">
        <f>A321</f>
        <v>c5.66a</v>
      </c>
      <c r="AT86" s="2321">
        <f>MAX(0,(F126+F280)-(J126+R126+AH126+AL126+AP126))</f>
        <v>33744</v>
      </c>
      <c r="AU86" s="2982"/>
      <c r="AW86" s="3419" t="str">
        <f>A340</f>
        <v>c5.66p2</v>
      </c>
      <c r="AX86" s="2321">
        <f>MAX(0,MIN(AX84-(AT92+AX69),AT98-(AT92+AT100)))</f>
        <v>2678</v>
      </c>
      <c r="AY86" s="2982"/>
      <c r="BB86" s="682"/>
    </row>
    <row customFormat="1" customHeight="1" ht="11.45" r="87" s="3421" spans="1:79" x14ac:dyDescent="0.25">
      <c r="A87" s="2982" t="s">
        <v>6667</v>
      </c>
      <c r="B87" s="1731"/>
      <c r="C87" s="1731"/>
      <c r="G87" s="724"/>
      <c r="H87" s="117"/>
      <c r="I87" s="715"/>
      <c r="J87" s="682"/>
      <c r="N87" s="2640"/>
      <c r="O87" s="682"/>
      <c r="P87" s="2325"/>
      <c r="Q87" s="3427"/>
      <c r="R87" s="2325" t="str">
        <f><![CDATA[Q89&" = lower of ("&E126&" minus "&I126&") and ("&E8&" minus ("&I182&" + "&I253&"))"]]></f>
        <v>c5.52e1 = lower of (c5.35 minus c5.44) and (c5.1 minus (c5.47 + c5.48))</v>
      </c>
      <c r="S87" s="1789"/>
      <c r="W87" s="3482"/>
      <c r="X87" s="2325" t="s">
        <v>8122</v>
      </c>
      <c r="Y87" s="3442" t="str">
        <f>A201</f>
        <v>c5.58a.13</v>
      </c>
      <c r="Z87" s="2321">
        <f>MAX(0,MIN(F153-(J153+Z81+Z83+Z85),('Status (c3a)'!I33+V8+'Status (c3a)'!Q33+'Status (c3a)'!Y33)-(Z65+Z67+Z69+Z81+Z83+Z85)))</f>
        <v>0</v>
      </c>
      <c r="AA87" s="3482"/>
      <c r="AL87" s="682"/>
      <c r="AM87" s="1057"/>
      <c r="AQ87" s="2982"/>
      <c r="AR87" s="1057"/>
      <c r="AS87" s="1945"/>
      <c r="AT87" s="2325" t="str">
        <f><![CDATA[E176&" minus ("&I176&" + "&Q176&" + "&AK176&" + "&AS176&")"]]></f>
        <v>c5.37 minus (c5.46 + c5.52l + c5.64 + c5.68a)</v>
      </c>
      <c r="AU87" s="2982"/>
      <c r="AW87" s="1945"/>
      <c r="AX87" s="2325" t="str">
        <f><![CDATA[AW84&" minus ("&AS92&" + "&AS100&" + "&AS102&" + "&AW86&")"]]></f>
        <v>c5.66p1 minus (c5.66d + c5.66h + c5.66i + c5.66p2)</v>
      </c>
      <c r="AY87" s="2982"/>
      <c r="BB87" s="682"/>
    </row>
    <row customFormat="1" customHeight="1" ht="11.45" r="88" s="3421" spans="1:79" x14ac:dyDescent="0.25">
      <c r="A88" s="2982" t="s">
        <v>6671</v>
      </c>
      <c r="B88" s="1731"/>
      <c r="C88" s="1731"/>
      <c r="G88" s="724"/>
      <c r="H88" s="117"/>
      <c r="I88" s="715"/>
      <c r="J88" s="682"/>
      <c r="N88" s="2640"/>
      <c r="O88" s="682"/>
      <c r="P88" s="2982"/>
      <c r="Q88" s="981"/>
      <c r="R88" s="3429" t="s">
        <v>2495</v>
      </c>
      <c r="S88" s="2982"/>
      <c r="W88" s="3482"/>
      <c r="X88" s="3482"/>
      <c r="Y88" s="2325"/>
      <c r="Z88" s="2325" t="str">
        <f><![CDATA["("&Y81&" x "&'Status (c3a)'!H44&") + ("&Y83&" x "&'Status (c3a)'!L44&") + ("&Y85&" x "&'Status (c3a)'!P44&") + ("&Y87&" x "&'Status (c3a)'!X44&")"]]></f>
        <v>(c5.58a.10 x c3a.3b) + (c5.58a.11 x c3a.4) + (c5.58a.12 x c3a.4a) + (c5.58a.13 x c3a.5)</v>
      </c>
      <c r="AA88" s="3482"/>
      <c r="AG88" s="2982"/>
      <c r="AH88" s="2982"/>
      <c r="AI88" s="2982"/>
      <c r="AJ88" s="2982"/>
      <c r="AK88" s="2982"/>
      <c r="AL88" s="682"/>
      <c r="AM88" s="1057"/>
      <c r="AN88" s="2982"/>
      <c r="AO88" s="2982"/>
      <c r="AP88" s="2982"/>
      <c r="AQ88" s="2982"/>
      <c r="AR88" s="2325" t="s">
        <v>7795</v>
      </c>
      <c r="AS88" s="3419" t="str">
        <f>A322</f>
        <v>c5.66b</v>
      </c>
      <c r="AT88" s="2321">
        <f>MAX(0,F176-(J176+R176+AL176+AT176))</f>
        <v>3678</v>
      </c>
      <c r="AU88" s="2982"/>
      <c r="AW88" s="3419" t="str">
        <f>A341</f>
        <v>c5.66p3</v>
      </c>
      <c r="AX88" s="2321">
        <f>MAX(0,AX84-(AT92+AT100+AT102+AX86))</f>
        <v>0</v>
      </c>
      <c r="AY88" s="2982"/>
      <c r="AZ88" s="2982"/>
      <c r="BA88" s="2982"/>
      <c r="BB88" s="682"/>
      <c r="BC88" s="2982"/>
      <c r="BD88" s="2982"/>
      <c r="BE88" s="2982"/>
      <c r="BF88" s="2982"/>
      <c r="BG88" s="2982"/>
      <c r="BH88" s="2982"/>
      <c r="BI88" s="2982"/>
      <c r="BJ88" s="2982"/>
      <c r="BK88" s="2982"/>
      <c r="BL88" s="2982"/>
      <c r="BM88" s="2982"/>
      <c r="BN88" s="2982"/>
      <c r="BO88" s="2982"/>
      <c r="BP88" s="2982"/>
      <c r="BQ88" s="2982"/>
      <c r="BR88" s="2982"/>
      <c r="BS88" s="2982"/>
      <c r="BT88" s="2982"/>
      <c r="BU88" s="2982"/>
      <c r="BV88" s="2982"/>
      <c r="BW88" s="2982"/>
      <c r="BX88" s="2982"/>
      <c r="BY88" s="2982"/>
      <c r="BZ88" s="2982"/>
      <c r="CA88" s="2982"/>
    </row>
    <row customHeight="1" ht="11.45" r="89" spans="1:79" x14ac:dyDescent="0.25">
      <c r="A89" s="2982" t="s">
        <v>6902</v>
      </c>
      <c r="B89" s="1731"/>
      <c r="C89" s="1731"/>
      <c r="G89" s="724"/>
      <c r="H89" s="117"/>
      <c r="I89" s="715"/>
      <c r="J89" s="682"/>
      <c r="O89" s="682"/>
      <c r="P89" s="2325" t="s">
        <v>7835</v>
      </c>
      <c r="Q89" s="2162" t="str">
        <f>A89</f>
        <v>c5.52e1</v>
      </c>
      <c r="R89" s="1981">
        <f>MAX(0,IF(N126&gt;0,MIN((F126-J126),(N126+R83)),MIN((F126-J126),F8-(J182+J253))))</f>
        <v>32186</v>
      </c>
      <c r="X89" s="2325" t="s">
        <v>8123</v>
      </c>
      <c r="Y89" s="3442" t="str">
        <f>A202</f>
        <v>c5.58a.14</v>
      </c>
      <c r="Z89" s="2298">
        <f>TRUNC((Z81*'Status (c3a)'!I44)+(Z83*'Status (c3a)'!M44)+(Z85*'Status (c3a)'!Q44)+(Z87*'Status (c3a)'!Y44),2)</f>
        <v>0</v>
      </c>
      <c r="AA89" s="3441" t="s">
        <v>2694</v>
      </c>
      <c r="AL89" s="682"/>
      <c r="AM89" s="1057"/>
      <c r="AR89" s="1057"/>
      <c r="AT89" s="2325" t="str">
        <f>"SR_band ("&amp;DOLLAR(SR_band,0)&amp;") minus "&amp;AS86</f>
        <v>SR_band ($5,000) minus c5.66a</v>
      </c>
      <c r="AW89" s="1945"/>
      <c r="AX89" s="2325" t="str">
        <f>"lower of ("&amp;'Status (c3a)'!H33&amp;" minus "&amp;'Taxable (c5)'!AS86&amp;") and "&amp;AW84</f>
        <v>lower of (c3a.1a minus c5.66a) and c5.66p1</v>
      </c>
      <c r="BB89" s="682"/>
    </row>
    <row customHeight="1" ht="11.45" r="90" spans="1:79" x14ac:dyDescent="0.25">
      <c r="A90" s="2982" t="s">
        <v>6903</v>
      </c>
      <c r="B90" s="1731"/>
      <c r="C90" s="1731"/>
      <c r="G90" s="724"/>
      <c r="H90" s="117"/>
      <c r="I90" s="715"/>
      <c r="J90" s="682"/>
      <c r="O90" s="682"/>
      <c r="Q90" s="981"/>
      <c r="R90" s="2325" t="s">
        <v>6393</v>
      </c>
      <c r="S90" s="1789"/>
      <c r="Y90" s="2325"/>
      <c r="Z90" s="2325" t="str">
        <f><![CDATA["lower of ("&E153&" minus ("&I153&" + "&Y63&")) and ("&'Status (c3a)'!H33&" minus ("&Y65&" + "&Y67&" + "&Y69&"))"]]></f>
        <v>lower of (c5.36 minus (c5.45 + c5.58a.1)) and (c3a.1a minus (c5.58a.2 + c5.58a.3 + c5.58a.4))</v>
      </c>
      <c r="AA90" s="3482"/>
      <c r="AL90" s="682"/>
      <c r="AM90" s="1057"/>
      <c r="AR90" s="2325" t="s">
        <v>7796</v>
      </c>
      <c r="AS90" s="3419" t="str">
        <f>A323</f>
        <v>c5.66c</v>
      </c>
      <c r="AT90" s="2321">
        <f>MAX(0,SR_band-AT86)</f>
        <v>0</v>
      </c>
      <c r="AW90" s="3419" t="str">
        <f>A342</f>
        <v>c5.66p4</v>
      </c>
      <c r="AX90" s="2321">
        <f>MAX(0,MIN('Status (c3a)'!I33-AT86,AX84))</f>
        <v>0</v>
      </c>
      <c r="BB90" s="682"/>
    </row>
    <row customHeight="1" ht="11.45" r="91" spans="1:79" x14ac:dyDescent="0.25">
      <c r="A91" s="2982" t="s">
        <v>6904</v>
      </c>
      <c r="B91" s="1731"/>
      <c r="C91" s="1731"/>
      <c r="G91" s="724"/>
      <c r="H91" s="117"/>
      <c r="I91" s="715"/>
      <c r="J91" s="682"/>
      <c r="N91" s="682"/>
      <c r="O91" s="682"/>
      <c r="Q91" s="2162" t="str">
        <f>A90</f>
        <v>c5.52e2</v>
      </c>
      <c r="R91" s="1978">
        <v>0</v>
      </c>
      <c r="S91" s="3366"/>
      <c r="X91" s="2325" t="s">
        <v>8119</v>
      </c>
      <c r="Y91" s="3442" t="str">
        <f>A203</f>
        <v>c5.58a.15</v>
      </c>
      <c r="Z91" s="2321">
        <f>MAX(0,MIN(F153-(J153+Z63),'Status (c3a)'!I33-(Z65+Z67+Z69)))</f>
        <v>0</v>
      </c>
      <c r="AA91" s="2674" t="s">
        <v>7978</v>
      </c>
      <c r="AL91" s="682"/>
      <c r="AM91" s="1057"/>
      <c r="AR91" s="1057"/>
      <c r="AT91" s="2325" t="str">
        <f>"lower of "&amp;AS88&amp;" and "&amp;AS90</f>
        <v>lower of c5.66b and c5.66c</v>
      </c>
      <c r="AW91" s="1945"/>
      <c r="AX91" s="2325" t="str">
        <f><![CDATA["lower of (("&'Status (c3a)'!H33&" + "&'Status (c3a)'!L33&") minus "&AS86&") and ("&AW84&" minus "&AW90&")"]]></f>
        <v>lower of ((c3a.1a + c3a.2) minus c5.66a) and (c5.66p1 minus c5.66p4)</v>
      </c>
      <c r="BB91" s="682"/>
    </row>
    <row customHeight="1" ht="11.45" r="92" spans="1:79" x14ac:dyDescent="0.25">
      <c r="A92" s="2982" t="s">
        <v>6905</v>
      </c>
      <c r="B92" s="1731"/>
      <c r="C92" s="1731"/>
      <c r="G92" s="724"/>
      <c r="H92" s="117"/>
      <c r="I92" s="715"/>
      <c r="J92" s="682"/>
      <c r="N92" s="682"/>
      <c r="O92" s="682"/>
      <c r="Q92" s="981"/>
      <c r="R92" s="2325" t="s">
        <v>6393</v>
      </c>
      <c r="S92" s="1789"/>
      <c r="Y92" s="2325"/>
      <c r="Z92" s="2325" t="str">
        <f><![CDATA["lower of ("&E153&" minus ("&I153&" + "&Y63&" + "&Y91&")) and (("&'Status (c3a)'!H33&" + "&U8&") minus ("&Y65&" + "&Y67&" + "&Y69&" + "&Y91&"))"]]></f>
        <v>lower of (c5.36 minus (c5.45 + c5.58a.1 + c5.58a.15)) and ((c3a.1a + c5.2) minus (c5.58a.2 + c5.58a.3 + c5.58a.4 + c5.58a.15))</v>
      </c>
      <c r="AA92" s="3482"/>
      <c r="AL92" s="682"/>
      <c r="AM92" s="1057"/>
      <c r="AR92" s="2325" t="s">
        <v>7797</v>
      </c>
      <c r="AS92" s="3419" t="str">
        <f>A324</f>
        <v>c5.66d</v>
      </c>
      <c r="AT92" s="2321">
        <f>MIN(AT88,AT90)</f>
        <v>0</v>
      </c>
      <c r="AW92" s="3419" t="str">
        <f>A343</f>
        <v>c5.66p5</v>
      </c>
      <c r="AX92" s="2321">
        <f>MAX(0,MIN(('Status (c3a)'!I33+'Status (c3a)'!M33)-AT86,AX84-AX90))</f>
        <v>0</v>
      </c>
      <c r="BB92" s="682"/>
    </row>
    <row customHeight="1" ht="11.45" r="93" spans="1:79" x14ac:dyDescent="0.25">
      <c r="A93" s="2982" t="s">
        <v>6906</v>
      </c>
      <c r="B93" s="1731"/>
      <c r="C93" s="1731"/>
      <c r="G93" s="724"/>
      <c r="H93" s="117"/>
      <c r="I93" s="715"/>
      <c r="J93" s="682"/>
      <c r="N93" s="682"/>
      <c r="O93" s="682"/>
      <c r="P93" s="3432" t="s">
        <v>6882</v>
      </c>
      <c r="Q93" s="2162" t="str">
        <f>A91</f>
        <v>c5.52e3</v>
      </c>
      <c r="R93" s="1978">
        <v>0</v>
      </c>
      <c r="S93" s="1057"/>
      <c r="X93" s="2325" t="s">
        <v>8120</v>
      </c>
      <c r="Y93" s="3442" t="str">
        <f>A204</f>
        <v>c5.58a.16</v>
      </c>
      <c r="Z93" s="2321">
        <f>MAX(0,MIN(F153-(J153+Z63+Z91),('Status (c3a)'!I33+V8)-(Z65+Z67+Z69+Z91)))</f>
        <v>0</v>
      </c>
      <c r="AA93" s="3482"/>
      <c r="AL93" s="682"/>
      <c r="AM93" s="1057"/>
      <c r="AR93" s="1057"/>
      <c r="AT93" s="2325" t="str">
        <f>M33&amp;" + "&amp;AG36&amp;" + "&amp;AO36</f>
        <v>c5.14 + c5.19 + c5.20c</v>
      </c>
      <c r="AU93" s="4342"/>
      <c r="AW93" s="1945"/>
      <c r="AX93" s="2325" t="str">
        <f><![CDATA["lower of (("&'Status (c3a)'!H33&" + "&'Status (c3a)'!L33&" + "&'Status (c3a)'!P33&") minus "&AS86&") and ("&AW84&" minus ("&AW90&" + "&AW92&"))"]]></f>
        <v>lower of ((c3a.1a + c3a.2 + c3a.2a) minus c5.66a) and (c5.66p1 minus (c5.66p4 + c5.66p5))</v>
      </c>
      <c r="BB93" s="682"/>
    </row>
    <row customHeight="1" ht="11.45" r="94" spans="1:79" x14ac:dyDescent="0.25">
      <c r="A94" s="2982" t="s">
        <v>6907</v>
      </c>
      <c r="B94" s="1731"/>
      <c r="C94" s="1731"/>
      <c r="G94" s="724"/>
      <c r="H94" s="117"/>
      <c r="I94" s="715"/>
      <c r="J94" s="682"/>
      <c r="N94" s="682"/>
      <c r="O94" s="682"/>
      <c r="Q94" s="981"/>
      <c r="R94" s="2325" t="s">
        <v>6393</v>
      </c>
      <c r="X94" s="981"/>
      <c r="Y94" s="2325"/>
      <c r="Z94" s="2325" t="str">
        <f><![CDATA["lower of ("&E153&" minus ("&I153&" + "&Y63&" + "&Y91&" + "&Y93&")) and (("&'Status (c3a)'!H33&" + "&U8&" + "&'Status (c3a)'!P33&") minus ("&Y65&" + "&Y67&" + "&Y69&" + "&Y91&" + "&Y93&"))"]]></f>
        <v>lower of (c5.36 minus (c5.45 + c5.58a.1 + c5.58a.15 + c5.58a.16)) and ((c3a.1a + c5.2 + c3a.2a) minus (c5.58a.2 + c5.58a.3 + c5.58a.4 + c5.58a.15 + c5.58a.16))</v>
      </c>
      <c r="AA94" s="3482"/>
      <c r="AL94" s="682"/>
      <c r="AM94" s="1057"/>
      <c r="AR94" s="2325" t="s">
        <v>7798</v>
      </c>
      <c r="AS94" s="3419" t="str">
        <f>A325</f>
        <v>c5.66e</v>
      </c>
      <c r="AT94" s="2321">
        <f>N33+AH36+AP36</f>
        <v>500</v>
      </c>
      <c r="AU94" s="4342"/>
      <c r="AW94" s="3419" t="str">
        <f>A344</f>
        <v>c5.66p6</v>
      </c>
      <c r="AX94" s="2321">
        <f>MAX(0,MIN(('Status (c3a)'!I33+'Status (c3a)'!M33+'Status (c3a)'!Q33)-AT86,AX84-(AX90+AX92)))</f>
        <v>0</v>
      </c>
      <c r="BB94" s="682"/>
    </row>
    <row customHeight="1" ht="11.45" r="95" spans="1:79" x14ac:dyDescent="0.25">
      <c r="A95" s="2982" t="s">
        <v>6908</v>
      </c>
      <c r="B95" s="1731"/>
      <c r="C95" s="1731"/>
      <c r="G95" s="724"/>
      <c r="H95" s="117"/>
      <c r="I95" s="715"/>
      <c r="J95" s="682"/>
      <c r="N95" s="682"/>
      <c r="O95" s="682"/>
      <c r="Q95" s="2162" t="str">
        <f>A92</f>
        <v>c5.52e4</v>
      </c>
      <c r="R95" s="1978">
        <v>0</v>
      </c>
      <c r="S95" s="3431" t="s">
        <v>2694</v>
      </c>
      <c r="X95" s="2325" t="s">
        <v>8121</v>
      </c>
      <c r="Y95" s="3442" t="str">
        <f>A205</f>
        <v>c5.58a.17</v>
      </c>
      <c r="Z95" s="2321">
        <f>MAX(0,MIN(F153-(J153+Z63+Z91+Z93),('Status (c3a)'!I33+V8+'Status (c3a)'!Q33)-(Z65+Z67+Z69+Z91+Z93)))</f>
        <v>0</v>
      </c>
      <c r="AA95" s="3482"/>
      <c r="AL95" s="682"/>
      <c r="AM95" s="1057"/>
      <c r="AR95" s="3362"/>
      <c r="AS95" s="1945"/>
      <c r="AT95" s="2325" t="str">
        <f><![CDATA[E126&" minus ("&I126&" + "&Q126&" + "&AG126&" + "&AK126&" + "&AO126&")"]]></f>
        <v>c5.35 minus (c5.44 + c5.52h + c5.58.7 + c5.62 + c5.66.7)</v>
      </c>
      <c r="AU95" s="4342"/>
      <c r="AW95" s="1945"/>
      <c r="AX95" s="2325" t="str">
        <f><![CDATA[AW84&" minus ("&AW90&" + "&AW92&" + "&AW94&")"]]></f>
        <v>c5.66p1 minus (c5.66p4 + c5.66p5 + c5.66p6)</v>
      </c>
      <c r="BB95" s="682"/>
    </row>
    <row customHeight="1" ht="12" r="96" spans="1:79" x14ac:dyDescent="0.25">
      <c r="A96" s="2982" t="s">
        <v>6909</v>
      </c>
      <c r="B96" s="1731"/>
      <c r="C96" s="1731"/>
      <c r="G96" s="724"/>
      <c r="J96" s="93" t="str">
        <f>"lower of "&amp;E8&amp;" and "&amp;E126</f>
        <v>lower of c5.1 and c5.35</v>
      </c>
      <c r="N96" s="93"/>
      <c r="O96" s="682"/>
      <c r="Q96" s="981"/>
      <c r="R96" s="2325" t="s">
        <v>6393</v>
      </c>
      <c r="S96" s="1057"/>
      <c r="Y96" s="2325"/>
      <c r="Z96" s="2325" t="str">
        <f><![CDATA["lower of ("&E153&" minus ("&I153&" + "&Y63&" + "&Y91&" + "&Y93&" + "&Y95&")) and (("&'Status (c3a)'!H33&" + "&U8&" + "&'Status (c3a)'!P33&" + "&'Status (c3a)'!X33&") minus ("&Y65&" + "&Y67&" + "&Y69&" + "&Y91&" + "&Y93&" + "&Y95&"))"]]></f>
        <v>lower of (c5.36 minus (c5.45 + c5.58a.1 + c5.58a.15 + c5.58a.16 + c5.58a.17)) and ((c3a.1a + c5.2 + c3a.2a + c3a.3) minus (c5.58a.2 + c5.58a.3 + c5.58a.4 + c5.58a.15 + c5.58a.16 + c5.58a.17))</v>
      </c>
      <c r="AA96" s="3482"/>
      <c r="AL96" s="682"/>
      <c r="AM96" s="1057"/>
      <c r="AR96" s="1057"/>
      <c r="AS96" s="3419" t="str">
        <f>A326</f>
        <v>c5.66f</v>
      </c>
      <c r="AT96" s="2321">
        <f>MAX(0,F126-(J126+R126+AH126+AL126+AP126))</f>
        <v>33744</v>
      </c>
      <c r="AW96" s="3419" t="str">
        <f>A345</f>
        <v>c5.66p7</v>
      </c>
      <c r="AX96" s="2321">
        <f>MAX(0,AX84-(AX90+AX92+AX94))</f>
        <v>3178</v>
      </c>
      <c r="BB96" s="682"/>
    </row>
    <row customHeight="1" ht="12" r="97" spans="1:79" x14ac:dyDescent="0.25">
      <c r="A97" s="2982" t="s">
        <v>6910</v>
      </c>
      <c r="B97" s="1731"/>
      <c r="C97" s="1731"/>
      <c r="G97" s="724"/>
      <c r="H97" s="93" t="s">
        <v>6669</v>
      </c>
      <c r="I97" s="2119" t="str">
        <f>A58</f>
        <v>c5.43a</v>
      </c>
      <c r="J97" s="1981">
        <f>MIN(F8,F126)</f>
        <v>13700</v>
      </c>
      <c r="O97" s="682"/>
      <c r="P97" s="3432" t="s">
        <v>6883</v>
      </c>
      <c r="Q97" s="2162" t="str">
        <f>A93</f>
        <v>c5.52e5</v>
      </c>
      <c r="R97" s="1978">
        <v>0</v>
      </c>
      <c r="S97" s="2835"/>
      <c r="X97" s="2325" t="s">
        <v>8122</v>
      </c>
      <c r="Y97" s="3442" t="str">
        <f>A206</f>
        <v>c5.58a.18</v>
      </c>
      <c r="Z97" s="2321">
        <f>MAX(0,MIN(F153-(J153+Z63+Z91+Z93+Z95),('Status (c3a)'!I33+V8+'Status (c3a)'!Q33+'Status (c3a)'!Y33)-(Z65+Z67+Z69+Z91+Z93+Z95)))</f>
        <v>0</v>
      </c>
      <c r="AA97" s="3482"/>
      <c r="AL97" s="682"/>
      <c r="AM97" s="1057"/>
      <c r="AR97" s="1057"/>
      <c r="AS97" s="3394"/>
      <c r="AT97" s="2325" t="str">
        <f>AK8&amp;" minus "&amp;AS96</f>
        <v>c5.2a minus c5.66f</v>
      </c>
      <c r="AW97" s="1945"/>
      <c r="AX97" s="3501" t="str">
        <f><![CDATA["(("&AW86&" x BR_rate ("&BR_rate*100&"%)) + ("&AW88&" x HR_rate ("&HR_rate*100&"%)) + ("&AW73&" x BR_rate ("&BR_rate*100&"%)) + ("&AW75&" x HR_rate ("&HR_rate*100&"%))) minus"]]></f>
        <v>((c5.66p2 x BR_rate (20%)) + (c5.66p3 x HR_rate (40%)) + (c5.66l x BR_rate (20%)) + (c5.66m x HR_rate (40%))) minus</v>
      </c>
      <c r="BB97" s="682"/>
    </row>
    <row customHeight="1" ht="12" r="98" spans="1:79" x14ac:dyDescent="0.25">
      <c r="A98" s="2982" t="s">
        <v>6911</v>
      </c>
      <c r="B98" s="1731"/>
      <c r="C98" s="2979"/>
      <c r="F98" s="981"/>
      <c r="G98" s="1477"/>
      <c r="J98" s="93" t="str">
        <f>"lower of "&amp;I36&amp;" and "&amp;E8</f>
        <v>lower of c5.12 and c5.1</v>
      </c>
      <c r="O98" s="682"/>
      <c r="Q98" s="981"/>
      <c r="R98" s="2325" t="s">
        <v>6393</v>
      </c>
      <c r="Y98" s="2325"/>
      <c r="Z98" s="2325" t="str">
        <f><![CDATA["("&Y91&" x "&'Status (c3a)'!H44&") + ("&Y93&" x "&'Status (c3a)'!L44&") + ("&Y95&" x "&'Status (c3a)'!P44&") + ("&Y97&" x "&'Status (c3a)'!X44&")"]]></f>
        <v>(c5.58a.15 x c3a.3b) + (c5.58a.16 x c3a.4) + (c5.58a.17 x c3a.4a) + (c5.58a.18 x c3a.5)</v>
      </c>
      <c r="AA98" s="3482"/>
      <c r="AL98" s="682"/>
      <c r="AM98" s="1057"/>
      <c r="AR98" s="2325" t="s">
        <v>7799</v>
      </c>
      <c r="AS98" s="3419" t="str">
        <f>A327</f>
        <v>c5.66g</v>
      </c>
      <c r="AT98" s="2321">
        <f>MAX(0,AL8-AT96)</f>
        <v>5381</v>
      </c>
      <c r="AW98" s="1945"/>
      <c r="AX98" s="2325" t="str">
        <f><![CDATA["(("&AW90&" x "&'Status (c3a)'!H44&") + ("&'Taxable (c5)'!AW92&" x "&'Status (c3a)'!L44&") + ("&'Taxable (c5)'!AW94&" x "&'Status (c3a)'!P44&") + ("&'Taxable (c5)'!AW96&" x "&'Status (c3a)'!X44&"))"]]></f>
        <v>((c5.66p4 x c3a.3b) + (c5.66p5 x c3a.4) + (c5.66p6 x c3a.4a) + (c5.66p7 x c3a.5))</v>
      </c>
      <c r="AY98" s="2675"/>
    </row>
    <row customHeight="1" ht="11.25" r="99" spans="1:79" x14ac:dyDescent="0.25">
      <c r="A99" s="2982" t="s">
        <v>6672</v>
      </c>
      <c r="B99" s="1731"/>
      <c r="C99" s="2979"/>
      <c r="G99" s="1477"/>
      <c r="H99" s="93" t="s">
        <v>6665</v>
      </c>
      <c r="I99" s="2119" t="str">
        <f>A59</f>
        <v>c5.43b</v>
      </c>
      <c r="J99" s="1981">
        <f>MIN(J36,F8)</f>
        <v>0</v>
      </c>
      <c r="O99" s="682"/>
      <c r="Q99" s="2162" t="str">
        <f>A94</f>
        <v>c5.52e6</v>
      </c>
      <c r="R99" s="1978">
        <v>0</v>
      </c>
      <c r="S99" s="3431" t="s">
        <v>2694</v>
      </c>
      <c r="X99" s="2325" t="s">
        <v>8123</v>
      </c>
      <c r="Y99" s="3442" t="str">
        <f>A207</f>
        <v>c5.58a.19</v>
      </c>
      <c r="Z99" s="2298">
        <f>TRUNC((Z91*'Status (c3a)'!I44)+('Taxable (c5)'!Z93*'Status (c3a)'!M44)+('Taxable (c5)'!Z95*'Status (c3a)'!Q44)+('Taxable (c5)'!Z97*'Status (c3a)'!Y44),2)</f>
        <v>0</v>
      </c>
      <c r="AA99" s="3441" t="s">
        <v>2694</v>
      </c>
      <c r="AL99" s="682"/>
      <c r="AM99" s="1057"/>
      <c r="AS99" s="3394"/>
      <c r="AT99" s="2325" t="str">
        <f>"lower of "&amp;AS94&amp;" and "&amp;AS98</f>
        <v>lower of c5.66e and c5.66g</v>
      </c>
      <c r="AW99" s="3419" t="str">
        <f>A346</f>
        <v>c5.66p8</v>
      </c>
      <c r="AX99" s="2298">
        <f>MAX(0,((AX86*BR_rate)+(AX88*HR_rate)+(AX73*BR_rate)+(AX75*HR_rate))-((AX90*'Status (c3a)'!I44)+(AX92*'Status (c3a)'!M44)+(AX94*'Status (c3a)'!Q44)+(AX96*'Status (c3a)'!Y44)))</f>
        <v>0</v>
      </c>
      <c r="AY99" s="2675"/>
    </row>
    <row customHeight="1" ht="11.25" r="100" spans="1:79" x14ac:dyDescent="0.25">
      <c r="A100" s="2982" t="s">
        <v>6674</v>
      </c>
      <c r="B100" s="1731"/>
      <c r="C100" s="2979"/>
      <c r="G100" s="724"/>
      <c r="J100" s="93" t="str">
        <f>"if "&amp;I99&amp;" &gt; 0 (zero)"</f>
        <v>if c5.43b &gt; 0 (zero)</v>
      </c>
      <c r="M100" s="715"/>
      <c r="N100" s="682"/>
      <c r="O100" s="682"/>
      <c r="Q100" s="93"/>
      <c r="R100" s="2325" t="s">
        <v>6393</v>
      </c>
      <c r="Y100" s="2325"/>
      <c r="Z100" s="2325" t="str">
        <f>Y89&amp;" minus "&amp;Y99</f>
        <v>c5.58a.14 minus c5.58a.19</v>
      </c>
      <c r="AA100" s="3482"/>
      <c r="AI100" s="93"/>
      <c r="AL100" s="682"/>
      <c r="AM100" s="1057"/>
      <c r="AR100" s="2325" t="s">
        <v>7800</v>
      </c>
      <c r="AS100" s="3419" t="str">
        <f>A328</f>
        <v>c5.66h</v>
      </c>
      <c r="AT100" s="2321">
        <f>MIN(AT94,AT98)</f>
        <v>500</v>
      </c>
      <c r="AX100" s="2325" t="str">
        <f><![CDATA["if ("&AS92&" + "&AW82&") >= "&AS88&" and"]]></f>
        <v>if (c5.66d + c5.66p) &gt;= c5.66b and</v>
      </c>
      <c r="BB100" s="682"/>
    </row>
    <row customHeight="1" ht="12" r="101" spans="1:79" x14ac:dyDescent="0.25">
      <c r="A101" s="2982" t="s">
        <v>6675</v>
      </c>
      <c r="B101" s="1731"/>
      <c r="G101" s="724"/>
      <c r="J101" s="93" t="str">
        <f>"and ("&amp;AS17&amp;" + "&amp;AS36&amp;") &gt; 0 (zero)"</f>
        <v>and (c5.6 + c5.21) &gt; 0 (zero)</v>
      </c>
      <c r="O101" s="682"/>
      <c r="Q101" s="2162" t="str">
        <f>A95</f>
        <v>c5.52e7</v>
      </c>
      <c r="R101" s="1978">
        <v>0</v>
      </c>
      <c r="X101" s="3445" t="s">
        <v>8124</v>
      </c>
      <c r="Y101" s="3442" t="str">
        <f>A208</f>
        <v>c5.58a.20</v>
      </c>
      <c r="Z101" s="2298">
        <f>MAX(0,Z89-Z99)</f>
        <v>0</v>
      </c>
      <c r="AA101" s="3482"/>
      <c r="AI101" s="93"/>
      <c r="AT101" s="2325" t="str">
        <f>AS94&amp;" minus "&amp;AS100</f>
        <v>c5.66e minus c5.66h</v>
      </c>
      <c r="AU101" s="4342"/>
      <c r="AV101" s="1945"/>
      <c r="AW101" s="1945"/>
      <c r="AX101" s="2325" t="str">
        <f>"("&amp;AS88&amp;" minus "&amp;AS92&amp;") &gt; 0 (zero) and"</f>
        <v>(c5.66b minus c5.66d) &gt; 0 (zero) and</v>
      </c>
    </row>
    <row customHeight="1" ht="12" r="102" spans="1:79" x14ac:dyDescent="0.25">
      <c r="A102" s="2982" t="s">
        <v>6676</v>
      </c>
      <c r="C102" s="1731"/>
      <c r="G102" s="724"/>
      <c r="J102" s="93" t="str">
        <f>I106&amp;" = "&amp;I97</f>
        <v>c5.43c = c5.43a</v>
      </c>
      <c r="Q102" s="981"/>
      <c r="R102" s="2325" t="s">
        <v>6393</v>
      </c>
      <c r="Y102" s="2325"/>
      <c r="Z102" s="2325" t="str">
        <f>U192&amp;" minus "&amp;Y63</f>
        <v>c5.56.1 minus c5.58a.1</v>
      </c>
      <c r="AA102" s="3482"/>
      <c r="AI102" s="93"/>
      <c r="AR102" s="2325" t="s">
        <v>7801</v>
      </c>
      <c r="AS102" s="3419" t="str">
        <f>A329</f>
        <v>c5.66i</v>
      </c>
      <c r="AT102" s="2321">
        <f>MAX(0,AT94-AT100)</f>
        <v>0</v>
      </c>
      <c r="AU102" s="4342"/>
      <c r="AV102" s="1945"/>
      <c r="AW102" s="1945"/>
      <c r="AX102" s="2325" t="str">
        <f><![CDATA["("&AS88&" + "&E275&") > ("&AS92&" + "&'Deductions (c4)'!L430&") and"]]></f>
        <v>(c5.66b + c5.41) &gt; (c5.66d + c4.79) and</v>
      </c>
      <c r="AZ102" s="93"/>
    </row>
    <row customHeight="1" ht="12" r="103" spans="1:79" x14ac:dyDescent="0.25">
      <c r="A103" s="2982" t="s">
        <v>6678</v>
      </c>
      <c r="C103" s="1731"/>
      <c r="G103" s="724"/>
      <c r="J103" s="2982" t="s">
        <v>2386</v>
      </c>
      <c r="Q103" s="2162" t="str">
        <f>A96</f>
        <v>c5.52e8</v>
      </c>
      <c r="R103" s="1978">
        <v>0</v>
      </c>
      <c r="X103" s="2325" t="s">
        <v>8125</v>
      </c>
      <c r="Y103" s="3442" t="str">
        <f>A209</f>
        <v>c5.58a.21</v>
      </c>
      <c r="Z103" s="2321">
        <f>MAX(0,V192-Z63)</f>
        <v>33744</v>
      </c>
      <c r="AA103" s="3482"/>
      <c r="AI103" s="93"/>
      <c r="AU103" s="4342"/>
      <c r="AV103" s="1945"/>
      <c r="AW103" s="1945"/>
      <c r="AX103" s="2325" t="str">
        <f>AW99&amp;" &gt; 0 (zero) and"</f>
        <v>c5.66p8 &gt; 0 (zero) and</v>
      </c>
    </row>
    <row customHeight="1" ht="12" r="104" spans="1:79" x14ac:dyDescent="0.25">
      <c r="A104" s="2982" t="s">
        <v>6679</v>
      </c>
      <c r="C104" s="1731"/>
      <c r="G104" s="724"/>
      <c r="H104" s="1476"/>
      <c r="J104" s="93" t="str">
        <f>I106&amp;" = lower of "&amp;E8&amp;" and "&amp;AS17</f>
        <v>c5.43c = lower of c5.1 and c5.6</v>
      </c>
      <c r="R104" s="2325" t="s">
        <v>6393</v>
      </c>
      <c r="Y104" s="2325"/>
      <c r="Z104" s="2325" t="str">
        <f>"lower of "&amp;Y103&amp;" and "&amp;'Status (c3a)'!H33</f>
        <v>lower of c5.58a.21 and c3a.1a</v>
      </c>
      <c r="AA104" s="3482"/>
      <c r="AI104" s="93"/>
      <c r="AR104" s="3421"/>
      <c r="AS104" s="3421"/>
      <c r="AU104" s="4342"/>
      <c r="AV104" s="1945"/>
      <c r="AW104" s="1945"/>
      <c r="AX104" s="2325" t="str">
        <f>E275&amp;" &gt; 0 (zero)"</f>
        <v>c5.41 &gt; 0 (zero)</v>
      </c>
    </row>
    <row customHeight="1" ht="12" r="105" spans="1:79" x14ac:dyDescent="0.25">
      <c r="A105" s="2982" t="s">
        <v>6681</v>
      </c>
      <c r="C105" s="1731"/>
      <c r="G105" s="724"/>
      <c r="H105" s="1476"/>
      <c r="J105" s="852" t="s">
        <v>2495</v>
      </c>
      <c r="P105" s="3432" t="s">
        <v>6819</v>
      </c>
      <c r="Q105" s="2162" t="str">
        <f>A97</f>
        <v>c5.52e9</v>
      </c>
      <c r="R105" s="1978">
        <v>0</v>
      </c>
      <c r="X105" s="2325" t="s">
        <v>7863</v>
      </c>
      <c r="Y105" s="3442" t="str">
        <f>A210</f>
        <v>c5.58a.22</v>
      </c>
      <c r="Z105" s="2321">
        <f>MIN(Z103,'Status (c3a)'!I33)</f>
        <v>2049</v>
      </c>
      <c r="AA105" s="3482"/>
      <c r="AI105" s="93"/>
      <c r="AQ105" s="3421"/>
      <c r="AR105" s="3421"/>
      <c r="AS105" s="3421"/>
      <c r="AU105" s="4342"/>
      <c r="AV105" s="1945"/>
      <c r="AW105" s="1945"/>
      <c r="AX105" s="2325" t="str">
        <f>AW109&amp;" = "&amp;AW84</f>
        <v>c5.66q = c5.66p1</v>
      </c>
    </row>
    <row customHeight="1" ht="12" r="106" spans="1:79" x14ac:dyDescent="0.25">
      <c r="A106" s="2982" t="s">
        <v>6683</v>
      </c>
      <c r="C106" s="1731"/>
      <c r="G106" s="1477"/>
      <c r="H106" s="1476"/>
      <c r="I106" s="2119" t="str">
        <f>A60</f>
        <v>c5.43c</v>
      </c>
      <c r="J106" s="1981">
        <f>IF(AND(J99&gt;0,AT17+AT36&gt;0),J97,MIN(F8,AT17))</f>
        <v>0</v>
      </c>
      <c r="Q106" s="981"/>
      <c r="R106" s="2325" t="s">
        <v>6393</v>
      </c>
      <c r="Y106" s="2325"/>
      <c r="Z106" s="2325" t="str">
        <f>"lower of ("&amp;Y103&amp;" minus "&amp;Y105&amp;") and "&amp;U8</f>
        <v>lower of (c5.58a.21 minus c5.58a.22) and c5.2</v>
      </c>
      <c r="AA106" s="3482"/>
      <c r="AI106" s="93"/>
      <c r="AQ106" s="3421"/>
      <c r="AU106" s="4342"/>
      <c r="AV106" s="1945"/>
      <c r="AW106" s="1945"/>
      <c r="AX106" s="3357" t="s">
        <v>2386</v>
      </c>
    </row>
    <row customHeight="1" ht="12" r="107" spans="1:79" x14ac:dyDescent="0.2">
      <c r="A107" s="2982" t="s">
        <v>6684</v>
      </c>
      <c r="G107" s="1477"/>
      <c r="H107" s="1476"/>
      <c r="M107" s="981"/>
      <c r="N107" s="1220"/>
      <c r="Q107" s="2162" t="str">
        <f>A98</f>
        <v>c5.52e10</v>
      </c>
      <c r="R107" s="1978">
        <v>0</v>
      </c>
      <c r="S107" s="3431" t="s">
        <v>2694</v>
      </c>
      <c r="X107" s="2325" t="s">
        <v>7864</v>
      </c>
      <c r="Y107" s="3442" t="str">
        <f>A211</f>
        <v>c5.58a.23</v>
      </c>
      <c r="Z107" s="2321">
        <f>MIN(MAX(0,Z103-Z105),V8)</f>
        <v>12020</v>
      </c>
      <c r="AA107" s="3482"/>
      <c r="AI107" s="1478"/>
      <c r="AU107" s="3421"/>
      <c r="AV107" s="1945"/>
      <c r="AW107" s="3362"/>
      <c r="AX107" s="2325" t="str">
        <f>AW109&amp;" = 0 (zero)"</f>
        <v>c5.66q = 0 (zero)</v>
      </c>
      <c r="AY107" s="3421"/>
    </row>
    <row customHeight="1" ht="12" r="108" spans="1:79" x14ac:dyDescent="0.2">
      <c r="A108" s="2982" t="s">
        <v>6685</v>
      </c>
      <c r="C108" s="3420"/>
      <c r="D108" s="3421"/>
      <c r="E108" s="3421"/>
      <c r="F108" s="3421"/>
      <c r="G108" s="1477"/>
      <c r="H108" s="1476"/>
      <c r="I108" s="2691"/>
      <c r="J108" s="3421"/>
      <c r="K108" s="3421"/>
      <c r="L108" s="3421"/>
      <c r="M108" s="981"/>
      <c r="N108" s="1220"/>
      <c r="O108" s="1220"/>
      <c r="P108" s="3421"/>
      <c r="Q108" s="715"/>
      <c r="R108" s="2325" t="str">
        <f>"if "&amp;I99&amp;" &gt; 0 (zero)"</f>
        <v>if c5.43b &gt; 0 (zero)</v>
      </c>
      <c r="S108" s="3430"/>
      <c r="X108" s="981"/>
      <c r="Y108" s="2325"/>
      <c r="Z108" s="2325" t="str">
        <f><![CDATA["lower of ("&Y103&" minus ("&Y105&" + "&Y107&")) and "&'Status (c3a)'!P33]]></f>
        <v>lower of (c5.58a.21 minus (c5.58a.22 + c5.58a.23)) and c3a.2a</v>
      </c>
      <c r="AA108" s="3482"/>
      <c r="AQ108" s="806"/>
      <c r="AU108" s="3421"/>
      <c r="AV108" s="1945"/>
      <c r="AW108" s="3362"/>
      <c r="AX108" s="3357" t="s">
        <v>2495</v>
      </c>
      <c r="AY108" s="3421"/>
      <c r="BC108" s="3421"/>
      <c r="BD108" s="3421"/>
      <c r="BE108" s="3421"/>
      <c r="BF108" s="3421"/>
      <c r="BG108" s="3421"/>
      <c r="BH108" s="3421"/>
      <c r="BI108" s="3421"/>
      <c r="BJ108" s="3421"/>
      <c r="BK108" s="3421"/>
      <c r="BL108" s="3421"/>
      <c r="BM108" s="3421"/>
      <c r="BN108" s="3421"/>
      <c r="BO108" s="3421"/>
      <c r="BP108" s="3421"/>
      <c r="BQ108" s="3421"/>
      <c r="BR108" s="3421"/>
      <c r="BS108" s="3421"/>
      <c r="BT108" s="3421"/>
      <c r="BU108" s="3421"/>
      <c r="BV108" s="3421"/>
      <c r="BW108" s="3421"/>
      <c r="BX108" s="3421"/>
      <c r="BY108" s="3421"/>
      <c r="BZ108" s="3421"/>
      <c r="CA108" s="3421"/>
    </row>
    <row customFormat="1" customHeight="1" ht="12" r="109" s="3421" spans="1:79" x14ac:dyDescent="0.2">
      <c r="A109" s="2982" t="s">
        <v>6686</v>
      </c>
      <c r="C109" s="3420"/>
      <c r="G109" s="1477"/>
      <c r="H109" s="1476"/>
      <c r="I109" s="2691" t="s">
        <v>6809</v>
      </c>
      <c r="M109" s="981"/>
      <c r="N109" s="1220"/>
      <c r="O109" s="1220"/>
      <c r="Q109" s="715"/>
      <c r="R109" s="2325" t="str">
        <f>"and ("&amp;AK17&amp;" + "&amp;AK36&amp;") &gt; 0 (zero)"</f>
        <v>and (c5.5 + c5.20) &gt; 0 (zero)</v>
      </c>
      <c r="S109" s="3430"/>
      <c r="W109" s="3482"/>
      <c r="X109" s="2325" t="s">
        <v>7867</v>
      </c>
      <c r="Y109" s="3442" t="str">
        <f>A212</f>
        <v>c5.58a.24</v>
      </c>
      <c r="Z109" s="2321">
        <f>MAX(0,MIN((Z103-(Z105+Z107)),'Status (c3a)'!Q33))</f>
        <v>18486</v>
      </c>
      <c r="AA109" s="3482"/>
      <c r="AG109" s="2982"/>
      <c r="AH109" s="2325" t="str">
        <f>E126&amp;" minus ("&amp;I126&amp;" + "&amp;Q126&amp;")"</f>
        <v>c5.35 minus (c5.44 + c5.52h)</v>
      </c>
      <c r="AI109" s="2982"/>
      <c r="AJ109" s="2982"/>
      <c r="AK109" s="2982"/>
      <c r="AL109" s="2325" t="str">
        <f><![CDATA[E126&" minus ("&I126&" + "&Q126&" + "&AG126&")"]]></f>
        <v>c5.35 minus (c5.44 + c5.52h + c5.58.7)</v>
      </c>
      <c r="AM109" s="2982"/>
      <c r="AN109" s="2982"/>
      <c r="AO109" s="2982"/>
      <c r="AP109" s="2325" t="str">
        <f><![CDATA[E126&" minus ("&I126&" + "&Q126&" + "&AG126&" + "&AK126&")"]]></f>
        <v>c5.35 minus (c5.44 + c5.52h + c5.58.7 + c5.62)</v>
      </c>
      <c r="AQ109" s="2982"/>
      <c r="AR109" s="2982"/>
      <c r="AS109" s="2982"/>
      <c r="AT109" s="2982"/>
      <c r="AV109" s="2325" t="s">
        <v>7807</v>
      </c>
      <c r="AW109" s="3419" t="str">
        <f>A347</f>
        <v>c5.66q</v>
      </c>
      <c r="AX109" s="2321">
        <f>IF(AND((AT92+AX82)&gt;=AT88,(AT88-AT92&gt;0),(AT88+F275)&gt;AT92+PSA,AX99&gt;0,F275&gt;0),AX84,0)</f>
        <v>0</v>
      </c>
      <c r="AY109" s="2674"/>
      <c r="AZ109" s="93"/>
    </row>
    <row customFormat="1" customHeight="1" ht="12" r="110" s="3421" spans="1:79" x14ac:dyDescent="0.2">
      <c r="A110" s="2982" t="s">
        <v>6687</v>
      </c>
      <c r="C110" s="3420"/>
      <c r="G110" s="1477"/>
      <c r="H110" s="1476"/>
      <c r="I110" s="2691" t="s">
        <v>7644</v>
      </c>
      <c r="J110" s="3353"/>
      <c r="M110" s="981"/>
      <c r="N110" s="1220"/>
      <c r="O110" s="1220"/>
      <c r="Q110" s="715"/>
      <c r="R110" s="2325" t="str">
        <f>Q114&amp;" = "&amp;I97&amp;" minus "&amp;I126</f>
        <v>c5.52f = c5.43a minus c5.44</v>
      </c>
      <c r="S110" s="3430"/>
      <c r="W110" s="3482"/>
      <c r="X110" s="3482"/>
      <c r="Y110" s="2325"/>
      <c r="Z110" s="2325" t="str">
        <f><![CDATA["lower of ("&Y103&" minus ("&Y105&" + "&Y107&" + "&Y109&")) and "&'Status (c3a)'!X33]]></f>
        <v>lower of (c5.58a.21 minus (c5.58a.22 + c5.58a.23 + c5.58a.24)) and c3a.3</v>
      </c>
      <c r="AA110" s="3482"/>
      <c r="AG110" s="2119" t="str">
        <f>A291</f>
        <v>c5.58.1</v>
      </c>
      <c r="AH110" s="1981">
        <f>MAX(0,F126-(J126+R126))</f>
        <v>33744</v>
      </c>
      <c r="AI110" s="1478"/>
      <c r="AJ110" s="2982"/>
      <c r="AK110" s="2119" t="str">
        <f>A300</f>
        <v>c5.58.10</v>
      </c>
      <c r="AL110" s="1981">
        <f>MAX(0,F126-(J126+R126+AH126))</f>
        <v>33744</v>
      </c>
      <c r="AM110" s="2982"/>
      <c r="AN110" s="2982"/>
      <c r="AO110" s="2119" t="str">
        <f>A312</f>
        <v>c5.66.1</v>
      </c>
      <c r="AP110" s="1981">
        <f>MAX(0,F126-(J126+R126+AH126+AL126))</f>
        <v>33744</v>
      </c>
      <c r="AQ110" s="2982"/>
      <c r="AR110" s="3241"/>
      <c r="AS110" s="3241"/>
      <c r="AT110" s="3241"/>
      <c r="AU110" s="2982"/>
      <c r="AV110" s="3870"/>
      <c r="AW110" s="3394"/>
      <c r="AX110" s="3870"/>
      <c r="AY110" s="2674"/>
      <c r="AZ110" s="2674"/>
    </row>
    <row customFormat="1" customHeight="1" ht="12" r="111" s="3421" spans="1:79" x14ac:dyDescent="0.2">
      <c r="A111" s="2982" t="s">
        <v>6173</v>
      </c>
      <c r="C111" s="3420"/>
      <c r="G111" s="1477"/>
      <c r="H111" s="1476"/>
      <c r="M111" s="981"/>
      <c r="N111" s="1220"/>
      <c r="O111" s="1220"/>
      <c r="Q111" s="715"/>
      <c r="R111" s="3429" t="s">
        <v>2386</v>
      </c>
      <c r="S111" s="3430"/>
      <c r="W111" s="3482"/>
      <c r="X111" s="2325" t="s">
        <v>7868</v>
      </c>
      <c r="Y111" s="3442" t="str">
        <f>A213</f>
        <v>c5.58a.25</v>
      </c>
      <c r="Z111" s="2321">
        <f>MAX(0,MIN((Z103-(Z105+Z107+Z109)),'Status (c3a)'!Y33))</f>
        <v>1189</v>
      </c>
      <c r="AA111" s="3482"/>
      <c r="AG111" s="2982"/>
      <c r="AH111" s="93" t="str">
        <f>"lower of "&amp;E8&amp;" minus"</f>
        <v>lower of c5.1 minus</v>
      </c>
      <c r="AI111" s="93"/>
      <c r="AJ111" s="2982"/>
      <c r="AK111" s="2982"/>
      <c r="AL111" s="93" t="str">
        <f>"lower of "&amp;E8&amp;" minus"</f>
        <v>lower of c5.1 minus</v>
      </c>
      <c r="AM111" s="2982"/>
      <c r="AN111" s="2982"/>
      <c r="AO111" s="2982"/>
      <c r="AP111" s="3305" t="str">
        <f>"lower of ("&amp;E8&amp;" + "&amp;AK170&amp;") minus"</f>
        <v>lower of (c5.1 + c5.63a) minus</v>
      </c>
      <c r="AQ111" s="3241"/>
      <c r="AR111" s="3241"/>
      <c r="AS111" s="3241"/>
      <c r="AT111" s="3241"/>
      <c r="AU111" s="2982"/>
      <c r="AV111" s="1945"/>
      <c r="AW111" s="1945"/>
      <c r="AX111" s="2325" t="str">
        <f><![CDATA["lower of ("&I253&" + "&U253&" + "&AC253&" + "&AK253&") and ("&AS88&" minus "&AS92&")"]]></f>
        <v>lower of (c5.48 + c5.58 + c5.58k + c5.66) and (c5.66b minus c5.66d)</v>
      </c>
      <c r="AY111" s="2674"/>
      <c r="AZ111" s="2674"/>
    </row>
    <row customFormat="1" customHeight="1" ht="12" r="112" s="3421" spans="1:79" x14ac:dyDescent="0.2">
      <c r="A112" s="2982" t="s">
        <v>6174</v>
      </c>
      <c r="C112" s="3420"/>
      <c r="G112" s="1477"/>
      <c r="H112" s="1476"/>
      <c r="M112" s="981"/>
      <c r="N112" s="1220"/>
      <c r="O112" s="1220"/>
      <c r="Q112" s="715"/>
      <c r="R112" s="2325" t="str">
        <f>Q114&amp;" = "&amp;Q89</f>
        <v>c5.52f = c5.52e1</v>
      </c>
      <c r="S112" s="3430"/>
      <c r="W112" s="3482"/>
      <c r="X112" s="3482"/>
      <c r="Y112" s="2325"/>
      <c r="Z112" s="2325" t="str">
        <f>"lower of "&amp;Y67&amp;" and SR_band ("&amp;DOLLAR(SR_band,0)&amp;")"</f>
        <v>lower of c5.58a.3 and SR_band ($5,000)</v>
      </c>
      <c r="AA112" s="3482"/>
      <c r="AG112" s="2982"/>
      <c r="AH112" s="93" t="str">
        <f><![CDATA["("&I182&" + "&I253&" +  "&AC242&" + "&AC253&") and"]]></f>
        <v>(c5.47 + c5.48 +  c5.58i + c5.58k) and</v>
      </c>
      <c r="AI112" s="93"/>
      <c r="AJ112" s="2982"/>
      <c r="AK112" s="2982"/>
      <c r="AL112" s="93" t="str">
        <f><![CDATA["("&I182&" + "&I253&" +  "&AC242&" + "&AC253&" + "&AG126&" + "&AG153&") and"]]></f>
        <v>(c5.47 + c5.48 +  c5.58i + c5.58k + c5.58.7 + c5.58.9) and</v>
      </c>
      <c r="AM112" s="2982"/>
      <c r="AN112" s="2982"/>
      <c r="AO112" s="2982"/>
      <c r="AP112" s="93" t="str">
        <f><![CDATA["("&I182&" + "&I253&" +  "&AC242&" + "&AC253&" + "&AK242&" + "&AK253&") and"]]></f>
        <v>(c5.47 + c5.48 +  c5.58i + c5.58k + c5.65 + c5.66) and</v>
      </c>
      <c r="AQ112" s="3241"/>
      <c r="AR112" s="3241"/>
      <c r="AS112" s="3241"/>
      <c r="AT112" s="3241"/>
      <c r="AU112" s="2982"/>
      <c r="AV112" s="2325" t="s">
        <v>8467</v>
      </c>
      <c r="AW112" s="3419" t="str">
        <f>A348</f>
        <v>c5.66r</v>
      </c>
      <c r="AX112" s="2321">
        <f>MAX(0,MIN(J253+V253+AD253+AL253,AT88-AT92))</f>
        <v>0</v>
      </c>
      <c r="AY112" s="2674"/>
      <c r="AZ112" s="2674"/>
    </row>
    <row customFormat="1" customHeight="1" ht="12" r="113" s="3421" spans="1:79" x14ac:dyDescent="0.2">
      <c r="A113" s="2982" t="s">
        <v>7344</v>
      </c>
      <c r="C113" s="2974"/>
      <c r="D113" s="2982"/>
      <c r="E113" s="2982"/>
      <c r="F113" s="2982"/>
      <c r="G113" s="1477"/>
      <c r="H113" s="1476"/>
      <c r="I113" s="2982"/>
      <c r="J113" s="2982"/>
      <c r="K113" s="2982"/>
      <c r="L113" s="2982"/>
      <c r="M113" s="981"/>
      <c r="N113" s="2982"/>
      <c r="O113" s="1220"/>
      <c r="P113" s="2982"/>
      <c r="Q113" s="2982"/>
      <c r="R113" s="3429" t="s">
        <v>2495</v>
      </c>
      <c r="S113" s="2300"/>
      <c r="W113" s="3482"/>
      <c r="X113" s="3482"/>
      <c r="Y113" s="3442" t="str">
        <f>A214</f>
        <v>c5.58a.26</v>
      </c>
      <c r="Z113" s="2321">
        <f>MIN(Z67,SR_band)</f>
        <v>3678</v>
      </c>
      <c r="AA113" s="3482"/>
      <c r="AG113" s="2982"/>
      <c r="AH113" s="93" t="str">
        <f>AG110</f>
        <v>c5.58.1</v>
      </c>
      <c r="AI113" s="93"/>
      <c r="AJ113" s="2982"/>
      <c r="AK113" s="2982"/>
      <c r="AL113" s="93" t="str">
        <f>AK110</f>
        <v>c5.58.10</v>
      </c>
      <c r="AM113" s="1057"/>
      <c r="AN113" s="2982"/>
      <c r="AO113" s="2982"/>
      <c r="AP113" s="93" t="str">
        <f>AO110</f>
        <v>c5.66.1</v>
      </c>
      <c r="AQ113" s="3241"/>
      <c r="AR113" s="2982"/>
      <c r="AS113" s="2982"/>
      <c r="AT113" s="2982"/>
      <c r="AU113" s="2982"/>
      <c r="AV113" s="1945"/>
      <c r="AW113" s="1945"/>
      <c r="AX113" s="2325" t="str">
        <f><![CDATA["lower of ("&E176&" minus ("&I176&" + "&Q176&" + "&AK176&" + "&AS176&" + "&AS92&" + "&AW109&")) and "&AW112]]></f>
        <v>lower of (c5.37 minus (c5.46 + c5.52l + c5.64 + c5.68a + c5.66d + c5.66q)) and c5.66r</v>
      </c>
      <c r="AY113" s="2674"/>
      <c r="AZ113" s="2674"/>
      <c r="BA113" s="2982"/>
      <c r="BB113" s="2982"/>
      <c r="BC113" s="2982"/>
      <c r="BD113" s="2982"/>
      <c r="BE113" s="2982"/>
      <c r="BF113" s="2982"/>
      <c r="BG113" s="2982"/>
      <c r="BH113" s="2982"/>
      <c r="BI113" s="2982"/>
      <c r="BJ113" s="2982"/>
      <c r="BK113" s="2982"/>
      <c r="BL113" s="2982"/>
      <c r="BM113" s="2982"/>
      <c r="BN113" s="2982"/>
      <c r="BO113" s="2982"/>
      <c r="BP113" s="2982"/>
      <c r="BQ113" s="2982"/>
      <c r="BR113" s="2982"/>
      <c r="BS113" s="2982"/>
      <c r="BT113" s="2982"/>
      <c r="BU113" s="2982"/>
      <c r="BV113" s="2982"/>
      <c r="BW113" s="2982"/>
      <c r="BX113" s="2982"/>
      <c r="BY113" s="2982"/>
      <c r="BZ113" s="2982"/>
      <c r="CA113" s="2982"/>
    </row>
    <row customHeight="1" ht="12" r="114" spans="1:79" x14ac:dyDescent="0.25">
      <c r="A114" s="2982" t="s">
        <v>7345</v>
      </c>
      <c r="C114" s="1731"/>
      <c r="G114" s="1477"/>
      <c r="H114" s="1476"/>
      <c r="J114" s="93" t="str">
        <f>AS17&amp;" + "&amp;AS36&amp;" + "&amp;AS57</f>
        <v>c5.6 + c5.21 + c5.34d</v>
      </c>
      <c r="M114" s="981"/>
      <c r="N114" s="1220"/>
      <c r="P114" s="2325" t="s">
        <v>7846</v>
      </c>
      <c r="Q114" s="2162" t="str">
        <f>A99</f>
        <v>c5.52f</v>
      </c>
      <c r="R114" s="1978">
        <f>MAX(0,IF(AND(J99&gt;0,AL17+AL36&gt;0),J97-J126,R89))</f>
        <v>32186</v>
      </c>
      <c r="S114" s="2301"/>
      <c r="Y114" s="2325"/>
      <c r="Z114" s="2325" t="str">
        <f><![CDATA["lower of "&Y113&" and (SR_band ("&DOLLAR(SR_band,0)&") minus "&Y103&")"]]></f>
        <v>lower of c5.58a.26 and (SR_band ($5,000) minus c5.58a.21)</v>
      </c>
      <c r="AA114" s="3482"/>
      <c r="AG114" s="2119" t="str">
        <f>A292</f>
        <v>c5.58.2</v>
      </c>
      <c r="AH114" s="1978">
        <f>MIN(MAX(0,F8-(J182+J253+AD242+AD253)),AH110)</f>
        <v>0</v>
      </c>
      <c r="AI114" s="93"/>
      <c r="AK114" s="2162" t="str">
        <f>A301</f>
        <v>c5.59</v>
      </c>
      <c r="AL114" s="1978">
        <f>MIN(MAX(0,F8-(J182+J253+AD242+AD253+AH126+AH153)),AL110)</f>
        <v>0</v>
      </c>
      <c r="AM114" s="1057"/>
      <c r="AO114" s="2119" t="str">
        <f>A313</f>
        <v>c5.66.2</v>
      </c>
      <c r="AP114" s="1981">
        <f>MIN(MAX(0,F8+AL170-(J182+J253+AD242+AD253+AL242+AL253)),AP110)</f>
        <v>0</v>
      </c>
      <c r="AR114" s="711"/>
      <c r="AS114" s="711"/>
      <c r="AT114" s="711"/>
      <c r="AW114" s="3419" t="str">
        <f>A349</f>
        <v>c5.66s</v>
      </c>
      <c r="AX114" s="2321">
        <f>MIN(F176-(J176+R176+AL176+AT176+AT92+AX109),AX112)</f>
        <v>0</v>
      </c>
      <c r="AY114" s="2674"/>
      <c r="AZ114" s="2674"/>
    </row>
    <row customHeight="1" ht="12" r="115" spans="1:79" x14ac:dyDescent="0.25">
      <c r="A115" s="2982" t="s">
        <v>7346</v>
      </c>
      <c r="C115" s="1731"/>
      <c r="G115" s="1477"/>
      <c r="H115" s="1476"/>
      <c r="I115" s="2119" t="str">
        <f>A61</f>
        <v>c5.43d</v>
      </c>
      <c r="J115" s="1981">
        <f>AT17+AT36+AT57</f>
        <v>0</v>
      </c>
      <c r="O115" s="1220"/>
      <c r="P115" s="1945"/>
      <c r="Q115" s="1945"/>
      <c r="R115" s="2325" t="str">
        <f><![CDATA["lower of ("&E8&" minus ("&I182&" + "&I253&" + "&M153&" + "&Q74&"))"]]></f>
        <v>lower of (c5.1 minus (c5.47 + c5.48 + c5.50 + c5.52c))</v>
      </c>
      <c r="S115" s="93"/>
      <c r="X115" s="2325" t="s">
        <v>7859</v>
      </c>
      <c r="Y115" s="3442" t="str">
        <f>A215</f>
        <v>c5.58a.27</v>
      </c>
      <c r="Z115" s="2321">
        <f>MAX(0,MIN(Z113,SR_band-Z103))</f>
        <v>0</v>
      </c>
      <c r="AA115" s="3482"/>
      <c r="AH115" s="3305" t="str">
        <f><![CDATA["lower of (("&AC17&" + "&AK17&" + "&AS17&")"]]></f>
        <v>lower of ((c5.4a + c5.5 + c5.6)</v>
      </c>
      <c r="AI115" s="93"/>
      <c r="AL115" s="3305" t="str">
        <f><![CDATA["lower of (("&U17&" + "&AC17&" + "&AK17&" + "&AS17&")"]]></f>
        <v>lower of ((c5.4 + c5.4a + c5.5 + c5.6)</v>
      </c>
      <c r="AP115" s="3305" t="str">
        <f><![CDATA["lower of (("&Q17&" + "&U17&" + "&AC17&" + "&AK17&" + "&AS17&")"]]></f>
        <v>lower of ((c5.3a + c5.4 + c5.4a + c5.5 + c5.6)</v>
      </c>
      <c r="AQ115" s="711"/>
      <c r="AX115" s="2325" t="str">
        <f><![CDATA["if ("&AS92&" + "&AW114&") >= "&AS88&" and"]]></f>
        <v>if (c5.66d + c5.66s) &gt;= c5.66b and</v>
      </c>
      <c r="AY115" s="2674"/>
      <c r="AZ115" s="2674"/>
    </row>
    <row customHeight="1" ht="12" r="116" spans="1:79" x14ac:dyDescent="0.2">
      <c r="A116" s="2982" t="s">
        <v>7347</v>
      </c>
      <c r="E116" s="981"/>
      <c r="G116" s="1477"/>
      <c r="H116" s="1476"/>
      <c r="J116" s="93" t="str">
        <f><![CDATA["("&AS17&" + "&AS36&" + "&AS57&") minus "&E8]]></f>
        <v>(c5.6 + c5.21 + c5.34d) minus c5.1</v>
      </c>
      <c r="P116" s="3241"/>
      <c r="Q116" s="3241"/>
      <c r="R116" s="2325" t="str">
        <f>"and "&amp;Q114</f>
        <v>and c5.52f</v>
      </c>
      <c r="S116" s="3241"/>
      <c r="Y116" s="2325"/>
      <c r="Z116" s="2325" t="str">
        <f>"lower of ("&amp;Y67&amp;" minus "&amp;Y115&amp;") and "&amp;'Deductions (c4)'!L430</f>
        <v>lower of (c5.58a.3 minus c5.58a.27) and c4.79</v>
      </c>
      <c r="AA116" s="3482"/>
      <c r="AG116" s="93"/>
      <c r="AH116" s="3305" t="str">
        <f>" minus ("&amp;I126&amp;" + "&amp;Q126&amp;")) and "&amp;AG114</f>
        <v xml:space="preserve"> minus (c5.44 + c5.52h)) and c5.58.2</v>
      </c>
      <c r="AI116" s="93"/>
      <c r="AK116" s="3305"/>
      <c r="AL116" s="3305" t="str">
        <f><![CDATA[" minus ("&I126&" + "&Q126&" + "&AG126&")) and "&AK114]]></f>
        <v xml:space="preserve"> minus (c5.44 + c5.52h + c5.58.7)) and c5.59</v>
      </c>
      <c r="AO116" s="3308"/>
      <c r="AP116" s="3305" t="str">
        <f><![CDATA[" minus ("&I126&" + "&Q126&" + "&AG126&" + "&AK126&")) and "&AO114]]></f>
        <v xml:space="preserve"> minus (c5.44 + c5.52h + c5.58.7 + c5.62)) and c5.66.2</v>
      </c>
      <c r="AQ116" s="711"/>
      <c r="AR116" s="711"/>
      <c r="AS116" s="711"/>
      <c r="AT116" s="711"/>
      <c r="AV116" s="1945"/>
      <c r="AW116" s="1945"/>
      <c r="AX116" s="2325" t="str">
        <f>"("&amp;AS88&amp;" minus "&amp;AS92&amp;") &gt; 0 (zero) and"</f>
        <v>(c5.66b minus c5.66d) &gt; 0 (zero) and</v>
      </c>
      <c r="AY116" s="2674"/>
      <c r="AZ116" s="2674"/>
    </row>
    <row customHeight="1" ht="12" r="117" spans="1:79" x14ac:dyDescent="0.2">
      <c r="A117" s="2982" t="s">
        <v>6175</v>
      </c>
      <c r="C117" s="3240"/>
      <c r="D117" s="3241"/>
      <c r="E117" s="981"/>
      <c r="F117" s="711"/>
      <c r="G117" s="1477"/>
      <c r="H117" s="711"/>
      <c r="I117" s="2119" t="str">
        <f>A62</f>
        <v>c5.43e</v>
      </c>
      <c r="J117" s="1981">
        <f>MAX(0,((AT17+AT36+AT57)-F8))</f>
        <v>0</v>
      </c>
      <c r="K117" s="3241"/>
      <c r="L117" s="3241"/>
      <c r="M117" s="3241"/>
      <c r="N117" s="3241"/>
      <c r="Q117" s="2162" t="str">
        <f>A100</f>
        <v>c5.52g</v>
      </c>
      <c r="R117" s="1978">
        <f>MAX(0,MIN(F8-(J182+J253+N153+R74),R114))</f>
        <v>13700</v>
      </c>
      <c r="S117" s="3431" t="s">
        <v>2694</v>
      </c>
      <c r="Y117" s="3442" t="str">
        <f>A216</f>
        <v>c5.58a.28</v>
      </c>
      <c r="Z117" s="2321">
        <f>MIN(MAX(0,Z67-Z115),'Deductions (c4)'!M430)</f>
        <v>500</v>
      </c>
      <c r="AA117" s="3482"/>
      <c r="AG117" s="2119" t="str">
        <f>A293</f>
        <v>c5.58.3</v>
      </c>
      <c r="AH117" s="1978">
        <f>MIN(MAX(0,(AD17+AL17+AT17)-(J126+R126)),AH114)</f>
        <v>0</v>
      </c>
      <c r="AI117" s="93"/>
      <c r="AK117" s="2162" t="str">
        <f>A302</f>
        <v>c5.60</v>
      </c>
      <c r="AL117" s="1978">
        <f>MIN(MAX(0,(V17+AD17+AL17+AT17)-(J126+R126+AH126)),AL114)</f>
        <v>0</v>
      </c>
      <c r="AM117" s="711"/>
      <c r="AN117" s="711"/>
      <c r="AO117" s="2119" t="str">
        <f>A314</f>
        <v>c5.66.3</v>
      </c>
      <c r="AP117" s="1981">
        <f>MIN(MAX(0,(R17+V17+AD17+AL17+AT17)-(J126+R126+AH126+AL126)),AP114)</f>
        <v>0</v>
      </c>
      <c r="AQ117" s="711"/>
      <c r="AR117" s="711"/>
      <c r="AS117" s="711"/>
      <c r="AT117" s="711"/>
      <c r="AU117" s="3241"/>
      <c r="AV117" s="1945"/>
      <c r="AW117" s="1945"/>
      <c r="AX117" s="2325" t="str">
        <f><![CDATA["("&AS88&" + "&E275&") > ("&AS92&" + "&'Deductions (c4)'!L430&") and"]]></f>
        <v>(c5.66b + c5.41) &gt; (c5.66d + c4.79) and</v>
      </c>
      <c r="AY117" s="2674"/>
      <c r="AZ117" s="2674"/>
      <c r="BA117" s="3241"/>
      <c r="BB117" s="3241"/>
      <c r="BC117" s="3241"/>
      <c r="BD117" s="3241"/>
      <c r="BE117" s="3241"/>
      <c r="BF117" s="3241"/>
      <c r="BG117" s="3241"/>
      <c r="BH117" s="3241"/>
      <c r="BI117" s="3241"/>
      <c r="BJ117" s="3241"/>
      <c r="BK117" s="3241"/>
      <c r="BL117" s="3241"/>
      <c r="BM117" s="3241"/>
      <c r="BN117" s="3241"/>
      <c r="BO117" s="3241"/>
      <c r="BP117" s="3241"/>
      <c r="BQ117" s="3241"/>
      <c r="BR117" s="3241"/>
      <c r="BS117" s="3241"/>
      <c r="BT117" s="3241"/>
      <c r="BU117" s="3241"/>
      <c r="BV117" s="3241"/>
      <c r="BW117" s="3241"/>
      <c r="BX117" s="3241"/>
      <c r="BY117" s="3241"/>
      <c r="BZ117" s="3241"/>
      <c r="CA117" s="3241"/>
    </row>
    <row customFormat="1" r="118" s="3241" spans="1:79" x14ac:dyDescent="0.2">
      <c r="A118" s="3436" t="s">
        <v>7929</v>
      </c>
      <c r="C118" s="3240"/>
      <c r="E118" s="981"/>
      <c r="F118" s="711"/>
      <c r="G118" s="1477"/>
      <c r="H118" s="711"/>
      <c r="I118" s="2982"/>
      <c r="J118" s="93" t="str">
        <f>"lower of "&amp;E8&amp;" and "&amp;E126</f>
        <v>lower of c5.1 and c5.35</v>
      </c>
      <c r="R118" s="2325" t="str">
        <f>"if "&amp;I36&amp;" = 0 (zero) and"</f>
        <v>if c5.12 = 0 (zero) and</v>
      </c>
      <c r="W118" s="3482"/>
      <c r="X118" s="3482"/>
      <c r="Y118" s="2325"/>
      <c r="Z118" s="2325" t="str">
        <f><![CDATA["lower of "&Y117&" and ("&AK8&" minus "&Y103&")"]]></f>
        <v>lower of c5.58a.28 and (c5.2a minus c5.58a.21)</v>
      </c>
      <c r="AA118" s="3482"/>
      <c r="AB118" s="93"/>
      <c r="AG118" s="2982"/>
      <c r="AH118" s="2325" t="str">
        <f>"larger of "&amp;Q299&amp;" and "&amp;AG117</f>
        <v>larger of c5.56 and c5.58.3</v>
      </c>
      <c r="AI118" s="93"/>
      <c r="AJ118" s="3242"/>
      <c r="AK118" s="2982"/>
      <c r="AL118" s="2325" t="str">
        <f>"larger of ("&amp;Q299&amp;" minus "&amp;AG126&amp;") and "&amp;AK117</f>
        <v>larger of (c5.56 minus c5.58.7) and c5.60</v>
      </c>
      <c r="AM118" s="711"/>
      <c r="AN118" s="711"/>
      <c r="AO118" s="2982"/>
      <c r="AP118" s="2325" t="str">
        <f><![CDATA["larger of ("&Q299&" minus ("&AG126&" + "&AK126&")) and "&AO117]]></f>
        <v>larger of (c5.56 minus (c5.58.7 + c5.62)) and c5.66.3</v>
      </c>
      <c r="AV118" s="1945"/>
      <c r="AW118" s="1945"/>
      <c r="AX118" s="2325" t="str">
        <f>E275&amp;" &gt; 0 (zero)"</f>
        <v>c5.41 &gt; 0 (zero)</v>
      </c>
      <c r="AY118" s="2674"/>
      <c r="AZ118" s="2674"/>
    </row>
    <row customFormat="1" r="119" s="3241" spans="1:79" x14ac:dyDescent="0.2">
      <c r="A119" s="3440" t="s">
        <v>7985</v>
      </c>
      <c r="C119" s="3240"/>
      <c r="E119" s="981"/>
      <c r="F119" s="711"/>
      <c r="G119" s="1477"/>
      <c r="H119" s="711"/>
      <c r="I119" s="2119" t="str">
        <f>A63</f>
        <v>c5.43f</v>
      </c>
      <c r="J119" s="1981">
        <f>MIN(F8,F126)</f>
        <v>13700</v>
      </c>
      <c r="M119" s="981"/>
      <c r="N119" s="93" t="str">
        <f>"lower of ("&amp;E126&amp;" minus "&amp;I126&amp;") and "&amp;AK17</f>
        <v>lower of (c5.35 minus c5.44) and c5.5</v>
      </c>
      <c r="R119" s="2325" t="str">
        <f>AG36&amp;" + "&amp;AO36&amp;" &gt; 0 (zero) and"</f>
        <v>c5.19 + c5.20c &gt; 0 (zero) and</v>
      </c>
      <c r="W119" s="3482"/>
      <c r="X119" s="2325" t="s">
        <v>7872</v>
      </c>
      <c r="Y119" s="3442" t="str">
        <f>A217</f>
        <v>c5.58a.29</v>
      </c>
      <c r="Z119" s="2321">
        <f>MAX(0,MIN(Z117,AL8-Z103))</f>
        <v>500</v>
      </c>
      <c r="AA119" s="3482"/>
      <c r="AB119" s="93"/>
      <c r="AG119" s="2119" t="str">
        <f>A294</f>
        <v>c5.58.4</v>
      </c>
      <c r="AH119" s="1978">
        <f>MAX(0,R299,AH117)</f>
        <v>0</v>
      </c>
      <c r="AI119" s="93"/>
      <c r="AJ119" s="3242"/>
      <c r="AK119" s="2162" t="str">
        <f>A303</f>
        <v>c5.61</v>
      </c>
      <c r="AL119" s="1978">
        <f>MAX(0,R299-AH126,AL117)</f>
        <v>0</v>
      </c>
      <c r="AM119" s="711"/>
      <c r="AN119" s="711"/>
      <c r="AO119" s="2119" t="str">
        <f>A315</f>
        <v>c5.66.4</v>
      </c>
      <c r="AP119" s="1981">
        <f>MAX(0,R299-(AH126+AL126),AP117)</f>
        <v>0</v>
      </c>
      <c r="AQ119" s="2982"/>
      <c r="AR119" s="2982"/>
      <c r="AS119" s="2982"/>
      <c r="AT119" s="2982"/>
      <c r="AU119" s="1942"/>
      <c r="AV119" s="1945"/>
      <c r="AW119" s="1945"/>
      <c r="AX119" s="2325" t="str">
        <f>AW123&amp;" = lower of "&amp;AW77&amp;" and "&amp;AW114</f>
        <v>c5.66t = lower of c5.66n and c5.66s</v>
      </c>
      <c r="AY119" s="2674"/>
      <c r="AZ119" s="2674"/>
    </row>
    <row customFormat="1" r="120" s="3241" spans="1:79" x14ac:dyDescent="0.2">
      <c r="A120" s="3440" t="s">
        <v>7986</v>
      </c>
      <c r="C120" s="2974"/>
      <c r="D120" s="2982"/>
      <c r="E120" s="2982"/>
      <c r="F120" s="711"/>
      <c r="G120" s="1477"/>
      <c r="H120" s="711"/>
      <c r="I120" s="2982"/>
      <c r="J120" s="93" t="str">
        <f>"if "&amp;'Status (c3a)'!D21&amp;" = 2"</f>
        <v>if c3a.1 = 2</v>
      </c>
      <c r="K120" s="2982"/>
      <c r="L120" s="2982"/>
      <c r="M120" s="2119" t="str">
        <f>A72</f>
        <v>c5.48a</v>
      </c>
      <c r="N120" s="1978">
        <f>MIN(MAX(0,F126-J126),AL17)</f>
        <v>14889</v>
      </c>
      <c r="P120" s="1945"/>
      <c r="Q120" s="1945"/>
      <c r="R120" s="2325" t="str">
        <f><![CDATA["("&E17&" + "&E36&") minus ("&E8&" minus ("&I182&" + "&I253&" + "&M153&" + "&Q74&" + "&Q81&")) > "&AK8]]></f>
        <v>(c5.3 + c5.11) minus (c5.1 minus (c5.47 + c5.48 + c5.50 + c5.52c + c5.52d)) &gt; c5.2a</v>
      </c>
      <c r="S120" s="2982"/>
      <c r="W120" s="3482"/>
      <c r="X120" s="3482"/>
      <c r="Y120" s="2325"/>
      <c r="Z120" s="2325" t="str">
        <f><![CDATA["lower of ("&Y67&" minus ("&Y115&" + "&Y119&")) and ("&AK8&" minus ("&Y103&" + "&Y115&" + "&Y119&"))"]]></f>
        <v>lower of (c5.58a.3 minus (c5.58a.27 + c5.58a.29)) and (c5.2a minus (c5.58a.21 + c5.58a.27 + c5.58a.29))</v>
      </c>
      <c r="AA120" s="3482"/>
      <c r="AB120" s="93"/>
      <c r="AG120" s="711"/>
      <c r="AH120" s="3305" t="str">
        <f><![CDATA["lower of (("&AC17&" + "&AK17&" + "&AS17&")"]]></f>
        <v>lower of ((c5.4a + c5.5 + c5.6)</v>
      </c>
      <c r="AI120" s="93"/>
      <c r="AJ120" s="3242"/>
      <c r="AK120" s="3242"/>
      <c r="AL120" s="3305" t="str">
        <f><![CDATA["lower of (("&U17&" + "&AC17&" + "&AK17&" + "&AS17&")"]]></f>
        <v>lower of ((c5.4 + c5.4a + c5.5 + c5.6)</v>
      </c>
      <c r="AM120" s="711"/>
      <c r="AN120" s="711"/>
      <c r="AO120" s="3476"/>
      <c r="AP120" s="3305" t="str">
        <f><![CDATA["lower of (("&Q17&" + "&U17&" + "&AC17&" + "&AK17&" + "&AS17&")"]]></f>
        <v>lower of ((c5.3a + c5.4 + c5.4a + c5.5 + c5.6)</v>
      </c>
      <c r="AQ120" s="2982"/>
      <c r="AR120" s="2982"/>
      <c r="AS120" s="2982"/>
      <c r="AT120" s="2982"/>
      <c r="AV120" s="1945"/>
      <c r="AW120" s="1945"/>
      <c r="AX120" s="3357" t="s">
        <v>2386</v>
      </c>
      <c r="AY120" s="2674"/>
      <c r="AZ120" s="2674"/>
      <c r="BA120" s="2982"/>
      <c r="BB120" s="2982"/>
      <c r="BC120" s="2982"/>
      <c r="BD120" s="2982"/>
      <c r="BE120" s="2982"/>
      <c r="BF120" s="2982"/>
      <c r="BG120" s="2982"/>
      <c r="BH120" s="2982"/>
      <c r="BI120" s="2982"/>
      <c r="BJ120" s="2982"/>
      <c r="BK120" s="2982"/>
      <c r="BL120" s="2982"/>
      <c r="BM120" s="2982"/>
      <c r="BN120" s="2982"/>
      <c r="BO120" s="2982"/>
      <c r="BP120" s="2982"/>
      <c r="BQ120" s="2982"/>
      <c r="BR120" s="2982"/>
      <c r="BS120" s="2982"/>
      <c r="BT120" s="2982"/>
      <c r="BU120" s="2982"/>
      <c r="BV120" s="2982"/>
      <c r="BW120" s="2982"/>
      <c r="BX120" s="2982"/>
      <c r="BY120" s="2982"/>
      <c r="BZ120" s="2982"/>
      <c r="CA120" s="2982"/>
    </row>
    <row r="121" spans="1:79" x14ac:dyDescent="0.2">
      <c r="A121" s="3440" t="s">
        <v>7987</v>
      </c>
      <c r="C121" s="711"/>
      <c r="D121" s="711"/>
      <c r="E121" s="711"/>
      <c r="F121" s="711"/>
      <c r="G121" s="1477"/>
      <c r="H121" s="711"/>
      <c r="I121" s="711"/>
      <c r="J121" s="93" t="str">
        <f>"and SAHR_rate ("&amp;SAHR_rate*100&amp;"%) &gt; AHR_rate ("&amp;AHR_rate*100&amp;"%)"</f>
        <v>and SAHR_rate (46%) &gt; AHR_rate (45%)</v>
      </c>
      <c r="O121" s="93"/>
      <c r="Q121" s="1945"/>
      <c r="R121" s="2325" t="str">
        <f><![CDATA[Q126&" = lower of ("&M126&" + "&Q83&") and "&Q117]]></f>
        <v>c5.52h = lower of (c5.49 + c5.52e) and c5.52g</v>
      </c>
      <c r="S121" s="93"/>
      <c r="X121" s="2325" t="s">
        <v>7873</v>
      </c>
      <c r="Y121" s="3442" t="str">
        <f>A218</f>
        <v>c5.58a.30</v>
      </c>
      <c r="Z121" s="2321">
        <f>MAX(0,MIN(Z67-(Z115+Z119),(AL8-(Z103+Z115+Z119))))</f>
        <v>3178</v>
      </c>
      <c r="AA121" s="3482"/>
      <c r="AB121" s="93"/>
      <c r="AH121" s="3305" t="str">
        <f>" minus ("&amp;I126&amp;" + "&amp;Q126&amp;")) and "&amp;AG119</f>
        <v xml:space="preserve"> minus (c5.44 + c5.52h)) and c5.58.4</v>
      </c>
      <c r="AI121" s="3353"/>
      <c r="AJ121" s="3242"/>
      <c r="AK121" s="3242"/>
      <c r="AL121" s="3305" t="str">
        <f><![CDATA[" minus ("&I126&" + "&Q126&" + "&AG126&")) and "&AK119]]></f>
        <v xml:space="preserve"> minus (c5.44 + c5.52h + c5.58.7)) and c5.61</v>
      </c>
      <c r="AM121" s="711"/>
      <c r="AN121" s="711"/>
      <c r="AO121" s="3476"/>
      <c r="AP121" s="3305" t="str">
        <f><![CDATA[" minus ("&I126&" + "&Q126&" + "&AG126&" + "&AK126&")) and "&AO119]]></f>
        <v xml:space="preserve"> minus (c5.44 + c5.52h + c5.58.7 + c5.62)) and c5.66.4</v>
      </c>
      <c r="AV121" s="1945"/>
      <c r="AW121" s="1945"/>
      <c r="AX121" s="2325" t="str">
        <f>AW123&amp;" = 0 (zero)"</f>
        <v>c5.66t = 0 (zero)</v>
      </c>
      <c r="AY121" s="2674"/>
      <c r="AZ121" s="4376"/>
      <c r="BA121" s="711"/>
      <c r="BB121" s="711"/>
      <c r="BC121" s="711"/>
      <c r="BD121" s="711"/>
      <c r="BE121" s="711"/>
    </row>
    <row r="122" spans="1:79" x14ac:dyDescent="0.2">
      <c r="A122" s="2982" t="s">
        <v>6688</v>
      </c>
      <c r="B122" s="711"/>
      <c r="C122" s="711"/>
      <c r="D122" s="711"/>
      <c r="E122" s="711"/>
      <c r="F122" s="711"/>
      <c r="G122" s="1477"/>
      <c r="H122" s="711"/>
      <c r="I122" s="711"/>
      <c r="J122" s="93" t="str">
        <f><![CDATA[I126&" = lower of "&I119&" and ("&I115&" minus "&I117&")"]]></f>
        <v>c5.44 = lower of c5.43f and (c5.43d minus c5.43e)</v>
      </c>
      <c r="M122" s="981"/>
      <c r="N122" s="2325" t="str">
        <f><![CDATA["("&'NS income (c1)'!I149&" + "&'Savings (c2)'!H77&" + "&'Divs (c3)'!G47&") minus "&E8]]></f>
        <v>(c1.57 + c2.19 + c3.15) minus c5.1</v>
      </c>
      <c r="O122" s="3367"/>
      <c r="R122" s="3429" t="s">
        <v>2386</v>
      </c>
      <c r="Y122" s="2325"/>
      <c r="Z122" s="2325" t="str">
        <f><![CDATA["("&'Status (c3a)'!AA33&" + "&'Deductions (c4)'!H204&") minus ("&Y103&" + "&Y115&" + "&Y119&" + "&Y121&")"]]></f>
        <v>(c3a.3a + c4.59) minus (c5.58a.21 + c5.58a.27 + c5.58a.29 + c5.58a.30)</v>
      </c>
      <c r="AA122" s="3482"/>
      <c r="AB122" s="93"/>
      <c r="AG122" s="2119" t="str">
        <f>A295</f>
        <v>c5.58.5</v>
      </c>
      <c r="AH122" s="1981">
        <f>MIN(MAX(0,(AD17+AL17+AT17)-(J126+R126)),AH119)</f>
        <v>0</v>
      </c>
      <c r="AI122" s="3353"/>
      <c r="AJ122" s="3242"/>
      <c r="AK122" s="2162" t="str">
        <f>A304</f>
        <v>c5.61a</v>
      </c>
      <c r="AL122" s="1981">
        <f>MIN(MAX(0,(V17+AD17+AL17+AT17)-(J126+R126+AH126)),AL119)</f>
        <v>0</v>
      </c>
      <c r="AM122" s="711"/>
      <c r="AN122" s="711"/>
      <c r="AO122" s="2119" t="str">
        <f>A316</f>
        <v>c5.66.5</v>
      </c>
      <c r="AP122" s="1981">
        <f>MIN(MAX(0,(R17+V17+AD17+AL17+AT17)-(J126+R126+AH126+AL126)),AP119)</f>
        <v>0</v>
      </c>
      <c r="AV122" s="1945"/>
      <c r="AW122" s="1945"/>
      <c r="AX122" s="3357" t="s">
        <v>2495</v>
      </c>
      <c r="AY122" s="2674"/>
      <c r="AZ122" s="4376"/>
      <c r="BA122" s="711"/>
      <c r="BB122" s="711"/>
      <c r="BC122" s="711"/>
      <c r="BD122" s="711"/>
      <c r="BE122" s="711"/>
    </row>
    <row r="123" spans="1:79" x14ac:dyDescent="0.2">
      <c r="A123" s="2982" t="s">
        <v>6689</v>
      </c>
      <c r="B123" s="711"/>
      <c r="C123" s="711"/>
      <c r="D123" s="711"/>
      <c r="E123" s="711"/>
      <c r="F123" s="711"/>
      <c r="G123" s="1477"/>
      <c r="H123" s="711"/>
      <c r="I123" s="711"/>
      <c r="J123" s="3353" t="s">
        <v>2386</v>
      </c>
      <c r="M123" s="2162" t="str">
        <f>A73</f>
        <v>c5.48b</v>
      </c>
      <c r="N123" s="1978">
        <f>MAX(0,('NS income (c1)'!J149+'Savings (c2)'!I77+'Divs (c3)'!H47)-F8)</f>
        <v>50172</v>
      </c>
      <c r="O123" s="93"/>
      <c r="Q123" s="1945"/>
      <c r="R123" s="2325" t="str">
        <f>Q126&amp;" = lower of ("&amp;E126&amp;" minus "&amp;I126&amp;") and"</f>
        <v>c5.52h = lower of (c5.35 minus c5.44) and</v>
      </c>
      <c r="Y123" s="3442" t="str">
        <f>A219</f>
        <v>c5.58a.31</v>
      </c>
      <c r="Z123" s="2321">
        <f>MAX(0,('Status (c3a)'!AB33+'Deductions (c4)'!I204)-(Z103+Z115+Z119+Z121))</f>
        <v>114203</v>
      </c>
      <c r="AA123" s="3482"/>
      <c r="AB123" s="3353"/>
      <c r="AC123" s="3353"/>
      <c r="AD123" s="93"/>
      <c r="AG123" s="711"/>
      <c r="AH123" s="93" t="str">
        <f>"lower of "&amp;AG114&amp;" and "&amp;AG122</f>
        <v>lower of c5.58.2 and c5.58.5</v>
      </c>
      <c r="AI123" s="3353"/>
      <c r="AJ123" s="3241"/>
      <c r="AK123" s="3353"/>
      <c r="AL123" s="3353"/>
      <c r="AM123" s="711"/>
      <c r="AN123" s="711"/>
      <c r="AO123" s="711"/>
      <c r="AP123" s="93" t="str">
        <f>"lower of "&amp;AO114&amp;" and "&amp;AO122</f>
        <v>lower of c5.66.2 and c5.66.5</v>
      </c>
      <c r="AV123" s="2325" t="s">
        <v>7806</v>
      </c>
      <c r="AW123" s="3419" t="str">
        <f>A350</f>
        <v>c5.66t</v>
      </c>
      <c r="AX123" s="3871">
        <f>IF(AND((AT92+AX114)&gt;=AT88,(AT88-AT92)&gt;0,(AT88+F275)&gt;AT92+PSA,F275&gt;0),MIN(AX77,AX114),0)</f>
        <v>0</v>
      </c>
      <c r="AY123" s="4376"/>
      <c r="AZ123" s="4376"/>
      <c r="BA123" s="711"/>
      <c r="BB123" s="711"/>
      <c r="BC123" s="711"/>
      <c r="BD123" s="711"/>
      <c r="BE123" s="711"/>
      <c r="BF123" s="711"/>
      <c r="BG123" s="711"/>
      <c r="BH123" s="711"/>
      <c r="BI123" s="711"/>
      <c r="BJ123" s="711"/>
      <c r="BK123" s="711"/>
      <c r="BL123" s="711"/>
      <c r="BM123" s="711"/>
      <c r="BN123" s="711"/>
      <c r="BO123" s="711"/>
      <c r="BP123" s="711"/>
      <c r="BQ123" s="711"/>
      <c r="BR123" s="711"/>
      <c r="BS123" s="711"/>
      <c r="BT123" s="711"/>
      <c r="BU123" s="711"/>
      <c r="BV123" s="711"/>
      <c r="BW123" s="711"/>
      <c r="BX123" s="711"/>
      <c r="BY123" s="711"/>
      <c r="BZ123" s="711"/>
      <c r="CA123" s="711"/>
    </row>
    <row customFormat="1" r="124" s="711" spans="1:79" x14ac:dyDescent="0.2">
      <c r="A124" s="2982" t="s">
        <v>6690</v>
      </c>
      <c r="G124" s="1477"/>
      <c r="J124" s="93" t="str">
        <f>I126&amp;" = "&amp;I106</f>
        <v>c5.44 = c5.43c</v>
      </c>
      <c r="K124" s="2982"/>
      <c r="L124" s="2982"/>
      <c r="M124" s="2982"/>
      <c r="N124" s="2982"/>
      <c r="O124" s="394"/>
      <c r="P124" s="1945"/>
      <c r="Q124" s="1945"/>
      <c r="R124" s="2325" t="str">
        <f><![CDATA["("&E8&" minus ("&I182&" + "&I253&" + "&M153&" + "&Q74&" + "&Q81&"))"]]></f>
        <v>(c5.1 minus (c5.47 + c5.48 + c5.50 + c5.52c + c5.52d))</v>
      </c>
      <c r="S124" s="93"/>
      <c r="X124" s="3482"/>
      <c r="Y124" s="2325"/>
      <c r="Z124" s="2325" t="str">
        <f><![CDATA["lower of ("&Y123&" and ("&'Deductions (c4)'!L430&" minus "&Y119&"))"]]></f>
        <v>lower of (c5.58a.31 and (c4.79 minus c5.58a.29))</v>
      </c>
      <c r="AA124" s="3482"/>
      <c r="AD124" s="93"/>
      <c r="AE124" s="2982"/>
      <c r="AF124" s="2982"/>
      <c r="AG124" s="2119" t="str">
        <f>A296</f>
        <v>c5.58.6</v>
      </c>
      <c r="AH124" s="1981">
        <f>MIN(AH114,AH122)</f>
        <v>0</v>
      </c>
      <c r="AI124" s="3353"/>
      <c r="AJ124" s="3241"/>
      <c r="AK124" s="3353"/>
      <c r="AL124" s="3353"/>
      <c r="AO124" s="2119" t="str">
        <f>A317</f>
        <v>c5.66.6</v>
      </c>
      <c r="AP124" s="1981">
        <f>MIN(AP114,AP122)</f>
        <v>0</v>
      </c>
      <c r="AU124" s="1942"/>
      <c r="AW124" s="2982"/>
      <c r="AX124" s="93"/>
      <c r="AY124" s="2982"/>
      <c r="AZ124" s="2982"/>
      <c r="BA124" s="2982"/>
      <c r="BB124" s="2982"/>
      <c r="BC124" s="2982"/>
      <c r="BD124" s="2982"/>
    </row>
    <row customFormat="1" ht="12.75" r="125" s="711" spans="1:79" thickBot="1" x14ac:dyDescent="0.25">
      <c r="A125" s="2982" t="s">
        <v>6691</v>
      </c>
      <c r="C125" s="2974"/>
      <c r="D125" s="2982"/>
      <c r="E125" s="2984"/>
      <c r="F125" s="93" t="str">
        <f>"from "&amp;E17</f>
        <v>from c5.3</v>
      </c>
      <c r="G125" s="1477"/>
      <c r="J125" s="93" t="s">
        <v>2495</v>
      </c>
      <c r="K125" s="2982"/>
      <c r="L125" s="2982"/>
      <c r="M125" s="2982"/>
      <c r="N125" s="93" t="str">
        <f><![CDATA["lower of ("&E8&" minus ("&I182&" + "&I253&")) and "&M120]]></f>
        <v>lower of (c5.1 minus (c5.47 + c5.48)) and c5.48a</v>
      </c>
      <c r="O125" s="2982"/>
      <c r="P125" s="2982"/>
      <c r="Q125" s="2982"/>
      <c r="R125" s="3429" t="s">
        <v>2495</v>
      </c>
      <c r="S125" s="93"/>
      <c r="X125" s="3482"/>
      <c r="Y125" s="3442" t="str">
        <f>A220</f>
        <v>c5.58a.32</v>
      </c>
      <c r="Z125" s="2321">
        <f>MAX(0,MIN(Z123,PSA-Z119))</f>
        <v>0</v>
      </c>
      <c r="AA125" s="3482"/>
      <c r="AD125" s="93"/>
      <c r="AG125" s="2982"/>
      <c r="AH125" s="93" t="str">
        <f>"lower of "&amp;AG124&amp;" and "&amp;'Status (c3a)'!P33</f>
        <v>lower of c5.58.6 and c3a.2a</v>
      </c>
      <c r="AI125" s="3353"/>
      <c r="AJ125" s="3353"/>
      <c r="AK125" s="3353"/>
      <c r="AL125" s="93" t="str">
        <f>"lower of "&amp;AK114&amp;" and "&amp;AK122</f>
        <v>lower of c5.59 and c5.61a</v>
      </c>
      <c r="AO125" s="3242"/>
      <c r="AP125" s="93" t="str">
        <f>"lower of "&amp;AO124&amp;" and "&amp;'Status (c3a)'!H33</f>
        <v>lower of c5.66.6 and c3a.1a</v>
      </c>
      <c r="AU125" s="3424"/>
      <c r="AV125" s="3425"/>
      <c r="AW125" s="3426"/>
      <c r="AX125" s="2325" t="str">
        <f><![CDATA["("&I126&" + "&Q126&" + "&AG126&" + "&AK126&" + "&AO126&") minus "&AW109]]></f>
        <v>(c5.44 + c5.52h + c5.58.7 + c5.62 + c5.66.7) minus c5.66q</v>
      </c>
      <c r="AY125" s="2984"/>
      <c r="AZ125" s="2984"/>
      <c r="BA125" s="2982"/>
      <c r="BB125" s="118" t="str">
        <f>E126&amp;" minus "&amp;AW126</f>
        <v>c5.35 minus c5.67</v>
      </c>
      <c r="BC125" s="2982"/>
      <c r="BD125" s="2641" t="s">
        <v>3811</v>
      </c>
    </row>
    <row customFormat="1" ht="12.75" r="126" s="711" spans="1:79" thickBot="1" x14ac:dyDescent="0.25">
      <c r="A126" s="2982" t="s">
        <v>6692</v>
      </c>
      <c r="B126" s="2982"/>
      <c r="C126" s="2672" t="s">
        <v>2660</v>
      </c>
      <c r="E126" s="2202" t="str">
        <f>A49</f>
        <v>c5.35</v>
      </c>
      <c r="F126" s="2203">
        <f>F17</f>
        <v>47444</v>
      </c>
      <c r="G126" s="1477"/>
      <c r="H126" s="1476"/>
      <c r="I126" s="2202" t="str">
        <f>A64</f>
        <v>c5.44</v>
      </c>
      <c r="J126" s="2203">
        <f>IF(AND('Status (c3a)'!E21=2,SAHR_rate&gt;AHR_rate),MAX(0,MIN(J119,J115-J117)),J106)</f>
        <v>0</v>
      </c>
      <c r="M126" s="2162" t="str">
        <f>A74</f>
        <v>c5.49</v>
      </c>
      <c r="N126" s="1978">
        <f>MAX(0,MIN((F8-(J182+J253)),N120))</f>
        <v>13700</v>
      </c>
      <c r="O126" s="93"/>
      <c r="P126" s="2325" t="s">
        <v>7847</v>
      </c>
      <c r="Q126" s="2202" t="str">
        <f>A101</f>
        <v>c5.52h</v>
      </c>
      <c r="R126" s="2203">
        <f>IF(AND(J36=0,AH36+AP36&gt;0,(F17+F36)-(F8-(J182+J253+N153+R74+R81))&gt;AL8),MIN(N126+R83,R117),MIN(MAX(0,F126-J126),MAX(0,(F8-(J182+J253+N153+R74+R81)))))</f>
        <v>13700</v>
      </c>
      <c r="X126" s="3482"/>
      <c r="Y126" s="2325"/>
      <c r="Z126" s="2325" t="str">
        <f><![CDATA["lower of "&Y125&" and ("&Y67&" minus ("&Y115&" + "&Y119&" + "&Y121&"))"]]></f>
        <v>lower of c5.58a.32 and (c5.58a.3 minus (c5.58a.27 + c5.58a.29 + c5.58a.30))</v>
      </c>
      <c r="AA126" s="3482"/>
      <c r="AE126" s="2982"/>
      <c r="AF126" s="2982"/>
      <c r="AG126" s="2202" t="str">
        <f>A297</f>
        <v>c5.58.7</v>
      </c>
      <c r="AH126" s="2203">
        <f>MIN(AH124,'Status (c3a)'!Q33)</f>
        <v>0</v>
      </c>
      <c r="AI126" s="1478"/>
      <c r="AK126" s="2202" t="str">
        <f>A305</f>
        <v>c5.62</v>
      </c>
      <c r="AL126" s="2203">
        <f>MIN(AL114,AL122)</f>
        <v>0</v>
      </c>
      <c r="AO126" s="2202" t="str">
        <f>A318</f>
        <v>c5.66.7</v>
      </c>
      <c r="AP126" s="2203">
        <f>MIN(AP124,'Status (c3a)'!I33)</f>
        <v>0</v>
      </c>
      <c r="AU126" s="1942"/>
      <c r="AW126" s="2202" t="str">
        <f>A351</f>
        <v>c5.67</v>
      </c>
      <c r="AX126" s="2203">
        <f>MAX(0,(J126+R126+AH126+AL126+AP126)-AX109)</f>
        <v>13700</v>
      </c>
      <c r="AY126" s="2211"/>
      <c r="BA126" s="2202" t="str">
        <f>A363</f>
        <v>c5.76</v>
      </c>
      <c r="BB126" s="2203">
        <f>MAX(0,F126-AX126)</f>
        <v>33744</v>
      </c>
      <c r="BD126" s="2641" t="s">
        <v>1375</v>
      </c>
    </row>
    <row customFormat="1" r="127" s="711" spans="1:79" x14ac:dyDescent="0.2">
      <c r="A127" s="2982" t="s">
        <v>6693</v>
      </c>
      <c r="C127" s="747"/>
      <c r="E127" s="2164"/>
      <c r="F127" s="1478"/>
      <c r="G127" s="1477"/>
      <c r="H127" s="1476"/>
      <c r="I127" s="2164"/>
      <c r="J127" s="1478"/>
      <c r="M127" s="715"/>
      <c r="N127" s="394"/>
      <c r="O127" s="394"/>
      <c r="X127" s="2325" t="s">
        <v>7877</v>
      </c>
      <c r="Y127" s="3442" t="str">
        <f>A221</f>
        <v>c5.58a.33</v>
      </c>
      <c r="Z127" s="2321">
        <f>MAX(0,MIN(Z125,Z67-(Z115+Z119+Z121)))</f>
        <v>0</v>
      </c>
      <c r="AI127" s="1478"/>
      <c r="AK127" s="2164"/>
      <c r="AL127" s="1478"/>
      <c r="AU127" s="1942"/>
      <c r="AW127" s="2164"/>
      <c r="AX127" s="1478"/>
      <c r="BA127" s="2164"/>
      <c r="BB127" s="1478"/>
      <c r="BD127" s="747"/>
    </row>
    <row customFormat="1" r="128" s="711" spans="1:79" x14ac:dyDescent="0.2">
      <c r="A128" s="2982" t="s">
        <v>6694</v>
      </c>
      <c r="C128" s="747"/>
      <c r="E128" s="2164"/>
      <c r="F128" s="1478"/>
      <c r="G128" s="1477"/>
      <c r="H128" s="1476"/>
      <c r="I128" s="2164"/>
      <c r="J128" s="1478"/>
      <c r="M128" s="715"/>
      <c r="N128" s="394"/>
      <c r="O128" s="394"/>
      <c r="X128" s="3482"/>
      <c r="Y128" s="2325"/>
      <c r="Z128" s="2325" t="str">
        <f><![CDATA["lower of ("&Y67&" minus ("&Y115&" + "&Y119&" + "&Y121&" + "&Y127&")) and "&Y123]]></f>
        <v>lower of (c5.58a.3 minus (c5.58a.27 + c5.58a.29 + c5.58a.30 + c5.58a.33)) and c5.58a.31</v>
      </c>
      <c r="AI128" s="1478"/>
      <c r="AK128" s="2982"/>
      <c r="AU128" s="1942"/>
      <c r="AW128" s="2164"/>
      <c r="AX128" s="1478"/>
      <c r="BA128" s="2164"/>
      <c r="BB128" s="1478"/>
      <c r="BD128" s="747"/>
    </row>
    <row customFormat="1" r="129" s="711" spans="1:56" x14ac:dyDescent="0.2">
      <c r="A129" s="2982" t="s">
        <v>6696</v>
      </c>
      <c r="C129" s="747"/>
      <c r="E129" s="2164"/>
      <c r="F129" s="1478"/>
      <c r="G129" s="1477"/>
      <c r="H129" s="1476"/>
      <c r="I129" s="2164"/>
      <c r="J129" s="1478"/>
      <c r="M129" s="715"/>
      <c r="N129" s="394"/>
      <c r="O129" s="394"/>
      <c r="X129" s="2325" t="s">
        <v>7880</v>
      </c>
      <c r="Y129" s="3442" t="str">
        <f>A222</f>
        <v>c5.58a.34</v>
      </c>
      <c r="Z129" s="2321">
        <f>MAX(0,MIN(Z67-(Z115+Z119+Z121+Z127),Z123))</f>
        <v>0</v>
      </c>
      <c r="AI129" s="1478"/>
      <c r="AK129" s="3482"/>
      <c r="AL129" s="93"/>
      <c r="AU129" s="1942"/>
      <c r="AW129" s="2164"/>
      <c r="AX129" s="1478"/>
      <c r="BA129" s="2164"/>
      <c r="BB129" s="1478"/>
      <c r="BD129" s="747"/>
    </row>
    <row customFormat="1" r="130" s="711" spans="1:56" x14ac:dyDescent="0.2">
      <c r="A130" s="2982" t="s">
        <v>6697</v>
      </c>
      <c r="C130" s="747"/>
      <c r="E130" s="2164"/>
      <c r="F130" s="1478"/>
      <c r="G130" s="1477"/>
      <c r="H130" s="1476"/>
      <c r="I130" s="2164"/>
      <c r="J130" s="1478"/>
      <c r="M130" s="715"/>
      <c r="N130" s="394"/>
      <c r="O130" s="394"/>
      <c r="X130" s="720"/>
      <c r="Y130" s="2325"/>
      <c r="Z130" s="2325" t="str">
        <f><![CDATA["(BR_band ("&DOLLAR(BR_band,0)&") + "&'Deductions (c4)'!L311&") minus ("&Y103&" + "&Y67&")"]]></f>
        <v>(BR_band ($37,500) + c4.75) minus (c5.58a.21 + c5.58a.3)</v>
      </c>
      <c r="AI130" s="1478"/>
      <c r="AK130" s="3482"/>
      <c r="AL130" s="93"/>
      <c r="AU130" s="1942"/>
      <c r="AW130" s="2164"/>
      <c r="AX130" s="1478"/>
      <c r="BA130" s="2164"/>
      <c r="BB130" s="1478"/>
      <c r="BD130" s="747"/>
    </row>
    <row customFormat="1" r="131" s="711" spans="1:56" x14ac:dyDescent="0.2">
      <c r="A131" s="2982" t="s">
        <v>6699</v>
      </c>
      <c r="C131" s="747"/>
      <c r="E131" s="2164"/>
      <c r="F131" s="1478"/>
      <c r="G131" s="1477"/>
      <c r="H131" s="1476"/>
      <c r="I131" s="2164"/>
      <c r="J131" s="1478"/>
      <c r="M131" s="715"/>
      <c r="N131" s="394"/>
      <c r="O131" s="394"/>
      <c r="X131" s="3449" t="s">
        <v>7935</v>
      </c>
      <c r="Y131" s="3442" t="str">
        <f>A223</f>
        <v>c5.58a.35</v>
      </c>
      <c r="Z131" s="2321">
        <f>MAX(0,(BR_band+'Deductions (c4)'!M311)-(Z103+Z67))</f>
        <v>1703</v>
      </c>
      <c r="AI131" s="1478"/>
      <c r="AK131" s="3482"/>
      <c r="AL131" s="93"/>
      <c r="AU131" s="1942"/>
      <c r="AW131" s="2164"/>
      <c r="AX131" s="1478"/>
      <c r="BA131" s="2164"/>
      <c r="BB131" s="1478"/>
      <c r="BD131" s="747"/>
    </row>
    <row customFormat="1" r="132" s="711" spans="1:56" x14ac:dyDescent="0.2">
      <c r="A132" s="2982" t="s">
        <v>6700</v>
      </c>
      <c r="C132" s="747"/>
      <c r="E132" s="2164"/>
      <c r="F132" s="1478"/>
      <c r="G132" s="1477"/>
      <c r="H132" s="1476"/>
      <c r="I132" s="2164"/>
      <c r="J132" s="1478"/>
      <c r="M132" s="715"/>
      <c r="N132" s="394"/>
      <c r="O132" s="394"/>
      <c r="X132" s="3482"/>
      <c r="Y132" s="2325"/>
      <c r="Z132" s="2325" t="str">
        <f>"lower of "&amp;U198&amp;" and "&amp;Y131</f>
        <v>lower of c5.56b and c5.58a.35</v>
      </c>
      <c r="AI132" s="1478"/>
      <c r="AK132" s="3482"/>
      <c r="AL132" s="93"/>
      <c r="AU132" s="1942"/>
      <c r="AW132" s="2164"/>
      <c r="AX132" s="1478"/>
      <c r="BA132" s="2164"/>
      <c r="BB132" s="1478"/>
      <c r="BD132" s="747"/>
    </row>
    <row customFormat="1" r="133" s="711" spans="1:56" x14ac:dyDescent="0.2">
      <c r="A133" s="2982" t="s">
        <v>6701</v>
      </c>
      <c r="C133" s="747"/>
      <c r="E133" s="2164"/>
      <c r="F133" s="1478"/>
      <c r="G133" s="1477"/>
      <c r="H133" s="1476"/>
      <c r="I133" s="2164"/>
      <c r="J133" s="1478"/>
      <c r="M133" s="715"/>
      <c r="N133" s="394"/>
      <c r="O133" s="394"/>
      <c r="X133" s="3449" t="s">
        <v>6988</v>
      </c>
      <c r="Y133" s="3442" t="str">
        <f>A224</f>
        <v>c5.58a.36</v>
      </c>
      <c r="Z133" s="2321">
        <f>MIN(V198,Z131)</f>
        <v>1703</v>
      </c>
      <c r="AI133" s="1478"/>
      <c r="AK133" s="3482"/>
      <c r="AL133" s="93"/>
      <c r="AU133" s="1942"/>
      <c r="AW133" s="2164"/>
      <c r="AX133" s="1478"/>
      <c r="BA133" s="2164"/>
      <c r="BB133" s="1478"/>
      <c r="BD133" s="747"/>
    </row>
    <row customFormat="1" r="134" s="711" spans="1:56" x14ac:dyDescent="0.2">
      <c r="A134" s="2982" t="s">
        <v>6702</v>
      </c>
      <c r="C134" s="747"/>
      <c r="E134" s="2164"/>
      <c r="F134" s="1478"/>
      <c r="G134" s="1477"/>
      <c r="H134" s="1476"/>
      <c r="I134" s="2164"/>
      <c r="J134" s="1478"/>
      <c r="M134" s="715"/>
      <c r="N134" s="394"/>
      <c r="O134" s="394"/>
      <c r="X134" s="3482"/>
      <c r="Y134" s="2325"/>
      <c r="Z134" s="2325" t="str">
        <f>Y131&amp;" minus "&amp;Y133</f>
        <v>c5.58a.35 minus c5.58a.36</v>
      </c>
      <c r="AI134" s="1478"/>
      <c r="AK134" s="3482"/>
      <c r="AL134" s="93"/>
      <c r="AU134" s="1942"/>
      <c r="AW134" s="2164"/>
      <c r="AX134" s="1478"/>
      <c r="BA134" s="2164"/>
      <c r="BB134" s="1478"/>
      <c r="BD134" s="747"/>
    </row>
    <row customFormat="1" r="135" s="711" spans="1:56" x14ac:dyDescent="0.2">
      <c r="A135" s="2982" t="s">
        <v>6703</v>
      </c>
      <c r="C135" s="747"/>
      <c r="E135" s="2164"/>
      <c r="F135" s="1478"/>
      <c r="G135" s="1477"/>
      <c r="H135" s="1476"/>
      <c r="I135" s="2164"/>
      <c r="J135" s="1478"/>
      <c r="M135" s="715"/>
      <c r="N135" s="394"/>
      <c r="O135" s="394"/>
      <c r="X135" s="3449" t="s">
        <v>6989</v>
      </c>
      <c r="Y135" s="3442" t="str">
        <f>A225</f>
        <v>c5.58a.37</v>
      </c>
      <c r="Z135" s="2321">
        <f>MAX(0,Z131-Z133)</f>
        <v>0</v>
      </c>
      <c r="AI135" s="1478"/>
      <c r="AK135" s="3482"/>
      <c r="AL135" s="93"/>
      <c r="AU135" s="1942"/>
      <c r="AW135" s="2164"/>
      <c r="AX135" s="1478"/>
      <c r="BA135" s="2164"/>
      <c r="BB135" s="1478"/>
      <c r="BD135" s="747"/>
    </row>
    <row customFormat="1" r="136" s="711" spans="1:56" x14ac:dyDescent="0.2">
      <c r="A136" s="2982" t="s">
        <v>6704</v>
      </c>
      <c r="C136" s="747"/>
      <c r="E136" s="2164"/>
      <c r="F136" s="1478"/>
      <c r="G136" s="1477"/>
      <c r="H136" s="1476"/>
      <c r="I136" s="2164"/>
      <c r="J136" s="1478"/>
      <c r="M136" s="715"/>
      <c r="N136" s="394"/>
      <c r="O136" s="394"/>
      <c r="Y136" s="2325"/>
      <c r="Z136" s="2325" t="str">
        <f><![CDATA["lower of ("&'Deductions (c4)'!L437&" minus "&Y133&") and ("&Y69&" minus ("&Y133&" + "&Y135&"))"]]></f>
        <v>lower of (c4.80 minus c5.58a.36) and (c5.58a.4 minus (c5.58a.36 + c5.58a.37))</v>
      </c>
      <c r="AI136" s="1478"/>
      <c r="AK136" s="3482"/>
      <c r="AL136" s="93"/>
      <c r="AU136" s="1942"/>
      <c r="AW136" s="2164"/>
      <c r="AX136" s="1478"/>
      <c r="BA136" s="2164"/>
      <c r="BB136" s="1478"/>
      <c r="BD136" s="747"/>
    </row>
    <row customFormat="1" r="137" s="711" spans="1:56" x14ac:dyDescent="0.2">
      <c r="A137" s="2982" t="s">
        <v>6705</v>
      </c>
      <c r="C137" s="747"/>
      <c r="E137" s="2164"/>
      <c r="F137" s="1478"/>
      <c r="G137" s="1477"/>
      <c r="H137" s="1476"/>
      <c r="I137" s="2164"/>
      <c r="J137" s="1478"/>
      <c r="M137" s="715"/>
      <c r="N137" s="394"/>
      <c r="O137" s="394"/>
      <c r="X137" s="3449" t="s">
        <v>8117</v>
      </c>
      <c r="Y137" s="3442" t="str">
        <f>A226</f>
        <v>c5.58a.38</v>
      </c>
      <c r="Z137" s="2298">
        <f>MAX(0,MIN(DA-Z133,Z69-(Z133+Z135)))</f>
        <v>297</v>
      </c>
      <c r="AI137" s="1478"/>
      <c r="AK137" s="3482"/>
      <c r="AL137" s="93"/>
      <c r="AU137" s="1942"/>
      <c r="AW137" s="2164"/>
      <c r="AX137" s="1478"/>
      <c r="BA137" s="2164"/>
      <c r="BB137" s="1478"/>
      <c r="BD137" s="747"/>
    </row>
    <row customFormat="1" r="138" s="711" spans="1:56" x14ac:dyDescent="0.2">
      <c r="A138" s="2982" t="s">
        <v>6706</v>
      </c>
      <c r="C138" s="747"/>
      <c r="E138" s="2164"/>
      <c r="F138" s="1478"/>
      <c r="G138" s="1477"/>
      <c r="H138" s="1476"/>
      <c r="I138" s="2164"/>
      <c r="J138" s="1478"/>
      <c r="M138" s="715"/>
      <c r="N138" s="394"/>
      <c r="O138" s="394"/>
      <c r="X138" s="3482"/>
      <c r="Y138" s="2325"/>
      <c r="Z138" s="2325" t="str">
        <f><![CDATA[Y69&" minus ("&Y133&" + "&Y135&" + "&Y137&")"]]></f>
        <v>c5.58a.4 minus (c5.58a.36 + c5.58a.37 + c5.58a.38)</v>
      </c>
      <c r="AI138" s="1478"/>
      <c r="AK138" s="3482"/>
      <c r="AL138" s="93"/>
      <c r="AU138" s="1942"/>
      <c r="AW138" s="2164"/>
      <c r="AX138" s="1478"/>
      <c r="BA138" s="2164"/>
      <c r="BB138" s="1478"/>
      <c r="BD138" s="747"/>
    </row>
    <row customFormat="1" r="139" s="711" spans="1:56" x14ac:dyDescent="0.2">
      <c r="A139" s="2982" t="s">
        <v>6810</v>
      </c>
      <c r="C139" s="747"/>
      <c r="E139" s="2164"/>
      <c r="F139" s="1478"/>
      <c r="G139" s="1477"/>
      <c r="H139" s="1476"/>
      <c r="I139" s="2164"/>
      <c r="J139" s="1478"/>
      <c r="M139" s="715"/>
      <c r="N139" s="394"/>
      <c r="O139" s="394"/>
      <c r="X139" s="3449" t="s">
        <v>8118</v>
      </c>
      <c r="Y139" s="3442" t="str">
        <f>A227</f>
        <v>c5.58a.39</v>
      </c>
      <c r="Z139" s="2321">
        <f>MAX(0,Z69-(Z133+Z135+Z137))</f>
        <v>10750</v>
      </c>
      <c r="AI139" s="1478"/>
      <c r="AK139" s="3482"/>
      <c r="AL139" s="93"/>
      <c r="AU139" s="1942"/>
      <c r="AW139" s="2164"/>
      <c r="AX139" s="1478"/>
      <c r="BA139" s="2164"/>
      <c r="BB139" s="1478"/>
      <c r="BD139" s="747"/>
    </row>
    <row customFormat="1" r="140" s="711" spans="1:56" x14ac:dyDescent="0.2">
      <c r="A140" s="2982" t="s">
        <v>6811</v>
      </c>
      <c r="C140" s="747"/>
      <c r="E140" s="2164"/>
      <c r="F140" s="1478"/>
      <c r="G140" s="1477"/>
      <c r="H140" s="1476"/>
      <c r="I140" s="2164"/>
      <c r="J140" s="1478"/>
      <c r="M140" s="715"/>
      <c r="N140" s="394"/>
      <c r="O140" s="394"/>
      <c r="Y140" s="2325"/>
      <c r="Z140" s="2325" t="str">
        <f><![CDATA["lower of ("&E153&" minus "&I153&") and ("&'Status (c3a)'!H33&" minus ("&Y67&" + "&Y69&" + "&Y107&"))"]]></f>
        <v>lower of (c5.36 minus c5.45) and (c3a.1a minus (c5.58a.3 + c5.58a.4 + c5.58a.23))</v>
      </c>
      <c r="AI140" s="1478"/>
      <c r="AK140" s="3482"/>
      <c r="AL140" s="93"/>
      <c r="AU140" s="1942"/>
      <c r="AW140" s="2164"/>
      <c r="AX140" s="1478"/>
      <c r="BA140" s="2164"/>
      <c r="BB140" s="1478"/>
      <c r="BD140" s="747"/>
    </row>
    <row customFormat="1" r="141" s="711" spans="1:56" x14ac:dyDescent="0.2">
      <c r="A141" s="2982" t="s">
        <v>6812</v>
      </c>
      <c r="C141" s="747"/>
      <c r="E141" s="2164"/>
      <c r="F141" s="1478"/>
      <c r="G141" s="1477"/>
      <c r="H141" s="1476"/>
      <c r="I141" s="2164"/>
      <c r="J141" s="1478"/>
      <c r="M141" s="715"/>
      <c r="N141" s="394"/>
      <c r="O141" s="394"/>
      <c r="X141" s="2325" t="s">
        <v>8119</v>
      </c>
      <c r="Y141" s="3442" t="str">
        <f>A228</f>
        <v>c5.58a.40</v>
      </c>
      <c r="Z141" s="2321">
        <f>MAX(0,MIN(F153-J153,'Status (c3a)'!I33-(Z67+Z69+Z107)))</f>
        <v>0</v>
      </c>
      <c r="AI141" s="1478"/>
      <c r="AK141" s="3482"/>
      <c r="AL141" s="93"/>
      <c r="AU141" s="1942"/>
      <c r="AW141" s="2164"/>
      <c r="AX141" s="1478"/>
      <c r="BA141" s="2164"/>
      <c r="BB141" s="1478"/>
      <c r="BD141" s="747"/>
    </row>
    <row customFormat="1" r="142" s="711" spans="1:56" x14ac:dyDescent="0.2">
      <c r="A142" s="2982" t="s">
        <v>6813</v>
      </c>
      <c r="C142" s="747"/>
      <c r="E142" s="2164"/>
      <c r="F142" s="1478"/>
      <c r="G142" s="1477"/>
      <c r="H142" s="1476"/>
      <c r="I142" s="2164"/>
      <c r="J142" s="1478"/>
      <c r="M142" s="715"/>
      <c r="N142" s="394"/>
      <c r="O142" s="394"/>
      <c r="X142" s="3482"/>
      <c r="Y142" s="2325"/>
      <c r="Z142" s="2325" t="str">
        <f><![CDATA["lower of ("&E153&" minus ("&I153&" + "&Y141&")) and (("&'Status (c3a)'!H33&" + "&U8&") minus ("&Y67&" + "&Y69&" + "&Y107&" + "&Y141&"))"]]></f>
        <v>lower of (c5.36 minus (c5.45 + c5.58a.40)) and ((c3a.1a + c5.2) minus (c5.58a.3 + c5.58a.4 + c5.58a.23 + c5.58a.40))</v>
      </c>
      <c r="AI142" s="1478"/>
      <c r="AK142" s="3482"/>
      <c r="AL142" s="93"/>
      <c r="AU142" s="1942"/>
      <c r="AW142" s="2164"/>
      <c r="AX142" s="1478"/>
      <c r="BA142" s="2164"/>
      <c r="BB142" s="1478"/>
      <c r="BD142" s="747"/>
    </row>
    <row customFormat="1" r="143" s="711" spans="1:56" x14ac:dyDescent="0.2">
      <c r="A143" s="2982" t="s">
        <v>6814</v>
      </c>
      <c r="C143" s="747"/>
      <c r="E143" s="2164"/>
      <c r="F143" s="1478"/>
      <c r="G143" s="1477"/>
      <c r="H143" s="1476"/>
      <c r="I143" s="2164"/>
      <c r="J143" s="1478"/>
      <c r="M143" s="715"/>
      <c r="N143" s="394"/>
      <c r="O143" s="394"/>
      <c r="X143" s="2325" t="s">
        <v>8120</v>
      </c>
      <c r="Y143" s="3442" t="str">
        <f>A229</f>
        <v>c5.58a.41</v>
      </c>
      <c r="Z143" s="2321">
        <f>MAX(0,MIN(F153-(J153+Z141),('Status (c3a)'!I33+V8)-(Z67+Z69+Z107+Z141)))</f>
        <v>0</v>
      </c>
      <c r="AI143" s="1478"/>
      <c r="AK143" s="3482"/>
      <c r="AL143" s="93"/>
      <c r="AU143" s="1942"/>
      <c r="AW143" s="2164"/>
      <c r="AX143" s="1478"/>
      <c r="BA143" s="2164"/>
      <c r="BB143" s="1478"/>
      <c r="BD143" s="747"/>
    </row>
    <row customFormat="1" r="144" s="711" spans="1:56" x14ac:dyDescent="0.2">
      <c r="A144" s="2982" t="s">
        <v>6815</v>
      </c>
      <c r="C144" s="747"/>
      <c r="E144" s="2164"/>
      <c r="F144" s="1478"/>
      <c r="G144" s="1477"/>
      <c r="H144" s="1476"/>
      <c r="I144" s="2164"/>
      <c r="J144" s="1478"/>
      <c r="M144" s="715"/>
      <c r="N144" s="394"/>
      <c r="O144" s="394"/>
      <c r="X144" s="981"/>
      <c r="Y144" s="2325"/>
      <c r="Z144" s="2325" t="str">
        <f><![CDATA["lower of ("&E153&" minus ("&I153&" + "&Y141&" + "&Y143&")) and (("&'Status (c3a)'!H33&" + "&U8&" + "&'Status (c3a)'!P33&") minus ("&Y67&" + "&Y69&" + "&Y107&" + "&Y141&" + "&Y143&"))"]]></f>
        <v>lower of (c5.36 minus (c5.45 + c5.58a.40 + c5.58a.41)) and ((c3a.1a + c5.2 + c3a.2a) minus (c5.58a.3 + c5.58a.4 + c5.58a.23 + c5.58a.40 + c5.58a.41))</v>
      </c>
      <c r="AI144" s="1478"/>
      <c r="AK144" s="3482"/>
      <c r="AL144" s="93"/>
      <c r="AU144" s="1942"/>
      <c r="AW144" s="2164"/>
      <c r="AX144" s="1478"/>
      <c r="BA144" s="2164"/>
      <c r="BB144" s="1478"/>
      <c r="BD144" s="747"/>
    </row>
    <row customFormat="1" r="145" s="711" spans="1:80" x14ac:dyDescent="0.2">
      <c r="A145" s="2982" t="s">
        <v>6816</v>
      </c>
      <c r="C145" s="747"/>
      <c r="E145" s="2164"/>
      <c r="F145" s="1478"/>
      <c r="G145" s="1477"/>
      <c r="H145" s="1476"/>
      <c r="I145" s="2164"/>
      <c r="J145" s="1478"/>
      <c r="M145" s="715"/>
      <c r="N145" s="394"/>
      <c r="O145" s="394"/>
      <c r="X145" s="2325" t="s">
        <v>8121</v>
      </c>
      <c r="Y145" s="3442" t="str">
        <f>A230</f>
        <v>c5.58a.42</v>
      </c>
      <c r="Z145" s="2321">
        <f>MAX(0,MIN(F153-(J153+Z141+Z143),('Status (c3a)'!I33+V8+'Status (c3a)'!Q33)-(Z67+Z69+Z107+Z141+Z143)))</f>
        <v>0</v>
      </c>
      <c r="AI145" s="1478"/>
      <c r="AK145" s="3482"/>
      <c r="AL145" s="3305" t="s">
        <v>6393</v>
      </c>
      <c r="AU145" s="1942"/>
      <c r="AW145" s="2164"/>
      <c r="AX145" s="1478"/>
      <c r="BA145" s="2164"/>
      <c r="BB145" s="1478"/>
      <c r="BD145" s="747"/>
    </row>
    <row customFormat="1" r="146" s="711" spans="1:80" x14ac:dyDescent="0.2">
      <c r="A146" s="2982" t="s">
        <v>6817</v>
      </c>
      <c r="C146" s="747"/>
      <c r="E146" s="2164"/>
      <c r="F146" s="1478"/>
      <c r="G146" s="724"/>
      <c r="H146" s="1476"/>
      <c r="I146" s="2164"/>
      <c r="J146" s="1478"/>
      <c r="M146" s="715"/>
      <c r="N146" s="394"/>
      <c r="O146" s="394"/>
      <c r="T146" s="2982"/>
      <c r="U146" s="2982"/>
      <c r="V146" s="2982"/>
      <c r="W146" s="3482"/>
      <c r="X146" s="3482"/>
      <c r="Y146" s="2325"/>
      <c r="Z146" s="2325" t="str">
        <f><![CDATA["lower of ("&E153&" minus ("&I153&" + "&Y141&" + "&Y143&" + "&Y145&")) and (("&'Status (c3a)'!H33&" + "&U8&" + "&'Status (c3a)'!P33&" + "&'Status (c3a)'!X33&") minus ("&Y67&" + "&Y69&" + "&Y107&" + "&Y141&" + "&Y143&" + "&Y145&"))"]]></f>
        <v>lower of (c5.36 minus (c5.45 + c5.58a.40 + c5.58a.41 + c5.58a.42)) and ((c3a.1a + c5.2 + c3a.2a + c3a.3) minus (c5.58a.3 + c5.58a.4 + c5.58a.23 + c5.58a.40 + c5.58a.41 + c5.58a.42))</v>
      </c>
      <c r="AB146" s="93"/>
      <c r="AC146" s="2982"/>
      <c r="AD146" s="2325" t="str">
        <f><![CDATA["lower of "&Y270&" and ("&E17&" + "&U36&")"]]></f>
        <v>lower of c5.58d and (c5.3 + c5.16)</v>
      </c>
      <c r="AG146" s="2982"/>
      <c r="AH146" s="2982"/>
      <c r="AK146" s="2119" t="str">
        <f>A306</f>
        <v>c5.62a</v>
      </c>
      <c r="AL146" s="1981">
        <v>0</v>
      </c>
      <c r="AM146" s="2982"/>
      <c r="AN146" s="2982"/>
      <c r="AO146" s="2982"/>
      <c r="AP146" s="93" t="s">
        <v>6152</v>
      </c>
      <c r="AQ146" s="2982"/>
      <c r="AR146" s="2982"/>
      <c r="AS146" s="2982"/>
      <c r="AT146" s="2982"/>
      <c r="AU146" s="37"/>
      <c r="AV146" s="37"/>
      <c r="AW146" s="2164"/>
      <c r="AX146" s="2982"/>
      <c r="BA146" s="2164"/>
      <c r="BB146" s="1478"/>
      <c r="BD146" s="747"/>
      <c r="BE146" s="2982"/>
      <c r="BF146" s="2982"/>
      <c r="BG146" s="2982"/>
      <c r="BH146" s="2982"/>
      <c r="BI146" s="2982"/>
      <c r="BJ146" s="2982"/>
      <c r="BK146" s="2982"/>
      <c r="BL146" s="2982"/>
      <c r="BM146" s="2982"/>
      <c r="BN146" s="2982"/>
      <c r="BO146" s="2982"/>
      <c r="BP146" s="2982"/>
      <c r="BQ146" s="2982"/>
      <c r="BR146" s="2982"/>
      <c r="BS146" s="2982"/>
      <c r="BT146" s="2982"/>
      <c r="BU146" s="2982"/>
      <c r="BV146" s="2982"/>
      <c r="BW146" s="2982"/>
      <c r="BX146" s="2982"/>
      <c r="BY146" s="2982"/>
      <c r="BZ146" s="2982"/>
      <c r="CA146" s="2982"/>
      <c r="CB146" s="2982"/>
    </row>
    <row customFormat="1" r="147" s="711" spans="1:80" x14ac:dyDescent="0.2">
      <c r="A147" s="2982" t="s">
        <v>6821</v>
      </c>
      <c r="C147" s="747"/>
      <c r="E147" s="2164"/>
      <c r="F147" s="1478"/>
      <c r="G147" s="724"/>
      <c r="H147" s="1476"/>
      <c r="I147" s="2164"/>
      <c r="J147" s="1478"/>
      <c r="M147" s="2982"/>
      <c r="N147" s="2982"/>
      <c r="O147" s="394"/>
      <c r="T147" s="2982"/>
      <c r="U147" s="2982"/>
      <c r="V147" s="2982"/>
      <c r="W147" s="3482"/>
      <c r="X147" s="2325" t="s">
        <v>8122</v>
      </c>
      <c r="Y147" s="3442" t="str">
        <f>A231</f>
        <v>c5.58a.43</v>
      </c>
      <c r="Z147" s="2321">
        <f>MAX(0,MIN(F153-(J153+Z141+Z143+Z145),('Status (c3a)'!I33+V8+'Status (c3a)'!Q33+'Status (c3a)'!Y33)-(Z67+Z69+Z107+Z141+Z143+Z145)))</f>
        <v>0</v>
      </c>
      <c r="AB147" s="93"/>
      <c r="AC147" s="2162" t="str">
        <f>A285</f>
        <v>c5.58f</v>
      </c>
      <c r="AD147" s="2321">
        <f>MIN(Z270,F17+V36)</f>
        <v>0</v>
      </c>
      <c r="AF147" s="2982"/>
      <c r="AK147" s="2982"/>
      <c r="AL147" s="93"/>
      <c r="AP147" s="93" t="str">
        <f><![CDATA["("&E8&" minus ("&I182&" + "&I253&" + "&AC242&" +"]]></f>
        <v>(c5.1 minus (c5.47 + c5.48 + c5.58i +</v>
      </c>
      <c r="AQ147" s="2982"/>
      <c r="AR147" s="2982"/>
      <c r="AS147" s="2982"/>
      <c r="AT147" s="2982"/>
      <c r="AU147" s="37"/>
      <c r="AV147" s="37"/>
      <c r="AW147" s="2164"/>
      <c r="AX147" s="2982"/>
      <c r="BA147" s="2164"/>
      <c r="BB147" s="1478"/>
      <c r="BD147" s="747"/>
      <c r="BE147" s="2982"/>
      <c r="BF147" s="2982"/>
      <c r="BG147" s="2982"/>
      <c r="BH147" s="2982"/>
      <c r="BI147" s="2982"/>
      <c r="BJ147" s="2982"/>
      <c r="BK147" s="2982"/>
      <c r="BL147" s="2982"/>
      <c r="BM147" s="2982"/>
      <c r="BN147" s="2982"/>
      <c r="BO147" s="2982"/>
      <c r="BP147" s="2982"/>
      <c r="BQ147" s="2982"/>
      <c r="BR147" s="2982"/>
      <c r="BS147" s="2982"/>
      <c r="BT147" s="2982"/>
      <c r="BU147" s="2982"/>
      <c r="BV147" s="2982"/>
      <c r="BW147" s="2982"/>
      <c r="BX147" s="2982"/>
      <c r="BY147" s="2982"/>
      <c r="BZ147" s="2982"/>
      <c r="CA147" s="2982"/>
      <c r="CB147" s="2982"/>
    </row>
    <row customFormat="1" r="148" s="711" spans="1:80" x14ac:dyDescent="0.2">
      <c r="A148" s="2982" t="s">
        <v>6881</v>
      </c>
      <c r="C148" s="2974"/>
      <c r="D148" s="2982"/>
      <c r="E148" s="2982"/>
      <c r="F148" s="2982"/>
      <c r="G148" s="724"/>
      <c r="H148" s="117"/>
      <c r="I148" s="2982"/>
      <c r="J148" s="2982"/>
      <c r="K148" s="2982"/>
      <c r="L148" s="2982"/>
      <c r="M148" s="2982"/>
      <c r="N148" s="2982"/>
      <c r="O148" s="2982"/>
      <c r="T148" s="2982"/>
      <c r="U148" s="2982"/>
      <c r="V148" s="2982"/>
      <c r="W148" s="3482"/>
      <c r="Y148" s="2325"/>
      <c r="Z148" s="2325" t="str">
        <f><![CDATA["(("&Y105&" + "&Y141&") x "&'Status (c3a)'!H44&") + (("&Y107&" + "&Y143&") x "&'Status (c3a)'!L44&") + (("&Y109&" + "&Y145&") x "&'Status (c3a)'!P44&") + (("&Y111&" + "&Y147&") x "&'Status (c3a)'!X44&")"]]></f>
        <v>((c5.58a.22 + c5.58a.40) x c3a.3b) + ((c5.58a.23 + c5.58a.41) x c3a.4) + ((c5.58a.24 + c5.58a.42) x c3a.4a) + ((c5.58a.25 + c5.58a.43) x c3a.5)</v>
      </c>
      <c r="AA148" s="3484"/>
      <c r="AB148" s="93"/>
      <c r="AC148" s="1945"/>
      <c r="AD148" s="3488" t="str">
        <f><![CDATA["lower of ("&Y276&" and (("&E17&" minus "&Y270&") + "&U36&"))"]]></f>
        <v>lower of (c5.58e and ((c5.3 minus c5.58d) + c5.16))</v>
      </c>
      <c r="AE148" s="2982"/>
      <c r="AF148" s="2982"/>
      <c r="AG148" s="2982"/>
      <c r="AH148" s="2982" t="s">
        <v>6152</v>
      </c>
      <c r="AM148" s="2982"/>
      <c r="AN148" s="2982"/>
      <c r="AO148" s="2982"/>
      <c r="AP148" s="93" t="str">
        <f><![CDATA[AC253&" + "&AK242&" + "&AK253&" + "&AO126&") and"]]></f>
        <v>c5.58k + c5.65 + c5.66 + c5.66.7) and</v>
      </c>
      <c r="AQ148" s="2982"/>
      <c r="AR148" s="2982"/>
      <c r="AS148" s="2982"/>
      <c r="AT148" s="2982"/>
      <c r="AU148" s="128"/>
      <c r="AV148" s="2982"/>
      <c r="AW148" s="2982"/>
      <c r="AX148" s="2982"/>
      <c r="AY148" s="2982"/>
      <c r="AZ148" s="2982"/>
      <c r="BA148" s="2982"/>
      <c r="BB148" s="2982"/>
      <c r="BC148" s="2982"/>
      <c r="BD148" s="2974"/>
      <c r="BE148" s="2982"/>
      <c r="BF148" s="2982"/>
      <c r="BG148" s="2982"/>
      <c r="BH148" s="2982"/>
      <c r="BI148" s="2982"/>
      <c r="BJ148" s="2982"/>
      <c r="BK148" s="2982"/>
      <c r="BL148" s="2982"/>
      <c r="BM148" s="2982"/>
      <c r="BN148" s="2982"/>
      <c r="BO148" s="2982"/>
      <c r="BP148" s="2982"/>
      <c r="BQ148" s="2982"/>
      <c r="BR148" s="2982"/>
      <c r="BS148" s="2982"/>
      <c r="BT148" s="2982"/>
      <c r="BU148" s="2982"/>
      <c r="BV148" s="2982"/>
      <c r="BW148" s="2982"/>
      <c r="BX148" s="2982"/>
      <c r="BY148" s="2982"/>
      <c r="BZ148" s="2982"/>
      <c r="CA148" s="2982"/>
      <c r="CB148" s="2982"/>
    </row>
    <row customFormat="1" r="149" s="711" spans="1:80" x14ac:dyDescent="0.2">
      <c r="A149" s="2982" t="s">
        <v>6884</v>
      </c>
      <c r="C149" s="2974"/>
      <c r="D149" s="2982"/>
      <c r="E149" s="2982"/>
      <c r="F149" s="2982"/>
      <c r="G149" s="1477"/>
      <c r="H149" s="117"/>
      <c r="I149" s="2982"/>
      <c r="J149" s="2982"/>
      <c r="K149" s="2982"/>
      <c r="L149" s="2982"/>
      <c r="M149" s="3436"/>
      <c r="N149" s="2325" t="str">
        <f>"lower of ("&amp;E153&amp;" minus "&amp;I153&amp;") and "&amp;AK57</f>
        <v>lower of (c5.36 minus c5.45) and c5.34c</v>
      </c>
      <c r="O149" s="2982"/>
      <c r="T149" s="2982"/>
      <c r="U149" s="2982"/>
      <c r="V149" s="2982"/>
      <c r="W149" s="3482"/>
      <c r="X149" s="2325" t="s">
        <v>8126</v>
      </c>
      <c r="Y149" s="3442" t="str">
        <f>A232</f>
        <v>c5.58a.44</v>
      </c>
      <c r="Z149" s="2298">
        <f>TRUNC(((Z105+Z141)*'Status (c3a)'!I44)+((Z107+Z143)*'Status (c3a)'!M44)+((Z109+Z145)*'Status (c3a)'!Q44)+((Z111+Z147)*'Status (c3a)'!Y44),2)</f>
        <v>7162.86</v>
      </c>
      <c r="AA149" s="3441" t="s">
        <v>2694</v>
      </c>
      <c r="AB149" s="2982"/>
      <c r="AC149" s="2162" t="str">
        <f>A286</f>
        <v>c5.58g</v>
      </c>
      <c r="AD149" s="2321">
        <f>MAX(0,MIN(Z276,(F17-Z270)+V36))</f>
        <v>0</v>
      </c>
      <c r="AE149" s="2982"/>
      <c r="AF149" s="2982"/>
      <c r="AG149" s="2982"/>
      <c r="AH149" s="2325" t="str">
        <f><![CDATA["("&E8&" minus ("&I182&" + "&I253&" + "&Y276&" + "&AC242&" + "&AC253&" + "&AG126&")) and"]]></f>
        <v>(c5.1 minus (c5.47 + c5.48 + c5.58e + c5.58i + c5.58k + c5.58.7)) and</v>
      </c>
      <c r="AK149" s="2325"/>
      <c r="AL149" s="2325" t="str">
        <f><![CDATA["lower of ("&E8&" minus ("&I182&" + "&I253&" + "&Y276&" + "&AC242&" +"]]></f>
        <v>lower of (c5.1 minus (c5.47 + c5.48 + c5.58e + c5.58i +</v>
      </c>
      <c r="AM149" s="2982"/>
      <c r="AN149" s="2982"/>
      <c r="AO149" s="1945"/>
      <c r="AP149" s="2325" t="str">
        <f><![CDATA["("&Q57&" + "&U57&" + "&AC57&" + "&AK57&" + "&AS57&") minus "]]></f>
        <v xml:space="preserve">(c5.34a1 + c5.34b + c5.34b1 + c5.34c + c5.34d) minus </v>
      </c>
      <c r="AU149" s="1942"/>
      <c r="AW149" s="2982"/>
      <c r="AX149" s="2982"/>
      <c r="AY149" s="2982"/>
      <c r="AZ149" s="2982"/>
      <c r="BA149" s="2982"/>
      <c r="BB149" s="2982"/>
      <c r="BC149" s="2982"/>
      <c r="BD149" s="2974"/>
      <c r="BF149" s="2982"/>
      <c r="BG149" s="2982"/>
      <c r="BH149" s="2982"/>
      <c r="BI149" s="2982"/>
      <c r="BJ149" s="2982"/>
      <c r="BK149" s="2982"/>
      <c r="BL149" s="2982"/>
      <c r="BM149" s="2982"/>
      <c r="BN149" s="2982"/>
      <c r="BO149" s="2982"/>
      <c r="BP149" s="2982"/>
      <c r="BQ149" s="2982"/>
      <c r="BR149" s="2982"/>
      <c r="BS149" s="2982"/>
      <c r="BT149" s="2982"/>
      <c r="BU149" s="2982"/>
      <c r="BV149" s="2982"/>
      <c r="BW149" s="2982"/>
      <c r="BX149" s="2982"/>
      <c r="BY149" s="2982"/>
      <c r="BZ149" s="2982"/>
      <c r="CA149" s="2982"/>
      <c r="CB149" s="2982"/>
    </row>
    <row customFormat="1" r="150" s="711" spans="1:80" x14ac:dyDescent="0.2">
      <c r="A150" s="3436" t="s">
        <v>7889</v>
      </c>
      <c r="C150" s="2982"/>
      <c r="D150" s="2982"/>
      <c r="E150" s="2982"/>
      <c r="F150" s="2982"/>
      <c r="G150" s="724"/>
      <c r="H150" s="117"/>
      <c r="I150" s="2982"/>
      <c r="J150" s="2982"/>
      <c r="K150" s="2982"/>
      <c r="L150" s="2982"/>
      <c r="M150" s="3442" t="str">
        <f>A75</f>
        <v>c5.49a</v>
      </c>
      <c r="N150" s="2321">
        <f>MIN(MAX(0,F153-J153),AL57)</f>
        <v>0</v>
      </c>
      <c r="O150" s="2982"/>
      <c r="Y150" s="2325"/>
      <c r="Z150" s="2325" t="str">
        <f><![CDATA["("&Y121&" x BR_rate ("&BR_rate*100&"%)) + ("&Y129&" x HR_rate ("&HR_rate*100&"%)) + ("&Y135&" x DivBR_rate ("&DivBR_rate*100&"%)) + ("&Y139&" x DivHR_rate ("&DivHR_rate*100&"%))"]]></f>
        <v>(c5.58a.30 x BR_rate (20%)) + (c5.58a.34 x HR_rate (40%)) + (c5.58a.37 x DivBR_rate (7.5%)) + (c5.58a.39 x DivHR_rate (32.5%))</v>
      </c>
      <c r="AA150" s="3484"/>
      <c r="AB150" s="2982"/>
      <c r="AC150" s="1945"/>
      <c r="AD150" s="3357" t="str">
        <f>"lower of ("&amp;E8&amp;" minus"</f>
        <v>lower of (c5.1 minus</v>
      </c>
      <c r="AE150" s="2982"/>
      <c r="AF150" s="2982"/>
      <c r="AG150" s="1945"/>
      <c r="AH150" s="2325" t="str">
        <f><![CDATA["(("&AC57&" + "&AK57&" + "&AS57&") minus ("&I153&" + "&AC153&"))"]]></f>
        <v>((c5.34b1 + c5.34c + c5.34d) minus (c5.45 + c5.58h))</v>
      </c>
      <c r="AK150" s="3425"/>
      <c r="AL150" s="2325" t="str">
        <f><![CDATA[AC253&" + "&AG126&" + "&AG153&" + "&AK126&")) and"]]></f>
        <v>c5.58k + c5.58.7 + c5.58.9 + c5.62)) and</v>
      </c>
      <c r="AM150" s="2982"/>
      <c r="AN150" s="2982"/>
      <c r="AO150" s="1945"/>
      <c r="AP150" s="2325" t="str">
        <f><![CDATA["("&I153&" + "&AC153&" + "&AG153&" + "&AK153&"))"]]></f>
        <v>(c5.45 + c5.58h + c5.58.9 + c5.63))</v>
      </c>
      <c r="AQ150" s="2982"/>
      <c r="AR150" s="2982"/>
      <c r="AS150" s="2982"/>
      <c r="AT150" s="2982"/>
      <c r="AU150" s="2982"/>
      <c r="AV150" s="2982"/>
      <c r="AW150" s="37"/>
      <c r="AX150" s="2982"/>
      <c r="AY150" s="37"/>
      <c r="AZ150" s="37"/>
      <c r="BA150" s="37"/>
      <c r="BB150" s="37"/>
      <c r="BC150" s="37"/>
      <c r="BD150" s="2982"/>
      <c r="BE150" s="2982"/>
    </row>
    <row customFormat="1" r="151" s="711" spans="1:80" x14ac:dyDescent="0.2">
      <c r="A151" s="3436" t="s">
        <v>7890</v>
      </c>
      <c r="C151" s="2982"/>
      <c r="D151" s="2982"/>
      <c r="E151" s="2982"/>
      <c r="F151" s="2982"/>
      <c r="G151" s="724"/>
      <c r="H151" s="117"/>
      <c r="I151" s="2982"/>
      <c r="J151" s="2982"/>
      <c r="K151" s="2982"/>
      <c r="L151" s="2982"/>
      <c r="M151" s="2982"/>
      <c r="N151" s="93" t="str">
        <f><![CDATA["lower of ("&E8&" minus ("&I182&" + "&M126&")) and"]]></f>
        <v>lower of (c5.1 minus (c5.47 + c5.49)) and</v>
      </c>
      <c r="O151" s="93"/>
      <c r="T151" s="2982"/>
      <c r="U151" s="2982"/>
      <c r="V151" s="2982"/>
      <c r="W151" s="3482"/>
      <c r="X151" s="2325" t="s">
        <v>8127</v>
      </c>
      <c r="Y151" s="3442" t="str">
        <f>A233</f>
        <v>c5.58a.45</v>
      </c>
      <c r="Z151" s="2298">
        <f>TRUNC((Z121*BR_rate)+(Z129*HR_rate)+(Z135*DivBR_rate)+(Z139*DivHR_rate),2)</f>
        <v>4129.3500000000004</v>
      </c>
      <c r="AA151" s="3441" t="s">
        <v>2694</v>
      </c>
      <c r="AB151" s="2982"/>
      <c r="AC151" s="1945"/>
      <c r="AD151" s="2325" t="str">
        <f><![CDATA["("&I182&" + "&I253&" + "&Q126&" + "&Q176&" + "&U253&" + "&Y183&" + "&Y276&"))"]]></f>
        <v>(c5.47 + c5.48 + c5.52h + c5.52l + c5.58 + c5.58a.53 + c5.58e))</v>
      </c>
      <c r="AE151" s="2982"/>
      <c r="AF151" s="2982"/>
      <c r="AG151" s="2119" t="str">
        <f>A298</f>
        <v>c5.58.8</v>
      </c>
      <c r="AH151" s="1981">
        <f>MAX(0,MIN(F8-(J182+J253+Z276+AD242+AD253+AH126),(AD57+AL57+AT57)-(J153+AD153)))</f>
        <v>0</v>
      </c>
      <c r="AK151" s="3425"/>
      <c r="AL151" s="2325" t="str">
        <f><![CDATA["(("&U57&" + "&AC57&" + "&AK57&" + "&AS57&") minus "]]></f>
        <v xml:space="preserve">((c5.34b + c5.34b1 + c5.34c + c5.34d) minus </v>
      </c>
      <c r="AO151" s="2119" t="str">
        <f>A319</f>
        <v>c5.66.8</v>
      </c>
      <c r="AP151" s="1981">
        <f>MAX(0,MIN(F8-(J182+J253+AD242+AD253+AL242+AL253+AP126),(R57+V57+AD57+AL57+AT57)-(J153+AD153+AH153+AL153)))</f>
        <v>0</v>
      </c>
      <c r="AQ151" s="2982"/>
      <c r="AR151" s="2982"/>
      <c r="AS151" s="2982"/>
      <c r="AT151" s="2982"/>
      <c r="AU151" s="2982"/>
      <c r="AV151" s="2982"/>
      <c r="AW151" s="37"/>
      <c r="AX151" s="2982"/>
      <c r="AY151" s="37"/>
      <c r="AZ151" s="37"/>
      <c r="BA151" s="37"/>
      <c r="BB151" s="37"/>
      <c r="BC151" s="37"/>
      <c r="BD151" s="2982"/>
      <c r="BE151" s="2982"/>
      <c r="BF151" s="2982"/>
      <c r="BG151" s="2982"/>
      <c r="BH151" s="2982"/>
      <c r="BI151" s="2982"/>
      <c r="BJ151" s="2982"/>
      <c r="BK151" s="2982"/>
      <c r="BL151" s="2982"/>
      <c r="BM151" s="2982"/>
      <c r="BN151" s="2982"/>
      <c r="BO151" s="2982"/>
      <c r="BP151" s="2982"/>
      <c r="BQ151" s="2982"/>
      <c r="BR151" s="2982"/>
      <c r="BS151" s="2982"/>
      <c r="BT151" s="2982"/>
      <c r="BU151" s="2982"/>
      <c r="BV151" s="2982"/>
      <c r="BW151" s="2982"/>
      <c r="BX151" s="2982"/>
      <c r="BY151" s="2982"/>
      <c r="BZ151" s="2982"/>
      <c r="CA151" s="2982"/>
      <c r="CB151" s="2982"/>
    </row>
    <row customFormat="1" ht="12.75" r="152" s="711" spans="1:80" thickBot="1" x14ac:dyDescent="0.25">
      <c r="A152" s="3436" t="s">
        <v>7891</v>
      </c>
      <c r="C152" s="747"/>
      <c r="D152" s="2982"/>
      <c r="E152" s="2982"/>
      <c r="F152" s="410" t="str">
        <f>"from "&amp;E57</f>
        <v>from c5.34a</v>
      </c>
      <c r="G152" s="724"/>
      <c r="H152" s="117"/>
      <c r="I152" s="2982"/>
      <c r="J152" s="93" t="str">
        <f>"lower of ("&amp;E8&amp;" minus "&amp;I126&amp;") and "&amp;AS57</f>
        <v>lower of (c5.1 minus c5.44) and c5.34d</v>
      </c>
      <c r="K152" s="2982"/>
      <c r="L152" s="2982"/>
      <c r="M152" s="2982"/>
      <c r="N152" s="2325" t="str">
        <f>M150&amp;""</f>
        <v>c5.49a</v>
      </c>
      <c r="O152" s="93"/>
      <c r="T152" s="2982"/>
      <c r="U152" s="2982"/>
      <c r="V152" s="2982"/>
      <c r="W152" s="3482"/>
      <c r="X152" s="720"/>
      <c r="Y152" s="2325"/>
      <c r="Z152" s="2325" t="str">
        <f>Y149&amp;" + "&amp;Y151</f>
        <v>c5.58a.44 + c5.58a.45</v>
      </c>
      <c r="AB152" s="2982"/>
      <c r="AC152" s="1945"/>
      <c r="AD152" s="2325" t="str">
        <f><![CDATA["and (("&Y63&" + "&Y190&") minus ("&Y183&" + "&Y276&"))"]]></f>
        <v>and ((c5.58a.1 + c5.58a.54) minus (c5.58a.53 + c5.58e))</v>
      </c>
      <c r="AE152" s="2982"/>
      <c r="AF152" s="2982"/>
      <c r="AG152" s="2982"/>
      <c r="AH152" s="93" t="str">
        <f>"lower of "&amp;AG151&amp;" and "&amp;'Status (c3a)'!P33</f>
        <v>lower of c5.58.8 and c3a.2a</v>
      </c>
      <c r="AI152" s="2982"/>
      <c r="AJ152" s="2982"/>
      <c r="AK152" s="1945"/>
      <c r="AL152" s="2325" t="str">
        <f><![CDATA["("&I153&" + "&AC153&" + "&AG153&"))"]]></f>
        <v>(c5.45 + c5.58h + c5.58.9))</v>
      </c>
      <c r="AM152" s="2982"/>
      <c r="AN152" s="2982"/>
      <c r="AO152" s="2982"/>
      <c r="AP152" s="93" t="str">
        <f>"lower of "&amp;AO151&amp;" and "&amp;'Status (c3a)'!H33</f>
        <v>lower of c5.66.8 and c3a.1a</v>
      </c>
      <c r="AQ152" s="2982"/>
      <c r="AR152" s="2982"/>
      <c r="AS152" s="2982"/>
      <c r="AT152" s="2982"/>
      <c r="AU152" s="2982"/>
      <c r="AV152" s="2982"/>
      <c r="AW152" s="3041"/>
      <c r="AX152" s="2325" t="str">
        <f><![CDATA[I153&" + "&AC153&" + "&AG153&" + "&AK153&" + "&AO153]]></f>
        <v>c5.45 + c5.58h + c5.58.9 + c5.63 + c5.66.9</v>
      </c>
      <c r="AY152" s="2982"/>
      <c r="AZ152" s="2982"/>
      <c r="BA152" s="2982"/>
      <c r="BB152" s="128" t="str">
        <f>E153&amp;" minus "&amp;AW153</f>
        <v>c5.36 minus c5.68</v>
      </c>
      <c r="BC152" s="2982"/>
      <c r="BD152" s="2641" t="s">
        <v>660</v>
      </c>
      <c r="BE152" s="2982"/>
      <c r="BF152" s="2982"/>
      <c r="BG152" s="2982"/>
      <c r="BH152" s="2982"/>
      <c r="BI152" s="2982"/>
      <c r="BJ152" s="2982"/>
      <c r="BK152" s="2982"/>
      <c r="BL152" s="2982"/>
      <c r="BM152" s="2982"/>
      <c r="BN152" s="2982"/>
      <c r="BO152" s="2982"/>
      <c r="BP152" s="2982"/>
      <c r="BQ152" s="2982"/>
      <c r="BR152" s="2982"/>
      <c r="BS152" s="2982"/>
      <c r="BT152" s="2982"/>
      <c r="BU152" s="2982"/>
      <c r="BV152" s="2982"/>
      <c r="BW152" s="2982"/>
      <c r="BX152" s="2982"/>
      <c r="BY152" s="2982"/>
      <c r="BZ152" s="2982"/>
      <c r="CA152" s="2982"/>
      <c r="CB152" s="2982"/>
    </row>
    <row customFormat="1" ht="13.5" r="153" s="711" spans="1:80" thickBot="1" thickTop="1" x14ac:dyDescent="0.25">
      <c r="A153" s="3436" t="s">
        <v>7892</v>
      </c>
      <c r="C153" s="2672" t="s">
        <v>1795</v>
      </c>
      <c r="E153" s="2204" t="s">
        <v>4426</v>
      </c>
      <c r="F153" s="2205">
        <f>F57</f>
        <v>0</v>
      </c>
      <c r="G153" s="724"/>
      <c r="H153" s="1476"/>
      <c r="I153" s="2204" t="str">
        <f>A65</f>
        <v>c5.45</v>
      </c>
      <c r="J153" s="2205">
        <f>MAX(0,MIN(F8-J126,AT57))</f>
        <v>0</v>
      </c>
      <c r="M153" s="2162" t="str">
        <f>A76</f>
        <v>c5.50</v>
      </c>
      <c r="N153" s="1978">
        <f>MAX(0,MIN(F8-(J182+N126),N150))</f>
        <v>0</v>
      </c>
      <c r="O153" s="394"/>
      <c r="T153" s="2982"/>
      <c r="U153" s="2982"/>
      <c r="V153" s="2982"/>
      <c r="W153" s="3482"/>
      <c r="X153" s="2325" t="s">
        <v>8128</v>
      </c>
      <c r="Y153" s="3442" t="str">
        <f>A234</f>
        <v>c5.58a.46</v>
      </c>
      <c r="Z153" s="2298">
        <f>Z149+Z151</f>
        <v>11292.21</v>
      </c>
      <c r="AB153" s="2982"/>
      <c r="AC153" s="2204" t="str">
        <f>A287</f>
        <v>c5.58h</v>
      </c>
      <c r="AD153" s="2205">
        <f>MAX(0,MIN(F8-(J182+J253+R126+R176+V253+Z183+Z276),(Z63+Z190)-(Z183+Z276)))</f>
        <v>0</v>
      </c>
      <c r="AG153" s="2204" t="str">
        <f>A299</f>
        <v>c5.58.9</v>
      </c>
      <c r="AH153" s="2205">
        <f>MIN(AH151,'Status (c3a)'!Q33)</f>
        <v>0</v>
      </c>
      <c r="AI153" s="2982"/>
      <c r="AJ153" s="2982"/>
      <c r="AK153" s="2204" t="str">
        <f>A307</f>
        <v>c5.63</v>
      </c>
      <c r="AL153" s="2205">
        <f>MAX(0,MIN(F8-(J182+J253+Z276+AD242+AD253+AH126+AH153+AL126),(V57+AD57+AL57+AT57)-(J153+AD153+AH153)))</f>
        <v>0</v>
      </c>
      <c r="AM153" s="2982"/>
      <c r="AN153" s="2982"/>
      <c r="AO153" s="2204" t="str">
        <f>A320</f>
        <v>c5.66.9</v>
      </c>
      <c r="AP153" s="2205">
        <f>MIN(AP151,'Status (c3a)'!I33)</f>
        <v>0</v>
      </c>
      <c r="AQ153" s="2982"/>
      <c r="AR153" s="2982"/>
      <c r="AS153" s="2982"/>
      <c r="AT153" s="2982"/>
      <c r="AU153" s="37"/>
      <c r="AV153" s="2982"/>
      <c r="AW153" s="2204" t="str">
        <f>A352</f>
        <v>c5.68</v>
      </c>
      <c r="AX153" s="2205">
        <f>J153+AD153+AH153+AL153+AP153</f>
        <v>0</v>
      </c>
      <c r="AY153" s="2211"/>
      <c r="BA153" s="2204" t="str">
        <f>A364</f>
        <v>c5.77</v>
      </c>
      <c r="BB153" s="2205">
        <f>MAX(0,F153-AX153)</f>
        <v>0</v>
      </c>
      <c r="BD153" s="2641" t="s">
        <v>659</v>
      </c>
      <c r="BE153" s="2982"/>
      <c r="BF153" s="2982"/>
      <c r="BG153" s="2982"/>
      <c r="BH153" s="2982"/>
      <c r="BI153" s="2982"/>
      <c r="BJ153" s="2982"/>
      <c r="BK153" s="2982"/>
      <c r="BL153" s="2982"/>
      <c r="BM153" s="2982"/>
      <c r="BN153" s="2982"/>
      <c r="BO153" s="2982"/>
      <c r="BP153" s="2982"/>
      <c r="BQ153" s="2982"/>
      <c r="BR153" s="2982"/>
      <c r="BS153" s="2982"/>
      <c r="BT153" s="2982"/>
      <c r="BU153" s="2982"/>
      <c r="BV153" s="2982"/>
      <c r="BW153" s="2982"/>
      <c r="BX153" s="2982"/>
      <c r="BY153" s="2982"/>
      <c r="BZ153" s="2982"/>
      <c r="CA153" s="2982"/>
      <c r="CB153" s="2982"/>
    </row>
    <row customFormat="1" ht="12.75" r="154" s="711" spans="1:80" thickTop="1" x14ac:dyDescent="0.2">
      <c r="A154" s="3436" t="s">
        <v>7893</v>
      </c>
      <c r="C154" s="747"/>
      <c r="E154" s="2164"/>
      <c r="F154" s="1478"/>
      <c r="G154" s="1477"/>
      <c r="H154" s="1476"/>
      <c r="I154" s="2164"/>
      <c r="J154" s="1478"/>
      <c r="M154" s="715"/>
      <c r="N154" s="394"/>
      <c r="O154" s="394"/>
      <c r="X154" s="720"/>
      <c r="Y154" s="2325"/>
      <c r="Z154" s="2325" t="str">
        <f>"if "&amp;Q299&amp;" larger than 0 (zero)"</f>
        <v>if c5.56 larger than 0 (zero)</v>
      </c>
      <c r="AB154" s="93"/>
      <c r="AC154" s="2164"/>
      <c r="AD154" s="1478"/>
      <c r="AI154" s="1478"/>
      <c r="AU154" s="1942"/>
      <c r="AW154" s="2164"/>
      <c r="AX154" s="806"/>
      <c r="BA154" s="2164"/>
      <c r="BB154" s="1478"/>
      <c r="BD154" s="747"/>
    </row>
    <row customFormat="1" r="155" s="711" spans="1:80" x14ac:dyDescent="0.2">
      <c r="A155" s="3436" t="s">
        <v>7894</v>
      </c>
      <c r="C155" s="747"/>
      <c r="E155" s="2164"/>
      <c r="F155" s="1478"/>
      <c r="G155" s="1477"/>
      <c r="H155" s="1476"/>
      <c r="I155" s="2164"/>
      <c r="J155" s="1478"/>
      <c r="M155" s="715"/>
      <c r="N155" s="394"/>
      <c r="O155" s="394"/>
      <c r="Y155" s="2325"/>
      <c r="Z155" s="2325" t="str">
        <f><![CDATA[Y159& " = ("&Q254&" x "&'Status (c3a)'!H44&") + ("&Q256&" x "&'Status (c3a)'!L44&") + ("&Q258&" x "&'Status (c3a)'!P44&") + ("&Q260&" x "&'Status (c3a)'!X44&")"]]></f>
        <v>c5.58a.47 = (c5.55.23 x c3a.3b) + (c5.55.24 x c3a.4) + (c5.55.25 x c3a.4a) + (c5.55.26 x c3a.5)</v>
      </c>
      <c r="AB155" s="93"/>
      <c r="AC155" s="2164"/>
      <c r="AD155" s="1478"/>
      <c r="AI155" s="1478"/>
      <c r="AU155" s="1942"/>
      <c r="AW155" s="2164"/>
      <c r="AX155" s="806"/>
      <c r="BA155" s="2164"/>
      <c r="BB155" s="1478"/>
      <c r="BD155" s="747"/>
    </row>
    <row customFormat="1" r="156" s="711" spans="1:80" x14ac:dyDescent="0.2">
      <c r="A156" s="3436" t="s">
        <v>7895</v>
      </c>
      <c r="C156" s="2982"/>
      <c r="E156" s="1200"/>
      <c r="F156" s="1478"/>
      <c r="G156" s="724"/>
      <c r="H156" s="1476"/>
      <c r="I156" s="2164"/>
      <c r="J156" s="1478"/>
      <c r="M156" s="2982"/>
      <c r="N156" s="93" t="str">
        <f>'Status (c3a)'!T33&amp;" minus ("&amp;M36&amp;" + "&amp;U36&amp;")"</f>
        <v>c3a.2b minus (c5.15 + c5.16)</v>
      </c>
      <c r="O156" s="394"/>
      <c r="Y156" s="2325"/>
      <c r="Z156" s="3357" t="s">
        <v>2386</v>
      </c>
      <c r="AB156" s="93"/>
      <c r="AC156" s="2164"/>
      <c r="AD156" s="1478"/>
      <c r="AG156" s="2982"/>
      <c r="AH156" s="2982"/>
      <c r="AI156" s="1478"/>
      <c r="AM156" s="2982"/>
      <c r="AN156" s="2982"/>
      <c r="AO156" s="2982"/>
      <c r="AP156" s="2982"/>
      <c r="AQ156" s="2982"/>
      <c r="AR156" s="2982"/>
      <c r="AS156" s="2982"/>
      <c r="AT156" s="2982"/>
      <c r="AU156" s="2982"/>
      <c r="AV156" s="2982"/>
      <c r="AW156" s="2164"/>
      <c r="AX156" s="2982"/>
      <c r="BA156" s="2164"/>
      <c r="BB156" s="1478"/>
      <c r="BD156" s="747"/>
      <c r="BE156" s="2982"/>
    </row>
    <row customFormat="1" r="157" s="711" spans="1:80" x14ac:dyDescent="0.2">
      <c r="A157" s="3436" t="s">
        <v>7896</v>
      </c>
      <c r="C157" s="2982"/>
      <c r="E157" s="1200"/>
      <c r="F157" s="1478"/>
      <c r="G157" s="724"/>
      <c r="H157" s="1476"/>
      <c r="I157" s="1945"/>
      <c r="J157" s="2325" t="str">
        <f>"lower of ("&amp;I115&amp;" minus "&amp;I126&amp;") and"</f>
        <v>lower of (c5.43d minus c5.44) and</v>
      </c>
      <c r="K157" s="2982"/>
      <c r="M157" s="2162" t="str">
        <f>A77</f>
        <v>c5.50.1</v>
      </c>
      <c r="N157" s="1978">
        <f>MAX(0,'Status (c3a)'!U33-(N36+V36))</f>
        <v>6570</v>
      </c>
      <c r="O157" s="394"/>
      <c r="Y157" s="2325"/>
      <c r="Z157" s="2325" t="str">
        <f><![CDATA[Y159& " = ("&Q230&" x "&'Status (c3a)'!H44&") + ("&Q232&" x "&'Status (c3a)'!L44&") + ("&Q234&" x "&'Status (c3a)'!P44&") + ("&Q236&" x "&'Status (c3a)'!X44&")"]]></f>
        <v>c5.58a.47 = (c5.55.11 x c3a.3b) + (c5.55.12 x c3a.4) + (c5.55.13 x c3a.4a) + (c5.55.14 x c3a.5)</v>
      </c>
      <c r="AB157" s="93"/>
      <c r="AC157" s="2164"/>
      <c r="AD157" s="1478"/>
      <c r="AG157" s="2982"/>
      <c r="AH157" s="2982"/>
      <c r="AI157" s="1478"/>
      <c r="AM157" s="2982"/>
      <c r="AN157" s="2982"/>
      <c r="AO157" s="2982"/>
      <c r="AP157" s="2982"/>
      <c r="AQ157" s="2982"/>
      <c r="AR157" s="2982"/>
      <c r="AS157" s="2982"/>
      <c r="AT157" s="2982"/>
      <c r="AU157" s="2982"/>
      <c r="AV157" s="2982"/>
      <c r="AW157" s="2164"/>
      <c r="AX157" s="2982"/>
      <c r="BA157" s="2164"/>
      <c r="BB157" s="1478"/>
      <c r="BD157" s="747"/>
      <c r="BE157" s="2982"/>
    </row>
    <row r="158" spans="1:80" x14ac:dyDescent="0.2">
      <c r="A158" s="3436" t="s">
        <v>7897</v>
      </c>
      <c r="B158" s="711"/>
      <c r="C158" s="2982"/>
      <c r="G158" s="724"/>
      <c r="H158" s="117"/>
      <c r="J158" s="93" t="str">
        <f><![CDATA["("&E36&" minus ("&'Deductions (c4)'!L430&" + SR_band ("&DOLLAR(SR_band,0)&")))"]]></f>
        <v>(c5.11 minus (c4.79 + SR_band ($5,000)))</v>
      </c>
      <c r="M158" s="715"/>
      <c r="N158" s="93" t="str">
        <f><![CDATA["lower of (("&AG36&" + "&AK36&") minus "&M157&") and"]]></f>
        <v>lower of ((c5.19 + c5.20) minus c5.50.1) and</v>
      </c>
      <c r="O158" s="394"/>
      <c r="X158" s="711"/>
      <c r="Y158" s="2325"/>
      <c r="Z158" s="3357" t="s">
        <v>2495</v>
      </c>
      <c r="AA158" s="3484"/>
      <c r="AB158" s="93"/>
      <c r="AC158" s="2164"/>
      <c r="AD158" s="1478"/>
      <c r="AE158" s="711"/>
      <c r="AF158" s="711"/>
      <c r="AI158" s="711"/>
      <c r="AJ158" s="711"/>
      <c r="AK158" s="711"/>
      <c r="AL158" s="711"/>
      <c r="AW158" s="2164"/>
      <c r="AY158" s="711"/>
      <c r="AZ158" s="711"/>
      <c r="BA158" s="2164"/>
      <c r="BB158" s="1478"/>
      <c r="BC158" s="711"/>
      <c r="BD158" s="747"/>
    </row>
    <row r="159" spans="1:80" x14ac:dyDescent="0.2">
      <c r="A159" s="3436" t="s">
        <v>7898</v>
      </c>
      <c r="B159" s="711"/>
      <c r="C159" s="2982"/>
      <c r="G159" s="724"/>
      <c r="H159" s="117"/>
      <c r="I159" s="2162" t="str">
        <f>A66</f>
        <v>c5.45a</v>
      </c>
      <c r="J159" s="1978">
        <f>MAX(0,MIN(J115-J126,F36-(PSA+SR_band)))</f>
        <v>0</v>
      </c>
      <c r="N159" s="93" t="str">
        <f><![CDATA["("&E36&" minus ("&'Deductions (c4)'!L430&" + SR_band ("&DOLLAR(SR_band,0)&") + "&I176&"))"]]></f>
        <v>(c5.11 minus (c4.79 + SR_band ($5,000) + c5.46))</v>
      </c>
      <c r="X159" s="2325" t="s">
        <v>8129</v>
      </c>
      <c r="Y159" s="3442" t="str">
        <f>A235</f>
        <v>c5.58a.47</v>
      </c>
      <c r="Z159" s="2298">
        <f>IF(R299&gt;0,TRUNC((R254*'Status (c3a)'!I44)+(R256*'Status (c3a)'!M44)+(R258*'Status (c3a)'!Q44)+(R260*'Status (c3a)'!Y44),2),TRUNC((R230*'Status (c3a)'!I44)+(R232*'Status (c3a)'!M44)+(R234*'Status (c3a)'!Q44)+(R236*'Status (c3a)'!Y44),2))</f>
        <v>7162.86</v>
      </c>
      <c r="AA159" s="3441" t="s">
        <v>2694</v>
      </c>
    </row>
    <row r="160" spans="1:80" x14ac:dyDescent="0.2">
      <c r="A160" s="3436" t="s">
        <v>7899</v>
      </c>
      <c r="B160" s="711"/>
      <c r="C160" s="2982"/>
      <c r="G160" s="724"/>
      <c r="H160" s="117"/>
      <c r="J160" s="93" t="str">
        <f>"lower of "&amp;I159&amp;" and"</f>
        <v>lower of c5.45a and</v>
      </c>
      <c r="M160" s="2162" t="str">
        <f>A78</f>
        <v>c5.50a</v>
      </c>
      <c r="N160" s="1978">
        <f>MAX(0,MIN(MAX(0,(AH36+AL36)-N157),F36-(PSA+SR_band+J176)))</f>
        <v>0</v>
      </c>
      <c r="X160" s="711"/>
      <c r="Y160" s="2325"/>
      <c r="Z160" s="2325" t="str">
        <f>"if "&amp;Q299&amp;" larger than 0 (zero)"</f>
        <v>if c5.56 larger than 0 (zero)</v>
      </c>
      <c r="AA160" s="711"/>
    </row>
    <row r="161" spans="1:58" x14ac:dyDescent="0.2">
      <c r="A161" s="3436" t="s">
        <v>7900</v>
      </c>
      <c r="C161" s="2982"/>
      <c r="G161" s="724"/>
      <c r="H161" s="117"/>
      <c r="J161" s="93" t="str">
        <f><![CDATA["("&E8&" minus ("&I126&" + "&I153&" + "&AO36&"))"]]></f>
        <v>(c5.1 minus (c5.44 + c5.45 + c5.20c))</v>
      </c>
      <c r="N161" s="93" t="str">
        <f>"lower of "&amp;M160&amp;" and"</f>
        <v>lower of c5.50a and</v>
      </c>
      <c r="X161" s="711"/>
      <c r="Y161" s="2325"/>
      <c r="Z161" s="2325" t="str">
        <f><![CDATA[Y165&" = ("&Q270&" x BR_rate ("&BR_rate*100&"%)) + ("&Q278&" x HR_rate ("&HR_rate*100&"%))"]]></f>
        <v>c5.58a.48 = (c5.55.31 x BR_rate (20%)) + (c5.55.35 x HR_rate (40%))</v>
      </c>
      <c r="AA161" s="3484"/>
    </row>
    <row r="162" spans="1:58" x14ac:dyDescent="0.2">
      <c r="A162" s="3436" t="s">
        <v>7901</v>
      </c>
      <c r="C162" s="2982"/>
      <c r="G162" s="724"/>
      <c r="H162" s="117"/>
      <c r="I162" s="2162" t="str">
        <f>A67</f>
        <v>c5.45b</v>
      </c>
      <c r="J162" s="1978">
        <f>MIN(J159,MAX(0,MIN(F8-(J126+J153+AP36))))</f>
        <v>0</v>
      </c>
      <c r="K162" s="2835"/>
      <c r="N162" s="93" t="str">
        <f><![CDATA["("&E8&" minus ("&I126&" + "&I153&" + "&M126&" + "&M153&"))"]]></f>
        <v>(c5.1 minus (c5.44 + c5.45 + c5.49 + c5.50))</v>
      </c>
      <c r="X162" s="711"/>
      <c r="Y162" s="2325"/>
      <c r="Z162" s="3357" t="s">
        <v>2386</v>
      </c>
      <c r="AA162" s="711"/>
    </row>
    <row customFormat="1" r="163" s="711" spans="1:58" x14ac:dyDescent="0.2">
      <c r="A163" s="3436" t="s">
        <v>7902</v>
      </c>
      <c r="B163" s="2982"/>
      <c r="C163" s="2982"/>
      <c r="D163" s="2982"/>
      <c r="E163" s="2982"/>
      <c r="F163" s="2982"/>
      <c r="G163" s="724"/>
      <c r="H163" s="117"/>
      <c r="I163" s="2982"/>
      <c r="J163" s="2982"/>
      <c r="K163" s="2982"/>
      <c r="L163" s="2982"/>
      <c r="M163" s="2162" t="str">
        <f>A79</f>
        <v>c5.50b</v>
      </c>
      <c r="N163" s="1978">
        <f>MAX(0,MIN(N160,F8-(J126+J153+N126+N153)))</f>
        <v>0</v>
      </c>
      <c r="X163" s="3482"/>
      <c r="Y163" s="2325"/>
      <c r="Z163" s="2325" t="str">
        <f><![CDATA[Y165&" = ("&Q242&" x BR_rate ("&BR_rate*100&"%)) + ("&Q250&" x HR_rate ("&HR_rate*100&"%))"]]></f>
        <v>c5.58a.48 = (c5.55.17 x BR_rate (20%)) + (c5.55.21 x HR_rate (40%))</v>
      </c>
      <c r="AA163" s="3484"/>
    </row>
    <row r="164" spans="1:58" x14ac:dyDescent="0.2">
      <c r="A164" s="2982" t="s">
        <v>6176</v>
      </c>
      <c r="C164" s="2982"/>
      <c r="G164" s="724"/>
      <c r="H164" s="117"/>
      <c r="J164" s="4397" t="str">
        <f>"lower of ("&amp;I115&amp;" minus "&amp;I126&amp;") and"</f>
        <v>lower of (c5.43d minus c5.44) and</v>
      </c>
      <c r="L164" s="711"/>
      <c r="M164" s="715"/>
      <c r="N164" s="93" t="str">
        <f><![CDATA["lower of (("&AG36&" + "&AK36&") minus "&M157&") and"]]></f>
        <v>lower of ((c5.19 + c5.20) minus c5.50.1) and</v>
      </c>
      <c r="Y164" s="2325"/>
      <c r="Z164" s="3357" t="s">
        <v>2495</v>
      </c>
      <c r="AA164" s="3482"/>
      <c r="AT164" s="682" t="s">
        <v>6432</v>
      </c>
    </row>
    <row r="165" spans="1:58" x14ac:dyDescent="0.2">
      <c r="A165" s="2982" t="s">
        <v>6787</v>
      </c>
      <c r="C165" s="2982"/>
      <c r="G165" s="724"/>
      <c r="H165" s="117"/>
      <c r="J165" s="93" t="str">
        <f><![CDATA["("&E8&" minus ("&I126&" + "&I153&" + "&AO36&"))"]]></f>
        <v>(c5.1 minus (c5.44 + c5.45 + c5.20c))</v>
      </c>
      <c r="N165" s="93" t="str">
        <f><![CDATA["("&E8&" minus ("&I182&" + "&M126&" + "&M153&"))"]]></f>
        <v>(c5.1 minus (c5.47 + c5.49 + c5.50))</v>
      </c>
      <c r="X165" s="2325" t="s">
        <v>8130</v>
      </c>
      <c r="Y165" s="3442" t="str">
        <f>A236</f>
        <v>c5.58a.48</v>
      </c>
      <c r="Z165" s="2298">
        <f>IF(R299&gt;0,TRUNC((R270*BR_rate)+(R278*HR_rate),2),TRUNC((R242*BR_rate)+(R250*HR_rate),2))</f>
        <v>635.6</v>
      </c>
      <c r="AA165" s="3441" t="s">
        <v>2694</v>
      </c>
      <c r="AT165" s="3421"/>
      <c r="AU165" s="3421"/>
      <c r="AV165" s="3421"/>
      <c r="AW165" s="3421"/>
      <c r="AX165" s="3421"/>
    </row>
    <row r="166" spans="1:58" x14ac:dyDescent="0.2">
      <c r="A166" s="2982" t="s">
        <v>6788</v>
      </c>
      <c r="B166" s="711"/>
      <c r="C166" s="2982"/>
      <c r="G166" s="724"/>
      <c r="H166" s="117"/>
      <c r="I166" s="2162" t="str">
        <f>A68</f>
        <v>c5.45c</v>
      </c>
      <c r="J166" s="1978">
        <f>MAX(0,MIN(J115-J126,F8-(J126+J153+AP36)))</f>
        <v>0</v>
      </c>
      <c r="M166" s="2162" t="str">
        <f>A80</f>
        <v>c5.50c</v>
      </c>
      <c r="N166" s="1978">
        <f>MAX(0,MIN(MAX(0,((AH36+AL36)-N157)),F8-(J182+N126+N153)))</f>
        <v>0</v>
      </c>
      <c r="Y166" s="2325"/>
      <c r="Z166" s="2325" t="str">
        <f>"if "&amp;U244&amp;" larger than 0 (zero)"</f>
        <v>if c5.56p larger than 0 (zero)</v>
      </c>
      <c r="AA166" s="3482"/>
      <c r="AT166" s="3421"/>
      <c r="AU166" s="3421"/>
      <c r="AV166" s="3421"/>
      <c r="AW166" s="3421"/>
      <c r="AX166" s="3421"/>
    </row>
    <row customFormat="1" r="167" s="3436" spans="1:58" x14ac:dyDescent="0.2">
      <c r="A167" s="2982" t="s">
        <v>6789</v>
      </c>
      <c r="B167" s="711"/>
      <c r="C167" s="2982"/>
      <c r="D167" s="2982"/>
      <c r="E167" s="2982"/>
      <c r="F167" s="2982"/>
      <c r="G167" s="724"/>
      <c r="H167" s="117"/>
      <c r="I167" s="2982"/>
      <c r="J167" s="2982"/>
      <c r="K167" s="2982"/>
      <c r="L167" s="2982"/>
      <c r="M167" s="2982"/>
      <c r="N167" s="2984" t="str">
        <f>"lower of "&amp;M166&amp;" and"</f>
        <v>lower of c5.50c and</v>
      </c>
      <c r="W167" s="3482"/>
      <c r="X167" s="3482"/>
      <c r="Y167" s="2325"/>
      <c r="Z167" s="2325" t="str">
        <f><![CDATA[Y171&" = ("&U216&" x BR_rate ("&BR_rate*100&"%)) + ("&U224&" x HR_rate ("&HR_rate*100&"%))"]]></f>
        <v>c5.58a.49 = (c5.56h x BR_rate (20%)) + (c5.56l x HR_rate (40%))</v>
      </c>
      <c r="AA167" s="3484"/>
      <c r="AK167" s="2982"/>
      <c r="AL167" s="2982"/>
      <c r="AM167" s="2982"/>
      <c r="AN167" s="2982"/>
      <c r="AO167" s="2982"/>
      <c r="AP167" s="2982"/>
      <c r="AQ167" s="2982"/>
      <c r="AR167" s="2982"/>
      <c r="AS167" s="2982"/>
      <c r="AT167" s="3421"/>
      <c r="AU167" s="3421"/>
      <c r="AV167" s="3421"/>
      <c r="AW167" s="3421"/>
      <c r="AX167" s="3421"/>
      <c r="AY167" s="2982"/>
      <c r="AZ167" s="2982"/>
      <c r="BA167" s="2982"/>
      <c r="BB167" s="2982"/>
      <c r="BC167" s="2982"/>
      <c r="BD167" s="2982"/>
      <c r="BE167" s="2982"/>
      <c r="BF167" s="2982"/>
    </row>
    <row customFormat="1" r="168" s="3436" spans="1:58" x14ac:dyDescent="0.2">
      <c r="A168" s="2982" t="s">
        <v>6790</v>
      </c>
      <c r="B168" s="711"/>
      <c r="C168" s="2974"/>
      <c r="D168" s="2982"/>
      <c r="E168" s="2982"/>
      <c r="F168" s="2982"/>
      <c r="G168" s="724"/>
      <c r="H168" s="117"/>
      <c r="I168" s="2982"/>
      <c r="J168" s="2982"/>
      <c r="K168" s="2982"/>
      <c r="L168" s="2982"/>
      <c r="M168" s="2982"/>
      <c r="N168" s="93" t="str">
        <f>"("&amp;E36&amp;" minus "&amp;'Deductions (c4)'!L430&amp;")"</f>
        <v>(c5.11 minus c4.79)</v>
      </c>
      <c r="W168" s="3482"/>
      <c r="X168" s="3482"/>
      <c r="Y168" s="2325"/>
      <c r="Z168" s="3357" t="s">
        <v>2386</v>
      </c>
      <c r="AA168" s="3482"/>
      <c r="AK168" s="2982"/>
      <c r="AL168" s="2982"/>
      <c r="AM168" s="2982"/>
      <c r="AN168" s="2982"/>
      <c r="AO168" s="2982"/>
      <c r="AP168" s="2982"/>
      <c r="AQ168" s="2982"/>
      <c r="AR168" s="2982"/>
      <c r="AS168" s="2982"/>
      <c r="AT168" s="2982"/>
      <c r="AU168" s="3421"/>
      <c r="AV168" s="3421"/>
      <c r="AW168" s="3421"/>
      <c r="AX168" s="3421"/>
      <c r="AY168" s="2982"/>
      <c r="AZ168" s="2982"/>
      <c r="BA168" s="2982"/>
      <c r="BB168" s="2982"/>
      <c r="BC168" s="2982"/>
      <c r="BD168" s="2982"/>
      <c r="BE168" s="2982"/>
      <c r="BF168" s="2982"/>
    </row>
    <row r="169" spans="1:58" x14ac:dyDescent="0.2">
      <c r="A169" s="2982" t="s">
        <v>6791</v>
      </c>
      <c r="B169" s="711"/>
      <c r="G169" s="724"/>
      <c r="H169" s="117"/>
      <c r="M169" s="2162" t="str">
        <f>A81</f>
        <v>c5.50d</v>
      </c>
      <c r="N169" s="1978">
        <f>MAX(0,MIN(N166,F36-PSA))</f>
        <v>0</v>
      </c>
      <c r="O169" s="394"/>
      <c r="P169" s="93"/>
      <c r="Q169" s="1945"/>
      <c r="R169" s="2325" t="str">
        <f><![CDATA[E8&" minus ("&I182&" + "&I253&" + "&Q126&" + "&Q74&")"]]></f>
        <v>c5.1 minus (c5.47 + c5.48 + c5.52h + c5.52c)</v>
      </c>
      <c r="S169" s="3436"/>
      <c r="X169" s="711"/>
      <c r="Y169" s="2325"/>
      <c r="Z169" s="2325" t="str">
        <f>Y171&amp;" = "&amp;Y165</f>
        <v>c5.58a.49 = c5.58a.48</v>
      </c>
      <c r="AA169" s="3484"/>
      <c r="AE169" s="711"/>
      <c r="AF169" s="711"/>
      <c r="AJ169" s="711"/>
      <c r="AL169" s="3305" t="str">
        <f>Q299&amp;" minus ("&amp;AG126&amp;" + "&amp;AK126&amp;")"</f>
        <v>c5.56 minus (c5.58.7 + c5.62)</v>
      </c>
      <c r="AU169" s="3421"/>
      <c r="AV169" s="3421"/>
      <c r="AW169" s="3421"/>
      <c r="AX169" s="3421"/>
    </row>
    <row r="170" spans="1:58" x14ac:dyDescent="0.2">
      <c r="A170" s="2982" t="s">
        <v>6792</v>
      </c>
      <c r="B170" s="711"/>
      <c r="G170" s="724"/>
      <c r="H170" s="117"/>
      <c r="O170" s="394"/>
      <c r="P170" s="93"/>
      <c r="Q170" s="2162" t="str">
        <f>A102</f>
        <v>c5.52i</v>
      </c>
      <c r="R170" s="2321">
        <f>MAX(0,(F8-(J182+J253+R126+R74)))</f>
        <v>0</v>
      </c>
      <c r="S170" s="711"/>
      <c r="Y170" s="2325"/>
      <c r="Z170" s="3357" t="s">
        <v>2495</v>
      </c>
      <c r="AA170" s="3482"/>
      <c r="AE170" s="711"/>
      <c r="AF170" s="711"/>
      <c r="AJ170" s="711"/>
      <c r="AK170" s="3856" t="str">
        <f>A308</f>
        <v>c5.63a</v>
      </c>
      <c r="AL170" s="1981">
        <f>MAX(0,R299-(AH126+AL126))</f>
        <v>0</v>
      </c>
      <c r="AU170" s="3421"/>
      <c r="AV170" s="3421"/>
      <c r="AW170" s="3421"/>
      <c r="AX170" s="3421"/>
    </row>
    <row r="171" spans="1:58" x14ac:dyDescent="0.2">
      <c r="A171" s="2982" t="s">
        <v>6794</v>
      </c>
      <c r="B171" s="711"/>
      <c r="E171" s="981"/>
      <c r="F171" s="982"/>
      <c r="G171" s="1477"/>
      <c r="H171" s="117"/>
      <c r="J171" s="93" t="str">
        <f><![CDATA["if ("&E17&" minus "&E8&") < "&AK8]]></f>
        <v>if (c5.3 minus c5.1) &lt; c5.2a</v>
      </c>
      <c r="N171" s="93" t="str">
        <f><![CDATA["if "&E17&" minus "&E8&" < SR_band ("&DOLLAR(SR_band,0)&")"]]></f>
        <v>if c5.3 minus c5.1 &lt; SR_band ($5,000)</v>
      </c>
      <c r="O171" s="394"/>
      <c r="P171" s="93"/>
      <c r="Q171" s="1945"/>
      <c r="R171" s="2325" t="str">
        <f><![CDATA["larger of (("&M126&" + "&M176&") and "&Q126&") minus "&Q126]]></f>
        <v>larger of ((c5.49 + c5.51) and c5.52h) minus c5.52h</v>
      </c>
      <c r="S171" s="711"/>
      <c r="X171" s="2325" t="s">
        <v>8130</v>
      </c>
      <c r="Y171" s="3442" t="str">
        <f>A237</f>
        <v>c5.58a.49</v>
      </c>
      <c r="Z171" s="2298">
        <f>IF(V244&gt;0,TRUNC((V216*BR_rate)+(V224*HR_rate),2),Z165)</f>
        <v>635.6</v>
      </c>
      <c r="AA171" s="3441" t="s">
        <v>2694</v>
      </c>
      <c r="AE171" s="711"/>
      <c r="AF171" s="711"/>
      <c r="AJ171" s="711"/>
      <c r="AM171" s="711"/>
      <c r="AN171" s="711"/>
      <c r="AO171" s="711"/>
      <c r="AP171" s="711"/>
      <c r="AQ171" s="711"/>
      <c r="AR171" s="711"/>
      <c r="AS171" s="711"/>
      <c r="AU171" s="3421"/>
      <c r="AV171" s="3421"/>
      <c r="AW171" s="3421"/>
      <c r="AX171" s="3421"/>
      <c r="BE171" s="711"/>
    </row>
    <row r="172" spans="1:58" x14ac:dyDescent="0.2">
      <c r="A172" s="2982" t="s">
        <v>6793</v>
      </c>
      <c r="B172" s="711"/>
      <c r="E172" s="981"/>
      <c r="F172" s="981"/>
      <c r="G172" s="724"/>
      <c r="H172" s="117"/>
      <c r="J172" s="93" t="str">
        <f>I176&amp;" = "&amp;I162</f>
        <v>c5.46 = c5.45b</v>
      </c>
      <c r="N172" s="93" t="str">
        <f>M176&amp;" = "&amp;M163</f>
        <v>c5.51 = c5.50b</v>
      </c>
      <c r="O172" s="394"/>
      <c r="P172" s="93"/>
      <c r="Q172" s="2162" t="str">
        <f>A103</f>
        <v>c5.52j</v>
      </c>
      <c r="R172" s="2321">
        <f>MAX(0,MAX(N126+N176,R126)-R126)</f>
        <v>0</v>
      </c>
      <c r="S172" s="711"/>
      <c r="Y172" s="2325"/>
      <c r="Z172" s="2325" t="str">
        <f><![CDATA["("&Y75&" x DivBR_rate ("&DivBR_rate*100&"%)) + ("&Y79&" x DivHR_rate ("&DivHR_rate*100&"%))"]]></f>
        <v>(c5.58a.7 x DivBR_rate (7.5%)) + (c5.58a.9 x DivHR_rate (32.5%))</v>
      </c>
      <c r="AA172" s="3482"/>
      <c r="AE172" s="711"/>
      <c r="AF172" s="711"/>
      <c r="AJ172" s="711"/>
      <c r="AU172" s="3421"/>
      <c r="AV172" s="3421"/>
      <c r="AW172" s="3421"/>
      <c r="AX172" s="3421"/>
    </row>
    <row r="173" spans="1:58" x14ac:dyDescent="0.2">
      <c r="A173" s="2982" t="s">
        <v>6795</v>
      </c>
      <c r="B173" s="711"/>
      <c r="E173" s="981"/>
      <c r="F173" s="981"/>
      <c r="G173" s="724"/>
      <c r="H173" s="117"/>
      <c r="J173" s="2982" t="s">
        <v>2386</v>
      </c>
      <c r="N173" s="2982" t="s">
        <v>2386</v>
      </c>
      <c r="O173" s="394"/>
      <c r="R173" s="2325" t="str">
        <f>"lower of "&amp;Q170&amp;" and "&amp;Q172</f>
        <v>lower of c5.52i and c5.52j</v>
      </c>
      <c r="S173" s="711"/>
      <c r="X173" s="2325" t="s">
        <v>8131</v>
      </c>
      <c r="Y173" s="3442" t="str">
        <f>A238</f>
        <v>c5.58a.50</v>
      </c>
      <c r="Z173" s="2298">
        <f>TRUNC((Z75*DivBR_rate)+(Z79*DivHR_rate),2)</f>
        <v>3493.75</v>
      </c>
      <c r="AA173" s="3441" t="s">
        <v>2694</v>
      </c>
      <c r="AE173" s="711"/>
      <c r="AF173" s="711"/>
      <c r="AJ173" s="711"/>
      <c r="AL173" s="93" t="str">
        <f><![CDATA["lower of ("&E8&" minus ("&I182&" + "&I253&" +"]]></f>
        <v>lower of (c5.1 minus (c5.47 + c5.48 +</v>
      </c>
      <c r="AT173" s="93" t="str">
        <f xml:space="preserve"> "lower of ("&amp;E8&amp;" minus"</f>
        <v>lower of (c5.1 minus</v>
      </c>
      <c r="AU173" s="3421"/>
      <c r="AV173" s="3421"/>
      <c r="AW173" s="3421"/>
      <c r="AX173" s="3421"/>
      <c r="BF173" s="711"/>
    </row>
    <row r="174" spans="1:58" x14ac:dyDescent="0.2">
      <c r="A174" s="2982" t="s">
        <v>6796</v>
      </c>
      <c r="B174" s="711"/>
      <c r="E174" s="981"/>
      <c r="F174" s="981"/>
      <c r="G174" s="724"/>
      <c r="H174" s="117"/>
      <c r="J174" s="93" t="str">
        <f>I176&amp;" = "&amp;I166</f>
        <v>c5.46 = c5.45c</v>
      </c>
      <c r="N174" s="93" t="str">
        <f>M176&amp;" = "&amp;M169</f>
        <v>c5.51 = c5.50d</v>
      </c>
      <c r="O174" s="394"/>
      <c r="Q174" s="2162" t="str">
        <f>A104</f>
        <v>c5.52k</v>
      </c>
      <c r="R174" s="2321">
        <f>MIN(R170,R172)</f>
        <v>0</v>
      </c>
      <c r="S174" s="711"/>
      <c r="X174" s="711"/>
      <c r="Y174" s="2325"/>
      <c r="Z174" s="2325" t="str">
        <f><![CDATA[Y89&" + "&Y159&" + "&Y171&" + "&Y173]]></f>
        <v>c5.58a.14 + c5.58a.47 + c5.58a.49 + c5.58a.50</v>
      </c>
      <c r="AA174" s="3482"/>
      <c r="AE174" s="711"/>
      <c r="AF174" s="711"/>
      <c r="AJ174" s="711"/>
      <c r="AL174" s="3305" t="str">
        <f><![CDATA[AC242&" + "&AC253&" + "&AG126&" + "&AG153&" + "&AK126&" + "&AK153&" + "&AK170&")) and"]]></f>
        <v>c5.58i + c5.58k + c5.58.7 + c5.58.9 + c5.62 + c5.63 + c5.63a)) and</v>
      </c>
      <c r="AT174" s="93" t="str">
        <f><![CDATA["("&I182&" + "&I253&" + "&U253&" + "&AC242&" + "&AC253&" + "&AK242&" + "&AK253&" + "&AO126&" + "&AO153&"))"]]></f>
        <v>(c5.47 + c5.48 + c5.58 + c5.58i + c5.58k + c5.65 + c5.66 + c5.66.7 + c5.66.9))</v>
      </c>
      <c r="AV174" s="37"/>
      <c r="AW174" s="37"/>
    </row>
    <row ht="12.75" r="175" spans="1:58" thickBot="1" x14ac:dyDescent="0.25">
      <c r="A175" s="2982" t="s">
        <v>6797</v>
      </c>
      <c r="B175" s="711"/>
      <c r="C175" s="747"/>
      <c r="F175" s="93" t="s">
        <v>6709</v>
      </c>
      <c r="G175" s="724"/>
      <c r="H175" s="117"/>
      <c r="J175" s="2982" t="s">
        <v>2495</v>
      </c>
      <c r="N175" s="2982" t="s">
        <v>2495</v>
      </c>
      <c r="O175" s="394"/>
      <c r="Q175" s="1057"/>
      <c r="R175" s="2325" t="str">
        <f><![CDATA["lower of "&Q174&" and ("&E176&" minus "&I176&")"]]></f>
        <v>lower of c5.52k and (c5.37 minus c5.46)</v>
      </c>
      <c r="S175" s="711"/>
      <c r="X175" s="2325" t="s">
        <v>8132</v>
      </c>
      <c r="Y175" s="3442" t="str">
        <f>A239</f>
        <v>c5.58a.51</v>
      </c>
      <c r="Z175" s="2298">
        <f>Z89+Z159+Z171+Z173</f>
        <v>11292.21</v>
      </c>
      <c r="AA175" s="3482"/>
      <c r="AE175" s="711"/>
      <c r="AF175" s="711"/>
      <c r="AJ175" s="711"/>
      <c r="AK175" s="1945"/>
      <c r="AL175" s="2325" t="str">
        <f><![CDATA["("&U36&" + ("&AK36&" minus "&Q176&") + ("&AS36&" minus "&I176&"))"]]></f>
        <v>(c5.16 + (c5.20 minus c5.52l) + (c5.21 minus c5.46))</v>
      </c>
      <c r="AT175" s="2325" t="str">
        <f><![CDATA["and ("&E36&" minus ("&I176&" + "&Q176&" + "&AK176&"))"]]></f>
        <v>and (c5.11 minus (c5.46 + c5.52l + c5.64))</v>
      </c>
      <c r="AU175" s="37"/>
      <c r="AV175" s="2324"/>
      <c r="AW175" s="1945"/>
      <c r="AX175" s="2325" t="str">
        <f><![CDATA[I176&" + "&Q176&" + "&AK176&" + "&AS176&" + "&AW123&" + "&AW109]]></f>
        <v>c5.46 + c5.52l + c5.64 + c5.68a + c5.66t + c5.66q</v>
      </c>
      <c r="BB175" s="128" t="str">
        <f>E176&amp;" minus "&amp;AW176</f>
        <v>c5.37 minus c5.69</v>
      </c>
      <c r="BD175" s="2641" t="s">
        <v>1534</v>
      </c>
    </row>
    <row ht="13.5" r="176" spans="1:58" thickBot="1" thickTop="1" x14ac:dyDescent="0.25">
      <c r="A176" s="2982" t="s">
        <v>6798</v>
      </c>
      <c r="B176" s="711"/>
      <c r="C176" s="2672" t="s">
        <v>3650</v>
      </c>
      <c r="D176" s="711"/>
      <c r="E176" s="2206" t="s">
        <v>6149</v>
      </c>
      <c r="F176" s="2207">
        <f>F36</f>
        <v>3678</v>
      </c>
      <c r="G176" s="724"/>
      <c r="H176" s="1476"/>
      <c r="I176" s="2206" t="str">
        <f>A69</f>
        <v>c5.46</v>
      </c>
      <c r="J176" s="2207">
        <f>IF(F17-F8&lt;AL8,J162,J166)</f>
        <v>0</v>
      </c>
      <c r="K176" s="711"/>
      <c r="L176" s="711"/>
      <c r="M176" s="2162" t="str">
        <f>A82</f>
        <v>c5.51</v>
      </c>
      <c r="N176" s="1978">
        <f>IF(F17-F8&lt;SR_band,N163,N169)</f>
        <v>0</v>
      </c>
      <c r="O176" s="394"/>
      <c r="P176" s="93"/>
      <c r="Q176" s="2206" t="str">
        <f>A105</f>
        <v>c5.52l</v>
      </c>
      <c r="R176" s="2207">
        <f>MAX(0,MIN(R174,F176-J176))</f>
        <v>0</v>
      </c>
      <c r="S176" s="711"/>
      <c r="X176" s="711"/>
      <c r="Y176" s="2325"/>
      <c r="Z176" s="2325" t="str">
        <f>Y175&amp;" minus "&amp;Y153</f>
        <v>c5.58a.51 minus c5.58a.46</v>
      </c>
      <c r="AA176" s="3482"/>
      <c r="AE176" s="711"/>
      <c r="AF176" s="711"/>
      <c r="AJ176" s="711"/>
      <c r="AK176" s="2206" t="str">
        <f>A309</f>
        <v>c5.64</v>
      </c>
      <c r="AL176" s="2207">
        <f>MAX(0,MIN(F8-(J182+J253+AD242+AD253+AH126+AH153+AL126+AL153+AL170),(V36+(AL36-R176)+(AT36-J176))))</f>
        <v>0</v>
      </c>
      <c r="AR176" s="711"/>
      <c r="AS176" s="2206" t="str">
        <f>A353</f>
        <v>c5.68a</v>
      </c>
      <c r="AT176" s="2207">
        <f>MIN(MAX(0,F8-(J182+J253+V253+AD242+AD253+AL242+AL253+AP126+AP153)),MAX(0,F36-(J176+R176+AL176)))</f>
        <v>0</v>
      </c>
      <c r="AW176" s="2206" t="str">
        <f>A356</f>
        <v>c5.69</v>
      </c>
      <c r="AX176" s="2207">
        <f>J176+R176+AL176+AT176+AX123+AX109</f>
        <v>0</v>
      </c>
      <c r="AY176" s="733"/>
      <c r="AZ176" s="733"/>
      <c r="BA176" s="2206" t="str">
        <f>A365</f>
        <v>c5.78</v>
      </c>
      <c r="BB176" s="2207">
        <f>MAX(0,F176-AX176)</f>
        <v>3678</v>
      </c>
      <c r="BC176" s="711"/>
      <c r="BD176" s="2641" t="s">
        <v>1375</v>
      </c>
    </row>
    <row ht="12.75" r="177" spans="1:61" thickTop="1" x14ac:dyDescent="0.2">
      <c r="A177" s="2982" t="s">
        <v>6441</v>
      </c>
      <c r="B177" s="711"/>
      <c r="C177" s="747"/>
      <c r="D177" s="711"/>
      <c r="E177" s="2164"/>
      <c r="F177" s="1478"/>
      <c r="G177" s="724"/>
      <c r="H177" s="1476"/>
      <c r="I177" s="2164"/>
      <c r="J177" s="1478"/>
      <c r="K177" s="711"/>
      <c r="L177" s="711"/>
      <c r="M177" s="715"/>
      <c r="N177" s="394"/>
      <c r="O177" s="394"/>
      <c r="P177" s="93"/>
      <c r="Q177" s="1057"/>
      <c r="R177" s="2325" t="s">
        <v>6393</v>
      </c>
      <c r="S177" s="711"/>
      <c r="X177" s="3485" t="s">
        <v>8133</v>
      </c>
      <c r="Y177" s="3442" t="str">
        <f>A240</f>
        <v>c5.58a.52</v>
      </c>
      <c r="Z177" s="2298">
        <f>MAX(0,Z175-Z153)</f>
        <v>0</v>
      </c>
      <c r="AA177" s="3482"/>
      <c r="AE177" s="711"/>
      <c r="AF177" s="711"/>
      <c r="AJ177" s="711"/>
      <c r="BB177" s="669" t="str">
        <f>"copy to "&amp;'tax it (c6)'!L14</f>
        <v>copy to c6.11</v>
      </c>
    </row>
    <row r="178" spans="1:61" x14ac:dyDescent="0.2">
      <c r="A178" s="2982" t="s">
        <v>6442</v>
      </c>
      <c r="B178" s="711"/>
      <c r="C178" s="747"/>
      <c r="D178" s="711"/>
      <c r="E178" s="2164"/>
      <c r="F178" s="1478"/>
      <c r="G178" s="724"/>
      <c r="H178" s="1476"/>
      <c r="I178" s="2164"/>
      <c r="J178" s="1478"/>
      <c r="K178" s="711"/>
      <c r="L178" s="711"/>
      <c r="M178" s="715"/>
      <c r="N178" s="394"/>
      <c r="O178" s="394"/>
      <c r="Q178" s="2162" t="str">
        <f>A106</f>
        <v>c5.52m</v>
      </c>
      <c r="R178" s="2321">
        <v>0</v>
      </c>
      <c r="S178" s="711"/>
      <c r="Y178" s="3425"/>
      <c r="Z178" s="2325" t="str">
        <f>"If "&amp;Y177&amp;" larger than or equal to "&amp;Y101</f>
        <v>If c5.58a.52 larger than or equal to c5.58a.20</v>
      </c>
      <c r="AA178" s="3482"/>
      <c r="AE178" s="711"/>
      <c r="AF178" s="711"/>
      <c r="AJ178" s="711"/>
    </row>
    <row r="179" spans="1:61" x14ac:dyDescent="0.2">
      <c r="A179" s="2982" t="s">
        <v>6478</v>
      </c>
      <c r="B179" s="711"/>
      <c r="C179" s="747"/>
      <c r="D179" s="711"/>
      <c r="E179" s="2164"/>
      <c r="F179" s="1478"/>
      <c r="G179" s="724"/>
      <c r="H179" s="1476"/>
      <c r="O179" s="394"/>
      <c r="Q179" s="1057"/>
      <c r="R179" s="2325" t="s">
        <v>6393</v>
      </c>
      <c r="S179" s="711"/>
      <c r="Y179" s="3425"/>
      <c r="Z179" s="2325" t="str">
        <f>Y183&amp;" = "&amp;Y63</f>
        <v>c5.58a.53 = c5.58a.1</v>
      </c>
      <c r="AA179" s="3482"/>
      <c r="AE179" s="711"/>
      <c r="AF179" s="711"/>
      <c r="AJ179" s="711"/>
    </row>
    <row customFormat="1" r="180" s="3423" spans="1:61" x14ac:dyDescent="0.2">
      <c r="A180" s="3436" t="s">
        <v>7923</v>
      </c>
      <c r="B180" s="711"/>
      <c r="C180" s="747"/>
      <c r="D180" s="711"/>
      <c r="E180" s="2164"/>
      <c r="F180" s="1478"/>
      <c r="G180" s="724"/>
      <c r="H180" s="1476"/>
      <c r="O180" s="394"/>
      <c r="P180" s="2982"/>
      <c r="Q180" s="2162" t="str">
        <f>A107</f>
        <v>c5.52n</v>
      </c>
      <c r="R180" s="2321">
        <v>0</v>
      </c>
      <c r="S180" s="711"/>
      <c r="W180" s="3482"/>
      <c r="X180" s="3482"/>
      <c r="Y180" s="3425"/>
      <c r="Z180" s="3357" t="s">
        <v>2386</v>
      </c>
      <c r="AA180" s="3482"/>
      <c r="AE180" s="711"/>
      <c r="AF180" s="711"/>
      <c r="AJ180" s="711"/>
      <c r="BG180" s="2982"/>
      <c r="BH180" s="2982"/>
      <c r="BI180" s="2982"/>
    </row>
    <row customFormat="1" r="181" s="3423" spans="1:61" x14ac:dyDescent="0.2">
      <c r="A181" s="3436" t="s">
        <v>7924</v>
      </c>
      <c r="B181" s="711"/>
      <c r="C181" s="2974"/>
      <c r="D181" s="37"/>
      <c r="E181" s="2982"/>
      <c r="F181" s="2982"/>
      <c r="G181" s="724"/>
      <c r="H181" s="117"/>
      <c r="I181" s="2982"/>
      <c r="J181" s="93" t="s">
        <v>6710</v>
      </c>
      <c r="K181" s="711"/>
      <c r="L181" s="711"/>
      <c r="M181" s="2982"/>
      <c r="N181" s="93" t="str">
        <f>M126&amp;" + "&amp;M153&amp;" + "&amp;M176</f>
        <v>c5.49 + c5.50 + c5.51</v>
      </c>
      <c r="O181" s="394"/>
      <c r="P181" s="2982"/>
      <c r="Q181" s="715"/>
      <c r="R181" s="2325" t="s">
        <v>6393</v>
      </c>
      <c r="S181" s="711"/>
      <c r="W181" s="3482"/>
      <c r="X181" s="3482"/>
      <c r="Y181" s="3425"/>
      <c r="Z181" s="2325" t="str">
        <f>Y183&amp;" = 0 (zero)"</f>
        <v>c5.58a.53 = 0 (zero)</v>
      </c>
      <c r="AA181" s="3482"/>
      <c r="AE181" s="711"/>
      <c r="AF181" s="711"/>
      <c r="AJ181" s="711"/>
      <c r="BG181" s="2982"/>
      <c r="BH181" s="2982"/>
      <c r="BI181" s="2982"/>
    </row>
    <row customFormat="1" ht="12.75" r="182" s="3423" spans="1:61" x14ac:dyDescent="0.2">
      <c r="A182" s="3436" t="s">
        <v>7925</v>
      </c>
      <c r="B182" s="711"/>
      <c r="C182" s="2974"/>
      <c r="D182" s="2982"/>
      <c r="E182" s="2982"/>
      <c r="F182" s="2982"/>
      <c r="G182" s="724"/>
      <c r="H182" s="2982"/>
      <c r="I182" s="2162" t="s">
        <v>6164</v>
      </c>
      <c r="J182" s="1978">
        <f>J126+J153+J176</f>
        <v>0</v>
      </c>
      <c r="K182" s="711"/>
      <c r="L182" s="711"/>
      <c r="M182" s="2162" t="str">
        <f>A83</f>
        <v>c5.52</v>
      </c>
      <c r="N182" s="1978">
        <f>N126+N153+N176</f>
        <v>13700</v>
      </c>
      <c r="O182" s="394"/>
      <c r="P182" s="3433" t="s">
        <v>6695</v>
      </c>
      <c r="Q182" s="2162" t="str">
        <f>A108</f>
        <v>c5.52o</v>
      </c>
      <c r="R182" s="2321">
        <v>0</v>
      </c>
      <c r="S182" s="3431" t="s">
        <v>2694</v>
      </c>
      <c r="W182" s="3482"/>
      <c r="X182" s="3482"/>
      <c r="Y182" s="1945"/>
      <c r="Z182" s="3357" t="s">
        <v>2495</v>
      </c>
      <c r="AA182" s="3482"/>
      <c r="AE182" s="711"/>
      <c r="AF182" s="711"/>
      <c r="AJ182" s="711"/>
      <c r="BG182" s="2982"/>
      <c r="BH182" s="2982"/>
      <c r="BI182" s="2982"/>
    </row>
    <row customFormat="1" ht="12.75" r="183" s="3423" spans="1:61" x14ac:dyDescent="0.2">
      <c r="A183" s="3436" t="s">
        <v>7926</v>
      </c>
      <c r="B183" s="711"/>
      <c r="C183" s="2974"/>
      <c r="D183" s="2982"/>
      <c r="E183" s="2982"/>
      <c r="F183" s="2982"/>
      <c r="G183" s="724"/>
      <c r="H183" s="2982"/>
      <c r="I183" s="2982"/>
      <c r="J183" s="2982"/>
      <c r="K183" s="2982"/>
      <c r="L183" s="2982"/>
      <c r="M183" s="2982"/>
      <c r="N183" s="2982"/>
      <c r="O183" s="394"/>
      <c r="P183" s="93"/>
      <c r="Q183" s="2982"/>
      <c r="R183" s="2325" t="s">
        <v>6393</v>
      </c>
      <c r="S183" s="2982"/>
      <c r="W183" s="3482"/>
      <c r="X183" s="3445" t="s">
        <v>8134</v>
      </c>
      <c r="Y183" s="3442" t="str">
        <f>A241</f>
        <v>c5.58a.53</v>
      </c>
      <c r="Z183" s="2321">
        <f>IF(Z177&gt;=Z101,Z63,0)</f>
        <v>0</v>
      </c>
      <c r="AA183" s="3482"/>
      <c r="AE183" s="711"/>
      <c r="AF183" s="711"/>
      <c r="AJ183" s="711"/>
      <c r="BG183" s="2982"/>
      <c r="BH183" s="2982"/>
      <c r="BI183" s="2982"/>
    </row>
    <row customFormat="1" ht="12.75" r="184" s="3423" spans="1:61" x14ac:dyDescent="0.2">
      <c r="A184" s="3436" t="s">
        <v>7927</v>
      </c>
      <c r="B184" s="711"/>
      <c r="C184" s="2974"/>
      <c r="D184" s="2982"/>
      <c r="E184" s="2982"/>
      <c r="F184" s="2982"/>
      <c r="G184" s="724"/>
      <c r="H184" s="2982"/>
      <c r="I184" s="2982"/>
      <c r="J184" s="2982"/>
      <c r="K184" s="2982"/>
      <c r="L184" s="2982"/>
      <c r="M184" s="2982"/>
      <c r="N184" s="2982"/>
      <c r="O184" s="394"/>
      <c r="P184" s="3433" t="s">
        <v>6698</v>
      </c>
      <c r="Q184" s="2162" t="str">
        <f>A109</f>
        <v>c5.52p</v>
      </c>
      <c r="R184" s="2321">
        <v>0</v>
      </c>
      <c r="S184" s="3431" t="s">
        <v>2694</v>
      </c>
      <c r="W184" s="3482"/>
      <c r="X184" s="3482"/>
      <c r="Y184" s="3499"/>
      <c r="Z184" s="3499"/>
      <c r="AE184" s="711"/>
      <c r="AF184" s="711"/>
      <c r="AJ184" s="711"/>
      <c r="BG184" s="2982"/>
      <c r="BH184" s="2982"/>
      <c r="BI184" s="2982"/>
    </row>
    <row customFormat="1" r="185" s="3423" spans="1:61" x14ac:dyDescent="0.2">
      <c r="A185" s="3436" t="s">
        <v>7928</v>
      </c>
      <c r="B185" s="711"/>
      <c r="C185" s="2974"/>
      <c r="D185" s="2982"/>
      <c r="E185" s="2982"/>
      <c r="F185" s="2982"/>
      <c r="G185" s="724"/>
      <c r="H185" s="2982"/>
      <c r="I185" s="2982"/>
      <c r="J185" s="2982"/>
      <c r="K185" s="2982"/>
      <c r="L185" s="2982"/>
      <c r="M185" s="3490"/>
      <c r="N185" s="3490"/>
      <c r="O185" s="394"/>
      <c r="P185" s="93"/>
      <c r="Q185" s="2982"/>
      <c r="R185" s="2325" t="s">
        <v>6393</v>
      </c>
      <c r="S185" s="2982"/>
      <c r="W185" s="3482"/>
      <c r="X185" s="3490"/>
      <c r="Y185" s="3499"/>
      <c r="Z185" s="2325" t="str">
        <f>"if "&amp;Y183&amp;" greater than 0 (zero)"</f>
        <v>if c5.58a.53 greater than 0 (zero)</v>
      </c>
      <c r="AE185" s="711"/>
      <c r="AF185" s="711"/>
      <c r="AJ185" s="711"/>
      <c r="BG185" s="711"/>
      <c r="BH185" s="711"/>
      <c r="BI185" s="711"/>
    </row>
    <row r="186" spans="1:61" x14ac:dyDescent="0.2">
      <c r="A186" s="2982" t="s">
        <v>6799</v>
      </c>
      <c r="B186" s="711"/>
      <c r="G186" s="724"/>
      <c r="M186" s="3490"/>
      <c r="N186" s="3490"/>
      <c r="O186" s="394"/>
      <c r="Q186" s="2162" t="str">
        <f>A110</f>
        <v>c5.52q</v>
      </c>
      <c r="R186" s="2321">
        <v>0</v>
      </c>
      <c r="X186" s="3490"/>
      <c r="Y186" s="3499"/>
      <c r="Z186" s="2325" t="str">
        <f><![CDATA["lower of ("&M153&" minus "&Y63&") and ("&Y67&" minus ("&Y115&" + "&Y119&" + "&Y127&"))"]]></f>
        <v>lower of (c5.50 minus c5.58a.1) and (c5.58a.3 minus (c5.58a.27 + c5.58a.29 + c5.58a.33))</v>
      </c>
      <c r="AE186" s="711"/>
      <c r="AF186" s="711"/>
      <c r="AJ186" s="711"/>
    </row>
    <row r="187" spans="1:61" x14ac:dyDescent="0.2">
      <c r="A187" s="2982" t="s">
        <v>6177</v>
      </c>
      <c r="B187" s="711"/>
      <c r="G187" s="724"/>
      <c r="M187" s="3490"/>
      <c r="N187" s="3490"/>
      <c r="O187" s="394"/>
      <c r="Q187" s="3490"/>
      <c r="R187" s="3490"/>
      <c r="T187" s="711"/>
      <c r="U187" s="711"/>
      <c r="V187" s="711"/>
      <c r="W187" s="711"/>
      <c r="X187" s="3490"/>
      <c r="Y187" s="3499"/>
      <c r="Z187" s="1945" t="s">
        <v>2386</v>
      </c>
      <c r="AE187" s="711"/>
      <c r="AF187" s="711"/>
      <c r="AJ187" s="711"/>
    </row>
    <row r="188" spans="1:61" x14ac:dyDescent="0.2">
      <c r="A188" s="2982" t="s">
        <v>6178</v>
      </c>
      <c r="B188" s="711"/>
      <c r="G188" s="724"/>
      <c r="M188" s="3490"/>
      <c r="N188" s="3490"/>
      <c r="O188" s="394"/>
      <c r="Q188" s="3490"/>
      <c r="R188" s="3490"/>
      <c r="Z188" s="2325" t="str">
        <f><![CDATA["lower of ("&M153&" minus "&Y63&") and ("&U194&" minus ("&U210&" + "&U214&" + "&U222&"))"]]></f>
        <v>lower of (c5.50 minus c5.58a.1) and (c5.56.2 minus (c5.56e1 + c5.56g + c5.56k))</v>
      </c>
      <c r="AE188" s="711"/>
      <c r="AF188" s="711"/>
      <c r="AJ188" s="711"/>
    </row>
    <row r="189" spans="1:61" x14ac:dyDescent="0.2">
      <c r="A189" s="2982" t="s">
        <v>6880</v>
      </c>
      <c r="B189" s="711"/>
      <c r="G189" s="724"/>
      <c r="M189" s="3490"/>
      <c r="N189" s="3490"/>
      <c r="O189" s="394"/>
      <c r="Q189" s="3490"/>
      <c r="R189" s="3490"/>
      <c r="X189" s="3499"/>
      <c r="Y189" s="2325"/>
      <c r="Z189" s="1945" t="s">
        <v>2495</v>
      </c>
      <c r="AA189" s="3499"/>
      <c r="AE189" s="711"/>
      <c r="AF189" s="711"/>
      <c r="AJ189" s="711"/>
      <c r="AK189" s="2164"/>
      <c r="AL189" s="1478"/>
      <c r="AU189" s="37"/>
      <c r="AW189" s="1200"/>
      <c r="AX189" s="1942"/>
      <c r="AY189" s="711"/>
      <c r="AZ189" s="711"/>
      <c r="BA189" s="1200"/>
      <c r="BB189" s="1478"/>
      <c r="BC189" s="711"/>
      <c r="BD189" s="747"/>
    </row>
    <row r="190" spans="1:61" x14ac:dyDescent="0.2">
      <c r="A190" s="1945" t="s">
        <v>8026</v>
      </c>
      <c r="B190" s="711"/>
      <c r="G190" s="724"/>
      <c r="M190" s="3490"/>
      <c r="N190" s="3490"/>
      <c r="O190" s="394"/>
      <c r="Q190" s="3490"/>
      <c r="R190" s="3490"/>
      <c r="X190" s="2325" t="s">
        <v>8115</v>
      </c>
      <c r="Y190" s="3442" t="str">
        <f>A242</f>
        <v>c5.58a.54</v>
      </c>
      <c r="Z190" s="2321">
        <f>MAX(0,IF(Z183&gt;0,MIN(N153-Z63,Z67-(Z115+Z119+Z127)),MIN(N153-Z63,V194-(V210+V214+V222))))</f>
        <v>0</v>
      </c>
      <c r="AA190" s="3484"/>
      <c r="AE190" s="711"/>
      <c r="AF190" s="711"/>
      <c r="AJ190" s="711"/>
      <c r="AK190" s="2164"/>
      <c r="AL190" s="1478"/>
      <c r="AU190" s="37"/>
      <c r="AW190" s="1200"/>
      <c r="AX190" s="1942"/>
      <c r="AY190" s="711"/>
      <c r="AZ190" s="711"/>
      <c r="BA190" s="1200"/>
      <c r="BC190" s="711"/>
      <c r="BD190" s="747"/>
    </row>
    <row r="191" spans="1:61" x14ac:dyDescent="0.2">
      <c r="A191" s="1945" t="s">
        <v>8027</v>
      </c>
      <c r="B191" s="711"/>
      <c r="G191" s="724"/>
      <c r="M191" s="3490"/>
      <c r="N191" s="3490"/>
      <c r="O191" s="394"/>
      <c r="P191" s="711"/>
      <c r="Q191" s="711"/>
      <c r="R191" s="2325" t="s">
        <v>6393</v>
      </c>
      <c r="S191" s="711"/>
      <c r="V191" s="2325" t="str">
        <f>Q200&amp;" minus "&amp;Q299</f>
        <v>c5.54a minus c5.56</v>
      </c>
      <c r="W191" s="93"/>
      <c r="X191" s="3499"/>
      <c r="Y191" s="2325"/>
      <c r="Z191" s="2325" t="str">
        <f>Y65&amp;" minus "&amp;Y183</f>
        <v>c5.58a.2 minus c5.58a.53</v>
      </c>
      <c r="AA191" s="3499"/>
      <c r="AC191" s="806"/>
      <c r="AE191" s="711"/>
      <c r="AF191" s="711"/>
      <c r="AJ191" s="711"/>
      <c r="AK191" s="2164"/>
      <c r="AL191" s="1478"/>
      <c r="AU191" s="37"/>
      <c r="AW191" s="1200"/>
      <c r="AX191" s="1942"/>
      <c r="AY191" s="711"/>
      <c r="AZ191" s="711"/>
      <c r="BA191" s="1200"/>
      <c r="BB191" s="1478"/>
      <c r="BC191" s="711"/>
      <c r="BD191" s="747"/>
    </row>
    <row ht="12.75" r="192" spans="1:61" x14ac:dyDescent="0.2">
      <c r="A192" s="1945" t="s">
        <v>8028</v>
      </c>
      <c r="B192" s="711"/>
      <c r="G192" s="724"/>
      <c r="M192" s="3490"/>
      <c r="N192" s="3490"/>
      <c r="O192" s="394"/>
      <c r="P192" s="3433" t="s">
        <v>6513</v>
      </c>
      <c r="Q192" s="2162" t="str">
        <f>A111</f>
        <v>c5.53</v>
      </c>
      <c r="R192" s="1978">
        <v>0</v>
      </c>
      <c r="T192" s="2325" t="s">
        <v>7857</v>
      </c>
      <c r="U192" s="2195" t="str">
        <f>A165</f>
        <v>c5.56.1</v>
      </c>
      <c r="V192" s="1978">
        <f>MAX(0,R200-R299)</f>
        <v>33744</v>
      </c>
      <c r="W192" s="394"/>
      <c r="X192" s="2325" t="s">
        <v>7857</v>
      </c>
      <c r="Y192" s="3442" t="str">
        <f>A243</f>
        <v>c5.58a.55</v>
      </c>
      <c r="Z192" s="2321">
        <f>MAX(0,Z65-Z183)</f>
        <v>33744</v>
      </c>
      <c r="AA192" s="3499"/>
      <c r="AE192" s="711"/>
      <c r="AF192" s="711"/>
      <c r="AJ192" s="711"/>
      <c r="AK192" s="2164"/>
      <c r="AL192" s="1478"/>
      <c r="AU192" s="37"/>
      <c r="AW192" s="1200"/>
      <c r="AX192" s="1942"/>
      <c r="AY192" s="711"/>
      <c r="AZ192" s="711"/>
      <c r="BA192" s="1200"/>
      <c r="BB192" s="1478"/>
      <c r="BC192" s="711"/>
      <c r="BD192" s="747"/>
    </row>
    <row ht="12.75" r="193" spans="1:56" x14ac:dyDescent="0.2">
      <c r="A193" s="1945" t="s">
        <v>8029</v>
      </c>
      <c r="B193" s="711"/>
      <c r="G193" s="724"/>
      <c r="O193" s="394"/>
      <c r="P193" s="1980"/>
      <c r="Q193" s="715"/>
      <c r="T193" s="3436"/>
      <c r="V193" s="2325" t="str">
        <f>Q202&amp;" minus "&amp;Q222</f>
        <v>c5.54a1 minus c5.55.7</v>
      </c>
      <c r="W193" s="93"/>
      <c r="X193" s="3499"/>
      <c r="Y193" s="3499"/>
      <c r="Z193" s="2325" t="str">
        <f>U194&amp;" minus "&amp;Y190</f>
        <v>c5.56.2 minus c5.58a.54</v>
      </c>
      <c r="AA193" s="3499"/>
      <c r="AB193" s="2674"/>
      <c r="AE193" s="711"/>
      <c r="AF193" s="711"/>
      <c r="AJ193" s="711"/>
      <c r="AK193" s="2164"/>
      <c r="AL193" s="1478"/>
      <c r="AU193" s="37"/>
      <c r="AW193" s="1200"/>
      <c r="AX193" s="1942"/>
      <c r="AY193" s="711"/>
      <c r="AZ193" s="711"/>
      <c r="BA193" s="1200"/>
      <c r="BB193" s="1478"/>
      <c r="BC193" s="711"/>
      <c r="BD193" s="747"/>
    </row>
    <row ht="12.75" r="194" spans="1:56" x14ac:dyDescent="0.2">
      <c r="A194" s="1945" t="s">
        <v>8030</v>
      </c>
      <c r="B194" s="711"/>
      <c r="G194" s="724"/>
      <c r="O194" s="394"/>
      <c r="P194" s="1980"/>
      <c r="Q194" s="715"/>
      <c r="T194" s="2325" t="s">
        <v>7858</v>
      </c>
      <c r="U194" s="2195" t="str">
        <f>A166</f>
        <v>c5.56.2</v>
      </c>
      <c r="V194" s="1978">
        <f>MAX(0,R202-R222)</f>
        <v>3678</v>
      </c>
      <c r="W194" s="394"/>
      <c r="X194" s="2325" t="s">
        <v>8186</v>
      </c>
      <c r="Y194" s="3442" t="str">
        <f>A244</f>
        <v>c5.58a.56</v>
      </c>
      <c r="Z194" s="2321">
        <f>MAX(0,V194-Z190)</f>
        <v>3678</v>
      </c>
      <c r="AA194" s="3499"/>
      <c r="AE194" s="711"/>
      <c r="AF194" s="711"/>
      <c r="AJ194" s="711"/>
      <c r="AK194" s="2164"/>
      <c r="AL194" s="1478"/>
      <c r="AU194" s="37"/>
      <c r="AW194" s="1200"/>
      <c r="AX194" s="1942"/>
      <c r="AY194" s="711"/>
      <c r="AZ194" s="711"/>
      <c r="BA194" s="1200"/>
      <c r="BB194" s="1478"/>
      <c r="BC194" s="711"/>
      <c r="BD194" s="747"/>
    </row>
    <row ht="12.75" r="195" spans="1:56" x14ac:dyDescent="0.2">
      <c r="A195" s="1945" t="s">
        <v>8031</v>
      </c>
      <c r="B195" s="711"/>
      <c r="G195" s="724"/>
      <c r="O195" s="394"/>
      <c r="P195" s="1980"/>
      <c r="Q195" s="715"/>
      <c r="S195" s="711"/>
      <c r="T195" s="3436"/>
      <c r="U195" s="1945"/>
      <c r="V195" s="2325" t="str">
        <f><![CDATA["lower of ("&E49&" minus "&I253&") and ((BR_band ("&DOLLAR(BR_band,0)&") + "&'Deductions (c4)'!L311&") minus ("&U192&" + "&U194&"))"]]></f>
        <v>lower of (c5.22 minus c5.48) and ((BR_band ($37,500) + c4.75) minus (c5.56.1 + c5.56.2))</v>
      </c>
      <c r="W195" s="93"/>
      <c r="X195" s="3499"/>
      <c r="Y195" s="2325"/>
      <c r="Z195" s="2325" t="str">
        <f><![CDATA[E153&" minus ("&I153&" + ("&Y63&" minus "&Y183&"))"]]></f>
        <v>c5.36 minus (c5.45 + (c5.58a.1 minus c5.58a.53))</v>
      </c>
      <c r="AA195" s="3499"/>
      <c r="AE195" s="711"/>
      <c r="AF195" s="711"/>
      <c r="AJ195" s="711"/>
      <c r="AK195" s="2164"/>
      <c r="AL195" s="1478"/>
      <c r="AT195" s="806"/>
      <c r="AU195" s="37"/>
      <c r="AW195" s="1200"/>
      <c r="AX195" s="1942"/>
      <c r="AY195" s="711"/>
      <c r="AZ195" s="711"/>
      <c r="BA195" s="1200"/>
      <c r="BB195" s="1478"/>
      <c r="BC195" s="711"/>
      <c r="BD195" s="747"/>
    </row>
    <row ht="12.75" r="196" spans="1:56" x14ac:dyDescent="0.2">
      <c r="A196" s="1945" t="s">
        <v>8032</v>
      </c>
      <c r="B196" s="711"/>
      <c r="C196" s="3435"/>
      <c r="D196" s="3436"/>
      <c r="E196" s="3436"/>
      <c r="F196" s="3436"/>
      <c r="G196" s="724"/>
      <c r="H196" s="3436"/>
      <c r="I196" s="3436"/>
      <c r="J196" s="3436"/>
      <c r="K196" s="3436"/>
      <c r="L196" s="3436"/>
      <c r="M196" s="3436"/>
      <c r="N196" s="3436"/>
      <c r="O196" s="394"/>
      <c r="P196" s="1980"/>
      <c r="Q196" s="715"/>
      <c r="S196" s="711"/>
      <c r="T196" s="3449" t="s">
        <v>7935</v>
      </c>
      <c r="U196" s="2195" t="str">
        <f>A167</f>
        <v>c5.56a</v>
      </c>
      <c r="V196" s="1978">
        <f>MAX(0,MIN(F49-J253,(BR_band+'Deductions (c4)'!M311)-(V192+V194)))</f>
        <v>1703</v>
      </c>
      <c r="W196" s="394"/>
      <c r="X196" s="2325" t="s">
        <v>8135</v>
      </c>
      <c r="Y196" s="3442" t="str">
        <f>A245</f>
        <v>c5.58a.57</v>
      </c>
      <c r="Z196" s="2321">
        <f>MAX(0,F153-(J153+(Z63-Z183)))</f>
        <v>0</v>
      </c>
      <c r="AA196" s="3499"/>
      <c r="AE196" s="711"/>
      <c r="AF196" s="711"/>
      <c r="AJ196" s="711"/>
      <c r="AK196" s="2164"/>
      <c r="AL196" s="1478"/>
      <c r="AU196" s="37"/>
      <c r="AW196" s="1200"/>
      <c r="AX196" s="1942"/>
      <c r="AY196" s="711"/>
      <c r="AZ196" s="711"/>
      <c r="BA196" s="1200"/>
      <c r="BB196" s="1478"/>
      <c r="BC196" s="711"/>
      <c r="BD196" s="747"/>
    </row>
    <row ht="12.75" r="197" spans="1:56" x14ac:dyDescent="0.2">
      <c r="A197" s="1945" t="s">
        <v>8033</v>
      </c>
      <c r="B197" s="711"/>
      <c r="C197" s="3435"/>
      <c r="D197" s="3436"/>
      <c r="E197" s="3436"/>
      <c r="F197" s="3436"/>
      <c r="G197" s="724"/>
      <c r="H197" s="3436"/>
      <c r="I197" s="3436"/>
      <c r="J197" s="3436"/>
      <c r="K197" s="3436"/>
      <c r="L197" s="3436"/>
      <c r="M197" s="3436"/>
      <c r="N197" s="3436"/>
      <c r="O197" s="394"/>
      <c r="P197" s="1980"/>
      <c r="R197" s="2325" t="s">
        <v>6393</v>
      </c>
      <c r="S197" s="711"/>
      <c r="T197" s="3436"/>
      <c r="V197" s="2325" t="str">
        <f>"lower of "&amp;M45&amp;" and "&amp;U196</f>
        <v>lower of c5.23 and c5.56a</v>
      </c>
      <c r="W197" s="93"/>
      <c r="X197" s="3499"/>
      <c r="Y197" s="2325"/>
      <c r="Z197" s="2325" t="str">
        <f><![CDATA["lower of ("&E153&" minus "&I153&") and ("&'Status (c3a)'!H33&" minus ("&Y67&" + "&Y69&" + "&Y192&"))"]]></f>
        <v>lower of (c5.36 minus c5.45) and (c3a.1a minus (c5.58a.3 + c5.58a.4 + c5.58a.55))</v>
      </c>
      <c r="AA197" s="3499"/>
      <c r="AE197" s="711"/>
      <c r="AF197" s="711"/>
      <c r="AJ197" s="711"/>
      <c r="AK197" s="2164"/>
      <c r="AL197" s="1478"/>
      <c r="AU197" s="37"/>
      <c r="AW197" s="1200"/>
      <c r="AX197" s="1942"/>
      <c r="AY197" s="711"/>
      <c r="AZ197" s="711"/>
      <c r="BA197" s="1200"/>
      <c r="BB197" s="1478"/>
      <c r="BC197" s="711"/>
      <c r="BD197" s="747"/>
    </row>
    <row ht="12.75" r="198" spans="1:56" x14ac:dyDescent="0.2">
      <c r="A198" s="1945" t="s">
        <v>8034</v>
      </c>
      <c r="B198" s="711"/>
      <c r="C198" s="3435"/>
      <c r="D198" s="3436"/>
      <c r="E198" s="3436"/>
      <c r="F198" s="3436"/>
      <c r="G198" s="724"/>
      <c r="H198" s="3436"/>
      <c r="I198" s="3436"/>
      <c r="J198" s="3436"/>
      <c r="K198" s="3436"/>
      <c r="L198" s="3436"/>
      <c r="M198" s="3436"/>
      <c r="N198" s="3436"/>
      <c r="O198" s="394"/>
      <c r="P198" s="3433" t="s">
        <v>6169</v>
      </c>
      <c r="Q198" s="2162" t="str">
        <f>A112</f>
        <v>c5.54</v>
      </c>
      <c r="R198" s="1978">
        <v>0</v>
      </c>
      <c r="S198" s="711"/>
      <c r="T198" s="3449" t="s">
        <v>6988</v>
      </c>
      <c r="U198" s="2195" t="str">
        <f>A168</f>
        <v>c5.56b</v>
      </c>
      <c r="V198" s="1978">
        <f>MIN(N45,V196)</f>
        <v>1703</v>
      </c>
      <c r="W198" s="394"/>
      <c r="X198" s="2325" t="s">
        <v>8119</v>
      </c>
      <c r="Y198" s="3442" t="str">
        <f>A246</f>
        <v>c5.58a.58</v>
      </c>
      <c r="Z198" s="2321">
        <f>MAX(0,MIN(F153-J153,'Status (c3a)'!I33-(Z67+Z69+Z192)))</f>
        <v>0</v>
      </c>
      <c r="AA198" s="3499"/>
      <c r="AE198" s="711"/>
      <c r="AF198" s="711"/>
      <c r="AJ198" s="711"/>
      <c r="AK198" s="2164"/>
      <c r="AL198" s="1478"/>
      <c r="AU198" s="37"/>
      <c r="AW198" s="1200"/>
      <c r="AX198" s="1942"/>
      <c r="AY198" s="711"/>
      <c r="AZ198" s="711"/>
      <c r="BA198" s="1200"/>
      <c r="BB198" s="1478"/>
      <c r="BC198" s="711"/>
      <c r="BD198" s="747"/>
    </row>
    <row r="199" spans="1:56" x14ac:dyDescent="0.2">
      <c r="A199" s="1945" t="s">
        <v>8035</v>
      </c>
      <c r="B199" s="711"/>
      <c r="C199" s="3435"/>
      <c r="D199" s="3436"/>
      <c r="E199" s="3436"/>
      <c r="F199" s="3436"/>
      <c r="G199" s="724"/>
      <c r="H199" s="3436"/>
      <c r="I199" s="3436"/>
      <c r="J199" s="3436"/>
      <c r="K199" s="3436"/>
      <c r="L199" s="3436"/>
      <c r="M199" s="3436"/>
      <c r="N199" s="3436"/>
      <c r="O199" s="394"/>
      <c r="R199" s="2325" t="str">
        <f>E126&amp;" minus ("&amp;I126&amp;" + "&amp;Q126&amp;")"</f>
        <v>c5.35 minus (c5.44 + c5.52h)</v>
      </c>
      <c r="T199" s="3436"/>
      <c r="V199" s="2325" t="str">
        <f>U196&amp;" minus "&amp;U198</f>
        <v>c5.56a minus c5.56b</v>
      </c>
      <c r="W199" s="93"/>
      <c r="X199" s="3499"/>
      <c r="Y199" s="2325"/>
      <c r="Z199" s="2325" t="str">
        <f><![CDATA["lower of ("&E153&" minus ("&I153&" + "&Y198&")) and (("&'Status (c3a)'!H33&" + "&U8&") minus ("&Y67&" + "&Y69&" + "&Y81&" + "&Y192&"))"]]></f>
        <v>lower of (c5.36 minus (c5.45 + c5.58a.58)) and ((c3a.1a + c5.2) minus (c5.58a.3 + c5.58a.4 + c5.58a.10 + c5.58a.55))</v>
      </c>
      <c r="AA199" s="3499"/>
      <c r="AE199" s="711"/>
      <c r="AF199" s="711"/>
      <c r="AJ199" s="711"/>
      <c r="AK199" s="2164"/>
      <c r="AL199" s="1478"/>
      <c r="AU199" s="37"/>
      <c r="AW199" s="1200"/>
      <c r="AX199" s="1942"/>
      <c r="AY199" s="711"/>
      <c r="AZ199" s="711"/>
      <c r="BA199" s="1200"/>
      <c r="BB199" s="1478"/>
      <c r="BC199" s="711"/>
      <c r="BD199" s="747"/>
    </row>
    <row r="200" spans="1:56" x14ac:dyDescent="0.2">
      <c r="A200" s="1945" t="s">
        <v>8036</v>
      </c>
      <c r="B200" s="711"/>
      <c r="C200" s="3435"/>
      <c r="D200" s="3436"/>
      <c r="E200" s="3436"/>
      <c r="F200" s="3436"/>
      <c r="G200" s="724"/>
      <c r="H200" s="3436"/>
      <c r="I200" s="3436"/>
      <c r="J200" s="3436"/>
      <c r="K200" s="3436"/>
      <c r="L200" s="3436"/>
      <c r="M200" s="3436"/>
      <c r="N200" s="3436"/>
      <c r="O200" s="394"/>
      <c r="P200" s="2325" t="s">
        <v>7857</v>
      </c>
      <c r="Q200" s="2162" t="str">
        <f>A113</f>
        <v>c5.54a</v>
      </c>
      <c r="R200" s="1978">
        <f>MAX(0,F126-(J126+R126))</f>
        <v>33744</v>
      </c>
      <c r="T200" s="3449" t="s">
        <v>6989</v>
      </c>
      <c r="U200" s="2195" t="str">
        <f>A169</f>
        <v>c5.56c</v>
      </c>
      <c r="V200" s="1978">
        <f>MAX(0,V196-V198)</f>
        <v>0</v>
      </c>
      <c r="W200" s="394"/>
      <c r="X200" s="2325" t="s">
        <v>8120</v>
      </c>
      <c r="Y200" s="3442" t="str">
        <f>A247</f>
        <v>c5.58a.59</v>
      </c>
      <c r="Z200" s="2321">
        <f>MAX(0,MIN(F153-(J153+Z198),('Status (c3a)'!I33+V8)-(Z67+Z69+Z81+Z192)))</f>
        <v>0</v>
      </c>
      <c r="AA200" s="3499"/>
      <c r="AE200" s="711"/>
      <c r="AF200" s="711"/>
      <c r="AJ200" s="711"/>
      <c r="AK200" s="2164"/>
      <c r="AL200" s="1478"/>
      <c r="AU200" s="37"/>
      <c r="AW200" s="1200"/>
      <c r="AX200" s="1942"/>
      <c r="AY200" s="711"/>
      <c r="AZ200" s="711"/>
      <c r="BA200" s="1200"/>
      <c r="BB200" s="1478"/>
      <c r="BC200" s="711"/>
      <c r="BD200" s="747"/>
    </row>
    <row r="201" spans="1:56" x14ac:dyDescent="0.2">
      <c r="A201" s="1945" t="s">
        <v>8037</v>
      </c>
      <c r="B201" s="711"/>
      <c r="C201" s="3435"/>
      <c r="D201" s="3436"/>
      <c r="E201" s="3436"/>
      <c r="F201" s="3436"/>
      <c r="G201" s="724"/>
      <c r="H201" s="3436"/>
      <c r="I201" s="3436"/>
      <c r="J201" s="3436"/>
      <c r="K201" s="3436"/>
      <c r="L201" s="3436"/>
      <c r="M201" s="3436"/>
      <c r="N201" s="3436"/>
      <c r="O201" s="394"/>
      <c r="P201" s="3423"/>
      <c r="R201" s="2325" t="str">
        <f>E176&amp;" minus ("&amp;I176&amp;" + "&amp;Q176&amp;")"</f>
        <v>c5.37 minus (c5.46 + c5.52l)</v>
      </c>
      <c r="T201" s="3436"/>
      <c r="U201" s="1945"/>
      <c r="V201" s="2325" t="str">
        <f><![CDATA["lower of ("&Q222&" and "&U200&") x DivBR_rate ("&DivBR_rate*100&"%)"]]></f>
        <v>lower of (c5.55.7 and c5.56c) x DivBR_rate (7.5%)</v>
      </c>
      <c r="W201" s="93"/>
      <c r="X201" s="981"/>
      <c r="Y201" s="2325"/>
      <c r="Z201" s="3501" t="str">
        <f><![CDATA["lower of ("&E153&" minus ("&I153&" + "&Y198&" + "&Y200&")) and (("&'Status (c3a)'!H33&" + "&U8&" + "&'Status (c3a)'!P33&") minus ("&Y67&" + "&Y69&" + "&Y192&" + "&Y198&" + "&Y200&"))"]]></f>
        <v>lower of (c5.36 minus (c5.45 + c5.58a.58 + c5.58a.59)) and ((c3a.1a + c5.2 + c3a.2a) minus (c5.58a.3 + c5.58a.4 + c5.58a.55 + c5.58a.58 + c5.58a.59))</v>
      </c>
      <c r="AA201" s="3499"/>
      <c r="AE201" s="711"/>
      <c r="AF201" s="711"/>
      <c r="AJ201" s="711"/>
      <c r="AK201" s="2164"/>
      <c r="AL201" s="1478"/>
      <c r="AU201" s="37"/>
      <c r="AW201" s="1200"/>
      <c r="AX201" s="1942"/>
      <c r="AY201" s="711"/>
      <c r="AZ201" s="711"/>
      <c r="BA201" s="1200"/>
      <c r="BB201" s="1478"/>
      <c r="BC201" s="711"/>
      <c r="BD201" s="747"/>
    </row>
    <row r="202" spans="1:56" x14ac:dyDescent="0.2">
      <c r="A202" s="1945" t="s">
        <v>8038</v>
      </c>
      <c r="B202" s="711"/>
      <c r="C202" s="3435"/>
      <c r="D202" s="3436"/>
      <c r="E202" s="3436"/>
      <c r="F202" s="3436"/>
      <c r="G202" s="724"/>
      <c r="H202" s="3436"/>
      <c r="I202" s="3436"/>
      <c r="J202" s="3436"/>
      <c r="K202" s="3436"/>
      <c r="L202" s="3436"/>
      <c r="M202" s="3436"/>
      <c r="N202" s="3436"/>
      <c r="O202" s="394"/>
      <c r="P202" s="2325" t="s">
        <v>7858</v>
      </c>
      <c r="Q202" s="2162" t="str">
        <f>A114</f>
        <v>c5.54a1</v>
      </c>
      <c r="R202" s="1978">
        <f>MAX(0,F176-(J176+R176))</f>
        <v>3678</v>
      </c>
      <c r="T202" s="3436"/>
      <c r="U202" s="2195" t="str">
        <f>A170</f>
        <v>c5.56c1</v>
      </c>
      <c r="V202" s="1978">
        <f>TRUNC(MIN(R222,V200)*DivBR_rate,2)</f>
        <v>0</v>
      </c>
      <c r="W202" s="3441" t="s">
        <v>2694</v>
      </c>
      <c r="X202" s="2325" t="s">
        <v>8121</v>
      </c>
      <c r="Y202" s="3442" t="str">
        <f>A248</f>
        <v>c5.58a.60</v>
      </c>
      <c r="Z202" s="2321">
        <f>MAX(0,MIN(F153-(J153+Z198+Z200),('Status (c3a)'!I33+V8+'Status (c3a)'!Q33)-(Z67+Z69+Z192+Z198+Z200)))</f>
        <v>0</v>
      </c>
      <c r="AA202" s="3499"/>
      <c r="AE202" s="711"/>
      <c r="AF202" s="711"/>
      <c r="AJ202" s="711"/>
      <c r="AK202" s="2164"/>
      <c r="AL202" s="1478"/>
      <c r="AU202" s="37"/>
      <c r="AW202" s="1200"/>
      <c r="AX202" s="1942"/>
      <c r="AY202" s="711"/>
      <c r="AZ202" s="711"/>
      <c r="BA202" s="1200"/>
      <c r="BB202" s="1478"/>
      <c r="BC202" s="711"/>
      <c r="BD202" s="747"/>
    </row>
    <row r="203" spans="1:56" x14ac:dyDescent="0.2">
      <c r="A203" s="1945" t="s">
        <v>8039</v>
      </c>
      <c r="B203" s="711"/>
      <c r="C203" s="3435"/>
      <c r="D203" s="3436"/>
      <c r="E203" s="3436"/>
      <c r="F203" s="3436"/>
      <c r="G203" s="724"/>
      <c r="H203" s="3436"/>
      <c r="I203" s="3436"/>
      <c r="J203" s="3436"/>
      <c r="K203" s="3436"/>
      <c r="L203" s="3436"/>
      <c r="M203" s="3436"/>
      <c r="N203" s="3436"/>
      <c r="O203" s="394"/>
      <c r="P203" s="3423"/>
      <c r="R203" s="2325" t="str">
        <f>"lower of "&amp;Q202&amp;" and SR_band ("&amp;DOLLAR(SR_band,0)&amp;")"</f>
        <v>lower of c5.54a1 and SR_band ($5,000)</v>
      </c>
      <c r="T203" s="1945"/>
      <c r="U203" s="1945"/>
      <c r="V203" s="2325" t="str">
        <f><![CDATA["("&Q222&" minus (lower of "&Q222&" and "&U200&")) x DivHR_rate ("&DivHR_rate*100&"%)"]]></f>
        <v>(c5.55.7 minus (lower of c5.55.7 and c5.56c)) x DivHR_rate (32.5%)</v>
      </c>
      <c r="W203" s="93"/>
      <c r="X203" s="3499"/>
      <c r="Y203" s="2325"/>
      <c r="Z203" s="3501" t="str">
        <f><![CDATA["lower of ("&E153&" minus ("&I153&" + "&Y198&" + "&Y200&" + "&Y202&")) and (("&'Status (c3a)'!H33&" + "&U8&" + "&'Status (c3a)'!P33&" + "&'Status (c3a)'!X33&") minus ("&Y67&" + "&Y69&" + "&Y192&" + "&Y198&" + "&Y200&" + "&Y202&"))"]]></f>
        <v>lower of (c5.36 minus (c5.45 + c5.58a.58 + c5.58a.59 + c5.58a.60)) and ((c3a.1a + c5.2 + c3a.2a + c3a.3) minus (c5.58a.3 + c5.58a.4 + c5.58a.55 + c5.58a.58 + c5.58a.59 + c5.58a.60))</v>
      </c>
      <c r="AA203" s="3499"/>
      <c r="AE203" s="711"/>
      <c r="AF203" s="711"/>
      <c r="AJ203" s="711"/>
      <c r="AK203" s="2164"/>
      <c r="AL203" s="1478"/>
      <c r="AU203" s="37"/>
      <c r="AW203" s="1200"/>
      <c r="AX203" s="1942"/>
      <c r="AY203" s="711"/>
      <c r="AZ203" s="711"/>
      <c r="BA203" s="1200"/>
      <c r="BB203" s="1478"/>
      <c r="BC203" s="711"/>
      <c r="BD203" s="747"/>
    </row>
    <row r="204" spans="1:56" x14ac:dyDescent="0.2">
      <c r="A204" s="1945" t="s">
        <v>8040</v>
      </c>
      <c r="B204" s="711"/>
      <c r="C204" s="3435"/>
      <c r="D204" s="3436"/>
      <c r="E204" s="3436"/>
      <c r="F204" s="3436"/>
      <c r="G204" s="724"/>
      <c r="H204" s="3436"/>
      <c r="I204" s="3436"/>
      <c r="J204" s="3436"/>
      <c r="K204" s="3436"/>
      <c r="L204" s="3436"/>
      <c r="M204" s="3436"/>
      <c r="N204" s="3436"/>
      <c r="O204" s="394"/>
      <c r="P204" s="3423"/>
      <c r="Q204" s="2162" t="str">
        <f>A115</f>
        <v>c5.54b</v>
      </c>
      <c r="R204" s="1978">
        <f>MIN(R202,SR_band)</f>
        <v>3678</v>
      </c>
      <c r="S204" s="711"/>
      <c r="T204" s="3436"/>
      <c r="U204" s="2195" t="str">
        <f>A171</f>
        <v>c5.56c2</v>
      </c>
      <c r="V204" s="1978">
        <f>MAX(0,TRUNC((R222-(MIN(R222,V200)))*DivHR_rate,2))</f>
        <v>0</v>
      </c>
      <c r="W204" s="3441" t="s">
        <v>2694</v>
      </c>
      <c r="X204" s="2325" t="s">
        <v>8122</v>
      </c>
      <c r="Y204" s="3442" t="str">
        <f>A249</f>
        <v>c5.58a.61</v>
      </c>
      <c r="Z204" s="2321">
        <f>MAX(0,MIN(F153-(J153+Z198+Z200+Z202),('Status (c3a)'!I33+V8+'Status (c3a)'!Q33+'Status (c3a)'!Y33)-(Z67+Z69+Z192+Z198+Z200+Z202)))</f>
        <v>0</v>
      </c>
      <c r="AA204" s="3499"/>
      <c r="AE204" s="711"/>
      <c r="AF204" s="711"/>
      <c r="AJ204" s="711"/>
      <c r="AK204" s="2164"/>
      <c r="AL204" s="1478"/>
      <c r="AY204" s="711"/>
      <c r="AZ204" s="711"/>
      <c r="BA204" s="1200"/>
      <c r="BB204" s="1478"/>
      <c r="BC204" s="711"/>
      <c r="BD204" s="747"/>
    </row>
    <row r="205" spans="1:56" x14ac:dyDescent="0.2">
      <c r="A205" s="1945" t="s">
        <v>8041</v>
      </c>
      <c r="B205" s="711"/>
      <c r="C205" s="3435"/>
      <c r="D205" s="3436"/>
      <c r="E205" s="3436"/>
      <c r="F205" s="3436"/>
      <c r="G205" s="724"/>
      <c r="H205" s="3436"/>
      <c r="I205" s="3436"/>
      <c r="J205" s="3436"/>
      <c r="K205" s="3436"/>
      <c r="L205" s="3436"/>
      <c r="M205" s="3436"/>
      <c r="N205" s="3436"/>
      <c r="P205" s="1945"/>
      <c r="Q205" s="1945"/>
      <c r="R205" s="2325" t="str">
        <f><![CDATA["lower of "&Q204&" and (SR_band ("&DOLLAR(SR_band,0)&") minus "&Q200&")"]]></f>
        <v>lower of c5.54b and (SR_band ($5,000) minus c5.54a)</v>
      </c>
      <c r="T205" s="3436"/>
      <c r="V205" s="2325" t="str">
        <f>U202&amp;" + "&amp;U204</f>
        <v>c5.56c1 + c5.56c2</v>
      </c>
      <c r="W205" s="93"/>
      <c r="X205" s="3499"/>
      <c r="Y205" s="2325"/>
      <c r="Z205" s="2325" t="str">
        <f><![CDATA["("&Y198&" x "&'Status (c3a)'!H44&") + ("&Y200&" x "&'Status (c3a)'!L44&") + ("&Y202&" x "&'Status (c3a)'!P44&") + ("&Y204&" x "&'Status (c3a)'!X44&")"]]></f>
        <v>(c5.58a.58 x c3a.3b) + (c5.58a.59 x c3a.4) + (c5.58a.60 x c3a.4a) + (c5.58a.61 x c3a.5)</v>
      </c>
      <c r="AA205" s="3499"/>
      <c r="AE205" s="711"/>
      <c r="AF205" s="711"/>
      <c r="AJ205" s="711"/>
      <c r="AK205" s="2164"/>
      <c r="AL205" s="1478"/>
      <c r="AY205" s="711"/>
      <c r="AZ205" s="711"/>
      <c r="BA205" s="1200"/>
      <c r="BB205" s="1478"/>
      <c r="BC205" s="711"/>
      <c r="BD205" s="747"/>
    </row>
    <row r="206" spans="1:56" x14ac:dyDescent="0.2">
      <c r="A206" s="1945" t="s">
        <v>8042</v>
      </c>
      <c r="C206" s="3435"/>
      <c r="D206" s="3436"/>
      <c r="E206" s="3436"/>
      <c r="F206" s="3436"/>
      <c r="G206" s="724"/>
      <c r="H206" s="3436"/>
      <c r="I206" s="3436"/>
      <c r="J206" s="3436"/>
      <c r="K206" s="3436"/>
      <c r="L206" s="3436"/>
      <c r="M206" s="3436"/>
      <c r="N206" s="3436"/>
      <c r="O206" s="93"/>
      <c r="P206" s="2325" t="s">
        <v>7859</v>
      </c>
      <c r="Q206" s="2162" t="str">
        <f>A116</f>
        <v>c5.54c</v>
      </c>
      <c r="R206" s="1978">
        <f>MIN(R204,MAX(0,(SR_band-R200)))</f>
        <v>0</v>
      </c>
      <c r="T206" s="3450" t="s">
        <v>6482</v>
      </c>
      <c r="U206" s="2195" t="str">
        <f>A172</f>
        <v>c5.56d</v>
      </c>
      <c r="V206" s="1978">
        <f>V202+V204</f>
        <v>0</v>
      </c>
      <c r="W206" s="394"/>
      <c r="X206" s="2325" t="s">
        <v>8123</v>
      </c>
      <c r="Y206" s="3442" t="str">
        <f>A250</f>
        <v>c5.58a.62</v>
      </c>
      <c r="Z206" s="2298">
        <f>TRUNC((Z198*'Status (c3a)'!I44)+(Z200*'Status (c3a)'!M44)+(Z202*'Status (c3a)'!Q44)+(Z204*'Status (c3a)'!Y44),2)</f>
        <v>0</v>
      </c>
      <c r="AA206" s="3441" t="s">
        <v>2694</v>
      </c>
      <c r="AB206" s="2674" t="s">
        <v>7978</v>
      </c>
      <c r="AL206" s="1270"/>
      <c r="BD206" s="2974"/>
    </row>
    <row r="207" spans="1:56" x14ac:dyDescent="0.2">
      <c r="A207" s="1945" t="s">
        <v>8043</v>
      </c>
      <c r="C207" s="3435"/>
      <c r="D207" s="3436"/>
      <c r="E207" s="3436"/>
      <c r="F207" s="3436"/>
      <c r="G207" s="724"/>
      <c r="H207" s="3436"/>
      <c r="I207" s="3436"/>
      <c r="J207" s="3436"/>
      <c r="K207" s="3436"/>
      <c r="L207" s="3436"/>
      <c r="M207" s="3436"/>
      <c r="N207" s="3436"/>
      <c r="O207" s="394"/>
      <c r="R207" s="2325" t="s">
        <v>6393</v>
      </c>
      <c r="T207" s="3436"/>
      <c r="V207" s="2325" t="str">
        <f>"lower of "&amp;U194&amp;" and SR_band ("&amp;DOLLAR(SR_band,0)&amp;")"</f>
        <v>lower of c5.56.2 and SR_band ($5,000)</v>
      </c>
      <c r="W207" s="93"/>
      <c r="X207" s="3499"/>
      <c r="Y207" s="2325"/>
      <c r="Z207" s="3042" t="str">
        <f><![CDATA["lower of ("&E153&" minus ("&I153&" + "&Y190&")) and ("&'Status (c3a)'!H33&" minus ("&Y67&" + "&Y69&" + "&Y192&"))"]]></f>
        <v>lower of (c5.36 minus (c5.45 + c5.58a.54)) and (c3a.1a minus (c5.58a.3 + c5.58a.4 + c5.58a.55))</v>
      </c>
      <c r="AA207" s="3499"/>
      <c r="BD207" s="2974"/>
    </row>
    <row ht="12.75" r="208" spans="1:56" x14ac:dyDescent="0.2">
      <c r="A208" s="1945" t="s">
        <v>8044</v>
      </c>
      <c r="C208" s="3435"/>
      <c r="D208" s="3436"/>
      <c r="E208" s="3436"/>
      <c r="F208" s="3436"/>
      <c r="G208" s="724"/>
      <c r="H208" s="3436"/>
      <c r="I208" s="3436"/>
      <c r="J208" s="3436"/>
      <c r="K208" s="3436"/>
      <c r="L208" s="3436"/>
      <c r="M208" s="3436"/>
      <c r="N208" s="3436"/>
      <c r="O208" s="3368"/>
      <c r="P208" s="3433" t="s">
        <v>6494</v>
      </c>
      <c r="Q208" s="2119" t="str">
        <f>A117</f>
        <v>c5.55</v>
      </c>
      <c r="R208" s="1978">
        <v>0</v>
      </c>
      <c r="S208" s="3436"/>
      <c r="T208" s="3436"/>
      <c r="U208" s="2195" t="str">
        <f>A173</f>
        <v>c5.56e</v>
      </c>
      <c r="V208" s="1978">
        <f>MIN(V194,SR_band)</f>
        <v>3678</v>
      </c>
      <c r="W208" s="394"/>
      <c r="X208" s="2325" t="s">
        <v>8119</v>
      </c>
      <c r="Y208" s="3442" t="str">
        <f>A251</f>
        <v>c5.58a.63</v>
      </c>
      <c r="Z208" s="2321">
        <f>MAX(0,MIN(F153-(J153+Z190),'Status (c3a)'!I33-(Z67+Z69+Z192)))</f>
        <v>0</v>
      </c>
      <c r="AA208" s="3499"/>
      <c r="BB208" s="93"/>
      <c r="BD208" s="2974"/>
    </row>
    <row r="209" spans="1:56" x14ac:dyDescent="0.2">
      <c r="A209" s="1945" t="s">
        <v>8045</v>
      </c>
      <c r="C209" s="3435"/>
      <c r="D209" s="3436"/>
      <c r="E209" s="3436"/>
      <c r="F209" s="3436"/>
      <c r="G209" s="724"/>
      <c r="H209" s="3436"/>
      <c r="I209" s="3436"/>
      <c r="J209" s="3436"/>
      <c r="K209" s="3436"/>
      <c r="L209" s="3436"/>
      <c r="M209" s="3436"/>
      <c r="N209" s="3436"/>
      <c r="O209" s="93"/>
      <c r="R209" s="93" t="str">
        <f><![CDATA[E17&" + "&E36&" + "&M49&" + "&U49&" + "&AG49&" + "&AK49]]></f>
        <v>c5.3 + c5.11 + c5.24 + c5.25 + c5.29 + c5.30</v>
      </c>
      <c r="S209" s="93"/>
      <c r="T209" s="1945"/>
      <c r="U209" s="1945"/>
      <c r="V209" s="2325" t="str">
        <f><![CDATA["lower of "&U208&" and (SR_band ("&DOLLAR(SR_band,0)&") minus "&U192&")"]]></f>
        <v>lower of c5.56e and (SR_band ($5,000) minus c5.56.1)</v>
      </c>
      <c r="W209" s="93"/>
      <c r="X209" s="3499"/>
      <c r="Y209" s="2325"/>
      <c r="Z209" s="3501" t="str">
        <f><![CDATA["lower of ("&E153&" minus ("&I153&" + "&Y190&" + "&Y208&")) and (("&'Status (c3a)'!H33&" + "&U8&") minus ("&Y67&" + "&Y69&" + "&Y192&" + "&Y208&"))"]]></f>
        <v>lower of (c5.36 minus (c5.45 + c5.58a.54 + c5.58a.63)) and ((c3a.1a + c5.2) minus (c5.58a.3 + c5.58a.4 + c5.58a.55 + c5.58a.63))</v>
      </c>
      <c r="AA209" s="3499"/>
      <c r="BD209" s="2974"/>
    </row>
    <row r="210" spans="1:56" x14ac:dyDescent="0.2">
      <c r="A210" s="1945" t="s">
        <v>8046</v>
      </c>
      <c r="C210" s="3435"/>
      <c r="D210" s="3436"/>
      <c r="E210" s="3436"/>
      <c r="F210" s="3436"/>
      <c r="G210" s="724"/>
      <c r="H210" s="3436"/>
      <c r="I210" s="3436"/>
      <c r="J210" s="3436"/>
      <c r="K210" s="3436"/>
      <c r="L210" s="3436"/>
      <c r="M210" s="3436"/>
      <c r="N210" s="3436"/>
      <c r="O210" s="394"/>
      <c r="Q210" s="2162" t="str">
        <f>A122</f>
        <v>c5.55.1</v>
      </c>
      <c r="R210" s="1978">
        <f>F17+F36+N49+V49+AH49+AL49</f>
        <v>63872</v>
      </c>
      <c r="S210" s="394"/>
      <c r="T210" s="2325" t="s">
        <v>7859</v>
      </c>
      <c r="U210" s="2195" t="str">
        <f>A174</f>
        <v>c5.56e1</v>
      </c>
      <c r="V210" s="1978">
        <f>MIN(V208,MAX(0,(SR_band-V192)))</f>
        <v>0</v>
      </c>
      <c r="W210" s="394"/>
      <c r="X210" s="2325" t="s">
        <v>8120</v>
      </c>
      <c r="Y210" s="3442" t="str">
        <f>A252</f>
        <v>c5.58a.64</v>
      </c>
      <c r="Z210" s="2321">
        <f>MAX(0,MIN(F153-(J153+Z190+Z208),('Status (c3a)'!I33+V8)-(Z67+Z69+Z192+Z208)))</f>
        <v>0</v>
      </c>
      <c r="AA210" s="3499"/>
      <c r="AY210" s="37"/>
      <c r="AZ210" s="37"/>
      <c r="BA210" s="37"/>
      <c r="BB210" s="37"/>
      <c r="BC210" s="37"/>
    </row>
    <row r="211" spans="1:56" x14ac:dyDescent="0.2">
      <c r="A211" s="1945" t="s">
        <v>8047</v>
      </c>
      <c r="C211" s="3435"/>
      <c r="D211" s="3436"/>
      <c r="E211" s="3436"/>
      <c r="F211" s="3436"/>
      <c r="G211" s="724"/>
      <c r="H211" s="3436"/>
      <c r="I211" s="3436"/>
      <c r="J211" s="3436"/>
      <c r="K211" s="3436"/>
      <c r="L211" s="3436"/>
      <c r="M211" s="3436"/>
      <c r="N211" s="3436"/>
      <c r="R211" s="2325" t="str">
        <f><![CDATA["("&Q210&" minus ("&E8&" minus ("&I182&" + "&I253&" + "&M182&"))) minus (BR_band ("&DOLLAR(BR_band,0)&") + "&'Deductions (c4)'!L311&")"]]></f>
        <v>(c5.55.1 minus (c5.1 minus (c5.47 + c5.48 + c5.52))) minus (BR_band ($37,500) + c4.75)</v>
      </c>
      <c r="S211" s="93"/>
      <c r="T211" s="3436"/>
      <c r="U211" s="1945"/>
      <c r="V211" s="2325" t="str">
        <f>"lower of ("&amp;U194&amp;" minus "&amp;U210&amp;") and "&amp;'Deductions (c4)'!L430</f>
        <v>lower of (c5.56.2 minus c5.56e1) and c4.79</v>
      </c>
      <c r="W211" s="93"/>
      <c r="X211" s="981"/>
      <c r="Y211" s="2325"/>
      <c r="Z211" s="3501" t="str">
        <f><![CDATA["lower of ("&E153&" minus ("&I153&" + "&Y190&" + "&Y208&" + "&Y210&")) and (("&'Status (c3a)'!H33&" + "&U8&" + "&'Status (c3a)'!P33&") minus ("&Y67&" + "&Y69&" + "&Y192&" + "&Y208&" + "&Y210&"))"]]></f>
        <v>lower of (c5.36 minus (c5.45 + c5.58a.54 + c5.58a.63 + c5.58a.64)) and ((c3a.1a + c5.2 + c3a.2a) minus (c5.58a.3 + c5.58a.4 + c5.58a.55 + c5.58a.63 + c5.58a.64))</v>
      </c>
      <c r="AA211" s="3499"/>
      <c r="AY211" s="37"/>
      <c r="AZ211" s="37"/>
      <c r="BA211" s="37"/>
      <c r="BB211" s="37"/>
      <c r="BC211" s="37"/>
    </row>
    <row r="212" spans="1:56" x14ac:dyDescent="0.2">
      <c r="A212" s="1945" t="s">
        <v>8048</v>
      </c>
      <c r="C212" s="3435"/>
      <c r="D212" s="3436"/>
      <c r="E212" s="3436"/>
      <c r="F212" s="3436"/>
      <c r="G212" s="724"/>
      <c r="H212" s="3436"/>
      <c r="I212" s="3436"/>
      <c r="J212" s="3436"/>
      <c r="K212" s="3436"/>
      <c r="L212" s="3436"/>
      <c r="M212" s="3436"/>
      <c r="N212" s="3436"/>
      <c r="P212" s="410" t="s">
        <v>5054</v>
      </c>
      <c r="Q212" s="2162" t="str">
        <f>A123</f>
        <v>c5.55.2</v>
      </c>
      <c r="R212" s="1978">
        <f>MAX(0,(R210-(F8-(J182+J253+N182)))-(BR_band+'Deductions (c4)'!M311))</f>
        <v>24747</v>
      </c>
      <c r="S212" s="394"/>
      <c r="T212" s="3436"/>
      <c r="U212" s="2195" t="str">
        <f>A175</f>
        <v>c5.56f</v>
      </c>
      <c r="V212" s="1978">
        <f>MIN(MAX(0,V194-V210),'Deductions (c4)'!M430)</f>
        <v>500</v>
      </c>
      <c r="W212" s="394"/>
      <c r="X212" s="2325" t="s">
        <v>8121</v>
      </c>
      <c r="Y212" s="3442" t="str">
        <f>A253</f>
        <v>c5.58a.65</v>
      </c>
      <c r="Z212" s="2321">
        <f>MAX(0,MIN(F153-(J153+Z190+Z208+Z210),('Status (c3a)'!I33+V8+'Status (c3a)'!Q33)-(Z67+Z69+Z192+Z208+Z210)))</f>
        <v>0</v>
      </c>
      <c r="AA212" s="3499"/>
    </row>
    <row r="213" spans="1:56" x14ac:dyDescent="0.2">
      <c r="A213" s="1945" t="s">
        <v>8049</v>
      </c>
      <c r="C213" s="3435"/>
      <c r="D213" s="3436"/>
      <c r="E213" s="3436"/>
      <c r="F213" s="3436"/>
      <c r="G213" s="724"/>
      <c r="H213" s="3436"/>
      <c r="I213" s="3436"/>
      <c r="J213" s="3436"/>
      <c r="K213" s="3436"/>
      <c r="L213" s="3436"/>
      <c r="M213" s="3436"/>
      <c r="N213" s="3436"/>
      <c r="O213" s="93"/>
      <c r="R213" s="93" t="str">
        <f><![CDATA["("&M49&" + "&U49&" + "&AG49&" + "&AK49&") minus ("&Q212&" minus ("&M126&" + "&M176&"))"]]></f>
        <v>(c5.24 + c5.25 + c5.29 + c5.30) minus (c5.55.2 minus (c5.49 + c5.51))</v>
      </c>
      <c r="S213" s="93"/>
      <c r="T213" s="3436"/>
      <c r="U213" s="1945"/>
      <c r="V213" s="2325" t="str">
        <f><![CDATA["lower of "&U212&" and ("&AK8&" minus "&U192&")"]]></f>
        <v>lower of c5.56f and (c5.2a minus c5.56.1)</v>
      </c>
      <c r="W213" s="93"/>
      <c r="X213" s="3499"/>
      <c r="Y213" s="2325"/>
      <c r="Z213" s="3501" t="str">
        <f><![CDATA["lower of ("&E153&" minus ("&I153&" + "&Y190&" + "&Y208&" + "&Y210&" + "&Y212&")) and (("&'Status (c3a)'!H33&" + "&U8&" + "&'Status (c3a)'!P33&" + "&'Status (c3a)'!X33&") minus ("&Y67&" + "&Y69&" + "&Y192&" + "&Y208&" + "&Y210&" + "&Y212&"))"]]></f>
        <v>lower of (c5.36 minus (c5.45 + c5.58a.54 + c5.58a.63 + c5.58a.64 + c5.58a.65)) and ((c3a.1a + c5.2 + c3a.2a + c3a.3) minus (c5.58a.3 + c5.58a.4 + c5.58a.55 + c5.58a.63 + c5.58a.64 + c5.58a.65))</v>
      </c>
      <c r="AA213" s="3499"/>
    </row>
    <row r="214" spans="1:56" x14ac:dyDescent="0.2">
      <c r="A214" s="1945" t="s">
        <v>8050</v>
      </c>
      <c r="C214" s="3435"/>
      <c r="D214" s="3436"/>
      <c r="E214" s="3436"/>
      <c r="F214" s="3436"/>
      <c r="G214" s="724"/>
      <c r="H214" s="3436"/>
      <c r="I214" s="3436"/>
      <c r="J214" s="3436"/>
      <c r="K214" s="3436"/>
      <c r="L214" s="3436"/>
      <c r="M214" s="3436"/>
      <c r="N214" s="3436"/>
      <c r="O214" s="3367"/>
      <c r="P214" s="410" t="s">
        <v>1793</v>
      </c>
      <c r="Q214" s="2162" t="str">
        <f>A124</f>
        <v>c5.55.3</v>
      </c>
      <c r="R214" s="1978">
        <f>MAX(0,(N49+V49+AH49+AL49)-MAX(0,(R212-(N126+N176))))</f>
        <v>1703</v>
      </c>
      <c r="S214" s="3367"/>
      <c r="T214" s="2325" t="s">
        <v>7872</v>
      </c>
      <c r="U214" s="2195" t="str">
        <f>A176</f>
        <v>c5.56g</v>
      </c>
      <c r="V214" s="1978">
        <f>MAX(0,MIN(V212,AL8-V192))</f>
        <v>500</v>
      </c>
      <c r="W214" s="394"/>
      <c r="X214" s="2325" t="s">
        <v>8122</v>
      </c>
      <c r="Y214" s="3442" t="str">
        <f>A254</f>
        <v>c5.58a.66</v>
      </c>
      <c r="Z214" s="2321">
        <f>MAX(0,MIN(F153-(J153+Z190+Z208+Z210+Z212),('Status (c3a)'!I33+V8+'Status (c3a)'!Q33+'Status (c3a)'!Y33)-(Z67+Z69+Z192+Z208+Z210+Z212)))</f>
        <v>0</v>
      </c>
      <c r="AA214" s="3499"/>
    </row>
    <row r="215" spans="1:56" x14ac:dyDescent="0.2">
      <c r="A215" s="1945" t="s">
        <v>8051</v>
      </c>
      <c r="C215" s="3435"/>
      <c r="D215" s="3436"/>
      <c r="E215" s="3436"/>
      <c r="F215" s="3436"/>
      <c r="G215" s="724"/>
      <c r="H215" s="3436"/>
      <c r="I215" s="3436"/>
      <c r="J215" s="3436"/>
      <c r="K215" s="3436"/>
      <c r="L215" s="3436"/>
      <c r="M215" s="3436"/>
      <c r="N215" s="3436"/>
      <c r="O215" s="2984"/>
      <c r="P215" s="806"/>
      <c r="R215" s="93" t="str">
        <f>"lower of "&amp;M45&amp;" and "&amp;Q214</f>
        <v>lower of c5.23 and c5.55.3</v>
      </c>
      <c r="S215" s="2325"/>
      <c r="T215" s="3436"/>
      <c r="U215" s="1945"/>
      <c r="V215" s="2325" t="str">
        <f><![CDATA["lower of ("&U194&" minus ("&U210&" + "&U214&")) and ("&AK8&" minus ("&U192&" + "&U210&" + "&U214&"))"]]></f>
        <v>lower of (c5.56.2 minus (c5.56e1 + c5.56g)) and (c5.2a minus (c5.56.1 + c5.56e1 + c5.56g))</v>
      </c>
      <c r="W215" s="93"/>
      <c r="X215" s="3499"/>
      <c r="Y215" s="2325"/>
      <c r="Z215" s="2325" t="str">
        <f><![CDATA["("&Y208&" x "&'Status (c3a)'!H44&") + ("&Y210&" x "&'Status (c3a)'!L44&") + ("&Y212&" x "&'Status (c3a)'!P44&") + ("&Y214&" x "&'Status (c3a)'!X44&")"]]></f>
        <v>(c5.58a.63 x c3a.3b) + (c5.58a.64 x c3a.4) + (c5.58a.65 x c3a.4a) + (c5.58a.66 x c3a.5)</v>
      </c>
      <c r="AA215" s="3499"/>
    </row>
    <row r="216" spans="1:56" x14ac:dyDescent="0.2">
      <c r="A216" s="1945" t="s">
        <v>8052</v>
      </c>
      <c r="C216" s="3435"/>
      <c r="D216" s="3436"/>
      <c r="E216" s="3436"/>
      <c r="F216" s="3436"/>
      <c r="G216" s="724"/>
      <c r="H216" s="3436"/>
      <c r="I216" s="3436"/>
      <c r="J216" s="3436"/>
      <c r="K216" s="3436"/>
      <c r="L216" s="3436"/>
      <c r="M216" s="3436"/>
      <c r="N216" s="3436"/>
      <c r="O216" s="93"/>
      <c r="P216" s="93" t="s">
        <v>6988</v>
      </c>
      <c r="Q216" s="2162" t="str">
        <f>A125</f>
        <v>c5.55.4</v>
      </c>
      <c r="R216" s="1978">
        <f>MIN(N45,R214)</f>
        <v>1703</v>
      </c>
      <c r="S216" s="394"/>
      <c r="T216" s="2325" t="s">
        <v>7873</v>
      </c>
      <c r="U216" s="2195" t="str">
        <f>A177</f>
        <v>c5.56h</v>
      </c>
      <c r="V216" s="1978">
        <f>MAX(0,MIN(V194-(V210+V214),(AL8-(V192+V210+V214))))</f>
        <v>3178</v>
      </c>
      <c r="W216" s="394"/>
      <c r="X216" s="2325" t="s">
        <v>8123</v>
      </c>
      <c r="Y216" s="3442" t="str">
        <f>A255</f>
        <v>c5.58a.67</v>
      </c>
      <c r="Z216" s="2298">
        <f>TRUNC((Z208*'Status (c3a)'!I44)+(Z210*'Status (c3a)'!M44)+(Z212*'Status (c3a)'!Q44)+(Z214*'Status (c3a)'!Y44),2)</f>
        <v>0</v>
      </c>
      <c r="AA216" s="3441" t="s">
        <v>2694</v>
      </c>
      <c r="AB216" s="2674" t="s">
        <v>7978</v>
      </c>
      <c r="AD216" s="93"/>
      <c r="AE216" s="37"/>
      <c r="AI216" s="93"/>
    </row>
    <row r="217" spans="1:56" x14ac:dyDescent="0.2">
      <c r="A217" s="1945" t="s">
        <v>8053</v>
      </c>
      <c r="C217" s="3435"/>
      <c r="D217" s="3436"/>
      <c r="E217" s="3436"/>
      <c r="F217" s="3436"/>
      <c r="G217" s="724"/>
      <c r="H217" s="3436"/>
      <c r="I217" s="3436"/>
      <c r="J217" s="3436"/>
      <c r="K217" s="3436"/>
      <c r="L217" s="3436"/>
      <c r="M217" s="3436"/>
      <c r="N217" s="3436"/>
      <c r="O217" s="394"/>
      <c r="R217" s="93" t="str">
        <f>Q214&amp;" minus "&amp;Q216</f>
        <v>c5.55.3 minus c5.55.4</v>
      </c>
      <c r="S217" s="93"/>
      <c r="T217" s="1945"/>
      <c r="U217" s="1945"/>
      <c r="V217" s="2325" t="str">
        <f><![CDATA["("&'Status (c3a)'!AA33&" + "&'Deductions (c4)'!H204&") minus ("&U192&" + "&U210&" + "&U214&" + "&U216&")"]]></f>
        <v>(c3a.3a + c4.59) minus (c5.56.1 + c5.56e1 + c5.56g + c5.56h)</v>
      </c>
      <c r="W217" s="93"/>
      <c r="X217" s="3499"/>
      <c r="Y217" s="2325"/>
      <c r="Z217" s="2325" t="str">
        <f>Y206&amp;" minus "&amp;Y216</f>
        <v>c5.58a.62 minus c5.58a.67</v>
      </c>
      <c r="AA217" s="3499"/>
      <c r="AB217" s="2978"/>
      <c r="AE217" s="37"/>
      <c r="AI217" s="93"/>
    </row>
    <row r="218" spans="1:56" x14ac:dyDescent="0.2">
      <c r="A218" s="1945" t="s">
        <v>8054</v>
      </c>
      <c r="C218" s="3435"/>
      <c r="D218" s="3436"/>
      <c r="E218" s="3436"/>
      <c r="F218" s="3436"/>
      <c r="G218" s="724"/>
      <c r="H218" s="3436"/>
      <c r="I218" s="3436"/>
      <c r="J218" s="3436"/>
      <c r="K218" s="3436"/>
      <c r="L218" s="3436"/>
      <c r="M218" s="3436"/>
      <c r="N218" s="3436"/>
      <c r="P218" s="93" t="s">
        <v>6989</v>
      </c>
      <c r="Q218" s="2162" t="str">
        <f>A126</f>
        <v>c5.55.5</v>
      </c>
      <c r="R218" s="1978">
        <f>MAX(0,R214-R216)</f>
        <v>0</v>
      </c>
      <c r="S218" s="394"/>
      <c r="T218" s="3436"/>
      <c r="U218" s="2196" t="str">
        <f>A178</f>
        <v>c5.56i</v>
      </c>
      <c r="V218" s="1978">
        <f>MAX(0,('Status (c3a)'!AB33+'Deductions (c4)'!I204)-(V192+V210+V214+V216))</f>
        <v>114203</v>
      </c>
      <c r="W218" s="394"/>
      <c r="X218" s="3486" t="s">
        <v>8124</v>
      </c>
      <c r="Y218" s="3442" t="str">
        <f>A256</f>
        <v>c5.58a.68</v>
      </c>
      <c r="Z218" s="2298">
        <f>MAX(0,Z206-Z216)</f>
        <v>0</v>
      </c>
      <c r="AA218" s="3499"/>
      <c r="AB218" s="37"/>
      <c r="AE218" s="2216"/>
      <c r="AI218" s="394"/>
    </row>
    <row r="219" spans="1:56" x14ac:dyDescent="0.2">
      <c r="A219" s="1945" t="s">
        <v>8055</v>
      </c>
      <c r="C219" s="3435"/>
      <c r="D219" s="3436"/>
      <c r="E219" s="3436"/>
      <c r="F219" s="3436"/>
      <c r="G219" s="724"/>
      <c r="H219" s="3436"/>
      <c r="I219" s="3436"/>
      <c r="J219" s="3436"/>
      <c r="K219" s="3436"/>
      <c r="L219" s="3436"/>
      <c r="M219" s="3436"/>
      <c r="N219" s="3436"/>
      <c r="O219" s="93"/>
      <c r="Q219" s="1945"/>
      <c r="R219" s="2325" t="str">
        <f><![CDATA["lower of "&Q74&" and ("&E126&" minus ("&I126&" + "&Q126&"))"]]></f>
        <v>lower of c5.52c and (c5.35 minus (c5.44 + c5.52h))</v>
      </c>
      <c r="S219" s="93"/>
      <c r="T219" s="3436"/>
      <c r="U219" s="1945"/>
      <c r="V219" s="2325" t="str">
        <f><![CDATA["lower of ("&U218&" and ("&'Deductions (c4)'!L430&" minus "&U214&"))"]]></f>
        <v>lower of (c5.56i and (c4.79 minus c5.56g))</v>
      </c>
      <c r="W219" s="93"/>
      <c r="X219" s="93"/>
      <c r="Y219" s="2325"/>
      <c r="Z219" s="2325" t="str">
        <f>"lower of "&amp;Y194&amp;" and SR_band ("&amp;DOLLAR(SR_band,0)&amp;")"</f>
        <v>lower of c5.58a.56 and SR_band ($5,000)</v>
      </c>
      <c r="AA219" s="3499"/>
      <c r="AB219" s="51"/>
      <c r="AE219" s="37"/>
      <c r="AG219" s="711"/>
      <c r="AH219" s="711"/>
      <c r="AI219" s="93"/>
    </row>
    <row r="220" spans="1:56" x14ac:dyDescent="0.2">
      <c r="A220" s="1945" t="s">
        <v>8056</v>
      </c>
      <c r="C220" s="3435"/>
      <c r="D220" s="3436"/>
      <c r="E220" s="3436"/>
      <c r="F220" s="3436"/>
      <c r="G220" s="724"/>
      <c r="H220" s="3436"/>
      <c r="I220" s="3436"/>
      <c r="J220" s="3436"/>
      <c r="K220" s="3436"/>
      <c r="L220" s="3436"/>
      <c r="M220" s="3436"/>
      <c r="N220" s="3436"/>
      <c r="O220" s="93"/>
      <c r="P220" s="2325" t="s">
        <v>7860</v>
      </c>
      <c r="Q220" s="2162" t="str">
        <f>A127</f>
        <v>c5.55.6</v>
      </c>
      <c r="R220" s="1978">
        <f>MIN(R74,MAX(0,F126-(J126+R126)))</f>
        <v>0</v>
      </c>
      <c r="S220" s="394"/>
      <c r="T220" s="3436"/>
      <c r="U220" s="2195" t="str">
        <f>A179</f>
        <v>c5.56j</v>
      </c>
      <c r="V220" s="1978">
        <f>MAX(0,MIN(V218,PSA-V214))</f>
        <v>0</v>
      </c>
      <c r="W220" s="394"/>
      <c r="X220" s="3499"/>
      <c r="Y220" s="3442" t="str">
        <f>A257</f>
        <v>c5.58a.69</v>
      </c>
      <c r="Z220" s="2321">
        <f>MIN(Z194,SR_band)</f>
        <v>3678</v>
      </c>
      <c r="AA220" s="3499"/>
      <c r="AB220" s="37"/>
      <c r="AE220" s="394"/>
      <c r="AI220" s="394"/>
    </row>
    <row customFormat="1" r="221" s="711" spans="1:56" x14ac:dyDescent="0.2">
      <c r="A221" s="1945" t="s">
        <v>8057</v>
      </c>
      <c r="B221" s="2982"/>
      <c r="C221" s="3435"/>
      <c r="D221" s="3436"/>
      <c r="E221" s="3436"/>
      <c r="F221" s="3436"/>
      <c r="G221" s="724"/>
      <c r="H221" s="3436"/>
      <c r="I221" s="3436"/>
      <c r="J221" s="3436"/>
      <c r="K221" s="3436"/>
      <c r="L221" s="3436"/>
      <c r="M221" s="3436"/>
      <c r="N221" s="3436"/>
      <c r="O221" s="2982"/>
      <c r="P221" s="1945"/>
      <c r="Q221" s="1945"/>
      <c r="R221" s="2325" t="str">
        <f><![CDATA["lower of ("&Q74&" minus "&Q220&") and ("&E176&" minus ("&M33&" + "&AG36&" + "&AO36&" + "&I176&"))"]]></f>
        <v>lower of (c5.52c minus c5.55.6) and (c5.37 minus (c5.14 + c5.19 + c5.20c + c5.46))</v>
      </c>
      <c r="S221" s="2325"/>
      <c r="T221" s="1945"/>
      <c r="U221" s="1945"/>
      <c r="V221" s="2325" t="str">
        <f><![CDATA["lower of "&U220&" and ("&U194&" minus ("&U210&" + "&U214&" + "&U216&"))"]]></f>
        <v>lower of c5.56j and (c5.56.2 minus (c5.56e1 + c5.56g + c5.56h))</v>
      </c>
      <c r="W221" s="93"/>
      <c r="X221" s="93"/>
      <c r="Y221" s="2325"/>
      <c r="Z221" s="2325" t="str">
        <f><![CDATA["lower of "&Y220&" and (SR_band ("&DOLLAR(SR_band,0)&") minus "&Y192&")"]]></f>
        <v>lower of c5.58a.69 and (SR_band ($5,000) minus c5.58a.55)</v>
      </c>
      <c r="AA221" s="3499"/>
      <c r="AB221" s="37"/>
      <c r="AE221" s="2216"/>
      <c r="AF221" s="2982"/>
      <c r="AG221" s="2982"/>
      <c r="AH221" s="2982"/>
      <c r="AI221" s="93"/>
      <c r="AJ221" s="2982"/>
    </row>
    <row r="222" spans="1:56" x14ac:dyDescent="0.2">
      <c r="A222" s="1945" t="s">
        <v>8058</v>
      </c>
      <c r="C222" s="3435"/>
      <c r="D222" s="3436"/>
      <c r="E222" s="3436"/>
      <c r="F222" s="3436"/>
      <c r="G222" s="724"/>
      <c r="H222" s="3436"/>
      <c r="I222" s="3436"/>
      <c r="J222" s="3436"/>
      <c r="K222" s="3436"/>
      <c r="L222" s="3436"/>
      <c r="M222" s="3436"/>
      <c r="N222" s="3436"/>
      <c r="O222" s="93"/>
      <c r="P222" s="2325" t="s">
        <v>7861</v>
      </c>
      <c r="Q222" s="2162" t="str">
        <f>A128</f>
        <v>c5.55.7</v>
      </c>
      <c r="R222" s="1978">
        <f>MAX(0,MIN(R74-R220,F176-(N33+AH36+AP36+J176)))</f>
        <v>0</v>
      </c>
      <c r="S222" s="394"/>
      <c r="T222" s="2325" t="s">
        <v>7877</v>
      </c>
      <c r="U222" s="3446" t="str">
        <f>A180</f>
        <v>c5.56k</v>
      </c>
      <c r="V222" s="1978">
        <f>MAX(0,MIN(V220,V194-(V210+V214+V216)))</f>
        <v>0</v>
      </c>
      <c r="W222" s="394"/>
      <c r="X222" s="2325" t="s">
        <v>7859</v>
      </c>
      <c r="Y222" s="3442" t="str">
        <f>A258</f>
        <v>c5.58a.70</v>
      </c>
      <c r="Z222" s="2321">
        <f>MIN(Z220,MAX(0,(SR_band-Z192)))</f>
        <v>0</v>
      </c>
      <c r="AA222" s="3499"/>
      <c r="AB222" s="37"/>
      <c r="AE222" s="37"/>
      <c r="AI222" s="394"/>
    </row>
    <row r="223" spans="1:56" x14ac:dyDescent="0.2">
      <c r="A223" s="1945" t="s">
        <v>8059</v>
      </c>
      <c r="C223" s="3435"/>
      <c r="D223" s="3436"/>
      <c r="E223" s="3436"/>
      <c r="F223" s="3436"/>
      <c r="G223" s="724"/>
      <c r="H223" s="3436"/>
      <c r="I223" s="3436"/>
      <c r="J223" s="3436"/>
      <c r="K223" s="3436"/>
      <c r="L223" s="3436"/>
      <c r="M223" s="3436"/>
      <c r="N223" s="3436"/>
      <c r="P223" s="1945"/>
      <c r="Q223" s="3362"/>
      <c r="R223" s="2325" t="str">
        <f><![CDATA["lower of ("&Q220&" and "&Q218&") x DivBR_rate ("&DivBR_rate*100&"%)"]]></f>
        <v>lower of (c5.55.6 and c5.55.5) x DivBR_rate (7.5%)</v>
      </c>
      <c r="S223" s="2325"/>
      <c r="T223" s="3436"/>
      <c r="U223" s="1945"/>
      <c r="V223" s="2325" t="str">
        <f><![CDATA["lower of ("&U194&" minus ("&U210&" + "&U214&" + "&U216&" + "&U222&")) and "&U218]]></f>
        <v>lower of (c5.56.2 minus (c5.56e1 + c5.56g + c5.56h + c5.56k)) and c5.56i</v>
      </c>
      <c r="W223" s="93"/>
      <c r="X223" s="3499"/>
      <c r="Y223" s="2325"/>
      <c r="Z223" s="2325" t="str">
        <f>"lower of ("&amp;Y194&amp;" minus "&amp;Y222&amp;") and "&amp;'Deductions (c4)'!L430</f>
        <v>lower of (c5.58a.56 minus c5.58a.70) and c4.79</v>
      </c>
      <c r="AA223" s="3499"/>
      <c r="AB223" s="37"/>
      <c r="AE223" s="37"/>
      <c r="AI223" s="93"/>
    </row>
    <row r="224" spans="1:56" x14ac:dyDescent="0.2">
      <c r="A224" s="1945" t="s">
        <v>8060</v>
      </c>
      <c r="B224" s="711"/>
      <c r="C224" s="3435"/>
      <c r="D224" s="3436"/>
      <c r="E224" s="3436"/>
      <c r="F224" s="3436"/>
      <c r="G224" s="724"/>
      <c r="H224" s="3436"/>
      <c r="I224" s="3436"/>
      <c r="J224" s="3436"/>
      <c r="K224" s="3436"/>
      <c r="L224" s="3436"/>
      <c r="M224" s="3436"/>
      <c r="N224" s="3436"/>
      <c r="O224" s="394"/>
      <c r="Q224" s="2162" t="str">
        <f>A129</f>
        <v>c5.55.8</v>
      </c>
      <c r="R224" s="1979">
        <f>TRUNC(MIN(R220,R218)*DivBR_rate,2)</f>
        <v>0</v>
      </c>
      <c r="S224" s="936" t="s">
        <v>2694</v>
      </c>
      <c r="T224" s="2325" t="s">
        <v>7880</v>
      </c>
      <c r="U224" s="3446" t="str">
        <f>A181</f>
        <v>c5.56l</v>
      </c>
      <c r="V224" s="1978">
        <f>MAX(0,MIN(V194-(V210+V214+V216+V222),V218))</f>
        <v>0</v>
      </c>
      <c r="W224" s="394"/>
      <c r="X224" s="3499"/>
      <c r="Y224" s="3442" t="str">
        <f>A259</f>
        <v>c5.58a.71</v>
      </c>
      <c r="Z224" s="2321">
        <f>MAX(0,MIN(Z194-Z222,'Deductions (c4)'!M430))</f>
        <v>500</v>
      </c>
      <c r="AA224" s="3499"/>
      <c r="AB224" s="37"/>
      <c r="AE224" s="51"/>
      <c r="AF224" s="711"/>
      <c r="AI224" s="1478"/>
      <c r="AJ224" s="711"/>
    </row>
    <row r="225" spans="1:56" x14ac:dyDescent="0.2">
      <c r="A225" s="1945" t="s">
        <v>8061</v>
      </c>
      <c r="B225" s="711"/>
      <c r="G225" s="724"/>
      <c r="O225" s="394"/>
      <c r="P225" s="1945"/>
      <c r="Q225" s="1945"/>
      <c r="R225" s="2325" t="str">
        <f><![CDATA["("&Q220&" minus (lower of "&Q220&" and "&Q218&")) x DivHR_rate ("&DivHR_rate*100&"%)"]]></f>
        <v>(c5.55.6 minus (lower of c5.55.6 and c5.55.5)) x DivHR_rate (32.5%)</v>
      </c>
      <c r="S225" s="806"/>
      <c r="T225" s="3436"/>
      <c r="U225" s="1945"/>
      <c r="V225" s="1945" t="str">
        <f>"if "&amp;Q299&amp;" = 0 (zero)"</f>
        <v>if c5.56 = 0 (zero)</v>
      </c>
      <c r="X225" s="3499"/>
      <c r="Y225" s="2325"/>
      <c r="Z225" s="2325" t="str">
        <f><![CDATA["lower of "&Y224&" and ("&AK8&" minus "&Y192&")"]]></f>
        <v>lower of c5.58a.71 and (c5.2a minus c5.58a.55)</v>
      </c>
      <c r="AA225" s="3499"/>
      <c r="AB225" s="37"/>
      <c r="AC225" s="2164"/>
      <c r="AD225" s="1478"/>
      <c r="AE225" s="51"/>
      <c r="AF225" s="711"/>
      <c r="AI225" s="1478"/>
      <c r="AJ225" s="711"/>
      <c r="AK225" s="2164"/>
      <c r="AL225" s="1478"/>
      <c r="AR225" s="711"/>
      <c r="AS225" s="2164"/>
      <c r="AT225" s="1478"/>
      <c r="AW225" s="2164"/>
      <c r="AX225" s="1478"/>
      <c r="AY225" s="733"/>
      <c r="AZ225" s="733"/>
      <c r="BA225" s="2164"/>
      <c r="BC225" s="711"/>
      <c r="BD225" s="747"/>
    </row>
    <row r="226" spans="1:56" x14ac:dyDescent="0.2">
      <c r="A226" s="1945" t="s">
        <v>8062</v>
      </c>
      <c r="B226" s="711"/>
      <c r="G226" s="724"/>
      <c r="O226" s="394"/>
      <c r="Q226" s="2162" t="str">
        <f>A130</f>
        <v>c5.55.9</v>
      </c>
      <c r="R226" s="1979">
        <f>MAX(0,TRUNC((R220-(MIN(R220,R218)))*DivHR_rate,2))</f>
        <v>0</v>
      </c>
      <c r="S226" s="936" t="s">
        <v>2694</v>
      </c>
      <c r="T226" s="1945"/>
      <c r="U226" s="1945"/>
      <c r="V226" s="2325" t="str">
        <f><![CDATA[U230&" = (lower of "&Q222&" and ("&Q242&" minus "&U216&")) x BR_rate ("&BR_rate*100&"%)"]]></f>
        <v>c5.56m = (lower of c5.55.7 and (c5.55.17 minus c5.56h)) x BR_rate (20%)</v>
      </c>
      <c r="W226" s="93"/>
      <c r="X226" s="2325" t="s">
        <v>7872</v>
      </c>
      <c r="Y226" s="3442" t="str">
        <f>A260</f>
        <v>c5.58a.72</v>
      </c>
      <c r="Z226" s="2321">
        <f>MAX(0,MIN(Z224,AL8-Z192))</f>
        <v>500</v>
      </c>
      <c r="AA226" s="3499"/>
      <c r="AB226" s="37"/>
      <c r="AC226" s="2164"/>
      <c r="AD226" s="1478"/>
      <c r="AE226" s="51"/>
      <c r="AF226" s="711"/>
      <c r="AI226" s="1478"/>
      <c r="AJ226" s="711"/>
      <c r="AK226" s="2164"/>
      <c r="AL226" s="1478"/>
      <c r="AR226" s="711"/>
      <c r="AS226" s="2164"/>
      <c r="AT226" s="1478"/>
      <c r="AW226" s="2164"/>
      <c r="AX226" s="1478"/>
      <c r="AY226" s="733"/>
      <c r="AZ226" s="733"/>
      <c r="BA226" s="2164"/>
      <c r="BB226" s="1478"/>
      <c r="BC226" s="711"/>
      <c r="BD226" s="747"/>
    </row>
    <row r="227" spans="1:56" x14ac:dyDescent="0.2">
      <c r="A227" s="1945" t="s">
        <v>8063</v>
      </c>
      <c r="B227" s="711"/>
      <c r="G227" s="724"/>
      <c r="O227" s="394"/>
      <c r="Q227" s="93"/>
      <c r="R227" s="93" t="str">
        <f>Q224&amp;" + "&amp;Q226</f>
        <v>c5.55.8 + c5.55.9</v>
      </c>
      <c r="T227" s="3436"/>
      <c r="U227" s="1945"/>
      <c r="V227" s="1945" t="s">
        <v>2386</v>
      </c>
      <c r="X227" s="3499"/>
      <c r="Y227" s="2325"/>
      <c r="Z227" s="2325" t="str">
        <f><![CDATA["lower of ("&Y194&" minus ("&Y222&" + "&Y226&")) and ("&AK8&" minus ("&Y192&" + "&Y222&" + "&Y226&"))"]]></f>
        <v>lower of (c5.58a.56 minus (c5.58a.70 + c5.58a.72)) and (c5.2a minus (c5.58a.55 + c5.58a.70 + c5.58a.72))</v>
      </c>
      <c r="AA227" s="3499"/>
      <c r="AB227" s="37"/>
      <c r="AC227" s="2164"/>
      <c r="AD227" s="1478"/>
      <c r="AE227" s="51"/>
      <c r="AF227" s="711"/>
      <c r="AI227" s="1478"/>
      <c r="AJ227" s="711"/>
      <c r="AK227" s="2164"/>
      <c r="AL227" s="1478"/>
      <c r="AR227" s="711"/>
      <c r="AS227" s="2164"/>
      <c r="AT227" s="1478"/>
      <c r="AW227" s="2164"/>
      <c r="AX227" s="1478"/>
      <c r="AY227" s="733"/>
      <c r="AZ227" s="733"/>
      <c r="BA227" s="2164"/>
      <c r="BB227" s="1478"/>
      <c r="BC227" s="711"/>
      <c r="BD227" s="747"/>
    </row>
    <row ht="12.75" r="228" spans="1:56" x14ac:dyDescent="0.2">
      <c r="A228" s="1945" t="s">
        <v>8064</v>
      </c>
      <c r="B228" s="711"/>
      <c r="D228" s="37"/>
      <c r="G228" s="724"/>
      <c r="H228" s="117"/>
      <c r="O228" s="394"/>
      <c r="P228" s="3040" t="s">
        <v>6482</v>
      </c>
      <c r="Q228" s="2162" t="str">
        <f>A131</f>
        <v>c5.55.10</v>
      </c>
      <c r="R228" s="1959">
        <f>R224+R226</f>
        <v>0</v>
      </c>
      <c r="S228" s="1945"/>
      <c r="T228" s="1945"/>
      <c r="U228" s="1945"/>
      <c r="V228" s="2325" t="str">
        <f><![CDATA[U230&" = (lower of "&Q222&" and ("&Q270&" minus "&U216&")) x BR_rate ("&BR_rate*100&"%)"]]></f>
        <v>c5.56m = (lower of c5.55.7 and (c5.55.31 minus c5.56h)) x BR_rate (20%)</v>
      </c>
      <c r="W228" s="93"/>
      <c r="X228" s="2325" t="s">
        <v>7873</v>
      </c>
      <c r="Y228" s="3442" t="str">
        <f>A261</f>
        <v>c5.58a.73</v>
      </c>
      <c r="Z228" s="2321">
        <f>MAX(0,MIN(Z194-(Z222+Z226),(AL8-(Z192+Z222+Z226))))</f>
        <v>3178</v>
      </c>
      <c r="AA228" s="711"/>
      <c r="AB228" s="37"/>
      <c r="AC228" s="2164"/>
      <c r="AD228" s="1478"/>
      <c r="AE228" s="51"/>
      <c r="AF228" s="711"/>
      <c r="AI228" s="1478"/>
      <c r="AJ228" s="711"/>
      <c r="AK228" s="2164"/>
      <c r="AL228" s="1478"/>
      <c r="AR228" s="711"/>
      <c r="AS228" s="2164"/>
      <c r="AT228" s="1478"/>
      <c r="AW228" s="2164"/>
      <c r="AX228" s="1478"/>
      <c r="AY228" s="733"/>
      <c r="AZ228" s="733"/>
      <c r="BA228" s="2164"/>
      <c r="BB228" s="1478"/>
      <c r="BC228" s="711"/>
      <c r="BD228" s="747"/>
    </row>
    <row r="229" spans="1:56" x14ac:dyDescent="0.2">
      <c r="A229" s="1945" t="s">
        <v>8065</v>
      </c>
      <c r="D229" s="37"/>
      <c r="G229" s="724"/>
      <c r="H229" s="117"/>
      <c r="R229" s="2325" t="str">
        <f>"lower of "&amp;Q200&amp;" and "&amp;'Status (c3a)'!H33</f>
        <v>lower of c5.54a and c3a.1a</v>
      </c>
      <c r="T229" s="3436"/>
      <c r="U229" s="1945"/>
      <c r="V229" s="1945" t="s">
        <v>2495</v>
      </c>
      <c r="X229" s="3499"/>
      <c r="Y229" s="2325"/>
      <c r="Z229" s="2325" t="str">
        <f><![CDATA["("&'Status (c3a)'!AA33&" + "&'Deductions (c4)'!H204&") minus ("&Y192&" + "&Y222&" + "&Y226&" + "&Y228&")"]]></f>
        <v>(c3a.3a + c4.59) minus (c5.58a.55 + c5.58a.70 + c5.58a.72 + c5.58a.73)</v>
      </c>
      <c r="AA229" s="3499"/>
      <c r="AB229" s="37"/>
      <c r="AE229" s="2216"/>
      <c r="AX229" s="806"/>
      <c r="AY229" s="37"/>
      <c r="AZ229" s="37"/>
      <c r="BD229" s="2974"/>
    </row>
    <row r="230" spans="1:56" x14ac:dyDescent="0.2">
      <c r="A230" s="1945" t="s">
        <v>8066</v>
      </c>
      <c r="C230" s="2982"/>
      <c r="G230" s="724"/>
      <c r="H230" s="117"/>
      <c r="P230" s="2325" t="s">
        <v>7863</v>
      </c>
      <c r="Q230" s="2162" t="str">
        <f>A132</f>
        <v>c5.55.11</v>
      </c>
      <c r="R230" s="1978">
        <f>MIN(R200,'Status (c3a)'!I33)</f>
        <v>2049</v>
      </c>
      <c r="S230" s="806"/>
      <c r="T230" s="2325" t="s">
        <v>7907</v>
      </c>
      <c r="U230" s="3446" t="str">
        <f>A182</f>
        <v>c5.56m</v>
      </c>
      <c r="V230" s="1978">
        <f>MAX(0,IF(R299=0,TRUNC((MIN(R222,R242-V216))*BR_rate,2),TRUNC((MIN(R222,R270-V216))*BR_rate,2)))</f>
        <v>0</v>
      </c>
      <c r="W230" s="3441" t="s">
        <v>2694</v>
      </c>
      <c r="X230" s="3499"/>
      <c r="Y230" s="3442" t="str">
        <f>A262</f>
        <v>c5.58a.74</v>
      </c>
      <c r="Z230" s="2321">
        <f>MAX(0,('Status (c3a)'!AB33+'Deductions (c4)'!I204)-(Z192+Z222+Z226+Z228))</f>
        <v>114203</v>
      </c>
      <c r="AA230" s="3499"/>
      <c r="AB230" s="37"/>
      <c r="AE230" s="37"/>
    </row>
    <row r="231" spans="1:56" x14ac:dyDescent="0.2">
      <c r="A231" s="1945" t="s">
        <v>8067</v>
      </c>
      <c r="G231" s="724"/>
      <c r="H231" s="117"/>
      <c r="Q231" s="1945"/>
      <c r="R231" s="2325" t="str">
        <f>"lower of ("&amp;Q200&amp;" minus "&amp;Q230&amp;") and "&amp;U8</f>
        <v>lower of (c5.54a minus c5.55.11) and c5.2</v>
      </c>
      <c r="T231" s="3436"/>
      <c r="U231" s="1945"/>
      <c r="V231" s="1945" t="str">
        <f>"if "&amp;Q299&amp;" = 0 (zero)"</f>
        <v>if c5.56 = 0 (zero)</v>
      </c>
      <c r="X231" s="3499"/>
      <c r="Y231" s="2325"/>
      <c r="Z231" s="2325" t="str">
        <f><![CDATA["lower of ("&Y230&" and ("&'Deductions (c4)'!L430&" minus "&Y226&"))"]]></f>
        <v>lower of (c5.58a.74 and (c4.79 minus c5.58a.72))</v>
      </c>
      <c r="AA231" s="3499"/>
      <c r="AE231" s="37"/>
    </row>
    <row r="232" spans="1:56" x14ac:dyDescent="0.2">
      <c r="A232" s="1945" t="s">
        <v>8068</v>
      </c>
      <c r="G232" s="724"/>
      <c r="H232" s="117"/>
      <c r="P232" s="2325" t="s">
        <v>7864</v>
      </c>
      <c r="Q232" s="2162" t="str">
        <f>A133</f>
        <v>c5.55.12</v>
      </c>
      <c r="R232" s="1978">
        <f>MIN(MAX(0,R200-R230),V8)</f>
        <v>12020</v>
      </c>
      <c r="S232" s="3448"/>
      <c r="T232" s="1945"/>
      <c r="U232" s="1945"/>
      <c r="V232" s="2325" t="str">
        <f><![CDATA[U236&" = (lower of "&Q222&" and ("&Q250&" minus "&U224&")) x HR_rate ("&HR_rate*100&"%)"]]></f>
        <v>c5.56n = (lower of c5.55.7 and (c5.55.21 minus c5.56l)) x HR_rate (40%)</v>
      </c>
      <c r="W232" s="93"/>
      <c r="X232" s="3499"/>
      <c r="Y232" s="3442" t="str">
        <f>A263</f>
        <v>c5.58a.75</v>
      </c>
      <c r="Z232" s="2321">
        <f>MAX(0,MIN(Z230,PSA-Z226))</f>
        <v>0</v>
      </c>
      <c r="AA232" s="3499"/>
      <c r="AB232" s="37"/>
      <c r="AD232" s="806"/>
      <c r="AE232" s="37"/>
    </row>
    <row ht="12.75" r="233" spans="1:56" x14ac:dyDescent="0.2">
      <c r="A233" s="1945" t="s">
        <v>8069</v>
      </c>
      <c r="C233" s="2982"/>
      <c r="G233" s="724"/>
      <c r="H233" s="117"/>
      <c r="M233" s="1781"/>
      <c r="N233" s="1781"/>
      <c r="P233" s="3439"/>
      <c r="Q233" s="3439"/>
      <c r="R233" s="2325" t="str">
        <f><![CDATA["lower of ("&Q200&" minus ("&Q230&" + "&Q232&")) and "&'Status (c3a)'!P33]]></f>
        <v>lower of (c5.54a minus (c5.55.11 + c5.55.12)) and c3a.2a</v>
      </c>
      <c r="T233" s="3436"/>
      <c r="U233" s="1945"/>
      <c r="V233" s="1945" t="s">
        <v>2386</v>
      </c>
      <c r="X233" s="3499"/>
      <c r="Y233" s="2325"/>
      <c r="Z233" s="2325" t="str">
        <f><![CDATA["lower of "&Y232&" and ("&Y194&" minus ("&Y222&" + "&Y226&" + "&Y228&"))"]]></f>
        <v>lower of c5.58a.75 and (c5.58a.56 minus (c5.58a.70 + c5.58a.72 + c5.58a.73))</v>
      </c>
      <c r="AA233" s="3499"/>
      <c r="AB233" s="37"/>
      <c r="AE233" s="2216"/>
    </row>
    <row r="234" spans="1:56" x14ac:dyDescent="0.2">
      <c r="A234" s="1945" t="s">
        <v>8070</v>
      </c>
      <c r="C234" s="2982"/>
      <c r="G234" s="724"/>
      <c r="H234" s="117"/>
      <c r="P234" s="2325" t="s">
        <v>7867</v>
      </c>
      <c r="Q234" s="2162" t="str">
        <f>A134</f>
        <v>c5.55.13</v>
      </c>
      <c r="R234" s="1978">
        <f>MAX(0,MIN((R200-(R230+R232)),'Status (c3a)'!Q33))</f>
        <v>18486</v>
      </c>
      <c r="S234" s="4383"/>
      <c r="T234" s="1945"/>
      <c r="U234" s="1945"/>
      <c r="V234" s="2325" t="str">
        <f><![CDATA[U236&" = (lower of "&Q222&" and ("&Q278&" minus "&U224&")) x HR_rate ("&HR_rate*100&"%)"]]></f>
        <v>c5.56n = (lower of c5.55.7 and (c5.55.35 minus c5.56l)) x HR_rate (40%)</v>
      </c>
      <c r="W234" s="93"/>
      <c r="X234" s="2325" t="s">
        <v>7877</v>
      </c>
      <c r="Y234" s="3442" t="str">
        <f>A264</f>
        <v>c5.58a.76</v>
      </c>
      <c r="Z234" s="2321">
        <f>MAX(0,MIN(Z232,Z194-(Z222+Z226+Z228)))</f>
        <v>0</v>
      </c>
      <c r="AA234" s="3499"/>
      <c r="AB234" s="37"/>
      <c r="AE234" s="37"/>
    </row>
    <row r="235" spans="1:56" x14ac:dyDescent="0.2">
      <c r="A235" s="1945" t="s">
        <v>8071</v>
      </c>
      <c r="G235" s="724"/>
      <c r="P235" s="1945"/>
      <c r="Q235" s="1945"/>
      <c r="R235" s="2325" t="str">
        <f><![CDATA["lower of ("&Q200&" minus ("&Q230&" + "&Q232&" + "&Q234&")) and "&'Status (c3a)'!X33]]></f>
        <v>lower of (c5.54a minus (c5.55.11 + c5.55.12 + c5.55.13)) and c3a.3</v>
      </c>
      <c r="T235" s="3436"/>
      <c r="U235" s="1945"/>
      <c r="V235" s="1945" t="s">
        <v>2495</v>
      </c>
      <c r="X235" s="3499"/>
      <c r="Y235" s="2325"/>
      <c r="Z235" s="2325" t="str">
        <f><![CDATA["lower of ("&Y194&" minus ("&Y222&" + "&Y226&" + "&Y228&" + "&Y234&")) and "&Y230]]></f>
        <v>lower of (c5.58a.56 minus (c5.58a.70 + c5.58a.72 + c5.58a.73 + c5.58a.76)) and c5.58a.74</v>
      </c>
      <c r="AA235" s="3499"/>
      <c r="AB235" s="37"/>
      <c r="AE235" s="37"/>
    </row>
    <row r="236" spans="1:56" x14ac:dyDescent="0.2">
      <c r="A236" s="1945" t="s">
        <v>8072</v>
      </c>
      <c r="G236" s="724"/>
      <c r="P236" s="2325" t="s">
        <v>7868</v>
      </c>
      <c r="Q236" s="2162" t="str">
        <f>A135</f>
        <v>c5.55.14</v>
      </c>
      <c r="R236" s="1978">
        <f>MAX(0,MIN((R200-(R230+R232+R234)),'Status (c3a)'!Y33))</f>
        <v>1189</v>
      </c>
      <c r="T236" s="2325" t="s">
        <v>7908</v>
      </c>
      <c r="U236" s="3446" t="str">
        <f>A183</f>
        <v>c5.56n</v>
      </c>
      <c r="V236" s="1978">
        <f>MAX(0,IF(R299=0,TRUNC((MIN(R222,R250-V224))*HR_rate,2),TRUNC((MIN(R222,R278-V224))*HR_rate,2)))</f>
        <v>0</v>
      </c>
      <c r="W236" s="3441" t="s">
        <v>2694</v>
      </c>
      <c r="X236" s="2325" t="s">
        <v>7880</v>
      </c>
      <c r="Y236" s="3442" t="str">
        <f>A265</f>
        <v>c5.58a.77</v>
      </c>
      <c r="Z236" s="2321">
        <f>MAX(0,MIN(Z194-(Z222+Z226+Z228+Z234),Z230))</f>
        <v>0</v>
      </c>
      <c r="AA236" s="3499"/>
      <c r="AB236" s="37"/>
      <c r="AE236" s="37"/>
    </row>
    <row r="237" spans="1:56" x14ac:dyDescent="0.2">
      <c r="A237" s="1945" t="s">
        <v>8073</v>
      </c>
      <c r="G237" s="724"/>
      <c r="Q237" s="1945"/>
      <c r="R237" s="2325" t="str">
        <f>"lower of ("&amp;Q202&amp;" minus "&amp;Q206&amp;") and "&amp;'Deductions (c4)'!L430</f>
        <v>lower of (c5.54a1 minus c5.54c) and c4.79</v>
      </c>
      <c r="S237" s="806"/>
      <c r="T237" s="3436"/>
      <c r="V237" s="2325" t="str">
        <f>U230&amp;" + "&amp;U236</f>
        <v>c5.56m + c5.56n</v>
      </c>
      <c r="W237" s="93"/>
      <c r="X237" s="3499"/>
      <c r="Y237" s="2325"/>
      <c r="Z237" s="2325" t="str">
        <f><![CDATA["lower of "&Y69&" and ((BR_band ("&DOLLAR(BR_band,0)&") + "&'Deductions (c4)'!L311&") minus ("&Y194&" + "&Y192&"))"]]></f>
        <v>lower of c5.58a.4 and ((BR_band ($37,500) + c4.75) minus (c5.58a.56 + c5.58a.55))</v>
      </c>
      <c r="AA237" s="3499"/>
      <c r="AB237" s="37"/>
      <c r="AE237" s="37"/>
    </row>
    <row ht="12.75" r="238" spans="1:56" x14ac:dyDescent="0.2">
      <c r="A238" s="1945" t="s">
        <v>8074</v>
      </c>
      <c r="G238" s="724"/>
      <c r="P238" s="2325" t="s">
        <v>6722</v>
      </c>
      <c r="Q238" s="2162" t="str">
        <f>A136</f>
        <v>c5.55.15</v>
      </c>
      <c r="R238" s="1978">
        <f>MIN(MAX(0,R202-R206),'Deductions (c4)'!M430)</f>
        <v>500</v>
      </c>
      <c r="S238" s="3431" t="s">
        <v>2694</v>
      </c>
      <c r="T238" s="3445" t="s">
        <v>7936</v>
      </c>
      <c r="U238" s="3446" t="str">
        <f>A184</f>
        <v>c5.56o</v>
      </c>
      <c r="V238" s="1978">
        <f>V230+V236</f>
        <v>0</v>
      </c>
      <c r="W238" s="394"/>
      <c r="X238" s="3449" t="s">
        <v>7935</v>
      </c>
      <c r="Y238" s="3442" t="str">
        <f>A266</f>
        <v>c5.58a.78</v>
      </c>
      <c r="Z238" s="2321">
        <f>MAX(0,MIN(Z69,(BR_band+'Deductions (c4)'!M311)-(Z194+Z192)))</f>
        <v>1703</v>
      </c>
      <c r="AA238" s="3499"/>
      <c r="AB238" s="37"/>
      <c r="AE238" s="37"/>
    </row>
    <row r="239" spans="1:56" x14ac:dyDescent="0.2">
      <c r="A239" s="1945" t="s">
        <v>8075</v>
      </c>
      <c r="G239" s="724"/>
      <c r="Q239" s="1945"/>
      <c r="R239" s="2325" t="str">
        <f><![CDATA["lower of "&Q238&" and ("&AK8&" minus "&Q200&")"]]></f>
        <v>lower of c5.55.15 and (c5.2a minus c5.54a)</v>
      </c>
      <c r="V239" s="2325" t="str">
        <f>"If "&amp;U238&amp;" larger than or equal to "&amp;U206</f>
        <v>If c5.56o larger than or equal to c5.56d</v>
      </c>
      <c r="W239" s="93"/>
      <c r="X239" s="3499"/>
      <c r="Y239" s="2325"/>
      <c r="Z239" s="2325" t="str">
        <f>"lower of "&amp;U198&amp;" and "&amp;Y131</f>
        <v>lower of c5.56b and c5.58a.35</v>
      </c>
      <c r="AA239" s="3499"/>
      <c r="AB239" s="37"/>
      <c r="AE239" s="37"/>
    </row>
    <row r="240" spans="1:56" x14ac:dyDescent="0.2">
      <c r="A240" s="1945" t="s">
        <v>8076</v>
      </c>
      <c r="G240" s="724"/>
      <c r="P240" s="2325" t="s">
        <v>7872</v>
      </c>
      <c r="Q240" s="2162" t="str">
        <f>A137</f>
        <v>c5.55.16</v>
      </c>
      <c r="R240" s="1978">
        <f>MAX(0,MIN(R238,AL8-R200))</f>
        <v>500</v>
      </c>
      <c r="S240" s="711"/>
      <c r="V240" s="2325" t="str">
        <f>U244&amp;" = "&amp;Q222</f>
        <v>c5.56p = c5.55.7</v>
      </c>
      <c r="W240" s="93"/>
      <c r="X240" s="3449" t="s">
        <v>6988</v>
      </c>
      <c r="Y240" s="3442" t="str">
        <f>A267</f>
        <v>c5.58a.79</v>
      </c>
      <c r="Z240" s="2321">
        <f>MIN(V198,Z131)</f>
        <v>1703</v>
      </c>
      <c r="AA240" s="3499"/>
      <c r="AB240" s="37"/>
      <c r="AE240" s="37"/>
    </row>
    <row r="241" spans="1:58" x14ac:dyDescent="0.2">
      <c r="A241" s="1945" t="s">
        <v>8077</v>
      </c>
      <c r="G241" s="724"/>
      <c r="P241" s="1945"/>
      <c r="Q241" s="1945"/>
      <c r="R241" s="2325" t="str">
        <f><![CDATA["lower of ("&Q202&" minus ("&Q206&" + "&Q240&")) and ("&AK8&" minus ("&Q200&" + "&Q206&" + "&Q240&"))"]]></f>
        <v>lower of (c5.54a1 minus (c5.54c + c5.55.16)) and (c5.2a minus (c5.54a + c5.54c + c5.55.16))</v>
      </c>
      <c r="S241" s="807"/>
      <c r="V241" s="2325" t="s">
        <v>2386</v>
      </c>
      <c r="W241" s="93"/>
      <c r="X241" s="3499"/>
      <c r="Y241" s="2325"/>
      <c r="Z241" s="2325" t="str">
        <f>Y238&amp;" minus "&amp;Y240</f>
        <v>c5.58a.78 minus c5.58a.79</v>
      </c>
      <c r="AA241" s="3499"/>
      <c r="AB241" s="37"/>
      <c r="AD241" s="2325" t="str">
        <f><![CDATA[Q126&" + "&Q176&" + "&U253&" + "&AC153]]></f>
        <v>c5.52h + c5.52l + c5.58 + c5.58h</v>
      </c>
      <c r="AI241" s="93"/>
      <c r="AL241" s="3305" t="str">
        <f><![CDATA[AG126&" + "&AG153&" + "&AK126&" + "&AK153&" + "&AK170&" + "&AK176]]></f>
        <v>c5.58.7 + c5.58.9 + c5.62 + c5.63 + c5.63a + c5.64</v>
      </c>
    </row>
    <row r="242" spans="1:58" x14ac:dyDescent="0.2">
      <c r="A242" s="1945" t="s">
        <v>8078</v>
      </c>
      <c r="G242" s="724"/>
      <c r="P242" s="2325" t="s">
        <v>7873</v>
      </c>
      <c r="Q242" s="2162" t="str">
        <f>A138</f>
        <v>c5.55.17</v>
      </c>
      <c r="R242" s="1978">
        <f>MAX(0,MIN(R202-(R206+R240),(AL8-(R200+R206+R240))))</f>
        <v>3178</v>
      </c>
      <c r="S242" s="2675"/>
      <c r="V242" s="2325" t="str">
        <f>U244&amp;" = 0 (zero)"</f>
        <v>c5.56p = 0 (zero)</v>
      </c>
      <c r="W242" s="93"/>
      <c r="X242" s="3449" t="s">
        <v>6989</v>
      </c>
      <c r="Y242" s="3442" t="str">
        <f>A268</f>
        <v>c5.58a.80</v>
      </c>
      <c r="Z242" s="2321">
        <f>MAX(0,Z238-Z240)</f>
        <v>0</v>
      </c>
      <c r="AA242" s="3499"/>
      <c r="AB242" s="37"/>
      <c r="AC242" s="2119" t="str">
        <f>A288</f>
        <v>c5.58i</v>
      </c>
      <c r="AD242" s="1978">
        <f>R126+R176+V253+AD153</f>
        <v>13700</v>
      </c>
      <c r="AI242" s="394"/>
      <c r="AK242" s="2162" t="str">
        <f>A310</f>
        <v>c5.65</v>
      </c>
      <c r="AL242" s="1978">
        <f>AH126+AH153+AL126+AL153+AL170+AL176</f>
        <v>0</v>
      </c>
    </row>
    <row r="243" spans="1:58" x14ac:dyDescent="0.2">
      <c r="A243" s="1945" t="s">
        <v>8079</v>
      </c>
      <c r="G243" s="724"/>
      <c r="P243" s="1945"/>
      <c r="Q243" s="2325"/>
      <c r="R243" s="2325" t="str">
        <f><![CDATA["("&'Status (c3a)'!AA33&" + "&'Deductions (c4)'!H204&") minus ("&Q200&" + "&Q206&" + "&Q240&" + "&Q242&")"]]></f>
        <v>(c3a.3a + c4.59) minus (c5.54a + c5.54c + c5.55.16 + c5.55.17)</v>
      </c>
      <c r="T243" s="711"/>
      <c r="V243" s="2325" t="s">
        <v>2495</v>
      </c>
      <c r="W243" s="93"/>
      <c r="X243" s="711"/>
      <c r="Y243" s="2325"/>
      <c r="Z243" s="2325" t="str">
        <f><![CDATA["lower of ("&'Deductions (c4)'!L437&" minus "&Y240&") and ("&Y69&" minus ("&Y240&" + "&Y242&"))"]]></f>
        <v>lower of (c4.80 minus c5.58a.79) and (c5.58a.4 minus (c5.58a.79 + c5.58a.80))</v>
      </c>
      <c r="AA243" s="3499"/>
      <c r="AB243" s="37"/>
      <c r="AI243" s="93"/>
    </row>
    <row customFormat="1" r="244" s="3436" spans="1:58" x14ac:dyDescent="0.2">
      <c r="A244" s="1945" t="s">
        <v>8080</v>
      </c>
      <c r="G244" s="724"/>
      <c r="P244" s="2982"/>
      <c r="Q244" s="2162" t="str">
        <f>A139</f>
        <v>c5.55.18</v>
      </c>
      <c r="R244" s="1978">
        <f>MAX(0,('Status (c3a)'!AB33+'Deductions (c4)'!I204)-(R200+R206+R240+R242))</f>
        <v>114203</v>
      </c>
      <c r="S244" s="3431" t="s">
        <v>2694</v>
      </c>
      <c r="T244" s="2982"/>
      <c r="U244" s="3446" t="str">
        <f>A185</f>
        <v>c5.56p</v>
      </c>
      <c r="V244" s="1978">
        <f>IF(V238&gt;=V206,R222,0)</f>
        <v>0</v>
      </c>
      <c r="W244" s="394"/>
      <c r="X244" s="3449" t="s">
        <v>8117</v>
      </c>
      <c r="Y244" s="3442" t="str">
        <f>A269</f>
        <v>c5.58a.81</v>
      </c>
      <c r="Z244" s="2321">
        <f>MAX(0,MIN(DA-Z240,Z69-(Z240+Z242)))</f>
        <v>297</v>
      </c>
      <c r="AA244" s="3499"/>
      <c r="AC244" s="2982"/>
      <c r="AD244" s="2982"/>
      <c r="AE244" s="2982"/>
      <c r="AF244" s="2982"/>
      <c r="AI244" s="93"/>
      <c r="AJ244" s="2982"/>
      <c r="AK244" s="2982"/>
      <c r="AL244" s="2982"/>
    </row>
    <row customFormat="1" r="245" s="3436" spans="1:58" x14ac:dyDescent="0.2">
      <c r="A245" s="1945" t="s">
        <v>8081</v>
      </c>
      <c r="G245" s="724"/>
      <c r="P245" s="2982"/>
      <c r="Q245" s="1945"/>
      <c r="R245" s="2325" t="str">
        <f><![CDATA["lower of ("&Q244&" and ("&'Deductions (c4)'!L430&" minus "&Q240&"))"]]></f>
        <v>lower of (c5.55.18 and (c4.79 minus c5.55.16))</v>
      </c>
      <c r="S245" s="2982"/>
      <c r="T245" s="2982"/>
      <c r="U245" s="2982"/>
      <c r="V245" s="2982"/>
      <c r="W245" s="3482"/>
      <c r="X245" s="3499"/>
      <c r="Y245" s="2325"/>
      <c r="Z245" s="2325" t="str">
        <f><![CDATA[Y69&" minus ("&Y240&" + "&Y242&" + "&Y244&")"]]></f>
        <v>c5.58a.4 minus (c5.58a.79 + c5.58a.80 + c5.58a.81)</v>
      </c>
      <c r="AA245" s="3499"/>
      <c r="AC245" s="2982"/>
      <c r="AD245" s="93"/>
      <c r="AE245" s="2982"/>
      <c r="AF245" s="2982"/>
      <c r="AI245" s="93"/>
      <c r="AJ245" s="2982"/>
      <c r="AK245" s="2982"/>
      <c r="AL245" s="2982"/>
    </row>
    <row customFormat="1" r="246" s="3436" spans="1:58" x14ac:dyDescent="0.2">
      <c r="A246" s="1945" t="s">
        <v>8082</v>
      </c>
      <c r="G246" s="724"/>
      <c r="P246" s="2982"/>
      <c r="Q246" s="2162" t="str">
        <f>A140</f>
        <v>c5.55.19</v>
      </c>
      <c r="R246" s="1978">
        <f>MAX(0,MIN(R244,PSA-R240))</f>
        <v>0</v>
      </c>
      <c r="S246" s="2674"/>
      <c r="T246" s="2982"/>
      <c r="U246" s="93"/>
      <c r="V246" s="93" t="str">
        <f><![CDATA["lower of ("&Q299&" and ("&Q17&" + "&U17&" + "&AC17&" + "&U36&"))"]]></f>
        <v>lower of (c5.56 and (c5.3a + c5.4 + c5.4a + c5.16))</v>
      </c>
      <c r="W246" s="93"/>
      <c r="X246" s="3449" t="s">
        <v>8118</v>
      </c>
      <c r="Y246" s="3442" t="str">
        <f>A270</f>
        <v>c5.58a.82</v>
      </c>
      <c r="Z246" s="2321">
        <f>MAX(0,Z69-(Z240+Z242+Z244))</f>
        <v>10750</v>
      </c>
      <c r="AA246" s="3499"/>
      <c r="AC246" s="2982"/>
      <c r="AD246" s="3490"/>
      <c r="AE246" s="2982"/>
      <c r="AF246" s="2982"/>
      <c r="AI246" s="93"/>
      <c r="AJ246" s="2982"/>
      <c r="AK246" s="2982"/>
      <c r="AL246" s="2982"/>
    </row>
    <row customFormat="1" r="247" s="3436" spans="1:58" x14ac:dyDescent="0.2">
      <c r="A247" s="1945" t="s">
        <v>8083</v>
      </c>
      <c r="G247" s="724"/>
      <c r="P247" s="1945"/>
      <c r="Q247" s="1945"/>
      <c r="R247" s="2325" t="str">
        <f><![CDATA["lower of "&Q246&" and ("&Q202&" minus ("&Q206&" + "&Q240&" + "&Q242&"))"]]></f>
        <v>lower of c5.55.19 and (c5.54a1 minus (c5.54c + c5.55.16 + c5.55.17))</v>
      </c>
      <c r="S247" s="2982"/>
      <c r="T247" s="2982"/>
      <c r="U247" s="2162" t="str">
        <f>A187</f>
        <v>c5.57</v>
      </c>
      <c r="V247" s="1978">
        <f>MAX(0,MIN(R299,R17+V17+AD17+V36))</f>
        <v>0</v>
      </c>
      <c r="W247" s="394"/>
      <c r="X247" s="711"/>
      <c r="Y247" s="2325"/>
      <c r="Z247" s="2325" t="str">
        <f><![CDATA["lower of "&Y196&" and ("&'Status (c3a)'!H33&" minus ("&Y69&" + "&Y194&" + "&Y192&"))"]]></f>
        <v>lower of c5.58a.57 and (c3a.1a minus (c5.58a.4 + c5.58a.56 + c5.58a.55))</v>
      </c>
      <c r="AA247" s="3499"/>
      <c r="AC247" s="2982"/>
      <c r="AD247" s="3490"/>
      <c r="AE247" s="2982"/>
      <c r="AF247" s="2982"/>
      <c r="AI247" s="93"/>
      <c r="AJ247" s="2982"/>
      <c r="AK247" s="2982"/>
      <c r="AL247" s="2982"/>
    </row>
    <row customFormat="1" r="248" s="3436" spans="1:58" x14ac:dyDescent="0.2">
      <c r="A248" s="1945" t="s">
        <v>8084</v>
      </c>
      <c r="C248" s="2982"/>
      <c r="D248" s="2982"/>
      <c r="E248" s="2978"/>
      <c r="F248" s="2978" t="s">
        <v>4039</v>
      </c>
      <c r="G248" s="724"/>
      <c r="H248" s="2982"/>
      <c r="I248" s="2982"/>
      <c r="J248" s="2982"/>
      <c r="K248" s="2982"/>
      <c r="L248" s="2982"/>
      <c r="M248" s="2982"/>
      <c r="N248" s="711"/>
      <c r="P248" s="2325" t="s">
        <v>7877</v>
      </c>
      <c r="Q248" s="2162" t="str">
        <f>A141</f>
        <v>c5.55.20</v>
      </c>
      <c r="R248" s="1978">
        <f>MAX(0,MIN(R246,R202-(R206+R240+R242)))</f>
        <v>0</v>
      </c>
      <c r="S248" s="1945"/>
      <c r="T248" s="1945"/>
      <c r="U248" s="1945"/>
      <c r="V248" s="2325" t="str">
        <f><![CDATA["lower of ("&U244&" and ((("&Q17&" + "&U17&" + "&AC17&") minus "&Q299&") + "&U36&"))"]]></f>
        <v>lower of (c5.56p and (((c5.3a + c5.4 + c5.4a) minus c5.56) + c5.16))</v>
      </c>
      <c r="W248" s="93"/>
      <c r="X248" s="2325" t="s">
        <v>8119</v>
      </c>
      <c r="Y248" s="3442" t="str">
        <f>A271</f>
        <v>c5.58a.83</v>
      </c>
      <c r="Z248" s="2321">
        <f>MAX(0,MIN(Z196,'Status (c3a)'!I33-(Z69+Z194+Z192)))</f>
        <v>0</v>
      </c>
      <c r="AA248" s="3499"/>
      <c r="AC248" s="2982"/>
      <c r="AD248" s="2982"/>
      <c r="AE248" s="2982"/>
      <c r="AF248" s="2982"/>
      <c r="AI248" s="2210"/>
      <c r="AJ248" s="2982"/>
      <c r="AK248" s="2982"/>
      <c r="AL248" s="2982"/>
    </row>
    <row customFormat="1" r="249" s="3436" spans="1:58" x14ac:dyDescent="0.2">
      <c r="A249" s="1945" t="s">
        <v>8085</v>
      </c>
      <c r="C249" s="2982"/>
      <c r="D249" s="2982"/>
      <c r="E249" s="2982"/>
      <c r="F249" s="2975" t="s">
        <v>6711</v>
      </c>
      <c r="G249" s="724"/>
      <c r="H249" s="117"/>
      <c r="I249" s="2982"/>
      <c r="J249" s="2982" t="s">
        <v>6152</v>
      </c>
      <c r="K249" s="2982"/>
      <c r="L249" s="2982"/>
      <c r="M249" s="2982"/>
      <c r="N249" s="2982"/>
      <c r="P249" s="1945"/>
      <c r="Q249" s="1945"/>
      <c r="R249" s="2325" t="str">
        <f><![CDATA["lower of ("&Q202&" minus ("&Q206&" + "&Q240&" + "&Q242&" + "&Q248&")) and "&Q244]]></f>
        <v>lower of (c5.54a1 minus (c5.54c + c5.55.16 + c5.55.17 + c5.55.20)) and c5.55.18</v>
      </c>
      <c r="S249" s="2982"/>
      <c r="T249" s="2982"/>
      <c r="U249" s="2196" t="str">
        <f>A186</f>
        <v>c5.57a</v>
      </c>
      <c r="V249" s="1978">
        <f>MAX(0,MIN(V244,((R17+V17+AD17)-R299)+V36))</f>
        <v>0</v>
      </c>
      <c r="W249" s="394"/>
      <c r="X249" s="3499"/>
      <c r="Y249" s="2325"/>
      <c r="Z249" s="2325" t="str">
        <f><![CDATA["lower of ("&Y196&" minus "&Y248&") and (("&'Status (c3a)'!H33&" + "&U8&") minus ("&Y69&" + "&Y192&" + "&Y194&" + "&Y248&"))"]]></f>
        <v>lower of (c5.58a.57 minus c5.58a.83) and ((c3a.1a + c5.2) minus (c5.58a.4 + c5.58a.55 + c5.58a.56 + c5.58a.83))</v>
      </c>
      <c r="AA249" s="3499"/>
      <c r="AC249" s="2982"/>
      <c r="AD249" s="93"/>
      <c r="AE249" s="2982"/>
      <c r="AF249" s="2982"/>
      <c r="AI249" s="2168"/>
      <c r="AJ249" s="2982"/>
      <c r="AK249" s="2982"/>
      <c r="AL249" s="2982"/>
    </row>
    <row customFormat="1" r="250" s="3436" spans="1:58" x14ac:dyDescent="0.2">
      <c r="A250" s="1945" t="s">
        <v>8086</v>
      </c>
      <c r="C250" s="2982"/>
      <c r="D250" s="2982"/>
      <c r="E250" s="2982"/>
      <c r="F250" s="2982" t="s">
        <v>2386</v>
      </c>
      <c r="G250" s="724"/>
      <c r="H250" s="117"/>
      <c r="I250" s="2982"/>
      <c r="J250" s="93" t="str">
        <f><![CDATA["("&E8&" minus ("&Q17&" + "&U17&" + "&AC17&" + "&AK17&" + "&AS17]]></f>
        <v>(c5.1 minus (c5.3a + c5.4 + c5.4a + c5.5 + c5.6</v>
      </c>
      <c r="K250" s="2982"/>
      <c r="L250" s="2982"/>
      <c r="M250" s="2982"/>
      <c r="N250" s="2982"/>
      <c r="P250" s="2325" t="s">
        <v>7880</v>
      </c>
      <c r="Q250" s="2162" t="str">
        <f>A142</f>
        <v>c5.55.21</v>
      </c>
      <c r="R250" s="1979">
        <f>MAX(0,MIN(R202-(R206+R240+R242+R248),R244))</f>
        <v>0</v>
      </c>
      <c r="S250" s="3431" t="s">
        <v>2694</v>
      </c>
      <c r="T250" s="2982"/>
      <c r="U250" s="2982"/>
      <c r="V250" s="2982" t="str">
        <f>"lower of ("&amp;E8&amp;" minus"</f>
        <v>lower of (c5.1 minus</v>
      </c>
      <c r="W250" s="3482"/>
      <c r="X250" s="2325" t="s">
        <v>8120</v>
      </c>
      <c r="Y250" s="3442" t="str">
        <f>A272</f>
        <v>c5.58a.84</v>
      </c>
      <c r="Z250" s="2321">
        <f>MAX(0,MIN((Z196-Z248),(('Status (c3a)'!I33+V8)-(Z69+Z192+Z194+Z248))))</f>
        <v>0</v>
      </c>
      <c r="AA250" s="3499"/>
      <c r="AC250" s="2982"/>
      <c r="AD250" s="2325" t="s">
        <v>6393</v>
      </c>
      <c r="AE250" s="2982"/>
      <c r="AF250" s="2982"/>
      <c r="AI250" s="93"/>
      <c r="AJ250" s="2982"/>
      <c r="AK250" s="2982"/>
      <c r="AL250" s="93" t="str">
        <f>"lower of ("&amp;E8&amp;" minus"</f>
        <v>lower of (c5.1 minus</v>
      </c>
      <c r="AW250" s="2982"/>
      <c r="AX250" s="2984"/>
      <c r="AY250" s="2982"/>
      <c r="AZ250" s="2982"/>
      <c r="BA250" s="2982"/>
      <c r="BB250" s="2982"/>
      <c r="BC250" s="2982"/>
      <c r="BD250" s="2982"/>
    </row>
    <row customFormat="1" r="251" s="3436" spans="1:58" x14ac:dyDescent="0.2">
      <c r="A251" s="1945" t="s">
        <v>8087</v>
      </c>
      <c r="C251" s="2974"/>
      <c r="D251" s="2982"/>
      <c r="E251" s="2982"/>
      <c r="F251" s="2982" t="s">
        <v>6712</v>
      </c>
      <c r="G251" s="724"/>
      <c r="H251" s="117"/>
      <c r="I251" s="2982"/>
      <c r="J251" s="93" t="str">
        <f><![CDATA["+ "&U36&" + "&AK36&" + "&AS36&")) and"]]></f>
        <v>+ c5.16 + c5.20 + c5.21)) and</v>
      </c>
      <c r="K251" s="2982"/>
      <c r="L251" s="2982"/>
      <c r="M251" s="2982"/>
      <c r="N251" s="2982"/>
      <c r="P251" s="2982"/>
      <c r="Q251" s="2982"/>
      <c r="R251" s="2325" t="str">
        <f>Q200&amp;" minus "&amp;Q220</f>
        <v>c5.54a minus c5.55.6</v>
      </c>
      <c r="S251" s="2982"/>
      <c r="T251" s="2982"/>
      <c r="U251" s="2982"/>
      <c r="V251" s="2325" t="str">
        <f><![CDATA["("&I182&" + "&I253&" + "&Q126&" + "&Q176&" + "&U247&" + "&U249&"))"]]></f>
        <v>(c5.47 + c5.48 + c5.52h + c5.52l + c5.57 + c5.57a))</v>
      </c>
      <c r="W251" s="93"/>
      <c r="X251" s="981"/>
      <c r="Y251" s="2325"/>
      <c r="Z251" s="2325" t="str">
        <f><![CDATA["lower of ("&Y196&" minus ("&Y248&" + "&Y250&")) and (("&'Status (c3a)'!H33&" + "&U8&" + "&'Status (c3a)'!P33&") minus ("&Y69&" + "&Y192&" + "&Y194&" + "&Y248&" + "&Y250&"))"]]></f>
        <v>lower of (c5.58a.57 minus (c5.58a.83 + c5.58a.84)) and ((c3a.1a + c5.2 + c3a.2a) minus (c5.58a.4 + c5.58a.55 + c5.58a.56 + c5.58a.83 + c5.58a.84))</v>
      </c>
      <c r="AA251" s="3499"/>
      <c r="AC251" s="2119" t="str">
        <f>A289</f>
        <v>c5.58j</v>
      </c>
      <c r="AD251" s="1981">
        <v>0</v>
      </c>
      <c r="AE251" s="2982"/>
      <c r="AF251" s="2982"/>
      <c r="AI251" s="1478"/>
      <c r="AJ251" s="2982"/>
      <c r="AK251" s="2982"/>
      <c r="AL251" s="93" t="str">
        <f><![CDATA["("&I182&" + "&I253&" + "&AC242&" + "&AC253&" + "&AK242&")) and"]]></f>
        <v>(c5.47 + c5.48 + c5.58i + c5.58k + c5.65)) and</v>
      </c>
      <c r="AW251" s="2982"/>
      <c r="AX251" s="2325" t="str">
        <f><![CDATA[" larger of ("&E8&" minus ("&AW126&" + "&AW153&" + "&AW176&")) and"]]></f>
        <v xml:space="preserve"> larger of (c5.1 minus (c5.67 + c5.68 + c5.69)) and</v>
      </c>
      <c r="AY251" s="2982"/>
      <c r="AZ251" s="2982"/>
      <c r="BA251" s="2982"/>
      <c r="BB251" s="2982"/>
      <c r="BC251" s="2982"/>
      <c r="BD251" s="2982"/>
    </row>
    <row customFormat="1" ht="12.75" r="252" s="3436" spans="1:58" thickBot="1" x14ac:dyDescent="0.25">
      <c r="A252" s="1945" t="s">
        <v>8088</v>
      </c>
      <c r="C252" s="2974"/>
      <c r="D252" s="2982"/>
      <c r="E252" s="2982"/>
      <c r="F252" s="2982" t="s">
        <v>2495</v>
      </c>
      <c r="G252" s="724"/>
      <c r="H252" s="117"/>
      <c r="I252" s="2982"/>
      <c r="J252" s="2325" t="str">
        <f><![CDATA["("&AS49&" minus (("&AK8&" + HR_band ("&DOLLAR(HR_band,0)&")) minus "&'Deductions (c4)'!L308&"))"]]></f>
        <v>(c5.34 minus ((c5.2a + HR_band ($112,500)) minus c4.74))</v>
      </c>
      <c r="K252" s="2982"/>
      <c r="L252" s="2982"/>
      <c r="M252" s="2982"/>
      <c r="N252" s="2982"/>
      <c r="P252" s="2325" t="s">
        <v>7881</v>
      </c>
      <c r="Q252" s="2162" t="str">
        <f>A143</f>
        <v>c5.55.22</v>
      </c>
      <c r="R252" s="2321">
        <f>MAX(0,R200-R220)</f>
        <v>33744</v>
      </c>
      <c r="S252" s="2982"/>
      <c r="T252" s="2982"/>
      <c r="U252" s="2982"/>
      <c r="V252" s="2325" t="str">
        <f><![CDATA["and ("&Q220&" + "&Q222&") minus ("&Q299&" + "&U244&")"]]></f>
        <v>and (c5.55.6 + c5.55.7) minus (c5.56 + c5.56p)</v>
      </c>
      <c r="W252" s="93"/>
      <c r="X252" s="2325" t="s">
        <v>8121</v>
      </c>
      <c r="Y252" s="3442" t="str">
        <f>A273</f>
        <v>c5.58a.85</v>
      </c>
      <c r="Z252" s="2321">
        <f>MAX(0,MIN(Z196-(Z248+Z250),('Status (c3a)'!I33+V8+'Status (c3a)'!Q33)-(Z69+Z192+Z194+Z248+Z250)))</f>
        <v>0</v>
      </c>
      <c r="AA252" s="3499"/>
      <c r="AC252" s="2982"/>
      <c r="AD252" s="2325" t="str">
        <f><![CDATA["lower of ("&E8&" minus ("&I182&" + "&I253&" + "&AC242&")) and "&Q81]]></f>
        <v>lower of (c5.1 minus (c5.47 + c5.48 + c5.58i)) and c5.52d</v>
      </c>
      <c r="AE252" s="2982"/>
      <c r="AF252" s="2982"/>
      <c r="AI252" s="93"/>
      <c r="AJ252" s="2982"/>
      <c r="AK252" s="2982"/>
      <c r="AL252" s="93" t="str">
        <f><![CDATA["("&U49&" + ("&AK49&" minus ("&U253&" + "&AC253&")) + ("&AS49&" minus "&I253&"))"]]></f>
        <v>(c5.25 + (c5.30 minus (c5.58 + c5.58k)) + (c5.34 minus c5.48))</v>
      </c>
      <c r="AW252" s="1945"/>
      <c r="AX252" s="2325" t="str">
        <f><![CDATA["(("&I253&" + "&U253&" + "&AC253&" + "&AK253&") minus "&AW123&")"]]></f>
        <v>((c5.48 + c5.58 + c5.58k + c5.66) minus c5.66t)</v>
      </c>
      <c r="AY252" s="2982"/>
      <c r="AZ252" s="2982"/>
      <c r="BA252" s="2982"/>
      <c r="BB252" s="128" t="str">
        <f>E253&amp;" minus "&amp;AW253</f>
        <v>c5.38 minus c5.70</v>
      </c>
      <c r="BC252" s="2982"/>
      <c r="BD252" s="2982"/>
    </row>
    <row customFormat="1" ht="13.5" r="253" s="3436" spans="1:58" thickBot="1" thickTop="1" x14ac:dyDescent="0.25">
      <c r="A253" s="1945" t="s">
        <v>8089</v>
      </c>
      <c r="C253" s="747" t="s">
        <v>3794</v>
      </c>
      <c r="D253" s="711"/>
      <c r="E253" s="2208" t="s">
        <v>6150</v>
      </c>
      <c r="F253" s="2209">
        <f>IF(non_resident,0,'Divs (c3)'!H17)</f>
        <v>0</v>
      </c>
      <c r="G253" s="724"/>
      <c r="H253" s="1476"/>
      <c r="I253" s="2208" t="str">
        <f>A71</f>
        <v>c5.48</v>
      </c>
      <c r="J253" s="2209">
        <f>MAX(0,MIN((F8-(R17+V17+AD17+AL17+AT17+V36+AL36+AT36)),AT49-((AL8+HR_band)-'Deductions (c4)'!M308)))</f>
        <v>0</v>
      </c>
      <c r="K253" s="3385"/>
      <c r="L253" s="2982"/>
      <c r="M253" s="2982"/>
      <c r="N253" s="93"/>
      <c r="P253" s="2982"/>
      <c r="Q253" s="2982"/>
      <c r="R253" s="2325" t="str">
        <f>"lower of "&amp;Q252&amp;" and "&amp;'Status (c3a)'!H33</f>
        <v>lower of c5.55.22 and c3a.1a</v>
      </c>
      <c r="S253" s="2982"/>
      <c r="T253" s="2982"/>
      <c r="U253" s="2208" t="str">
        <f>A188</f>
        <v>c5.58</v>
      </c>
      <c r="V253" s="2209">
        <f>MAX(0,MIN(F8-(J182+J253+R126+R176+V247+V249),(R220+R222)-(R299+V244)))</f>
        <v>0</v>
      </c>
      <c r="W253" s="1478"/>
      <c r="X253" s="3499"/>
      <c r="Y253" s="2325"/>
      <c r="Z253" s="2325" t="str">
        <f><![CDATA["lower of ("&Y196&" minus ("&Y248&" + "&Y250&" + "&Y252&")) and (("&'Status (c3a)'!H33&" + "&U8&" + "&'Status (c3a)'!P33&" + "&'Status (c3a)'!X33&") minus ("&Y69&" + "&Y192&" + "&Y194&" + "&Y248&" + "&Y250&" + "&Y252&"))"]]></f>
        <v>lower of (c5.58a.57 minus (c5.58a.83 + c5.58a.84 + c5.58a.85)) and ((c3a.1a + c5.2 + c3a.2a + c3a.3) minus (c5.58a.4 + c5.58a.55 + c5.58a.56 + c5.58a.83 + c5.58a.84 + c5.58a.85))</v>
      </c>
      <c r="AA253" s="3499"/>
      <c r="AC253" s="2119" t="str">
        <f>A290</f>
        <v>c5.58k</v>
      </c>
      <c r="AD253" s="2209">
        <f>MAX(0,MIN(F8-(J182+J253+AD242),R81))</f>
        <v>0</v>
      </c>
      <c r="AE253" s="711"/>
      <c r="AF253" s="711"/>
      <c r="AI253" s="1478"/>
      <c r="AJ253" s="711"/>
      <c r="AK253" s="2208" t="str">
        <f>A311</f>
        <v>c5.66</v>
      </c>
      <c r="AL253" s="2209">
        <f>MAX(0,MIN(F8-(J182+J253+AD242+AD253+AL242),V49+(AL49-(V253+AD253))+(AT49-J253)))</f>
        <v>0</v>
      </c>
      <c r="AW253" s="2208" t="str">
        <f>A357</f>
        <v>c5.70</v>
      </c>
      <c r="AX253" s="2209">
        <f>MAX(0,F8-(AX126+AX153+AX176),(J253+V253+AD253+AL253)-AX123)</f>
        <v>0</v>
      </c>
      <c r="AY253" s="2211"/>
      <c r="AZ253" s="711"/>
      <c r="BA253" s="2208" t="str">
        <f>A366</f>
        <v>c5.79</v>
      </c>
      <c r="BB253" s="2209">
        <f>MAX(0,F253-AX253)</f>
        <v>0</v>
      </c>
      <c r="BC253" s="711"/>
      <c r="BD253" s="2641" t="s">
        <v>3794</v>
      </c>
    </row>
    <row customFormat="1" ht="12.75" r="254" s="3436" spans="1:58" thickTop="1" x14ac:dyDescent="0.2">
      <c r="A254" s="1945" t="s">
        <v>8090</v>
      </c>
      <c r="C254" s="2974"/>
      <c r="D254" s="2982"/>
      <c r="E254" s="2982"/>
      <c r="F254" s="2982"/>
      <c r="G254" s="724"/>
      <c r="H254" s="117"/>
      <c r="I254" s="2982"/>
      <c r="J254" s="2982"/>
      <c r="K254" s="2982"/>
      <c r="L254" s="2982"/>
      <c r="M254" s="2982"/>
      <c r="N254" s="2982"/>
      <c r="P254" s="2325" t="s">
        <v>7863</v>
      </c>
      <c r="Q254" s="2162" t="str">
        <f>A144</f>
        <v>c5.55.23</v>
      </c>
      <c r="R254" s="2321">
        <f>MIN(R252,'Status (c3a)'!I33)</f>
        <v>2049</v>
      </c>
      <c r="S254" s="3431" t="s">
        <v>2694</v>
      </c>
      <c r="T254" s="806"/>
      <c r="U254" s="2982"/>
      <c r="V254" s="2982"/>
      <c r="W254" s="3482"/>
      <c r="X254" s="2325" t="s">
        <v>8122</v>
      </c>
      <c r="Y254" s="3442" t="str">
        <f>A274</f>
        <v>c5.58a.86</v>
      </c>
      <c r="Z254" s="2321">
        <f>MAX(0,MIN(Z196-(Z248+Z250+Z252),('Status (c3a)'!I33+V8+'Status (c3a)'!Q33+'Status (c3a)'!Y33)-(Z69+Z192+Z194+Z248+Z250+Z252)))</f>
        <v>0</v>
      </c>
      <c r="AA254" s="3499"/>
      <c r="AE254" s="37"/>
      <c r="AN254" s="2982"/>
      <c r="AO254" s="2982"/>
      <c r="AP254" s="2982"/>
      <c r="AQ254" s="2982"/>
      <c r="AR254" s="2982"/>
      <c r="AS254" s="2982"/>
      <c r="AT254" s="2982"/>
      <c r="AU254" s="2982"/>
      <c r="AV254" s="2982"/>
      <c r="AW254" s="2982"/>
      <c r="AX254" s="806"/>
      <c r="AY254" s="375"/>
      <c r="AZ254" s="375"/>
      <c r="BA254" s="2984"/>
      <c r="BB254" s="1782"/>
      <c r="BC254" s="2982"/>
      <c r="BD254" s="2641"/>
      <c r="BE254" s="2982"/>
      <c r="BF254" s="2982"/>
    </row>
    <row customFormat="1" r="255" s="3436" spans="1:58" x14ac:dyDescent="0.2">
      <c r="A255" s="1945" t="s">
        <v>8091</v>
      </c>
      <c r="C255" s="2974"/>
      <c r="D255" s="2982"/>
      <c r="E255" s="2982"/>
      <c r="F255" s="2982"/>
      <c r="G255" s="724"/>
      <c r="H255" s="117"/>
      <c r="I255" s="2982"/>
      <c r="J255" s="2982"/>
      <c r="K255" s="2982"/>
      <c r="L255" s="2982"/>
      <c r="M255" s="2982"/>
      <c r="N255" s="2982"/>
      <c r="P255" s="2982"/>
      <c r="Q255" s="1945"/>
      <c r="R255" s="2325" t="str">
        <f>"lower of ("&amp;Q252&amp;" minus "&amp;Q254&amp;") and "&amp;U8</f>
        <v>lower of (c5.55.22 minus c5.55.23) and c5.2</v>
      </c>
      <c r="S255" s="2982"/>
      <c r="T255" s="2982"/>
      <c r="U255" s="2982"/>
      <c r="V255" s="2982"/>
      <c r="W255" s="3482"/>
      <c r="X255" s="711"/>
      <c r="Y255" s="2325"/>
      <c r="Z255" s="2325" t="str">
        <f><![CDATA["("&Y248&" x "&'Status (c3a)'!H44&") + ("&Y250&" x "&'Status (c3a)'!L44&") + ("&Y252&" x "&'Status (c3a)'!P44&") + ("&Y254&" x "&'Status (c3a)'!X44&")"]]></f>
        <v>(c5.58a.83 x c3a.3b) + (c5.58a.84 x c3a.4) + (c5.58a.85 x c3a.4a) + (c5.58a.86 x c3a.5)</v>
      </c>
      <c r="AA255" s="3484"/>
      <c r="AE255" s="37"/>
      <c r="AN255" s="2982"/>
      <c r="AO255" s="2982"/>
      <c r="AP255" s="2982"/>
      <c r="AQ255" s="2982"/>
      <c r="AR255" s="2982"/>
      <c r="AS255" s="2982"/>
      <c r="AT255" s="2982"/>
      <c r="AU255" s="2982"/>
      <c r="AV255" s="2982"/>
      <c r="AW255" s="2982"/>
      <c r="AX255" s="2982"/>
      <c r="AY255" s="2982"/>
      <c r="AZ255" s="2982"/>
      <c r="BA255" s="2982"/>
      <c r="BB255" s="2982"/>
      <c r="BC255" s="2982"/>
      <c r="BD255" s="2982"/>
      <c r="BE255" s="2982"/>
      <c r="BF255" s="2982"/>
    </row>
    <row customFormat="1" r="256" s="3436" spans="1:58" x14ac:dyDescent="0.2">
      <c r="A256" s="1945" t="s">
        <v>8092</v>
      </c>
      <c r="C256" s="2982"/>
      <c r="D256" s="2982"/>
      <c r="E256" s="2978"/>
      <c r="F256" s="2978" t="s">
        <v>4039</v>
      </c>
      <c r="G256" s="724"/>
      <c r="H256" s="117"/>
      <c r="I256" s="2982"/>
      <c r="J256" s="2982"/>
      <c r="K256" s="2982"/>
      <c r="L256" s="2982"/>
      <c r="M256" s="2982"/>
      <c r="N256" s="2982"/>
      <c r="P256" s="2325" t="s">
        <v>7864</v>
      </c>
      <c r="Q256" s="2162" t="str">
        <f>A145</f>
        <v>c5.55.24</v>
      </c>
      <c r="R256" s="1978">
        <f>MIN(MAX(0,R252-R254),V8)</f>
        <v>12020</v>
      </c>
      <c r="S256" s="2982"/>
      <c r="T256" s="2982"/>
      <c r="U256" s="2982"/>
      <c r="V256" s="2982"/>
      <c r="W256" s="3482"/>
      <c r="X256" s="2325" t="s">
        <v>8126</v>
      </c>
      <c r="Y256" s="3442" t="str">
        <f>A275</f>
        <v>c5.58a.87</v>
      </c>
      <c r="Z256" s="2298">
        <f>TRUNC((Z248*'Status (c3a)'!I44)+(Z250*'Status (c3a)'!M44)+(Z252*'Status (c3a)'!Q44)+(Z254*'Status (c3a)'!Y44),2)</f>
        <v>0</v>
      </c>
      <c r="AA256" s="3441" t="s">
        <v>2694</v>
      </c>
      <c r="AB256" s="3484"/>
      <c r="AE256" s="37"/>
      <c r="AN256" s="2982"/>
      <c r="AO256" s="2982"/>
      <c r="AP256" s="2982"/>
      <c r="AQ256" s="2982"/>
      <c r="AR256" s="2982"/>
      <c r="AS256" s="2982"/>
      <c r="AT256" s="2982"/>
      <c r="AU256" s="37"/>
      <c r="AV256" s="37"/>
      <c r="AW256" s="2982"/>
      <c r="AX256" s="2982"/>
      <c r="AY256" s="2982"/>
      <c r="AZ256" s="2982"/>
      <c r="BA256" s="2982"/>
      <c r="BB256" s="2982"/>
      <c r="BC256" s="2982"/>
      <c r="BD256" s="2982"/>
      <c r="BE256" s="2982"/>
      <c r="BF256" s="2982"/>
    </row>
    <row customFormat="1" r="257" s="3436" spans="1:58" x14ac:dyDescent="0.2">
      <c r="A257" s="1945" t="s">
        <v>8093</v>
      </c>
      <c r="C257" s="2982"/>
      <c r="D257" s="2982"/>
      <c r="E257" s="2982"/>
      <c r="F257" s="2978" t="s">
        <v>6715</v>
      </c>
      <c r="G257" s="724"/>
      <c r="H257" s="117"/>
      <c r="I257" s="2982"/>
      <c r="J257" s="2982"/>
      <c r="K257" s="2982"/>
      <c r="L257" s="2982"/>
      <c r="M257" s="2982"/>
      <c r="N257" s="2982"/>
      <c r="P257" s="1945"/>
      <c r="Q257" s="1945"/>
      <c r="R257" s="2325" t="str">
        <f><![CDATA["lower of ("&Q252&" minus ("&Q254&" + "&Q256&")) and "&'Status (c3a)'!P33]]></f>
        <v>lower of (c5.55.22 minus (c5.55.23 + c5.55.24)) and c3a.2a</v>
      </c>
      <c r="S257" s="2982"/>
      <c r="T257" s="2982"/>
      <c r="U257" s="2982"/>
      <c r="V257" s="2982"/>
      <c r="W257" s="3482"/>
      <c r="X257" s="711"/>
      <c r="Y257" s="2325"/>
      <c r="Z257" s="2325" t="str">
        <f><![CDATA["("&Y228&" x BR_rate ("&BR_rate*100&"%)) + ("&Y236&" x HR_rate ("&HR_rate*100&"%)) + ("&Y242&" x DivBR_rate ("&DivBR_rate*100&"%)) + ("&Y246&" x DivHR_rate ("&DivHR_rate*100&"%))"]]></f>
        <v>(c5.58a.73 x BR_rate (20%)) + (c5.58a.77 x HR_rate (40%)) + (c5.58a.80 x DivBR_rate (7.5%)) + (c5.58a.82 x DivHR_rate (32.5%))</v>
      </c>
      <c r="AB257" s="3484"/>
      <c r="AE257" s="37"/>
      <c r="AN257" s="2982"/>
      <c r="AO257" s="2982"/>
      <c r="AP257" s="2982"/>
      <c r="AQ257" s="2982"/>
      <c r="AR257" s="2982"/>
      <c r="AS257" s="2982"/>
      <c r="AT257" s="2982"/>
      <c r="AU257" s="2982"/>
      <c r="AV257" s="2982"/>
      <c r="AW257" s="2982"/>
      <c r="AX257" s="2982"/>
      <c r="AY257" s="2982"/>
      <c r="AZ257" s="2982"/>
      <c r="BA257" s="2982"/>
      <c r="BB257" s="2982"/>
      <c r="BC257" s="2982"/>
      <c r="BD257" s="2974"/>
      <c r="BE257" s="2982"/>
      <c r="BF257" s="2982"/>
    </row>
    <row customFormat="1" r="258" s="3436" spans="1:58" x14ac:dyDescent="0.2">
      <c r="A258" s="1945" t="s">
        <v>8094</v>
      </c>
      <c r="C258" s="2974"/>
      <c r="D258" s="2982"/>
      <c r="E258" s="2982"/>
      <c r="F258" s="2982" t="s">
        <v>2386</v>
      </c>
      <c r="G258" s="724"/>
      <c r="H258" s="117"/>
      <c r="I258" s="2982"/>
      <c r="J258" s="2982"/>
      <c r="K258" s="2982"/>
      <c r="L258" s="2982"/>
      <c r="M258" s="2982"/>
      <c r="N258" s="2982"/>
      <c r="P258" s="2325" t="s">
        <v>7867</v>
      </c>
      <c r="Q258" s="2162" t="str">
        <f>A146</f>
        <v>c5.55.25</v>
      </c>
      <c r="R258" s="1978">
        <f>MAX(0,MIN((R252-(R254+R256)),'Status (c3a)'!Q33))</f>
        <v>18486</v>
      </c>
      <c r="S258" s="2982"/>
      <c r="T258" s="2982"/>
      <c r="U258" s="2982"/>
      <c r="V258" s="2982"/>
      <c r="W258" s="3482"/>
      <c r="X258" s="2325" t="s">
        <v>8127</v>
      </c>
      <c r="Y258" s="3442" t="str">
        <f>A276</f>
        <v>c5.58a.88</v>
      </c>
      <c r="Z258" s="2298">
        <f>TRUNC((Z228*BR_rate)+(Z236*HR_rate)+(Z242*DivBR_rate)+(Z246*DivHR_rate),2)</f>
        <v>4129.3500000000004</v>
      </c>
      <c r="AA258" s="3441" t="s">
        <v>2694</v>
      </c>
      <c r="AB258" s="3484"/>
      <c r="AE258" s="37"/>
      <c r="AN258" s="2982"/>
      <c r="AO258" s="2982"/>
      <c r="AP258" s="2982"/>
      <c r="AQ258" s="2982"/>
      <c r="AR258" s="2982"/>
      <c r="AS258" s="2982"/>
      <c r="AT258" s="2982"/>
      <c r="AU258" s="2982"/>
      <c r="AV258" s="2982"/>
      <c r="AW258" s="2982"/>
      <c r="AX258" s="2982"/>
      <c r="AY258" s="2982"/>
      <c r="AZ258" s="2982"/>
      <c r="BA258" s="2982"/>
      <c r="BB258" s="2982"/>
      <c r="BC258" s="2982"/>
      <c r="BD258" s="2974"/>
      <c r="BE258" s="2982"/>
      <c r="BF258" s="2982"/>
    </row>
    <row customFormat="1" r="259" s="3436" spans="1:58" x14ac:dyDescent="0.2">
      <c r="A259" s="1945" t="s">
        <v>8095</v>
      </c>
      <c r="C259" s="2974"/>
      <c r="D259" s="2982"/>
      <c r="E259" s="2982"/>
      <c r="F259" s="93" t="s">
        <v>6716</v>
      </c>
      <c r="G259" s="724"/>
      <c r="H259" s="117"/>
      <c r="I259" s="2982"/>
      <c r="J259" s="2982"/>
      <c r="K259" s="2982"/>
      <c r="L259" s="2982"/>
      <c r="M259" s="2982"/>
      <c r="N259" s="2982"/>
      <c r="P259" s="1945"/>
      <c r="Q259" s="1945"/>
      <c r="R259" s="2325" t="str">
        <f><![CDATA["lower of ("&Q252&" minus ("&Q254&" + "&Q256&" + "&Q258&")) and "&'Status (c3a)'!X33]]></f>
        <v>lower of (c5.55.22 minus (c5.55.23 + c5.55.24 + c5.55.25)) and c3a.3</v>
      </c>
      <c r="S259" s="2982"/>
      <c r="T259" s="2982"/>
      <c r="U259" s="2982"/>
      <c r="V259" s="2982"/>
      <c r="W259" s="3482"/>
      <c r="X259" s="720"/>
      <c r="Y259" s="2325"/>
      <c r="Z259" s="2325" t="str">
        <f>Y256&amp;" + "&amp;Y258</f>
        <v>c5.58a.87 + c5.58a.88</v>
      </c>
      <c r="AB259" s="3499"/>
      <c r="AE259" s="37"/>
      <c r="AN259" s="2982"/>
      <c r="AO259" s="2982"/>
      <c r="AP259" s="2982"/>
      <c r="AQ259" s="2982"/>
      <c r="AR259" s="2982"/>
      <c r="AS259" s="2982"/>
      <c r="AT259" s="2982"/>
      <c r="AU259" s="93"/>
      <c r="AV259" s="2982"/>
      <c r="AW259" s="2982"/>
      <c r="AX259" s="2982"/>
      <c r="AY259" s="2982"/>
      <c r="AZ259" s="2982"/>
      <c r="BA259" s="2982"/>
      <c r="BB259" s="2982"/>
      <c r="BC259" s="2982"/>
      <c r="BD259" s="2974"/>
      <c r="BE259" s="2982"/>
      <c r="BF259" s="2982"/>
    </row>
    <row customFormat="1" ht="12.75" r="260" s="3436" spans="1:58" thickBot="1" x14ac:dyDescent="0.25">
      <c r="A260" s="1945" t="s">
        <v>8096</v>
      </c>
      <c r="C260" s="2974"/>
      <c r="D260" s="2982"/>
      <c r="E260" s="2982"/>
      <c r="F260" s="2982" t="s">
        <v>2495</v>
      </c>
      <c r="G260" s="724"/>
      <c r="H260" s="117"/>
      <c r="I260" s="2982"/>
      <c r="J260" s="2982"/>
      <c r="K260" s="2982"/>
      <c r="L260" s="2982"/>
      <c r="M260" s="2982"/>
      <c r="N260" s="2982"/>
      <c r="P260" s="2325" t="s">
        <v>7868</v>
      </c>
      <c r="Q260" s="2162" t="str">
        <f>A147</f>
        <v>c5.55.26</v>
      </c>
      <c r="R260" s="1978">
        <f>MAX(0,MIN((R252-(R254+R256+R258)),'Status (c3a)'!Y33))</f>
        <v>1189</v>
      </c>
      <c r="S260" s="2982"/>
      <c r="T260" s="2982"/>
      <c r="U260" s="2982"/>
      <c r="V260" s="2982"/>
      <c r="W260" s="3482"/>
      <c r="X260" s="2325" t="s">
        <v>8187</v>
      </c>
      <c r="Y260" s="3487" t="str">
        <f>A280</f>
        <v>c5.58a</v>
      </c>
      <c r="Z260" s="2298">
        <f>Z256+Z258</f>
        <v>4129.3500000000004</v>
      </c>
      <c r="AB260" s="3499"/>
      <c r="AE260" s="37"/>
      <c r="AN260" s="2982"/>
      <c r="AO260" s="2982"/>
      <c r="AP260" s="2982"/>
      <c r="AQ260" s="2982"/>
      <c r="AR260" s="2982"/>
      <c r="AS260" s="2982"/>
      <c r="AT260" s="2982"/>
      <c r="AU260" s="93"/>
      <c r="AV260" s="2982"/>
      <c r="AW260" s="2982"/>
      <c r="AX260" s="128" t="str">
        <f>AW253&amp;" minus "&amp;E253</f>
        <v>c5.70 minus c5.38</v>
      </c>
      <c r="AY260" s="2982"/>
      <c r="AZ260" s="2982"/>
      <c r="BA260" s="2982"/>
      <c r="BB260" s="128" t="str">
        <f>E261&amp;" minus "&amp;AW261</f>
        <v>c5.39 minus c5.71</v>
      </c>
      <c r="BC260" s="2982"/>
      <c r="BD260" s="2982"/>
      <c r="BE260" s="2982"/>
      <c r="BF260" s="2982"/>
    </row>
    <row customFormat="1" ht="13.5" r="261" s="3436" spans="1:58" thickBot="1" thickTop="1" x14ac:dyDescent="0.25">
      <c r="A261" s="1945" t="s">
        <v>8097</v>
      </c>
      <c r="C261" s="747" t="s">
        <v>3325</v>
      </c>
      <c r="D261" s="2982"/>
      <c r="E261" s="2208" t="s">
        <v>6151</v>
      </c>
      <c r="F261" s="2209">
        <f>IF(non_resident,0,'Divs (c3)'!E39+'Divs (c3)'!E40)</f>
        <v>0</v>
      </c>
      <c r="G261" s="724"/>
      <c r="H261" s="2982"/>
      <c r="I261" s="2982"/>
      <c r="J261" s="2982"/>
      <c r="K261" s="2982"/>
      <c r="L261" s="2982"/>
      <c r="M261" s="2982"/>
      <c r="N261" s="2982"/>
      <c r="P261" s="2982"/>
      <c r="Q261" s="93"/>
      <c r="R261" s="2325" t="str">
        <f>"lower of "&amp;Q202&amp;" and SR_band ("&amp;DOLLAR(SR_band,0)&amp;")"</f>
        <v>lower of c5.54a1 and SR_band ($5,000)</v>
      </c>
      <c r="S261" s="2982"/>
      <c r="T261" s="2982"/>
      <c r="U261" s="2982"/>
      <c r="V261" s="2982"/>
      <c r="W261" s="3482"/>
      <c r="X261" s="93"/>
      <c r="Y261" s="3425"/>
      <c r="Z261" s="2325" t="str">
        <f>"if "&amp;Y183&amp;" larger than 0 (zero)"</f>
        <v>if c5.58a.53 larger than 0 (zero)</v>
      </c>
      <c r="AB261" s="3499"/>
      <c r="AE261" s="37"/>
      <c r="AN261" s="2982"/>
      <c r="AO261" s="2982"/>
      <c r="AP261" s="2982"/>
      <c r="AQ261" s="2982"/>
      <c r="AR261" s="2982"/>
      <c r="AS261" s="2982"/>
      <c r="AT261" s="2982"/>
      <c r="AU261" s="128"/>
      <c r="AV261" s="2982"/>
      <c r="AW261" s="2165" t="str">
        <f>A358</f>
        <v>c5.71</v>
      </c>
      <c r="AX261" s="2075">
        <f>MAX(0,AX253-F253)</f>
        <v>0</v>
      </c>
      <c r="AY261" s="2982"/>
      <c r="AZ261" s="2982"/>
      <c r="BA261" s="2208" t="str">
        <f>A367</f>
        <v>c5.80</v>
      </c>
      <c r="BB261" s="2209">
        <f>MAX(0,F261-AX261)</f>
        <v>0</v>
      </c>
      <c r="BC261" s="2982"/>
      <c r="BD261" s="2641" t="s">
        <v>3325</v>
      </c>
      <c r="BE261" s="2982"/>
      <c r="BF261" s="2982"/>
    </row>
    <row customFormat="1" ht="12.75" r="262" s="3436" spans="1:58" thickTop="1" x14ac:dyDescent="0.2">
      <c r="A262" s="1945" t="s">
        <v>8098</v>
      </c>
      <c r="C262" s="2974"/>
      <c r="D262" s="2982"/>
      <c r="E262" s="2982"/>
      <c r="F262" s="2982"/>
      <c r="G262" s="724"/>
      <c r="H262" s="117"/>
      <c r="I262" s="2982"/>
      <c r="J262" s="2982"/>
      <c r="K262" s="2982"/>
      <c r="L262" s="2982"/>
      <c r="M262" s="2982"/>
      <c r="N262" s="2982"/>
      <c r="P262" s="2982"/>
      <c r="Q262" s="2162" t="str">
        <f>A148</f>
        <v>c5.55.27</v>
      </c>
      <c r="R262" s="1978">
        <f>MIN(R202,SR_band)</f>
        <v>3678</v>
      </c>
      <c r="S262" s="3431" t="s">
        <v>2694</v>
      </c>
      <c r="T262" s="2982"/>
      <c r="U262" s="2982"/>
      <c r="V262" s="2982"/>
      <c r="W262" s="3482"/>
      <c r="X262" s="394"/>
      <c r="Y262" s="3425"/>
      <c r="Z262" s="2325" t="str">
        <f>Y266&amp;" = "&amp;Y151</f>
        <v>c5.58b = c5.58a.45</v>
      </c>
      <c r="AA262" s="3484">
        <f>Z151</f>
        <v>4129.3500000000004</v>
      </c>
      <c r="AE262" s="37"/>
      <c r="AN262" s="2982"/>
      <c r="AO262" s="2982"/>
      <c r="AP262" s="2982"/>
      <c r="AQ262" s="2982"/>
      <c r="AR262" s="2982"/>
      <c r="AS262" s="2982"/>
      <c r="AT262" s="2982"/>
      <c r="AU262" s="371"/>
      <c r="AV262" s="2982"/>
      <c r="AW262" s="2982"/>
      <c r="AX262" s="2982"/>
      <c r="AY262" s="981"/>
      <c r="AZ262" s="981"/>
      <c r="BA262" s="981"/>
      <c r="BB262" s="982"/>
      <c r="BC262" s="2982"/>
      <c r="BD262" s="2641"/>
      <c r="BE262" s="2982"/>
      <c r="BF262" s="2982"/>
    </row>
    <row customFormat="1" r="263" s="3436" spans="1:58" x14ac:dyDescent="0.2">
      <c r="A263" s="1945" t="s">
        <v>8099</v>
      </c>
      <c r="C263" s="2974"/>
      <c r="D263" s="2982"/>
      <c r="E263" s="2982"/>
      <c r="F263" s="2982"/>
      <c r="G263" s="724"/>
      <c r="H263" s="117"/>
      <c r="I263" s="2982"/>
      <c r="J263" s="2982"/>
      <c r="K263" s="2982"/>
      <c r="L263" s="2982"/>
      <c r="M263" s="2982"/>
      <c r="N263" s="2982"/>
      <c r="P263" s="1945"/>
      <c r="Q263" s="2325"/>
      <c r="R263" s="2325" t="str">
        <f><![CDATA["lower of "&Q262&" and (SR_band ("&DOLLAR(SR_band,0)&") minus "&Q252&")"]]></f>
        <v>lower of c5.55.27 and (SR_band ($5,000) minus c5.55.22)</v>
      </c>
      <c r="S263" s="2982"/>
      <c r="T263" s="2982"/>
      <c r="U263" s="2982"/>
      <c r="V263" s="2982"/>
      <c r="W263" s="3482"/>
      <c r="X263" s="3499"/>
      <c r="Y263" s="3425"/>
      <c r="Z263" s="3357" t="s">
        <v>2386</v>
      </c>
      <c r="AA263" s="3499"/>
      <c r="AE263" s="37"/>
      <c r="AN263" s="711"/>
      <c r="AO263" s="711"/>
      <c r="AP263" s="711"/>
      <c r="AQ263" s="711"/>
      <c r="AR263" s="711"/>
      <c r="AS263" s="711"/>
      <c r="AT263" s="711"/>
      <c r="AU263" s="711"/>
      <c r="AV263" s="711"/>
      <c r="AW263" s="2982"/>
      <c r="AX263" s="2982"/>
      <c r="AY263" s="2982"/>
      <c r="AZ263" s="2982"/>
      <c r="BA263" s="2982"/>
      <c r="BB263" s="1220"/>
      <c r="BC263" s="2982"/>
      <c r="BD263" s="2982"/>
      <c r="BE263" s="2982"/>
      <c r="BF263" s="2982"/>
    </row>
    <row customFormat="1" ht="12.75" r="264" s="3436" spans="1:58" thickBot="1" x14ac:dyDescent="0.25">
      <c r="A264" s="1945" t="s">
        <v>8100</v>
      </c>
      <c r="C264" s="2982"/>
      <c r="D264" s="2982"/>
      <c r="E264" s="2982"/>
      <c r="F264" s="2978" t="s">
        <v>4039</v>
      </c>
      <c r="G264" s="724"/>
      <c r="H264" s="117"/>
      <c r="I264" s="2982"/>
      <c r="J264" s="2982"/>
      <c r="K264" s="2982"/>
      <c r="L264" s="2982"/>
      <c r="M264" s="2982"/>
      <c r="N264" s="2982"/>
      <c r="P264" s="2325" t="s">
        <v>7859</v>
      </c>
      <c r="Q264" s="2162" t="str">
        <f>A149</f>
        <v>c5.55.28</v>
      </c>
      <c r="R264" s="1978">
        <f>MIN(R262,MAX(0,(SR_band-R252)))</f>
        <v>0</v>
      </c>
      <c r="S264" s="2982"/>
      <c r="T264" s="2982"/>
      <c r="U264" s="2982"/>
      <c r="V264" s="2982"/>
      <c r="W264" s="3482"/>
      <c r="X264" s="93"/>
      <c r="Y264" s="3425"/>
      <c r="Z264" s="2325" t="str">
        <f>Y266&amp;" = ("&amp;Y171&amp;" + "&amp;Y173&amp;")"</f>
        <v>c5.58b = (c5.58a.49 + c5.58a.50)</v>
      </c>
      <c r="AA264" s="3484">
        <f>Z171+Z173</f>
        <v>4129.3500000000004</v>
      </c>
      <c r="AE264" s="37"/>
      <c r="AN264" s="2982"/>
      <c r="AO264" s="2982"/>
      <c r="AP264" s="2982"/>
      <c r="AQ264" s="2982"/>
      <c r="AR264" s="2982"/>
      <c r="AS264" s="2982"/>
      <c r="AT264" s="2982"/>
      <c r="AU264" s="2982"/>
      <c r="AV264" s="375"/>
      <c r="AW264" s="2982"/>
      <c r="AX264" s="128" t="str">
        <f>AW261&amp;" minus "&amp;E261</f>
        <v>c5.71 minus c5.39</v>
      </c>
      <c r="AY264" s="2982"/>
      <c r="AZ264" s="2982"/>
      <c r="BA264" s="2982"/>
      <c r="BB264" s="128" t="str">
        <f>E269&amp;" minus "&amp;AW265</f>
        <v>c5.40 minus c5.72</v>
      </c>
      <c r="BC264" s="2982"/>
      <c r="BD264" s="2982"/>
      <c r="BE264" s="2982"/>
      <c r="BF264" s="2982"/>
    </row>
    <row customFormat="1" ht="13.5" r="265" s="3436" spans="1:58" thickBot="1" thickTop="1" x14ac:dyDescent="0.25">
      <c r="A265" s="1945" t="s">
        <v>8101</v>
      </c>
      <c r="C265" s="2974"/>
      <c r="D265" s="2982"/>
      <c r="E265" s="2982"/>
      <c r="F265" s="93" t="s">
        <v>6717</v>
      </c>
      <c r="G265" s="724"/>
      <c r="H265" s="117"/>
      <c r="I265" s="2982"/>
      <c r="J265" s="2982"/>
      <c r="K265" s="2982"/>
      <c r="L265" s="2982"/>
      <c r="M265" s="2982"/>
      <c r="N265" s="2982"/>
      <c r="Q265" s="1945"/>
      <c r="R265" s="2325" t="str">
        <f>"lower of ("&amp;Q202&amp;" minus "&amp;Q264&amp;") and "&amp;'Deductions (c4)'!L430</f>
        <v>lower of (c5.54a1 minus c5.55.28) and c4.79</v>
      </c>
      <c r="T265" s="2982"/>
      <c r="U265" s="2982"/>
      <c r="V265" s="2982"/>
      <c r="W265" s="3482"/>
      <c r="X265" s="3499"/>
      <c r="Y265" s="1945"/>
      <c r="Z265" s="3357" t="s">
        <v>2495</v>
      </c>
      <c r="AA265" s="3499"/>
      <c r="AE265" s="37"/>
      <c r="AN265" s="2982"/>
      <c r="AO265" s="2982"/>
      <c r="AP265" s="2982"/>
      <c r="AQ265" s="2982"/>
      <c r="AR265" s="2982"/>
      <c r="AS265" s="2982"/>
      <c r="AT265" s="2982"/>
      <c r="AU265" s="2982"/>
      <c r="AV265" s="2982"/>
      <c r="AW265" s="2165" t="str">
        <f>A359</f>
        <v>c5.72</v>
      </c>
      <c r="AX265" s="2075">
        <f>MAX(0,AX261-F261)</f>
        <v>0</v>
      </c>
      <c r="AY265" s="2982"/>
      <c r="AZ265" s="2982"/>
      <c r="BA265" s="2208" t="str">
        <f>A368</f>
        <v>c5.81</v>
      </c>
      <c r="BB265" s="2209">
        <f>MAX(0,F269-AX265)</f>
        <v>12750</v>
      </c>
      <c r="BC265" s="2982"/>
      <c r="BD265" s="2641" t="s">
        <v>2996</v>
      </c>
      <c r="BE265" s="2982"/>
      <c r="BF265" s="711"/>
    </row>
    <row customFormat="1" ht="12.75" r="266" s="3436" spans="1:58" thickTop="1" x14ac:dyDescent="0.2">
      <c r="A266" s="1945" t="s">
        <v>8102</v>
      </c>
      <c r="C266" s="2974"/>
      <c r="D266" s="2982"/>
      <c r="E266" s="2982"/>
      <c r="F266" s="2982" t="s">
        <v>2386</v>
      </c>
      <c r="G266" s="724"/>
      <c r="H266" s="117"/>
      <c r="I266" s="2982"/>
      <c r="J266" s="2982"/>
      <c r="K266" s="2982"/>
      <c r="L266" s="2982"/>
      <c r="M266" s="2982"/>
      <c r="N266" s="2982"/>
      <c r="Q266" s="3442" t="str">
        <f>A150</f>
        <v>c5.55.29</v>
      </c>
      <c r="R266" s="2321">
        <f>MIN(MAX(0,R202-R264),'Deductions (c4)'!M430)</f>
        <v>500</v>
      </c>
      <c r="S266" s="93"/>
      <c r="W266" s="3482"/>
      <c r="X266" s="2325" t="s">
        <v>8136</v>
      </c>
      <c r="Y266" s="3487" t="str">
        <f>A281</f>
        <v>c5.58b</v>
      </c>
      <c r="Z266" s="2298">
        <f>IF(Z183&gt;0,Z151,Z171+Z173)</f>
        <v>4129.3500000000004</v>
      </c>
      <c r="AA266" s="3499"/>
      <c r="AE266" s="37"/>
      <c r="AN266" s="2982"/>
      <c r="AO266" s="2982"/>
      <c r="AP266" s="2982"/>
      <c r="AQ266" s="2982"/>
      <c r="AR266" s="2982"/>
      <c r="AS266" s="2982"/>
      <c r="AT266" s="2982"/>
      <c r="AU266" s="2982"/>
      <c r="AV266" s="2982"/>
      <c r="AW266" s="2982"/>
      <c r="AX266" s="2982"/>
      <c r="AY266" s="2982"/>
      <c r="AZ266" s="2982"/>
      <c r="BA266" s="2982"/>
      <c r="BB266" s="93" t="str">
        <f><![CDATA["add "&BA253&" + "&BA261&" + "&BA265&" and copy to "&'tax it (c6)'!Q14&""]]></f>
        <v>add c5.79 + c5.80 + c5.81 and copy to c6.23</v>
      </c>
      <c r="BC266" s="2982"/>
      <c r="BD266" s="2641"/>
      <c r="BE266" s="2982"/>
      <c r="BF266" s="2982"/>
    </row>
    <row customFormat="1" r="267" s="3436" spans="1:58" x14ac:dyDescent="0.2">
      <c r="A267" s="1945" t="s">
        <v>8103</v>
      </c>
      <c r="C267" s="2974"/>
      <c r="D267" s="2982"/>
      <c r="E267" s="2982"/>
      <c r="F267" s="93" t="s">
        <v>6718</v>
      </c>
      <c r="G267" s="724"/>
      <c r="H267" s="117"/>
      <c r="I267" s="2982"/>
      <c r="J267" s="2982"/>
      <c r="K267" s="2982"/>
      <c r="L267" s="2982"/>
      <c r="M267" s="2982"/>
      <c r="N267" s="2982"/>
      <c r="Q267" s="1945"/>
      <c r="R267" s="2325" t="str">
        <f><![CDATA["lower of "&Q266&" and ("&AK8&" minus "&Q256&")"]]></f>
        <v>lower of c5.55.29 and (c5.2a minus c5.55.24)</v>
      </c>
      <c r="S267" s="93"/>
      <c r="W267" s="3482"/>
      <c r="X267" s="711"/>
      <c r="Y267" s="1945"/>
      <c r="Z267" s="2325" t="str">
        <f>Y89&amp;" + "&amp;Y266</f>
        <v>c5.58a.14 + c5.58b</v>
      </c>
      <c r="AA267" s="3499"/>
      <c r="AE267" s="37"/>
      <c r="AN267" s="2982"/>
      <c r="AO267" s="2982"/>
      <c r="AP267" s="2982"/>
      <c r="AQ267" s="2982"/>
      <c r="AR267" s="2982"/>
      <c r="AS267" s="2982"/>
      <c r="AT267" s="2982"/>
      <c r="AU267" s="2982"/>
      <c r="AV267" s="2982"/>
      <c r="BE267" s="2982"/>
      <c r="BF267" s="2982"/>
    </row>
    <row customFormat="1" ht="12.75" r="268" s="3436" spans="1:58" thickBot="1" x14ac:dyDescent="0.25">
      <c r="A268" s="1945" t="s">
        <v>8104</v>
      </c>
      <c r="C268" s="2974"/>
      <c r="D268" s="2982"/>
      <c r="E268" s="2982"/>
      <c r="F268" s="2982" t="s">
        <v>2495</v>
      </c>
      <c r="G268" s="724"/>
      <c r="H268" s="117"/>
      <c r="I268" s="2982"/>
      <c r="J268" s="2982"/>
      <c r="K268" s="2982"/>
      <c r="L268" s="2982"/>
      <c r="M268" s="2982"/>
      <c r="N268" s="2982"/>
      <c r="P268" s="2325" t="s">
        <v>7872</v>
      </c>
      <c r="Q268" s="3442" t="str">
        <f>A151</f>
        <v>c5.55.30</v>
      </c>
      <c r="R268" s="2321">
        <f>MAX(0,MIN(R266,AL8-R256))</f>
        <v>500</v>
      </c>
      <c r="S268" s="93"/>
      <c r="W268" s="3482"/>
      <c r="X268" s="2325" t="s">
        <v>8132</v>
      </c>
      <c r="Y268" s="3487" t="str">
        <f>A282</f>
        <v>c5.58c</v>
      </c>
      <c r="Z268" s="2298">
        <f>Z89+Z266</f>
        <v>4129.3500000000004</v>
      </c>
      <c r="AA268" s="3499"/>
      <c r="AE268" s="37"/>
      <c r="AN268" s="2982"/>
      <c r="AO268" s="2982"/>
      <c r="AP268" s="2982"/>
      <c r="AQ268" s="2982"/>
      <c r="AR268" s="2982"/>
      <c r="AS268" s="2982"/>
      <c r="AT268" s="2982"/>
      <c r="AU268" s="2982"/>
      <c r="AV268" s="2982"/>
      <c r="BE268" s="2982"/>
      <c r="BF268" s="2982"/>
    </row>
    <row customFormat="1" ht="13.5" r="269" s="3436" spans="1:58" thickBot="1" thickTop="1" x14ac:dyDescent="0.25">
      <c r="A269" s="1945" t="s">
        <v>8105</v>
      </c>
      <c r="C269" s="747" t="s">
        <v>2996</v>
      </c>
      <c r="D269" s="2982"/>
      <c r="E269" s="2208" t="s">
        <v>6157</v>
      </c>
      <c r="F269" s="2209">
        <f>IF(non_resident,'non-res (c91)'!N93,MAX(0,'Divs (c3)'!H47-(F253+F261)))</f>
        <v>12750</v>
      </c>
      <c r="G269" s="724"/>
      <c r="H269" s="117"/>
      <c r="I269" s="2982"/>
      <c r="J269" s="2982"/>
      <c r="K269" s="2982"/>
      <c r="L269" s="2982"/>
      <c r="M269" s="2982"/>
      <c r="N269" s="2982"/>
      <c r="P269" s="1945"/>
      <c r="Q269" s="1945"/>
      <c r="R269" s="2325" t="str">
        <f><![CDATA["lower of ("&Q202&" minus ("&Q264&" + "&Q268&")) and ("&AK8&" minus ("&Q252&" + "&Q264&" + "&Q268&"))"]]></f>
        <v>lower of (c5.54a1 minus (c5.55.28 + c5.55.30)) and (c5.2a minus (c5.55.22 + c5.55.28 + c5.55.30))</v>
      </c>
      <c r="W269" s="3482"/>
      <c r="X269" s="711"/>
      <c r="Y269" s="1945"/>
      <c r="Z269" s="2325" t="str">
        <f>Y268&amp;" minus "&amp;Y260</f>
        <v>c5.58c minus c5.58a</v>
      </c>
      <c r="AA269" s="3499"/>
      <c r="AE269" s="37"/>
      <c r="AN269" s="2982"/>
      <c r="AO269" s="2982"/>
      <c r="AP269" s="2982"/>
      <c r="AQ269" s="2982"/>
      <c r="AR269" s="2982"/>
      <c r="AS269" s="2982"/>
      <c r="AT269" s="2982"/>
      <c r="AU269" s="128"/>
      <c r="AV269" s="2982"/>
      <c r="BE269" s="2982"/>
      <c r="BF269" s="2982"/>
    </row>
    <row customFormat="1" ht="12.75" r="270" s="3436" spans="1:58" thickTop="1" x14ac:dyDescent="0.2">
      <c r="A270" s="1945" t="s">
        <v>8106</v>
      </c>
      <c r="C270" s="2974"/>
      <c r="D270" s="2982"/>
      <c r="E270" s="2982"/>
      <c r="F270" s="2982"/>
      <c r="G270" s="724"/>
      <c r="H270" s="117"/>
      <c r="I270" s="2982"/>
      <c r="J270" s="2982"/>
      <c r="K270" s="2982"/>
      <c r="L270" s="2982"/>
      <c r="M270" s="2982"/>
      <c r="N270" s="2982"/>
      <c r="P270" s="2325" t="s">
        <v>7873</v>
      </c>
      <c r="Q270" s="3442" t="str">
        <f>A152</f>
        <v>c5.55.31</v>
      </c>
      <c r="R270" s="2321">
        <f>MAX(0,MIN(R202-(R264+R268),(AL8-(R252+R264+R268))))</f>
        <v>3178</v>
      </c>
      <c r="W270" s="3482"/>
      <c r="X270" s="3485" t="s">
        <v>8133</v>
      </c>
      <c r="Y270" s="3487" t="str">
        <f>A283</f>
        <v>c5.58d</v>
      </c>
      <c r="Z270" s="2298">
        <f>MAX(0,Z268-Z260)</f>
        <v>0</v>
      </c>
      <c r="AA270" s="3499"/>
      <c r="AE270" s="37"/>
      <c r="AN270" s="2982"/>
      <c r="AO270" s="2982"/>
      <c r="AP270" s="2982"/>
      <c r="AQ270" s="2982"/>
      <c r="AR270" s="2982"/>
      <c r="AS270" s="2982"/>
      <c r="AT270" s="2982"/>
      <c r="AU270" s="371"/>
      <c r="AV270" s="2982"/>
      <c r="BE270" s="2982"/>
      <c r="BF270" s="2982"/>
    </row>
    <row customFormat="1" r="271" s="3436" spans="1:58" x14ac:dyDescent="0.2">
      <c r="A271" s="1945" t="s">
        <v>8107</v>
      </c>
      <c r="C271" s="2974"/>
      <c r="D271" s="2982"/>
      <c r="E271" s="2982"/>
      <c r="F271" s="2982"/>
      <c r="G271" s="724"/>
      <c r="H271" s="2982"/>
      <c r="I271" s="2982"/>
      <c r="J271" s="2982"/>
      <c r="K271" s="2982"/>
      <c r="L271" s="2982"/>
      <c r="M271" s="2982"/>
      <c r="N271" s="2982"/>
      <c r="P271" s="1945"/>
      <c r="Q271" s="1945"/>
      <c r="R271" s="2325" t="str">
        <f><![CDATA["("&'Status (c3a)'!AA33&" + "&'Deductions (c4)'!H204&") minus ("&Q252&" + "&Q264&" + "&Q268&" + "&Q270&")"]]></f>
        <v>(c3a.3a + c4.59) minus (c5.55.22 + c5.55.28 + c5.55.30 + c5.55.31)</v>
      </c>
      <c r="W271" s="3482"/>
      <c r="X271" s="3499"/>
      <c r="Y271" s="3425"/>
      <c r="Z271" s="2325" t="str">
        <f>"if "&amp;Y270&amp;" larger than or equal to "&amp;Y218</f>
        <v>if c5.58d larger than or equal to c5.58a.68</v>
      </c>
      <c r="AA271" s="3499"/>
      <c r="AE271" s="37"/>
      <c r="AN271" s="2982"/>
      <c r="AO271" s="2982"/>
      <c r="AP271" s="2982"/>
      <c r="AQ271" s="2982"/>
      <c r="AR271" s="2982"/>
      <c r="AS271" s="2982"/>
      <c r="AT271" s="2982"/>
      <c r="AU271" s="2982"/>
      <c r="AV271" s="981"/>
      <c r="AW271" s="2982"/>
      <c r="AX271" s="2982"/>
      <c r="AY271" s="2982"/>
      <c r="AZ271" s="2982"/>
      <c r="BA271" s="2982"/>
      <c r="BB271" s="2978"/>
      <c r="BC271" s="2982"/>
      <c r="BD271" s="2982"/>
      <c r="BE271" s="2982"/>
      <c r="BF271" s="2982"/>
    </row>
    <row customFormat="1" r="272" s="3436" spans="1:58" x14ac:dyDescent="0.2">
      <c r="A272" s="1945" t="s">
        <v>8108</v>
      </c>
      <c r="C272" s="2974"/>
      <c r="D272" s="2982"/>
      <c r="E272" s="2982"/>
      <c r="F272" s="2982"/>
      <c r="G272" s="724"/>
      <c r="H272" s="2982"/>
      <c r="I272" s="2982"/>
      <c r="J272" s="2982"/>
      <c r="K272" s="2982"/>
      <c r="L272" s="2982"/>
      <c r="M272" s="2982"/>
      <c r="N272" s="2982"/>
      <c r="Q272" s="3442" t="str">
        <f>A153</f>
        <v>c5.55.32</v>
      </c>
      <c r="R272" s="2321">
        <f>MAX(0,('Status (c3a)'!AB33+'Deductions (c4)'!I204)-(R252+R264+R268+R270))</f>
        <v>114203</v>
      </c>
      <c r="W272" s="3482"/>
      <c r="X272" s="711"/>
      <c r="Y272" s="3425"/>
      <c r="Z272" s="2325" t="str">
        <f>Y276&amp;" = "&amp;Y190</f>
        <v>c5.58e = c5.58a.54</v>
      </c>
      <c r="AA272" s="3499"/>
      <c r="AB272" s="37"/>
      <c r="AE272" s="37"/>
      <c r="AN272" s="2982"/>
      <c r="AO272" s="2982"/>
      <c r="AP272" s="2982"/>
      <c r="AQ272" s="2982"/>
      <c r="AR272" s="2982"/>
      <c r="AS272" s="2982"/>
      <c r="AT272" s="2982"/>
      <c r="AU272" s="2982"/>
      <c r="AV272" s="2982"/>
      <c r="AW272" s="37"/>
      <c r="AX272" s="37" t="s">
        <v>2130</v>
      </c>
      <c r="AY272" s="37"/>
      <c r="AZ272" s="37"/>
      <c r="BA272" s="37"/>
      <c r="BB272" s="2982"/>
      <c r="BC272" s="2982"/>
      <c r="BD272" s="2982"/>
      <c r="BE272" s="2982"/>
      <c r="BF272" s="2982"/>
    </row>
    <row r="273" spans="1:58" x14ac:dyDescent="0.2">
      <c r="A273" s="1945" t="s">
        <v>8109</v>
      </c>
      <c r="G273" s="724"/>
      <c r="P273" s="3436"/>
      <c r="Q273" s="1945"/>
      <c r="R273" s="2325" t="str">
        <f><![CDATA["lower of ("&Q272&" and ("&'Deductions (c4)'!L430&" minus "&Q268&"))"]]></f>
        <v>lower of (c5.55.32 and (c4.79 minus c5.55.30))</v>
      </c>
      <c r="S273" s="3437"/>
      <c r="T273" s="3436"/>
      <c r="U273" s="3436"/>
      <c r="V273" s="3436"/>
      <c r="X273" s="711"/>
      <c r="Y273" s="3425"/>
      <c r="Z273" s="3357" t="s">
        <v>2386</v>
      </c>
      <c r="AA273" s="3499"/>
      <c r="AU273" s="37"/>
      <c r="AV273" s="37"/>
      <c r="AX273" s="2978" t="str">
        <f><![CDATA["("&E8&" minus ("&AW126&" + "&AW153&" + "&AW176&" + "&AW253&"))"]]></f>
        <v>(c5.1 minus (c5.67 + c5.68 + c5.69 + c5.70))</v>
      </c>
    </row>
    <row r="274" spans="1:58" x14ac:dyDescent="0.2">
      <c r="A274" s="1945" t="s">
        <v>8110</v>
      </c>
      <c r="C274" s="747"/>
      <c r="F274" s="93" t="s">
        <v>6719</v>
      </c>
      <c r="G274" s="724"/>
      <c r="H274" s="117"/>
      <c r="P274" s="3436"/>
      <c r="Q274" s="3442" t="str">
        <f>A154</f>
        <v>c5.55.33</v>
      </c>
      <c r="R274" s="2321">
        <f>MAX(0,MIN(R272,PSA-R268))</f>
        <v>0</v>
      </c>
      <c r="S274" s="3436"/>
      <c r="T274" s="3436"/>
      <c r="U274" s="3436"/>
      <c r="V274" s="3436"/>
      <c r="X274" s="711"/>
      <c r="Y274" s="3425"/>
      <c r="Z274" s="2325" t="str">
        <f>Y276&amp;" = 0 (zero)"</f>
        <v>c5.58e = 0 (zero)</v>
      </c>
      <c r="AA274" s="3499"/>
      <c r="AX274" s="128" t="str">
        <f>"and ("&amp;AW265&amp;" minus "&amp;E269&amp;")"</f>
        <v>and (c5.72 minus c5.40)</v>
      </c>
      <c r="BB274" s="128" t="str">
        <f>E275&amp;" minus "&amp;AW275</f>
        <v>c5.41 minus c5.73</v>
      </c>
      <c r="BD274" s="2641" t="s">
        <v>2521</v>
      </c>
    </row>
    <row r="275" spans="1:58" x14ac:dyDescent="0.2">
      <c r="A275" s="1945" t="s">
        <v>8111</v>
      </c>
      <c r="C275" s="747" t="s">
        <v>2633</v>
      </c>
      <c r="E275" s="2157" t="s">
        <v>6158</v>
      </c>
      <c r="F275" s="1981">
        <f>'Divs (c3)'!H58</f>
        <v>0</v>
      </c>
      <c r="G275" s="724"/>
      <c r="H275" s="117"/>
      <c r="P275" s="1945"/>
      <c r="Q275" s="1945"/>
      <c r="R275" s="2325" t="str">
        <f><![CDATA["lower of "&Q274&" and ("&Q202&" minus ("&Q264&" + "&Q268&" + "&Q270&"))"]]></f>
        <v>lower of c5.55.33 and (c5.54a1 minus (c5.55.28 + c5.55.30 + c5.55.31))</v>
      </c>
      <c r="S275" s="3437"/>
      <c r="T275" s="3436"/>
      <c r="U275" s="3436"/>
      <c r="V275" s="3436"/>
      <c r="X275" s="394"/>
      <c r="Y275" s="1945"/>
      <c r="Z275" s="3357" t="s">
        <v>2495</v>
      </c>
      <c r="AA275" s="3499"/>
      <c r="AU275" s="375"/>
      <c r="AW275" s="2165" t="str">
        <f>A360</f>
        <v>c5.73</v>
      </c>
      <c r="AX275" s="2075">
        <f>MAX(0,F8-(AX126+AX153+AX176+AX253),MAX(0,AX265-F269))</f>
        <v>0</v>
      </c>
      <c r="BA275" s="2165" t="str">
        <f>A369</f>
        <v>c5.82</v>
      </c>
      <c r="BB275" s="2075">
        <f>MAX(0,F275-AX275)</f>
        <v>0</v>
      </c>
      <c r="BD275" s="2641" t="s">
        <v>2557</v>
      </c>
    </row>
    <row ht="12.75" r="276" spans="1:58" x14ac:dyDescent="0.2">
      <c r="A276" s="1945" t="s">
        <v>8112</v>
      </c>
      <c r="G276" s="724"/>
      <c r="H276" s="117"/>
      <c r="O276" s="93"/>
      <c r="P276" s="2325" t="s">
        <v>7877</v>
      </c>
      <c r="Q276" s="3442" t="str">
        <f>A155</f>
        <v>c5.55.34</v>
      </c>
      <c r="R276" s="2321">
        <f>MAX(0,MIN(R274,R202-(R264+R268+R270)))</f>
        <v>0</v>
      </c>
      <c r="S276" s="3436"/>
      <c r="T276" s="3436"/>
      <c r="U276" s="3436"/>
      <c r="V276" s="3436"/>
      <c r="X276" s="3445" t="s">
        <v>8137</v>
      </c>
      <c r="Y276" s="3487" t="str">
        <f>A284</f>
        <v>c5.58e</v>
      </c>
      <c r="Z276" s="2321">
        <f>IF(Z270&gt;=Z218,Z190,0)</f>
        <v>0</v>
      </c>
      <c r="AA276" s="3499"/>
      <c r="BB276" s="669" t="str">
        <f>"copy to "&amp;'tax it (c6)'!AA14&amp;" and "&amp;'Tax adj (c9)'!I86</f>
        <v>copy to c6.45 and c9.24</v>
      </c>
    </row>
    <row r="277" spans="1:58" x14ac:dyDescent="0.2">
      <c r="A277" s="1945" t="s">
        <v>8113</v>
      </c>
      <c r="G277" s="724"/>
      <c r="H277" s="117"/>
      <c r="O277" s="394"/>
      <c r="P277" s="1945"/>
      <c r="Q277" s="1945"/>
      <c r="R277" s="2325" t="str">
        <f><![CDATA["lower of ("&Q202&" minus ("&Q264&" + "&Q268&" + "&Q270&" + "&Q276&")) and "&Q272]]></f>
        <v>lower of (c5.54a1 minus (c5.55.28 + c5.55.30 + c5.55.31 + c5.55.34)) and c5.55.32</v>
      </c>
      <c r="S277" s="3436"/>
      <c r="T277" s="3436"/>
      <c r="U277" s="3436"/>
      <c r="V277" s="3436"/>
      <c r="AA277" s="3436"/>
      <c r="AW277" s="37"/>
      <c r="AX277" s="37"/>
      <c r="AY277" s="37"/>
      <c r="AZ277" s="37"/>
      <c r="BA277" s="37"/>
      <c r="BB277" s="128"/>
      <c r="BD277" s="2974"/>
    </row>
    <row r="278" spans="1:58" x14ac:dyDescent="0.2">
      <c r="A278" s="1945" t="s">
        <v>8114</v>
      </c>
      <c r="G278" s="724"/>
      <c r="H278" s="117"/>
      <c r="P278" s="2325" t="s">
        <v>7880</v>
      </c>
      <c r="Q278" s="3442" t="str">
        <f>A156</f>
        <v>c5.55.35</v>
      </c>
      <c r="R278" s="2321">
        <f>MAX(0,MIN(R202-(R264+R268+R270+R276),R272))</f>
        <v>0</v>
      </c>
      <c r="S278" s="3436"/>
      <c r="T278" s="3436"/>
      <c r="U278" s="3436"/>
      <c r="V278" s="3436"/>
      <c r="AA278" s="3436"/>
    </row>
    <row r="279" spans="1:58" x14ac:dyDescent="0.2">
      <c r="A279" s="1945" t="s">
        <v>8188</v>
      </c>
      <c r="C279" s="747"/>
      <c r="F279" s="93" t="s">
        <v>6720</v>
      </c>
      <c r="G279" s="724"/>
      <c r="H279" s="117"/>
      <c r="P279" s="3436"/>
      <c r="Q279" s="1945"/>
      <c r="R279" s="2325" t="str">
        <f>"("&amp;Q230&amp;" minus "&amp;Q254&amp;") x "&amp;'Status (c3a)'!H44</f>
        <v>(c5.55.11 minus c5.55.23) x c3a.3b</v>
      </c>
      <c r="S279" s="3436"/>
      <c r="T279" s="3436"/>
      <c r="U279" s="3436"/>
      <c r="V279" s="3436"/>
      <c r="AA279" s="3436"/>
      <c r="AX279" s="128" t="str">
        <f>AW275&amp;" minus "&amp;E275</f>
        <v>c5.73 minus c5.41</v>
      </c>
      <c r="BB279" s="128" t="str">
        <f>E280&amp;" minus "&amp;AW280</f>
        <v>c5.42 minus c5.74</v>
      </c>
      <c r="BD279" s="2641" t="s">
        <v>2660</v>
      </c>
    </row>
    <row r="280" spans="1:58" x14ac:dyDescent="0.2">
      <c r="A280" s="2982" t="s">
        <v>6426</v>
      </c>
      <c r="C280" s="747" t="s">
        <v>1047</v>
      </c>
      <c r="E280" s="2157" t="s">
        <v>6159</v>
      </c>
      <c r="F280" s="1981">
        <f>'Divs (c3)'!H63</f>
        <v>0</v>
      </c>
      <c r="G280" s="724"/>
      <c r="H280" s="117"/>
      <c r="P280" s="2325" t="s">
        <v>7903</v>
      </c>
      <c r="Q280" s="3442" t="str">
        <f>A157</f>
        <v>c5.55.36</v>
      </c>
      <c r="R280" s="2298">
        <f>TRUNC(MAX(0,(R230-R254)*'Status (c3a)'!I44),2)</f>
        <v>0</v>
      </c>
      <c r="S280" s="3441" t="s">
        <v>2694</v>
      </c>
      <c r="T280" s="3436"/>
      <c r="U280" s="3436"/>
      <c r="V280" s="3436"/>
      <c r="AA280" s="3436"/>
      <c r="AW280" s="2165" t="str">
        <f>A361</f>
        <v>c5.74</v>
      </c>
      <c r="AX280" s="2075">
        <f>MAX(0,AX275-F275)</f>
        <v>0</v>
      </c>
      <c r="BA280" s="2165" t="str">
        <f>A370</f>
        <v>c5.83</v>
      </c>
      <c r="BB280" s="2075">
        <f>MAX(0,F280-AX280)</f>
        <v>0</v>
      </c>
      <c r="BD280" s="2641" t="s">
        <v>2196</v>
      </c>
    </row>
    <row customHeight="1" ht="12" r="281" spans="1:58" x14ac:dyDescent="0.2">
      <c r="A281" s="2982" t="s">
        <v>6427</v>
      </c>
      <c r="G281" s="724"/>
      <c r="H281" s="117"/>
      <c r="O281" s="1781"/>
      <c r="P281" s="3436"/>
      <c r="Q281" s="1945"/>
      <c r="R281" s="2325" t="str">
        <f>"("&amp;Q232&amp;" minus "&amp;Q256&amp;") x "&amp;'Status (c3a)'!L44</f>
        <v>(c5.55.12 minus c5.55.24) x c3a.4</v>
      </c>
      <c r="S281" s="3436"/>
      <c r="T281" s="3436"/>
      <c r="U281" s="3436"/>
      <c r="V281" s="3436"/>
      <c r="AA281" s="3436"/>
      <c r="BB281" s="669" t="str">
        <f>"add "&amp;BA126&amp;" + "&amp;BA280&amp;" and copy to "&amp;'tax it (c6)'!G14</f>
        <v>add c5.76 + c5.83 and copy to c6.1</v>
      </c>
      <c r="BD281" s="2642"/>
    </row>
    <row r="282" spans="1:58" x14ac:dyDescent="0.2">
      <c r="A282" s="2982" t="s">
        <v>6428</v>
      </c>
      <c r="G282" s="724"/>
      <c r="H282" s="117"/>
      <c r="P282" s="2325" t="s">
        <v>7904</v>
      </c>
      <c r="Q282" s="3442" t="str">
        <f>A158</f>
        <v>c5.55.37</v>
      </c>
      <c r="R282" s="2298">
        <f>TRUNC(MAX(0,(R232-R256)*'Status (c3a)'!M44),2)</f>
        <v>0</v>
      </c>
      <c r="S282" s="3441" t="s">
        <v>2694</v>
      </c>
      <c r="T282" s="3436"/>
      <c r="U282" s="3436"/>
      <c r="V282" s="3436"/>
      <c r="AA282" s="3436"/>
      <c r="BB282" s="93"/>
    </row>
    <row r="283" spans="1:58" x14ac:dyDescent="0.2">
      <c r="A283" s="2982" t="s">
        <v>6429</v>
      </c>
      <c r="G283" s="724"/>
      <c r="H283" s="117"/>
      <c r="O283" s="711"/>
      <c r="P283" s="3436"/>
      <c r="Q283" s="1945"/>
      <c r="R283" s="2325" t="str">
        <f>"("&amp;Q234&amp;" minus "&amp;Q258&amp;") x "&amp;'Status (c3a)'!P44</f>
        <v>(c5.55.13 minus c5.55.25) x c3a.4a</v>
      </c>
      <c r="S283" s="3436"/>
      <c r="T283" s="3436"/>
      <c r="U283" s="3436"/>
      <c r="V283" s="3436"/>
      <c r="AA283" s="3436"/>
      <c r="AM283" s="711"/>
      <c r="AU283" s="37"/>
      <c r="AV283" s="37"/>
    </row>
    <row r="284" spans="1:58" x14ac:dyDescent="0.2">
      <c r="A284" s="2982" t="s">
        <v>6430</v>
      </c>
      <c r="C284" s="747"/>
      <c r="F284" s="93" t="s">
        <v>6721</v>
      </c>
      <c r="G284" s="724"/>
      <c r="H284" s="117"/>
      <c r="P284" s="2325" t="s">
        <v>7905</v>
      </c>
      <c r="Q284" s="3442" t="str">
        <f>A159</f>
        <v>c5.55.38</v>
      </c>
      <c r="R284" s="2298">
        <f>TRUNC(MAX(0,(R234-R258)*'Status (c3a)'!Q44),2)</f>
        <v>0</v>
      </c>
      <c r="S284" s="3441" t="s">
        <v>2694</v>
      </c>
      <c r="T284" s="3436"/>
      <c r="U284" s="3436"/>
      <c r="V284" s="3436"/>
      <c r="AA284" s="3436"/>
      <c r="AX284" s="128" t="str">
        <f>AW280&amp;" minus "&amp;E280</f>
        <v>c5.74 minus c5.42</v>
      </c>
      <c r="BB284" s="128" t="str">
        <f>E285&amp;" minus "&amp;AW285</f>
        <v>c5.43 minus c5.75</v>
      </c>
      <c r="BD284" s="2641" t="s">
        <v>1409</v>
      </c>
    </row>
    <row customFormat="1" r="285" s="711" spans="1:58" x14ac:dyDescent="0.2">
      <c r="A285" s="2982" t="s">
        <v>6431</v>
      </c>
      <c r="B285" s="2982"/>
      <c r="C285" s="747" t="s">
        <v>6990</v>
      </c>
      <c r="D285" s="2982"/>
      <c r="E285" s="2157" t="s">
        <v>6160</v>
      </c>
      <c r="F285" s="1981">
        <f>'Divs (c3)'!H66</f>
        <v>0</v>
      </c>
      <c r="G285" s="724"/>
      <c r="H285" s="117"/>
      <c r="I285" s="2982"/>
      <c r="J285" s="2982"/>
      <c r="K285" s="2982"/>
      <c r="L285" s="2982"/>
      <c r="M285" s="2982"/>
      <c r="N285" s="2982"/>
      <c r="O285" s="2982"/>
      <c r="P285" s="806"/>
      <c r="Q285" s="1945"/>
      <c r="R285" s="2325" t="str">
        <f>"("&amp;Q236&amp;" minus "&amp;Q260&amp;") x "&amp;'Status (c3a)'!X44</f>
        <v>(c5.55.14 minus c5.55.26) x c3a.5</v>
      </c>
      <c r="S285" s="3437"/>
      <c r="T285" s="3436"/>
      <c r="U285" s="3436"/>
      <c r="V285" s="3436"/>
      <c r="W285" s="3482"/>
      <c r="X285" s="3482"/>
      <c r="Y285" s="3482"/>
      <c r="Z285" s="3482"/>
      <c r="AA285" s="3436"/>
      <c r="AB285" s="2982"/>
      <c r="AM285" s="2982"/>
      <c r="AN285" s="2982"/>
      <c r="AO285" s="2982"/>
      <c r="AP285" s="2982"/>
      <c r="AQ285" s="2982"/>
      <c r="AR285" s="2982"/>
      <c r="AS285" s="37"/>
      <c r="AT285" s="2978"/>
      <c r="AU285" s="2982"/>
      <c r="AV285" s="2982"/>
      <c r="AW285" s="2165" t="str">
        <f>A362</f>
        <v>c5.75</v>
      </c>
      <c r="AX285" s="2075">
        <f>MAX(0,AX280-F280)</f>
        <v>0</v>
      </c>
      <c r="AY285" s="2982"/>
      <c r="AZ285" s="2982"/>
      <c r="BA285" s="2165" t="str">
        <f>A371</f>
        <v>c5.84</v>
      </c>
      <c r="BB285" s="2075">
        <f>MAX(0,F285-AX285)</f>
        <v>0</v>
      </c>
      <c r="BC285" s="2982"/>
      <c r="BD285" s="2641" t="s">
        <v>1315</v>
      </c>
      <c r="BE285" s="2982"/>
      <c r="BF285" s="2982"/>
    </row>
    <row r="286" spans="1:58" x14ac:dyDescent="0.2">
      <c r="A286" s="2982" t="s">
        <v>6707</v>
      </c>
      <c r="G286" s="724"/>
      <c r="H286" s="117"/>
      <c r="P286" s="2325" t="s">
        <v>7906</v>
      </c>
      <c r="Q286" s="3442" t="str">
        <f>A160</f>
        <v>c5.55.39</v>
      </c>
      <c r="R286" s="2298">
        <f>TRUNC(MAX(0,(R236-R260)*'Status (c3a)'!Y44),2)</f>
        <v>0</v>
      </c>
      <c r="S286" s="3441" t="s">
        <v>2694</v>
      </c>
      <c r="T286" s="3436"/>
      <c r="U286" s="3436"/>
      <c r="V286" s="3436"/>
      <c r="AA286" s="3436"/>
      <c r="AU286" s="371"/>
      <c r="AW286" s="1200"/>
      <c r="AX286" s="371"/>
      <c r="BA286" s="1200"/>
      <c r="BB286" s="93" t="str">
        <f>"add "&amp;BA153&amp;" + "&amp;BA285&amp;" and copy to "&amp;'tax it (c6)'!V14</f>
        <v>add c5.77 + c5.84 and copy to c6.35</v>
      </c>
      <c r="BD286" s="747"/>
    </row>
    <row r="287" spans="1:58" x14ac:dyDescent="0.2">
      <c r="A287" s="2982" t="s">
        <v>6708</v>
      </c>
      <c r="G287" s="724"/>
      <c r="P287" s="3436"/>
      <c r="Q287" s="1945"/>
      <c r="R287" s="2325" t="str">
        <f><![CDATA["("&Q242&" minus "&Q270&") x BR_rate ("&BR_rate*100&"%)"]]></f>
        <v>(c5.55.17 minus c5.55.31) x BR_rate (20%)</v>
      </c>
      <c r="S287" s="93"/>
      <c r="T287" s="3436"/>
      <c r="U287" s="3436"/>
      <c r="V287" s="3436"/>
      <c r="AA287" s="3436"/>
    </row>
    <row r="288" spans="1:58" x14ac:dyDescent="0.2">
      <c r="A288" s="2982" t="s">
        <v>6713</v>
      </c>
      <c r="G288" s="724"/>
      <c r="O288" s="93"/>
      <c r="P288" s="2325" t="s">
        <v>7907</v>
      </c>
      <c r="Q288" s="3442" t="str">
        <f>A161</f>
        <v>c5.55.40</v>
      </c>
      <c r="R288" s="2298">
        <f>TRUNC((R242-R270)*BR_rate,2)</f>
        <v>0</v>
      </c>
      <c r="S288" s="3441" t="s">
        <v>2694</v>
      </c>
      <c r="T288" s="3444" t="s">
        <v>1521</v>
      </c>
      <c r="U288" s="3436"/>
      <c r="V288" s="3436"/>
      <c r="AA288" s="3436"/>
      <c r="AU288" s="37"/>
      <c r="AV288" s="37"/>
    </row>
    <row r="289" spans="1:56" x14ac:dyDescent="0.2">
      <c r="A289" s="2982" t="s">
        <v>6714</v>
      </c>
      <c r="G289" s="724"/>
      <c r="P289" s="3436"/>
      <c r="Q289" s="1945"/>
      <c r="R289" s="2325" t="str">
        <f><![CDATA["("&Q250&" minus "&Q278&") x HR_rate ("&HR_rate*100&"%)"]]></f>
        <v>(c5.55.21 minus c5.55.35) x HR_rate (40%)</v>
      </c>
      <c r="S289" s="394"/>
      <c r="T289" s="3436"/>
      <c r="U289" s="3436"/>
      <c r="V289" s="3436"/>
      <c r="AA289" s="3436"/>
    </row>
    <row r="290" spans="1:56" x14ac:dyDescent="0.2">
      <c r="A290" s="2982" t="s">
        <v>6668</v>
      </c>
      <c r="G290" s="724"/>
      <c r="P290" s="2325" t="s">
        <v>7908</v>
      </c>
      <c r="Q290" s="3442" t="str">
        <f>A162</f>
        <v>c5.55.41</v>
      </c>
      <c r="R290" s="2298">
        <f>TRUNC((R250-R278)*HR_rate,2)</f>
        <v>0</v>
      </c>
      <c r="S290" s="3441" t="s">
        <v>2694</v>
      </c>
      <c r="T290" s="3444" t="s">
        <v>1521</v>
      </c>
      <c r="U290" s="3436"/>
      <c r="V290" s="3436"/>
      <c r="AA290" s="3436"/>
      <c r="AU290" s="128"/>
    </row>
    <row r="291" spans="1:56" x14ac:dyDescent="0.2">
      <c r="A291" s="2982" t="s">
        <v>6822</v>
      </c>
      <c r="G291" s="724"/>
      <c r="P291" s="1945"/>
      <c r="Q291" s="2325"/>
      <c r="R291" s="2325" t="str">
        <f><![CDATA[Q280&" + "&Q282&" + "&Q284&" + "&Q286&" + "&Q288&" + "&Q290]]></f>
        <v>c5.55.36 + c5.55.37 + c5.55.38 + c5.55.39 + c5.55.40 + c5.55.41</v>
      </c>
      <c r="S291" s="3436"/>
      <c r="T291" s="3436"/>
      <c r="U291" s="3436"/>
      <c r="V291" s="3436"/>
      <c r="AA291" s="3436"/>
      <c r="AU291" s="371"/>
    </row>
    <row ht="12.75" r="292" spans="1:56" x14ac:dyDescent="0.2">
      <c r="A292" s="2982" t="s">
        <v>6823</v>
      </c>
      <c r="G292" s="724"/>
      <c r="P292" s="3445" t="s">
        <v>6818</v>
      </c>
      <c r="Q292" s="3442" t="str">
        <f>A163</f>
        <v>c5.55.42</v>
      </c>
      <c r="R292" s="3443">
        <f>MAX(0,R280+R282+R284+R286+R288+R290)</f>
        <v>0</v>
      </c>
      <c r="S292" s="3436"/>
      <c r="T292" s="3436"/>
      <c r="U292" s="3436"/>
      <c r="V292" s="3436"/>
      <c r="AA292" s="3436"/>
    </row>
    <row r="293" spans="1:56" x14ac:dyDescent="0.2">
      <c r="A293" s="2982" t="s">
        <v>6824</v>
      </c>
      <c r="G293" s="724"/>
      <c r="Q293" s="715"/>
      <c r="R293" s="2166"/>
      <c r="T293" s="3436"/>
      <c r="U293" s="3436"/>
      <c r="V293" s="3436"/>
      <c r="AA293" s="3436"/>
    </row>
    <row r="294" spans="1:56" x14ac:dyDescent="0.2">
      <c r="A294" s="2982" t="s">
        <v>6825</v>
      </c>
      <c r="G294" s="724"/>
      <c r="Q294" s="711"/>
      <c r="R294" s="2325" t="str">
        <f>"If "&amp;Q292&amp;" larger than or equal to "&amp;Q228</f>
        <v>If c5.55.42 larger than or equal to c5.55.10</v>
      </c>
    </row>
    <row r="295" spans="1:56" x14ac:dyDescent="0.2">
      <c r="A295" s="2982" t="s">
        <v>6826</v>
      </c>
      <c r="G295" s="724"/>
      <c r="R295" s="2325" t="str">
        <f>Q299&amp;" = "&amp;Q220</f>
        <v>c5.56 = c5.55.6</v>
      </c>
    </row>
    <row r="296" spans="1:56" x14ac:dyDescent="0.2">
      <c r="A296" s="2982" t="s">
        <v>6827</v>
      </c>
      <c r="G296" s="724"/>
      <c r="R296" s="93" t="s">
        <v>2386</v>
      </c>
      <c r="S296" s="93"/>
      <c r="AU296" s="128"/>
    </row>
    <row r="297" spans="1:56" x14ac:dyDescent="0.2">
      <c r="A297" s="2982" t="s">
        <v>6828</v>
      </c>
      <c r="G297" s="724"/>
      <c r="R297" s="93" t="str">
        <f>Q299&amp;" = 0 (zero)"</f>
        <v>c5.56 = 0 (zero)</v>
      </c>
      <c r="S297" s="93"/>
      <c r="AU297" s="371"/>
    </row>
    <row r="298" spans="1:56" x14ac:dyDescent="0.2">
      <c r="A298" s="2982" t="s">
        <v>6829</v>
      </c>
      <c r="G298" s="724"/>
      <c r="R298" s="93" t="s">
        <v>2495</v>
      </c>
      <c r="S298" s="93"/>
      <c r="AU298" s="371"/>
      <c r="AW298" s="1200"/>
      <c r="AX298" s="371"/>
      <c r="BA298" s="1200"/>
      <c r="BB298" s="669"/>
      <c r="BD298" s="747"/>
    </row>
    <row r="299" spans="1:56" x14ac:dyDescent="0.2">
      <c r="A299" s="2982" t="s">
        <v>6839</v>
      </c>
      <c r="G299" s="724"/>
      <c r="Q299" s="2162" t="str">
        <f>A164</f>
        <v>c5.56</v>
      </c>
      <c r="R299" s="1978">
        <f>IF(R292&gt;=R228,R220,0)</f>
        <v>0</v>
      </c>
      <c r="S299" s="93"/>
      <c r="AU299" s="371"/>
    </row>
    <row r="300" spans="1:56" x14ac:dyDescent="0.2">
      <c r="A300" s="2982" t="s">
        <v>6896</v>
      </c>
      <c r="G300" s="724"/>
      <c r="Q300" s="116"/>
      <c r="AU300" s="371"/>
    </row>
    <row r="301" spans="1:56" x14ac:dyDescent="0.2">
      <c r="A301" s="2982" t="s">
        <v>6179</v>
      </c>
      <c r="G301" s="724"/>
      <c r="Q301" s="116"/>
      <c r="AA301" s="394"/>
      <c r="AU301" s="371"/>
    </row>
    <row r="302" spans="1:56" x14ac:dyDescent="0.2">
      <c r="A302" s="2982" t="s">
        <v>6180</v>
      </c>
      <c r="B302" s="1875"/>
      <c r="C302" s="1875"/>
      <c r="D302" s="1875"/>
      <c r="E302" s="1875"/>
      <c r="F302" s="1875"/>
      <c r="G302" s="1875"/>
      <c r="H302" s="1875"/>
      <c r="I302" s="1875"/>
      <c r="J302" s="1875"/>
      <c r="K302" s="1875"/>
      <c r="L302" s="1875"/>
      <c r="M302" s="1875"/>
      <c r="N302" s="1875"/>
      <c r="O302" s="1875"/>
      <c r="P302" s="1875"/>
      <c r="Q302" s="1875"/>
      <c r="R302" s="1875"/>
      <c r="S302" s="1875"/>
      <c r="T302" s="1875"/>
      <c r="U302" s="1875"/>
      <c r="V302" s="1875"/>
      <c r="W302" s="2305"/>
      <c r="X302" s="2305"/>
      <c r="Y302" s="2305"/>
      <c r="Z302" s="2305"/>
      <c r="AA302" s="1875"/>
      <c r="AB302" s="1875"/>
      <c r="AC302" s="1875"/>
      <c r="AD302" s="1875"/>
      <c r="AE302" s="1875"/>
      <c r="AF302" s="1875"/>
      <c r="AG302" s="1875"/>
      <c r="AH302" s="1875"/>
      <c r="AI302" s="1875"/>
      <c r="AJ302" s="1875"/>
      <c r="AK302" s="1875"/>
      <c r="AL302" s="1875"/>
      <c r="AM302" s="1875"/>
      <c r="AN302" s="1875"/>
      <c r="AO302" s="1875"/>
      <c r="AP302" s="1875"/>
      <c r="AQ302" s="1875"/>
      <c r="AR302" s="1875"/>
      <c r="AS302" s="1875"/>
      <c r="AT302" s="1875"/>
      <c r="AU302" s="1875"/>
      <c r="AV302" s="1875"/>
      <c r="AW302" s="1875"/>
      <c r="AX302" s="1875"/>
      <c r="AY302" s="1875"/>
      <c r="AZ302" s="1875"/>
      <c r="BA302" s="1875"/>
      <c r="BB302" s="1875"/>
      <c r="BC302" s="1875"/>
      <c r="BD302" s="1875"/>
    </row>
    <row r="303" spans="1:56" x14ac:dyDescent="0.2">
      <c r="A303" s="2982" t="s">
        <v>6181</v>
      </c>
      <c r="B303" s="711"/>
      <c r="C303" s="2982"/>
      <c r="F303" s="37"/>
      <c r="G303" s="3447"/>
      <c r="Q303" s="116"/>
      <c r="R303" s="116"/>
    </row>
    <row r="304" spans="1:56" x14ac:dyDescent="0.2">
      <c r="A304" s="2982" t="s">
        <v>6682</v>
      </c>
      <c r="F304" s="2978" t="s">
        <v>4039</v>
      </c>
      <c r="G304" s="1477"/>
      <c r="H304" s="117"/>
      <c r="Q304" s="116"/>
      <c r="R304" s="116"/>
      <c r="AA304" s="93"/>
    </row>
    <row r="305" spans="1:54" x14ac:dyDescent="0.2">
      <c r="A305" s="2982" t="s">
        <v>6182</v>
      </c>
      <c r="F305" s="2982" t="str">
        <f>E309&amp;" = "&amp;'non-res (c91)'!M116&amp;" minus "&amp;'Deductions (c4)'!H227</f>
        <v>c5.85 = c91.28 minus c4.63b</v>
      </c>
      <c r="G305" s="1477"/>
      <c r="H305" s="117"/>
      <c r="Q305" s="116"/>
      <c r="R305" s="116"/>
      <c r="AA305" s="394"/>
    </row>
    <row r="306" spans="1:54" x14ac:dyDescent="0.2">
      <c r="A306" s="2982" t="s">
        <v>6840</v>
      </c>
      <c r="F306" s="2975" t="s">
        <v>2386</v>
      </c>
      <c r="G306" s="724"/>
      <c r="H306" s="117"/>
      <c r="Q306" s="116"/>
      <c r="R306" s="116"/>
      <c r="AA306" s="394"/>
    </row>
    <row r="307" spans="1:54" x14ac:dyDescent="0.2">
      <c r="A307" s="2982" t="s">
        <v>6183</v>
      </c>
      <c r="C307" s="2982"/>
      <c r="E307" s="2978"/>
      <c r="F307" s="2982" t="str">
        <f>E309&amp;" = "&amp;'Divs (c3)'!G70&amp;" minus "&amp;'Deductions (c4)'!H227</f>
        <v>c5.85 = c3.21 minus c4.63b</v>
      </c>
      <c r="G307" s="724"/>
      <c r="H307" s="117"/>
      <c r="Q307" s="116"/>
      <c r="R307" s="116"/>
    </row>
    <row r="308" spans="1:54" x14ac:dyDescent="0.2">
      <c r="A308" s="3853" t="s">
        <v>8404</v>
      </c>
      <c r="C308" s="723"/>
      <c r="F308" s="2982" t="s">
        <v>2495</v>
      </c>
      <c r="G308" s="724"/>
      <c r="H308" s="117"/>
      <c r="Q308" s="116"/>
      <c r="R308" s="116"/>
      <c r="BB308" s="93" t="str">
        <f>E309&amp;" minus "&amp;E8</f>
        <v>c5.85 minus c5.1</v>
      </c>
    </row>
    <row r="309" spans="1:54" x14ac:dyDescent="0.2">
      <c r="A309" s="2982" t="s">
        <v>6184</v>
      </c>
      <c r="C309" s="723" t="s">
        <v>3904</v>
      </c>
      <c r="E309" s="2157" t="str">
        <f>A372</f>
        <v>c5.85</v>
      </c>
      <c r="F309" s="1978">
        <f>IF(non_resident,MAX(0,'non-res (c91)'!N116-'Deductions (c4)'!I227),MAX(0,'Divs (c3)'!H70-'Deductions (c4)'!I227))</f>
        <v>63872</v>
      </c>
      <c r="G309" s="724"/>
      <c r="H309" s="117"/>
      <c r="Q309" s="116"/>
      <c r="R309" s="116"/>
      <c r="T309" s="806"/>
      <c r="AV309" s="720" t="s">
        <v>4012</v>
      </c>
      <c r="AW309" s="720"/>
      <c r="AX309" s="720"/>
      <c r="AY309" s="720"/>
      <c r="AZ309" s="720"/>
      <c r="BA309" s="2165" t="str">
        <f>A373</f>
        <v>c5.86</v>
      </c>
      <c r="BB309" s="2075">
        <f>MAX(0,F309-F8)</f>
        <v>50172</v>
      </c>
    </row>
    <row r="310" spans="1:54" x14ac:dyDescent="0.2">
      <c r="A310" s="2982" t="s">
        <v>6185</v>
      </c>
      <c r="Q310" s="116"/>
      <c r="R310" s="116"/>
      <c r="AA310" s="93"/>
    </row>
    <row r="311" spans="1:54" x14ac:dyDescent="0.2">
      <c r="A311" s="2982" t="s">
        <v>6186</v>
      </c>
      <c r="Q311" s="116"/>
      <c r="R311" s="116"/>
      <c r="T311" s="806"/>
      <c r="AA311" s="2984"/>
    </row>
    <row r="312" spans="1:54" x14ac:dyDescent="0.2">
      <c r="A312" s="2982" t="s">
        <v>6830</v>
      </c>
      <c r="Q312" s="116"/>
      <c r="R312" s="116"/>
      <c r="AA312" s="93"/>
    </row>
    <row r="313" spans="1:54" x14ac:dyDescent="0.2">
      <c r="A313" s="2982" t="s">
        <v>6831</v>
      </c>
      <c r="Q313" s="116"/>
      <c r="R313" s="116"/>
      <c r="AA313" s="93"/>
    </row>
    <row r="314" spans="1:54" x14ac:dyDescent="0.2">
      <c r="A314" s="2982" t="s">
        <v>6832</v>
      </c>
      <c r="Q314" s="116"/>
      <c r="R314" s="116"/>
      <c r="AA314" s="93"/>
    </row>
    <row r="315" spans="1:54" x14ac:dyDescent="0.2">
      <c r="A315" s="2982" t="s">
        <v>6833</v>
      </c>
      <c r="Q315" s="116"/>
      <c r="R315" s="116"/>
      <c r="AA315" s="394"/>
    </row>
    <row r="316" spans="1:54" x14ac:dyDescent="0.2">
      <c r="A316" s="2982" t="s">
        <v>6834</v>
      </c>
      <c r="Q316" s="116"/>
      <c r="R316" s="116"/>
    </row>
    <row r="317" spans="1:54" x14ac:dyDescent="0.2">
      <c r="A317" s="2982" t="s">
        <v>6835</v>
      </c>
      <c r="Q317" s="116"/>
      <c r="R317" s="116"/>
    </row>
    <row r="318" spans="1:54" x14ac:dyDescent="0.2">
      <c r="A318" s="2982" t="s">
        <v>6836</v>
      </c>
      <c r="Q318" s="116"/>
      <c r="R318" s="116"/>
    </row>
    <row r="319" spans="1:54" x14ac:dyDescent="0.2">
      <c r="A319" s="2982" t="s">
        <v>6837</v>
      </c>
      <c r="Q319" s="116"/>
      <c r="R319" s="116"/>
    </row>
    <row r="320" spans="1:54" x14ac:dyDescent="0.2">
      <c r="A320" s="2982" t="s">
        <v>6838</v>
      </c>
      <c r="Q320" s="116"/>
      <c r="R320" s="116"/>
    </row>
    <row r="321" spans="1:18" x14ac:dyDescent="0.2">
      <c r="A321" s="3394" t="s">
        <v>7777</v>
      </c>
      <c r="Q321" s="116"/>
      <c r="R321" s="116"/>
    </row>
    <row r="322" spans="1:18" x14ac:dyDescent="0.2">
      <c r="A322" s="3394" t="s">
        <v>7778</v>
      </c>
    </row>
    <row r="323" spans="1:18" x14ac:dyDescent="0.2">
      <c r="A323" s="3394" t="s">
        <v>7779</v>
      </c>
      <c r="Q323" s="116"/>
      <c r="R323" s="116"/>
    </row>
    <row r="324" spans="1:18" x14ac:dyDescent="0.2">
      <c r="A324" s="3394" t="s">
        <v>7780</v>
      </c>
      <c r="Q324" s="115"/>
      <c r="R324" s="115"/>
    </row>
    <row r="325" spans="1:18" x14ac:dyDescent="0.2">
      <c r="A325" s="3394" t="s">
        <v>7781</v>
      </c>
      <c r="Q325" s="115"/>
      <c r="R325" s="115"/>
    </row>
    <row r="326" spans="1:18" x14ac:dyDescent="0.2">
      <c r="A326" s="3394" t="s">
        <v>7782</v>
      </c>
    </row>
    <row r="327" spans="1:18" x14ac:dyDescent="0.2">
      <c r="A327" s="3394" t="s">
        <v>7783</v>
      </c>
    </row>
    <row r="328" spans="1:18" x14ac:dyDescent="0.2">
      <c r="A328" s="3394" t="s">
        <v>7784</v>
      </c>
    </row>
    <row r="329" spans="1:18" x14ac:dyDescent="0.2">
      <c r="A329" s="3394" t="s">
        <v>7785</v>
      </c>
    </row>
    <row r="330" spans="1:18" x14ac:dyDescent="0.2">
      <c r="A330" s="3394" t="s">
        <v>7786</v>
      </c>
    </row>
    <row r="331" spans="1:18" x14ac:dyDescent="0.2">
      <c r="A331" s="4466" t="s">
        <v>9051</v>
      </c>
    </row>
    <row r="332" spans="1:18" x14ac:dyDescent="0.2">
      <c r="A332" s="4466" t="s">
        <v>9052</v>
      </c>
    </row>
    <row r="333" spans="1:18" x14ac:dyDescent="0.2">
      <c r="A333" s="3394" t="s">
        <v>7787</v>
      </c>
    </row>
    <row r="334" spans="1:18" x14ac:dyDescent="0.2">
      <c r="A334" s="3394" t="s">
        <v>7788</v>
      </c>
    </row>
    <row r="335" spans="1:18" x14ac:dyDescent="0.2">
      <c r="A335" s="3394" t="s">
        <v>7789</v>
      </c>
    </row>
    <row r="336" spans="1:18" x14ac:dyDescent="0.2">
      <c r="A336" s="4375" t="s">
        <v>7790</v>
      </c>
    </row>
    <row r="337" spans="1:1" x14ac:dyDescent="0.2">
      <c r="A337" s="4375" t="s">
        <v>7791</v>
      </c>
    </row>
    <row r="338" spans="1:1" x14ac:dyDescent="0.2">
      <c r="A338" s="4375" t="s">
        <v>7792</v>
      </c>
    </row>
    <row r="339" spans="1:1" x14ac:dyDescent="0.2">
      <c r="A339" s="4465" t="s">
        <v>9059</v>
      </c>
    </row>
    <row r="340" spans="1:1" x14ac:dyDescent="0.2">
      <c r="A340" s="4465" t="s">
        <v>9061</v>
      </c>
    </row>
    <row r="341" spans="1:1" x14ac:dyDescent="0.2">
      <c r="A341" s="4465" t="s">
        <v>9062</v>
      </c>
    </row>
    <row r="342" spans="1:1" x14ac:dyDescent="0.2">
      <c r="A342" s="4465" t="s">
        <v>9063</v>
      </c>
    </row>
    <row r="343" spans="1:1" x14ac:dyDescent="0.2">
      <c r="A343" s="4465" t="s">
        <v>9060</v>
      </c>
    </row>
    <row r="344" spans="1:1" x14ac:dyDescent="0.2">
      <c r="A344" s="4465" t="s">
        <v>9064</v>
      </c>
    </row>
    <row r="345" spans="1:1" x14ac:dyDescent="0.2">
      <c r="A345" s="4465" t="s">
        <v>9066</v>
      </c>
    </row>
    <row r="346" spans="1:1" x14ac:dyDescent="0.2">
      <c r="A346" s="4465" t="s">
        <v>9067</v>
      </c>
    </row>
    <row r="347" spans="1:1" x14ac:dyDescent="0.2">
      <c r="A347" s="4375" t="s">
        <v>7793</v>
      </c>
    </row>
    <row r="348" spans="1:1" x14ac:dyDescent="0.2">
      <c r="A348" s="4375" t="s">
        <v>8928</v>
      </c>
    </row>
    <row r="349" spans="1:1" x14ac:dyDescent="0.2">
      <c r="A349" s="4375" t="s">
        <v>8929</v>
      </c>
    </row>
    <row r="350" spans="1:1" x14ac:dyDescent="0.2">
      <c r="A350" s="3394" t="s">
        <v>8930</v>
      </c>
    </row>
    <row r="351" spans="1:1" x14ac:dyDescent="0.2">
      <c r="A351" s="2982" t="s">
        <v>6187</v>
      </c>
    </row>
    <row r="352" spans="1:1" x14ac:dyDescent="0.2">
      <c r="A352" s="2982" t="s">
        <v>6188</v>
      </c>
    </row>
    <row r="353" spans="1:1" x14ac:dyDescent="0.2">
      <c r="A353" s="2982" t="s">
        <v>6392</v>
      </c>
    </row>
    <row r="354" spans="1:1" x14ac:dyDescent="0.2">
      <c r="A354" s="3338" t="s">
        <v>7621</v>
      </c>
    </row>
    <row r="355" spans="1:1" x14ac:dyDescent="0.2">
      <c r="A355" s="3341" t="s">
        <v>7636</v>
      </c>
    </row>
    <row r="356" spans="1:1" x14ac:dyDescent="0.2">
      <c r="A356" s="2982" t="s">
        <v>6189</v>
      </c>
    </row>
    <row r="357" spans="1:1" x14ac:dyDescent="0.2">
      <c r="A357" s="2982" t="s">
        <v>6190</v>
      </c>
    </row>
    <row r="358" spans="1:1" x14ac:dyDescent="0.2">
      <c r="A358" s="2982" t="s">
        <v>6191</v>
      </c>
    </row>
    <row r="359" spans="1:1" x14ac:dyDescent="0.2">
      <c r="A359" s="2982" t="s">
        <v>6192</v>
      </c>
    </row>
    <row r="360" spans="1:1" x14ac:dyDescent="0.2">
      <c r="A360" s="2982" t="s">
        <v>6193</v>
      </c>
    </row>
    <row r="361" spans="1:1" x14ac:dyDescent="0.2">
      <c r="A361" s="2982" t="s">
        <v>6194</v>
      </c>
    </row>
    <row r="362" spans="1:1" x14ac:dyDescent="0.2">
      <c r="A362" s="2982" t="s">
        <v>6195</v>
      </c>
    </row>
    <row r="363" spans="1:1" x14ac:dyDescent="0.2">
      <c r="A363" s="2982" t="s">
        <v>6196</v>
      </c>
    </row>
    <row r="364" spans="1:1" x14ac:dyDescent="0.2">
      <c r="A364" s="2982" t="s">
        <v>6197</v>
      </c>
    </row>
    <row r="365" spans="1:1" x14ac:dyDescent="0.2">
      <c r="A365" s="2982" t="s">
        <v>6198</v>
      </c>
    </row>
    <row r="366" spans="1:1" x14ac:dyDescent="0.2">
      <c r="A366" s="2982" t="s">
        <v>6199</v>
      </c>
    </row>
    <row r="367" spans="1:1" x14ac:dyDescent="0.2">
      <c r="A367" s="2982" t="s">
        <v>6200</v>
      </c>
    </row>
    <row r="368" spans="1:1" x14ac:dyDescent="0.2">
      <c r="A368" s="2982" t="s">
        <v>6201</v>
      </c>
    </row>
    <row r="369" spans="1:1" x14ac:dyDescent="0.2">
      <c r="A369" s="2982" t="s">
        <v>6202</v>
      </c>
    </row>
    <row r="370" spans="1:1" x14ac:dyDescent="0.2">
      <c r="A370" s="2982" t="s">
        <v>6203</v>
      </c>
    </row>
    <row r="371" spans="1:1" x14ac:dyDescent="0.2">
      <c r="A371" s="2982" t="s">
        <v>6204</v>
      </c>
    </row>
    <row r="372" spans="1:1" x14ac:dyDescent="0.2">
      <c r="A372" s="2982" t="s">
        <v>6205</v>
      </c>
    </row>
    <row r="373" spans="1:1" x14ac:dyDescent="0.2">
      <c r="A373" s="2982" t="s">
        <v>6206</v>
      </c>
    </row>
  </sheetData>
  <sortState xmlns:xlrd2="http://schemas.microsoft.com/office/spreadsheetml/2017/richdata2" ref="S241:S271">
    <sortCondition ref="S220"/>
  </sortState>
  <phoneticPr fontId="67" type="noConversion"/>
  <pageMargins bottom="0.196850393700787" footer="0" header="0" left="0.196850393700787" right="0.196850393700787" top="0.196850393700787"/>
  <pageSetup orientation="landscape" paperSize="8" r:id="rId1"/>
  <headerFooter alignWithMargins="0"/>
</worksheet>
</file>

<file path=xl/worksheets/sheet65.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000-000000000000}">
  <sheetPr codeName="Sheet5">
    <tabColor rgb="FFFF33CC"/>
  </sheetPr>
  <dimension ref="A1:AE110"/>
  <sheetViews>
    <sheetView showGridLines="0" topLeftCell="B1" workbookViewId="0" zoomScale="106" zoomScaleNormal="106">
      <selection activeCell="K31" sqref="K31"/>
    </sheetView>
  </sheetViews>
  <sheetFormatPr defaultColWidth="8.85546875" defaultRowHeight="12" x14ac:dyDescent="0.2"/>
  <cols>
    <col min="1" max="1" customWidth="true" hidden="true" style="116" width="6.7109375" collapsed="true"/>
    <col min="2" max="2" customWidth="true" style="117" width="9.0" collapsed="true"/>
    <col min="3" max="3" customWidth="true" style="117" width="6.0" collapsed="true"/>
    <col min="4" max="4" customWidth="true" style="117" width="17.140625" collapsed="true"/>
    <col min="5" max="5" customWidth="true" style="117" width="2.28515625" collapsed="true"/>
    <col min="6" max="6" customWidth="true" style="117" width="33.28515625" collapsed="true"/>
    <col min="7" max="7" customWidth="true" style="117" width="5.5703125" collapsed="true"/>
    <col min="8" max="8" customWidth="true" style="117" width="36.42578125" collapsed="true"/>
    <col min="9" max="10" customWidth="true" style="117" width="3.5703125" collapsed="true"/>
    <col min="11" max="11" customWidth="true" style="117" width="26.85546875" collapsed="true"/>
    <col min="12" max="12" customWidth="true" style="117" width="6.140625" collapsed="true"/>
    <col min="13" max="13" customWidth="true" style="117" width="36.42578125" collapsed="true"/>
    <col min="14" max="15" customWidth="true" style="117" width="3.5703125" collapsed="true"/>
    <col min="16" max="16" customWidth="true" style="117" width="27.28515625" collapsed="true"/>
    <col min="17" max="17" customWidth="true" style="117" width="5.5703125" collapsed="true"/>
    <col min="18" max="18" customWidth="true" style="117" width="36.42578125" collapsed="true"/>
    <col min="19" max="20" customWidth="true" style="117" width="3.5703125" collapsed="true"/>
    <col min="21" max="21" customWidth="true" style="117" width="25.85546875" collapsed="true"/>
    <col min="22" max="22" customWidth="true" style="117" width="5.5703125" collapsed="true"/>
    <col min="23" max="23" customWidth="true" style="117" width="36.42578125" collapsed="true"/>
    <col min="24" max="25" customWidth="true" style="117" width="3.5703125" collapsed="true"/>
    <col min="26" max="26" customWidth="true" style="117" width="25.85546875" collapsed="true"/>
    <col min="27" max="27" customWidth="true" style="117" width="5.5703125" collapsed="true"/>
    <col min="28" max="28" customWidth="true" style="117" width="36.28515625" collapsed="true"/>
    <col min="29" max="29" customWidth="true" style="117" width="2.28515625" collapsed="true"/>
    <col min="30" max="16384" style="117" width="8.85546875" collapsed="true"/>
  </cols>
  <sheetData>
    <row ht="18" r="1" spans="1:30" x14ac:dyDescent="0.25">
      <c r="A1" s="116" t="s">
        <v>1089</v>
      </c>
      <c r="B1" s="2731" t="s">
        <v>3255</v>
      </c>
      <c r="T1" s="116"/>
      <c r="U1" s="116"/>
    </row>
    <row r="2" spans="1:30" x14ac:dyDescent="0.2">
      <c r="A2" s="116" t="s">
        <v>1090</v>
      </c>
      <c r="G2" s="3043" t="s">
        <v>7394</v>
      </c>
      <c r="H2" s="3044"/>
      <c r="I2" s="3044"/>
      <c r="J2" s="3044"/>
      <c r="K2" s="3045"/>
      <c r="L2" s="3044"/>
      <c r="M2" s="3046"/>
    </row>
    <row r="3" spans="1:30" x14ac:dyDescent="0.2">
      <c r="A3" s="116" t="s">
        <v>1091</v>
      </c>
    </row>
    <row ht="12.75" r="4" spans="1:30" x14ac:dyDescent="0.2">
      <c r="A4" s="116" t="s">
        <v>3059</v>
      </c>
      <c r="B4" s="979" t="str">
        <f><![CDATA["The first "&DOLLAR(SR_band,0)&" of savings income is taxed at "&SR_rate*100&"%; but only if non-savings and savings income is less than "&DOLLAR(P_A+SR_band,0)&"(the personal allowance – "&DOLLAR(P_A,0)&" plus the savings starting rate band of "&DOLLAR(SR_band,0)&")."]]></f>
        <v>The first $5,000 of savings income is taxed at 0%; but only if non-savings and savings income is less than $17,500(the personal allowance – $12,500 plus the savings starting rate band of $5,000).</v>
      </c>
      <c r="H4" s="3492"/>
      <c r="K4" s="3492"/>
    </row>
    <row r="5" spans="1:30" x14ac:dyDescent="0.2">
      <c r="A5" s="116" t="s">
        <v>3652</v>
      </c>
    </row>
    <row r="6" spans="1:30" x14ac:dyDescent="0.2">
      <c r="A6" s="116" t="s">
        <v>3653</v>
      </c>
      <c r="B6" s="117" t="s">
        <v>5865</v>
      </c>
    </row>
    <row r="7" spans="1:30" x14ac:dyDescent="0.2">
      <c r="A7" s="116" t="s">
        <v>3654</v>
      </c>
    </row>
    <row r="8" spans="1:30" x14ac:dyDescent="0.2">
      <c r="A8" s="116" t="s">
        <v>6753</v>
      </c>
      <c r="B8" s="117" t="s">
        <v>7040</v>
      </c>
    </row>
    <row r="9" spans="1:30" x14ac:dyDescent="0.2">
      <c r="A9" s="116" t="s">
        <v>6754</v>
      </c>
    </row>
    <row r="10" spans="1:30" x14ac:dyDescent="0.2">
      <c r="A10" s="116" t="s">
        <v>6949</v>
      </c>
      <c r="B10" s="1476"/>
      <c r="C10" s="1476"/>
      <c r="D10" s="1476"/>
      <c r="E10" s="1476"/>
      <c r="F10" s="1476"/>
      <c r="G10" s="113" t="s">
        <v>6970</v>
      </c>
      <c r="H10" s="1476"/>
      <c r="I10" s="1477"/>
      <c r="J10" s="1476"/>
      <c r="K10" s="1476"/>
      <c r="L10" s="115" t="s">
        <v>7018</v>
      </c>
      <c r="M10" s="1476"/>
      <c r="N10" s="1477"/>
      <c r="O10" s="1476"/>
      <c r="P10" s="1476"/>
      <c r="Q10" s="1476"/>
      <c r="R10" s="393" t="s">
        <v>3262</v>
      </c>
      <c r="S10" s="1477"/>
      <c r="T10" s="1476"/>
      <c r="U10" s="1476"/>
      <c r="V10" s="115" t="s">
        <v>6971</v>
      </c>
      <c r="W10" s="1476"/>
      <c r="X10" s="1477"/>
      <c r="Y10" s="1476"/>
      <c r="Z10" s="1476"/>
      <c r="AA10" s="115" t="s">
        <v>6972</v>
      </c>
      <c r="AB10" s="1476"/>
    </row>
    <row r="11" spans="1:30" x14ac:dyDescent="0.2">
      <c r="A11" s="116" t="s">
        <v>3060</v>
      </c>
      <c r="B11" s="1476"/>
      <c r="C11" s="1476"/>
      <c r="D11" s="1476"/>
      <c r="E11" s="1476"/>
      <c r="F11" s="1476"/>
      <c r="G11" s="1476"/>
      <c r="H11" s="1476"/>
      <c r="I11" s="1477"/>
      <c r="J11" s="1476"/>
      <c r="K11" s="1476"/>
      <c r="L11" s="1476" t="s">
        <v>7019</v>
      </c>
      <c r="M11" s="1476"/>
      <c r="N11" s="1477"/>
      <c r="O11" s="1476"/>
      <c r="P11" s="1476"/>
      <c r="Q11" s="1476"/>
      <c r="R11" s="1476"/>
      <c r="S11" s="1477"/>
      <c r="T11" s="1476"/>
      <c r="U11" s="1476"/>
      <c r="V11" s="1476"/>
      <c r="W11" s="1476"/>
      <c r="X11" s="1477"/>
      <c r="Y11" s="1476"/>
      <c r="Z11" s="1476"/>
      <c r="AA11" s="1476" t="s">
        <v>15</v>
      </c>
      <c r="AB11" s="1476"/>
    </row>
    <row r="12" spans="1:30" x14ac:dyDescent="0.2">
      <c r="A12" s="116" t="s">
        <v>2321</v>
      </c>
      <c r="I12" s="724"/>
      <c r="N12" s="724"/>
      <c r="S12" s="724"/>
      <c r="X12" s="724"/>
    </row>
    <row customFormat="1" r="13" s="1476" spans="1:30" x14ac:dyDescent="0.2">
      <c r="A13" s="116" t="s">
        <v>3655</v>
      </c>
      <c r="B13" s="117"/>
      <c r="C13" s="117"/>
      <c r="D13" s="117"/>
      <c r="E13" s="117"/>
      <c r="F13" s="117"/>
      <c r="G13" s="117"/>
      <c r="H13" s="118" t="str">
        <f>'Taxable (c5)'!BA126&amp;" + "&amp;'Taxable (c5)'!BA280</f>
        <v>c5.76 + c5.83</v>
      </c>
      <c r="I13" s="724"/>
      <c r="J13" s="117"/>
      <c r="K13" s="117"/>
      <c r="L13" s="117"/>
      <c r="M13" s="118" t="str">
        <f>"from "&amp;'Taxable (c5)'!BA176</f>
        <v>from c5.78</v>
      </c>
      <c r="N13" s="724"/>
      <c r="O13" s="118"/>
      <c r="P13" s="118"/>
      <c r="Q13" s="116"/>
      <c r="R13" s="118" t="str">
        <f>'Taxable (c5)'!BA253&amp;" + "&amp;'Taxable (c5)'!BA261&amp;" + "&amp;'Taxable (c5)'!BA265</f>
        <v>c5.79 + c5.80 + c5.81</v>
      </c>
      <c r="S13" s="724"/>
      <c r="T13" s="117"/>
      <c r="U13" s="117"/>
      <c r="V13" s="117"/>
      <c r="W13" s="118" t="str">
        <f>'Taxable (c5)'!BA153&amp;" + "&amp;'Taxable (c5)'!BA285</f>
        <v>c5.77 + c5.84</v>
      </c>
      <c r="X13" s="724"/>
      <c r="Y13" s="118"/>
      <c r="Z13" s="118"/>
      <c r="AA13" s="116"/>
      <c r="AB13" s="118" t="str">
        <f>"from "&amp;'Taxable (c5)'!BA275</f>
        <v>from c5.82</v>
      </c>
    </row>
    <row customFormat="1" r="14" s="1476" spans="1:30" x14ac:dyDescent="0.2">
      <c r="A14" s="116" t="s">
        <v>3656</v>
      </c>
      <c r="B14" s="117"/>
      <c r="C14" s="117"/>
      <c r="E14" s="117"/>
      <c r="F14" s="2678" t="s">
        <v>53</v>
      </c>
      <c r="G14" s="1933" t="str">
        <f>A1</f>
        <v>c6.1</v>
      </c>
      <c r="H14" s="1934">
        <f>'Taxable (c5)'!BB126+'Taxable (c5)'!BB280</f>
        <v>33744</v>
      </c>
      <c r="I14" s="724"/>
      <c r="J14" s="117"/>
      <c r="K14" s="117"/>
      <c r="L14" s="2161" t="str">
        <f>A14</f>
        <v>c6.11</v>
      </c>
      <c r="M14" s="1978">
        <f>'Taxable (c5)'!BB176</f>
        <v>3678</v>
      </c>
      <c r="N14" s="724"/>
      <c r="O14" s="106"/>
      <c r="P14" s="106"/>
      <c r="Q14" s="2161" t="str">
        <f>A31</f>
        <v>c6.23</v>
      </c>
      <c r="R14" s="1978">
        <f>'Taxable (c5)'!BB253+'Taxable (c5)'!BB261+'Taxable (c5)'!BB265</f>
        <v>12750</v>
      </c>
      <c r="S14" s="724"/>
      <c r="T14" s="117"/>
      <c r="U14" s="117"/>
      <c r="V14" s="2161" t="str">
        <f>A43</f>
        <v>c6.35</v>
      </c>
      <c r="W14" s="2158">
        <f>'Taxable (c5)'!BB153+'Taxable (c5)'!BB285</f>
        <v>0</v>
      </c>
      <c r="X14" s="724"/>
      <c r="Y14" s="117"/>
      <c r="Z14" s="117"/>
      <c r="AA14" s="2161" t="str">
        <f>A56</f>
        <v>c6.45</v>
      </c>
      <c r="AB14" s="1978">
        <f>'Taxable (c5)'!BB275</f>
        <v>0</v>
      </c>
      <c r="AC14" s="115"/>
      <c r="AD14" s="115"/>
    </row>
    <row customFormat="1" r="15" s="1476" spans="1:30" x14ac:dyDescent="0.2">
      <c r="A15" s="116" t="s">
        <v>3694</v>
      </c>
      <c r="I15" s="724"/>
      <c r="J15" s="117"/>
      <c r="K15" s="117"/>
      <c r="L15" s="117"/>
      <c r="M15" s="117"/>
      <c r="N15" s="724"/>
      <c r="O15" s="117"/>
      <c r="P15" s="117"/>
      <c r="Q15" s="117"/>
      <c r="R15" s="117"/>
      <c r="S15" s="724"/>
      <c r="T15" s="117"/>
      <c r="U15" s="117"/>
      <c r="W15" s="410" t="str">
        <f>"lower of "&amp;V14&amp;" and"</f>
        <v>lower of c6.35 and</v>
      </c>
      <c r="X15" s="724"/>
      <c r="Y15" s="117"/>
      <c r="Z15" s="117"/>
      <c r="AC15" s="115"/>
      <c r="AD15" s="115"/>
    </row>
    <row customFormat="1" r="16" s="1476" spans="1:30" x14ac:dyDescent="0.2">
      <c r="A16" s="116" t="s">
        <v>3695</v>
      </c>
      <c r="B16" s="117"/>
      <c r="C16" s="117"/>
      <c r="D16" s="117"/>
      <c r="E16" s="117"/>
      <c r="F16" s="117"/>
      <c r="G16" s="117"/>
      <c r="H16" s="410" t="str">
        <f>"lower of "&amp;G14&amp;" and "&amp;'Status (c3a)'!H33</f>
        <v>lower of c6.1 and c3a.1a</v>
      </c>
      <c r="I16" s="724"/>
      <c r="J16" s="117"/>
      <c r="K16" s="117"/>
      <c r="N16" s="724"/>
      <c r="O16" s="1247"/>
      <c r="P16" s="1247"/>
      <c r="Q16" s="1236"/>
      <c r="R16" s="1247"/>
      <c r="S16" s="1235"/>
      <c r="T16" s="1247"/>
      <c r="U16" s="1247"/>
      <c r="V16" s="117"/>
      <c r="W16" s="410" t="str">
        <f><![CDATA["("&'Status (c3a)'!H33&" minus ("&'tax it (c6)'!G14&" + "&'tax it (c6)'!L14&" + "&'tax it (c6)'!Q14&"))"]]></f>
        <v>(c3a.1a minus (c6.1 + c6.11 + c6.23))</v>
      </c>
      <c r="X16" s="1235"/>
      <c r="Y16" s="1247"/>
      <c r="Z16" s="1247"/>
      <c r="AD16" s="115"/>
    </row>
    <row r="17" spans="1:30" x14ac:dyDescent="0.2">
      <c r="A17" s="116" t="s">
        <v>3696</v>
      </c>
      <c r="E17" s="393"/>
      <c r="F17" s="828" t="s">
        <v>6757</v>
      </c>
      <c r="G17" s="1933" t="str">
        <f>A2</f>
        <v>c6.2</v>
      </c>
      <c r="H17" s="1935">
        <f>MIN(H14,'Status (c3a)'!I33)</f>
        <v>2049</v>
      </c>
      <c r="I17" s="724"/>
      <c r="N17" s="724"/>
      <c r="O17" s="1248"/>
      <c r="P17" s="1248"/>
      <c r="Q17" s="1936"/>
      <c r="R17" s="1937"/>
      <c r="S17" s="1235"/>
      <c r="T17" s="1248"/>
      <c r="U17" s="828" t="s">
        <v>6757</v>
      </c>
      <c r="V17" s="2161" t="s">
        <v>2294</v>
      </c>
      <c r="W17" s="2158">
        <f>MIN(W14,MAX(0,'Status (c3a)'!I33-(H14+M14+R14)))</f>
        <v>0</v>
      </c>
      <c r="X17" s="1235"/>
      <c r="Y17" s="1248"/>
      <c r="Z17" s="1248"/>
      <c r="AD17" s="116"/>
    </row>
    <row r="18" spans="1:30" x14ac:dyDescent="0.2">
      <c r="A18" s="116" t="s">
        <v>3162</v>
      </c>
      <c r="D18" s="828"/>
      <c r="E18" s="393"/>
      <c r="F18" s="393"/>
      <c r="I18" s="724"/>
      <c r="L18" s="832"/>
      <c r="M18" s="988"/>
      <c r="N18" s="724"/>
      <c r="O18" s="1248"/>
      <c r="P18" s="1248"/>
      <c r="Q18" s="1936"/>
      <c r="R18" s="1937"/>
      <c r="S18" s="1235"/>
      <c r="T18" s="1248"/>
      <c r="U18" s="1248"/>
      <c r="X18" s="1235"/>
      <c r="Y18" s="1248"/>
      <c r="Z18" s="1248"/>
      <c r="AD18" s="116"/>
    </row>
    <row r="19" spans="1:30" x14ac:dyDescent="0.2">
      <c r="A19" s="116" t="s">
        <v>2322</v>
      </c>
      <c r="H19" s="410" t="s">
        <v>6393</v>
      </c>
      <c r="I19" s="724"/>
      <c r="N19" s="724"/>
      <c r="O19" s="1248"/>
      <c r="P19" s="1248"/>
      <c r="Q19" s="1936"/>
      <c r="R19" s="1937"/>
      <c r="S19" s="1235"/>
      <c r="U19" s="828"/>
      <c r="V19" s="116"/>
      <c r="W19" s="410" t="str">
        <f><![CDATA["("&G14&" + "&L14&" + "&Q14&") minus "&'Status (c3a)'!H33]]></f>
        <v>(c6.1 + c6.11 + c6.23) minus c3a.1a</v>
      </c>
      <c r="X19" s="1235"/>
      <c r="Y19" s="1248"/>
      <c r="Z19" s="1248"/>
      <c r="AD19" s="116"/>
    </row>
    <row r="20" spans="1:30" x14ac:dyDescent="0.2">
      <c r="A20" s="116" t="s">
        <v>556</v>
      </c>
      <c r="D20" s="2675"/>
      <c r="E20" s="2678"/>
      <c r="F20" s="2678" t="s">
        <v>7009</v>
      </c>
      <c r="G20" s="1940" t="str">
        <f>A3</f>
        <v>c6.3</v>
      </c>
      <c r="H20" s="1934"/>
      <c r="I20" s="724"/>
      <c r="N20" s="724"/>
      <c r="O20" s="1248"/>
      <c r="P20" s="1248"/>
      <c r="Q20" s="1936"/>
      <c r="R20" s="1937"/>
      <c r="S20" s="1235"/>
      <c r="U20" s="828" t="s">
        <v>7009</v>
      </c>
      <c r="V20" s="2169" t="s">
        <v>4</v>
      </c>
      <c r="W20" s="2158">
        <f>MAX(0,(H14+M14+R14)-'Status (c3a)'!I33)</f>
        <v>48123</v>
      </c>
      <c r="X20" s="1235"/>
      <c r="Y20" s="1248"/>
      <c r="Z20" s="1248"/>
      <c r="AD20" s="116"/>
    </row>
    <row r="21" spans="1:30" x14ac:dyDescent="0.2">
      <c r="A21" s="116" t="s">
        <v>6952</v>
      </c>
      <c r="E21" s="410"/>
      <c r="F21" s="410"/>
      <c r="I21" s="724"/>
      <c r="N21" s="724"/>
      <c r="O21" s="1248"/>
      <c r="P21" s="1248"/>
      <c r="Q21" s="1936"/>
      <c r="R21" s="1937"/>
      <c r="S21" s="1235"/>
      <c r="U21" s="828"/>
      <c r="V21" s="2708"/>
      <c r="W21" s="988"/>
      <c r="X21" s="1235"/>
      <c r="Y21" s="1248"/>
      <c r="Z21" s="1248"/>
      <c r="AD21" s="116"/>
    </row>
    <row r="22" spans="1:30" x14ac:dyDescent="0.2">
      <c r="A22" s="116" t="s">
        <v>6951</v>
      </c>
      <c r="D22" s="2675"/>
      <c r="H22" s="410" t="s">
        <v>6393</v>
      </c>
      <c r="I22" s="724"/>
      <c r="N22" s="724"/>
      <c r="O22" s="1234"/>
      <c r="P22" s="1234"/>
      <c r="Q22" s="1236"/>
      <c r="R22" s="1236"/>
      <c r="S22" s="1235"/>
      <c r="U22" s="828"/>
      <c r="V22" s="116"/>
      <c r="W22" s="410" t="str">
        <f><![CDATA["("&G17&" + "&G64&" + "&G68&" + "&L14&" + "&Q14&") minus ("&'Status (c3a)'!H33&" + "&'Status (c3a)'!L33&")"]]></f>
        <v>(c6.2 + c6.6 + c6.7 + c6.11 + c6.23) minus (c3a.1a + c3a.2)</v>
      </c>
      <c r="X22" s="1235"/>
      <c r="Y22" s="1234"/>
      <c r="Z22" s="1234"/>
      <c r="AC22" s="118"/>
      <c r="AD22" s="116"/>
    </row>
    <row r="23" spans="1:30" x14ac:dyDescent="0.2">
      <c r="A23" s="116" t="s">
        <v>6954</v>
      </c>
      <c r="D23" s="2675"/>
      <c r="E23" s="2678"/>
      <c r="F23" s="2678" t="s">
        <v>7010</v>
      </c>
      <c r="G23" s="1933" t="str">
        <f>A4</f>
        <v>c6.4</v>
      </c>
      <c r="H23" s="1934"/>
      <c r="I23" s="724"/>
      <c r="N23" s="724"/>
      <c r="O23" s="1236"/>
      <c r="P23" s="1236"/>
      <c r="Q23" s="1236"/>
      <c r="R23" s="1247"/>
      <c r="S23" s="1235"/>
      <c r="U23" s="828" t="s">
        <v>7010</v>
      </c>
      <c r="V23" s="2161" t="s">
        <v>5</v>
      </c>
      <c r="W23" s="2158">
        <f>MAX(0,(H17+H64+H68+M14+R14-('Status (c3a)'!I33+'Status (c3a)'!M33)))</f>
        <v>37728</v>
      </c>
      <c r="X23" s="1235"/>
      <c r="Y23" s="1236"/>
      <c r="Z23" s="1236"/>
      <c r="AC23" s="118"/>
      <c r="AD23" s="116"/>
    </row>
    <row r="24" spans="1:30" x14ac:dyDescent="0.2">
      <c r="A24" s="116" t="s">
        <v>557</v>
      </c>
      <c r="I24" s="724"/>
      <c r="N24" s="724"/>
      <c r="O24" s="1236"/>
      <c r="P24" s="1236"/>
      <c r="Q24" s="1936"/>
      <c r="R24" s="1938"/>
      <c r="S24" s="1235"/>
      <c r="T24" s="1234"/>
      <c r="U24" s="1234"/>
      <c r="X24" s="1235"/>
      <c r="Y24" s="1236"/>
      <c r="Z24" s="1236"/>
      <c r="AC24" s="116"/>
      <c r="AD24" s="116"/>
    </row>
    <row r="25" spans="1:30" x14ac:dyDescent="0.2">
      <c r="A25" s="116" t="s">
        <v>558</v>
      </c>
      <c r="H25" s="118" t="s">
        <v>6393</v>
      </c>
      <c r="I25" s="724"/>
      <c r="N25" s="724"/>
      <c r="O25" s="1234"/>
      <c r="P25" s="1234"/>
      <c r="Q25" s="1236"/>
      <c r="R25" s="1236"/>
      <c r="S25" s="1235"/>
      <c r="T25" s="1234"/>
      <c r="U25" s="1234"/>
      <c r="X25" s="724"/>
      <c r="AC25" s="116"/>
      <c r="AD25" s="116"/>
    </row>
    <row r="26" spans="1:30" x14ac:dyDescent="0.2">
      <c r="A26" s="116" t="s">
        <v>559</v>
      </c>
      <c r="B26" s="1234"/>
      <c r="C26" s="3047"/>
      <c r="D26" s="2120"/>
      <c r="E26" s="1234"/>
      <c r="F26" s="3048"/>
      <c r="G26" s="1933" t="str">
        <f>A5</f>
        <v>c6.5</v>
      </c>
      <c r="H26" s="1934">
        <v>0</v>
      </c>
      <c r="I26" s="724"/>
      <c r="N26" s="724"/>
      <c r="O26" s="1234"/>
      <c r="P26" s="1234"/>
      <c r="Q26" s="1236"/>
      <c r="R26" s="1247"/>
      <c r="S26" s="1235"/>
      <c r="T26" s="1234"/>
      <c r="U26" s="1234"/>
      <c r="X26" s="1235"/>
      <c r="Y26" s="1234"/>
      <c r="Z26" s="1234"/>
      <c r="AC26" s="116"/>
      <c r="AD26" s="116"/>
    </row>
    <row r="27" spans="1:30" x14ac:dyDescent="0.2">
      <c r="A27" s="116" t="s">
        <v>6962</v>
      </c>
      <c r="I27" s="724"/>
      <c r="N27" s="724"/>
      <c r="Q27" s="1236"/>
      <c r="R27" s="1236"/>
      <c r="S27" s="724"/>
      <c r="X27" s="724"/>
      <c r="AC27" s="116"/>
      <c r="AD27" s="116"/>
    </row>
    <row r="28" spans="1:30" x14ac:dyDescent="0.2">
      <c r="A28" s="116" t="s">
        <v>6963</v>
      </c>
      <c r="I28" s="724"/>
      <c r="M28" s="410" t="str">
        <f>"SR_band ("&amp;DOLLAR(SR_band,0)&amp;") minus "&amp;G14</f>
        <v>SR_band ($5,000) minus c6.1</v>
      </c>
      <c r="N28" s="724"/>
      <c r="Q28" s="1236"/>
      <c r="R28" s="1236"/>
      <c r="S28" s="724"/>
      <c r="X28" s="724"/>
      <c r="AA28" s="1236"/>
      <c r="AB28" s="410" t="str">
        <f><![CDATA["SR_band ("&DOLLAR(SR_band,0)&") minus ("&G14&" + "&L14&" + "&Q14&" + "&V14&")"]]></f>
        <v>SR_band ($5,000) minus (c6.1 + c6.11 + c6.23 + c6.35)</v>
      </c>
      <c r="AC28" s="116"/>
      <c r="AD28" s="116"/>
    </row>
    <row r="29" spans="1:30" x14ac:dyDescent="0.2">
      <c r="A29" s="116" t="s">
        <v>560</v>
      </c>
      <c r="I29" s="724"/>
      <c r="L29" s="2161" t="str">
        <f>A15</f>
        <v>c6.12</v>
      </c>
      <c r="M29" s="2158">
        <f>MAX(0,SR_band-H14)</f>
        <v>0</v>
      </c>
      <c r="N29" s="724"/>
      <c r="Q29" s="1236"/>
      <c r="R29" s="1236"/>
      <c r="S29" s="724"/>
      <c r="X29" s="724"/>
      <c r="AA29" s="2161" t="str">
        <f>A57</f>
        <v>c6.46</v>
      </c>
      <c r="AB29" s="2158">
        <f>MAX(0,SR_band-(H14+M14+R14+W14))</f>
        <v>0</v>
      </c>
      <c r="AC29" s="116"/>
      <c r="AD29" s="116"/>
    </row>
    <row r="30" spans="1:30" x14ac:dyDescent="0.2">
      <c r="A30" s="116" t="s">
        <v>561</v>
      </c>
      <c r="I30" s="724"/>
      <c r="N30" s="724"/>
      <c r="Q30" s="1236"/>
      <c r="R30" s="1236"/>
      <c r="S30" s="724"/>
      <c r="X30" s="724"/>
      <c r="AC30" s="116"/>
      <c r="AD30" s="116"/>
    </row>
    <row r="31" spans="1:30" x14ac:dyDescent="0.2">
      <c r="A31" s="116" t="s">
        <v>562</v>
      </c>
      <c r="I31" s="724"/>
      <c r="M31" s="410" t="str">
        <f>"lower of "&amp;L14&amp;" and "&amp;L29</f>
        <v>lower of c6.11 and c6.12</v>
      </c>
      <c r="N31" s="724"/>
      <c r="Q31" s="1236"/>
      <c r="R31" s="1236"/>
      <c r="S31" s="724"/>
      <c r="X31" s="724"/>
      <c r="AA31" s="1300"/>
      <c r="AB31" s="410" t="str">
        <f>"lower of "&amp;AA14&amp;" and "&amp;AA29</f>
        <v>lower of c6.45 and c6.46</v>
      </c>
      <c r="AC31" s="116"/>
      <c r="AD31" s="116"/>
    </row>
    <row r="32" spans="1:30" x14ac:dyDescent="0.2">
      <c r="A32" s="116" t="s">
        <v>563</v>
      </c>
      <c r="I32" s="724"/>
      <c r="L32" s="2161" t="str">
        <f>A16</f>
        <v>c6.13</v>
      </c>
      <c r="M32" s="2065">
        <f>MIN(M14,M29)</f>
        <v>0</v>
      </c>
      <c r="N32" s="724"/>
      <c r="Q32" s="1236"/>
      <c r="R32" s="1236"/>
      <c r="S32" s="724"/>
      <c r="X32" s="724"/>
      <c r="AA32" s="2161" t="str">
        <f>A58</f>
        <v>c6.47</v>
      </c>
      <c r="AB32" s="2065">
        <f>MIN(AB14,AB29)</f>
        <v>0</v>
      </c>
      <c r="AC32" s="116"/>
      <c r="AD32" s="116"/>
    </row>
    <row r="33" spans="1:30" x14ac:dyDescent="0.2">
      <c r="A33" s="116" t="s">
        <v>1403</v>
      </c>
      <c r="I33" s="724"/>
      <c r="N33" s="724"/>
      <c r="Q33" s="1236"/>
      <c r="R33" s="1236"/>
      <c r="S33" s="724"/>
      <c r="X33" s="724"/>
      <c r="AC33" s="116"/>
      <c r="AD33" s="116"/>
    </row>
    <row r="34" spans="1:30" x14ac:dyDescent="0.2">
      <c r="A34" s="116" t="s">
        <v>1404</v>
      </c>
      <c r="I34" s="724"/>
      <c r="M34" s="410" t="str">
        <f>"lower of SR_band ("&amp;DOLLAR(SR_band,0)&amp;") and "&amp;L32</f>
        <v>lower of SR_band ($5,000) and c6.13</v>
      </c>
      <c r="N34" s="724"/>
      <c r="Q34" s="1236"/>
      <c r="R34" s="1236"/>
      <c r="S34" s="724"/>
      <c r="X34" s="724"/>
      <c r="AB34" s="410" t="str">
        <f>"lower of (SR_band ("&amp;DOLLAR(SR_band,0)&amp;") minus "&amp;L35&amp;") and "&amp;AA32</f>
        <v>lower of (SR_band ($5,000) minus c6.14) and c6.47</v>
      </c>
      <c r="AC34" s="116"/>
      <c r="AD34" s="116"/>
    </row>
    <row r="35" spans="1:30" x14ac:dyDescent="0.2">
      <c r="A35" s="116" t="s">
        <v>1405</v>
      </c>
      <c r="I35" s="724"/>
      <c r="L35" s="2169" t="str">
        <f>A17</f>
        <v>c6.14</v>
      </c>
      <c r="M35" s="2065">
        <f>MIN(SR_band,M32)</f>
        <v>0</v>
      </c>
      <c r="N35" s="724"/>
      <c r="Q35" s="1236"/>
      <c r="R35" s="1236"/>
      <c r="S35" s="724"/>
      <c r="X35" s="724"/>
      <c r="AA35" s="2169" t="str">
        <f>A59</f>
        <v>c6.48</v>
      </c>
      <c r="AB35" s="2065">
        <f>MAX(0,MIN(SR_band-M35,AB32))</f>
        <v>0</v>
      </c>
      <c r="AC35" s="116"/>
      <c r="AD35" s="116"/>
    </row>
    <row r="36" spans="1:30" x14ac:dyDescent="0.2">
      <c r="A36" s="116" t="s">
        <v>1406</v>
      </c>
      <c r="I36" s="724"/>
      <c r="N36" s="724"/>
      <c r="Q36" s="1236"/>
      <c r="R36" s="1247"/>
      <c r="S36" s="724"/>
      <c r="X36" s="724"/>
      <c r="AC36" s="116"/>
      <c r="AD36" s="116"/>
    </row>
    <row r="37" spans="1:30" x14ac:dyDescent="0.2">
      <c r="A37" s="116" t="s">
        <v>2287</v>
      </c>
      <c r="I37" s="724"/>
      <c r="L37" s="116"/>
      <c r="M37" s="118" t="s">
        <v>6393</v>
      </c>
      <c r="N37" s="724"/>
      <c r="O37" s="116"/>
      <c r="P37" s="116"/>
      <c r="Q37" s="1236"/>
      <c r="R37" s="1247"/>
      <c r="S37" s="724"/>
      <c r="X37" s="724"/>
      <c r="Y37" s="411"/>
      <c r="Z37" s="411"/>
      <c r="AA37" s="116"/>
      <c r="AB37" s="118" t="s">
        <v>6393</v>
      </c>
      <c r="AC37" s="116"/>
      <c r="AD37" s="116"/>
    </row>
    <row r="38" spans="1:30" x14ac:dyDescent="0.2">
      <c r="A38" s="116" t="s">
        <v>2288</v>
      </c>
      <c r="I38" s="724"/>
      <c r="L38" s="2127" t="s">
        <v>3162</v>
      </c>
      <c r="M38" s="2158">
        <v>0</v>
      </c>
      <c r="N38" s="724"/>
      <c r="O38" s="116"/>
      <c r="P38" s="116"/>
      <c r="Q38" s="1936"/>
      <c r="R38" s="1939"/>
      <c r="S38" s="724"/>
      <c r="T38" s="116"/>
      <c r="U38" s="116"/>
      <c r="X38" s="724"/>
      <c r="Y38" s="391"/>
      <c r="Z38" s="391"/>
      <c r="AA38" s="2161" t="s">
        <v>6339</v>
      </c>
      <c r="AB38" s="2158">
        <v>0</v>
      </c>
      <c r="AC38" s="116"/>
      <c r="AD38" s="116"/>
    </row>
    <row r="39" spans="1:30" x14ac:dyDescent="0.2">
      <c r="A39" s="116" t="s">
        <v>2289</v>
      </c>
      <c r="I39" s="724"/>
      <c r="N39" s="724"/>
      <c r="O39" s="116"/>
      <c r="P39" s="116"/>
      <c r="S39" s="724"/>
      <c r="T39" s="116"/>
      <c r="U39" s="116"/>
      <c r="X39" s="724"/>
      <c r="Y39" s="391"/>
      <c r="Z39" s="391"/>
      <c r="AA39" s="1234"/>
      <c r="AB39" s="1234"/>
      <c r="AD39" s="116"/>
    </row>
    <row r="40" spans="1:30" x14ac:dyDescent="0.2">
      <c r="A40" s="116" t="s">
        <v>2290</v>
      </c>
      <c r="D40" s="2746"/>
      <c r="I40" s="724"/>
      <c r="K40" s="2638"/>
      <c r="M40" s="410" t="str">
        <f>"PSA from "&amp;'Deductions (c4)'!L430</f>
        <v>PSA from c4.79</v>
      </c>
      <c r="N40" s="724"/>
      <c r="R40" s="410" t="str">
        <f>"DA from "&amp;'Deductions (c4)'!L437</f>
        <v>DA from c4.80</v>
      </c>
      <c r="S40" s="724"/>
      <c r="X40" s="724"/>
      <c r="AA40" s="1298"/>
      <c r="AB40" s="410" t="str">
        <f>L41&amp;" minus "&amp;L45</f>
        <v>c6.16 minus c6.17</v>
      </c>
      <c r="AD40" s="116"/>
    </row>
    <row r="41" spans="1:30" x14ac:dyDescent="0.2">
      <c r="A41" s="116" t="s">
        <v>2291</v>
      </c>
      <c r="F41" s="2747" t="s">
        <v>7001</v>
      </c>
      <c r="I41" s="724"/>
      <c r="K41" s="410" t="s">
        <v>5045</v>
      </c>
      <c r="L41" s="2161" t="str">
        <f>A19</f>
        <v>c6.16</v>
      </c>
      <c r="M41" s="2158">
        <f>PSA</f>
        <v>500</v>
      </c>
      <c r="N41" s="724"/>
      <c r="P41" s="410" t="s">
        <v>5053</v>
      </c>
      <c r="Q41" s="2161" t="str">
        <f>A32</f>
        <v>c6.24</v>
      </c>
      <c r="R41" s="2171">
        <f>'Deductions (c4)'!M437</f>
        <v>2000</v>
      </c>
      <c r="S41" s="724"/>
      <c r="X41" s="724"/>
      <c r="Z41" s="410" t="s">
        <v>5045</v>
      </c>
      <c r="AA41" s="2161" t="str">
        <f>A61</f>
        <v>c6.50</v>
      </c>
      <c r="AB41" s="2158">
        <f>MAX(0,M41-M45)</f>
        <v>0</v>
      </c>
      <c r="AD41" s="116"/>
    </row>
    <row r="42" spans="1:30" x14ac:dyDescent="0.2">
      <c r="A42" s="116" t="s">
        <v>2292</v>
      </c>
      <c r="F42" s="2675"/>
      <c r="I42" s="724"/>
      <c r="N42" s="724"/>
      <c r="S42" s="724"/>
      <c r="X42" s="724"/>
      <c r="AD42" s="116"/>
    </row>
    <row r="43" spans="1:30" x14ac:dyDescent="0.2">
      <c r="A43" s="116" t="s">
        <v>2293</v>
      </c>
      <c r="F43" s="2675"/>
      <c r="I43" s="724"/>
      <c r="N43" s="724"/>
      <c r="S43" s="724"/>
      <c r="X43" s="724"/>
      <c r="AC43" s="118"/>
      <c r="AD43" s="116"/>
    </row>
    <row r="44" spans="1:30" x14ac:dyDescent="0.2">
      <c r="A44" s="116" t="s">
        <v>2294</v>
      </c>
      <c r="C44" s="1476"/>
      <c r="F44" s="2746"/>
      <c r="I44" s="724"/>
      <c r="M44" s="410" t="str">
        <f>"lower of ("&amp;L14&amp;" minus "&amp;L35&amp;") and "&amp;L41</f>
        <v>lower of (c6.11 minus c6.14) and c6.16</v>
      </c>
      <c r="N44" s="724"/>
      <c r="R44" s="410" t="str">
        <f>"lower of "&amp;Q14&amp;" and "&amp;Q41</f>
        <v>lower of c6.23 and c6.24</v>
      </c>
      <c r="S44" s="724"/>
      <c r="V44" s="116"/>
      <c r="W44" s="118" t="s">
        <v>6393</v>
      </c>
      <c r="X44" s="724"/>
      <c r="AA44" s="1298"/>
      <c r="AB44" s="410" t="str">
        <f>"lower of ("&amp;AA14&amp;" minus "&amp;AA35&amp;") and "&amp;AA41</f>
        <v>lower of (c6.45 minus c6.48) and c6.50</v>
      </c>
      <c r="AC44" s="118"/>
      <c r="AD44" s="116"/>
    </row>
    <row r="45" spans="1:30" x14ac:dyDescent="0.2">
      <c r="A45" s="116" t="s">
        <v>4</v>
      </c>
      <c r="C45" s="1476"/>
      <c r="F45" s="2748" t="s">
        <v>7002</v>
      </c>
      <c r="I45" s="724"/>
      <c r="K45" s="93" t="s">
        <v>7003</v>
      </c>
      <c r="L45" s="2169" t="str">
        <f>A20</f>
        <v>c6.17</v>
      </c>
      <c r="M45" s="2065">
        <f>MIN(MAX(0,M14-M35),M41)</f>
        <v>500</v>
      </c>
      <c r="N45" s="724"/>
      <c r="P45" s="93" t="s">
        <v>5063</v>
      </c>
      <c r="Q45" s="2169" t="str">
        <f>A33</f>
        <v>c6.25</v>
      </c>
      <c r="R45" s="2172">
        <f>MIN(R14,R41)</f>
        <v>2000</v>
      </c>
      <c r="S45" s="724"/>
      <c r="V45" s="2161" t="s">
        <v>633</v>
      </c>
      <c r="W45" s="2158">
        <v>0</v>
      </c>
      <c r="X45" s="724"/>
      <c r="Z45" s="93" t="s">
        <v>7003</v>
      </c>
      <c r="AA45" s="2169" t="str">
        <f>A62</f>
        <v>c6.51</v>
      </c>
      <c r="AB45" s="2065">
        <f>MIN(MAX(0,AB14-AB35),AB41)</f>
        <v>0</v>
      </c>
      <c r="AC45" s="118"/>
      <c r="AD45" s="116"/>
    </row>
    <row r="46" spans="1:30" x14ac:dyDescent="0.2">
      <c r="A46" s="116" t="s">
        <v>5</v>
      </c>
      <c r="C46" s="1476"/>
      <c r="D46" s="2639"/>
      <c r="I46" s="724"/>
      <c r="N46" s="724"/>
      <c r="Q46" s="2708"/>
      <c r="R46" s="2709"/>
      <c r="S46" s="724"/>
      <c r="V46" s="832"/>
      <c r="W46" s="988"/>
      <c r="X46" s="724"/>
      <c r="AC46" s="118"/>
      <c r="AD46" s="116"/>
    </row>
    <row r="47" spans="1:30" x14ac:dyDescent="0.2">
      <c r="A47" s="116" t="s">
        <v>633</v>
      </c>
      <c r="C47" s="1476"/>
      <c r="D47" s="2639"/>
      <c r="I47" s="724"/>
      <c r="L47" s="2708"/>
      <c r="N47" s="724"/>
      <c r="Q47" s="2708"/>
      <c r="R47" s="2709"/>
      <c r="S47" s="724"/>
      <c r="V47" s="832"/>
      <c r="W47" s="988"/>
      <c r="X47" s="724"/>
      <c r="AC47" s="118"/>
      <c r="AD47" s="116"/>
    </row>
    <row r="48" spans="1:30" x14ac:dyDescent="0.2">
      <c r="A48" s="116" t="s">
        <v>1431</v>
      </c>
      <c r="C48" s="1476"/>
      <c r="D48" s="2639"/>
      <c r="I48" s="724"/>
      <c r="L48" s="2708"/>
      <c r="N48" s="724"/>
      <c r="Q48" s="2708"/>
      <c r="R48" s="2709"/>
      <c r="S48" s="724"/>
      <c r="V48" s="832"/>
      <c r="W48" s="988"/>
      <c r="X48" s="724"/>
      <c r="AC48" s="118"/>
      <c r="AD48" s="116"/>
    </row>
    <row r="49" spans="1:30" x14ac:dyDescent="0.2">
      <c r="A49" s="116" t="s">
        <v>1432</v>
      </c>
      <c r="C49" s="1476"/>
      <c r="D49" s="2639"/>
      <c r="I49" s="724"/>
      <c r="L49" s="2708"/>
      <c r="N49" s="724"/>
      <c r="Q49" s="2708"/>
      <c r="R49" s="2709"/>
      <c r="S49" s="724"/>
      <c r="V49" s="832"/>
      <c r="W49" s="988"/>
      <c r="X49" s="724"/>
      <c r="AA49" s="2708"/>
      <c r="AC49" s="118"/>
      <c r="AD49" s="116"/>
    </row>
    <row r="50" spans="1:30" x14ac:dyDescent="0.2">
      <c r="A50" s="116" t="s">
        <v>6755</v>
      </c>
      <c r="C50" s="1476"/>
      <c r="D50" s="2639"/>
      <c r="I50" s="724"/>
      <c r="L50" s="2708"/>
      <c r="N50" s="724"/>
      <c r="Q50" s="2708"/>
      <c r="R50" s="2709"/>
      <c r="S50" s="724"/>
      <c r="V50" s="832"/>
      <c r="W50" s="988"/>
      <c r="X50" s="724"/>
      <c r="AA50" s="2708"/>
      <c r="AC50" s="118"/>
      <c r="AD50" s="116"/>
    </row>
    <row r="51" spans="1:30" x14ac:dyDescent="0.2">
      <c r="A51" s="116" t="s">
        <v>6756</v>
      </c>
      <c r="C51" s="1476"/>
      <c r="D51" s="2639"/>
      <c r="I51" s="724"/>
      <c r="L51" s="2708"/>
      <c r="M51" s="3409" t="s">
        <v>6393</v>
      </c>
      <c r="N51" s="724"/>
      <c r="Q51" s="2708"/>
      <c r="R51" s="2709"/>
      <c r="S51" s="724"/>
      <c r="V51" s="832"/>
      <c r="W51" s="988"/>
      <c r="X51" s="724"/>
      <c r="AA51" s="2708"/>
      <c r="AB51" s="3409" t="s">
        <v>6393</v>
      </c>
      <c r="AC51" s="118"/>
      <c r="AD51" s="116"/>
    </row>
    <row r="52" spans="1:30" x14ac:dyDescent="0.2">
      <c r="A52" s="116" t="s">
        <v>6955</v>
      </c>
      <c r="C52" s="1476"/>
      <c r="I52" s="3413"/>
      <c r="J52" s="3412"/>
      <c r="K52" s="3407" t="s">
        <v>6953</v>
      </c>
      <c r="L52" s="2169" t="str">
        <f>A21</f>
        <v>c6.17a</v>
      </c>
      <c r="M52" s="2065">
        <v>0</v>
      </c>
      <c r="N52" s="724"/>
      <c r="Q52" s="2708"/>
      <c r="R52" s="2709"/>
      <c r="S52" s="724"/>
      <c r="V52" s="832"/>
      <c r="W52" s="988"/>
      <c r="X52" s="724"/>
      <c r="AA52" s="2169" t="str">
        <f>A63</f>
        <v>c6.51a</v>
      </c>
      <c r="AB52" s="2065">
        <v>0</v>
      </c>
      <c r="AC52" s="118"/>
      <c r="AD52" s="116"/>
    </row>
    <row r="53" spans="1:30" x14ac:dyDescent="0.2">
      <c r="A53" s="116" t="s">
        <v>1433</v>
      </c>
      <c r="C53" s="1476"/>
      <c r="D53" s="2639"/>
      <c r="I53" s="724"/>
      <c r="L53" s="2708"/>
      <c r="M53" s="2189"/>
      <c r="N53" s="724"/>
      <c r="Q53" s="2708"/>
      <c r="R53" s="2709"/>
      <c r="S53" s="724"/>
      <c r="V53" s="832"/>
      <c r="W53" s="988"/>
      <c r="X53" s="724"/>
      <c r="AC53" s="118"/>
      <c r="AD53" s="116"/>
    </row>
    <row r="54" spans="1:30" x14ac:dyDescent="0.2">
      <c r="A54" s="116" t="s">
        <v>5064</v>
      </c>
      <c r="I54" s="724"/>
      <c r="M54" s="3409" t="str">
        <f>"lower of ("&amp;L14&amp;" minus "&amp;L35&amp;") and"</f>
        <v>lower of (c6.11 minus c6.14) and</v>
      </c>
      <c r="N54" s="724"/>
      <c r="R54" s="410" t="str">
        <f>"lower of "&amp;Q14&amp;" and"</f>
        <v>lower of c6.23 and</v>
      </c>
      <c r="S54" s="724"/>
      <c r="X54" s="724"/>
      <c r="AB54" s="410" t="str">
        <f>"lower of ("&amp;AA14&amp;" minus "&amp;AA35&amp;") and"</f>
        <v>lower of (c6.45 minus c6.48) and</v>
      </c>
      <c r="AC54" s="118"/>
      <c r="AD54" s="116"/>
    </row>
    <row r="55" spans="1:30" x14ac:dyDescent="0.2">
      <c r="A55" s="116" t="s">
        <v>5067</v>
      </c>
      <c r="I55" s="724"/>
      <c r="M55" s="3409" t="str">
        <f>"((BR_band ("&amp;DOLLAR(BR_band,0)&amp;") + "&amp;'Deductions (c4)'!H204&amp;")"</f>
        <v>((BR_band ($37,500) + c4.59)</v>
      </c>
      <c r="N55" s="724"/>
      <c r="R55" s="3409" t="str">
        <f>" ((BR_band ("&amp;DOLLAR(BR_band,0)&amp;") + "&amp;'Deductions (c4)'!H204&amp;") minus"</f>
        <v xml:space="preserve"> ((BR_band ($37,500) + c4.59) minus</v>
      </c>
      <c r="S55" s="724"/>
      <c r="X55" s="724"/>
      <c r="AB55" s="3409" t="str">
        <f>"((BR_band ("&amp;DOLLAR(BR_band,0)&amp;") + "&amp;'Deductions (c4)'!H204&amp;") minus"</f>
        <v>((BR_band ($37,500) + c4.59) minus</v>
      </c>
      <c r="AC55" s="118"/>
      <c r="AD55" s="116"/>
    </row>
    <row r="56" spans="1:30" x14ac:dyDescent="0.2">
      <c r="A56" s="116" t="s">
        <v>5068</v>
      </c>
      <c r="I56" s="724"/>
      <c r="M56" s="3409" t="str">
        <f>"minus ("&amp;G14&amp;" + "&amp;L35&amp;"))"</f>
        <v>minus (c6.1 + c6.14))</v>
      </c>
      <c r="N56" s="724"/>
      <c r="R56" s="410" t="str">
        <f>"("&amp;G14&amp;" + "&amp;L14&amp;"))"</f>
        <v>(c6.1 + c6.11))</v>
      </c>
      <c r="S56" s="724"/>
      <c r="X56" s="724"/>
      <c r="AB56" s="410" t="str">
        <f><![CDATA["("&G14&" + "&L14&" + "&Q14&" +  "&V14&" + "&AA35&"))"]]></f>
        <v>(c6.1 + c6.11 + c6.23 +  c6.35 + c6.48))</v>
      </c>
      <c r="AC56" s="118"/>
      <c r="AD56" s="116"/>
    </row>
    <row r="57" spans="1:30" x14ac:dyDescent="0.2">
      <c r="A57" s="116" t="s">
        <v>1434</v>
      </c>
      <c r="F57" s="2678" t="s">
        <v>6950</v>
      </c>
      <c r="I57" s="724"/>
      <c r="K57" s="828" t="s">
        <v>7013</v>
      </c>
      <c r="L57" s="2169" t="str">
        <f>A22</f>
        <v>c6.17b</v>
      </c>
      <c r="M57" s="2158">
        <f>MIN(MAX(0,M14-M35),MAX(0,(BR_band+'Deductions (c4)'!I204)-(H14+M35)))</f>
        <v>3678</v>
      </c>
      <c r="N57" s="724"/>
      <c r="P57" s="410" t="s">
        <v>7014</v>
      </c>
      <c r="Q57" s="2169" t="str">
        <f>A34</f>
        <v>c6.26</v>
      </c>
      <c r="R57" s="2172">
        <f>MIN(R14,MAX(0,(BR_band+'Deductions (c4)'!I204)-(H14+M14)))</f>
        <v>1703</v>
      </c>
      <c r="S57" s="724"/>
      <c r="X57" s="724"/>
      <c r="Z57" s="828" t="s">
        <v>7013</v>
      </c>
      <c r="AA57" s="2169" t="str">
        <f>A64</f>
        <v>c6.51b</v>
      </c>
      <c r="AB57" s="2065">
        <f>MIN(MAX(0,AB14-AB35),MAX(0,(BR_band+'Deductions (c4)'!I204)-(H14+M14+R14+W14+AB35)))</f>
        <v>0</v>
      </c>
      <c r="AC57" s="118"/>
      <c r="AD57" s="116"/>
    </row>
    <row r="58" spans="1:30" x14ac:dyDescent="0.2">
      <c r="A58" s="116" t="s">
        <v>5151</v>
      </c>
      <c r="F58" s="2678"/>
      <c r="I58" s="724"/>
      <c r="K58" s="828"/>
      <c r="N58" s="724"/>
      <c r="P58" s="410"/>
      <c r="Q58" s="2708"/>
      <c r="R58" s="2709"/>
      <c r="S58" s="724"/>
      <c r="X58" s="724"/>
      <c r="Z58" s="828"/>
      <c r="AC58" s="118"/>
      <c r="AD58" s="116"/>
    </row>
    <row r="59" spans="1:30" x14ac:dyDescent="0.2">
      <c r="A59" s="116" t="s">
        <v>5152</v>
      </c>
      <c r="F59" s="2676"/>
      <c r="H59" s="2638"/>
      <c r="I59" s="724"/>
      <c r="K59" s="410"/>
      <c r="M59" s="410" t="str">
        <f>"lower of "&amp;L45&amp;" and "&amp;L57</f>
        <v>lower of c6.17 and c6.17b</v>
      </c>
      <c r="N59" s="724"/>
      <c r="P59" s="410"/>
      <c r="R59" s="410" t="str">
        <f>"lower of "&amp;Q45&amp;" and "&amp;Q57</f>
        <v>lower of c6.25 and c6.26</v>
      </c>
      <c r="S59" s="724"/>
      <c r="X59" s="724"/>
      <c r="Z59" s="410"/>
      <c r="AB59" s="410" t="str">
        <f>"lower of "&amp;AA45&amp;" and "&amp;AA57</f>
        <v>lower of c6.51 and c6.51b</v>
      </c>
      <c r="AC59" s="118"/>
      <c r="AD59" s="116"/>
    </row>
    <row r="60" spans="1:30" x14ac:dyDescent="0.2">
      <c r="A60" s="116" t="s">
        <v>6339</v>
      </c>
      <c r="F60" s="2678" t="s">
        <v>7004</v>
      </c>
      <c r="I60" s="724"/>
      <c r="K60" s="828" t="s">
        <v>7005</v>
      </c>
      <c r="L60" s="2169" t="str">
        <f>A23</f>
        <v>c6.17c</v>
      </c>
      <c r="M60" s="2172">
        <f>MIN(M45,M57)</f>
        <v>500</v>
      </c>
      <c r="N60" s="724"/>
      <c r="P60" s="410" t="s">
        <v>7006</v>
      </c>
      <c r="Q60" s="2169" t="str">
        <f>A35</f>
        <v>c6.27</v>
      </c>
      <c r="R60" s="2172">
        <f>MIN(R45,R57)</f>
        <v>1703</v>
      </c>
      <c r="S60" s="724"/>
      <c r="X60" s="724"/>
      <c r="Z60" s="828" t="s">
        <v>7005</v>
      </c>
      <c r="AA60" s="2169" t="str">
        <f>A65</f>
        <v>c6.51c</v>
      </c>
      <c r="AB60" s="2172">
        <f>MIN(AB45,AB57)</f>
        <v>0</v>
      </c>
      <c r="AC60" s="118"/>
      <c r="AD60" s="116"/>
    </row>
    <row r="61" spans="1:30" x14ac:dyDescent="0.2">
      <c r="A61" s="116" t="s">
        <v>6340</v>
      </c>
      <c r="I61" s="724"/>
      <c r="N61" s="724"/>
      <c r="S61" s="724"/>
      <c r="X61" s="724"/>
      <c r="AC61" s="118"/>
      <c r="AD61" s="116"/>
    </row>
    <row r="62" spans="1:30" x14ac:dyDescent="0.2">
      <c r="A62" s="116" t="s">
        <v>6341</v>
      </c>
      <c r="I62" s="724"/>
      <c r="N62" s="724"/>
      <c r="S62" s="724"/>
      <c r="W62" s="410" t="str">
        <f>"lower of ("&amp;V14&amp;" minus "&amp;V17&amp;") and"</f>
        <v>lower of (c6.35 minus c6.36) and</v>
      </c>
      <c r="X62" s="724"/>
      <c r="AC62" s="118"/>
      <c r="AD62" s="116"/>
    </row>
    <row r="63" spans="1:30" x14ac:dyDescent="0.2">
      <c r="A63" s="116" t="s">
        <v>6956</v>
      </c>
      <c r="D63" s="118"/>
      <c r="E63" s="118"/>
      <c r="F63" s="118"/>
      <c r="G63" s="118"/>
      <c r="H63" s="118" t="str">
        <f><![CDATA["lower of ("&G14&" minus "&G17&") and ("&'Status (c3a)'!L33&" + "&'Deductions (c4)'!H204&")"]]></f>
        <v>lower of (c6.1 minus c6.2) and (c3a.2 + c4.59)</v>
      </c>
      <c r="I63" s="724"/>
      <c r="L63" s="116"/>
      <c r="M63" s="410" t="str">
        <f>L57&amp;" minus "&amp;L60</f>
        <v>c6.17b minus c6.17c</v>
      </c>
      <c r="N63" s="724"/>
      <c r="R63" s="410" t="str">
        <f>Q57&amp;" minus "&amp;Q60</f>
        <v>c6.26 minus c6.27</v>
      </c>
      <c r="S63" s="724"/>
      <c r="W63" s="3409" t="str">
        <f><![CDATA["(("&'Status (c3a)'!L33&" + "&'Deductions (c4)'!H204&") minus "&V20&")"]]></f>
        <v>((c3a.2 + c4.59) minus c6.37)</v>
      </c>
      <c r="X63" s="724"/>
      <c r="AB63" s="410" t="str">
        <f>AA57&amp;" minus "&amp;AA60</f>
        <v>c6.51b minus c6.51c</v>
      </c>
      <c r="AD63" s="116"/>
    </row>
    <row r="64" spans="1:30" x14ac:dyDescent="0.2">
      <c r="A64" s="116" t="s">
        <v>6957</v>
      </c>
      <c r="D64" s="2678"/>
      <c r="E64" s="410"/>
      <c r="F64" s="828" t="s">
        <v>1793</v>
      </c>
      <c r="G64" s="1940" t="str">
        <f>A6</f>
        <v>c6.6</v>
      </c>
      <c r="H64" s="1935">
        <f>MAX(0,MIN((H14-H17),(('Status (c3a)'!M33+'Deductions (c4)'!I204))))</f>
        <v>12020</v>
      </c>
      <c r="I64" s="724"/>
      <c r="K64" s="828" t="s">
        <v>1793</v>
      </c>
      <c r="L64" s="2169" t="str">
        <f>A24</f>
        <v>c6.18</v>
      </c>
      <c r="M64" s="2065">
        <f>MAX(0,M57-M60)</f>
        <v>3178</v>
      </c>
      <c r="N64" s="724"/>
      <c r="O64" s="116"/>
      <c r="P64" s="828" t="s">
        <v>1793</v>
      </c>
      <c r="Q64" s="2169" t="str">
        <f>A36</f>
        <v>c6.28</v>
      </c>
      <c r="R64" s="2065">
        <f>MAX(0,R57-R60)</f>
        <v>0</v>
      </c>
      <c r="S64" s="724"/>
      <c r="U64" s="828" t="s">
        <v>1793</v>
      </c>
      <c r="V64" s="2169" t="str">
        <f>A48</f>
        <v>c6.40</v>
      </c>
      <c r="W64" s="2065">
        <f>MAX(0,MIN((W14-W17),('Status (c3a)'!M33+'Deductions (c4)'!I204)-W20))</f>
        <v>0</v>
      </c>
      <c r="X64" s="724"/>
      <c r="Z64" s="828" t="s">
        <v>1793</v>
      </c>
      <c r="AA64" s="2169" t="str">
        <f>A66</f>
        <v>c6.52</v>
      </c>
      <c r="AB64" s="2065">
        <f>MAX(0,AB57-AB60)</f>
        <v>0</v>
      </c>
      <c r="AD64" s="116"/>
    </row>
    <row r="65" spans="1:30" x14ac:dyDescent="0.2">
      <c r="A65" s="116" t="s">
        <v>6958</v>
      </c>
      <c r="I65" s="724"/>
      <c r="M65" s="116"/>
      <c r="N65" s="724"/>
      <c r="O65" s="116"/>
      <c r="P65" s="116"/>
      <c r="S65" s="724"/>
      <c r="X65" s="724"/>
      <c r="AD65" s="116"/>
    </row>
    <row r="66" spans="1:30" x14ac:dyDescent="0.2">
      <c r="A66" s="116" t="s">
        <v>6394</v>
      </c>
      <c r="H66" s="118"/>
      <c r="I66" s="724"/>
      <c r="N66" s="724"/>
      <c r="S66" s="724"/>
      <c r="X66" s="724"/>
      <c r="AC66" s="116"/>
      <c r="AD66" s="116"/>
    </row>
    <row r="67" spans="1:30" x14ac:dyDescent="0.2">
      <c r="A67" s="116" t="s">
        <v>6395</v>
      </c>
      <c r="C67" s="1234"/>
      <c r="D67" s="1234"/>
      <c r="E67" s="1234"/>
      <c r="F67" s="1234"/>
      <c r="G67" s="1300"/>
      <c r="H67" s="118" t="str">
        <f>G14&amp;" minus ("&amp;G17&amp;" + "&amp;G64&amp;")"</f>
        <v>c6.1 minus (c6.2 + c6.6)</v>
      </c>
      <c r="I67" s="724"/>
      <c r="L67" s="1300"/>
      <c r="M67" s="118" t="str">
        <f>L14&amp;" minus ("&amp;L35&amp;" + "&amp;L57&amp;")"</f>
        <v>c6.11 minus (c6.14 + c6.17b)</v>
      </c>
      <c r="N67" s="724"/>
      <c r="O67" s="116"/>
      <c r="P67" s="116"/>
      <c r="R67" s="118" t="str">
        <f>Q14&amp;" minus "&amp;Q57</f>
        <v>c6.23 minus c6.26</v>
      </c>
      <c r="S67" s="724"/>
      <c r="V67" s="1300"/>
      <c r="W67" s="410" t="str">
        <f>"("&amp;V14&amp;" minus "&amp;V17&amp;") minus "&amp;V64</f>
        <v>(c6.35 minus c6.36) minus c6.40</v>
      </c>
      <c r="X67" s="724"/>
      <c r="AA67" s="1300"/>
      <c r="AB67" s="118" t="str">
        <f>AA14&amp;" minus ("&amp;AA35&amp;" + "&amp;AA57&amp;")"</f>
        <v>c6.45 minus (c6.48 + c6.51b)</v>
      </c>
      <c r="AC67" s="116"/>
      <c r="AD67" s="116"/>
    </row>
    <row r="68" spans="1:30" x14ac:dyDescent="0.2">
      <c r="A68" s="116" t="s">
        <v>6397</v>
      </c>
      <c r="C68" s="1234"/>
      <c r="D68" s="2676"/>
      <c r="E68" s="1234"/>
      <c r="F68" s="410" t="s">
        <v>5054</v>
      </c>
      <c r="G68" s="1941" t="str">
        <f>A7</f>
        <v>c6.7</v>
      </c>
      <c r="H68" s="2158">
        <f>MAX(0,(H14-(H17+H64)))</f>
        <v>19675</v>
      </c>
      <c r="I68" s="724"/>
      <c r="K68" s="410" t="s">
        <v>5054</v>
      </c>
      <c r="L68" s="2127" t="str">
        <f>A25</f>
        <v>c6.19</v>
      </c>
      <c r="M68" s="2158">
        <f>MAX(0,M14-(M35+M57))</f>
        <v>0</v>
      </c>
      <c r="N68" s="724"/>
      <c r="O68" s="116"/>
      <c r="P68" s="410" t="s">
        <v>5054</v>
      </c>
      <c r="Q68" s="2161" t="str">
        <f>A37</f>
        <v>c6.29</v>
      </c>
      <c r="R68" s="2158">
        <f>MAX(0,(R14-R57))</f>
        <v>11047</v>
      </c>
      <c r="S68" s="724"/>
      <c r="U68" s="410" t="s">
        <v>5054</v>
      </c>
      <c r="V68" s="2127" t="str">
        <f>A49</f>
        <v>c6.41</v>
      </c>
      <c r="W68" s="2158">
        <f>MAX(0,(W14-W17)-W64)</f>
        <v>0</v>
      </c>
      <c r="X68" s="724"/>
      <c r="Z68" s="410" t="s">
        <v>5054</v>
      </c>
      <c r="AA68" s="2127" t="str">
        <f>A67</f>
        <v>c6.53</v>
      </c>
      <c r="AB68" s="2158">
        <f>MAX(0,AB14-(AB35+AB57))</f>
        <v>0</v>
      </c>
      <c r="AD68" s="116"/>
    </row>
    <row r="69" spans="1:30" x14ac:dyDescent="0.2">
      <c r="A69" s="116" t="s">
        <v>6964</v>
      </c>
      <c r="I69" s="724"/>
      <c r="L69" s="2170"/>
      <c r="M69" s="988"/>
      <c r="N69" s="724"/>
      <c r="Q69" s="832"/>
      <c r="R69" s="988"/>
      <c r="S69" s="724"/>
      <c r="V69" s="2170"/>
      <c r="W69" s="988"/>
      <c r="X69" s="724"/>
      <c r="AA69" s="2170"/>
      <c r="AB69" s="988"/>
      <c r="AC69" s="116"/>
      <c r="AD69" s="116"/>
    </row>
    <row r="70" spans="1:30" x14ac:dyDescent="0.2">
      <c r="A70" s="116" t="s">
        <v>6965</v>
      </c>
      <c r="I70" s="724"/>
      <c r="N70" s="724"/>
      <c r="S70" s="724"/>
      <c r="W70" s="410"/>
      <c r="X70" s="724"/>
      <c r="AD70" s="116"/>
    </row>
    <row r="71" spans="1:30" x14ac:dyDescent="0.2">
      <c r="A71" s="116" t="s">
        <v>6398</v>
      </c>
      <c r="H71" s="118" t="str">
        <f>"larger of "&amp;'Status (c3a)'!P33&amp;" and "&amp;'Deductions (c4)'!H204</f>
        <v>larger of c3a.2a and c4.59</v>
      </c>
      <c r="I71" s="724"/>
      <c r="N71" s="724"/>
      <c r="R71" s="410"/>
      <c r="S71" s="724"/>
      <c r="W71" s="410" t="str">
        <f>'Status (c3a)'!P33&amp;" minus "&amp;V23</f>
        <v>c3a.2a minus c6.38</v>
      </c>
      <c r="X71" s="724"/>
      <c r="AD71" s="116"/>
    </row>
    <row r="72" spans="1:30" x14ac:dyDescent="0.2">
      <c r="A72" s="116" t="s">
        <v>6399</v>
      </c>
      <c r="F72" s="410" t="s">
        <v>6752</v>
      </c>
      <c r="G72" s="2127" t="str">
        <f>A8</f>
        <v>c6.7a</v>
      </c>
      <c r="H72" s="2158">
        <f>MAX('Status (c3a)'!Q33,'Deductions (c4)'!I204)</f>
        <v>18486</v>
      </c>
      <c r="I72" s="724"/>
      <c r="N72" s="724"/>
      <c r="S72" s="724"/>
      <c r="U72" s="410" t="s">
        <v>6752</v>
      </c>
      <c r="V72" s="2127" t="str">
        <f>A50</f>
        <v>c6.41a</v>
      </c>
      <c r="W72" s="2158">
        <f>MAX(0,'Status (c3a)'!Q33-W23)</f>
        <v>0</v>
      </c>
      <c r="X72" s="724"/>
      <c r="AD72" s="116"/>
    </row>
    <row r="73" spans="1:30" x14ac:dyDescent="0.2">
      <c r="I73" s="724"/>
      <c r="N73" s="724"/>
      <c r="S73" s="724"/>
      <c r="X73" s="724"/>
      <c r="AD73" s="116"/>
    </row>
    <row r="74" spans="1:30" x14ac:dyDescent="0.2">
      <c r="E74" s="1234"/>
      <c r="H74" s="118" t="str">
        <f>"lower of "&amp;G68&amp;" and "&amp;'Status (c3a)'!P33</f>
        <v>lower of c6.7 and c3a.2a</v>
      </c>
      <c r="I74" s="724"/>
      <c r="N74" s="724"/>
      <c r="S74" s="724"/>
      <c r="W74" s="410" t="str">
        <f>"lower of "&amp;V68&amp;" and "&amp;V72</f>
        <v>lower of c6.41 and c6.41a</v>
      </c>
      <c r="X74" s="724"/>
      <c r="AD74" s="116"/>
    </row>
    <row r="75" spans="1:30" x14ac:dyDescent="0.2">
      <c r="E75" s="1234"/>
      <c r="F75" s="828" t="s">
        <v>7017</v>
      </c>
      <c r="G75" s="2127" t="str">
        <f>A9</f>
        <v>c6.7b</v>
      </c>
      <c r="H75" s="2158">
        <f>MIN(H68,'Status (c3a)'!Q33)</f>
        <v>18486</v>
      </c>
      <c r="I75" s="724"/>
      <c r="N75" s="724"/>
      <c r="S75" s="724"/>
      <c r="U75" s="828" t="s">
        <v>7017</v>
      </c>
      <c r="V75" s="2127" t="str">
        <f>A51</f>
        <v>c6.41b</v>
      </c>
      <c r="W75" s="2158">
        <f>MIN(W68,W72)</f>
        <v>0</v>
      </c>
      <c r="X75" s="724"/>
      <c r="AD75" s="116"/>
    </row>
    <row r="76" spans="1:30" x14ac:dyDescent="0.2">
      <c r="C76" s="1234"/>
      <c r="D76" s="410"/>
      <c r="G76" s="2170"/>
      <c r="H76" s="988"/>
      <c r="I76" s="724"/>
      <c r="N76" s="724"/>
      <c r="S76" s="724"/>
      <c r="X76" s="724"/>
      <c r="AD76" s="116"/>
    </row>
    <row r="77" spans="1:30" x14ac:dyDescent="0.2">
      <c r="C77" s="1234"/>
      <c r="D77" s="410"/>
      <c r="G77" s="2170"/>
      <c r="I77" s="724"/>
      <c r="N77" s="724"/>
      <c r="S77" s="724"/>
      <c r="V77" s="2170"/>
      <c r="X77" s="724"/>
      <c r="AD77" s="116"/>
    </row>
    <row r="78" spans="1:30" x14ac:dyDescent="0.2">
      <c r="C78" s="1234"/>
      <c r="D78" s="410"/>
      <c r="G78" s="2170"/>
      <c r="I78" s="724"/>
      <c r="N78" s="724"/>
      <c r="S78" s="724"/>
      <c r="V78" s="2170"/>
      <c r="X78" s="724"/>
      <c r="AD78" s="116"/>
    </row>
    <row r="79" spans="1:30" x14ac:dyDescent="0.2">
      <c r="C79" s="1234"/>
      <c r="D79" s="410"/>
      <c r="G79" s="2170"/>
      <c r="I79" s="724"/>
      <c r="N79" s="724"/>
      <c r="S79" s="724"/>
      <c r="V79" s="2170"/>
      <c r="X79" s="724"/>
      <c r="AD79" s="116"/>
    </row>
    <row r="80" spans="1:30" x14ac:dyDescent="0.2">
      <c r="C80" s="1234"/>
      <c r="D80" s="1234"/>
      <c r="E80" s="1234"/>
      <c r="F80" s="1234"/>
      <c r="I80" s="724"/>
      <c r="L80" s="2170"/>
      <c r="M80" s="988"/>
      <c r="N80" s="724"/>
      <c r="Q80" s="832"/>
      <c r="R80" s="988"/>
      <c r="S80" s="724"/>
      <c r="U80" s="1234"/>
      <c r="V80" s="2170"/>
      <c r="X80" s="724"/>
      <c r="AD80" s="116"/>
    </row>
    <row r="81" spans="3:30" x14ac:dyDescent="0.2">
      <c r="C81" s="1234"/>
      <c r="D81" s="410"/>
      <c r="E81" s="1234"/>
      <c r="F81" s="1234"/>
      <c r="G81" s="2170"/>
      <c r="H81" s="3409" t="s">
        <v>6393</v>
      </c>
      <c r="I81" s="724"/>
      <c r="N81" s="724"/>
      <c r="S81" s="724"/>
      <c r="U81" s="1234"/>
      <c r="V81" s="2170"/>
      <c r="W81" s="3409" t="s">
        <v>6393</v>
      </c>
      <c r="X81" s="724"/>
      <c r="AD81" s="116"/>
    </row>
    <row r="82" spans="3:30" x14ac:dyDescent="0.2">
      <c r="E82" s="3411"/>
      <c r="F82" s="3407" t="s">
        <v>6953</v>
      </c>
      <c r="G82" s="2127" t="str">
        <f>A10</f>
        <v>c6.7c</v>
      </c>
      <c r="H82" s="2158">
        <v>0</v>
      </c>
      <c r="I82" s="724"/>
      <c r="N82" s="724"/>
      <c r="O82" s="116"/>
      <c r="P82" s="116"/>
      <c r="Q82" s="2170"/>
      <c r="S82" s="724"/>
      <c r="U82" s="410" t="s">
        <v>6953</v>
      </c>
      <c r="V82" s="2127" t="str">
        <f>A52</f>
        <v>c6.41c</v>
      </c>
      <c r="W82" s="2158">
        <v>0</v>
      </c>
      <c r="X82" s="724"/>
      <c r="AA82" s="2170"/>
      <c r="AB82" s="410" t="str">
        <f>"("&amp;'Status (c3a)'!AA33&amp;" + "&amp;'Deductions (c4)'!H204&amp;") minus"</f>
        <v>(c3a.3a + c4.59) minus</v>
      </c>
      <c r="AC82" s="116"/>
      <c r="AD82" s="116"/>
    </row>
    <row r="83" spans="3:30" x14ac:dyDescent="0.2">
      <c r="C83" s="1234"/>
      <c r="D83" s="1234"/>
      <c r="E83" s="1234"/>
      <c r="F83" s="1234"/>
      <c r="G83" s="1234"/>
      <c r="I83" s="724"/>
      <c r="L83" s="410"/>
      <c r="M83" s="410" t="str">
        <f>"("&amp;'Status (c3a)'!AA33&amp;" + "&amp;'Deductions (c4)'!H204&amp;")"</f>
        <v>(c3a.3a + c4.59)</v>
      </c>
      <c r="N83" s="724"/>
      <c r="O83" s="116"/>
      <c r="P83" s="116"/>
      <c r="Q83" s="2170"/>
      <c r="R83" s="410" t="str">
        <f>"("&amp;'Status (c3a)'!AA33&amp;" + "&amp;'Deductions (c4)'!H204&amp;")"</f>
        <v>(c3a.3a + c4.59)</v>
      </c>
      <c r="S83" s="724"/>
      <c r="V83" s="116"/>
      <c r="W83" s="410" t="str">
        <f>"("&amp;'Status (c3a)'!AA33&amp;" + "&amp;'Deductions (c4)'!H204&amp;") minus"</f>
        <v>(c3a.3a + c4.59) minus</v>
      </c>
      <c r="X83" s="724"/>
      <c r="AA83" s="2170"/>
      <c r="AB83" s="410" t="str">
        <f><![CDATA["("&G14&" + "&L14&" + "&Q14&" + "&V14&" + "&AA35&" +"]]></f>
        <v>(c6.1 + c6.11 + c6.23 + c6.35 + c6.48 +</v>
      </c>
      <c r="AC83" s="116"/>
      <c r="AD83" s="116"/>
    </row>
    <row r="84" spans="3:30" x14ac:dyDescent="0.2">
      <c r="H84" s="118" t="str">
        <f>" from "&amp;'Status (c3a)'!X33</f>
        <v xml:space="preserve"> from c3a.3</v>
      </c>
      <c r="I84" s="724"/>
      <c r="L84" s="2170"/>
      <c r="M84" s="410" t="str">
        <f><![CDATA["minus ("&G14&" + "&L35&" + "&L60&" + "&L64&")"]]></f>
        <v>minus (c6.1 + c6.14 + c6.17c + c6.18)</v>
      </c>
      <c r="N84" s="724"/>
      <c r="O84" s="116"/>
      <c r="P84" s="116"/>
      <c r="R84" s="410" t="str">
        <f><![CDATA["minus ("&G14&" + "&L14&" + "&Q60&" + "&Q64&")"]]></f>
        <v>minus (c6.1 + c6.11 + c6.27 + c6.28)</v>
      </c>
      <c r="V84" s="2170"/>
      <c r="W84" s="410" t="str">
        <f><![CDATA["("&G14&" + "&L14&" + "&Q14&" + "&V17&" + "&V64&" + "&V75&")"]]></f>
        <v>(c6.1 + c6.11 + c6.23 + c6.36 + c6.40 + c6.41b)</v>
      </c>
      <c r="X84" s="724"/>
      <c r="AA84" s="2170"/>
      <c r="AB84" s="410" t="str">
        <f>AA45&amp;" + "&amp;AA64&amp;")"</f>
        <v>c6.51 + c6.52)</v>
      </c>
      <c r="AD84" s="116"/>
    </row>
    <row r="85" spans="3:30" x14ac:dyDescent="0.2">
      <c r="C85" s="1234"/>
      <c r="E85" s="1234"/>
      <c r="F85" s="410" t="s">
        <v>6396</v>
      </c>
      <c r="G85" s="2127" t="str">
        <f>A11</f>
        <v>c6.8</v>
      </c>
      <c r="H85" s="2158">
        <f>'Status (c3a)'!Y33</f>
        <v>119070</v>
      </c>
      <c r="I85" s="724"/>
      <c r="K85" s="410" t="s">
        <v>6396</v>
      </c>
      <c r="L85" s="2127" t="str">
        <f>A26</f>
        <v>c6.20</v>
      </c>
      <c r="M85" s="2158">
        <f>MAX(0,'Status (c3a)'!AB33+'Deductions (c4)'!I204-(H14+M35+M60+M64))</f>
        <v>114203</v>
      </c>
      <c r="N85" s="724"/>
      <c r="O85" s="116"/>
      <c r="P85" s="410" t="s">
        <v>6396</v>
      </c>
      <c r="Q85" s="2161" t="str">
        <f>A38</f>
        <v>c6.30</v>
      </c>
      <c r="R85" s="2158">
        <f>MAX(0,'Status (c3a)'!AB33+'Deductions (c4)'!I204-(H14+M14+R60+R64))</f>
        <v>112500</v>
      </c>
      <c r="S85" s="724"/>
      <c r="U85" s="410" t="s">
        <v>6396</v>
      </c>
      <c r="V85" s="2127" t="str">
        <f>A53</f>
        <v>c6.42</v>
      </c>
      <c r="W85" s="2171">
        <f>MAX(0,'Status (c3a)'!AB33+'Deductions (c4)'!I204-(H14+M14+R14+W17+W64+W75))</f>
        <v>101453</v>
      </c>
      <c r="X85" s="724"/>
      <c r="Z85" s="410" t="s">
        <v>6396</v>
      </c>
      <c r="AA85" s="2127" t="str">
        <f>A68</f>
        <v>c6.54</v>
      </c>
      <c r="AB85" s="2171">
        <f>MAX(0,'Status (c3a)'!AB33+'Deductions (c4)'!I204-(H14+M14+R14+W14+AB35+AB45+AB64))</f>
        <v>101453</v>
      </c>
      <c r="AC85" s="116"/>
      <c r="AD85" s="116"/>
    </row>
    <row r="86" spans="3:30" x14ac:dyDescent="0.2">
      <c r="I86" s="724"/>
      <c r="M86" s="410" t="str">
        <f>"lower of "&amp;L68&amp;" and "&amp;L85</f>
        <v>lower of c6.19 and c6.20</v>
      </c>
      <c r="N86" s="724"/>
      <c r="O86" s="116"/>
      <c r="P86" s="116"/>
      <c r="R86" s="410" t="str">
        <f>"lower of "&amp;Q68&amp;" and "&amp;Q85</f>
        <v>lower of c6.29 and c6.30</v>
      </c>
      <c r="S86" s="724"/>
      <c r="X86" s="724"/>
      <c r="AB86" s="410" t="str">
        <f>"lower of "&amp;AA68&amp;" and "&amp;AA85</f>
        <v>lower of c6.53 and c6.54</v>
      </c>
      <c r="AC86" s="116"/>
      <c r="AD86" s="116"/>
    </row>
    <row r="87" spans="3:30" x14ac:dyDescent="0.2">
      <c r="I87" s="724"/>
      <c r="K87" s="410" t="s">
        <v>7011</v>
      </c>
      <c r="L87" s="2127" t="str">
        <f>A27</f>
        <v>c6.20a</v>
      </c>
      <c r="M87" s="2158">
        <f>MIN(M68,M85)</f>
        <v>0</v>
      </c>
      <c r="N87" s="724"/>
      <c r="P87" s="410" t="s">
        <v>7015</v>
      </c>
      <c r="Q87" s="2161" t="str">
        <f>A39</f>
        <v>c6.31</v>
      </c>
      <c r="R87" s="2158">
        <f>MIN(R68,R85)</f>
        <v>11047</v>
      </c>
      <c r="S87" s="724"/>
      <c r="X87" s="724"/>
      <c r="Z87" s="410" t="s">
        <v>7011</v>
      </c>
      <c r="AA87" s="2127" t="str">
        <f>A69</f>
        <v>c6.54a</v>
      </c>
      <c r="AB87" s="2158">
        <f>MIN(AB68,AB85)</f>
        <v>0</v>
      </c>
      <c r="AC87" s="116"/>
      <c r="AD87" s="116"/>
    </row>
    <row r="88" spans="3:30" x14ac:dyDescent="0.2">
      <c r="I88" s="724"/>
      <c r="M88" s="410" t="str">
        <f>"lower of ("&amp;L45&amp;" minus "&amp;L57&amp;") and "&amp;L85</f>
        <v>lower of (c6.17 minus c6.17b) and c6.20</v>
      </c>
      <c r="N88" s="724"/>
      <c r="R88" s="410" t="str">
        <f>"lower of ("&amp;Q45&amp;" minus "&amp;Q57&amp;") and "&amp;Q85</f>
        <v>lower of (c6.25 minus c6.26) and c6.30</v>
      </c>
      <c r="S88" s="724"/>
      <c r="X88" s="724"/>
      <c r="AB88" s="410" t="str">
        <f>"lower of ("&amp;AA45&amp;" minus "&amp;AA57&amp;") and "&amp;AA85</f>
        <v>lower of (c6.51 minus c6.51b) and c6.54</v>
      </c>
      <c r="AC88" s="116"/>
      <c r="AD88" s="116"/>
    </row>
    <row r="89" spans="3:30" x14ac:dyDescent="0.2">
      <c r="I89" s="724"/>
      <c r="K89" s="828" t="s">
        <v>7012</v>
      </c>
      <c r="L89" s="2127" t="str">
        <f>A28</f>
        <v>c6.20b</v>
      </c>
      <c r="M89" s="2158">
        <f>MIN(MAX(0,M45-M57),M85)</f>
        <v>0</v>
      </c>
      <c r="N89" s="724"/>
      <c r="P89" s="828" t="s">
        <v>7016</v>
      </c>
      <c r="Q89" s="2161" t="str">
        <f>A40</f>
        <v>c6.32</v>
      </c>
      <c r="R89" s="2158">
        <f>MIN(MAX(0,R45-R57),R85)</f>
        <v>297</v>
      </c>
      <c r="S89" s="724"/>
      <c r="X89" s="724"/>
      <c r="Z89" s="828" t="s">
        <v>7012</v>
      </c>
      <c r="AA89" s="2127" t="str">
        <f>A70</f>
        <v>c6.54b</v>
      </c>
      <c r="AB89" s="2158">
        <f>MIN(MAX(0,AB45-AB57),AB85)</f>
        <v>0</v>
      </c>
      <c r="AC89" s="116"/>
      <c r="AD89" s="116"/>
    </row>
    <row r="90" spans="3:30" x14ac:dyDescent="0.2">
      <c r="D90" s="2638"/>
      <c r="I90" s="724"/>
      <c r="N90" s="724"/>
      <c r="Q90" s="832"/>
      <c r="R90" s="988"/>
      <c r="S90" s="724"/>
      <c r="X90" s="724"/>
      <c r="AC90" s="116"/>
      <c r="AD90" s="116"/>
    </row>
    <row r="91" spans="3:30" x14ac:dyDescent="0.2">
      <c r="H91" s="410" t="str">
        <f>"lower of ("&amp;G68&amp;" minus "&amp;G75&amp;") and "&amp;G85</f>
        <v>lower of (c6.7 minus c6.7b) and c6.8</v>
      </c>
      <c r="I91" s="724"/>
      <c r="M91" s="410" t="str">
        <f>L87&amp;" minus "&amp;L89</f>
        <v>c6.20a minus c6.20b</v>
      </c>
      <c r="N91" s="724"/>
      <c r="O91" s="116"/>
      <c r="P91" s="116"/>
      <c r="R91" s="410" t="str">
        <f>Q87&amp;" minus "&amp;Q89</f>
        <v>c6.31 minus c6.32</v>
      </c>
      <c r="S91" s="724"/>
      <c r="W91" s="410" t="str">
        <f><![CDATA["lower of "&V85&" and ("&V68&" minus "&V75&")"]]></f>
        <v>lower of c6.42 and (c6.41 minus c6.41b)</v>
      </c>
      <c r="X91" s="724"/>
      <c r="AA91" s="116"/>
      <c r="AB91" s="410" t="str">
        <f>AA87&amp;" minus "&amp;AA89</f>
        <v>c6.54a minus c6.54b</v>
      </c>
      <c r="AC91" s="116"/>
      <c r="AD91" s="116"/>
    </row>
    <row r="92" spans="3:30" x14ac:dyDescent="0.2">
      <c r="F92" s="828" t="s">
        <v>1794</v>
      </c>
      <c r="G92" s="2169" t="str">
        <f>A12</f>
        <v>c6.9</v>
      </c>
      <c r="H92" s="2065">
        <f>MIN(MAX(0,H68-H75),H85)</f>
        <v>1189</v>
      </c>
      <c r="I92" s="724"/>
      <c r="K92" s="828" t="s">
        <v>1794</v>
      </c>
      <c r="L92" s="2169" t="str">
        <f>A29</f>
        <v>c6.21</v>
      </c>
      <c r="M92" s="2065">
        <f>MAX(0,M87-M89)</f>
        <v>0</v>
      </c>
      <c r="N92" s="724"/>
      <c r="O92" s="116"/>
      <c r="P92" s="828" t="s">
        <v>1794</v>
      </c>
      <c r="Q92" s="2169" t="str">
        <f>A41</f>
        <v>c6.33</v>
      </c>
      <c r="R92" s="2065">
        <f>MAX(0,R87-R89)</f>
        <v>10750</v>
      </c>
      <c r="S92" s="724"/>
      <c r="U92" s="828" t="s">
        <v>1794</v>
      </c>
      <c r="V92" s="2169" t="str">
        <f>A54</f>
        <v>c6.43</v>
      </c>
      <c r="W92" s="2065">
        <f>MIN(MAX(0,W68-W75),W85)</f>
        <v>0</v>
      </c>
      <c r="X92" s="724"/>
      <c r="Z92" s="828" t="s">
        <v>1794</v>
      </c>
      <c r="AA92" s="2169" t="str">
        <f>A71</f>
        <v>c6.55</v>
      </c>
      <c r="AB92" s="2065">
        <f>MAX(0,AB87-AB89)</f>
        <v>0</v>
      </c>
      <c r="AC92" s="116"/>
      <c r="AD92" s="116"/>
    </row>
    <row r="93" spans="3:30" x14ac:dyDescent="0.2">
      <c r="I93" s="724"/>
      <c r="J93" s="1476"/>
      <c r="N93" s="724"/>
      <c r="S93" s="724"/>
      <c r="X93" s="724"/>
      <c r="AC93" s="116"/>
      <c r="AD93" s="116"/>
    </row>
    <row r="94" spans="3:30" x14ac:dyDescent="0.2">
      <c r="I94" s="724"/>
      <c r="M94" s="117" t="str">
        <f>L14&amp;" minus"</f>
        <v>c6.11 minus</v>
      </c>
      <c r="N94" s="724"/>
      <c r="O94" s="116"/>
      <c r="Q94" s="116"/>
      <c r="S94" s="724"/>
      <c r="V94" s="116"/>
      <c r="X94" s="724"/>
      <c r="AA94" s="116"/>
      <c r="AB94" s="117" t="str">
        <f>AA14&amp;" minus"</f>
        <v>c6.45 minus</v>
      </c>
      <c r="AC94" s="116"/>
      <c r="AD94" s="116"/>
    </row>
    <row r="95" spans="3:30" x14ac:dyDescent="0.2">
      <c r="H95" s="410" t="str">
        <f><![CDATA[G14&" minus ("&G17&" + "&G64&" + "&G75&" + "&G92&")"]]></f>
        <v>c6.1 minus (c6.2 + c6.6 + c6.7b + c6.9)</v>
      </c>
      <c r="I95" s="724"/>
      <c r="M95" s="410" t="str">
        <f><![CDATA["("&L35&" + "&L45&" + "&L64&" + "&L92&")"]]></f>
        <v>(c6.14 + c6.17 + c6.18 + c6.21)</v>
      </c>
      <c r="N95" s="724"/>
      <c r="O95" s="116"/>
      <c r="Q95" s="116"/>
      <c r="R95" s="410" t="str">
        <f><![CDATA[Q14&" minus ("&Q45&" + "&Q64&" + "&Q92&")"]]></f>
        <v>c6.23 minus (c6.25 + c6.28 + c6.33)</v>
      </c>
      <c r="S95" s="724"/>
      <c r="V95" s="116"/>
      <c r="W95" s="410" t="str">
        <f><![CDATA[V14&" minus ("&V17&" + "&V64&" + "&V75&" + "&V92&")"]]></f>
        <v>c6.35 minus (c6.36 + c6.40 + c6.41b + c6.43)</v>
      </c>
      <c r="X95" s="724"/>
      <c r="AA95" s="116"/>
      <c r="AB95" s="410" t="str">
        <f><![CDATA["("&AA35&" + "&AA45&" + "&AA64&" + "&AA92&")"]]></f>
        <v>(c6.48 + c6.51 + c6.52 + c6.55)</v>
      </c>
      <c r="AC95" s="116"/>
      <c r="AD95" s="116"/>
    </row>
    <row r="96" spans="3:30" x14ac:dyDescent="0.2">
      <c r="F96" s="828" t="s">
        <v>1435</v>
      </c>
      <c r="G96" s="2169" t="str">
        <f>A13</f>
        <v>c6.10</v>
      </c>
      <c r="H96" s="2065">
        <f>MAX(0,H14-(H17+H64+H75+H92))</f>
        <v>0</v>
      </c>
      <c r="I96" s="1477"/>
      <c r="K96" s="828" t="s">
        <v>1435</v>
      </c>
      <c r="L96" s="2169" t="str">
        <f>A30</f>
        <v>c6.22</v>
      </c>
      <c r="M96" s="2065">
        <f>MAX(0,M14-(M35+M45+M64+M92))</f>
        <v>0</v>
      </c>
      <c r="N96" s="1477"/>
      <c r="O96" s="115"/>
      <c r="P96" s="828" t="s">
        <v>1435</v>
      </c>
      <c r="Q96" s="2169" t="str">
        <f>A42</f>
        <v>c6.34</v>
      </c>
      <c r="R96" s="2065">
        <f>MAX(0,R14-(R45+R64+R92))</f>
        <v>0</v>
      </c>
      <c r="S96" s="1477"/>
      <c r="T96" s="1476"/>
      <c r="U96" s="828" t="s">
        <v>1435</v>
      </c>
      <c r="V96" s="2169" t="str">
        <f>A55</f>
        <v>c6.44</v>
      </c>
      <c r="W96" s="2065">
        <f>MAX(0,W14-(W17+W64+W75+W92))</f>
        <v>0</v>
      </c>
      <c r="X96" s="1477"/>
      <c r="Y96" s="1476"/>
      <c r="Z96" s="828" t="s">
        <v>1435</v>
      </c>
      <c r="AA96" s="2169" t="str">
        <f>A72</f>
        <v>c6.56</v>
      </c>
      <c r="AB96" s="2065">
        <f>MAX(0,AB14-(AB35+AB45+AB64+AB92))</f>
        <v>0</v>
      </c>
      <c r="AC96" s="116"/>
      <c r="AD96" s="116"/>
    </row>
    <row r="97" spans="2:30" x14ac:dyDescent="0.2">
      <c r="I97" s="724"/>
      <c r="N97" s="724"/>
      <c r="S97" s="724"/>
      <c r="W97" s="116"/>
      <c r="X97" s="724"/>
      <c r="AC97" s="116"/>
      <c r="AD97" s="116"/>
    </row>
    <row r="98" spans="2:30" x14ac:dyDescent="0.2">
      <c r="B98" s="2675" t="s">
        <v>6294</v>
      </c>
      <c r="C98" s="2675"/>
      <c r="D98" s="2675"/>
      <c r="E98" s="2675"/>
      <c r="F98" s="2675"/>
      <c r="G98" s="2675"/>
      <c r="H98" s="2676" t="str">
        <f><![CDATA[G17&" + "&G64&" + "&G75&" + "&G92&" + "&G96]]></f>
        <v>c6.2 + c6.6 + c6.7b + c6.9 + c6.10</v>
      </c>
      <c r="I98" s="2677"/>
      <c r="J98" s="2675"/>
      <c r="K98" s="2675"/>
      <c r="L98" s="2675"/>
      <c r="M98" s="2676" t="str">
        <f><![CDATA[L35&" + "&L45&" + "&L64&" + "&L92&" + "&L96]]></f>
        <v>c6.14 + c6.17 + c6.18 + c6.21 + c6.22</v>
      </c>
      <c r="N98" s="2677"/>
      <c r="O98" s="2675"/>
      <c r="P98" s="2675"/>
      <c r="Q98" s="2675"/>
      <c r="R98" s="2676" t="str">
        <f><![CDATA[Q45&" + "&Q64&" + "&Q92&" + "&Q96]]></f>
        <v>c6.25 + c6.28 + c6.33 + c6.34</v>
      </c>
      <c r="S98" s="2677"/>
      <c r="T98" s="2675"/>
      <c r="U98" s="2675"/>
      <c r="V98" s="2675"/>
      <c r="W98" s="2676" t="str">
        <f><![CDATA[V17&" + "&V64&" + "&V75&" + "&V92&" + "&V96]]></f>
        <v>c6.36 + c6.40 + c6.41b + c6.43 + c6.44</v>
      </c>
      <c r="X98" s="2677"/>
      <c r="Y98" s="2675"/>
      <c r="Z98" s="2675"/>
      <c r="AA98" s="2675"/>
      <c r="AB98" s="2676" t="str">
        <f><![CDATA[AA35&" + "&AA45&" + "&AA64&" + "&AA92&" + "&AA96]]></f>
        <v>c6.48 + c6.51 + c6.52 + c6.55 + c6.56</v>
      </c>
      <c r="AC98" s="116"/>
      <c r="AD98" s="116"/>
    </row>
    <row r="99" spans="2:30" x14ac:dyDescent="0.2">
      <c r="B99" s="2675"/>
      <c r="C99" s="2675"/>
      <c r="D99" s="2678" t="s">
        <v>2197</v>
      </c>
      <c r="E99" s="2675"/>
      <c r="F99" s="2675"/>
      <c r="G99" s="2679"/>
      <c r="H99" s="2680">
        <f>(H17+H64+H75+H92+H96)</f>
        <v>33744</v>
      </c>
      <c r="I99" s="2677"/>
      <c r="J99" s="2675"/>
      <c r="K99" s="2675"/>
      <c r="L99" s="2679"/>
      <c r="M99" s="2680">
        <f>M35+M45+M64+M92+M96</f>
        <v>3678</v>
      </c>
      <c r="N99" s="2677"/>
      <c r="O99" s="2675"/>
      <c r="P99" s="2675"/>
      <c r="Q99" s="2679"/>
      <c r="R99" s="2680">
        <f>R45+R64+R92+R96</f>
        <v>12750</v>
      </c>
      <c r="S99" s="2677"/>
      <c r="T99" s="2675"/>
      <c r="U99" s="2675"/>
      <c r="V99" s="2679"/>
      <c r="W99" s="2680">
        <f>(W17+W64+W75+W92+W96)</f>
        <v>0</v>
      </c>
      <c r="X99" s="2677"/>
      <c r="Y99" s="2675"/>
      <c r="Z99" s="2675"/>
      <c r="AA99" s="2679"/>
      <c r="AB99" s="2680">
        <f>AB35+AB45+AB64+AB92+AB96</f>
        <v>0</v>
      </c>
      <c r="AC99" s="116"/>
      <c r="AD99" s="116"/>
    </row>
    <row r="100" spans="2:30" x14ac:dyDescent="0.2">
      <c r="B100" s="2675"/>
      <c r="C100" s="2675"/>
      <c r="D100" s="2675"/>
      <c r="E100" s="2675"/>
      <c r="F100" s="2675"/>
      <c r="G100" s="2675"/>
      <c r="H100" s="2675"/>
      <c r="I100" s="2675"/>
      <c r="J100" s="2675"/>
      <c r="K100" s="2675"/>
      <c r="L100" s="2675"/>
      <c r="M100" s="2675"/>
      <c r="N100" s="2675"/>
      <c r="O100" s="2675"/>
      <c r="P100" s="2675"/>
      <c r="Q100" s="2675"/>
      <c r="R100" s="2675"/>
      <c r="S100" s="2675"/>
      <c r="T100" s="2675"/>
      <c r="U100" s="2675"/>
      <c r="V100" s="2675"/>
      <c r="W100" s="2675"/>
      <c r="X100" s="2675"/>
      <c r="Y100" s="2675"/>
      <c r="Z100" s="2675"/>
      <c r="AA100" s="2675"/>
      <c r="AB100" s="2675"/>
      <c r="AC100" s="116"/>
      <c r="AD100" s="116"/>
    </row>
    <row r="101" spans="2:30" x14ac:dyDescent="0.2">
      <c r="AC101" s="116"/>
      <c r="AD101" s="116"/>
    </row>
    <row r="102" spans="2:30" x14ac:dyDescent="0.2">
      <c r="AC102" s="116"/>
      <c r="AD102" s="116"/>
    </row>
    <row r="103" spans="2:30" x14ac:dyDescent="0.2">
      <c r="AC103" s="116"/>
      <c r="AD103" s="116"/>
    </row>
    <row r="104" spans="2:30" x14ac:dyDescent="0.2">
      <c r="AC104" s="118"/>
      <c r="AD104" s="116"/>
    </row>
    <row r="106" spans="2:30" x14ac:dyDescent="0.2">
      <c r="V106" s="116"/>
    </row>
    <row r="107" spans="2:30" x14ac:dyDescent="0.2">
      <c r="V107" s="116"/>
    </row>
    <row r="108" spans="2:30" x14ac:dyDescent="0.2">
      <c r="V108" s="116"/>
    </row>
    <row r="110" spans="2:30" x14ac:dyDescent="0.2">
      <c r="V110" s="116"/>
    </row>
  </sheetData>
  <phoneticPr fontId="67" type="noConversion"/>
  <pageMargins bottom="0.19685039370078741" footer="0.19685039370078741" header="0.19685039370078741" left="0.15748031496062992" right="0.15748031496062992" top="0.19685039370078741"/>
  <pageSetup orientation="landscape" paperSize="9" r:id="rId1"/>
  <headerFooter alignWithMargins="0"/>
</worksheet>
</file>

<file path=xl/worksheets/sheet66.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100-000000000000}">
  <sheetPr codeName="Sheet82">
    <tabColor rgb="FFB482DA"/>
  </sheetPr>
  <dimension ref="A1:O69"/>
  <sheetViews>
    <sheetView showGridLines="0" topLeftCell="B1" workbookViewId="0">
      <selection activeCell="M33" sqref="M33"/>
    </sheetView>
  </sheetViews>
  <sheetFormatPr defaultColWidth="8.85546875" defaultRowHeight="12" x14ac:dyDescent="0.2"/>
  <cols>
    <col min="1" max="1" customWidth="true" hidden="true" style="116" width="8.140625" collapsed="true"/>
    <col min="2" max="2" customWidth="true" style="117" width="6.0" collapsed="true"/>
    <col min="3" max="3" customWidth="true" style="117" width="11.7109375" collapsed="true"/>
    <col min="4" max="4" customWidth="true" style="117" width="12.42578125" collapsed="true"/>
    <col min="5" max="5" customWidth="true" style="117" width="5.7109375" collapsed="true"/>
    <col min="6" max="6" customWidth="true" style="117" width="15.28515625" collapsed="true"/>
    <col min="7" max="7" customWidth="true" style="117" width="17.140625" collapsed="true"/>
    <col min="8" max="9" customWidth="true" style="117" width="9.0" collapsed="true"/>
    <col min="10" max="10" customWidth="true" style="117" width="5.28515625" collapsed="true"/>
    <col min="11" max="11" customWidth="true" style="117" width="15.28515625" collapsed="true"/>
    <col min="12" max="12" bestFit="true" customWidth="true" style="117" width="13.42578125" collapsed="true"/>
    <col min="13" max="13" customWidth="true" style="117" width="5.85546875" collapsed="true"/>
    <col min="14" max="14" customWidth="true" style="117" width="10.7109375" collapsed="true"/>
    <col min="15" max="15" customWidth="true" style="117" width="1.7109375" collapsed="true"/>
    <col min="16" max="16" customWidth="true" style="117" width="5.7109375" collapsed="true"/>
    <col min="17" max="17" customWidth="true" style="117" width="12.140625" collapsed="true"/>
    <col min="18" max="19" customWidth="true" style="117" width="2.7109375" collapsed="true"/>
    <col min="20" max="20" customWidth="true" style="117" width="4.7109375" collapsed="true"/>
    <col min="21" max="16384" style="117" width="8.85546875" collapsed="true"/>
  </cols>
  <sheetData>
    <row ht="18" r="1" spans="1:12" x14ac:dyDescent="0.25">
      <c r="A1" s="116" t="s">
        <v>1092</v>
      </c>
      <c r="B1" s="3049" t="s">
        <v>6941</v>
      </c>
    </row>
    <row r="2" spans="1:12" x14ac:dyDescent="0.2">
      <c r="A2" s="116" t="s">
        <v>1610</v>
      </c>
      <c r="G2" s="3050" t="s">
        <v>7394</v>
      </c>
      <c r="H2" s="3045"/>
      <c r="I2" s="3045"/>
      <c r="J2" s="3045"/>
      <c r="K2" s="3051"/>
    </row>
    <row r="3" spans="1:12" x14ac:dyDescent="0.2">
      <c r="A3" s="116" t="s">
        <v>1093</v>
      </c>
      <c r="G3" s="114"/>
      <c r="H3" s="116"/>
      <c r="I3" s="116"/>
      <c r="J3" s="116"/>
      <c r="K3" s="116"/>
    </row>
    <row r="4" spans="1:12" x14ac:dyDescent="0.2">
      <c r="A4" s="116" t="s">
        <v>1611</v>
      </c>
      <c r="F4" s="692" t="str">
        <f>"from "&amp;AOI&amp;AOI!G22</f>
        <v>from AOI11</v>
      </c>
    </row>
    <row r="5" spans="1:12" x14ac:dyDescent="0.2">
      <c r="A5" s="116" t="s">
        <v>1094</v>
      </c>
      <c r="B5" s="829" t="s">
        <v>933</v>
      </c>
      <c r="E5" s="726" t="str">
        <f>A1</f>
        <v>c7.1</v>
      </c>
      <c r="F5" s="109">
        <f>TRUNC(AOI!H23+0.99,0)</f>
        <v>0</v>
      </c>
      <c r="G5" s="935" t="s">
        <v>3701</v>
      </c>
    </row>
    <row r="6" spans="1:12" x14ac:dyDescent="0.2">
      <c r="A6" s="116" t="s">
        <v>1612</v>
      </c>
    </row>
    <row r="7" spans="1:12" x14ac:dyDescent="0.2">
      <c r="A7" s="116" t="s">
        <v>1095</v>
      </c>
      <c r="B7" s="115" t="s">
        <v>6942</v>
      </c>
    </row>
    <row r="8" spans="1:12" x14ac:dyDescent="0.2">
      <c r="A8" s="116" t="s">
        <v>1613</v>
      </c>
      <c r="D8" s="118"/>
      <c r="F8" s="118" t="str">
        <f>"from "&amp;'tax it (c6)'!Q92</f>
        <v>from c6.33</v>
      </c>
    </row>
    <row r="9" spans="1:12" x14ac:dyDescent="0.2">
      <c r="A9" s="116" t="s">
        <v>1527</v>
      </c>
      <c r="D9" s="118" t="s">
        <v>6991</v>
      </c>
      <c r="E9" s="726" t="str">
        <f>A2</f>
        <v>c7.2</v>
      </c>
      <c r="F9" s="392">
        <f>'tax it (c6)'!R92</f>
        <v>10750</v>
      </c>
    </row>
    <row r="10" spans="1:12" x14ac:dyDescent="0.2">
      <c r="A10" s="116" t="s">
        <v>1614</v>
      </c>
    </row>
    <row r="11" spans="1:12" x14ac:dyDescent="0.2">
      <c r="A11" s="116" t="s">
        <v>1011</v>
      </c>
    </row>
    <row r="12" spans="1:12" x14ac:dyDescent="0.2">
      <c r="A12" s="116" t="s">
        <v>6346</v>
      </c>
      <c r="F12" s="118" t="str">
        <f>"lower of "&amp;E5&amp;" and "&amp;E9</f>
        <v>lower of c7.1 and c7.2</v>
      </c>
      <c r="K12" s="118" t="str">
        <f><![CDATA[E13&" x (DivHR_rate ("&DivHR_rate*100&"%) minus DivBR_rate ("&DivBR_rate*100&"%)) ("&(DivHR_rate-DivBR_rate)*100&"%)"]]></f>
        <v>c7.3 x (DivHR_rate (32.5%) minus DivBR_rate (7.5%)) (25%)</v>
      </c>
    </row>
    <row r="13" spans="1:12" x14ac:dyDescent="0.2">
      <c r="A13" s="116" t="s">
        <v>6347</v>
      </c>
      <c r="D13" s="118" t="s">
        <v>6992</v>
      </c>
      <c r="E13" s="726" t="str">
        <f>A3</f>
        <v>c7.3</v>
      </c>
      <c r="F13" s="830">
        <f>MIN(F5,F9)</f>
        <v>0</v>
      </c>
      <c r="I13" s="118" t="s">
        <v>6993</v>
      </c>
      <c r="J13" s="726" t="str">
        <f>A4</f>
        <v>c7.4</v>
      </c>
      <c r="K13" s="831">
        <f>TRUNC((F13*(DivHR_rate-DivBR_rate))+0.0099,2)</f>
        <v>0</v>
      </c>
      <c r="L13" s="935" t="s">
        <v>1707</v>
      </c>
    </row>
    <row r="14" spans="1:12" x14ac:dyDescent="0.2">
      <c r="A14" s="116" t="s">
        <v>6348</v>
      </c>
      <c r="B14" s="685"/>
      <c r="C14" s="685"/>
      <c r="D14" s="685"/>
      <c r="E14" s="685"/>
      <c r="F14" s="685"/>
      <c r="G14" s="685"/>
      <c r="H14" s="685"/>
      <c r="I14" s="685"/>
      <c r="J14" s="685"/>
      <c r="K14" s="685"/>
    </row>
    <row r="15" spans="1:12" x14ac:dyDescent="0.2">
      <c r="A15" s="116" t="s">
        <v>6349</v>
      </c>
    </row>
    <row r="16" spans="1:12" x14ac:dyDescent="0.2">
      <c r="A16" s="116" t="s">
        <v>6350</v>
      </c>
      <c r="B16" s="115" t="s">
        <v>6943</v>
      </c>
    </row>
    <row r="18" spans="2:12" x14ac:dyDescent="0.2">
      <c r="D18" s="116"/>
      <c r="F18" s="118" t="str">
        <f>E5&amp;" minus "&amp;E13</f>
        <v>c7.1 minus c7.3</v>
      </c>
    </row>
    <row r="19" spans="2:12" x14ac:dyDescent="0.2">
      <c r="D19" s="410" t="s">
        <v>6994</v>
      </c>
      <c r="E19" s="726" t="str">
        <f>A5</f>
        <v>c7.5</v>
      </c>
      <c r="F19" s="830">
        <f>MAX(F5-F13,0)</f>
        <v>0</v>
      </c>
    </row>
    <row r="21" spans="2:12" x14ac:dyDescent="0.2">
      <c r="B21" s="117" t="str">
        <f><![CDATA["If the individual is a Scottish or Welsh taxpayer, instead of calculating "&E26&" to "&J29&" calculate "&E43&" to "&J64]]></f>
        <v>If the individual is a Scottish or Welsh taxpayer, instead of calculating c7.6 to c7.8 calculate c7.9 to c7.15</v>
      </c>
      <c r="D21" s="3246"/>
    </row>
    <row r="22" spans="2:12" x14ac:dyDescent="0.2">
      <c r="B22" s="117" t="str">
        <f>"If "&amp;'Status (c3a)'!D21&amp;" = 1"</f>
        <v>If c3a.1 = 1</v>
      </c>
    </row>
    <row r="23" spans="2:12" x14ac:dyDescent="0.2">
      <c r="B23" s="117" t="str">
        <f>"calculate "&amp;E26&amp;" to "&amp;J29</f>
        <v>calculate c7.6 to c7.8</v>
      </c>
    </row>
    <row r="24" spans="2:12" x14ac:dyDescent="0.2">
      <c r="D24" s="1234"/>
      <c r="E24" s="1234"/>
      <c r="F24" s="2120"/>
    </row>
    <row r="25" spans="2:12" x14ac:dyDescent="0.2">
      <c r="F25" s="410" t="str">
        <f><![CDATA['tax it (c6)'!G92&" + "&'tax it (c6)'!L92&" + "&'tax it (c6)'!V92&" + "&'tax it (c6)'!AA92]]></f>
        <v>c6.9 + c6.21 + c6.43 + c6.55</v>
      </c>
    </row>
    <row r="26" spans="2:12" x14ac:dyDescent="0.2">
      <c r="D26" s="118" t="s">
        <v>1794</v>
      </c>
      <c r="E26" s="726" t="str">
        <f>A6</f>
        <v>c7.6</v>
      </c>
      <c r="F26" s="392">
        <f>IF('Status (c3a)'!E21=1,'tax it (c6)'!H92+'tax it (c6)'!M92+'tax it (c6)'!W92+'tax it (c6)'!AB92,0)</f>
        <v>0</v>
      </c>
    </row>
    <row r="28" spans="2:12" x14ac:dyDescent="0.2">
      <c r="F28" s="118" t="str">
        <f>"lower of "&amp;E19&amp;" and "&amp;E26</f>
        <v>lower of c7.5 and c7.6</v>
      </c>
      <c r="K28" s="118" t="str">
        <f><![CDATA[E29&" x (HR_rate ("&HR_rate*100&"%) minus BR_rate ("&BR_rate*100&"%)) ("&(HR_rate-BR_rate)*100&"%)"]]></f>
        <v>c7.7 x (HR_rate (40%) minus BR_rate (20%)) (20%)</v>
      </c>
    </row>
    <row r="29" spans="2:12" x14ac:dyDescent="0.2">
      <c r="D29" s="118" t="s">
        <v>6992</v>
      </c>
      <c r="E29" s="726" t="str">
        <f>A7</f>
        <v>c7.7</v>
      </c>
      <c r="F29" s="830">
        <f>IF('Status (c3a)'!E21=1,MIN(F19,F26),0)</f>
        <v>0</v>
      </c>
      <c r="I29" s="118" t="s">
        <v>6993</v>
      </c>
      <c r="J29" s="726" t="str">
        <f>A8</f>
        <v>c7.8</v>
      </c>
      <c r="K29" s="831">
        <f>IF('Status (c3a)'!E21=1,TRUNC((F29*(HR_rate-BR_rate))+0.0099,2),0)</f>
        <v>0</v>
      </c>
      <c r="L29" s="935" t="s">
        <v>1707</v>
      </c>
    </row>
    <row r="30" spans="2:12" x14ac:dyDescent="0.2">
      <c r="D30" s="118"/>
      <c r="E30" s="832"/>
      <c r="F30" s="833"/>
      <c r="I30" s="118"/>
      <c r="J30" s="832"/>
      <c r="K30" s="1920"/>
      <c r="L30" s="935"/>
    </row>
    <row r="31" spans="2:12" x14ac:dyDescent="0.2">
      <c r="B31" s="117" t="str">
        <f>"set "&amp;E43&amp;" to "&amp;J64&amp;" to 0 (zero)"</f>
        <v>set c7.9 to c7.15 to 0 (zero)</v>
      </c>
      <c r="D31" s="118"/>
      <c r="E31" s="832"/>
      <c r="F31" s="833"/>
      <c r="I31" s="118"/>
      <c r="J31" s="832"/>
      <c r="K31" s="1920"/>
      <c r="L31" s="935"/>
    </row>
    <row r="32" spans="2:12" x14ac:dyDescent="0.2">
      <c r="B32" s="117" t="s">
        <v>2386</v>
      </c>
    </row>
    <row r="33" spans="2:14" x14ac:dyDescent="0.2">
      <c r="B33" s="117" t="str">
        <f>"set "&amp;E26&amp;" to "&amp;J29&amp;" to 0 (zero)"</f>
        <v>set c7.6 to c7.8 to 0 (zero)</v>
      </c>
    </row>
    <row r="34" spans="2:14" x14ac:dyDescent="0.2">
      <c r="B34" s="117" t="str">
        <f>"calculate "&amp;E43&amp;" to "&amp;J64</f>
        <v>calculate c7.9 to c7.15</v>
      </c>
    </row>
    <row r="35" spans="2:14" x14ac:dyDescent="0.2">
      <c r="B35" s="1298"/>
    </row>
    <row r="36" spans="2:14" x14ac:dyDescent="0.2">
      <c r="B36" s="115" t="s">
        <v>6944</v>
      </c>
    </row>
    <row r="37" spans="2:14" x14ac:dyDescent="0.2">
      <c r="D37" s="3244"/>
      <c r="E37" s="3244"/>
      <c r="F37" s="410"/>
      <c r="K37" s="410"/>
      <c r="N37" s="410"/>
    </row>
    <row r="38" spans="2:14" x14ac:dyDescent="0.2">
      <c r="E38" s="3246"/>
      <c r="F38" s="3154" t="str">
        <f>" if "&amp;'Status (c3a)'!X44&amp;" &gt;= HR_rate ("&amp;HR_rate*100&amp;"%)"</f>
        <v xml:space="preserve"> if c3a.5 &gt;= HR_rate (40%)</v>
      </c>
      <c r="K38" s="410"/>
    </row>
    <row r="39" spans="2:14" x14ac:dyDescent="0.2">
      <c r="F39" s="410" t="str">
        <f>E43&amp;" = "&amp;'tax it (c6)'!G92&amp;" + "&amp;'tax it (c6)'!V92</f>
        <v>c7.9 = c6.9 + c6.43</v>
      </c>
      <c r="K39" s="1215"/>
    </row>
    <row r="40" spans="2:14" x14ac:dyDescent="0.2">
      <c r="F40" s="117" t="s">
        <v>2386</v>
      </c>
      <c r="K40" s="410"/>
    </row>
    <row r="41" spans="2:14" x14ac:dyDescent="0.2">
      <c r="F41" s="118" t="str">
        <f>E43&amp;" = "&amp;'tax it (c6)'!L92&amp;" + "&amp;'tax it (c6)'!AA92</f>
        <v>c7.9 = c6.21 + c6.55</v>
      </c>
      <c r="J41" s="3246"/>
      <c r="K41" s="3154" t="str">
        <f>" if "&amp;'Status (c3a)'!X44&amp;" &gt;= HR_rate ("&amp;HR_rate*100&amp;"%)"</f>
        <v xml:space="preserve"> if c3a.5 &gt;= HR_rate (40%)</v>
      </c>
    </row>
    <row r="42" spans="2:14" x14ac:dyDescent="0.2">
      <c r="F42" s="2121" t="s">
        <v>2495</v>
      </c>
      <c r="K42" s="410" t="str">
        <f><![CDATA[J46&" = "&E46&" x ("&'Status (c3a)'!X44&" minus "&'Status (c3a)'!L44&")"]]></f>
        <v>c7.11 = c7.10 x (c3a.5 minus c3a.4)</v>
      </c>
    </row>
    <row r="43" spans="2:14" x14ac:dyDescent="0.2">
      <c r="D43" s="118" t="s">
        <v>1794</v>
      </c>
      <c r="E43" s="726" t="str">
        <f>A9</f>
        <v>c7.9</v>
      </c>
      <c r="F43" s="831">
        <f>IF(OR('Status (c3a)'!E21=2,'Status (c3a)'!E21=3),IF('Status (c3a)'!Y44&gt;=HR_rate,'tax it (c6)'!H92+'tax it (c6)'!W92,'tax it (c6)'!M92+'tax it (c6)'!AB92),0)</f>
        <v>1189</v>
      </c>
      <c r="K43" s="117" t="s">
        <v>2386</v>
      </c>
    </row>
    <row r="44" spans="2:14" x14ac:dyDescent="0.2">
      <c r="K44" s="118" t="str">
        <f><![CDATA[J46&" = "&E46&" x (HR_rate ("&HR_rate*100&"%) minus BR_rate ("&BR_rate*100&"%)) ("&(HR_rate-BR_rate)*100&"%)"]]></f>
        <v>c7.11 = c7.10 x (HR_rate (40%) minus BR_rate (20%)) (20%)</v>
      </c>
    </row>
    <row r="45" spans="2:14" x14ac:dyDescent="0.2">
      <c r="F45" s="410" t="str">
        <f>"lower of "&amp;E19&amp;" and "&amp;E43</f>
        <v>lower of c7.5 and c7.9</v>
      </c>
      <c r="K45" s="2121" t="s">
        <v>2495</v>
      </c>
    </row>
    <row r="46" spans="2:14" x14ac:dyDescent="0.2">
      <c r="D46" s="118" t="s">
        <v>6992</v>
      </c>
      <c r="E46" s="726" t="str">
        <f>A10</f>
        <v>c7.10</v>
      </c>
      <c r="F46" s="831">
        <f>MIN(F19,F43)</f>
        <v>0</v>
      </c>
      <c r="I46" s="118" t="s">
        <v>6993</v>
      </c>
      <c r="J46" s="726" t="str">
        <f>A11</f>
        <v>c7.11</v>
      </c>
      <c r="K46" s="831">
        <f>MAX(0,IF(OR('Status (c3a)'!E21=2,'Status (c3a)'!E21=3),IF('Status (c3a)'!Y44&gt;=HR_rate,TRUNC(F46*('Status (c3a)'!Y44-'Status (c3a)'!M44)+0.0099,2),TRUNC(F46*(HR_rate-BR_rate)+0.0099,2)),0))</f>
        <v>0</v>
      </c>
      <c r="L46" s="935" t="s">
        <v>1707</v>
      </c>
    </row>
    <row r="48" spans="2:14" x14ac:dyDescent="0.2">
      <c r="B48" s="115" t="s">
        <v>6945</v>
      </c>
    </row>
    <row r="50" spans="4:12" x14ac:dyDescent="0.2">
      <c r="F50" s="410" t="str">
        <f>E19&amp;" minus ("&amp;E29&amp;" + "&amp;E46&amp;")"</f>
        <v>c7.5 minus (c7.7 + c7.10)</v>
      </c>
    </row>
    <row r="51" spans="4:12" x14ac:dyDescent="0.2">
      <c r="D51" s="410" t="s">
        <v>6994</v>
      </c>
      <c r="E51" s="726" t="str">
        <f>A12</f>
        <v>c7.12</v>
      </c>
      <c r="F51" s="831">
        <f>MAX(0,F19-(F29+F46))</f>
        <v>0</v>
      </c>
    </row>
    <row r="54" spans="4:12" x14ac:dyDescent="0.2">
      <c r="D54" s="711"/>
      <c r="E54" s="2982"/>
      <c r="F54" s="93"/>
    </row>
    <row r="55" spans="4:12" x14ac:dyDescent="0.2">
      <c r="D55" s="2982"/>
      <c r="E55" s="2982"/>
      <c r="F55" s="1220"/>
    </row>
    <row r="56" spans="4:12" x14ac:dyDescent="0.2">
      <c r="E56" s="3246"/>
      <c r="F56" s="3239" t="str">
        <f>" if "&amp;'Status (c3a)'!X44&amp;" &lt; HR_rate ("&amp;HR_rate*100&amp;"%)"</f>
        <v xml:space="preserve"> if c3a.5 &lt; HR_rate (40%)</v>
      </c>
    </row>
    <row r="57" spans="4:12" x14ac:dyDescent="0.2">
      <c r="F57" s="118" t="str">
        <f>E61&amp;" = "&amp;'tax it (c6)'!G92&amp;" + "&amp;'tax it (c6)'!V92</f>
        <v>c7.13 = c6.9 + c6.43</v>
      </c>
    </row>
    <row r="58" spans="4:12" x14ac:dyDescent="0.2">
      <c r="F58" s="117" t="s">
        <v>2386</v>
      </c>
      <c r="K58" s="1220"/>
    </row>
    <row r="59" spans="4:12" x14ac:dyDescent="0.2">
      <c r="F59" s="410" t="str">
        <f>E61&amp;" = "&amp;'tax it (c6)'!L92&amp;" + "&amp;'tax it (c6)'!AA92</f>
        <v>c7.13 = c6.21 + c6.55</v>
      </c>
      <c r="J59" s="3246"/>
      <c r="K59" s="3239" t="str">
        <f>" if "&amp;'Status (c3a)'!X44&amp;" &lt; HR_rate ("&amp;HR_rate*100&amp;"%)"</f>
        <v xml:space="preserve"> if c3a.5 &lt; HR_rate (40%)</v>
      </c>
    </row>
    <row r="60" spans="4:12" x14ac:dyDescent="0.2">
      <c r="F60" s="2121" t="s">
        <v>2495</v>
      </c>
      <c r="K60" s="410" t="str">
        <f><![CDATA[J64&" = "&E64&" x ("&'Status (c3a)'!X44&" minus "&'Status (c3a)'!L44&")"]]></f>
        <v>c7.15 = c7.14 x (c3a.5 minus c3a.4)</v>
      </c>
    </row>
    <row r="61" spans="4:12" x14ac:dyDescent="0.2">
      <c r="D61" s="118" t="s">
        <v>1794</v>
      </c>
      <c r="E61" s="726" t="str">
        <f>A13</f>
        <v>c7.13</v>
      </c>
      <c r="F61" s="831">
        <f>IF(OR('Status (c3a)'!E21=2,'Status (c3a)'!E21=3),IF('Status (c3a)'!Y44&lt;HR_rate,'tax it (c6)'!H92+'tax it (c6)'!W92,'tax it (c6)'!M92+'tax it (c6)'!AB92),0)</f>
        <v>0</v>
      </c>
      <c r="K61" s="117" t="s">
        <v>2386</v>
      </c>
    </row>
    <row r="62" spans="4:12" x14ac:dyDescent="0.2">
      <c r="K62" s="118" t="str">
        <f><![CDATA[J64&" = "&E64&" x (HR_rate ("&HR_rate*100&"%) minus BR_rate ("&BR_rate*100&"%)) ("&(HR_rate-BR_rate)*100&"%)"]]></f>
        <v>c7.15 = c7.14 x (HR_rate (40%) minus BR_rate (20%)) (20%)</v>
      </c>
    </row>
    <row r="63" spans="4:12" x14ac:dyDescent="0.2">
      <c r="F63" s="118" t="str">
        <f>"lower of "&amp;E51&amp;" and "&amp;E61</f>
        <v>lower of c7.12 and c7.13</v>
      </c>
      <c r="K63" s="2121" t="s">
        <v>2495</v>
      </c>
    </row>
    <row r="64" spans="4:12" x14ac:dyDescent="0.2">
      <c r="D64" s="118" t="s">
        <v>6992</v>
      </c>
      <c r="E64" s="726" t="str">
        <f>A14</f>
        <v>c7.14</v>
      </c>
      <c r="F64" s="831">
        <f>MIN(F51,F61)</f>
        <v>0</v>
      </c>
      <c r="I64" s="118" t="s">
        <v>6993</v>
      </c>
      <c r="J64" s="726" t="str">
        <f>A15</f>
        <v>c7.15</v>
      </c>
      <c r="K64" s="831">
        <f>MAX(0,IF(OR('Status (c3a)'!E21=2,'Status (c3a)'!E21=3),IF('Status (c3a)'!Y44&lt;HR_rate,TRUNC(F64*('Status (c3a)'!Y44-'Status (c3a)'!M44)+0.0099,2),TRUNC(F64*(HR_rate-BR_rate)+0.0099,2)),0))</f>
        <v>0</v>
      </c>
      <c r="L64" s="935" t="s">
        <v>1707</v>
      </c>
    </row>
    <row r="66" spans="2:11" x14ac:dyDescent="0.2">
      <c r="B66" s="117" t="s">
        <v>2495</v>
      </c>
    </row>
    <row r="67" spans="2:11" x14ac:dyDescent="0.2">
      <c r="K67" s="118" t="str">
        <f><![CDATA[J13&" + "&J29&" + "&J46&" + "&J64]]></f>
        <v>c7.4 + c7.8 + c7.11 + c7.15</v>
      </c>
    </row>
    <row r="68" spans="2:11" x14ac:dyDescent="0.2">
      <c r="I68" s="118" t="s">
        <v>6995</v>
      </c>
      <c r="J68" s="726" t="str">
        <f>A16</f>
        <v>c7.16</v>
      </c>
      <c r="K68" s="735">
        <f>K13+K29+K46+K64</f>
        <v>0</v>
      </c>
    </row>
    <row r="69" spans="2:11" x14ac:dyDescent="0.2">
      <c r="K69" s="410" t="str">
        <f>"copy to box "&amp;'Tax adj (c9)'!I8</f>
        <v>copy to box c9.2</v>
      </c>
    </row>
  </sheetData>
  <phoneticPr fontId="67" type="noConversion"/>
  <pageMargins bottom="0.19685039370078741" footer="0" header="0" left="0.19685039370078741" right="0.19685039370078741" top="0.19685039370078741"/>
  <pageSetup orientation="portrait" paperSize="9" r:id="rId1"/>
  <headerFooter alignWithMargins="0"/>
</worksheet>
</file>

<file path=xl/worksheets/sheet67.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200-000000000000}">
  <sheetPr codeName="Sheet42"/>
  <dimension ref="A1:P83"/>
  <sheetViews>
    <sheetView showGridLines="0" topLeftCell="B1" workbookViewId="0">
      <selection activeCell="O55" sqref="O55"/>
    </sheetView>
  </sheetViews>
  <sheetFormatPr defaultColWidth="9.140625" defaultRowHeight="12" x14ac:dyDescent="0.2"/>
  <cols>
    <col min="1" max="1" customWidth="true" hidden="true" style="389" width="5.85546875" collapsed="true"/>
    <col min="2" max="2" customWidth="true" style="386" width="15.85546875" collapsed="true"/>
    <col min="3" max="3" customWidth="true" style="386" width="6.28515625" collapsed="true"/>
    <col min="4" max="4" customWidth="true" style="386" width="14.28515625" collapsed="true"/>
    <col min="5" max="5" customWidth="true" style="386" width="19.0" collapsed="true"/>
    <col min="6" max="7" customWidth="true" style="386" width="6.28515625" collapsed="true"/>
    <col min="8" max="8" customWidth="true" style="386" width="14.28515625" collapsed="true"/>
    <col min="9" max="9" bestFit="true" customWidth="true" style="386" width="6.28515625" collapsed="true"/>
    <col min="10" max="10" customWidth="true" style="386" width="9.0" collapsed="true"/>
    <col min="11" max="11" customWidth="true" style="386" width="4.85546875" collapsed="true"/>
    <col min="12" max="12" customWidth="true" style="386" width="5.7109375" collapsed="true"/>
    <col min="13" max="14" style="386" width="9.140625" collapsed="true"/>
    <col min="15" max="15" customWidth="true" style="386" width="13.140625" collapsed="true"/>
    <col min="16" max="16384" style="386" width="9.140625" collapsed="true"/>
  </cols>
  <sheetData>
    <row ht="18" r="1" spans="1:15" x14ac:dyDescent="0.25">
      <c r="A1" s="727" t="s">
        <v>3520</v>
      </c>
      <c r="B1" s="2725" t="s">
        <v>4981</v>
      </c>
      <c r="C1" s="727"/>
      <c r="J1" s="727"/>
      <c r="K1" s="728"/>
      <c r="L1" s="728"/>
      <c r="M1" s="728"/>
      <c r="N1" s="728"/>
      <c r="O1" s="727"/>
    </row>
    <row r="2" spans="1:15" x14ac:dyDescent="0.2">
      <c r="A2" s="727" t="s">
        <v>6768</v>
      </c>
      <c r="J2" s="727"/>
      <c r="K2" s="728"/>
      <c r="L2" s="728"/>
      <c r="M2" s="727"/>
      <c r="N2" s="727"/>
      <c r="O2" s="727"/>
    </row>
    <row r="3" spans="1:15" x14ac:dyDescent="0.2">
      <c r="A3" s="116" t="s">
        <v>6897</v>
      </c>
      <c r="E3" s="3043" t="s">
        <v>7394</v>
      </c>
      <c r="F3" s="3052"/>
      <c r="G3" s="3052"/>
      <c r="H3" s="3053"/>
      <c r="K3" s="728"/>
      <c r="L3" s="728"/>
      <c r="M3" s="727"/>
      <c r="N3" s="728"/>
      <c r="O3" s="727"/>
    </row>
    <row r="4" spans="1:15" x14ac:dyDescent="0.2">
      <c r="A4" s="727" t="s">
        <v>2367</v>
      </c>
      <c r="K4" s="728"/>
      <c r="L4" s="728"/>
      <c r="M4" s="727"/>
      <c r="N4" s="728"/>
      <c r="O4" s="727"/>
    </row>
    <row r="5" spans="1:15" x14ac:dyDescent="0.2">
      <c r="A5" s="116" t="s">
        <v>6769</v>
      </c>
      <c r="B5" s="729" t="s">
        <v>2660</v>
      </c>
      <c r="F5" s="981"/>
      <c r="G5" s="981"/>
      <c r="H5" s="1220"/>
      <c r="J5" s="727"/>
      <c r="K5" s="728"/>
      <c r="L5" s="728"/>
      <c r="M5" s="727"/>
      <c r="N5" s="728"/>
      <c r="O5" s="727"/>
    </row>
    <row r="6" spans="1:15" x14ac:dyDescent="0.2">
      <c r="A6" s="116" t="s">
        <v>6898</v>
      </c>
      <c r="D6" s="698" t="str">
        <f>'tax it (c6)'!G17&amp;" + "&amp;'tax it (c6)'!V17</f>
        <v>c6.2 + c6.36</v>
      </c>
      <c r="F6" s="981"/>
      <c r="G6" s="981"/>
      <c r="H6" s="852" t="str">
        <f>C7&amp;" x "&amp;'Status (c3a)'!H44</f>
        <v>c8.1 x c3a.3b</v>
      </c>
      <c r="K6" s="728"/>
      <c r="L6" s="728"/>
      <c r="M6" s="727"/>
      <c r="N6" s="728"/>
      <c r="O6" s="728"/>
    </row>
    <row r="7" spans="1:15" x14ac:dyDescent="0.2">
      <c r="A7" s="727" t="s">
        <v>2368</v>
      </c>
      <c r="B7" s="796" t="s">
        <v>6770</v>
      </c>
      <c r="C7" s="734" t="str">
        <f>A1</f>
        <v>c8.1</v>
      </c>
      <c r="D7" s="752">
        <f>'tax it (c6)'!H17+'tax it (c6)'!W17</f>
        <v>2049</v>
      </c>
      <c r="F7" s="727"/>
      <c r="G7" s="734" t="str">
        <f>A2</f>
        <v>c8.1a</v>
      </c>
      <c r="H7" s="735">
        <f>TRUNC(D7*'Status (c3a)'!I44,2)</f>
        <v>389.31</v>
      </c>
      <c r="I7" s="936" t="s">
        <v>2694</v>
      </c>
      <c r="K7" s="728"/>
    </row>
    <row r="8" spans="1:15" x14ac:dyDescent="0.2">
      <c r="A8" s="727" t="s">
        <v>3521</v>
      </c>
      <c r="K8" s="1297"/>
    </row>
    <row r="9" spans="1:15" x14ac:dyDescent="0.2">
      <c r="A9" s="727" t="s">
        <v>3522</v>
      </c>
    </row>
    <row r="10" spans="1:15" x14ac:dyDescent="0.2">
      <c r="A10" s="727" t="s">
        <v>3523</v>
      </c>
      <c r="D10" s="718" t="str">
        <f>'tax it (c6)'!G64&amp;" + "&amp;'tax it (c6)'!V64</f>
        <v>c6.6 + c6.40</v>
      </c>
      <c r="F10" s="727"/>
      <c r="H10" s="698" t="str">
        <f>C11&amp;" x "&amp;'Status (c3a)'!L44</f>
        <v>c8.1b x c3a.4</v>
      </c>
    </row>
    <row r="11" spans="1:15" x14ac:dyDescent="0.2">
      <c r="A11" s="727" t="s">
        <v>2919</v>
      </c>
      <c r="B11" s="796" t="s">
        <v>5155</v>
      </c>
      <c r="C11" s="734" t="str">
        <f>A3</f>
        <v>c8.1b</v>
      </c>
      <c r="D11" s="752">
        <f>'tax it (c6)'!H64+'tax it (c6)'!W64</f>
        <v>12020</v>
      </c>
      <c r="F11" s="727"/>
      <c r="G11" s="734" t="str">
        <f>A4</f>
        <v>c8.2</v>
      </c>
      <c r="H11" s="735">
        <f>TRUNC(D11*'Status (c3a)'!M44,2)</f>
        <v>2404</v>
      </c>
      <c r="I11" s="936" t="s">
        <v>2694</v>
      </c>
      <c r="J11" s="1943"/>
    </row>
    <row r="12" spans="1:15" x14ac:dyDescent="0.2">
      <c r="A12" s="727" t="s">
        <v>2920</v>
      </c>
      <c r="J12" s="727"/>
    </row>
    <row r="13" spans="1:15" x14ac:dyDescent="0.2">
      <c r="A13" s="727" t="s">
        <v>2921</v>
      </c>
      <c r="B13" s="728"/>
      <c r="H13" s="93"/>
      <c r="I13" s="728"/>
      <c r="J13" s="727"/>
    </row>
    <row r="14" spans="1:15" x14ac:dyDescent="0.2">
      <c r="A14" s="727" t="s">
        <v>2922</v>
      </c>
      <c r="D14" s="698" t="str">
        <f>'tax it (c6)'!G75&amp;" + "&amp;'tax it (c6)'!V75</f>
        <v>c6.7b + c6.41b</v>
      </c>
      <c r="F14" s="981"/>
      <c r="G14" s="981"/>
      <c r="H14" s="93" t="str">
        <f>C15&amp;" x "&amp;'Status (c3a)'!P44</f>
        <v>c8.2a x c3a.4a</v>
      </c>
    </row>
    <row r="15" spans="1:15" x14ac:dyDescent="0.2">
      <c r="A15" s="727" t="s">
        <v>3513</v>
      </c>
      <c r="B15" s="796" t="s">
        <v>6771</v>
      </c>
      <c r="C15" s="734" t="str">
        <f>A5</f>
        <v>c8.2a</v>
      </c>
      <c r="D15" s="752">
        <f>'tax it (c6)'!H75+'tax it (c6)'!W75</f>
        <v>18486</v>
      </c>
      <c r="F15" s="727"/>
      <c r="G15" s="734" t="str">
        <f>A6</f>
        <v>c8.2b</v>
      </c>
      <c r="H15" s="735">
        <f>TRUNC(D15*'Status (c3a)'!Q44,2)</f>
        <v>3882.06</v>
      </c>
      <c r="I15" s="936" t="s">
        <v>2694</v>
      </c>
    </row>
    <row r="16" spans="1:15" x14ac:dyDescent="0.2">
      <c r="A16" s="727" t="s">
        <v>3514</v>
      </c>
      <c r="F16" s="981"/>
      <c r="G16" s="981"/>
      <c r="H16" s="2120"/>
    </row>
    <row r="17" spans="1:15" x14ac:dyDescent="0.2">
      <c r="A17" s="727" t="s">
        <v>3515</v>
      </c>
      <c r="F17" s="981"/>
      <c r="G17" s="981"/>
      <c r="H17" s="2122"/>
    </row>
    <row r="18" spans="1:15" x14ac:dyDescent="0.2">
      <c r="A18" s="727" t="s">
        <v>3516</v>
      </c>
      <c r="D18" s="718" t="str">
        <f>'tax it (c6)'!G92&amp;" + "&amp;'tax it (c6)'!V92</f>
        <v>c6.9 + c6.43</v>
      </c>
      <c r="F18" s="727"/>
      <c r="H18" s="698" t="str">
        <f>C19&amp;" x "&amp;'Status (c3a)'!X44</f>
        <v>c8.3 x c3a.5</v>
      </c>
    </row>
    <row r="19" spans="1:15" x14ac:dyDescent="0.2">
      <c r="A19" s="727" t="s">
        <v>3517</v>
      </c>
      <c r="B19" s="796" t="s">
        <v>5156</v>
      </c>
      <c r="C19" s="734" t="str">
        <f>A7</f>
        <v>c8.3</v>
      </c>
      <c r="D19" s="752">
        <f>'tax it (c6)'!H92+'tax it (c6)'!W92</f>
        <v>1189</v>
      </c>
      <c r="F19" s="727"/>
      <c r="G19" s="734" t="str">
        <f>A8</f>
        <v>c8.4</v>
      </c>
      <c r="H19" s="735">
        <f>TRUNC(D19*'Status (c3a)'!Y44,2)</f>
        <v>487.49</v>
      </c>
      <c r="I19" s="936" t="s">
        <v>2694</v>
      </c>
      <c r="J19" s="727"/>
    </row>
    <row r="20" spans="1:15" x14ac:dyDescent="0.2">
      <c r="A20" s="727" t="s">
        <v>3518</v>
      </c>
      <c r="J20" s="728"/>
    </row>
    <row r="21" spans="1:15" x14ac:dyDescent="0.2">
      <c r="A21" s="727" t="s">
        <v>3519</v>
      </c>
      <c r="C21" s="796"/>
      <c r="D21" s="697"/>
      <c r="F21" s="1236"/>
      <c r="G21" s="981"/>
      <c r="H21" s="1220"/>
      <c r="I21" s="728"/>
      <c r="J21" s="728"/>
    </row>
    <row r="22" spans="1:15" x14ac:dyDescent="0.2">
      <c r="A22" s="727" t="s">
        <v>2155</v>
      </c>
      <c r="D22" s="718" t="str">
        <f>'tax it (c6)'!G96&amp;" + "&amp;'tax it (c6)'!V96</f>
        <v>c6.10 + c6.44</v>
      </c>
      <c r="F22" s="727"/>
      <c r="H22" s="698" t="str">
        <f>C23&amp;" x "&amp;'Status (c3a)'!AA44</f>
        <v>c8.5 x c3a.6</v>
      </c>
    </row>
    <row r="23" spans="1:15" x14ac:dyDescent="0.2">
      <c r="A23" s="727" t="s">
        <v>2156</v>
      </c>
      <c r="B23" s="832" t="s">
        <v>6996</v>
      </c>
      <c r="C23" s="734" t="str">
        <f>A9</f>
        <v>c8.5</v>
      </c>
      <c r="D23" s="752">
        <f>'tax it (c6)'!H96+'tax it (c6)'!W96</f>
        <v>0</v>
      </c>
      <c r="F23" s="727"/>
      <c r="G23" s="734" t="str">
        <f>A10</f>
        <v>c8.6</v>
      </c>
      <c r="H23" s="735">
        <f>TRUNC(D23*'Status (c3a)'!AB44,2)</f>
        <v>0</v>
      </c>
      <c r="I23" s="936" t="s">
        <v>2694</v>
      </c>
      <c r="J23" s="728"/>
      <c r="K23" s="728"/>
      <c r="O23" s="727"/>
    </row>
    <row r="24" spans="1:15" x14ac:dyDescent="0.2">
      <c r="A24" s="727" t="s">
        <v>769</v>
      </c>
      <c r="B24" s="713"/>
      <c r="C24" s="713"/>
      <c r="D24" s="713"/>
      <c r="E24" s="713"/>
      <c r="F24" s="713"/>
      <c r="G24" s="713"/>
      <c r="H24" s="713"/>
      <c r="I24" s="713"/>
      <c r="J24" s="713"/>
      <c r="K24" s="728"/>
      <c r="L24" s="728"/>
      <c r="M24" s="728"/>
      <c r="N24" s="728"/>
      <c r="O24" s="727"/>
    </row>
    <row r="25" spans="1:15" x14ac:dyDescent="0.2">
      <c r="A25" s="727" t="s">
        <v>770</v>
      </c>
      <c r="I25" s="728"/>
      <c r="J25" s="727"/>
      <c r="K25" s="728"/>
      <c r="L25" s="728"/>
      <c r="M25" s="728"/>
      <c r="N25" s="728"/>
      <c r="O25" s="731"/>
    </row>
    <row r="26" spans="1:15" x14ac:dyDescent="0.2">
      <c r="A26" s="727" t="s">
        <v>771</v>
      </c>
      <c r="B26" s="729" t="s">
        <v>3650</v>
      </c>
      <c r="C26" s="728"/>
      <c r="D26" s="718"/>
      <c r="E26" s="728"/>
      <c r="F26" s="727"/>
      <c r="G26" s="728"/>
      <c r="H26" s="728"/>
      <c r="I26" s="728"/>
      <c r="J26" s="727"/>
    </row>
    <row r="27" spans="1:15" x14ac:dyDescent="0.2">
      <c r="A27" s="727" t="s">
        <v>1651</v>
      </c>
      <c r="B27" s="727"/>
      <c r="C27" s="728"/>
      <c r="D27" s="718" t="str">
        <f>'tax it (c6)'!L35&amp;" + "&amp;'tax it (c6)'!AA35</f>
        <v>c6.14 + c6.48</v>
      </c>
      <c r="E27" s="727"/>
      <c r="F27" s="727"/>
      <c r="G27" s="728"/>
      <c r="H27" s="834" t="str">
        <f>C28&amp;" x SR_rate ("&amp;SR_rate*100&amp;"%)"</f>
        <v>c8.7 x SR_rate (0%)</v>
      </c>
      <c r="I27" s="728"/>
      <c r="J27" s="728"/>
    </row>
    <row r="28" spans="1:15" x14ac:dyDescent="0.2">
      <c r="A28" s="727" t="s">
        <v>4407</v>
      </c>
      <c r="B28" s="832" t="s">
        <v>3074</v>
      </c>
      <c r="C28" s="734" t="str">
        <f>A11</f>
        <v>c8.7</v>
      </c>
      <c r="D28" s="388">
        <f>'tax it (c6)'!M35+'tax it (c6)'!AB35</f>
        <v>0</v>
      </c>
      <c r="F28" s="727"/>
      <c r="G28" s="734" t="str">
        <f>A12</f>
        <v>c8.8</v>
      </c>
      <c r="H28" s="908">
        <f>TRUNC(D28*SR_rate,2)</f>
        <v>0</v>
      </c>
      <c r="I28" s="936" t="s">
        <v>2694</v>
      </c>
      <c r="J28" s="727"/>
    </row>
    <row r="29" spans="1:15" x14ac:dyDescent="0.2">
      <c r="A29" s="727" t="s">
        <v>6053</v>
      </c>
      <c r="B29" s="728"/>
      <c r="C29" s="727"/>
      <c r="D29" s="718"/>
      <c r="E29" s="727"/>
      <c r="F29" s="727"/>
      <c r="I29" s="728"/>
      <c r="J29" s="728"/>
    </row>
    <row r="30" spans="1:15" x14ac:dyDescent="0.2">
      <c r="A30" s="727" t="s">
        <v>6054</v>
      </c>
      <c r="D30" s="698" t="str">
        <f>'tax it (c6)'!L45&amp;" + "&amp;'tax it (c6)'!AA45</f>
        <v>c6.17 + c6.51</v>
      </c>
      <c r="H30" s="698" t="str">
        <f>C31&amp;" x SNil_rate ("&amp;SNil_rate*100&amp;"%)"</f>
        <v>c8.9 x SNil_rate (0%)</v>
      </c>
    </row>
    <row r="31" spans="1:15" x14ac:dyDescent="0.2">
      <c r="B31" s="832" t="s">
        <v>5154</v>
      </c>
      <c r="C31" s="734" t="str">
        <f>A13</f>
        <v>c8.9</v>
      </c>
      <c r="D31" s="388">
        <f>'tax it (c6)'!M45+'tax it (c6)'!AB45</f>
        <v>500</v>
      </c>
      <c r="G31" s="734" t="str">
        <f>A14</f>
        <v>c8.10</v>
      </c>
      <c r="H31" s="908">
        <f>D31*SNil_rate</f>
        <v>0</v>
      </c>
      <c r="I31" s="936" t="s">
        <v>2694</v>
      </c>
    </row>
    <row r="33" spans="2:10" x14ac:dyDescent="0.2">
      <c r="B33" s="728"/>
      <c r="C33" s="728"/>
      <c r="D33" s="718" t="str">
        <f>'tax it (c6)'!L64&amp;" + "&amp;'tax it (c6)'!AA64</f>
        <v>c6.18 + c6.52</v>
      </c>
      <c r="E33" s="728"/>
      <c r="F33" s="728"/>
      <c r="G33" s="728"/>
      <c r="H33" s="834" t="str">
        <f>C34&amp;" x BR_rate ("&amp;BR_rate*100&amp;"%)"</f>
        <v>c8.11 x BR_rate (20%)</v>
      </c>
      <c r="I33" s="728"/>
      <c r="J33" s="728"/>
    </row>
    <row r="34" spans="2:10" x14ac:dyDescent="0.2">
      <c r="B34" s="796" t="s">
        <v>5155</v>
      </c>
      <c r="C34" s="734" t="str">
        <f>A15</f>
        <v>c8.11</v>
      </c>
      <c r="D34" s="388">
        <f>'tax it (c6)'!M64+'tax it (c6)'!AB64</f>
        <v>3178</v>
      </c>
      <c r="F34" s="727"/>
      <c r="G34" s="734" t="str">
        <f>A16</f>
        <v>c8.12</v>
      </c>
      <c r="H34" s="908">
        <f>TRUNC(D34*BR_rate,2)</f>
        <v>635.6</v>
      </c>
      <c r="I34" s="936" t="s">
        <v>2694</v>
      </c>
      <c r="J34" s="728"/>
    </row>
    <row r="35" spans="2:10" x14ac:dyDescent="0.2">
      <c r="B35" s="728"/>
      <c r="F35" s="728"/>
      <c r="I35" s="728"/>
      <c r="J35" s="728"/>
    </row>
    <row r="36" spans="2:10" x14ac:dyDescent="0.2">
      <c r="B36" s="729"/>
      <c r="C36" s="728"/>
      <c r="D36" s="718" t="str">
        <f>'tax it (c6)'!L92&amp;" + "&amp;'tax it (c6)'!AA92</f>
        <v>c6.21 + c6.55</v>
      </c>
      <c r="F36" s="728"/>
      <c r="G36" s="728"/>
      <c r="H36" s="834" t="str">
        <f>C37&amp;" x HR_rate ("&amp;HR_rate*100&amp;"%)"</f>
        <v>c8.13 x HR_rate (40%)</v>
      </c>
      <c r="J36" s="728"/>
    </row>
    <row r="37" spans="2:10" x14ac:dyDescent="0.2">
      <c r="B37" s="796" t="s">
        <v>5156</v>
      </c>
      <c r="C37" s="734" t="str">
        <f>A17</f>
        <v>c8.13</v>
      </c>
      <c r="D37" s="752">
        <f>'tax it (c6)'!M92+'tax it (c6)'!AB92</f>
        <v>0</v>
      </c>
      <c r="F37" s="727"/>
      <c r="G37" s="734" t="str">
        <f>A18</f>
        <v>c8.14</v>
      </c>
      <c r="H37" s="908">
        <f>TRUNC(D37*HR_rate,2)</f>
        <v>0</v>
      </c>
      <c r="I37" s="936" t="s">
        <v>2694</v>
      </c>
      <c r="J37" s="728"/>
    </row>
    <row r="38" spans="2:10" x14ac:dyDescent="0.2">
      <c r="B38" s="727"/>
      <c r="C38" s="796"/>
      <c r="D38" s="697"/>
      <c r="F38" s="727"/>
      <c r="H38" s="727"/>
      <c r="J38" s="728"/>
    </row>
    <row r="39" spans="2:10" x14ac:dyDescent="0.2">
      <c r="B39" s="727"/>
      <c r="D39" s="718" t="str">
        <f>'tax it (c6)'!L96&amp;" + "&amp;'tax it (c6)'!AA96</f>
        <v>c6.22 + c6.56</v>
      </c>
      <c r="F39" s="727"/>
      <c r="G39" s="796"/>
      <c r="H39" s="834" t="str">
        <f>C40&amp;" x AHR_rate ("&amp;AHR_rate*100&amp;"%)"</f>
        <v>c8.15 x AHR_rate (45%)</v>
      </c>
      <c r="J39" s="728"/>
    </row>
    <row r="40" spans="2:10" x14ac:dyDescent="0.2">
      <c r="B40" s="796" t="s">
        <v>5157</v>
      </c>
      <c r="C40" s="734" t="str">
        <f>A19</f>
        <v>c8.15</v>
      </c>
      <c r="D40" s="752">
        <f>'tax it (c6)'!M96+'tax it (c6)'!AB96</f>
        <v>0</v>
      </c>
      <c r="F40" s="727"/>
      <c r="G40" s="734" t="str">
        <f>A20</f>
        <v>c8.16</v>
      </c>
      <c r="H40" s="908">
        <f>TRUNC(D40*AHR_rate,2)</f>
        <v>0</v>
      </c>
      <c r="I40" s="936" t="s">
        <v>2694</v>
      </c>
      <c r="J40" s="728"/>
    </row>
    <row r="41" spans="2:10" x14ac:dyDescent="0.2">
      <c r="B41" s="713"/>
      <c r="C41" s="713"/>
      <c r="D41" s="713"/>
      <c r="E41" s="713"/>
      <c r="F41" s="713"/>
      <c r="G41" s="713"/>
      <c r="H41" s="713"/>
      <c r="I41" s="713"/>
      <c r="J41" s="713"/>
    </row>
    <row r="42" spans="2:10" x14ac:dyDescent="0.2">
      <c r="J42" s="728"/>
    </row>
    <row r="43" spans="2:10" x14ac:dyDescent="0.2">
      <c r="B43" s="729" t="s">
        <v>3651</v>
      </c>
      <c r="C43" s="727"/>
      <c r="D43" s="728"/>
      <c r="E43" s="728"/>
      <c r="F43" s="728"/>
      <c r="G43" s="728"/>
      <c r="H43" s="728"/>
      <c r="J43" s="728"/>
    </row>
    <row r="44" spans="2:10" x14ac:dyDescent="0.2">
      <c r="D44" s="698" t="str">
        <f>"from "&amp;'tax it (c6)'!Q45</f>
        <v>from c6.25</v>
      </c>
      <c r="H44" s="698" t="str">
        <f>C45&amp;" x DivNil_rate ("&amp;DivNil_rate*100&amp;"%)"</f>
        <v>c8.17 x DivNil_rate (0%)</v>
      </c>
    </row>
    <row r="45" spans="2:10" x14ac:dyDescent="0.2">
      <c r="B45" s="832" t="s">
        <v>5154</v>
      </c>
      <c r="C45" s="734" t="str">
        <f>A21</f>
        <v>c8.17</v>
      </c>
      <c r="D45" s="752">
        <f>'tax it (c6)'!R45</f>
        <v>2000</v>
      </c>
      <c r="G45" s="734" t="str">
        <f>A22</f>
        <v>c8.18</v>
      </c>
      <c r="H45" s="908">
        <f>D45*DivNil_rate</f>
        <v>0</v>
      </c>
      <c r="I45" s="936" t="s">
        <v>2694</v>
      </c>
    </row>
    <row r="47" spans="2:10" x14ac:dyDescent="0.2">
      <c r="B47" s="728"/>
      <c r="C47" s="727"/>
      <c r="D47" s="718" t="str">
        <f>"from "&amp;'tax it (c6)'!Q64</f>
        <v>from c6.28</v>
      </c>
      <c r="E47" s="728"/>
      <c r="F47" s="728"/>
      <c r="G47" s="728"/>
      <c r="H47" s="834" t="str">
        <f>C48&amp;" x DivBR_rate ("&amp;DivBR_rate*100&amp;"%)"</f>
        <v>c8.19 x DivBR_rate (7.5%)</v>
      </c>
      <c r="J47" s="728"/>
    </row>
    <row r="48" spans="2:10" x14ac:dyDescent="0.2">
      <c r="B48" s="796" t="s">
        <v>5155</v>
      </c>
      <c r="C48" s="734" t="str">
        <f xml:space="preserve"> A23</f>
        <v>c8.19</v>
      </c>
      <c r="D48" s="752">
        <f>'tax it (c6)'!R64</f>
        <v>0</v>
      </c>
      <c r="F48" s="727"/>
      <c r="G48" s="734" t="str">
        <f>A24</f>
        <v>c8.20</v>
      </c>
      <c r="H48" s="908">
        <f>TRUNC(D48*DivBR_rate,2)</f>
        <v>0</v>
      </c>
      <c r="I48" s="936" t="s">
        <v>2694</v>
      </c>
      <c r="J48" s="728"/>
    </row>
    <row r="49" spans="2:10" x14ac:dyDescent="0.2">
      <c r="B49" s="728"/>
      <c r="C49" s="728"/>
      <c r="D49" s="728"/>
      <c r="E49" s="728"/>
      <c r="F49" s="728"/>
      <c r="G49" s="728"/>
      <c r="H49" s="728"/>
      <c r="J49" s="728"/>
    </row>
    <row r="50" spans="2:10" x14ac:dyDescent="0.2">
      <c r="B50" s="729"/>
      <c r="C50" s="727"/>
      <c r="D50" s="718" t="str">
        <f>"from "&amp;'tax it (c6)'!Q92</f>
        <v>from c6.33</v>
      </c>
      <c r="E50" s="728"/>
      <c r="F50" s="728"/>
      <c r="G50" s="728"/>
      <c r="H50" s="834" t="str">
        <f>C51&amp;" x DivHR_rate ("&amp;DivHR_rate*100&amp;"%)"</f>
        <v>c8.21 x DivHR_rate (32.5%)</v>
      </c>
    </row>
    <row r="51" spans="2:10" x14ac:dyDescent="0.2">
      <c r="B51" s="796" t="s">
        <v>5156</v>
      </c>
      <c r="C51" s="734" t="str">
        <f>A25</f>
        <v>c8.21</v>
      </c>
      <c r="D51" s="388">
        <f>'tax it (c6)'!R92</f>
        <v>10750</v>
      </c>
      <c r="F51" s="727"/>
      <c r="G51" s="734" t="str">
        <f>A26</f>
        <v>c8.22</v>
      </c>
      <c r="H51" s="908">
        <f>TRUNC(D51*DivHR_rate,2)</f>
        <v>3493.75</v>
      </c>
      <c r="I51" s="936" t="s">
        <v>2694</v>
      </c>
    </row>
    <row r="52" spans="2:10" x14ac:dyDescent="0.2">
      <c r="B52" s="727"/>
    </row>
    <row r="53" spans="2:10" x14ac:dyDescent="0.2">
      <c r="B53" s="727"/>
      <c r="D53" s="718" t="str">
        <f>"from "&amp;'tax it (c6)'!Q96</f>
        <v>from c6.34</v>
      </c>
      <c r="G53" s="728"/>
      <c r="H53" s="834" t="str">
        <f>C54&amp;" x DivAR_rate ("&amp;DivAR_rate*100&amp;"%)"</f>
        <v>c8.23 x DivAR_rate (38.1%)</v>
      </c>
    </row>
    <row r="54" spans="2:10" x14ac:dyDescent="0.2">
      <c r="B54" s="796" t="s">
        <v>5157</v>
      </c>
      <c r="C54" s="734" t="str">
        <f>A27</f>
        <v>c8.23</v>
      </c>
      <c r="D54" s="388">
        <f>'tax it (c6)'!R96</f>
        <v>0</v>
      </c>
      <c r="G54" s="734" t="str">
        <f>A28</f>
        <v>c8.24</v>
      </c>
      <c r="H54" s="908">
        <f>TRUNC(D54*DivAR_rate,2)</f>
        <v>0</v>
      </c>
      <c r="I54" s="936" t="s">
        <v>2694</v>
      </c>
    </row>
    <row r="55" spans="2:10" x14ac:dyDescent="0.2">
      <c r="B55" s="713"/>
      <c r="C55" s="713"/>
      <c r="D55" s="713"/>
      <c r="E55" s="713"/>
      <c r="F55" s="713"/>
      <c r="G55" s="713"/>
      <c r="H55" s="713"/>
      <c r="I55" s="713"/>
      <c r="J55" s="713"/>
    </row>
    <row r="57" spans="2:10" x14ac:dyDescent="0.2">
      <c r="H57" s="2978"/>
    </row>
    <row r="58" spans="2:10" x14ac:dyDescent="0.2">
      <c r="D58" s="728"/>
      <c r="H58" s="698"/>
    </row>
    <row r="59" spans="2:10" x14ac:dyDescent="0.2">
      <c r="G59" s="93"/>
      <c r="H59" s="2984"/>
    </row>
    <row r="60" spans="2:10" x14ac:dyDescent="0.2">
      <c r="H60" s="698"/>
    </row>
    <row r="61" spans="2:10" x14ac:dyDescent="0.2">
      <c r="G61" s="93"/>
      <c r="H61" s="2325" t="s">
        <v>7071</v>
      </c>
    </row>
    <row r="62" spans="2:10" x14ac:dyDescent="0.2">
      <c r="B62" s="1220" t="s">
        <v>3790</v>
      </c>
      <c r="G62" s="734" t="str">
        <f>A29</f>
        <v>c8.25</v>
      </c>
      <c r="H62" s="908">
        <v>0</v>
      </c>
    </row>
    <row r="65" spans="2:10" x14ac:dyDescent="0.2">
      <c r="F65" s="728"/>
      <c r="G65" s="728"/>
      <c r="H65" s="834" t="str">
        <f><![CDATA[G7&" + "&G11&" + "&G15&" + "&G19&" + "&G23&" + "&G28&" + "&G34&" + "&G37]]></f>
        <v>c8.1a + c8.2 + c8.2b + c8.4 + c8.6 + c8.8 + c8.12 + c8.14</v>
      </c>
    </row>
    <row r="66" spans="2:10" x14ac:dyDescent="0.2">
      <c r="F66" s="728"/>
      <c r="G66" s="728"/>
      <c r="H66" s="718" t="str">
        <f><![CDATA[" + "&G40&" + "&G48&" + "&G51&" + "&G54&" + "&G62]]></f>
        <v xml:space="preserve"> + c8.16 + c8.20 + c8.22 + c8.24 + c8.25</v>
      </c>
    </row>
    <row r="67" spans="2:10" x14ac:dyDescent="0.2">
      <c r="B67" s="732" t="s">
        <v>2668</v>
      </c>
      <c r="G67" s="734" t="str">
        <f>A30</f>
        <v>c8.26</v>
      </c>
      <c r="H67" s="908">
        <f>H7+H11+H15+H19+H23+H28+H34+H37+H40+H48+H51+H54+H62</f>
        <v>11292.21</v>
      </c>
    </row>
    <row r="68" spans="2:10" x14ac:dyDescent="0.2">
      <c r="F68" s="728"/>
      <c r="H68" s="834" t="str">
        <f>"copy to "&amp;'Tax adj (c9)'!L5</f>
        <v>copy to c9.1</v>
      </c>
    </row>
    <row r="69" spans="2:10" x14ac:dyDescent="0.2">
      <c r="B69" s="713"/>
      <c r="C69" s="713"/>
      <c r="D69" s="713"/>
      <c r="E69" s="713"/>
      <c r="F69" s="713"/>
      <c r="G69" s="713"/>
      <c r="H69" s="713"/>
      <c r="I69" s="713"/>
      <c r="J69" s="713"/>
    </row>
    <row r="71" spans="2:10" x14ac:dyDescent="0.2">
      <c r="B71" s="2674"/>
      <c r="C71" s="2674"/>
      <c r="D71" s="2681" t="str">
        <f><![CDATA["If "&C19&" + "&C37&" + "&C51&" > 0 (zero)"]]></f>
        <v>If c8.3 + c8.13 + c8.21 &gt; 0 (zero)</v>
      </c>
      <c r="E71" s="2674"/>
    </row>
    <row r="72" spans="2:10" x14ac:dyDescent="0.2">
      <c r="B72" s="2674"/>
      <c r="C72" s="2674"/>
      <c r="D72" s="2674" t="str">
        <f>C76&amp;" = 'Y'"</f>
        <v xml:space="preserve"> = 'Y'</v>
      </c>
      <c r="E72" s="2674"/>
    </row>
    <row r="73" spans="2:10" x14ac:dyDescent="0.2">
      <c r="B73" s="2674"/>
      <c r="C73" s="2674"/>
      <c r="D73" s="2674" t="s">
        <v>2386</v>
      </c>
      <c r="E73" s="2674"/>
    </row>
    <row r="74" spans="2:10" x14ac:dyDescent="0.2">
      <c r="B74" s="2674"/>
      <c r="C74" s="2674"/>
      <c r="D74" s="2674" t="str">
        <f>C76&amp;" = 'N'"</f>
        <v xml:space="preserve"> = 'N'</v>
      </c>
      <c r="E74" s="2674"/>
    </row>
    <row r="75" spans="2:10" x14ac:dyDescent="0.2">
      <c r="B75" s="2674"/>
      <c r="C75" s="2674"/>
      <c r="D75" s="2674" t="s">
        <v>2495</v>
      </c>
      <c r="E75" s="2674"/>
    </row>
    <row r="76" spans="2:10" x14ac:dyDescent="0.2">
      <c r="B76" s="2681" t="s">
        <v>1371</v>
      </c>
      <c r="C76" s="2682"/>
      <c r="D76" s="2683" t="str">
        <f>IF(D19+D37+D51&gt;0,"Y","N")</f>
        <v>Y</v>
      </c>
      <c r="E76" s="2674"/>
    </row>
    <row r="77" spans="2:10" x14ac:dyDescent="0.2">
      <c r="B77" s="2674"/>
      <c r="C77" s="2674"/>
      <c r="D77" s="2674"/>
      <c r="E77" s="2674"/>
    </row>
    <row r="78" spans="2:10" x14ac:dyDescent="0.2">
      <c r="B78" s="2674"/>
      <c r="C78" s="2674"/>
      <c r="D78" s="2681" t="str">
        <f><![CDATA["If "&C23&" + "&C40&" + "&C54&" > 0 (zero)"]]></f>
        <v>If c8.5 + c8.15 + c8.23 &gt; 0 (zero)</v>
      </c>
      <c r="E78" s="2674"/>
    </row>
    <row r="79" spans="2:10" x14ac:dyDescent="0.2">
      <c r="B79" s="2674"/>
      <c r="C79" s="2674"/>
      <c r="D79" s="2674" t="str">
        <f>C83&amp;" = 'Y'"</f>
        <v xml:space="preserve"> = 'Y'</v>
      </c>
      <c r="E79" s="2674"/>
    </row>
    <row r="80" spans="2:10" x14ac:dyDescent="0.2">
      <c r="B80" s="2674"/>
      <c r="C80" s="2674"/>
      <c r="D80" s="2674" t="s">
        <v>2386</v>
      </c>
      <c r="E80" s="2674"/>
    </row>
    <row r="81" spans="2:5" x14ac:dyDescent="0.2">
      <c r="B81" s="2674"/>
      <c r="C81" s="2674"/>
      <c r="D81" s="2674" t="str">
        <f>C83&amp;" = 'N'"</f>
        <v xml:space="preserve"> = 'N'</v>
      </c>
      <c r="E81" s="2674"/>
    </row>
    <row r="82" spans="2:5" x14ac:dyDescent="0.2">
      <c r="B82" s="2674"/>
      <c r="C82" s="2674"/>
      <c r="D82" s="2674" t="s">
        <v>2495</v>
      </c>
      <c r="E82" s="2674"/>
    </row>
    <row r="83" spans="2:5" x14ac:dyDescent="0.2">
      <c r="B83" s="2681" t="s">
        <v>824</v>
      </c>
      <c r="C83" s="2682"/>
      <c r="D83" s="2683" t="str">
        <f>IF(D23+D40+D54&gt;0,"Y","N")</f>
        <v>N</v>
      </c>
      <c r="E83" s="2674"/>
    </row>
  </sheetData>
  <phoneticPr fontId="67" type="noConversion"/>
  <pageMargins bottom="0.196850393700787" footer="0" header="0" left="0.196850393700787" right="0.196850393700787" top="0.196850393700787"/>
  <pageSetup orientation="portrait" paperSize="9" r:id="rId1"/>
  <headerFooter alignWithMargins="0"/>
</worksheet>
</file>

<file path=xl/worksheets/sheet6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300-000000000000}">
  <sheetPr codeName="Sheet8">
    <tabColor rgb="FFFFFF00"/>
  </sheetPr>
  <dimension ref="A1:W147"/>
  <sheetViews>
    <sheetView showGridLines="0" topLeftCell="B121" workbookViewId="0" zoomScaleNormal="100">
      <selection activeCell="S34" sqref="S34"/>
    </sheetView>
  </sheetViews>
  <sheetFormatPr defaultColWidth="8.85546875" defaultRowHeight="12" x14ac:dyDescent="0.2"/>
  <cols>
    <col min="1" max="1" customWidth="true" hidden="true" style="371" width="14.7109375" collapsed="true"/>
    <col min="2" max="2" customWidth="true" style="371" width="12.7109375" collapsed="true"/>
    <col min="3" max="3" customWidth="true" style="371" width="6.0" collapsed="true"/>
    <col min="4" max="4" customWidth="true" style="371" width="13.140625" collapsed="true"/>
    <col min="5" max="5" customWidth="true" style="371" width="11.28515625" collapsed="true"/>
    <col min="6" max="6" customWidth="true" style="371" width="6.0" collapsed="true"/>
    <col min="7" max="7" customWidth="true" style="371" width="16.0" collapsed="true"/>
    <col min="8" max="8" customWidth="true" style="371" width="5.85546875" collapsed="true"/>
    <col min="9" max="9" customWidth="true" style="371" width="6.0" collapsed="true"/>
    <col min="10" max="10" customWidth="true" style="371" width="16.0" collapsed="true"/>
    <col min="11" max="11" customWidth="true" style="371" width="7.140625" collapsed="true"/>
    <col min="12" max="12" customWidth="true" style="371" width="6.0" collapsed="true"/>
    <col min="13" max="13" customWidth="true" style="371" width="16.0" collapsed="true"/>
    <col min="14" max="14" bestFit="true" customWidth="true" style="371" width="6.28515625" collapsed="true"/>
    <col min="15" max="15" customWidth="true" style="371" width="6.140625" collapsed="true"/>
    <col min="16" max="16" customWidth="true" style="371" width="8.85546875" collapsed="true"/>
    <col min="17" max="17" customWidth="true" style="371" width="4.7109375" collapsed="true"/>
    <col min="18" max="18" customWidth="true" style="371" width="5.85546875" collapsed="true"/>
    <col min="19" max="19" customWidth="true" style="371" width="8.85546875" collapsed="true"/>
    <col min="20" max="20" customWidth="true" style="371" width="4.7109375" collapsed="true"/>
    <col min="21" max="21" customWidth="true" style="371" width="5.85546875" collapsed="true"/>
    <col min="22" max="22" customWidth="true" style="371" width="8.85546875" collapsed="true"/>
    <col min="23" max="24" customWidth="true" style="371" width="4.7109375" collapsed="true"/>
    <col min="25" max="25" customWidth="true" style="371" width="8.85546875" collapsed="true"/>
    <col min="26" max="27" customWidth="true" style="371" width="4.7109375" collapsed="true"/>
    <col min="28" max="16384" style="371" width="8.85546875" collapsed="true"/>
  </cols>
  <sheetData>
    <row ht="18" r="1" spans="1:22" x14ac:dyDescent="0.25">
      <c r="A1" s="371" t="s">
        <v>2923</v>
      </c>
      <c r="B1" s="2730" t="s">
        <v>4982</v>
      </c>
      <c r="G1" s="375"/>
      <c r="H1" s="375"/>
      <c r="I1" s="375"/>
      <c r="J1" s="375"/>
      <c r="K1" s="375"/>
      <c r="L1" s="375"/>
      <c r="M1" s="375"/>
      <c r="N1" s="375"/>
      <c r="O1" s="375"/>
      <c r="P1" s="375"/>
      <c r="Q1" s="375"/>
      <c r="R1" s="375"/>
      <c r="S1" s="375"/>
      <c r="T1" s="375"/>
      <c r="U1" s="375"/>
      <c r="V1" s="375"/>
    </row>
    <row r="2" spans="1:22" x14ac:dyDescent="0.2">
      <c r="A2" s="371" t="s">
        <v>2924</v>
      </c>
      <c r="B2" s="375"/>
      <c r="C2" s="375"/>
      <c r="D2" s="375"/>
      <c r="E2" s="375"/>
      <c r="F2" s="375"/>
      <c r="G2" s="3037" t="s">
        <v>7394</v>
      </c>
      <c r="H2" s="3038"/>
      <c r="I2" s="3038"/>
      <c r="J2" s="3038"/>
      <c r="K2" s="3055"/>
      <c r="L2" s="375"/>
      <c r="M2" s="375"/>
      <c r="N2" s="375"/>
      <c r="O2" s="375"/>
      <c r="P2" s="375"/>
      <c r="Q2" s="375"/>
      <c r="R2" s="375"/>
      <c r="S2" s="375"/>
      <c r="T2" s="375"/>
      <c r="U2" s="375"/>
      <c r="V2" s="375"/>
    </row>
    <row r="3" spans="1:22" x14ac:dyDescent="0.2">
      <c r="A3" s="371" t="s">
        <v>2925</v>
      </c>
      <c r="B3" s="375"/>
      <c r="C3" s="375"/>
      <c r="D3" s="375"/>
      <c r="E3" s="375"/>
      <c r="F3" s="375"/>
      <c r="G3" s="375"/>
      <c r="H3" s="375"/>
      <c r="I3" s="375"/>
      <c r="J3" s="375"/>
      <c r="K3" s="375"/>
      <c r="L3" s="375"/>
      <c r="M3" s="375"/>
      <c r="N3" s="375"/>
      <c r="O3" s="375"/>
      <c r="P3" s="375"/>
      <c r="Q3" s="375"/>
      <c r="R3" s="375"/>
      <c r="S3" s="375"/>
      <c r="T3" s="375"/>
      <c r="U3" s="375"/>
      <c r="V3" s="375"/>
    </row>
    <row r="4" spans="1:22" x14ac:dyDescent="0.2">
      <c r="A4" s="371" t="s">
        <v>2926</v>
      </c>
      <c r="C4" s="375"/>
      <c r="D4" s="375"/>
      <c r="E4" s="375"/>
      <c r="F4" s="375"/>
      <c r="G4" s="375"/>
      <c r="J4" s="375"/>
      <c r="K4" s="375"/>
      <c r="L4" s="375"/>
      <c r="M4" s="669" t="str">
        <f>"from "&amp;'tax it (c8)'!G67</f>
        <v>from c8.26</v>
      </c>
      <c r="N4" s="375"/>
      <c r="O4" s="375"/>
      <c r="P4" s="375"/>
      <c r="Q4" s="375"/>
      <c r="R4" s="375"/>
      <c r="S4" s="375"/>
      <c r="T4" s="375"/>
      <c r="U4" s="375"/>
      <c r="V4" s="375"/>
    </row>
    <row r="5" spans="1:22" x14ac:dyDescent="0.2">
      <c r="A5" s="371" t="s">
        <v>2927</v>
      </c>
      <c r="B5" s="415" t="s">
        <v>668</v>
      </c>
      <c r="C5" s="375"/>
      <c r="D5" s="375"/>
      <c r="E5" s="375"/>
      <c r="F5" s="375"/>
      <c r="G5" s="375"/>
      <c r="J5" s="375"/>
      <c r="K5" s="375"/>
      <c r="L5" s="2123" t="str">
        <f>A1</f>
        <v>c9.1</v>
      </c>
      <c r="M5" s="1966">
        <f>'tax it (c8)'!H67</f>
        <v>11292.21</v>
      </c>
      <c r="N5" s="375"/>
      <c r="O5" s="375"/>
      <c r="P5" s="375"/>
      <c r="Q5" s="375"/>
      <c r="R5" s="375"/>
      <c r="S5" s="375"/>
      <c r="T5" s="375"/>
      <c r="U5" s="375"/>
      <c r="V5" s="375"/>
    </row>
    <row r="6" spans="1:22" x14ac:dyDescent="0.2">
      <c r="A6" s="371" t="s">
        <v>2928</v>
      </c>
      <c r="B6" s="375"/>
      <c r="C6" s="375"/>
      <c r="D6" s="375"/>
      <c r="E6" s="375"/>
      <c r="F6" s="375"/>
      <c r="G6" s="375"/>
      <c r="H6" s="375"/>
      <c r="I6" s="375"/>
      <c r="J6" s="375"/>
      <c r="K6" s="375"/>
      <c r="L6" s="375"/>
      <c r="M6" s="375"/>
      <c r="N6" s="375"/>
      <c r="O6" s="375"/>
      <c r="P6" s="375"/>
      <c r="Q6" s="375"/>
      <c r="R6" s="375"/>
      <c r="S6" s="375"/>
      <c r="T6" s="375"/>
      <c r="U6" s="375"/>
      <c r="V6" s="375"/>
    </row>
    <row r="7" spans="1:22" x14ac:dyDescent="0.2">
      <c r="A7" s="371" t="s">
        <v>2929</v>
      </c>
      <c r="B7" s="733" t="s">
        <v>4388</v>
      </c>
      <c r="C7" s="375"/>
      <c r="D7" s="375"/>
      <c r="E7" s="375"/>
      <c r="F7" s="375"/>
      <c r="G7" s="375"/>
      <c r="H7" s="375"/>
      <c r="I7" s="375"/>
      <c r="J7" s="669" t="str">
        <f>"from "&amp;'CDR (c7)'!J68</f>
        <v>from c7.16</v>
      </c>
      <c r="K7" s="375"/>
      <c r="L7" s="375"/>
      <c r="M7" s="375"/>
      <c r="N7" s="375"/>
      <c r="O7" s="375"/>
      <c r="P7" s="375"/>
      <c r="Q7" s="375"/>
      <c r="R7" s="375"/>
      <c r="S7" s="375"/>
      <c r="T7" s="375"/>
      <c r="U7" s="375"/>
      <c r="V7" s="375"/>
    </row>
    <row r="8" spans="1:22" x14ac:dyDescent="0.2">
      <c r="A8" s="371" t="s">
        <v>2930</v>
      </c>
      <c r="B8" s="687" t="s">
        <v>933</v>
      </c>
      <c r="C8" s="375"/>
      <c r="D8" s="375"/>
      <c r="E8" s="375"/>
      <c r="F8" s="375"/>
      <c r="G8" s="375"/>
      <c r="H8" s="375"/>
      <c r="I8" s="2123" t="str">
        <f>A2</f>
        <v>c9.2</v>
      </c>
      <c r="J8" s="1966">
        <f>'CDR (c7)'!K68</f>
        <v>0</v>
      </c>
      <c r="K8" s="375"/>
      <c r="L8" s="375"/>
      <c r="M8" s="375"/>
      <c r="N8" s="375"/>
      <c r="O8" s="375"/>
      <c r="P8" s="375"/>
      <c r="Q8" s="375"/>
      <c r="R8" s="375"/>
      <c r="S8" s="375"/>
      <c r="T8" s="375"/>
      <c r="U8" s="375"/>
      <c r="V8" s="375"/>
    </row>
    <row r="9" spans="1:22" x14ac:dyDescent="0.2">
      <c r="A9" s="371" t="s">
        <v>2931</v>
      </c>
      <c r="B9" s="375"/>
      <c r="C9" s="375"/>
      <c r="D9" s="375"/>
      <c r="E9" s="375"/>
      <c r="F9" s="375"/>
      <c r="G9" s="375"/>
      <c r="H9" s="375"/>
      <c r="I9" s="375"/>
      <c r="J9" s="375"/>
      <c r="K9" s="375"/>
      <c r="L9" s="375"/>
      <c r="M9" s="375"/>
      <c r="N9" s="375"/>
      <c r="P9" s="375"/>
      <c r="Q9" s="375"/>
      <c r="R9" s="375"/>
      <c r="S9" s="375"/>
      <c r="T9" s="375"/>
      <c r="U9" s="375"/>
      <c r="V9" s="375"/>
    </row>
    <row r="10" spans="1:22" x14ac:dyDescent="0.2">
      <c r="A10" s="371" t="s">
        <v>2932</v>
      </c>
      <c r="B10" s="375"/>
      <c r="G10" s="375"/>
      <c r="I10" s="375"/>
      <c r="J10" s="128" t="str">
        <f>"from "&amp;'TSR (c17)'!L235</f>
        <v>from c17.48</v>
      </c>
      <c r="N10" s="375"/>
      <c r="P10" s="375"/>
      <c r="Q10" s="375"/>
      <c r="R10" s="375"/>
      <c r="S10" s="375"/>
      <c r="T10" s="375"/>
      <c r="U10" s="375"/>
      <c r="V10" s="375"/>
    </row>
    <row r="11" spans="1:22" x14ac:dyDescent="0.2">
      <c r="A11" s="371" t="s">
        <v>2933</v>
      </c>
      <c r="B11" s="687" t="s">
        <v>1461</v>
      </c>
      <c r="C11" s="375"/>
      <c r="D11" s="375"/>
      <c r="H11" s="375"/>
      <c r="I11" s="2123" t="str">
        <f>A3</f>
        <v>c9.3</v>
      </c>
      <c r="J11" s="1979">
        <f>'TSR (c17)'!M235</f>
        <v>0</v>
      </c>
      <c r="P11" s="375"/>
      <c r="Q11" s="375"/>
      <c r="R11" s="375"/>
      <c r="S11" s="375"/>
      <c r="T11" s="375"/>
      <c r="U11" s="375"/>
      <c r="V11" s="375"/>
    </row>
    <row r="12" spans="1:22" x14ac:dyDescent="0.2">
      <c r="A12" s="371" t="s">
        <v>2934</v>
      </c>
      <c r="B12" s="739"/>
      <c r="C12" s="375"/>
      <c r="D12" s="375"/>
      <c r="E12" s="375"/>
      <c r="F12" s="375"/>
      <c r="G12" s="375"/>
      <c r="H12" s="375"/>
      <c r="I12" s="375"/>
      <c r="J12" s="375"/>
      <c r="K12" s="375"/>
      <c r="L12" s="375"/>
      <c r="M12" s="375"/>
      <c r="P12" s="375"/>
      <c r="Q12" s="375"/>
      <c r="R12" s="375"/>
      <c r="S12" s="375"/>
      <c r="T12" s="375"/>
      <c r="U12" s="375"/>
      <c r="V12" s="375"/>
    </row>
    <row r="13" spans="1:22" x14ac:dyDescent="0.2">
      <c r="A13" s="371" t="s">
        <v>2935</v>
      </c>
      <c r="B13" s="739"/>
      <c r="C13" s="375"/>
      <c r="D13" s="128"/>
      <c r="E13" s="375"/>
      <c r="F13" s="375"/>
      <c r="G13" s="737" t="str">
        <f>"from "&amp;AOR&amp;AOR!C5</f>
        <v>from AOR1</v>
      </c>
      <c r="H13" s="375"/>
      <c r="J13" s="128" t="str">
        <f>F14&amp;" x VCT_rate ("&amp;VCT_rate * 100&amp;"%)"</f>
        <v>c9.4 x VCT_rate (30%)</v>
      </c>
      <c r="P13" s="375"/>
      <c r="Q13" s="375"/>
      <c r="R13" s="375"/>
      <c r="S13" s="375"/>
      <c r="T13" s="375"/>
      <c r="U13" s="375"/>
      <c r="V13" s="375"/>
    </row>
    <row r="14" spans="1:22" x14ac:dyDescent="0.2">
      <c r="A14" s="371" t="s">
        <v>2936</v>
      </c>
      <c r="B14" s="687" t="s">
        <v>2588</v>
      </c>
      <c r="C14" s="375"/>
      <c r="D14" s="375"/>
      <c r="E14" s="375"/>
      <c r="F14" s="2123" t="str">
        <f>A4</f>
        <v>c9.4</v>
      </c>
      <c r="G14" s="2075">
        <f>TRUNC(AOR!D6+0.99,0)</f>
        <v>0</v>
      </c>
      <c r="H14" s="1237" t="s">
        <v>3701</v>
      </c>
      <c r="I14" s="2123" t="str">
        <f>A5</f>
        <v>c9.5</v>
      </c>
      <c r="J14" s="1966">
        <f>TRUNC((G14*VCT_rate)+0.0099,2)</f>
        <v>0</v>
      </c>
      <c r="K14" s="1237" t="s">
        <v>1707</v>
      </c>
      <c r="L14" s="375"/>
      <c r="P14" s="375"/>
      <c r="Q14" s="375"/>
      <c r="R14" s="375"/>
      <c r="S14" s="375"/>
      <c r="T14" s="375"/>
      <c r="U14" s="375"/>
      <c r="V14" s="375"/>
    </row>
    <row r="15" spans="1:22" x14ac:dyDescent="0.2">
      <c r="A15" s="371" t="s">
        <v>2937</v>
      </c>
      <c r="B15" s="687"/>
      <c r="C15" s="375"/>
      <c r="D15" s="375"/>
      <c r="E15" s="375"/>
      <c r="F15" s="380"/>
      <c r="I15" s="380"/>
      <c r="J15" s="116"/>
      <c r="P15" s="375"/>
      <c r="Q15" s="375"/>
      <c r="R15" s="375"/>
      <c r="S15" s="375"/>
      <c r="T15" s="375"/>
      <c r="U15" s="375"/>
      <c r="V15" s="375"/>
    </row>
    <row r="16" spans="1:22" x14ac:dyDescent="0.2">
      <c r="A16" s="3455" t="s">
        <v>8461</v>
      </c>
      <c r="B16" s="740"/>
      <c r="C16" s="375"/>
      <c r="D16" s="375"/>
      <c r="E16" s="375"/>
      <c r="F16" s="380"/>
      <c r="G16" s="737" t="str">
        <f>"from "&amp;AOR&amp;AOR!C8</f>
        <v>from AOR2</v>
      </c>
      <c r="I16" s="375"/>
      <c r="J16" s="128" t="str">
        <f>F17&amp;" x EIS_rate ("&amp;EIS_rate * 100&amp;"%)"</f>
        <v>c9.6 x EIS_rate (30%)</v>
      </c>
      <c r="P16" s="375"/>
      <c r="Q16" s="375"/>
      <c r="R16" s="375"/>
      <c r="S16" s="375"/>
      <c r="T16" s="375"/>
      <c r="U16" s="375"/>
      <c r="V16" s="375"/>
    </row>
    <row r="17" spans="1:22" x14ac:dyDescent="0.2">
      <c r="A17" s="371" t="s">
        <v>2938</v>
      </c>
      <c r="B17" s="687" t="s">
        <v>632</v>
      </c>
      <c r="C17" s="375"/>
      <c r="D17" s="375"/>
      <c r="E17" s="375"/>
      <c r="F17" s="2123" t="str">
        <f>A6</f>
        <v>c9.6</v>
      </c>
      <c r="G17" s="2075">
        <f>TRUNC(AOR!D9+0.99,0)</f>
        <v>0</v>
      </c>
      <c r="H17" s="1237" t="s">
        <v>3701</v>
      </c>
      <c r="I17" s="2123" t="str">
        <f>A7</f>
        <v>c9.7</v>
      </c>
      <c r="J17" s="1966">
        <f>TRUNC((G17*EIS_rate)+0.0099,2)</f>
        <v>0</v>
      </c>
      <c r="K17" s="1237" t="s">
        <v>1707</v>
      </c>
      <c r="P17" s="375"/>
      <c r="Q17" s="375"/>
      <c r="R17" s="375"/>
      <c r="S17" s="375"/>
      <c r="T17" s="375"/>
      <c r="U17" s="375"/>
      <c r="V17" s="375"/>
    </row>
    <row r="18" spans="1:22" x14ac:dyDescent="0.2">
      <c r="A18" s="371" t="s">
        <v>2939</v>
      </c>
      <c r="B18" s="687"/>
      <c r="C18" s="375"/>
      <c r="D18" s="375"/>
      <c r="E18" s="737"/>
      <c r="F18" s="748"/>
      <c r="I18" s="375"/>
      <c r="J18" s="116"/>
      <c r="P18" s="375"/>
      <c r="Q18" s="375"/>
      <c r="R18" s="375"/>
      <c r="S18" s="375"/>
      <c r="T18" s="375"/>
      <c r="U18" s="375"/>
      <c r="V18" s="375"/>
    </row>
    <row r="19" spans="1:22" x14ac:dyDescent="0.2">
      <c r="A19" s="371" t="s">
        <v>2940</v>
      </c>
      <c r="B19" s="687"/>
      <c r="C19" s="375"/>
      <c r="D19" s="375"/>
      <c r="E19" s="737"/>
      <c r="F19" s="748"/>
      <c r="G19" s="737" t="str">
        <f>"from "&amp;AOR&amp;AOR!G14</f>
        <v>from AOR10</v>
      </c>
      <c r="I19" s="375"/>
      <c r="J19" s="128" t="str">
        <f>F20&amp;" x SEIS_rate ("&amp;SEIS_rate * 100&amp;"%)"</f>
        <v>c9.8 x SEIS_rate (50%)</v>
      </c>
      <c r="P19" s="375"/>
      <c r="Q19" s="375"/>
      <c r="R19" s="375"/>
      <c r="S19" s="375"/>
      <c r="T19" s="375"/>
      <c r="U19" s="375"/>
      <c r="V19" s="375"/>
    </row>
    <row r="20" spans="1:22" x14ac:dyDescent="0.2">
      <c r="A20" s="371" t="s">
        <v>2941</v>
      </c>
      <c r="B20" s="687" t="s">
        <v>3083</v>
      </c>
      <c r="C20" s="375"/>
      <c r="D20" s="375"/>
      <c r="E20" s="375"/>
      <c r="F20" s="2123" t="str">
        <f>A8</f>
        <v>c9.8</v>
      </c>
      <c r="G20" s="2075">
        <f>TRUNC(AOR!H15+0.99,0)</f>
        <v>0</v>
      </c>
      <c r="H20" s="1237" t="s">
        <v>3701</v>
      </c>
      <c r="I20" s="2123" t="str">
        <f>A9</f>
        <v>c9.9</v>
      </c>
      <c r="J20" s="1966">
        <f>TRUNC((G20*SEIS_rate)+0.0099,2)</f>
        <v>0</v>
      </c>
      <c r="K20" s="1237" t="s">
        <v>1707</v>
      </c>
      <c r="P20" s="375"/>
      <c r="Q20" s="375"/>
      <c r="R20" s="375"/>
      <c r="S20" s="375"/>
      <c r="T20" s="375"/>
      <c r="U20" s="375"/>
      <c r="V20" s="375"/>
    </row>
    <row r="21" spans="1:22" x14ac:dyDescent="0.2">
      <c r="A21" s="371" t="s">
        <v>871</v>
      </c>
      <c r="B21" s="740"/>
      <c r="C21" s="375"/>
      <c r="D21" s="375"/>
      <c r="E21" s="742"/>
      <c r="F21" s="375"/>
      <c r="G21" s="375"/>
      <c r="H21" s="375"/>
      <c r="I21" s="375"/>
      <c r="J21" s="375"/>
      <c r="K21" s="375"/>
      <c r="L21" s="375"/>
      <c r="M21" s="375"/>
      <c r="P21" s="375"/>
      <c r="Q21" s="375"/>
      <c r="R21" s="375"/>
      <c r="S21" s="375"/>
      <c r="T21" s="375"/>
      <c r="U21" s="375"/>
      <c r="V21" s="375"/>
    </row>
    <row r="22" spans="1:22" x14ac:dyDescent="0.2">
      <c r="A22" s="371" t="s">
        <v>872</v>
      </c>
      <c r="B22" s="740"/>
      <c r="C22" s="375"/>
      <c r="D22" s="375"/>
      <c r="E22" s="742"/>
      <c r="F22" s="380"/>
      <c r="G22" s="737" t="str">
        <f>"from "&amp;AOR&amp;AOR!C11</f>
        <v>from AOR3</v>
      </c>
      <c r="H22" s="375"/>
      <c r="I22" s="375"/>
      <c r="J22" s="128" t="str">
        <f>F23&amp;" x CITR_rate ("&amp;CITR_rate * 100&amp;"%)"</f>
        <v>c9.10 x CITR_rate (5%)</v>
      </c>
      <c r="K22" s="375"/>
      <c r="L22" s="375"/>
      <c r="M22" s="375"/>
      <c r="P22" s="375"/>
      <c r="Q22" s="375"/>
      <c r="R22" s="375"/>
      <c r="S22" s="375"/>
      <c r="T22" s="375"/>
      <c r="U22" s="375"/>
      <c r="V22" s="375"/>
    </row>
    <row r="23" spans="1:22" x14ac:dyDescent="0.2">
      <c r="A23" s="371" t="s">
        <v>873</v>
      </c>
      <c r="B23" s="740" t="str">
        <f>AOR!D11</f>
        <v>Community Investment Tax relief</v>
      </c>
      <c r="C23" s="375"/>
      <c r="D23" s="375"/>
      <c r="E23" s="375"/>
      <c r="F23" s="2123" t="str">
        <f>A10</f>
        <v>c9.10</v>
      </c>
      <c r="G23" s="2075">
        <f>TRUNC(AOR!D12+0.99,0)</f>
        <v>0</v>
      </c>
      <c r="H23" s="1237" t="s">
        <v>3701</v>
      </c>
      <c r="I23" s="2123" t="str">
        <f>A11</f>
        <v>c9.11</v>
      </c>
      <c r="J23" s="1966">
        <f>TRUNC((G23*CITR_rate)+0.0099,2)</f>
        <v>0</v>
      </c>
      <c r="K23" s="1237" t="s">
        <v>1707</v>
      </c>
      <c r="L23" s="375"/>
      <c r="M23" s="375"/>
      <c r="P23" s="375"/>
      <c r="Q23" s="375"/>
      <c r="R23" s="375"/>
      <c r="S23" s="375"/>
      <c r="T23" s="375"/>
      <c r="U23" s="375"/>
      <c r="V23" s="375"/>
    </row>
    <row r="24" spans="1:22" x14ac:dyDescent="0.2">
      <c r="A24" s="371" t="s">
        <v>874</v>
      </c>
      <c r="B24" s="740"/>
      <c r="C24" s="375"/>
      <c r="D24" s="375"/>
      <c r="E24" s="737"/>
      <c r="F24" s="748"/>
      <c r="H24" s="1237"/>
      <c r="I24" s="375"/>
      <c r="J24" s="116"/>
      <c r="K24" s="1237"/>
      <c r="L24" s="375"/>
      <c r="M24" s="375"/>
      <c r="P24" s="375"/>
      <c r="Q24" s="375"/>
      <c r="R24" s="375"/>
      <c r="S24" s="375"/>
      <c r="T24" s="375"/>
      <c r="U24" s="375"/>
      <c r="V24" s="375"/>
    </row>
    <row r="25" spans="1:22" x14ac:dyDescent="0.2">
      <c r="A25" s="371" t="s">
        <v>6848</v>
      </c>
      <c r="B25" s="740"/>
      <c r="C25" s="375"/>
      <c r="D25" s="375"/>
      <c r="E25" s="737"/>
      <c r="F25" s="748"/>
      <c r="G25" s="737" t="str">
        <f>"from "&amp;AOR&amp;AOR!G17</f>
        <v>from AOR11</v>
      </c>
      <c r="H25" s="1237"/>
      <c r="I25" s="748"/>
      <c r="J25" s="128" t="str">
        <f>F26&amp;" x SITR_rate ("&amp;SITR_rate * 100&amp;"%)"</f>
        <v>c9.12 x SITR_rate (30%)</v>
      </c>
      <c r="L25" s="375"/>
      <c r="M25" s="375"/>
      <c r="P25" s="375"/>
      <c r="Q25" s="375"/>
      <c r="R25" s="375"/>
      <c r="S25" s="375"/>
      <c r="T25" s="375"/>
      <c r="U25" s="375"/>
      <c r="V25" s="375"/>
    </row>
    <row r="26" spans="1:22" x14ac:dyDescent="0.2">
      <c r="A26" s="371" t="s">
        <v>6847</v>
      </c>
      <c r="B26" s="740" t="str">
        <f>AOR!H17</f>
        <v>Social Investment Tax Relief</v>
      </c>
      <c r="C26" s="375"/>
      <c r="D26" s="375"/>
      <c r="E26" s="375"/>
      <c r="F26" s="2123" t="str">
        <f>A12</f>
        <v>c9.12</v>
      </c>
      <c r="G26" s="2075">
        <f>TRUNC(AOR!H18+0.99,0)</f>
        <v>0</v>
      </c>
      <c r="H26" s="1237" t="s">
        <v>3701</v>
      </c>
      <c r="I26" s="2123" t="str">
        <f>A13</f>
        <v>c9.13</v>
      </c>
      <c r="J26" s="1966">
        <f>TRUNC((G26*SITR_rate)+0.0099,2)</f>
        <v>0</v>
      </c>
      <c r="K26" s="1237" t="s">
        <v>1707</v>
      </c>
      <c r="L26" s="375"/>
      <c r="M26" s="375"/>
      <c r="P26" s="375"/>
      <c r="Q26" s="375"/>
      <c r="R26" s="375"/>
      <c r="S26" s="375"/>
      <c r="T26" s="375"/>
      <c r="U26" s="375"/>
      <c r="V26" s="375"/>
    </row>
    <row r="27" spans="1:22" x14ac:dyDescent="0.2">
      <c r="A27" s="371" t="s">
        <v>875</v>
      </c>
      <c r="B27" s="37"/>
      <c r="C27" s="375"/>
      <c r="D27" s="37"/>
      <c r="E27" s="37"/>
      <c r="F27" s="375"/>
      <c r="G27" s="380"/>
      <c r="H27" s="375"/>
      <c r="I27" s="375"/>
      <c r="J27" s="116"/>
      <c r="K27" s="375"/>
      <c r="L27" s="375"/>
      <c r="M27" s="375"/>
      <c r="P27" s="375"/>
      <c r="Q27" s="375"/>
      <c r="R27" s="375"/>
      <c r="S27" s="375"/>
      <c r="T27" s="375"/>
      <c r="U27" s="375"/>
      <c r="V27" s="375"/>
    </row>
    <row r="28" spans="1:22" x14ac:dyDescent="0.2">
      <c r="A28" s="371" t="s">
        <v>876</v>
      </c>
      <c r="B28" s="37"/>
      <c r="C28" s="375"/>
      <c r="D28" s="37"/>
      <c r="E28" s="37"/>
      <c r="F28" s="375"/>
      <c r="G28" s="380"/>
      <c r="H28" s="375"/>
      <c r="I28" s="380"/>
      <c r="J28" s="375"/>
      <c r="K28" s="375"/>
      <c r="L28" s="375"/>
      <c r="M28" s="375"/>
      <c r="P28" s="375"/>
      <c r="Q28" s="375"/>
      <c r="R28" s="375"/>
      <c r="S28" s="375"/>
      <c r="T28" s="375"/>
      <c r="U28" s="375"/>
      <c r="V28" s="375"/>
    </row>
    <row r="29" spans="1:22" x14ac:dyDescent="0.2">
      <c r="A29" s="371" t="s">
        <v>877</v>
      </c>
      <c r="B29" s="37"/>
      <c r="C29" s="375"/>
      <c r="D29" s="37"/>
      <c r="E29" s="37"/>
      <c r="F29" s="375"/>
      <c r="G29" s="380"/>
      <c r="H29" s="375"/>
      <c r="I29" s="380"/>
      <c r="J29" s="116"/>
      <c r="K29" s="375"/>
      <c r="L29" s="375"/>
      <c r="M29" s="669" t="str">
        <f><![CDATA[I8&" + "&I11&" + "&I14&" + "&I17&" + "&I20&" + "&I23&" + "&I26]]></f>
        <v>c9.2 + c9.3 + c9.5 + c9.7 + c9.9 + c9.11 + c9.13</v>
      </c>
      <c r="P29" s="375"/>
      <c r="Q29" s="375"/>
      <c r="R29" s="375"/>
      <c r="S29" s="375"/>
      <c r="T29" s="375"/>
      <c r="U29" s="375"/>
      <c r="V29" s="375"/>
    </row>
    <row r="30" spans="1:22" x14ac:dyDescent="0.2">
      <c r="A30" s="371" t="s">
        <v>878</v>
      </c>
      <c r="B30" s="37"/>
      <c r="C30" s="375"/>
      <c r="D30" s="37"/>
      <c r="E30" s="37"/>
      <c r="F30" s="375"/>
      <c r="G30" s="380"/>
      <c r="H30" s="375"/>
      <c r="I30" s="380"/>
      <c r="J30" s="116"/>
      <c r="K30" s="375"/>
      <c r="L30" s="2123" t="str">
        <f>A14</f>
        <v>c9.14</v>
      </c>
      <c r="M30" s="1966">
        <f>J8+J11+J14+J17+J20+J23+J26</f>
        <v>0</v>
      </c>
      <c r="P30" s="375"/>
      <c r="Q30" s="375"/>
      <c r="R30" s="375"/>
      <c r="S30" s="375"/>
      <c r="T30" s="375"/>
      <c r="U30" s="375"/>
      <c r="V30" s="375"/>
    </row>
    <row r="31" spans="1:22" x14ac:dyDescent="0.2">
      <c r="A31" s="371" t="s">
        <v>879</v>
      </c>
      <c r="B31" s="375"/>
      <c r="C31" s="375"/>
      <c r="D31" s="375"/>
      <c r="E31" s="375"/>
      <c r="F31" s="375"/>
      <c r="G31" s="375"/>
      <c r="H31" s="375"/>
      <c r="I31" s="375"/>
      <c r="J31" s="375"/>
      <c r="K31" s="375"/>
      <c r="L31" s="375"/>
      <c r="M31" s="375"/>
      <c r="N31" s="375"/>
      <c r="P31" s="375"/>
      <c r="Q31" s="375"/>
      <c r="R31" s="375"/>
      <c r="S31" s="375"/>
      <c r="T31" s="375"/>
      <c r="U31" s="375"/>
      <c r="V31" s="375"/>
    </row>
    <row r="32" spans="1:22" x14ac:dyDescent="0.2">
      <c r="A32" s="371" t="s">
        <v>880</v>
      </c>
      <c r="B32" s="733" t="s">
        <v>605</v>
      </c>
      <c r="C32" s="375"/>
      <c r="D32" s="375"/>
      <c r="E32" s="375"/>
      <c r="F32" s="375"/>
      <c r="G32" s="375"/>
      <c r="H32" s="375"/>
      <c r="I32" s="375"/>
      <c r="J32" s="2173" t="str">
        <f>"lower of "&amp;AOR&amp;AOR!G5&amp;" and SMP ("&amp;DOLLAR(SMP,0)&amp;")"</f>
        <v>lower of AOR7 and SMP ($3,450)</v>
      </c>
      <c r="K32" s="375"/>
      <c r="L32" s="375"/>
      <c r="M32" s="3456" t="str">
        <f>I33&amp;" x A_rate ("&amp;A_rate * 100&amp;"%)"</f>
        <v>c9.15 x A_rate (10%)</v>
      </c>
      <c r="N32" s="375"/>
      <c r="P32" s="375"/>
      <c r="Q32" s="375"/>
      <c r="R32" s="375"/>
      <c r="S32" s="375"/>
      <c r="T32" s="375"/>
      <c r="U32" s="375"/>
      <c r="V32" s="375"/>
    </row>
    <row r="33" spans="1:22" x14ac:dyDescent="0.2">
      <c r="A33" s="371" t="s">
        <v>881</v>
      </c>
      <c r="B33" s="715" t="s">
        <v>651</v>
      </c>
      <c r="C33" s="37"/>
      <c r="D33" s="375"/>
      <c r="E33" s="375"/>
      <c r="F33" s="375"/>
      <c r="G33" s="375"/>
      <c r="H33" s="375"/>
      <c r="I33" s="2123" t="str">
        <f>A15</f>
        <v>c9.15</v>
      </c>
      <c r="J33" s="2124">
        <f>IF(AOR!H6&gt;SMP,SMP,TRUNC(AOR!H6+0.99,0))</f>
        <v>0</v>
      </c>
      <c r="K33" s="1237" t="s">
        <v>3701</v>
      </c>
      <c r="L33" s="3454" t="str">
        <f>A16</f>
        <v>c9.15a</v>
      </c>
      <c r="M33" s="1965">
        <f>TRUNC((J33*A_rate)+0.0099,2)</f>
        <v>0</v>
      </c>
      <c r="N33" s="3873" t="s">
        <v>1707</v>
      </c>
      <c r="P33" s="375"/>
      <c r="Q33" s="375"/>
      <c r="R33" s="375"/>
      <c r="S33" s="375"/>
      <c r="T33" s="375"/>
      <c r="U33" s="375"/>
      <c r="V33" s="375"/>
    </row>
    <row r="34" spans="1:22" x14ac:dyDescent="0.2">
      <c r="A34" s="371" t="s">
        <v>3746</v>
      </c>
      <c r="B34" s="375"/>
      <c r="C34" s="375"/>
      <c r="D34" s="375"/>
      <c r="E34" s="375"/>
      <c r="F34" s="375"/>
      <c r="G34" s="375"/>
      <c r="H34" s="375"/>
      <c r="K34" s="375"/>
      <c r="L34" s="375"/>
      <c r="M34" s="375"/>
      <c r="P34" s="375"/>
      <c r="Q34" s="375"/>
      <c r="R34" s="375"/>
      <c r="S34" s="375"/>
      <c r="T34" s="375"/>
      <c r="U34" s="375"/>
      <c r="V34" s="375"/>
    </row>
    <row r="35" spans="1:22" x14ac:dyDescent="0.2">
      <c r="A35" s="371" t="s">
        <v>8771</v>
      </c>
      <c r="B35" s="733" t="s">
        <v>6997</v>
      </c>
      <c r="C35" s="375"/>
      <c r="D35" s="375"/>
      <c r="E35" s="375"/>
      <c r="F35" s="375"/>
      <c r="G35" s="375"/>
      <c r="H35" s="375"/>
      <c r="I35" s="375"/>
      <c r="J35" s="375"/>
      <c r="K35" s="375"/>
      <c r="L35" s="375"/>
      <c r="M35" s="375"/>
      <c r="P35" s="375"/>
      <c r="Q35" s="375"/>
      <c r="R35" s="375"/>
      <c r="S35" s="375"/>
      <c r="T35" s="375"/>
      <c r="U35" s="375"/>
      <c r="V35" s="375"/>
    </row>
    <row r="36" spans="1:22" x14ac:dyDescent="0.2">
      <c r="A36" s="371" t="s">
        <v>8772</v>
      </c>
      <c r="B36" s="375" t="str">
        <f><![CDATA["If ("&NRD!P10&" = Y and "&NRD!P11&" = N and "&NRD!P9&" = N)"]]></f>
        <v>If (box_NRD28 = Y and box_NRD29 = N and box_NRD16 = N)</v>
      </c>
      <c r="C36" s="375"/>
      <c r="D36" s="375"/>
      <c r="E36" s="375"/>
      <c r="F36" s="375"/>
      <c r="G36" s="375"/>
      <c r="H36" s="375"/>
      <c r="I36" s="375"/>
      <c r="J36" s="375"/>
      <c r="K36" s="375"/>
      <c r="L36" s="375"/>
      <c r="M36" s="375"/>
      <c r="O36" s="375"/>
      <c r="P36" s="375"/>
      <c r="Q36" s="375"/>
      <c r="R36" s="375"/>
      <c r="S36" s="375"/>
      <c r="T36" s="375"/>
      <c r="U36" s="375"/>
      <c r="V36" s="375"/>
    </row>
    <row r="37" spans="1:22" x14ac:dyDescent="0.2">
      <c r="A37" s="371" t="s">
        <v>1712</v>
      </c>
      <c r="B37" s="375" t="str">
        <f><![CDATA["or ("&NRD!P4&" = Y and "&NRD!P8&" and "&NRD!P9&" = N)"]]></f>
        <v>or (box_NRD1 = Y and box_NRD15 and box_NRD16 = N)</v>
      </c>
      <c r="C37" s="375"/>
      <c r="D37" s="375"/>
      <c r="E37" s="375"/>
      <c r="F37" s="375"/>
      <c r="G37" s="375"/>
      <c r="H37" s="375"/>
      <c r="I37" s="375"/>
      <c r="J37" s="375"/>
      <c r="K37" s="375"/>
      <c r="L37" s="375"/>
      <c r="M37" s="375"/>
      <c r="P37" s="375"/>
      <c r="Q37" s="375"/>
      <c r="R37" s="375"/>
      <c r="S37" s="375"/>
      <c r="T37" s="375"/>
      <c r="U37" s="375"/>
      <c r="V37" s="375"/>
    </row>
    <row r="38" spans="1:22" x14ac:dyDescent="0.2">
      <c r="A38" s="371" t="s">
        <v>1713</v>
      </c>
      <c r="B38" s="375" t="s">
        <v>6998</v>
      </c>
      <c r="C38" s="375"/>
      <c r="D38" s="375"/>
      <c r="E38" s="375"/>
      <c r="F38" s="375"/>
      <c r="G38" s="375"/>
      <c r="H38" s="375"/>
      <c r="I38" s="375"/>
      <c r="J38" s="375"/>
      <c r="K38" s="375"/>
      <c r="L38" s="375"/>
      <c r="M38" s="375"/>
      <c r="N38" s="375"/>
      <c r="P38" s="375"/>
      <c r="Q38" s="375"/>
      <c r="R38" s="375"/>
      <c r="S38" s="375"/>
      <c r="T38" s="375"/>
      <c r="U38" s="375"/>
      <c r="V38" s="375"/>
    </row>
    <row r="39" spans="1:22" x14ac:dyDescent="0.2">
      <c r="A39" s="371" t="s">
        <v>3000</v>
      </c>
      <c r="B39" s="375" t="str">
        <f>"set boxes "&amp;I51&amp;" to "&amp;I54&amp;" to 0 (zero)"</f>
        <v>set boxes c9.16 to c9.17 to 0 (zero)</v>
      </c>
      <c r="C39" s="375"/>
      <c r="D39" s="375"/>
      <c r="E39" s="375"/>
      <c r="F39" s="375"/>
      <c r="G39" s="375"/>
      <c r="H39" s="375"/>
      <c r="I39" s="375"/>
      <c r="J39" s="375"/>
      <c r="K39" s="375"/>
      <c r="L39" s="375"/>
      <c r="M39" s="375"/>
      <c r="P39" s="375"/>
      <c r="Q39" s="375"/>
      <c r="R39" s="375"/>
      <c r="S39" s="375"/>
      <c r="T39" s="375"/>
      <c r="U39" s="375"/>
      <c r="V39" s="375"/>
    </row>
    <row r="40" spans="1:22" x14ac:dyDescent="0.2">
      <c r="A40" s="371" t="s">
        <v>3328</v>
      </c>
      <c r="B40" s="375" t="s">
        <v>2386</v>
      </c>
      <c r="C40" s="375"/>
      <c r="D40" s="375"/>
      <c r="E40" s="375"/>
      <c r="F40" s="375"/>
      <c r="G40" s="375"/>
      <c r="H40" s="375"/>
      <c r="I40" s="375"/>
      <c r="J40" s="375"/>
      <c r="K40" s="375"/>
      <c r="L40" s="375"/>
      <c r="M40" s="375"/>
      <c r="N40" s="375"/>
      <c r="P40" s="375"/>
      <c r="Q40" s="375"/>
      <c r="R40" s="375"/>
      <c r="S40" s="375"/>
      <c r="T40" s="375"/>
      <c r="U40" s="375"/>
      <c r="V40" s="375"/>
    </row>
    <row r="41" spans="1:22" x14ac:dyDescent="0.2">
      <c r="A41" s="371" t="s">
        <v>825</v>
      </c>
      <c r="B41" s="375" t="s">
        <v>3766</v>
      </c>
      <c r="C41" s="375"/>
      <c r="D41" s="375"/>
      <c r="E41" s="375"/>
      <c r="F41" s="375"/>
      <c r="G41" s="375"/>
      <c r="H41" s="375"/>
      <c r="I41" s="375"/>
      <c r="J41" s="375"/>
      <c r="K41" s="375"/>
      <c r="L41" s="375"/>
      <c r="M41" s="375"/>
      <c r="N41" s="375"/>
      <c r="P41" s="375"/>
      <c r="Q41" s="375"/>
      <c r="R41" s="375"/>
      <c r="S41" s="375"/>
      <c r="T41" s="375"/>
      <c r="U41" s="375"/>
      <c r="V41" s="375"/>
    </row>
    <row r="42" spans="1:22" x14ac:dyDescent="0.2">
      <c r="A42" s="371" t="s">
        <v>3081</v>
      </c>
      <c r="B42" s="375"/>
      <c r="C42" s="375"/>
      <c r="D42" s="375"/>
      <c r="E42" s="375"/>
      <c r="F42" s="375"/>
      <c r="G42" s="375"/>
      <c r="H42" s="375"/>
      <c r="I42" s="375"/>
      <c r="J42" s="669" t="s">
        <v>4952</v>
      </c>
      <c r="K42" s="375"/>
      <c r="L42" s="375"/>
      <c r="M42" s="375"/>
      <c r="N42" s="375"/>
      <c r="P42" s="375"/>
      <c r="Q42" s="375"/>
      <c r="R42" s="375"/>
      <c r="S42" s="375"/>
      <c r="T42" s="375"/>
      <c r="U42" s="375"/>
      <c r="V42" s="375"/>
    </row>
    <row r="43" spans="1:22" x14ac:dyDescent="0.2">
      <c r="A43" s="371" t="s">
        <v>3082</v>
      </c>
      <c r="B43" s="375"/>
      <c r="C43" s="375"/>
      <c r="D43" s="375"/>
      <c r="E43" s="375"/>
      <c r="F43" s="375"/>
      <c r="G43" s="375"/>
      <c r="H43" s="375"/>
      <c r="I43" s="375"/>
      <c r="J43" s="669" t="str">
        <f>I51&amp;" = "&amp;'allowances (c14c15)'!K163</f>
        <v>c9.16 = c15.21</v>
      </c>
      <c r="K43" s="375"/>
      <c r="L43" s="375"/>
      <c r="M43" s="375"/>
      <c r="N43" s="375"/>
      <c r="P43" s="375"/>
      <c r="Q43" s="375"/>
      <c r="R43" s="375"/>
      <c r="S43" s="375"/>
      <c r="T43" s="375"/>
      <c r="U43" s="375"/>
      <c r="V43" s="375"/>
    </row>
    <row r="44" spans="1:22" x14ac:dyDescent="0.2">
      <c r="A44" s="371" t="s">
        <v>1495</v>
      </c>
      <c r="B44" s="375"/>
      <c r="C44" s="375"/>
      <c r="D44" s="375"/>
      <c r="E44" s="375"/>
      <c r="F44" s="375"/>
      <c r="G44" s="375"/>
      <c r="H44" s="375"/>
      <c r="I44" s="2174"/>
      <c r="J44" s="375" t="s">
        <v>2386</v>
      </c>
      <c r="K44" s="375"/>
      <c r="L44" s="375"/>
      <c r="M44" s="375"/>
      <c r="N44" s="375"/>
      <c r="P44" s="375"/>
      <c r="Q44" s="375"/>
      <c r="R44" s="375"/>
      <c r="S44" s="375"/>
      <c r="T44" s="375"/>
      <c r="U44" s="375"/>
      <c r="V44" s="375"/>
    </row>
    <row r="45" spans="1:22" x14ac:dyDescent="0.2">
      <c r="A45" s="371" t="s">
        <v>5059</v>
      </c>
      <c r="B45" s="375"/>
      <c r="C45" s="375"/>
      <c r="D45" s="375"/>
      <c r="E45" s="375"/>
      <c r="F45" s="375"/>
      <c r="G45" s="375"/>
      <c r="H45" s="375"/>
      <c r="I45" s="375"/>
      <c r="J45" s="669" t="s">
        <v>4951</v>
      </c>
      <c r="K45" s="375"/>
      <c r="L45" s="375"/>
      <c r="M45" s="375"/>
      <c r="N45" s="375"/>
      <c r="P45" s="375"/>
      <c r="Q45" s="375"/>
      <c r="R45" s="375"/>
      <c r="S45" s="375"/>
      <c r="T45" s="375"/>
      <c r="U45" s="375"/>
      <c r="V45" s="375"/>
    </row>
    <row r="46" spans="1:22" x14ac:dyDescent="0.2">
      <c r="A46" s="371" t="s">
        <v>5314</v>
      </c>
      <c r="B46" s="375"/>
      <c r="C46" s="375"/>
      <c r="D46" s="375"/>
      <c r="E46" s="375"/>
      <c r="F46" s="375"/>
      <c r="G46" s="375"/>
      <c r="H46" s="375"/>
      <c r="I46" s="375"/>
      <c r="J46" s="669" t="str">
        <f>I51&amp;" = "&amp;'allowances (c14c15)'!K147</f>
        <v>c9.16 = c15.20</v>
      </c>
      <c r="K46" s="375"/>
      <c r="L46" s="375"/>
      <c r="M46" s="375"/>
      <c r="N46" s="375"/>
      <c r="P46" s="375"/>
      <c r="Q46" s="375"/>
      <c r="R46" s="375"/>
      <c r="S46" s="375"/>
      <c r="T46" s="375"/>
      <c r="U46" s="375"/>
      <c r="V46" s="375"/>
    </row>
    <row r="47" spans="1:22" x14ac:dyDescent="0.2">
      <c r="A47" s="371" t="s">
        <v>5868</v>
      </c>
      <c r="B47" s="375"/>
      <c r="C47" s="375"/>
      <c r="D47" s="375"/>
      <c r="E47" s="375"/>
      <c r="F47" s="375"/>
      <c r="G47" s="375"/>
      <c r="H47" s="375"/>
      <c r="I47" s="669"/>
      <c r="J47" s="375" t="s">
        <v>2386</v>
      </c>
      <c r="K47" s="375"/>
      <c r="L47" s="375"/>
      <c r="M47" s="375"/>
      <c r="N47" s="375"/>
      <c r="P47" s="375"/>
      <c r="Q47" s="375"/>
      <c r="R47" s="375"/>
      <c r="S47" s="375"/>
      <c r="T47" s="375"/>
      <c r="U47" s="375"/>
      <c r="V47" s="375"/>
    </row>
    <row r="48" spans="1:22" x14ac:dyDescent="0.2">
      <c r="A48" s="371" t="s">
        <v>5899</v>
      </c>
      <c r="B48" s="375"/>
      <c r="C48" s="375"/>
      <c r="D48" s="375"/>
      <c r="E48" s="375"/>
      <c r="F48" s="375"/>
      <c r="G48" s="375"/>
      <c r="H48" s="375"/>
      <c r="I48" s="375"/>
      <c r="J48" s="669" t="str">
        <f>I51&amp;" = 0 (zero)"</f>
        <v>c9.16 = 0 (zero)</v>
      </c>
      <c r="K48" s="375"/>
      <c r="L48" s="375"/>
      <c r="M48" s="375"/>
      <c r="N48" s="375"/>
      <c r="O48" s="375"/>
      <c r="P48" s="375"/>
      <c r="Q48" s="375"/>
      <c r="R48" s="375"/>
      <c r="S48" s="375"/>
      <c r="T48" s="375"/>
      <c r="U48" s="375"/>
      <c r="V48" s="375"/>
    </row>
    <row r="49" spans="1:22" x14ac:dyDescent="0.2">
      <c r="A49" s="371" t="s">
        <v>7958</v>
      </c>
      <c r="B49" s="375"/>
      <c r="C49" s="375"/>
      <c r="D49" s="375"/>
      <c r="E49" s="375"/>
      <c r="F49" s="375"/>
      <c r="G49" s="375"/>
      <c r="H49" s="375"/>
      <c r="I49" s="669"/>
      <c r="J49" s="375" t="s">
        <v>2495</v>
      </c>
      <c r="K49" s="375"/>
      <c r="L49" s="375"/>
      <c r="M49" s="375"/>
      <c r="N49" s="375"/>
      <c r="O49" s="375"/>
      <c r="P49" s="375"/>
      <c r="Q49" s="375"/>
      <c r="R49" s="375"/>
      <c r="S49" s="375"/>
      <c r="T49" s="375"/>
      <c r="U49" s="375"/>
      <c r="V49" s="375"/>
    </row>
    <row r="50" spans="1:22" x14ac:dyDescent="0.2">
      <c r="B50" s="375"/>
      <c r="C50" s="375"/>
      <c r="D50" s="375"/>
      <c r="E50" s="375"/>
      <c r="F50" s="375"/>
      <c r="G50" s="375"/>
      <c r="H50" s="375"/>
      <c r="I50" s="2174"/>
      <c r="J50" s="375" t="s">
        <v>2495</v>
      </c>
      <c r="K50" s="375"/>
      <c r="L50" s="375"/>
      <c r="M50" s="375"/>
      <c r="N50" s="375"/>
      <c r="O50" s="375"/>
      <c r="P50" s="375"/>
      <c r="Q50" s="375"/>
      <c r="R50" s="375"/>
      <c r="S50" s="375"/>
      <c r="T50" s="375"/>
      <c r="U50" s="375"/>
      <c r="V50" s="375"/>
    </row>
    <row r="51" spans="1:22" x14ac:dyDescent="0.2">
      <c r="B51" s="715"/>
      <c r="D51" s="375"/>
      <c r="E51" s="375"/>
      <c r="F51" s="375"/>
      <c r="G51" s="375"/>
      <c r="H51" s="375"/>
      <c r="I51" s="2125" t="str">
        <f>A17</f>
        <v>c9.16</v>
      </c>
      <c r="J51" s="2027">
        <f>IF(non_resident,0,IF(UK_allowance_claim,'allowances (c14c15)'!L163,0))</f>
        <v>0</v>
      </c>
      <c r="K51" s="375"/>
      <c r="L51" s="375"/>
      <c r="M51" s="375"/>
      <c r="N51" s="375"/>
      <c r="O51" s="375"/>
      <c r="P51" s="375"/>
      <c r="Q51" s="375"/>
      <c r="R51" s="375"/>
      <c r="S51" s="375"/>
      <c r="T51" s="375"/>
      <c r="U51" s="375"/>
      <c r="V51" s="375"/>
    </row>
    <row r="52" spans="1:22" x14ac:dyDescent="0.2">
      <c r="B52" s="375"/>
      <c r="C52" s="375"/>
      <c r="D52" s="375"/>
      <c r="E52" s="375"/>
      <c r="F52" s="375"/>
      <c r="G52" s="375"/>
      <c r="H52" s="375"/>
      <c r="I52" s="375"/>
      <c r="J52" s="375"/>
      <c r="K52" s="375"/>
      <c r="L52" s="375"/>
      <c r="M52" s="375"/>
      <c r="N52" s="375"/>
      <c r="O52" s="375"/>
      <c r="P52" s="375"/>
      <c r="Q52" s="375"/>
      <c r="R52" s="375"/>
      <c r="S52" s="375"/>
      <c r="T52" s="375"/>
      <c r="U52" s="375"/>
      <c r="V52" s="375"/>
    </row>
    <row r="53" spans="1:22" x14ac:dyDescent="0.2">
      <c r="B53" s="375"/>
      <c r="C53" s="375"/>
      <c r="D53" s="375"/>
      <c r="E53" s="375"/>
      <c r="F53" s="375"/>
      <c r="G53" s="375"/>
      <c r="H53" s="375"/>
      <c r="I53" s="375"/>
      <c r="J53" s="741" t="str">
        <f>"from "&amp;CAL&amp;CAL!G19</f>
        <v>from CAL13</v>
      </c>
      <c r="K53" s="375"/>
      <c r="L53" s="375"/>
      <c r="M53" s="375"/>
      <c r="N53" s="375"/>
      <c r="P53" s="375"/>
      <c r="Q53" s="375"/>
      <c r="R53" s="375"/>
      <c r="S53" s="375"/>
      <c r="T53" s="375"/>
      <c r="U53" s="375"/>
      <c r="V53" s="375"/>
    </row>
    <row r="54" spans="1:22" x14ac:dyDescent="0.2">
      <c r="B54" s="372" t="s">
        <v>6999</v>
      </c>
      <c r="C54" s="2650"/>
      <c r="D54" s="2684"/>
      <c r="E54" s="375"/>
      <c r="F54" s="375"/>
      <c r="G54" s="375"/>
      <c r="H54" s="375"/>
      <c r="I54" s="2123" t="str">
        <f>A18</f>
        <v>c9.17</v>
      </c>
      <c r="J54" s="2124">
        <f>IF(non_resident,0,IF(UK_allowance_claim,TRUNC(CAL!H20+0.99,0),0))</f>
        <v>0</v>
      </c>
      <c r="K54" s="1237" t="s">
        <v>3701</v>
      </c>
      <c r="L54" s="380"/>
      <c r="M54" s="375"/>
      <c r="N54" s="375"/>
      <c r="P54" s="375"/>
      <c r="Q54" s="375"/>
      <c r="R54" s="375"/>
      <c r="S54" s="375"/>
      <c r="T54" s="375"/>
      <c r="U54" s="375"/>
      <c r="V54" s="375"/>
    </row>
    <row r="55" spans="1:22" x14ac:dyDescent="0.2">
      <c r="B55" s="375" t="s">
        <v>2495</v>
      </c>
      <c r="C55" s="375"/>
      <c r="D55" s="375"/>
      <c r="E55" s="375"/>
      <c r="F55" s="375"/>
      <c r="G55" s="375"/>
      <c r="H55" s="375"/>
      <c r="I55" s="375"/>
      <c r="J55" s="375"/>
      <c r="K55" s="375"/>
      <c r="L55" s="380"/>
      <c r="M55" s="116"/>
      <c r="N55" s="375"/>
      <c r="O55" s="375"/>
      <c r="P55" s="375"/>
      <c r="Q55" s="375"/>
      <c r="R55" s="375"/>
      <c r="S55" s="375"/>
      <c r="T55" s="375"/>
      <c r="U55" s="375"/>
      <c r="V55" s="375"/>
    </row>
    <row r="56" spans="1:22" x14ac:dyDescent="0.2">
      <c r="B56" s="375"/>
      <c r="C56" s="375"/>
      <c r="D56" s="375"/>
      <c r="E56" s="375"/>
      <c r="F56" s="375"/>
      <c r="G56" s="375"/>
      <c r="H56" s="375"/>
      <c r="I56" s="375"/>
      <c r="J56" s="3456" t="str">
        <f>I51&amp;" + "&amp;I54</f>
        <v>c9.16 + c9.17</v>
      </c>
      <c r="K56" s="375"/>
      <c r="L56" s="380"/>
      <c r="M56" s="128" t="str">
        <f>I57&amp;" x A_rate ("&amp;A_rate * 100&amp;"%)"</f>
        <v>c9.18 x A_rate (10%)</v>
      </c>
      <c r="N56" s="375"/>
      <c r="O56" s="375"/>
      <c r="P56" s="375"/>
      <c r="Q56" s="375"/>
      <c r="R56" s="375"/>
      <c r="S56" s="375"/>
      <c r="T56" s="375"/>
      <c r="U56" s="375"/>
      <c r="V56" s="375"/>
    </row>
    <row r="57" spans="1:22" x14ac:dyDescent="0.2">
      <c r="B57" s="375" t="s">
        <v>2779</v>
      </c>
      <c r="C57" s="375"/>
      <c r="D57" s="375"/>
      <c r="E57" s="375"/>
      <c r="F57" s="375"/>
      <c r="G57" s="375"/>
      <c r="H57" s="375"/>
      <c r="I57" s="2123" t="str">
        <f>A19</f>
        <v>c9.18</v>
      </c>
      <c r="J57" s="2126">
        <f>J51+J54</f>
        <v>0</v>
      </c>
      <c r="K57" s="375"/>
      <c r="L57" s="2123" t="str">
        <f>A20</f>
        <v>c9.19</v>
      </c>
      <c r="M57" s="1965">
        <f>TRUNC((J57*A_rate)+0.0099,2)</f>
        <v>0</v>
      </c>
      <c r="N57" s="1237" t="s">
        <v>1707</v>
      </c>
      <c r="O57" s="375"/>
      <c r="P57" s="375"/>
      <c r="Q57" s="375"/>
      <c r="R57" s="375"/>
      <c r="S57" s="375"/>
      <c r="T57" s="375"/>
      <c r="U57" s="375"/>
      <c r="V57" s="375"/>
    </row>
    <row r="58" spans="1:22" x14ac:dyDescent="0.2">
      <c r="B58" s="375"/>
      <c r="C58" s="375"/>
      <c r="D58" s="375"/>
      <c r="E58" s="375"/>
      <c r="F58" s="375"/>
      <c r="G58" s="375"/>
      <c r="H58" s="375"/>
      <c r="I58" s="375"/>
      <c r="J58" s="375"/>
      <c r="K58" s="375"/>
      <c r="L58" s="375"/>
      <c r="M58" s="375"/>
      <c r="N58" s="375"/>
      <c r="O58" s="375"/>
      <c r="P58" s="375"/>
      <c r="Q58" s="375"/>
      <c r="R58" s="375"/>
      <c r="S58" s="375"/>
      <c r="T58" s="375"/>
      <c r="U58" s="375"/>
      <c r="V58" s="375"/>
    </row>
    <row r="59" spans="1:22" x14ac:dyDescent="0.2">
      <c r="B59" s="711" t="s">
        <v>4383</v>
      </c>
      <c r="C59" s="375"/>
      <c r="D59" s="375"/>
      <c r="E59" s="375"/>
      <c r="F59" s="375"/>
      <c r="G59" s="375"/>
      <c r="H59" s="375"/>
      <c r="I59" s="375"/>
      <c r="J59" s="375"/>
      <c r="K59" s="375"/>
      <c r="L59" s="375"/>
      <c r="M59" s="375"/>
      <c r="N59" s="375"/>
      <c r="O59" s="375"/>
      <c r="P59" s="375"/>
      <c r="Q59" s="375"/>
      <c r="R59" s="375"/>
      <c r="S59" s="375"/>
      <c r="T59" s="375"/>
      <c r="U59" s="375"/>
      <c r="V59" s="375"/>
    </row>
    <row r="60" spans="1:22" x14ac:dyDescent="0.2">
      <c r="B60" s="2175" t="s">
        <v>4457</v>
      </c>
      <c r="C60" s="375"/>
      <c r="D60" s="375"/>
      <c r="E60" s="375"/>
      <c r="F60" s="375"/>
      <c r="G60" s="375"/>
      <c r="H60" s="375"/>
      <c r="I60" s="375"/>
      <c r="J60" s="375"/>
      <c r="K60" s="375"/>
      <c r="L60" s="375"/>
      <c r="M60" s="375"/>
      <c r="N60" s="375"/>
      <c r="O60" s="375"/>
      <c r="P60" s="375"/>
      <c r="Q60" s="375"/>
      <c r="R60" s="375"/>
      <c r="S60" s="375"/>
      <c r="T60" s="375"/>
      <c r="U60" s="375"/>
      <c r="V60" s="375"/>
    </row>
    <row r="61" spans="1:22" x14ac:dyDescent="0.2">
      <c r="B61" s="707" t="s">
        <v>4458</v>
      </c>
      <c r="C61" s="375"/>
      <c r="D61" s="375"/>
      <c r="E61" s="375"/>
      <c r="F61" s="375"/>
      <c r="G61" s="375"/>
      <c r="H61" s="375"/>
      <c r="I61" s="375"/>
      <c r="J61" s="375"/>
      <c r="K61" s="375"/>
      <c r="L61" s="375"/>
      <c r="M61" s="375"/>
      <c r="N61" s="375"/>
      <c r="O61" s="375"/>
      <c r="P61" s="375"/>
      <c r="Q61" s="375"/>
      <c r="R61" s="375"/>
      <c r="S61" s="375"/>
      <c r="T61" s="375"/>
      <c r="U61" s="375"/>
      <c r="V61" s="375"/>
    </row>
    <row r="62" spans="1:22" x14ac:dyDescent="0.2">
      <c r="B62" s="121"/>
      <c r="C62" s="375"/>
      <c r="D62" s="375"/>
      <c r="E62" s="375"/>
      <c r="F62" s="375"/>
      <c r="G62" s="375"/>
      <c r="H62" s="375"/>
      <c r="I62" s="375"/>
      <c r="J62" s="375"/>
      <c r="K62" s="375"/>
      <c r="L62" s="375"/>
      <c r="M62" s="375"/>
      <c r="N62" s="375"/>
      <c r="O62" s="375"/>
      <c r="P62" s="375"/>
      <c r="Q62" s="375"/>
      <c r="R62" s="375"/>
      <c r="S62" s="375"/>
      <c r="T62" s="375"/>
      <c r="U62" s="375"/>
      <c r="V62" s="375"/>
    </row>
    <row r="63" spans="1:22" x14ac:dyDescent="0.2">
      <c r="B63" s="121" t="str">
        <f><![CDATA["If ("&NRD!P10&" = Y and "&NRD!P11&" = N and "&NRD!P9&" = N)"]]></f>
        <v>If (box_NRD28 = Y and box_NRD29 = N and box_NRD16 = N)</v>
      </c>
      <c r="C63" s="375"/>
      <c r="D63" s="375"/>
      <c r="E63" s="375"/>
      <c r="F63" s="375"/>
      <c r="G63" s="375"/>
      <c r="H63" s="375"/>
      <c r="I63" s="375"/>
      <c r="J63" s="375"/>
      <c r="K63" s="375"/>
      <c r="L63" s="375"/>
      <c r="M63" s="375"/>
      <c r="N63" s="375"/>
      <c r="O63" s="375"/>
      <c r="P63" s="375"/>
      <c r="Q63" s="375"/>
      <c r="R63" s="375"/>
      <c r="S63" s="375"/>
      <c r="T63" s="375"/>
      <c r="U63" s="375"/>
      <c r="V63" s="375"/>
    </row>
    <row r="64" spans="1:22" x14ac:dyDescent="0.2">
      <c r="B64" s="121" t="str">
        <f><![CDATA["OR ("&NRD!P4&" = Y and "&NRD!P8&" and "&NRD!P9&" = N)"]]></f>
        <v>OR (box_NRD1 = Y and box_NRD15 and box_NRD16 = N)</v>
      </c>
      <c r="C64" s="375"/>
      <c r="D64" s="375"/>
      <c r="E64" s="375"/>
      <c r="F64" s="375"/>
      <c r="G64" s="375"/>
      <c r="H64" s="375"/>
      <c r="I64" s="375"/>
      <c r="J64" s="375"/>
      <c r="K64" s="375"/>
      <c r="L64" s="375"/>
      <c r="M64" s="375"/>
      <c r="N64" s="375"/>
      <c r="O64" s="375"/>
      <c r="P64" s="375"/>
      <c r="Q64" s="375"/>
      <c r="R64" s="375"/>
      <c r="S64" s="375"/>
      <c r="T64" s="375"/>
      <c r="U64" s="375"/>
      <c r="V64" s="375"/>
    </row>
    <row r="65" spans="2:22" x14ac:dyDescent="0.2">
      <c r="B65" s="121" t="s">
        <v>4976</v>
      </c>
      <c r="C65" s="375"/>
      <c r="D65" s="375"/>
      <c r="E65" s="375"/>
      <c r="F65" s="375"/>
      <c r="G65" s="375"/>
      <c r="H65" s="375"/>
      <c r="I65" s="375"/>
      <c r="J65" s="375"/>
      <c r="K65" s="375"/>
      <c r="L65" s="375"/>
      <c r="M65" s="375"/>
      <c r="N65" s="375"/>
      <c r="O65" s="375"/>
      <c r="P65" s="375"/>
      <c r="Q65" s="375"/>
      <c r="R65" s="375"/>
      <c r="S65" s="375"/>
      <c r="T65" s="375"/>
      <c r="U65" s="375"/>
      <c r="V65" s="375"/>
    </row>
    <row r="66" spans="2:22" x14ac:dyDescent="0.2">
      <c r="B66" s="121" t="str">
        <f>"Set boxes "&amp;I75&amp;" to "&amp;L75&amp;" to 0 (zero)"</f>
        <v>Set boxes c9.20 to c9.21 to 0 (zero)</v>
      </c>
      <c r="C66" s="375"/>
      <c r="D66" s="375"/>
      <c r="E66" s="375"/>
      <c r="F66" s="375"/>
      <c r="G66" s="375"/>
      <c r="H66" s="375"/>
      <c r="I66" s="375"/>
      <c r="J66" s="375"/>
      <c r="K66" s="375"/>
      <c r="L66" s="375"/>
      <c r="M66" s="375"/>
      <c r="N66" s="375"/>
      <c r="O66" s="375"/>
      <c r="P66" s="375"/>
      <c r="Q66" s="375"/>
      <c r="R66" s="375"/>
      <c r="S66" s="375"/>
      <c r="T66" s="375"/>
      <c r="U66" s="375"/>
      <c r="V66" s="375"/>
    </row>
    <row r="67" spans="2:22" x14ac:dyDescent="0.2">
      <c r="B67" s="121" t="s">
        <v>2386</v>
      </c>
      <c r="C67" s="375"/>
      <c r="D67" s="375"/>
      <c r="E67" s="375"/>
      <c r="F67" s="375"/>
      <c r="G67" s="375"/>
      <c r="H67" s="375"/>
      <c r="I67" s="375"/>
      <c r="J67" s="375"/>
      <c r="K67" s="375"/>
      <c r="L67" s="375"/>
      <c r="M67" s="375"/>
      <c r="N67" s="375"/>
      <c r="O67" s="375"/>
      <c r="P67" s="375"/>
      <c r="Q67" s="375"/>
      <c r="R67" s="375"/>
      <c r="S67" s="375"/>
      <c r="T67" s="375"/>
      <c r="U67" s="375"/>
      <c r="V67" s="375"/>
    </row>
    <row r="68" spans="2:22" x14ac:dyDescent="0.2">
      <c r="B68" s="375"/>
      <c r="C68" s="375"/>
      <c r="D68" s="375"/>
      <c r="E68" s="375"/>
      <c r="F68" s="375"/>
      <c r="G68" s="375"/>
      <c r="H68" s="375"/>
      <c r="I68" s="121"/>
      <c r="J68" s="94" t="s">
        <v>4975</v>
      </c>
      <c r="K68" s="375"/>
      <c r="L68" s="375"/>
      <c r="M68" s="375"/>
      <c r="N68" s="375"/>
      <c r="O68" s="375"/>
      <c r="P68" s="375"/>
      <c r="Q68" s="375"/>
      <c r="R68" s="375"/>
      <c r="S68" s="375"/>
      <c r="T68" s="375"/>
      <c r="U68" s="375"/>
      <c r="V68" s="375"/>
    </row>
    <row r="69" spans="2:22" x14ac:dyDescent="0.2">
      <c r="B69" s="375"/>
      <c r="C69" s="375"/>
      <c r="D69" s="375"/>
      <c r="E69" s="375"/>
      <c r="F69" s="375"/>
      <c r="G69" s="375"/>
      <c r="H69" s="375"/>
      <c r="I69" s="121"/>
      <c r="J69" s="93" t="str">
        <f>"AND "&amp;'Deductions (c4)'!Q381&amp;" = 0 (zero)"</f>
        <v>AND c4.76c = 0 (zero)</v>
      </c>
      <c r="K69" s="375"/>
      <c r="L69" s="375"/>
      <c r="M69" s="375"/>
      <c r="N69" s="375"/>
      <c r="O69" s="375"/>
      <c r="P69" s="375"/>
      <c r="Q69" s="375"/>
      <c r="R69" s="375"/>
      <c r="S69" s="375"/>
      <c r="T69" s="375"/>
      <c r="U69" s="375"/>
      <c r="V69" s="375"/>
    </row>
    <row r="70" spans="2:22" x14ac:dyDescent="0.2">
      <c r="B70" s="375"/>
      <c r="C70" s="375"/>
      <c r="D70" s="375"/>
      <c r="E70" s="375"/>
      <c r="F70" s="375"/>
      <c r="G70" s="375"/>
      <c r="H70" s="375"/>
      <c r="I70" s="121"/>
      <c r="J70" s="93" t="str">
        <f>"AND ("&amp;'Tax adj (c9)'!I51&amp;" + "&amp;'Tax adj (c9)'!I54&amp;") = 0 (zero)"</f>
        <v>AND (c9.16 + c9.17) = 0 (zero)</v>
      </c>
      <c r="K70" s="375"/>
      <c r="L70" s="375"/>
      <c r="M70" s="375"/>
      <c r="N70" s="375"/>
      <c r="O70" s="375"/>
      <c r="P70" s="375"/>
      <c r="Q70" s="375"/>
      <c r="R70" s="375"/>
      <c r="S70" s="375"/>
      <c r="T70" s="375"/>
      <c r="U70" s="375"/>
      <c r="V70" s="375"/>
    </row>
    <row r="71" spans="2:22" x14ac:dyDescent="0.2">
      <c r="B71" s="375"/>
      <c r="C71" s="375"/>
      <c r="D71" s="375"/>
      <c r="E71" s="375"/>
      <c r="F71" s="375"/>
      <c r="G71" s="375"/>
      <c r="H71" s="375"/>
      <c r="I71" s="121"/>
      <c r="J71" s="2325" t="str">
        <f>I75&amp;" = T_P_A ("&amp;DOLLAR(T_P_A,0)&amp;")"</f>
        <v>c9.20 = T_P_A ($1,250)</v>
      </c>
      <c r="K71" s="375"/>
      <c r="L71" s="375"/>
      <c r="M71" s="375"/>
      <c r="N71" s="375"/>
      <c r="O71" s="375"/>
      <c r="P71" s="375"/>
      <c r="Q71" s="375"/>
      <c r="R71" s="375"/>
      <c r="S71" s="375"/>
      <c r="T71" s="375"/>
      <c r="U71" s="375"/>
      <c r="V71" s="375"/>
    </row>
    <row r="72" spans="2:22" x14ac:dyDescent="0.2">
      <c r="B72" s="375"/>
      <c r="C72" s="375"/>
      <c r="D72" s="375"/>
      <c r="E72" s="375"/>
      <c r="F72" s="375"/>
      <c r="G72" s="375"/>
      <c r="H72" s="375"/>
      <c r="I72" s="121"/>
      <c r="J72" s="121" t="s">
        <v>2386</v>
      </c>
      <c r="K72" s="375"/>
      <c r="L72" s="375"/>
      <c r="M72" s="375"/>
      <c r="N72" s="375"/>
      <c r="O72" s="375"/>
      <c r="P72" s="375"/>
      <c r="Q72" s="375"/>
      <c r="R72" s="375"/>
      <c r="S72" s="375"/>
      <c r="T72" s="375"/>
      <c r="U72" s="375"/>
      <c r="V72" s="375"/>
    </row>
    <row r="73" spans="2:22" x14ac:dyDescent="0.2">
      <c r="B73" s="375"/>
      <c r="C73" s="375"/>
      <c r="D73" s="375"/>
      <c r="E73" s="375"/>
      <c r="F73" s="375"/>
      <c r="G73" s="375"/>
      <c r="H73" s="375"/>
      <c r="I73" s="121"/>
      <c r="J73" s="121" t="str">
        <f>I75&amp;" = 0 (zero)"</f>
        <v>c9.20 = 0 (zero)</v>
      </c>
      <c r="K73" s="375"/>
      <c r="L73" s="375"/>
      <c r="M73" s="375"/>
      <c r="N73" s="375"/>
      <c r="O73" s="375"/>
      <c r="P73" s="375"/>
      <c r="Q73" s="375"/>
      <c r="R73" s="375"/>
      <c r="S73" s="375"/>
      <c r="T73" s="375"/>
      <c r="U73" s="375"/>
      <c r="V73" s="375"/>
    </row>
    <row r="74" spans="2:22" x14ac:dyDescent="0.2">
      <c r="B74" s="375"/>
      <c r="C74" s="375"/>
      <c r="D74" s="375"/>
      <c r="E74" s="375"/>
      <c r="F74" s="375"/>
      <c r="G74" s="375"/>
      <c r="H74" s="375"/>
      <c r="I74" s="2982"/>
      <c r="J74" s="2984" t="s">
        <v>2495</v>
      </c>
      <c r="K74" s="375"/>
      <c r="L74" s="375"/>
      <c r="M74" s="93" t="str">
        <f>I75&amp;" x "&amp;'Status (c3a)'!L44</f>
        <v>c9.20 x c3a.4</v>
      </c>
      <c r="N74" s="375"/>
      <c r="O74" s="375"/>
      <c r="P74" s="375"/>
      <c r="Q74" s="375"/>
      <c r="R74" s="375"/>
      <c r="S74" s="375"/>
      <c r="T74" s="375"/>
      <c r="U74" s="375"/>
      <c r="V74" s="375"/>
    </row>
    <row r="75" spans="2:22" x14ac:dyDescent="0.2">
      <c r="B75" s="375"/>
      <c r="C75" s="375"/>
      <c r="D75" s="375"/>
      <c r="E75" s="375"/>
      <c r="F75" s="375"/>
      <c r="G75" s="375"/>
      <c r="H75" s="375"/>
      <c r="I75" s="2123" t="str">
        <f>A21</f>
        <v>c9.20</v>
      </c>
      <c r="J75" s="1966">
        <f>IF(OR(non_resident,AND(box_NRD1=TRUE,box_NRD15=FALSE,box_NRD16=FALSE)),0,IF(AND(MAT_IN,HR_case_MAT=0,MCA_claim=1),T_P_A,0))</f>
        <v>0</v>
      </c>
      <c r="K75" s="375"/>
      <c r="L75" s="2123" t="str">
        <f>A22</f>
        <v>c9.21</v>
      </c>
      <c r="M75" s="1966">
        <f>IF(OR(non_resident,AND(box_NRD1=TRUE,box_NRD15=FALSE,box_NRD16=FALSE)),0,J75*'Status (c3a)'!M44)</f>
        <v>0</v>
      </c>
      <c r="N75" s="3054" t="s">
        <v>1707</v>
      </c>
      <c r="O75" s="2982"/>
      <c r="P75" s="375"/>
      <c r="Q75" s="375"/>
      <c r="R75" s="375"/>
      <c r="S75" s="375"/>
      <c r="T75" s="375"/>
      <c r="U75" s="375"/>
      <c r="V75" s="375"/>
    </row>
    <row r="76" spans="2:22" x14ac:dyDescent="0.2">
      <c r="B76" s="375" t="s">
        <v>2495</v>
      </c>
      <c r="C76" s="375"/>
      <c r="D76" s="375"/>
      <c r="E76" s="375"/>
      <c r="F76" s="375"/>
      <c r="G76" s="375"/>
      <c r="H76" s="375"/>
      <c r="I76" s="375"/>
      <c r="J76" s="375"/>
      <c r="K76" s="375"/>
      <c r="L76" s="375"/>
      <c r="M76" s="375"/>
      <c r="N76" s="375"/>
      <c r="O76" s="2982"/>
      <c r="P76" s="375"/>
      <c r="Q76" s="375"/>
      <c r="R76" s="375"/>
      <c r="S76" s="375"/>
      <c r="T76" s="375"/>
      <c r="U76" s="375"/>
      <c r="V76" s="375"/>
    </row>
    <row r="77" spans="2:22" x14ac:dyDescent="0.2">
      <c r="B77" s="375"/>
      <c r="C77" s="375"/>
      <c r="D77" s="375"/>
      <c r="E77" s="375"/>
      <c r="F77" s="375"/>
      <c r="G77" s="375"/>
      <c r="H77" s="375"/>
      <c r="I77" s="375"/>
      <c r="J77" s="669" t="str">
        <f>"from "&amp;'LLIR (c24)'!K80</f>
        <v>from c24.17</v>
      </c>
      <c r="K77" s="375"/>
      <c r="L77" s="375"/>
      <c r="M77" s="669" t="str">
        <f>I78&amp;" x BR_rate ("&amp;BR_rate*100&amp;"%)"</f>
        <v>c9.22 x BR_rate (20%)</v>
      </c>
      <c r="N77" s="375"/>
      <c r="O77" s="2982"/>
      <c r="P77" s="375"/>
      <c r="Q77" s="375"/>
      <c r="R77" s="375"/>
      <c r="S77" s="375"/>
      <c r="T77" s="375"/>
      <c r="U77" s="375"/>
      <c r="V77" s="375"/>
    </row>
    <row r="78" spans="2:22" x14ac:dyDescent="0.2">
      <c r="B78" s="687" t="s">
        <v>6247</v>
      </c>
      <c r="C78" s="375"/>
      <c r="D78" s="375"/>
      <c r="E78" s="375"/>
      <c r="F78" s="375"/>
      <c r="G78" s="375"/>
      <c r="H78" s="375"/>
      <c r="I78" s="2123" t="str">
        <f>A23</f>
        <v>c9.22</v>
      </c>
      <c r="J78" s="1966">
        <f>'LLIR (c24)'!L80</f>
        <v>0</v>
      </c>
      <c r="K78" s="375"/>
      <c r="L78" s="2123" t="str">
        <f>A24</f>
        <v>c9.23</v>
      </c>
      <c r="M78" s="1966">
        <f>TRUNC((J78*BR_rate)+0.0099,2)</f>
        <v>0</v>
      </c>
      <c r="N78" s="1237" t="s">
        <v>1707</v>
      </c>
      <c r="O78" s="2982"/>
      <c r="P78" s="375"/>
      <c r="Q78" s="375"/>
      <c r="R78" s="375"/>
      <c r="S78" s="375"/>
      <c r="T78" s="375"/>
      <c r="U78" s="375"/>
      <c r="V78" s="375"/>
    </row>
    <row r="79" spans="2:22" x14ac:dyDescent="0.2">
      <c r="B79" s="687"/>
      <c r="C79" s="375"/>
      <c r="D79" s="375"/>
      <c r="E79" s="375"/>
      <c r="F79" s="375"/>
      <c r="G79" s="375"/>
      <c r="H79" s="375"/>
      <c r="I79" s="748"/>
      <c r="J79" s="116"/>
      <c r="K79" s="375"/>
      <c r="L79" s="748"/>
      <c r="M79" s="116"/>
      <c r="N79" s="1237"/>
      <c r="O79" s="2982"/>
      <c r="P79" s="375"/>
      <c r="Q79" s="375"/>
      <c r="R79" s="375"/>
      <c r="S79" s="375"/>
      <c r="T79" s="375"/>
      <c r="U79" s="375"/>
      <c r="V79" s="375"/>
    </row>
    <row r="80" spans="2:22" x14ac:dyDescent="0.2">
      <c r="I80" s="380"/>
      <c r="J80" s="128" t="str">
        <f>"from "&amp;AOR&amp;AOR!G20</f>
        <v>from AOR12</v>
      </c>
      <c r="K80" s="375"/>
      <c r="L80" s="380"/>
      <c r="M80" s="128" t="str">
        <f>I81&amp;" x BR_rate ("&amp;BR_rate*100&amp;"%)"</f>
        <v>c9.23a x BR_rate (20%)</v>
      </c>
    </row>
    <row r="81" spans="2:22" x14ac:dyDescent="0.2">
      <c r="B81" s="687"/>
      <c r="I81" s="2123" t="str">
        <f>A25</f>
        <v>c9.23a</v>
      </c>
      <c r="J81" s="1979">
        <f>TRUNC(AOR!H21+0.99,0)</f>
        <v>0</v>
      </c>
      <c r="K81" s="1237" t="s">
        <v>3701</v>
      </c>
      <c r="L81" s="2123" t="str">
        <f>A26</f>
        <v>c9.23b</v>
      </c>
      <c r="M81" s="1979">
        <f>TRUNC((J81*BR_rate)+0.0099,2)</f>
        <v>0</v>
      </c>
      <c r="N81" s="1237" t="s">
        <v>1707</v>
      </c>
    </row>
    <row r="82" spans="2:22" x14ac:dyDescent="0.2">
      <c r="B82" s="687"/>
      <c r="I82" s="748"/>
      <c r="J82" s="2186"/>
      <c r="K82" s="375"/>
      <c r="L82" s="748"/>
      <c r="M82" s="2186"/>
      <c r="N82" s="1237"/>
    </row>
    <row r="83" spans="2:22" x14ac:dyDescent="0.2">
      <c r="B83" s="687"/>
      <c r="I83" s="748"/>
      <c r="J83" s="2186"/>
      <c r="K83" s="375"/>
      <c r="L83" s="748"/>
      <c r="M83" s="2186"/>
      <c r="N83" s="1237"/>
    </row>
    <row r="84" spans="2:22" x14ac:dyDescent="0.2">
      <c r="B84" s="415" t="s">
        <v>1462</v>
      </c>
      <c r="C84" s="375"/>
      <c r="D84" s="375"/>
      <c r="E84" s="375"/>
      <c r="F84" s="375"/>
      <c r="G84" s="375"/>
      <c r="H84" s="375"/>
      <c r="I84" s="375"/>
      <c r="J84" s="375"/>
      <c r="K84" s="375"/>
      <c r="L84" s="375"/>
      <c r="M84" s="128"/>
      <c r="N84" s="375"/>
      <c r="O84" s="2982"/>
      <c r="P84" s="375"/>
      <c r="Q84" s="375"/>
      <c r="R84" s="375"/>
      <c r="S84" s="375"/>
      <c r="T84" s="375"/>
      <c r="U84" s="375"/>
      <c r="V84" s="375"/>
    </row>
    <row r="85" spans="2:22" x14ac:dyDescent="0.2">
      <c r="B85" s="415"/>
      <c r="C85" s="375"/>
      <c r="D85" s="375"/>
      <c r="E85" s="375"/>
      <c r="F85" s="375"/>
      <c r="G85" s="375"/>
      <c r="H85" s="375"/>
      <c r="I85" s="375"/>
      <c r="J85" s="128" t="str">
        <f>"from "&amp;'Taxable (c5)'!BA275</f>
        <v>from c5.82</v>
      </c>
      <c r="K85" s="414"/>
      <c r="L85" s="380"/>
      <c r="M85" s="128" t="str">
        <f>I86&amp;" x BR_rate ("&amp;BR_rate * 100&amp;"%)"</f>
        <v>c9.24 x BR_rate (20%)</v>
      </c>
      <c r="N85" s="375"/>
      <c r="O85" s="2982"/>
      <c r="P85" s="375"/>
      <c r="Q85" s="375"/>
      <c r="R85" s="375"/>
      <c r="S85" s="375"/>
      <c r="T85" s="375"/>
      <c r="U85" s="375"/>
      <c r="V85" s="375"/>
    </row>
    <row r="86" spans="2:22" x14ac:dyDescent="0.2">
      <c r="B86" s="744" t="s">
        <v>820</v>
      </c>
      <c r="C86" s="375"/>
      <c r="D86" s="37"/>
      <c r="E86" s="375"/>
      <c r="F86" s="375"/>
      <c r="G86" s="375"/>
      <c r="H86" s="375"/>
      <c r="I86" s="2123" t="str">
        <f>A27</f>
        <v>c9.24</v>
      </c>
      <c r="J86" s="1978">
        <f>'Taxable (c5)'!BB275</f>
        <v>0</v>
      </c>
      <c r="K86" s="375"/>
      <c r="L86" s="2123" t="str">
        <f>A28</f>
        <v>c9.25</v>
      </c>
      <c r="M86" s="1979">
        <f>TRUNC((J86*BR_rate)+0.0099,2)</f>
        <v>0</v>
      </c>
      <c r="N86" s="1237" t="s">
        <v>1707</v>
      </c>
      <c r="O86" s="2982"/>
      <c r="P86" s="375"/>
      <c r="Q86" s="375"/>
      <c r="R86" s="375"/>
      <c r="S86" s="375"/>
      <c r="T86" s="375"/>
      <c r="U86" s="375"/>
      <c r="V86" s="375"/>
    </row>
    <row r="87" spans="2:22" x14ac:dyDescent="0.2">
      <c r="B87" s="375"/>
      <c r="C87" s="375"/>
      <c r="D87" s="375"/>
      <c r="E87" s="375"/>
      <c r="F87" s="375"/>
      <c r="G87" s="375"/>
      <c r="H87" s="375"/>
      <c r="I87" s="375"/>
      <c r="J87" s="375"/>
      <c r="M87" s="375"/>
      <c r="N87" s="375"/>
      <c r="O87" s="121"/>
      <c r="P87" s="375"/>
      <c r="Q87" s="375"/>
      <c r="R87" s="375"/>
      <c r="S87" s="375"/>
      <c r="T87" s="375"/>
      <c r="U87" s="375"/>
      <c r="V87" s="375"/>
    </row>
    <row r="88" spans="2:22" x14ac:dyDescent="0.2">
      <c r="B88" s="742"/>
      <c r="C88" s="375"/>
      <c r="D88" s="375"/>
      <c r="E88" s="375"/>
      <c r="F88" s="375"/>
      <c r="G88" s="375"/>
      <c r="H88" s="375"/>
      <c r="I88" s="375"/>
      <c r="J88" s="128" t="str">
        <f>"from  "&amp;'Notional (c21c23)'!J23</f>
        <v>from  c21.10</v>
      </c>
      <c r="K88" s="375"/>
      <c r="L88" s="375"/>
      <c r="N88" s="375"/>
      <c r="O88" s="121"/>
      <c r="P88" s="375"/>
      <c r="Q88" s="375"/>
      <c r="R88" s="375"/>
      <c r="S88" s="375"/>
      <c r="T88" s="375"/>
      <c r="U88" s="375"/>
      <c r="V88" s="375"/>
    </row>
    <row r="89" spans="2:22" x14ac:dyDescent="0.2">
      <c r="B89" s="3941"/>
      <c r="C89" s="1479"/>
      <c r="D89" s="375"/>
      <c r="E89" s="375"/>
      <c r="F89" s="375"/>
      <c r="G89" s="375"/>
      <c r="H89" s="375"/>
      <c r="I89" s="2293" t="str">
        <f>A29</f>
        <v>c9.26</v>
      </c>
      <c r="J89" s="2298">
        <f>'Notional (c21c23)'!K23</f>
        <v>0</v>
      </c>
      <c r="K89" s="375"/>
      <c r="L89" s="375"/>
      <c r="N89" s="375"/>
      <c r="O89" s="121"/>
      <c r="P89" s="375"/>
      <c r="Q89" s="375"/>
      <c r="R89" s="375"/>
      <c r="S89" s="375"/>
      <c r="T89" s="375"/>
      <c r="U89" s="375"/>
      <c r="V89" s="375"/>
    </row>
    <row r="90" spans="2:22" x14ac:dyDescent="0.2">
      <c r="B90" s="2176"/>
      <c r="C90" s="375"/>
      <c r="D90" s="375"/>
      <c r="E90" s="375"/>
      <c r="F90" s="375"/>
      <c r="G90" s="375"/>
      <c r="H90" s="375"/>
      <c r="I90" s="375"/>
      <c r="J90" s="375"/>
      <c r="K90" s="375"/>
      <c r="L90" s="375"/>
      <c r="M90" s="375"/>
      <c r="N90" s="375"/>
      <c r="O90" s="121"/>
      <c r="P90" s="375"/>
      <c r="Q90" s="375"/>
      <c r="R90" s="375"/>
      <c r="S90" s="375"/>
      <c r="T90" s="375"/>
      <c r="U90" s="375"/>
      <c r="V90" s="375"/>
    </row>
    <row r="91" spans="2:22" x14ac:dyDescent="0.2">
      <c r="B91" s="2176"/>
      <c r="C91" s="375"/>
      <c r="D91" s="375"/>
      <c r="E91" s="375"/>
      <c r="F91" s="375"/>
      <c r="G91" s="375"/>
      <c r="H91" s="375"/>
      <c r="I91" s="375"/>
      <c r="J91" s="128" t="str">
        <f>"from  "&amp;'Notional (c21c23)'!J52</f>
        <v>from  c22.12</v>
      </c>
      <c r="K91" s="375"/>
      <c r="L91" s="375"/>
      <c r="M91" s="375"/>
      <c r="N91" s="375"/>
      <c r="O91" s="121"/>
      <c r="P91" s="375"/>
      <c r="Q91" s="375"/>
      <c r="R91" s="375"/>
      <c r="S91" s="375"/>
      <c r="T91" s="375"/>
      <c r="U91" s="375"/>
      <c r="V91" s="375"/>
    </row>
    <row r="92" spans="2:22" x14ac:dyDescent="0.2">
      <c r="B92" s="2176" t="s">
        <v>7000</v>
      </c>
      <c r="C92" s="375"/>
      <c r="D92" s="375"/>
      <c r="E92" s="375"/>
      <c r="F92" s="375"/>
      <c r="G92" s="375"/>
      <c r="H92" s="375"/>
      <c r="I92" s="2123" t="str">
        <f>A30</f>
        <v>c9.27</v>
      </c>
      <c r="J92" s="1979">
        <f>'Notional (c21c23)'!K52</f>
        <v>0</v>
      </c>
      <c r="K92" s="375"/>
      <c r="L92" s="375"/>
      <c r="M92" s="375"/>
      <c r="N92" s="375"/>
      <c r="O92" s="121"/>
      <c r="P92" s="375"/>
      <c r="Q92" s="375"/>
      <c r="R92" s="375"/>
      <c r="S92" s="375"/>
      <c r="T92" s="375"/>
      <c r="U92" s="375"/>
      <c r="V92" s="375"/>
    </row>
    <row r="93" spans="2:22" x14ac:dyDescent="0.2">
      <c r="B93" s="375"/>
      <c r="C93" s="375"/>
      <c r="D93" s="375"/>
      <c r="E93" s="375"/>
      <c r="F93" s="375"/>
      <c r="G93" s="375"/>
      <c r="H93" s="375"/>
      <c r="I93" s="375"/>
      <c r="J93" s="375"/>
      <c r="K93" s="375"/>
      <c r="L93" s="375"/>
      <c r="M93" s="375"/>
      <c r="N93" s="375"/>
      <c r="O93" s="375"/>
      <c r="P93" s="375"/>
      <c r="Q93" s="375"/>
      <c r="R93" s="375"/>
      <c r="S93" s="375"/>
      <c r="T93" s="375"/>
      <c r="U93" s="375"/>
      <c r="V93" s="375"/>
    </row>
    <row r="94" spans="2:22" x14ac:dyDescent="0.2">
      <c r="B94" s="1479"/>
      <c r="C94" s="1479"/>
      <c r="D94" s="1479"/>
      <c r="E94" s="1479"/>
      <c r="F94" s="1479"/>
      <c r="G94" s="1479"/>
      <c r="H94" s="1479"/>
      <c r="I94" s="375"/>
      <c r="J94" s="375"/>
      <c r="K94" s="1479"/>
      <c r="L94" s="375"/>
      <c r="M94" s="128" t="str">
        <f>I89&amp;" + "&amp;I92</f>
        <v>c9.26 + c9.27</v>
      </c>
      <c r="N94" s="375"/>
      <c r="O94" s="375"/>
      <c r="P94" s="375"/>
      <c r="Q94" s="375"/>
      <c r="R94" s="375"/>
      <c r="S94" s="375"/>
      <c r="T94" s="375"/>
      <c r="U94" s="375"/>
      <c r="V94" s="375"/>
    </row>
    <row r="95" spans="2:22" x14ac:dyDescent="0.2">
      <c r="B95" s="1479"/>
      <c r="C95" s="1479"/>
      <c r="D95" s="1479"/>
      <c r="E95" s="1479"/>
      <c r="F95" s="1479"/>
      <c r="G95" s="1479"/>
      <c r="H95" s="1479"/>
      <c r="I95" s="375"/>
      <c r="J95" s="375"/>
      <c r="K95" s="1479"/>
      <c r="L95" s="2123" t="str">
        <f>A31</f>
        <v>c9.28</v>
      </c>
      <c r="M95" s="2298">
        <f>J89+J92</f>
        <v>0</v>
      </c>
      <c r="N95" s="375"/>
      <c r="O95" s="375"/>
      <c r="P95" s="375"/>
      <c r="Q95" s="375"/>
      <c r="R95" s="375"/>
      <c r="S95" s="375"/>
      <c r="T95" s="375"/>
      <c r="U95" s="375"/>
      <c r="V95" s="375"/>
    </row>
    <row r="96" spans="2:22" x14ac:dyDescent="0.2">
      <c r="B96" s="1479"/>
      <c r="C96" s="1479"/>
      <c r="D96" s="1479"/>
      <c r="E96" s="1479"/>
      <c r="F96" s="1479"/>
      <c r="G96" s="1479"/>
      <c r="H96" s="1479"/>
      <c r="I96" s="1479"/>
      <c r="J96" s="1479"/>
      <c r="K96" s="1479"/>
      <c r="L96" s="375"/>
      <c r="M96" s="375"/>
      <c r="N96" s="375"/>
      <c r="O96" s="375"/>
      <c r="P96" s="375"/>
      <c r="Q96" s="375"/>
      <c r="R96" s="375"/>
      <c r="S96" s="375"/>
      <c r="T96" s="375"/>
      <c r="U96" s="375"/>
      <c r="V96" s="375"/>
    </row>
    <row r="97" spans="2:22" x14ac:dyDescent="0.2">
      <c r="B97" s="375"/>
      <c r="C97" s="375"/>
      <c r="D97" s="375"/>
      <c r="E97" s="375"/>
      <c r="F97" s="375"/>
      <c r="G97" s="375"/>
      <c r="H97" s="375"/>
      <c r="I97" s="375"/>
      <c r="J97" s="375"/>
      <c r="K97" s="375"/>
      <c r="L97" s="375"/>
      <c r="M97" s="669" t="str">
        <f>"from "&amp;'Notional (c21c23)'!J77</f>
        <v>from c23.11</v>
      </c>
      <c r="N97" s="375"/>
      <c r="O97" s="375"/>
      <c r="P97" s="375"/>
      <c r="Q97" s="375"/>
      <c r="R97" s="375"/>
      <c r="S97" s="375"/>
      <c r="T97" s="375"/>
      <c r="U97" s="375"/>
      <c r="V97" s="375"/>
    </row>
    <row r="98" spans="2:22" x14ac:dyDescent="0.2">
      <c r="B98" s="740" t="s">
        <v>2416</v>
      </c>
      <c r="C98" s="375"/>
      <c r="D98" s="375"/>
      <c r="E98" s="375"/>
      <c r="F98" s="375"/>
      <c r="G98" s="375"/>
      <c r="H98" s="375"/>
      <c r="I98" s="375"/>
      <c r="J98" s="375"/>
      <c r="K98" s="375"/>
      <c r="L98" s="2123" t="str">
        <f>A32</f>
        <v>c9.29</v>
      </c>
      <c r="M98" s="1979">
        <f>'Notional (c21c23)'!K77</f>
        <v>0</v>
      </c>
      <c r="N98" s="375"/>
      <c r="O98" s="375"/>
      <c r="P98" s="375"/>
      <c r="Q98" s="375"/>
      <c r="R98" s="375"/>
      <c r="S98" s="375"/>
      <c r="T98" s="375"/>
      <c r="U98" s="375"/>
      <c r="V98" s="375"/>
    </row>
    <row r="99" spans="2:22" x14ac:dyDescent="0.2">
      <c r="B99" s="375"/>
      <c r="C99" s="375"/>
      <c r="D99" s="375"/>
      <c r="E99" s="375"/>
      <c r="F99" s="375"/>
      <c r="G99" s="375"/>
      <c r="H99" s="375"/>
      <c r="I99" s="375"/>
      <c r="J99" s="669"/>
      <c r="K99" s="375"/>
      <c r="L99" s="375"/>
      <c r="M99" s="375"/>
      <c r="N99" s="375"/>
      <c r="O99" s="375"/>
      <c r="P99" s="375"/>
      <c r="Q99" s="375"/>
      <c r="R99" s="375"/>
      <c r="S99" s="375"/>
      <c r="T99" s="375"/>
      <c r="U99" s="375"/>
      <c r="V99" s="375"/>
    </row>
    <row r="100" spans="2:22" x14ac:dyDescent="0.2">
      <c r="B100" s="375"/>
      <c r="C100" s="375"/>
      <c r="D100" s="375"/>
      <c r="E100" s="375"/>
      <c r="F100" s="375"/>
      <c r="G100" s="375"/>
      <c r="H100" s="375"/>
      <c r="I100" s="3874"/>
      <c r="J100" s="3874"/>
      <c r="K100" s="128"/>
      <c r="L100" s="128"/>
      <c r="M100" s="128" t="str">
        <f><![CDATA[L5&" minus ("&L30&" + "&L33&" + "&L57&" + "&L75&" + "&L78&" + "&L81&" + "&L86&" + "&L95&" + "&L98&")"]]></f>
        <v>c9.1 minus (c9.14 + c9.15a + c9.19 + c9.21 + c9.23 + c9.23b + c9.25 + c9.28 + c9.29)</v>
      </c>
      <c r="N100" s="375"/>
      <c r="O100" s="375"/>
      <c r="P100" s="375"/>
      <c r="Q100" s="375"/>
      <c r="R100" s="375"/>
      <c r="S100" s="375"/>
      <c r="T100" s="375"/>
      <c r="U100" s="375"/>
      <c r="V100" s="375"/>
    </row>
    <row r="101" spans="2:22" x14ac:dyDescent="0.2">
      <c r="B101" s="740" t="s">
        <v>1408</v>
      </c>
      <c r="C101" s="375"/>
      <c r="D101" s="375"/>
      <c r="E101" s="375"/>
      <c r="F101" s="375"/>
      <c r="G101" s="375"/>
      <c r="H101" s="375"/>
      <c r="I101" s="375"/>
      <c r="J101" s="375"/>
      <c r="K101" s="375"/>
      <c r="L101" s="2128" t="str">
        <f>A33</f>
        <v>c9.30</v>
      </c>
      <c r="M101" s="1966">
        <f>MAX(0,M5-(M30+M33+M57+M75+M78+M81+M86+M95+M98))</f>
        <v>11292.21</v>
      </c>
      <c r="N101" s="375"/>
      <c r="O101" s="375"/>
      <c r="P101" s="375"/>
      <c r="Q101" s="375"/>
      <c r="R101" s="375"/>
      <c r="S101" s="375"/>
      <c r="T101" s="375"/>
      <c r="U101" s="375"/>
      <c r="V101" s="375"/>
    </row>
    <row r="102" spans="2:22" x14ac:dyDescent="0.2">
      <c r="B102" s="375"/>
      <c r="C102" s="375"/>
      <c r="D102" s="375"/>
      <c r="E102" s="375"/>
      <c r="F102" s="375"/>
      <c r="G102" s="375"/>
      <c r="H102" s="375"/>
      <c r="I102" s="375"/>
      <c r="J102" s="669"/>
      <c r="K102" s="375"/>
      <c r="L102" s="375"/>
      <c r="M102" s="375"/>
      <c r="N102" s="375"/>
      <c r="O102" s="375"/>
      <c r="P102" s="375"/>
      <c r="Q102" s="375"/>
      <c r="R102" s="375"/>
      <c r="S102" s="375"/>
      <c r="T102" s="375"/>
      <c r="U102" s="375"/>
      <c r="V102" s="375"/>
    </row>
    <row r="103" spans="2:22" x14ac:dyDescent="0.2">
      <c r="B103" s="375"/>
      <c r="C103" s="375"/>
      <c r="D103" s="375"/>
      <c r="E103" s="375"/>
      <c r="F103" s="375"/>
      <c r="G103" s="375"/>
      <c r="H103" s="375"/>
      <c r="I103" s="375"/>
      <c r="J103" s="375"/>
      <c r="K103" s="375"/>
      <c r="L103" s="375"/>
      <c r="M103" s="737" t="str">
        <f>"from "&amp;FOR&amp;FOR!C10</f>
        <v>from FOR2</v>
      </c>
      <c r="N103" s="375"/>
      <c r="O103" s="375"/>
      <c r="P103" s="375"/>
      <c r="Q103" s="375"/>
      <c r="R103" s="375"/>
      <c r="S103" s="375"/>
      <c r="T103" s="375"/>
      <c r="U103" s="375"/>
      <c r="V103" s="375"/>
    </row>
    <row r="104" spans="2:22" x14ac:dyDescent="0.2">
      <c r="B104" s="687" t="s">
        <v>3765</v>
      </c>
      <c r="C104" s="375"/>
      <c r="D104" s="375"/>
      <c r="E104" s="375"/>
      <c r="F104" s="375"/>
      <c r="G104" s="375"/>
      <c r="H104" s="375"/>
      <c r="I104" s="375"/>
      <c r="J104" s="128"/>
      <c r="K104" s="375"/>
      <c r="L104" s="2123" t="str">
        <f>A34</f>
        <v>c9.31</v>
      </c>
      <c r="M104" s="1966">
        <f>FOR!D11+'Swiss (SW)'!M73</f>
        <v>0</v>
      </c>
      <c r="N104" s="375"/>
      <c r="O104" s="375"/>
      <c r="P104" s="375"/>
      <c r="Q104" s="375"/>
      <c r="R104" s="375"/>
      <c r="S104" s="375"/>
      <c r="T104" s="375"/>
      <c r="U104" s="375"/>
      <c r="V104" s="375"/>
    </row>
    <row r="105" spans="2:22" x14ac:dyDescent="0.2">
      <c r="B105" s="375"/>
      <c r="C105" s="375"/>
      <c r="D105" s="375"/>
      <c r="E105" s="375"/>
      <c r="F105" s="375"/>
      <c r="G105" s="375"/>
      <c r="H105" s="375"/>
      <c r="I105" s="375"/>
      <c r="J105" s="375"/>
      <c r="K105" s="375"/>
      <c r="L105" s="375"/>
      <c r="M105" s="375"/>
      <c r="N105" s="375"/>
      <c r="P105" s="375"/>
      <c r="Q105" s="375"/>
      <c r="R105" s="375"/>
      <c r="S105" s="375"/>
      <c r="T105" s="375"/>
      <c r="U105" s="375"/>
      <c r="V105" s="375"/>
    </row>
    <row r="106" spans="2:22" x14ac:dyDescent="0.2">
      <c r="K106" s="3455"/>
      <c r="L106" s="3455"/>
      <c r="M106" s="3456" t="s">
        <v>4039</v>
      </c>
      <c r="N106" s="375"/>
      <c r="U106" s="375"/>
      <c r="V106" s="375"/>
    </row>
    <row r="107" spans="2:22" x14ac:dyDescent="0.2">
      <c r="M107" s="3456" t="str">
        <f>L111&amp;" = "&amp;'non-res (c91)'!R116</f>
        <v>c9.31a = c91.35</v>
      </c>
      <c r="N107" s="375"/>
      <c r="U107" s="375"/>
      <c r="V107" s="375"/>
    </row>
    <row r="108" spans="2:22" x14ac:dyDescent="0.2">
      <c r="M108" s="3455" t="s">
        <v>2386</v>
      </c>
      <c r="N108" s="375"/>
      <c r="P108" s="375"/>
      <c r="Q108" s="375"/>
      <c r="R108" s="375"/>
      <c r="S108" s="375"/>
      <c r="T108" s="375"/>
      <c r="U108" s="375"/>
      <c r="V108" s="375"/>
    </row>
    <row r="109" spans="2:22" x14ac:dyDescent="0.2">
      <c r="M109" s="3456" t="str">
        <f>L111&amp;" = 0 (zero)"</f>
        <v>c9.31a = 0 (zero)</v>
      </c>
      <c r="N109" s="375"/>
      <c r="P109" s="375"/>
      <c r="Q109" s="375"/>
      <c r="R109" s="375"/>
      <c r="S109" s="375"/>
      <c r="T109" s="375"/>
      <c r="U109" s="375"/>
      <c r="V109" s="375"/>
    </row>
    <row r="110" spans="2:22" x14ac:dyDescent="0.2">
      <c r="M110" s="3455" t="s">
        <v>2495</v>
      </c>
      <c r="N110" s="375"/>
      <c r="P110" s="375"/>
      <c r="Q110" s="375"/>
      <c r="R110" s="375"/>
      <c r="S110" s="375"/>
      <c r="T110" s="375"/>
      <c r="U110" s="375"/>
      <c r="V110" s="375"/>
    </row>
    <row r="111" spans="2:22" x14ac:dyDescent="0.2">
      <c r="B111" s="3455" t="s">
        <v>7959</v>
      </c>
      <c r="C111" s="3455"/>
      <c r="D111" s="3455"/>
      <c r="E111" s="3455"/>
      <c r="F111" s="3455"/>
      <c r="G111" s="3455"/>
      <c r="L111" s="3454" t="str">
        <f>A35</f>
        <v>c9.31a</v>
      </c>
      <c r="M111" s="1965">
        <f>IF(non_resident,'non-res (c91)'!S116,0)</f>
        <v>0</v>
      </c>
      <c r="N111" s="375"/>
      <c r="P111" s="375"/>
      <c r="Q111" s="375"/>
      <c r="R111" s="375"/>
      <c r="S111" s="375"/>
      <c r="T111" s="375"/>
      <c r="U111" s="375"/>
      <c r="V111" s="375"/>
    </row>
    <row r="112" spans="2:22" x14ac:dyDescent="0.2">
      <c r="N112" s="375"/>
      <c r="P112" s="375"/>
      <c r="Q112" s="375"/>
      <c r="R112" s="375"/>
      <c r="S112" s="375"/>
      <c r="T112" s="375"/>
      <c r="U112" s="375"/>
      <c r="V112" s="375"/>
    </row>
    <row r="113" spans="2:22" x14ac:dyDescent="0.2">
      <c r="M113" s="3456" t="str">
        <f>"from "&amp;'Div Cr (c10)'!I21</f>
        <v>from c10.5</v>
      </c>
      <c r="P113" s="375"/>
      <c r="Q113" s="375"/>
      <c r="R113" s="375"/>
      <c r="S113" s="375"/>
      <c r="T113" s="375"/>
      <c r="U113" s="375"/>
      <c r="V113" s="375"/>
    </row>
    <row r="114" spans="2:22" x14ac:dyDescent="0.2">
      <c r="B114" s="3455" t="s">
        <v>8527</v>
      </c>
      <c r="C114" s="3455"/>
      <c r="D114" s="3455"/>
      <c r="E114" s="3455"/>
      <c r="F114" s="3455"/>
      <c r="G114" s="3455"/>
      <c r="L114" s="3454" t="str">
        <f>A36</f>
        <v>c9.31b</v>
      </c>
      <c r="M114" s="1965">
        <f>'Div Cr (c10)'!J21</f>
        <v>0</v>
      </c>
      <c r="P114" s="375"/>
      <c r="Q114" s="375"/>
      <c r="R114" s="375"/>
      <c r="S114" s="375"/>
      <c r="T114" s="375"/>
      <c r="U114" s="375"/>
      <c r="V114" s="375"/>
    </row>
    <row r="115" spans="2:22" x14ac:dyDescent="0.2">
      <c r="P115" s="375"/>
      <c r="Q115" s="375"/>
      <c r="R115" s="375"/>
      <c r="S115" s="375"/>
      <c r="T115" s="375"/>
      <c r="U115" s="375"/>
      <c r="V115" s="375"/>
    </row>
    <row r="116" spans="2:22" x14ac:dyDescent="0.2">
      <c r="I116" s="2177"/>
      <c r="J116" s="2177"/>
      <c r="K116" s="4203"/>
      <c r="L116" s="4203"/>
      <c r="M116" s="4204" t="str">
        <f><![CDATA["("&L101&" + "&L111&") minus ("&L104&" + "&L114&")"]]></f>
        <v>(c9.30 + c9.31a) minus (c9.31 + c9.31b)</v>
      </c>
      <c r="N116" s="375"/>
      <c r="P116" s="375"/>
      <c r="Q116" s="375"/>
      <c r="R116" s="375"/>
      <c r="S116" s="375"/>
      <c r="T116" s="375"/>
      <c r="U116" s="375"/>
      <c r="V116" s="375"/>
    </row>
    <row r="117" spans="2:22" x14ac:dyDescent="0.2">
      <c r="I117" s="2177"/>
      <c r="J117" s="2177"/>
      <c r="K117" s="1033" t="s">
        <v>4174</v>
      </c>
      <c r="L117" s="2130" t="str">
        <f>A37</f>
        <v>c9.32</v>
      </c>
      <c r="M117" s="2127">
        <f>MAX(0,(UK_FTCR+M111)-(M104+M114))</f>
        <v>11292.21</v>
      </c>
      <c r="N117" s="375"/>
      <c r="P117" s="375"/>
      <c r="Q117" s="375"/>
      <c r="R117" s="375"/>
      <c r="S117" s="375"/>
      <c r="T117" s="375"/>
      <c r="U117" s="375"/>
      <c r="V117" s="375"/>
    </row>
    <row r="118" spans="2:22" x14ac:dyDescent="0.2">
      <c r="L118" s="748"/>
      <c r="M118" s="2308"/>
      <c r="N118" s="375"/>
      <c r="P118" s="375"/>
      <c r="Q118" s="375"/>
      <c r="R118" s="375"/>
      <c r="S118" s="375"/>
      <c r="T118" s="375"/>
      <c r="U118" s="375"/>
      <c r="V118" s="375"/>
    </row>
    <row r="119" spans="2:22" x14ac:dyDescent="0.2">
      <c r="B119" s="733" t="s">
        <v>2556</v>
      </c>
      <c r="C119" s="375"/>
      <c r="D119" s="375"/>
      <c r="E119" s="375"/>
      <c r="F119" s="375"/>
      <c r="G119" s="375"/>
      <c r="H119" s="375"/>
      <c r="I119" s="375"/>
      <c r="J119" s="375"/>
      <c r="K119" s="375"/>
      <c r="L119" s="375"/>
      <c r="M119" s="375"/>
      <c r="N119" s="375"/>
      <c r="P119" s="121"/>
      <c r="Q119" s="121"/>
      <c r="R119" s="375"/>
      <c r="S119" s="375"/>
      <c r="T119" s="375"/>
      <c r="U119" s="375"/>
      <c r="V119" s="375"/>
    </row>
    <row r="120" spans="2:22" x14ac:dyDescent="0.2">
      <c r="B120" s="2684" t="s">
        <v>4977</v>
      </c>
      <c r="C120" s="375"/>
      <c r="D120" s="375"/>
      <c r="E120" s="375"/>
      <c r="F120" s="375"/>
      <c r="G120" s="375"/>
      <c r="H120" s="375"/>
      <c r="I120" s="375"/>
      <c r="J120" s="375"/>
      <c r="K120" s="375"/>
      <c r="L120" s="375"/>
      <c r="M120" s="375"/>
      <c r="N120" s="375"/>
      <c r="O120" s="375"/>
      <c r="P120" s="121"/>
      <c r="Q120" s="121"/>
      <c r="R120" s="375"/>
      <c r="S120" s="375"/>
      <c r="T120" s="375"/>
      <c r="U120" s="375"/>
      <c r="V120" s="375"/>
    </row>
    <row r="121" spans="2:22" x14ac:dyDescent="0.2">
      <c r="B121" s="2684" t="s">
        <v>4978</v>
      </c>
      <c r="C121" s="375"/>
      <c r="D121" s="375"/>
      <c r="E121" s="375"/>
      <c r="F121" s="375"/>
      <c r="G121" s="375"/>
      <c r="H121" s="375"/>
      <c r="I121" s="375"/>
      <c r="J121" s="375"/>
      <c r="K121" s="414"/>
      <c r="L121" s="375"/>
      <c r="M121" s="116"/>
      <c r="N121" s="375"/>
      <c r="O121" s="375"/>
      <c r="P121" s="121"/>
      <c r="Q121" s="121"/>
      <c r="R121" s="375"/>
      <c r="S121" s="375"/>
      <c r="T121" s="375"/>
      <c r="U121" s="375"/>
      <c r="V121" s="375"/>
    </row>
    <row r="122" spans="2:22" x14ac:dyDescent="0.2">
      <c r="B122" s="2684" t="s">
        <v>4979</v>
      </c>
      <c r="C122" s="375"/>
      <c r="D122" s="375"/>
      <c r="E122" s="375"/>
      <c r="F122" s="375"/>
      <c r="G122" s="375"/>
      <c r="H122" s="375"/>
      <c r="I122" s="375"/>
      <c r="J122" s="375"/>
      <c r="K122" s="375"/>
      <c r="L122" s="375"/>
      <c r="M122" s="375"/>
      <c r="N122" s="375"/>
      <c r="O122" s="375"/>
      <c r="P122" s="121"/>
      <c r="Q122" s="121"/>
      <c r="R122" s="375"/>
      <c r="S122" s="375"/>
      <c r="T122" s="375"/>
      <c r="U122" s="375"/>
      <c r="V122" s="375"/>
    </row>
    <row r="123" spans="2:22" x14ac:dyDescent="0.2">
      <c r="B123" s="2684" t="s">
        <v>4980</v>
      </c>
      <c r="C123" s="375"/>
      <c r="D123" s="375"/>
      <c r="E123" s="375"/>
      <c r="F123" s="375"/>
      <c r="G123" s="375"/>
      <c r="H123" s="375"/>
      <c r="I123" s="375"/>
      <c r="J123" s="375"/>
      <c r="K123" s="375"/>
      <c r="L123" s="375"/>
      <c r="M123" s="375"/>
      <c r="N123" s="375"/>
      <c r="O123" s="375"/>
      <c r="P123" s="121"/>
      <c r="Q123" s="121"/>
      <c r="R123" s="375"/>
      <c r="S123" s="375"/>
      <c r="T123" s="375"/>
      <c r="U123" s="375"/>
      <c r="V123" s="375"/>
    </row>
    <row r="124" spans="2:22" x14ac:dyDescent="0.2">
      <c r="B124" s="375"/>
      <c r="C124" s="375"/>
      <c r="D124" s="669" t="str">
        <f>"from "&amp;'Deductions (c4)'!H197</f>
        <v>from c4.57</v>
      </c>
      <c r="E124" s="375"/>
      <c r="F124" s="375"/>
      <c r="G124" s="128" t="str">
        <f>C125&amp;" x BR_rate ("&amp;BR_rate * 100&amp;"%)"</f>
        <v>c9.33 x BR_rate (20%)</v>
      </c>
      <c r="H124" s="375"/>
      <c r="I124" s="375"/>
      <c r="J124" s="375"/>
      <c r="K124" s="375"/>
      <c r="L124" s="375"/>
      <c r="M124" s="375"/>
      <c r="N124" s="375"/>
      <c r="O124" s="375"/>
      <c r="P124" s="121"/>
      <c r="Q124" s="121"/>
      <c r="R124" s="375"/>
      <c r="S124" s="375"/>
      <c r="T124" s="375"/>
      <c r="U124" s="375"/>
      <c r="V124" s="375"/>
    </row>
    <row r="125" spans="2:22" x14ac:dyDescent="0.2">
      <c r="B125" s="684" t="s">
        <v>538</v>
      </c>
      <c r="C125" s="2123" t="str">
        <f>A38</f>
        <v>c9.33</v>
      </c>
      <c r="D125" s="2075">
        <f>'Deductions (c4)'!I197</f>
        <v>625</v>
      </c>
      <c r="E125" s="2178"/>
      <c r="F125" s="2123" t="str">
        <f>A39</f>
        <v>c9.34</v>
      </c>
      <c r="G125" s="1965">
        <f>TRUNC(D125*BR_rate,0)</f>
        <v>125</v>
      </c>
      <c r="H125" s="2178" t="s">
        <v>1743</v>
      </c>
      <c r="I125" s="375"/>
      <c r="J125" s="375"/>
      <c r="K125" s="375"/>
      <c r="L125" s="375"/>
      <c r="M125" s="375"/>
      <c r="N125" s="375"/>
      <c r="O125" s="375"/>
      <c r="P125" s="121"/>
      <c r="Q125" s="121"/>
      <c r="R125" s="375"/>
      <c r="S125" s="375"/>
      <c r="T125" s="375"/>
      <c r="U125" s="375"/>
      <c r="V125" s="375"/>
    </row>
    <row r="126" spans="2:22" x14ac:dyDescent="0.2">
      <c r="B126" s="375"/>
      <c r="C126" s="375"/>
      <c r="D126" s="375"/>
      <c r="E126" s="375"/>
      <c r="F126" s="375"/>
      <c r="G126" s="375"/>
      <c r="H126" s="375"/>
      <c r="I126" s="375"/>
      <c r="J126" s="375"/>
      <c r="K126" s="375"/>
      <c r="L126" s="375"/>
      <c r="M126" s="375"/>
      <c r="N126" s="375"/>
      <c r="P126" s="37"/>
      <c r="Q126" s="37"/>
      <c r="R126" s="375"/>
      <c r="S126" s="375"/>
      <c r="T126" s="375"/>
      <c r="U126" s="375"/>
      <c r="V126" s="375"/>
    </row>
    <row r="127" spans="2:22" x14ac:dyDescent="0.2">
      <c r="B127" s="375"/>
      <c r="C127" s="375"/>
      <c r="D127" s="375"/>
      <c r="E127" s="375"/>
      <c r="F127" s="375"/>
      <c r="G127" s="1042" t="str">
        <f>'CG (c18)'!W142&amp;" + "&amp;'CG (c18)'!W145&amp;" + "&amp;'CG (c18)'!W148</f>
        <v>c18.56 + c18.57 + c18.58</v>
      </c>
      <c r="H127" s="375"/>
      <c r="I127" s="375"/>
      <c r="J127" s="375"/>
      <c r="K127" s="375"/>
      <c r="L127" s="375"/>
      <c r="M127" s="375"/>
      <c r="N127" s="375"/>
      <c r="O127" s="37"/>
      <c r="P127" s="37"/>
      <c r="Q127" s="37"/>
      <c r="R127" s="375"/>
      <c r="S127" s="375"/>
      <c r="T127" s="375"/>
      <c r="U127" s="375"/>
      <c r="V127" s="375"/>
    </row>
    <row r="128" spans="2:22" x14ac:dyDescent="0.2">
      <c r="B128" s="687" t="s">
        <v>1784</v>
      </c>
      <c r="C128" s="375"/>
      <c r="D128" s="375"/>
      <c r="E128" s="375"/>
      <c r="F128" s="2123" t="str">
        <f>A40</f>
        <v>c9.35</v>
      </c>
      <c r="G128" s="1966">
        <f>'CG (c18)'!X142+'CG (c18)'!X145+'CG (c18)'!X148</f>
        <v>0</v>
      </c>
      <c r="H128" s="375"/>
      <c r="I128" s="375"/>
      <c r="J128" s="375"/>
      <c r="K128" s="375"/>
      <c r="L128" s="375"/>
      <c r="M128" s="375"/>
      <c r="N128" s="375"/>
      <c r="O128" s="37"/>
      <c r="P128" s="37"/>
      <c r="Q128" s="37"/>
      <c r="R128" s="375"/>
      <c r="S128" s="375"/>
      <c r="T128" s="375"/>
      <c r="U128" s="375"/>
      <c r="V128" s="375"/>
    </row>
    <row r="129" spans="2:22" x14ac:dyDescent="0.2">
      <c r="B129" s="375"/>
      <c r="C129" s="375"/>
      <c r="D129" s="375"/>
      <c r="E129" s="375"/>
      <c r="F129" s="375"/>
      <c r="G129" s="375"/>
      <c r="H129" s="375"/>
      <c r="I129" s="375"/>
      <c r="J129" s="375"/>
      <c r="K129" s="375"/>
      <c r="L129" s="375"/>
      <c r="M129" s="375"/>
      <c r="N129" s="375"/>
      <c r="O129" s="37"/>
      <c r="P129" s="37"/>
      <c r="Q129" s="37"/>
      <c r="R129" s="375"/>
      <c r="S129" s="375"/>
      <c r="T129" s="375"/>
      <c r="U129" s="375"/>
      <c r="V129" s="375"/>
    </row>
    <row r="130" spans="2:22" x14ac:dyDescent="0.2">
      <c r="B130" s="687"/>
      <c r="C130" s="375"/>
      <c r="D130" s="375"/>
      <c r="E130" s="375"/>
      <c r="F130" s="375"/>
      <c r="G130" s="1042" t="str">
        <f>"from "&amp;'RBC (c19)'!C17</f>
        <v>from c19.1</v>
      </c>
      <c r="H130" s="375"/>
      <c r="I130" s="375"/>
      <c r="J130" s="375"/>
      <c r="K130" s="375"/>
      <c r="L130" s="375"/>
      <c r="M130" s="375"/>
      <c r="N130" s="375"/>
      <c r="O130" s="121"/>
      <c r="P130" s="121"/>
      <c r="Q130" s="121"/>
      <c r="R130" s="375"/>
      <c r="S130" s="375"/>
      <c r="T130" s="375"/>
      <c r="U130" s="375"/>
      <c r="V130" s="375"/>
    </row>
    <row r="131" spans="2:22" x14ac:dyDescent="0.2">
      <c r="B131" s="687" t="s">
        <v>3547</v>
      </c>
      <c r="C131" s="375"/>
      <c r="D131" s="375"/>
      <c r="E131" s="375"/>
      <c r="F131" s="2123" t="str">
        <f>A41</f>
        <v>c9.36</v>
      </c>
      <c r="G131" s="1979">
        <f>'RBC (c19)'!D17</f>
        <v>0</v>
      </c>
      <c r="H131" s="375"/>
      <c r="I131" s="375"/>
      <c r="J131" s="375"/>
      <c r="K131" s="375"/>
      <c r="L131" s="375"/>
      <c r="M131" s="375"/>
      <c r="N131" s="375"/>
      <c r="O131" s="375"/>
      <c r="P131" s="375"/>
      <c r="Q131" s="375"/>
      <c r="R131" s="375"/>
      <c r="S131" s="375"/>
      <c r="T131" s="375"/>
      <c r="U131" s="375"/>
      <c r="V131" s="375"/>
    </row>
    <row r="132" spans="2:22" x14ac:dyDescent="0.2">
      <c r="E132" s="375"/>
      <c r="F132" s="375"/>
      <c r="G132" s="375"/>
      <c r="H132" s="375"/>
      <c r="I132" s="375"/>
      <c r="J132" s="375"/>
      <c r="K132" s="375"/>
      <c r="L132" s="375"/>
      <c r="M132" s="375"/>
      <c r="N132" s="375"/>
      <c r="O132" s="375"/>
      <c r="P132" s="375"/>
      <c r="Q132" s="375"/>
      <c r="R132" s="375"/>
      <c r="S132" s="375"/>
      <c r="T132" s="375"/>
      <c r="U132" s="375"/>
      <c r="V132" s="375"/>
    </row>
    <row r="133" spans="2:22" x14ac:dyDescent="0.2">
      <c r="B133" s="3874"/>
      <c r="C133" s="3874"/>
      <c r="D133" s="3874"/>
      <c r="E133" s="3874"/>
      <c r="F133" s="3874"/>
      <c r="G133" s="3876" t="str">
        <f><![CDATA[L5&" minus ("&L30&" + "&L57&" + "&L75&" + "&L78&" + "&L81&" + "&L86&" + "&L95&" + "&L98&" + "&'Div Cr (c10)'!I21&")"]]></f>
        <v>c9.1 minus (c9.14 + c9.19 + c9.21 + c9.23 + c9.23b + c9.25 + c9.28 + c9.29 + c10.5)</v>
      </c>
      <c r="H133" s="375"/>
      <c r="I133" s="375"/>
      <c r="J133" s="375"/>
      <c r="K133" s="375"/>
      <c r="L133" s="375"/>
      <c r="M133" s="375"/>
      <c r="N133" s="121"/>
      <c r="O133" s="375"/>
      <c r="P133" s="375"/>
      <c r="Q133" s="375"/>
      <c r="R133" s="375"/>
      <c r="S133" s="375"/>
      <c r="T133" s="375"/>
      <c r="U133" s="375"/>
      <c r="V133" s="375"/>
    </row>
    <row r="134" spans="2:22" x14ac:dyDescent="0.2">
      <c r="B134" s="3875" t="s">
        <v>3443</v>
      </c>
      <c r="C134" s="375"/>
      <c r="D134" s="375"/>
      <c r="E134" s="375"/>
      <c r="F134" s="2123" t="str">
        <f>A42</f>
        <v>c9.37</v>
      </c>
      <c r="G134" s="2298">
        <f>MAX(0,M5-(M30+M57+M75+M78+M81+M86+M95+M98+'Div Cr (c10)'!J21))</f>
        <v>11292.21</v>
      </c>
      <c r="H134" s="375"/>
      <c r="I134" s="375"/>
      <c r="J134" s="375"/>
      <c r="K134" s="375"/>
      <c r="L134" s="375"/>
      <c r="M134" s="375"/>
      <c r="N134" s="375"/>
      <c r="O134" s="375"/>
      <c r="P134" s="375"/>
      <c r="Q134" s="375"/>
      <c r="R134" s="375"/>
      <c r="S134" s="375"/>
      <c r="T134" s="375"/>
      <c r="U134" s="375"/>
      <c r="V134" s="375"/>
    </row>
    <row r="135" spans="2:22" x14ac:dyDescent="0.2">
      <c r="B135" s="687"/>
      <c r="C135" s="375"/>
      <c r="D135" s="375"/>
      <c r="E135" s="375"/>
      <c r="F135" s="375"/>
      <c r="G135" s="375"/>
      <c r="H135" s="375"/>
      <c r="I135" s="375"/>
      <c r="J135" s="375"/>
      <c r="K135" s="375"/>
      <c r="L135" s="375"/>
      <c r="M135" s="375"/>
      <c r="N135" s="375"/>
      <c r="O135" s="375"/>
      <c r="P135" s="375"/>
      <c r="Q135" s="375"/>
      <c r="R135" s="375"/>
      <c r="S135" s="375"/>
      <c r="T135" s="375"/>
      <c r="U135" s="375"/>
      <c r="V135" s="375"/>
    </row>
    <row r="136" spans="2:22" x14ac:dyDescent="0.2">
      <c r="B136" s="375"/>
      <c r="C136" s="375"/>
      <c r="D136" s="375"/>
      <c r="E136" s="375"/>
      <c r="F136" s="375"/>
      <c r="G136" s="669" t="str">
        <f>"from "&amp;'Pensions (c25c26)'!J149</f>
        <v>from c25.56</v>
      </c>
      <c r="H136" s="375"/>
      <c r="I136" s="375"/>
      <c r="J136" s="375"/>
      <c r="K136" s="375"/>
      <c r="L136" s="375"/>
      <c r="M136" s="375"/>
      <c r="N136" s="375"/>
      <c r="O136" s="375"/>
      <c r="P136" s="375"/>
      <c r="Q136" s="375"/>
      <c r="R136" s="375"/>
      <c r="S136" s="375"/>
      <c r="T136" s="375"/>
      <c r="U136" s="375"/>
      <c r="V136" s="375"/>
    </row>
    <row r="137" spans="2:22" x14ac:dyDescent="0.2">
      <c r="B137" s="749" t="s">
        <v>6077</v>
      </c>
      <c r="C137" s="94"/>
      <c r="D137" s="94"/>
      <c r="E137" s="375"/>
      <c r="F137" s="2123" t="str">
        <f>A43</f>
        <v>c9.38</v>
      </c>
      <c r="G137" s="1979">
        <f>'Pensions (c25c26)'!K149</f>
        <v>0</v>
      </c>
      <c r="H137" s="375"/>
      <c r="I137" s="375"/>
      <c r="J137" s="375"/>
      <c r="K137" s="375"/>
      <c r="L137" s="375"/>
      <c r="M137" s="375"/>
      <c r="N137" s="375"/>
      <c r="O137" s="375"/>
      <c r="P137" s="375"/>
      <c r="Q137" s="375"/>
      <c r="R137" s="375"/>
      <c r="S137" s="375"/>
      <c r="T137" s="375"/>
      <c r="U137" s="375"/>
      <c r="V137" s="375"/>
    </row>
    <row r="138" spans="2:22" x14ac:dyDescent="0.2">
      <c r="B138" s="375"/>
      <c r="C138" s="375"/>
      <c r="D138" s="375"/>
      <c r="E138" s="375"/>
      <c r="F138" s="375"/>
      <c r="G138" s="375"/>
      <c r="H138" s="375"/>
      <c r="I138" s="375"/>
      <c r="J138" s="375"/>
      <c r="K138" s="375"/>
      <c r="L138" s="375"/>
      <c r="M138" s="375"/>
      <c r="N138" s="375"/>
      <c r="O138" s="375"/>
      <c r="P138" s="375"/>
      <c r="Q138" s="375"/>
      <c r="R138" s="375"/>
      <c r="S138" s="375"/>
      <c r="T138" s="375"/>
      <c r="U138" s="375"/>
      <c r="V138" s="375"/>
    </row>
    <row r="139" spans="2:22" x14ac:dyDescent="0.2">
      <c r="B139" s="375"/>
      <c r="C139" s="375"/>
      <c r="D139" s="375"/>
      <c r="E139" s="375"/>
      <c r="F139" s="375"/>
      <c r="G139" s="128" t="str">
        <f><![CDATA[F125&" minus ("&F128&" + "&F131&" + "&F134&" + "&F137&")"]]></f>
        <v>c9.34 minus (c9.35 + c9.36 + c9.37 + c9.38)</v>
      </c>
      <c r="H139" s="375"/>
      <c r="I139" s="375"/>
      <c r="J139" s="375"/>
      <c r="K139" s="375"/>
      <c r="L139" s="375"/>
      <c r="M139" s="3877" t="str">
        <f>L117&amp;" + "&amp;F140</f>
        <v>c9.32 + c9.39</v>
      </c>
      <c r="N139" s="375"/>
      <c r="O139" s="375"/>
      <c r="P139" s="375"/>
      <c r="Q139" s="375"/>
      <c r="R139" s="375"/>
      <c r="S139" s="375"/>
      <c r="T139" s="375"/>
      <c r="U139" s="375"/>
      <c r="V139" s="375"/>
    </row>
    <row r="140" spans="2:22" x14ac:dyDescent="0.2">
      <c r="B140" s="3875" t="s">
        <v>8462</v>
      </c>
      <c r="C140" s="375"/>
      <c r="D140" s="375"/>
      <c r="E140" s="375"/>
      <c r="F140" s="2123" t="str">
        <f>A44</f>
        <v>c9.39</v>
      </c>
      <c r="G140" s="1966">
        <f>MAX(0,G125-(G128+G131+G134+G137))</f>
        <v>0</v>
      </c>
      <c r="H140" s="375"/>
      <c r="I140" s="375"/>
      <c r="J140" s="375"/>
      <c r="K140" s="414" t="s">
        <v>2558</v>
      </c>
      <c r="L140" s="2123" t="str">
        <f>A45</f>
        <v>c9.40</v>
      </c>
      <c r="M140" s="2956">
        <f>M117+G140</f>
        <v>11292.21</v>
      </c>
      <c r="N140" s="121"/>
      <c r="O140" s="375"/>
      <c r="P140" s="375"/>
      <c r="Q140" s="375"/>
      <c r="R140" s="375"/>
      <c r="S140" s="375"/>
      <c r="T140" s="375"/>
      <c r="U140" s="375"/>
      <c r="V140" s="375"/>
    </row>
    <row r="141" spans="2:22" x14ac:dyDescent="0.2">
      <c r="B141" s="375"/>
      <c r="C141" s="375"/>
      <c r="D141" s="375"/>
      <c r="E141" s="375"/>
      <c r="F141" s="375"/>
      <c r="G141" s="375"/>
      <c r="H141" s="375"/>
      <c r="I141" s="375"/>
      <c r="J141" s="375"/>
      <c r="K141" s="375"/>
      <c r="L141" s="375"/>
      <c r="M141" s="375"/>
      <c r="N141" s="375"/>
      <c r="O141" s="375"/>
      <c r="P141" s="375"/>
      <c r="Q141" s="375"/>
      <c r="R141" s="375"/>
      <c r="S141" s="375"/>
      <c r="T141" s="375"/>
      <c r="U141" s="375"/>
      <c r="V141" s="375"/>
    </row>
    <row r="142" spans="2:22" x14ac:dyDescent="0.2">
      <c r="B142" s="736" t="s">
        <v>978</v>
      </c>
      <c r="C142" s="121"/>
      <c r="D142" s="375"/>
      <c r="E142" s="375"/>
      <c r="F142" s="375"/>
      <c r="G142" s="375"/>
      <c r="H142" s="375"/>
      <c r="I142" s="375"/>
      <c r="J142" s="375"/>
      <c r="K142" s="375"/>
      <c r="L142" s="375"/>
      <c r="M142" s="375"/>
      <c r="N142" s="375"/>
      <c r="O142" s="375"/>
      <c r="P142" s="375"/>
      <c r="Q142" s="375"/>
      <c r="R142" s="375"/>
      <c r="S142" s="375"/>
      <c r="T142" s="375"/>
      <c r="U142" s="375"/>
      <c r="V142" s="375"/>
    </row>
    <row r="143" spans="2:22" x14ac:dyDescent="0.2">
      <c r="B143" s="375"/>
      <c r="C143" s="375"/>
      <c r="D143" s="375"/>
      <c r="E143" s="375"/>
      <c r="F143" s="375"/>
      <c r="G143" s="691" t="str">
        <f><![CDATA["("&AOR&AOR!C14&" + "&ASE&ASE!G20&") x NS_gross ("&NS_gross_F&")"]]></f>
        <v>(AOR4 + ASE15) x NS_gross (100/80)</v>
      </c>
      <c r="H143" s="375"/>
      <c r="I143" s="375"/>
      <c r="J143" s="375"/>
      <c r="K143" s="375"/>
      <c r="L143" s="375"/>
      <c r="M143" s="128" t="str">
        <f>F144&amp;" x BR_rate ("&amp;BR_rate*100&amp;"%)"</f>
        <v>c9.41 x BR_rate (20%)</v>
      </c>
      <c r="N143" s="375"/>
      <c r="O143" s="375"/>
      <c r="P143" s="375"/>
      <c r="Q143" s="375"/>
      <c r="R143" s="375"/>
      <c r="S143" s="375"/>
      <c r="T143" s="375"/>
      <c r="U143" s="375"/>
      <c r="V143" s="375"/>
    </row>
    <row r="144" spans="2:22" x14ac:dyDescent="0.2">
      <c r="B144" s="121"/>
      <c r="C144" s="121"/>
      <c r="D144" s="375"/>
      <c r="E144" s="375"/>
      <c r="F144" s="2123" t="str">
        <f>A46</f>
        <v>c9.41</v>
      </c>
      <c r="G144" s="2075">
        <f>TRUNC((AOR!D15+ASE!H21)*NS_gross,0)</f>
        <v>0</v>
      </c>
      <c r="H144" s="2178" t="s">
        <v>1743</v>
      </c>
      <c r="J144" s="375"/>
      <c r="K144" s="375"/>
      <c r="L144" s="2123" t="str">
        <f>A47</f>
        <v>c9.42</v>
      </c>
      <c r="M144" s="1966">
        <f>TRUNC(G144*BR_rate,2)</f>
        <v>0</v>
      </c>
      <c r="N144" s="2178" t="s">
        <v>2694</v>
      </c>
      <c r="O144" s="375"/>
      <c r="P144" s="375"/>
      <c r="Q144" s="375"/>
      <c r="R144" s="375"/>
      <c r="S144" s="375"/>
      <c r="T144" s="375"/>
      <c r="U144" s="375"/>
      <c r="V144" s="375"/>
    </row>
    <row r="145" spans="2:14" x14ac:dyDescent="0.2">
      <c r="B145" s="375"/>
      <c r="C145" s="375"/>
      <c r="D145" s="375"/>
      <c r="E145" s="375"/>
      <c r="F145" s="375"/>
      <c r="G145" s="375"/>
      <c r="H145" s="375"/>
      <c r="I145" s="375"/>
      <c r="J145" s="375"/>
      <c r="K145" s="375"/>
      <c r="L145" s="375"/>
      <c r="M145" s="375"/>
      <c r="N145" s="375"/>
    </row>
    <row r="146" spans="2:14" x14ac:dyDescent="0.2">
      <c r="B146" s="375"/>
      <c r="C146" s="375"/>
      <c r="D146" s="375"/>
      <c r="E146" s="375"/>
      <c r="F146" s="375"/>
      <c r="G146" s="375"/>
      <c r="H146" s="375"/>
      <c r="I146" s="375"/>
      <c r="J146" s="375"/>
      <c r="K146" s="375"/>
      <c r="L146" s="375"/>
      <c r="M146" s="128" t="str">
        <f>'Tax adj (c9)'!L140&amp;" + "&amp;L144</f>
        <v>c9.40 + c9.42</v>
      </c>
      <c r="N146" s="375"/>
    </row>
    <row r="147" spans="2:14" x14ac:dyDescent="0.2">
      <c r="B147" s="733" t="s">
        <v>4983</v>
      </c>
      <c r="C147" s="375"/>
      <c r="D147" s="121"/>
      <c r="E147" s="375"/>
      <c r="F147" s="375"/>
      <c r="G147" s="375"/>
      <c r="H147" s="375"/>
      <c r="I147" s="375"/>
      <c r="J147" s="375"/>
      <c r="K147" s="375"/>
      <c r="L147" s="2123" t="str">
        <f>A48</f>
        <v>c9.43</v>
      </c>
      <c r="M147" s="1965">
        <f>M140+M144</f>
        <v>11292.21</v>
      </c>
      <c r="N147" s="375"/>
    </row>
  </sheetData>
  <phoneticPr fontId="67" type="noConversion"/>
  <pageMargins bottom="0.196850393700787" footer="0" header="0" left="0.196850393700787" right="0.196850393700787" top="0.196850393700787"/>
  <pageSetup orientation="portrait" paperSize="9" r:id="rId1" scale="94"/>
  <headerFooter alignWithMargins="0"/>
</worksheet>
</file>

<file path=xl/worksheets/sheet69.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400-000000000000}">
  <sheetPr codeName="Sheet34">
    <tabColor theme="9" tint="0.39997558519241921"/>
  </sheetPr>
  <dimension ref="A1:H62"/>
  <sheetViews>
    <sheetView topLeftCell="A13" workbookViewId="0">
      <selection activeCell="H38" sqref="H38"/>
    </sheetView>
  </sheetViews>
  <sheetFormatPr defaultRowHeight="12.75" x14ac:dyDescent="0.2"/>
  <cols>
    <col min="2" max="2" customWidth="true" width="37.5703125" collapsed="true"/>
    <col min="3" max="3" bestFit="true" customWidth="true" width="37.7109375" collapsed="true"/>
    <col min="4" max="4" customWidth="true" width="17.28515625" collapsed="true"/>
    <col min="5" max="5" customWidth="true" width="6.140625" collapsed="true"/>
    <col min="6" max="6" bestFit="true" customWidth="true" width="37.7109375" collapsed="true"/>
    <col min="7" max="7" bestFit="true" customWidth="true" width="35.5703125" collapsed="true"/>
  </cols>
  <sheetData>
    <row r="1" spans="1:5" x14ac:dyDescent="0.2">
      <c r="A1" s="1459"/>
      <c r="B1" s="1460"/>
      <c r="C1" s="1460" t="s">
        <v>2030</v>
      </c>
      <c r="D1" s="1461" t="str">
        <f>tax_year</f>
        <v>2019-20</v>
      </c>
    </row>
    <row r="2" spans="1:5" x14ac:dyDescent="0.2">
      <c r="A2" s="1462"/>
      <c r="B2" s="1"/>
      <c r="C2" s="1"/>
      <c r="D2" s="1463"/>
    </row>
    <row r="3" spans="1:5" x14ac:dyDescent="0.2">
      <c r="A3" s="1462"/>
      <c r="B3" s="1"/>
      <c r="C3" s="1"/>
      <c r="D3" s="1463"/>
    </row>
    <row r="4" spans="1:5" x14ac:dyDescent="0.2">
      <c r="A4" s="1484" t="s">
        <v>5800</v>
      </c>
      <c r="B4" s="1464" t="s">
        <v>844</v>
      </c>
      <c r="C4" s="952" t="str">
        <f><![CDATA['Tax due (c12)'!I5&"+"&'Tax due (c12)'!F36&"+"&'Tax due (c12)'!F39&"+"&'Tax due (c12)'!F42&"+"&'Tax due (c12)'!F45&"-NRD"&NRD!K23]]></f>
        <v>c12.1+c12.8+c12.9+c12.10+c12.11-NRD36</v>
      </c>
      <c r="D4" s="1465">
        <f>MAX(0,'Tax due (c12)'!J5+'Tax due (c12)'!G36+'Tax due (c12)'!G39+'Tax due (c12)'!G42+'Tax due (c12)'!G45-NRD!L24)</f>
        <v>11292.21</v>
      </c>
      <c r="E4" s="7"/>
    </row>
    <row r="5" spans="1:5" x14ac:dyDescent="0.2">
      <c r="A5" s="1484" t="s">
        <v>5801</v>
      </c>
      <c r="B5" s="1466" t="s">
        <v>2904</v>
      </c>
      <c r="C5" s="1520" t="s">
        <v>3919</v>
      </c>
      <c r="D5" s="1521" t="s">
        <v>3919</v>
      </c>
      <c r="E5" s="1430"/>
    </row>
    <row r="6" spans="1:5" x14ac:dyDescent="0.2">
      <c r="A6" s="1484" t="s">
        <v>5802</v>
      </c>
      <c r="B6" s="1464" t="s">
        <v>2880</v>
      </c>
      <c r="C6" s="952" t="str">
        <f>'Tax due (c12)'!F64&amp;"+NRD"&amp;NRD!K23</f>
        <v>c12.17+NRD36</v>
      </c>
      <c r="D6" s="1465">
        <f>'Tax due (c12)'!G64+NRD!L24</f>
        <v>0</v>
      </c>
      <c r="E6" s="7"/>
    </row>
    <row r="7" spans="1:5" x14ac:dyDescent="0.2">
      <c r="A7" s="1484" t="s">
        <v>5803</v>
      </c>
      <c r="B7" s="1464" t="s">
        <v>893</v>
      </c>
      <c r="C7" s="952" t="str">
        <f>'Tax due (c12)'!F8</f>
        <v>c12.2</v>
      </c>
      <c r="D7" s="1465">
        <f>'Tax due (c12)'!G8</f>
        <v>500.22</v>
      </c>
      <c r="E7" s="7"/>
    </row>
    <row r="8" spans="1:5" x14ac:dyDescent="0.2">
      <c r="A8" s="1484" t="s">
        <v>5804</v>
      </c>
      <c r="B8" s="1466" t="s">
        <v>4369</v>
      </c>
      <c r="C8" s="952" t="str">
        <f>'Tax due (c12)'!F16</f>
        <v>c12.3</v>
      </c>
      <c r="D8" s="1465">
        <f>'Tax due (c12)'!G16</f>
        <v>117</v>
      </c>
      <c r="E8" s="7"/>
    </row>
    <row r="9" spans="1:5" x14ac:dyDescent="0.2">
      <c r="A9" s="1484" t="s">
        <v>5805</v>
      </c>
      <c r="B9" s="1466" t="s">
        <v>5837</v>
      </c>
      <c r="C9" s="952" t="str">
        <f>'Tax due (c12)'!F30</f>
        <v>c12.7</v>
      </c>
      <c r="D9" s="1465">
        <f>'Tax due (c12)'!G30</f>
        <v>0</v>
      </c>
      <c r="E9" s="7"/>
    </row>
    <row r="10" spans="1:5" x14ac:dyDescent="0.2">
      <c r="A10" s="3184" t="s">
        <v>7490</v>
      </c>
      <c r="B10" s="3185" t="s">
        <v>8016</v>
      </c>
      <c r="C10" s="3186" t="str">
        <f>'Tax due (c12)'!F33</f>
        <v>c12.7b</v>
      </c>
      <c r="D10" s="3187">
        <f>'Tax due (c12)'!G33</f>
        <v>0</v>
      </c>
      <c r="E10" s="7"/>
    </row>
    <row r="11" spans="1:5" x14ac:dyDescent="0.2">
      <c r="A11" s="1484" t="s">
        <v>5806</v>
      </c>
      <c r="B11" s="1464" t="s">
        <v>894</v>
      </c>
      <c r="C11" s="952" t="str">
        <f>"CAL"&amp;CAL!C6</f>
        <v>CAL7</v>
      </c>
      <c r="D11" s="1465">
        <f>CAL!D7</f>
        <v>2999</v>
      </c>
      <c r="E11" s="7"/>
    </row>
    <row r="12" spans="1:5" x14ac:dyDescent="0.2">
      <c r="A12" s="1484" t="s">
        <v>5807</v>
      </c>
      <c r="B12" s="1466" t="s">
        <v>6123</v>
      </c>
      <c r="C12" s="952" t="str">
        <f>'Tax due (c12)'!F51</f>
        <v>c12.13</v>
      </c>
      <c r="D12" s="1465">
        <f>'Tax due (c12)'!G51</f>
        <v>2000</v>
      </c>
      <c r="E12" s="7"/>
    </row>
    <row r="13" spans="1:5" x14ac:dyDescent="0.2">
      <c r="A13" s="1484" t="s">
        <v>5808</v>
      </c>
      <c r="B13" s="1464" t="s">
        <v>3146</v>
      </c>
      <c r="C13" s="952" t="str">
        <f>"CAL"&amp;CAL!C9</f>
        <v>CAL8</v>
      </c>
      <c r="D13" s="1465">
        <f>CAL!D10</f>
        <v>0</v>
      </c>
      <c r="E13" s="7"/>
    </row>
    <row r="14" spans="1:5" x14ac:dyDescent="0.2">
      <c r="A14" s="1484" t="s">
        <v>5809</v>
      </c>
      <c r="B14" s="1464" t="s">
        <v>3147</v>
      </c>
      <c r="C14" s="952" t="str">
        <f>"CAL"&amp;CAL!C22</f>
        <v>CAL14</v>
      </c>
      <c r="D14" s="1465">
        <f>CAL!D23</f>
        <v>0</v>
      </c>
      <c r="E14" s="7"/>
    </row>
    <row r="15" spans="1:5" x14ac:dyDescent="0.2">
      <c r="A15" s="1484" t="s">
        <v>5810</v>
      </c>
      <c r="B15" s="1464" t="s">
        <v>2494</v>
      </c>
      <c r="C15" s="1431" t="s">
        <v>3919</v>
      </c>
      <c r="D15" s="1467" t="s">
        <v>3919</v>
      </c>
      <c r="E15" s="7"/>
    </row>
    <row r="16" spans="1:5" x14ac:dyDescent="0.2">
      <c r="A16" s="1484" t="s">
        <v>5811</v>
      </c>
      <c r="B16" s="1466" t="s">
        <v>5838</v>
      </c>
      <c r="C16" s="952" t="str">
        <f>'Tax adj (c9)'!L86&amp;" + "&amp;'Tax adj (c9)'!L95</f>
        <v>c9.25 + c9.28</v>
      </c>
      <c r="D16" s="3422">
        <f>'Tax adj (c9)'!M86+'Tax adj (c9)'!M95</f>
        <v>0</v>
      </c>
      <c r="E16" s="7"/>
    </row>
    <row r="17" spans="1:6" x14ac:dyDescent="0.2">
      <c r="A17" s="1484" t="s">
        <v>5812</v>
      </c>
      <c r="B17" s="1464" t="s">
        <v>3142</v>
      </c>
      <c r="C17" s="952" t="str">
        <f>"FIN"&amp;'REL(2)'!C45</f>
        <v>FIN1</v>
      </c>
      <c r="D17" s="1465">
        <f>'REL(2)'!D46</f>
        <v>600</v>
      </c>
      <c r="E17" s="7"/>
    </row>
    <row r="18" spans="1:6" x14ac:dyDescent="0.2">
      <c r="A18" s="1484" t="s">
        <v>5813</v>
      </c>
      <c r="B18" s="1464" t="s">
        <v>1617</v>
      </c>
      <c r="C18" s="1431" t="s">
        <v>3169</v>
      </c>
      <c r="D18" s="1467" t="s">
        <v>3169</v>
      </c>
      <c r="E18" s="7"/>
    </row>
    <row r="19" spans="1:6" x14ac:dyDescent="0.2">
      <c r="A19" s="1484" t="s">
        <v>5814</v>
      </c>
      <c r="B19" s="1468" t="s">
        <v>2028</v>
      </c>
      <c r="C19" s="851" t="s">
        <v>3169</v>
      </c>
      <c r="D19" s="1469" t="s">
        <v>3169</v>
      </c>
    </row>
    <row r="20" spans="1:6" x14ac:dyDescent="0.2">
      <c r="A20" s="1484" t="s">
        <v>5815</v>
      </c>
      <c r="B20" s="1468" t="s">
        <v>2029</v>
      </c>
      <c r="C20" s="851" t="s">
        <v>3169</v>
      </c>
      <c r="D20" s="1469" t="s">
        <v>3169</v>
      </c>
    </row>
    <row r="21" spans="1:6" x14ac:dyDescent="0.2">
      <c r="A21" s="1484" t="s">
        <v>5816</v>
      </c>
      <c r="B21" s="1466" t="s">
        <v>5839</v>
      </c>
      <c r="C21" s="952" t="str">
        <f>'Tax paid (c11)'!I32</f>
        <v>c11.7</v>
      </c>
      <c r="D21" s="1465">
        <f>'Tax paid (c11)'!J32</f>
        <v>0</v>
      </c>
      <c r="E21" s="7"/>
    </row>
    <row r="22" spans="1:6" x14ac:dyDescent="0.2">
      <c r="A22" s="1483"/>
      <c r="B22" s="1468"/>
      <c r="C22" s="1485"/>
      <c r="D22" s="1469"/>
    </row>
    <row r="23" spans="1:6" x14ac:dyDescent="0.2">
      <c r="A23" s="1483"/>
      <c r="B23" s="1466" t="s">
        <v>5840</v>
      </c>
      <c r="C23" s="1484"/>
      <c r="D23" s="1465" t="str">
        <f>IF(NIC2_v,"Y","N")</f>
        <v>N</v>
      </c>
    </row>
    <row r="24" spans="1:6" x14ac:dyDescent="0.2">
      <c r="A24" s="1483"/>
      <c r="B24" s="1466" t="s">
        <v>5841</v>
      </c>
      <c r="C24" s="1484"/>
      <c r="D24" s="1465" t="str">
        <f>IF(NIC2_amount&gt;0,"N","Y")</f>
        <v>N</v>
      </c>
    </row>
    <row r="25" spans="1:6" x14ac:dyDescent="0.2">
      <c r="A25" s="1483"/>
      <c r="B25" s="1485"/>
      <c r="C25" s="1485"/>
      <c r="D25" s="1469"/>
    </row>
    <row r="26" spans="1:6" x14ac:dyDescent="0.2">
      <c r="A26" s="1483"/>
      <c r="B26" s="1466" t="s">
        <v>5842</v>
      </c>
      <c r="C26" s="1484"/>
      <c r="D26" s="1465"/>
    </row>
    <row r="27" spans="1:6" x14ac:dyDescent="0.2">
      <c r="A27" s="1462"/>
      <c r="B27" s="1"/>
      <c r="C27" s="1"/>
      <c r="D27" s="1463"/>
    </row>
    <row r="28" spans="1:6" x14ac:dyDescent="0.2">
      <c r="A28" s="1483"/>
      <c r="B28" s="1485" t="s">
        <v>3158</v>
      </c>
      <c r="C28" s="1485"/>
      <c r="D28" s="1470">
        <f>'Tax due (c12)'!G39</f>
        <v>0</v>
      </c>
    </row>
    <row r="29" spans="1:6" x14ac:dyDescent="0.2">
      <c r="A29" s="1462"/>
      <c r="B29" s="1"/>
      <c r="C29" s="1"/>
      <c r="D29" s="1463"/>
    </row>
    <row r="30" spans="1:6" x14ac:dyDescent="0.2">
      <c r="A30" s="1462"/>
      <c r="B30" s="1"/>
      <c r="C30" s="1"/>
      <c r="D30" s="1463"/>
    </row>
    <row r="31" spans="1:6" x14ac:dyDescent="0.2">
      <c r="A31" s="1462"/>
      <c r="B31" s="1482" t="s">
        <v>914</v>
      </c>
      <c r="C31" s="1"/>
      <c r="D31" s="1463"/>
    </row>
    <row r="32" spans="1:6" x14ac:dyDescent="0.2">
      <c r="A32" s="1486" t="s">
        <v>5855</v>
      </c>
      <c r="B32" s="1485" t="s">
        <v>3960</v>
      </c>
      <c r="C32" s="4451" t="str">
        <f>'S loans(c27)'!F28&amp;" + "&amp;'S loans(c27)'!F90</f>
        <v>c27.5 + c27.9</v>
      </c>
      <c r="D32" s="1471">
        <f>'S loans(c27)'!G28+'S loans(c27)'!G90</f>
        <v>33254</v>
      </c>
      <c r="F32" t="s">
        <v>22</v>
      </c>
    </row>
    <row r="33" spans="1:7" x14ac:dyDescent="0.2">
      <c r="A33" s="1483"/>
      <c r="B33" s="1485"/>
      <c r="C33" s="1490"/>
      <c r="D33" s="1469"/>
    </row>
    <row r="34" spans="1:7" x14ac:dyDescent="0.2">
      <c r="A34" s="1486" t="s">
        <v>5856</v>
      </c>
      <c r="B34" s="1485" t="s">
        <v>3747</v>
      </c>
      <c r="C34" s="1490" t="str">
        <f>'S loans(c27)'!J204</f>
        <v>c27.40</v>
      </c>
      <c r="D34" s="1471">
        <f>IF(SL_type,'S loans(c27)'!K204,0)</f>
        <v>0</v>
      </c>
      <c r="F34" t="s">
        <v>3748</v>
      </c>
    </row>
    <row r="35" spans="1:7" x14ac:dyDescent="0.2">
      <c r="A35" s="1483"/>
      <c r="B35" s="1485"/>
      <c r="C35" s="1490"/>
      <c r="D35" s="1469"/>
    </row>
    <row r="36" spans="1:7" x14ac:dyDescent="0.2">
      <c r="A36" s="1486" t="s">
        <v>5857</v>
      </c>
      <c r="B36" s="1485" t="s">
        <v>16</v>
      </c>
      <c r="C36" s="1490" t="str">
        <f>'S loans(c27)'!J222</f>
        <v>c27.42</v>
      </c>
      <c r="D36" s="1471">
        <f>IF(SL_type,'S loans(c27)'!K222,0)</f>
        <v>0</v>
      </c>
      <c r="F36" t="s">
        <v>17</v>
      </c>
    </row>
    <row r="37" spans="1:7" x14ac:dyDescent="0.2">
      <c r="A37" s="1483"/>
      <c r="B37" s="1485"/>
      <c r="C37" s="1490"/>
      <c r="D37" s="1469"/>
    </row>
    <row r="38" spans="1:7" x14ac:dyDescent="0.2">
      <c r="A38" s="1486" t="s">
        <v>5858</v>
      </c>
      <c r="B38" s="1485" t="s">
        <v>18</v>
      </c>
      <c r="C38" s="1490" t="str">
        <f>'S loans(c27)'!J225</f>
        <v>c27.43</v>
      </c>
      <c r="D38" s="1471">
        <f>'S loans(c27)'!K225</f>
        <v>0</v>
      </c>
      <c r="F38" t="s">
        <v>3310</v>
      </c>
    </row>
    <row r="39" spans="1:7" x14ac:dyDescent="0.2">
      <c r="A39" s="1483"/>
      <c r="B39" s="1485"/>
      <c r="C39" s="1490"/>
      <c r="D39" s="1469"/>
      <c r="G39" s="4348" t="s">
        <v>5859</v>
      </c>
    </row>
    <row r="40" spans="1:7" x14ac:dyDescent="0.2">
      <c r="A40" s="1486" t="s">
        <v>5859</v>
      </c>
      <c r="B40" s="1485" t="s">
        <v>3311</v>
      </c>
      <c r="C40" s="4451" t="str">
        <f>'S loans(c27)'!J164&amp;" minus ("&amp;C32&amp;")"</f>
        <v>c27.29 minus (c27.5 + c27.9)</v>
      </c>
      <c r="D40" s="1471">
        <f>IF(SL_type,MAX('S loans(c27)'!K164-D32,0),0)</f>
        <v>0</v>
      </c>
      <c r="F40" t="s">
        <v>3312</v>
      </c>
      <c r="G40" s="4349" t="str">
        <f>"If "&amp;'S loans(c27)'!J164&amp;" minus ("&amp;C32&amp;") &gt; 0"</f>
        <v>If c27.29 minus (c27.5 + c27.9) &gt; 0</v>
      </c>
    </row>
    <row r="41" spans="1:7" x14ac:dyDescent="0.2">
      <c r="A41" s="1483"/>
      <c r="B41" s="1485"/>
      <c r="C41" s="1490"/>
      <c r="D41" s="1469"/>
      <c r="G41" s="4349" t="str">
        <f>A40&amp;" ="&amp;'S loans(c27)'!J164&amp;" minus ("&amp;C32&amp;")"</f>
        <v>c97.5 =c27.29 minus (c27.5 + c27.9)</v>
      </c>
    </row>
    <row ht="13.5" r="42" spans="1:7" thickBot="1" x14ac:dyDescent="0.25">
      <c r="A42" s="1487" t="s">
        <v>5860</v>
      </c>
      <c r="B42" s="1488" t="s">
        <v>3771</v>
      </c>
      <c r="C42" s="1491" t="str">
        <f>'S loans(c27)'!J254</f>
        <v>c27.44</v>
      </c>
      <c r="D42" s="1472">
        <f>IF(SL_type,'S loans(c27)'!K254,0)</f>
        <v>0</v>
      </c>
      <c r="F42" t="s">
        <v>3772</v>
      </c>
      <c r="G42" s="4349" t="s">
        <v>2386</v>
      </c>
    </row>
    <row r="43" spans="1:7" x14ac:dyDescent="0.2">
      <c r="A43" s="1486"/>
      <c r="B43" s="3160"/>
      <c r="C43" s="1490"/>
      <c r="D43" s="1471"/>
      <c r="G43" s="4349" t="str">
        <f>A40&amp;" = 0"</f>
        <v>c97.5 = 0</v>
      </c>
    </row>
    <row r="44" spans="1:7" x14ac:dyDescent="0.2">
      <c r="A44" s="3180" t="s">
        <v>7508</v>
      </c>
      <c r="B44" s="3210" t="s">
        <v>8010</v>
      </c>
      <c r="C44" s="4452" t="s">
        <v>9034</v>
      </c>
      <c r="D44" s="1471"/>
      <c r="F44" s="4453" t="s">
        <v>7492</v>
      </c>
      <c r="G44" s="4350" t="s">
        <v>2495</v>
      </c>
    </row>
    <row r="45" spans="1:7" x14ac:dyDescent="0.2">
      <c r="A45" s="1486"/>
      <c r="B45" s="1485"/>
      <c r="C45" s="1490"/>
      <c r="D45" s="1471"/>
      <c r="G45" s="4351"/>
    </row>
    <row r="46" spans="1:7" x14ac:dyDescent="0.2">
      <c r="A46" s="3180" t="s">
        <v>7509</v>
      </c>
      <c r="B46" s="3210" t="s">
        <v>8011</v>
      </c>
      <c r="C46" s="4452" t="s">
        <v>9034</v>
      </c>
      <c r="D46" s="1469"/>
      <c r="F46" s="4453" t="s">
        <v>7493</v>
      </c>
      <c r="G46" s="4351"/>
    </row>
    <row r="47" spans="1:7" x14ac:dyDescent="0.2">
      <c r="A47" s="1486"/>
      <c r="B47" s="1485"/>
      <c r="C47" s="1490"/>
      <c r="D47" s="1471"/>
      <c r="G47" s="4351"/>
    </row>
    <row r="48" spans="1:7" x14ac:dyDescent="0.2">
      <c r="A48" s="3180" t="s">
        <v>7510</v>
      </c>
      <c r="B48" s="3210" t="s">
        <v>8012</v>
      </c>
      <c r="C48" s="3183" t="str">
        <f>'S loans(c27)'!J235</f>
        <v>c27.43b</v>
      </c>
      <c r="D48" s="1471">
        <f>'S loans(c27)'!K238</f>
        <v>0</v>
      </c>
      <c r="F48" s="3177" t="s">
        <v>7494</v>
      </c>
      <c r="G48" s="4454" t="s">
        <v>7512</v>
      </c>
    </row>
    <row r="49" spans="1:7" x14ac:dyDescent="0.2">
      <c r="A49" s="1486"/>
      <c r="B49" s="1485"/>
      <c r="C49" s="1490"/>
      <c r="D49" s="1471"/>
      <c r="G49" s="4455" t="str">
        <f>"If "&amp;'S loans(c27)'!J167&amp;" minus ("&amp;C44&amp;") &gt; 0"</f>
        <v>If c27.29a minus (Not used) &gt; 0</v>
      </c>
    </row>
    <row r="50" spans="1:7" x14ac:dyDescent="0.2">
      <c r="A50" s="3180" t="s">
        <v>7511</v>
      </c>
      <c r="B50" s="3210" t="s">
        <v>8013</v>
      </c>
      <c r="C50" s="3183" t="str">
        <f>'S loans(c27)'!J238</f>
        <v>c27.43c</v>
      </c>
      <c r="D50" s="1471">
        <f>'S loans(c27)'!K238</f>
        <v>0</v>
      </c>
      <c r="F50" s="3177" t="s">
        <v>7495</v>
      </c>
      <c r="G50" s="4455" t="str">
        <f>A52&amp;" = "&amp;'S loans(c27)'!J167&amp;" minus ("&amp;C44&amp;")"</f>
        <v>c97.6e = c27.29a minus (Not used)</v>
      </c>
    </row>
    <row r="51" spans="1:7" x14ac:dyDescent="0.2">
      <c r="A51" s="1486"/>
      <c r="B51" s="1485"/>
      <c r="C51" s="1490"/>
      <c r="D51" s="1471"/>
      <c r="G51" s="4455" t="s">
        <v>2386</v>
      </c>
    </row>
    <row r="52" spans="1:7" x14ac:dyDescent="0.2">
      <c r="A52" s="3180" t="s">
        <v>7512</v>
      </c>
      <c r="B52" s="3210" t="s">
        <v>8014</v>
      </c>
      <c r="C52" s="4452" t="s">
        <v>9034</v>
      </c>
      <c r="D52" s="1469"/>
      <c r="F52" s="4453" t="s">
        <v>7496</v>
      </c>
      <c r="G52" s="4455" t="str">
        <f>A52&amp;" = 0"</f>
        <v>c97.6e = 0</v>
      </c>
    </row>
    <row r="53" spans="1:7" x14ac:dyDescent="0.2">
      <c r="A53" s="1483"/>
      <c r="B53" s="1485"/>
      <c r="C53" s="1490"/>
      <c r="D53" s="1469"/>
      <c r="G53" s="4456" t="s">
        <v>2495</v>
      </c>
    </row>
    <row ht="13.5" r="54" spans="1:7" thickBot="1" x14ac:dyDescent="0.25">
      <c r="A54" s="3181" t="s">
        <v>7513</v>
      </c>
      <c r="B54" s="3211" t="s">
        <v>8015</v>
      </c>
      <c r="C54" s="3182" t="str">
        <f>'S loans(c27)'!J273</f>
        <v>c27.45</v>
      </c>
      <c r="D54" s="1472">
        <f>IF(SL_type,'S loans(c27)'!K273,0)</f>
        <v>0</v>
      </c>
      <c r="F54" s="3177" t="s">
        <v>7497</v>
      </c>
    </row>
    <row r="55" spans="1:7" x14ac:dyDescent="0.2">
      <c r="A55" s="3157"/>
      <c r="B55" s="1"/>
      <c r="C55" s="3158"/>
      <c r="D55" s="3159"/>
    </row>
    <row r="56" spans="1:7" x14ac:dyDescent="0.2">
      <c r="A56" s="3157"/>
      <c r="B56" s="1"/>
      <c r="C56" s="3158"/>
      <c r="D56" s="3159"/>
    </row>
    <row r="57" spans="1:7" x14ac:dyDescent="0.2">
      <c r="A57" s="3157"/>
      <c r="B57" s="1"/>
      <c r="C57" s="3158"/>
      <c r="D57" s="3159"/>
    </row>
    <row r="58" spans="1:7" x14ac:dyDescent="0.2">
      <c r="A58" s="3157"/>
      <c r="B58" s="1"/>
      <c r="C58" s="3158"/>
      <c r="D58" s="3159"/>
    </row>
    <row r="60" spans="1:7" x14ac:dyDescent="0.2">
      <c r="B60" s="1473" t="s">
        <v>5862</v>
      </c>
    </row>
    <row r="61" spans="1:7" x14ac:dyDescent="0.2">
      <c r="B61" s="1443" t="s">
        <v>5863</v>
      </c>
    </row>
    <row r="62" spans="1:7" x14ac:dyDescent="0.2">
      <c r="A62" s="3162" t="s">
        <v>5861</v>
      </c>
      <c r="B62" s="1489" t="s">
        <v>5864</v>
      </c>
      <c r="C62" s="1489" t="s">
        <v>5872</v>
      </c>
      <c r="D62" s="1485"/>
    </row>
  </sheetData>
  <phoneticPr fontId="67" type="noConversion"/>
  <pageMargins bottom="0.39370078740157483" footer="0" header="0" left="0.19685039370078741" right="0.19685039370078741" top="0.39370078740157483"/>
  <pageSetup orientation="portrait" paperSize="9" r:id="rId1"/>
  <headerFooter alignWithMargins="0"/>
</worksheet>
</file>

<file path=xl/worksheets/sheet70.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500-000000000000}">
  <sheetPr codeName="Sheet54">
    <tabColor rgb="FFFFFF00"/>
  </sheetPr>
  <dimension ref="A1:O21"/>
  <sheetViews>
    <sheetView showGridLines="0" topLeftCell="B1" workbookViewId="0" zoomScaleNormal="100">
      <selection activeCell="K12" sqref="K12"/>
    </sheetView>
  </sheetViews>
  <sheetFormatPr defaultColWidth="9.140625" defaultRowHeight="12" x14ac:dyDescent="0.2"/>
  <cols>
    <col min="1" max="1" customWidth="true" hidden="true" style="2982" width="5.85546875" collapsed="true"/>
    <col min="2" max="2" customWidth="true" style="2982" width="38.0" collapsed="true"/>
    <col min="3" max="3" customWidth="true" style="2982" width="7.42578125" collapsed="true"/>
    <col min="4" max="4" customWidth="true" style="2982" width="11.28515625" collapsed="true"/>
    <col min="5" max="5" customWidth="true" style="2982" width="12.0" collapsed="true"/>
    <col min="6" max="6" customWidth="true" style="2982" width="7.5703125" collapsed="true"/>
    <col min="7" max="7" customWidth="true" style="2982" width="15.42578125" collapsed="true"/>
    <col min="8" max="8" customWidth="true" style="2982" width="6.42578125" collapsed="true"/>
    <col min="9" max="9" customWidth="true" style="2982" width="7.28515625" collapsed="true"/>
    <col min="10" max="10" customWidth="true" style="2982" width="15.42578125" collapsed="true"/>
    <col min="11" max="11" customWidth="true" style="2982" width="7.85546875" collapsed="true"/>
    <col min="12" max="12" customWidth="true" style="2982" width="6.28515625" collapsed="true"/>
    <col min="13" max="13" customWidth="true" style="2982" width="7.140625" collapsed="true"/>
    <col min="14" max="14" customWidth="true" style="2982" width="3.85546875" collapsed="true"/>
    <col min="15" max="15" customWidth="true" style="2982" width="7.0" collapsed="true"/>
    <col min="16" max="16" customWidth="true" style="2982" width="11.5703125" collapsed="true"/>
    <col min="17" max="16384" style="2982" width="9.140625" collapsed="true"/>
  </cols>
  <sheetData>
    <row ht="18" r="1" spans="1:14" x14ac:dyDescent="0.25">
      <c r="A1" s="107" t="s">
        <v>3813</v>
      </c>
      <c r="B1" s="2729" t="s">
        <v>5866</v>
      </c>
      <c r="C1" s="981"/>
      <c r="D1" s="981"/>
      <c r="E1" s="981"/>
      <c r="F1" s="981"/>
      <c r="G1" s="981"/>
      <c r="H1" s="981"/>
      <c r="I1" s="981"/>
      <c r="J1" s="981"/>
      <c r="K1" s="981"/>
      <c r="L1" s="981"/>
      <c r="M1" s="981"/>
      <c r="N1" s="981"/>
    </row>
    <row r="2" spans="1:14" x14ac:dyDescent="0.2">
      <c r="A2" s="107" t="s">
        <v>3814</v>
      </c>
      <c r="B2" s="981"/>
      <c r="C2" s="981"/>
      <c r="D2" s="981"/>
      <c r="E2" s="981"/>
      <c r="F2" s="981"/>
      <c r="G2" s="3028" t="s">
        <v>7394</v>
      </c>
      <c r="H2" s="3056"/>
      <c r="I2" s="3056"/>
      <c r="J2" s="3057"/>
      <c r="K2" s="981"/>
      <c r="L2" s="981"/>
      <c r="M2" s="981"/>
      <c r="N2" s="981"/>
    </row>
    <row r="3" spans="1:14" x14ac:dyDescent="0.2">
      <c r="A3" s="107" t="s">
        <v>3815</v>
      </c>
      <c r="B3" s="981"/>
      <c r="C3" s="981"/>
      <c r="D3" s="981"/>
      <c r="E3" s="981"/>
      <c r="F3" s="981"/>
      <c r="G3" s="981"/>
      <c r="H3" s="981"/>
      <c r="I3" s="1479"/>
      <c r="J3" s="1479"/>
      <c r="K3" s="981"/>
      <c r="L3" s="981"/>
      <c r="M3" s="981"/>
      <c r="N3" s="981"/>
    </row>
    <row r="4" spans="1:14" x14ac:dyDescent="0.2">
      <c r="A4" s="107" t="s">
        <v>3817</v>
      </c>
      <c r="B4" s="747" t="s">
        <v>547</v>
      </c>
      <c r="C4" s="375"/>
      <c r="E4" s="375"/>
      <c r="F4" s="375"/>
      <c r="H4" s="375"/>
      <c r="I4" s="375"/>
      <c r="J4" s="375"/>
      <c r="L4" s="981"/>
      <c r="M4" s="981"/>
      <c r="N4" s="981"/>
    </row>
    <row r="5" spans="1:14" x14ac:dyDescent="0.2">
      <c r="A5" s="107" t="s">
        <v>3818</v>
      </c>
      <c r="G5" s="741" t="str">
        <f>"from "&amp;LUN&amp;LUN!C16</f>
        <v>from LUN9</v>
      </c>
    </row>
    <row r="6" spans="1:14" x14ac:dyDescent="0.2">
      <c r="B6" s="684" t="s">
        <v>5198</v>
      </c>
      <c r="C6" s="375"/>
      <c r="F6" s="2293" t="str">
        <f>A1</f>
        <v>c10.1</v>
      </c>
      <c r="G6" s="2294">
        <f>TRUNC(LUN!D17,0)</f>
        <v>0</v>
      </c>
      <c r="H6" s="929" t="s">
        <v>1743</v>
      </c>
      <c r="I6" s="375"/>
      <c r="J6" s="375"/>
      <c r="K6" s="375"/>
      <c r="L6" s="981"/>
      <c r="M6" s="981"/>
      <c r="N6" s="981"/>
    </row>
    <row r="7" spans="1:14" x14ac:dyDescent="0.2">
      <c r="B7" s="375"/>
      <c r="C7" s="375"/>
      <c r="L7" s="981"/>
      <c r="M7" s="981"/>
      <c r="N7" s="981"/>
    </row>
    <row r="8" spans="1:14" x14ac:dyDescent="0.2">
      <c r="G8" s="128" t="str">
        <f>"from  "&amp;'Notional (c21c23)'!G26</f>
        <v>from  c21.12</v>
      </c>
      <c r="L8" s="981"/>
      <c r="M8" s="981"/>
      <c r="N8" s="981"/>
    </row>
    <row r="9" spans="1:14" x14ac:dyDescent="0.2">
      <c r="B9" s="684" t="s">
        <v>5197</v>
      </c>
      <c r="F9" s="2293" t="str">
        <f>A2</f>
        <v>c10.2</v>
      </c>
      <c r="G9" s="2294">
        <f>'Notional (c21c23)'!H26</f>
        <v>0</v>
      </c>
      <c r="H9" s="375"/>
      <c r="I9" s="375"/>
      <c r="J9" s="375"/>
      <c r="L9" s="981"/>
      <c r="M9" s="981"/>
      <c r="N9" s="981"/>
    </row>
    <row r="10" spans="1:14" x14ac:dyDescent="0.2">
      <c r="B10" s="375"/>
      <c r="C10" s="375"/>
      <c r="L10" s="981"/>
      <c r="M10" s="981"/>
      <c r="N10" s="981"/>
    </row>
    <row r="11" spans="1:14" x14ac:dyDescent="0.2">
      <c r="B11" s="375"/>
      <c r="C11" s="375"/>
      <c r="E11" s="375"/>
      <c r="F11" s="375"/>
      <c r="G11" s="669" t="str">
        <f>"lower of "&amp;F6&amp;" and "&amp;F9</f>
        <v>lower of c10.1 and c10.2</v>
      </c>
      <c r="H11" s="375"/>
      <c r="I11" s="375"/>
      <c r="J11" s="128" t="s">
        <v>6393</v>
      </c>
      <c r="L11" s="981"/>
      <c r="M11" s="981"/>
      <c r="N11" s="981"/>
    </row>
    <row r="12" spans="1:14" x14ac:dyDescent="0.2">
      <c r="B12" s="736" t="s">
        <v>2445</v>
      </c>
      <c r="C12" s="375"/>
      <c r="F12" s="2293" t="str">
        <f>A3</f>
        <v>c10.3</v>
      </c>
      <c r="G12" s="2295">
        <f>MIN(G6,G9)</f>
        <v>0</v>
      </c>
      <c r="H12" s="375"/>
      <c r="I12" s="2191" t="str">
        <f>A4</f>
        <v>c10.4</v>
      </c>
      <c r="J12" s="2192">
        <v>0</v>
      </c>
      <c r="K12" s="2309"/>
      <c r="L12" s="981"/>
      <c r="M12" s="981"/>
      <c r="N12" s="981"/>
    </row>
    <row r="13" spans="1:14" x14ac:dyDescent="0.2">
      <c r="A13" s="371"/>
      <c r="B13" s="736"/>
      <c r="C13" s="375"/>
      <c r="F13" s="748"/>
      <c r="G13" s="371"/>
      <c r="H13" s="375"/>
      <c r="I13" s="748"/>
      <c r="J13" s="2308"/>
      <c r="K13" s="2309"/>
      <c r="L13" s="981"/>
      <c r="M13" s="981"/>
      <c r="N13" s="981"/>
    </row>
    <row r="14" spans="1:14" x14ac:dyDescent="0.2">
      <c r="B14" s="2674" t="s">
        <v>8527</v>
      </c>
    </row>
    <row r="15" spans="1:14" x14ac:dyDescent="0.2">
      <c r="B15" s="2674" t="str">
        <f><![CDATA["if non-UK resident ("&INC&'INC(1)'!I15&" + "&INC&'INC(1)'!I18&" + "&FPS&PS!G40&" + "&TRU&TRU!G11&" + "&TRU&TRU!C28&" + "&TRU&TRU!G24&" + "&AOI&AOI!G28&") x DivBR_rate ("&DivBR_rate*100&"%)"]]></f>
        <v>if non-UK resident (INC4 + INC5 + FPS70 + TRU5 + TRU9 + TRU12 + AOI13) x DivBR_rate (7.5%)</v>
      </c>
    </row>
    <row r="16" spans="1:14" x14ac:dyDescent="0.2">
      <c r="J16" s="93" t="str">
        <f>"If "&amp;NRD&amp;NRD!C5&amp;" = N"</f>
        <v>If NRD1 = N</v>
      </c>
    </row>
    <row r="17" spans="5:11" x14ac:dyDescent="0.2">
      <c r="J17" s="93" t="str">
        <f>I21&amp;" = 0 (zero)"</f>
        <v>c10.5 = 0 (zero)</v>
      </c>
    </row>
    <row r="18" spans="5:11" x14ac:dyDescent="0.2">
      <c r="J18" s="93" t="s">
        <v>2386</v>
      </c>
    </row>
    <row r="19" spans="5:11" x14ac:dyDescent="0.2">
      <c r="E19" s="1945"/>
      <c r="F19" s="1945"/>
      <c r="G19" s="1945"/>
      <c r="H19" s="1945"/>
      <c r="I19" s="1945"/>
      <c r="J19" s="2325" t="str">
        <f><![CDATA[I21&" = "&"("&'Divs (c3)'!G5&" + "&'Divs (c3)'!D24&" + "&'Divs (c3)'!D30&" + "&'Divs (c3)'!D37&" + "&'Divs (c3)'!D38&" + "&'Divs (c3)'!D40&") x DivBR_rate ("&DivBR_rate*100&"%)"]]></f>
        <v>c10.5 = (c3.1 + c3.6 + c3.8 + c3.10 + c3.11 + c3.13) x DivBR_rate (7.5%)</v>
      </c>
    </row>
    <row r="20" spans="5:11" x14ac:dyDescent="0.2">
      <c r="J20" s="93" t="s">
        <v>2495</v>
      </c>
      <c r="K20" s="93"/>
    </row>
    <row r="21" spans="5:11" x14ac:dyDescent="0.2">
      <c r="I21" s="2123" t="str">
        <f>A5</f>
        <v>c10.5</v>
      </c>
      <c r="J21" s="1965">
        <f>IF(Resident,0,TRUNC((('Divs (c3)'!H5+'Divs (c3)'!E24+'Divs (c3)'!E30+'Divs (c3)'!E37+'Divs (c3)'!E38+'Divs (c3)'!E40)*DivBR_rate)+0.0099,2))</f>
        <v>0</v>
      </c>
      <c r="K21" s="4335" t="s">
        <v>1707</v>
      </c>
    </row>
  </sheetData>
  <phoneticPr fontId="67" type="noConversion"/>
  <pageMargins bottom="0.196850393700787" footer="0" header="0" left="0.196850393700787" right="0.196850393700787" top="0.196850393700787"/>
  <pageSetup orientation="portrait" paperSize="9" r:id="rId1"/>
  <headerFooter alignWithMargins="0"/>
</worksheet>
</file>

<file path=xl/worksheets/sheet71.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600-000000000000}">
  <sheetPr codeName="Sheet7"/>
  <dimension ref="A1:N90"/>
  <sheetViews>
    <sheetView showGridLines="0" topLeftCell="B16" workbookViewId="0">
      <selection activeCell="E16" sqref="E16"/>
    </sheetView>
  </sheetViews>
  <sheetFormatPr defaultColWidth="9.140625" defaultRowHeight="12" x14ac:dyDescent="0.2"/>
  <cols>
    <col min="1" max="1" customWidth="true" hidden="true" style="121" width="5.140625" collapsed="true"/>
    <col min="2" max="2" customWidth="true" style="121" width="3.0" collapsed="true"/>
    <col min="3" max="3" customWidth="true" style="121" width="16.0" collapsed="true"/>
    <col min="4" max="4" customWidth="true" style="121" width="26.28515625" collapsed="true"/>
    <col min="5" max="5" customWidth="true" style="121" width="12.5703125" collapsed="true"/>
    <col min="6" max="6" customWidth="true" style="121" width="6.28515625" collapsed="true"/>
    <col min="7" max="7" customWidth="true" style="121" width="13.28515625" collapsed="true"/>
    <col min="8" max="8" customWidth="true" style="121" width="5.28515625" collapsed="true"/>
    <col min="9" max="9" customWidth="true" style="121" width="7.7109375" collapsed="true"/>
    <col min="10" max="10" customWidth="true" style="121" width="14.0" collapsed="true"/>
    <col min="11" max="11" bestFit="true" customWidth="true" style="121" width="12.140625" collapsed="true"/>
    <col min="12" max="12" style="121" width="9.140625" collapsed="true"/>
    <col min="13" max="14" customWidth="true" style="121" width="4.7109375" collapsed="true"/>
    <col min="15" max="15" style="121" width="9.140625" collapsed="true"/>
    <col min="16" max="17" customWidth="true" style="121" width="4.7109375" collapsed="true"/>
    <col min="18" max="18" style="121" width="9.140625" collapsed="true"/>
    <col min="19" max="20" customWidth="true" style="121" width="4.7109375" collapsed="true"/>
    <col min="21" max="21" style="121" width="9.140625" collapsed="true"/>
    <col min="22" max="23" customWidth="true" style="121" width="4.7109375" collapsed="true"/>
    <col min="24" max="16384" style="121" width="9.140625" collapsed="true"/>
  </cols>
  <sheetData>
    <row ht="18" r="1" spans="1:13" x14ac:dyDescent="0.25">
      <c r="A1" s="104" t="s">
        <v>3819</v>
      </c>
      <c r="B1" s="2724" t="s">
        <v>4438</v>
      </c>
      <c r="K1" s="37"/>
      <c r="L1" s="37"/>
    </row>
    <row r="2" spans="1:13" x14ac:dyDescent="0.2">
      <c r="A2" s="104" t="s">
        <v>3820</v>
      </c>
      <c r="D2" s="3035" t="s">
        <v>7395</v>
      </c>
      <c r="E2" s="3030"/>
      <c r="F2" s="3030"/>
      <c r="G2" s="3030"/>
      <c r="H2" s="3030"/>
      <c r="I2" s="3036"/>
      <c r="L2" s="37"/>
      <c r="M2" s="37"/>
    </row>
    <row r="3" spans="1:13" x14ac:dyDescent="0.2">
      <c r="A3" s="104" t="s">
        <v>3821</v>
      </c>
      <c r="C3" s="661" t="s">
        <v>3411</v>
      </c>
      <c r="L3" s="37"/>
      <c r="M3" s="37"/>
    </row>
    <row r="4" spans="1:13" x14ac:dyDescent="0.2">
      <c r="A4" s="104" t="s">
        <v>3822</v>
      </c>
      <c r="B4" s="38"/>
      <c r="C4" s="661"/>
      <c r="D4" s="661"/>
      <c r="E4" s="661"/>
      <c r="F4" s="37"/>
      <c r="G4" s="37"/>
      <c r="I4" s="37"/>
      <c r="J4" s="682" t="str">
        <f>"Total all instances ("&amp;EMP&amp;EMP!C7&amp;")"</f>
        <v>Total all instances (EMP2)</v>
      </c>
      <c r="K4" s="37"/>
      <c r="L4" s="37"/>
      <c r="M4" s="37"/>
    </row>
    <row r="5" spans="1:13" x14ac:dyDescent="0.2">
      <c r="A5" s="104" t="s">
        <v>1734</v>
      </c>
      <c r="B5" s="37"/>
      <c r="C5" s="709" t="s">
        <v>2563</v>
      </c>
      <c r="D5" s="709"/>
      <c r="E5" s="709"/>
      <c r="F5" s="709"/>
      <c r="G5" s="709"/>
      <c r="I5" s="743" t="str">
        <f>A1</f>
        <v>c11.1</v>
      </c>
      <c r="J5" s="119">
        <f>EMP!D8+EMP!L8</f>
        <v>2000</v>
      </c>
      <c r="K5" s="3418" t="s">
        <v>1521</v>
      </c>
      <c r="L5" s="2324"/>
      <c r="M5" s="37"/>
    </row>
    <row r="6" spans="1:13" x14ac:dyDescent="0.2">
      <c r="A6" s="104" t="s">
        <v>1417</v>
      </c>
      <c r="L6" s="37"/>
      <c r="M6" s="37"/>
    </row>
    <row r="7" spans="1:13" x14ac:dyDescent="0.2">
      <c r="A7" s="104" t="s">
        <v>2737</v>
      </c>
      <c r="J7" s="725" t="str">
        <f>"from "&amp;ASE&amp;ASE!C17</f>
        <v>from ASE6</v>
      </c>
      <c r="L7" s="37"/>
      <c r="M7" s="37"/>
    </row>
    <row r="8" spans="1:13" x14ac:dyDescent="0.2">
      <c r="A8" s="104" t="s">
        <v>932</v>
      </c>
      <c r="B8" s="37"/>
      <c r="C8" s="709" t="s">
        <v>1439</v>
      </c>
      <c r="D8" s="709"/>
      <c r="E8" s="709"/>
      <c r="F8" s="684"/>
      <c r="G8" s="684"/>
      <c r="I8" s="743" t="str">
        <f>A2</f>
        <v>c11.2</v>
      </c>
      <c r="J8" s="735">
        <f>MAX(0,ASE!D18)</f>
        <v>0</v>
      </c>
      <c r="K8" s="37"/>
      <c r="L8" s="37"/>
      <c r="M8" s="37"/>
    </row>
    <row r="9" spans="1:13" x14ac:dyDescent="0.2">
      <c r="A9" s="104" t="s">
        <v>3938</v>
      </c>
      <c r="L9" s="37"/>
      <c r="M9" s="37"/>
    </row>
    <row r="10" spans="1:13" x14ac:dyDescent="0.2">
      <c r="A10" s="104" t="s">
        <v>3939</v>
      </c>
      <c r="J10" s="682" t="str">
        <f>"Total all instances ("&amp;MOR&amp;MOR!G19&amp;")"</f>
        <v>Total all instances (MOR39)</v>
      </c>
      <c r="L10" s="37"/>
      <c r="M10" s="37"/>
    </row>
    <row r="11" spans="1:13" x14ac:dyDescent="0.2">
      <c r="A11" s="104" t="s">
        <v>3940</v>
      </c>
      <c r="B11" s="37"/>
      <c r="C11" s="709" t="s">
        <v>2564</v>
      </c>
      <c r="D11" s="684"/>
      <c r="E11" s="684"/>
      <c r="F11" s="684"/>
      <c r="G11" s="682"/>
      <c r="I11" s="743" t="str">
        <f>A3</f>
        <v>c11.3</v>
      </c>
      <c r="J11" s="745">
        <f>MOR!H20</f>
        <v>0</v>
      </c>
      <c r="K11" s="3418" t="s">
        <v>1521</v>
      </c>
      <c r="L11" s="2324"/>
      <c r="M11" s="37"/>
    </row>
    <row r="12" spans="1:13" x14ac:dyDescent="0.2">
      <c r="A12" s="104" t="s">
        <v>3941</v>
      </c>
      <c r="B12" s="37"/>
      <c r="C12" s="709"/>
      <c r="D12" s="684"/>
      <c r="E12" s="684"/>
      <c r="F12" s="684"/>
      <c r="G12" s="682"/>
      <c r="H12" s="682"/>
      <c r="I12" s="682"/>
      <c r="J12" s="682"/>
      <c r="K12" s="37"/>
      <c r="L12" s="37"/>
      <c r="M12" s="37"/>
    </row>
    <row r="13" spans="1:13" x14ac:dyDescent="0.2">
      <c r="A13" s="104" t="s">
        <v>3942</v>
      </c>
      <c r="B13" s="37"/>
      <c r="H13" s="709"/>
      <c r="I13" s="709"/>
      <c r="J13" s="682" t="str">
        <f><![CDATA[INC&'INC(2)'!C10&" + "&INC&'INC(2)'!G4&" + "&INC&'INC(2)'!G10]]></f>
        <v>INC10 + INC12 + INC14</v>
      </c>
      <c r="L13" s="37"/>
      <c r="M13" s="37"/>
    </row>
    <row r="14" spans="1:13" x14ac:dyDescent="0.2">
      <c r="A14" s="104" t="s">
        <v>3943</v>
      </c>
      <c r="B14" s="37"/>
      <c r="C14" s="709" t="s">
        <v>3159</v>
      </c>
      <c r="D14" s="709"/>
      <c r="E14" s="709"/>
      <c r="I14" s="743" t="str">
        <f>A4</f>
        <v>c11.4</v>
      </c>
      <c r="J14" s="119">
        <f>'INC(2)'!D11+'INC(2)'!H5+'INC(2)'!H11</f>
        <v>0</v>
      </c>
      <c r="K14" s="2311" t="s">
        <v>1521</v>
      </c>
      <c r="L14" s="37"/>
      <c r="M14" s="37"/>
    </row>
    <row r="15" spans="1:13" x14ac:dyDescent="0.2">
      <c r="A15" s="104" t="s">
        <v>3944</v>
      </c>
      <c r="B15" s="37"/>
      <c r="C15" s="709"/>
      <c r="D15" s="709"/>
      <c r="E15" s="709"/>
      <c r="F15" s="709"/>
      <c r="G15" s="709"/>
      <c r="H15" s="682"/>
      <c r="I15" s="682"/>
      <c r="L15" s="37"/>
      <c r="M15" s="37"/>
    </row>
    <row r="16" spans="1:13" x14ac:dyDescent="0.2">
      <c r="A16" s="104" t="s">
        <v>3945</v>
      </c>
      <c r="L16" s="37"/>
      <c r="M16" s="37"/>
    </row>
    <row r="17" spans="1:13" x14ac:dyDescent="0.2">
      <c r="A17" s="104" t="s">
        <v>3946</v>
      </c>
      <c r="B17" s="37"/>
      <c r="C17" s="709"/>
      <c r="D17" s="709"/>
      <c r="E17" s="709"/>
      <c r="F17" s="709"/>
      <c r="G17" s="709"/>
      <c r="H17" s="682"/>
      <c r="I17" s="682"/>
      <c r="J17" s="38" t="str">
        <f>I5&amp;" + "&amp;I8&amp;" + "&amp;I11&amp;" + "&amp;I14</f>
        <v>c11.1 + c11.2 + c11.3 + c11.4</v>
      </c>
      <c r="L17" s="37"/>
      <c r="M17" s="37"/>
    </row>
    <row r="18" spans="1:13" x14ac:dyDescent="0.2">
      <c r="A18" s="104" t="s">
        <v>2861</v>
      </c>
      <c r="B18" s="37"/>
      <c r="C18" s="709" t="s">
        <v>2471</v>
      </c>
      <c r="D18" s="709"/>
      <c r="E18" s="709"/>
      <c r="F18" s="709"/>
      <c r="G18" s="709"/>
      <c r="H18" s="682"/>
      <c r="I18" s="743" t="str">
        <f>A5</f>
        <v>c11.5</v>
      </c>
      <c r="J18" s="119">
        <f>MAX(0,J5+J8+J11+J14)</f>
        <v>2000</v>
      </c>
      <c r="L18" s="37"/>
      <c r="M18" s="37"/>
    </row>
    <row r="19" spans="1:13" x14ac:dyDescent="0.2">
      <c r="A19" s="104" t="s">
        <v>859</v>
      </c>
      <c r="B19" s="37"/>
      <c r="C19" s="709"/>
      <c r="D19" s="709"/>
      <c r="E19" s="709"/>
      <c r="F19" s="709"/>
      <c r="G19" s="709"/>
      <c r="H19" s="682"/>
      <c r="I19" s="682"/>
      <c r="J19" s="116"/>
      <c r="L19" s="37"/>
      <c r="M19" s="37"/>
    </row>
    <row r="20" spans="1:13" x14ac:dyDescent="0.2">
      <c r="A20" s="104" t="s">
        <v>860</v>
      </c>
      <c r="B20" s="37"/>
      <c r="J20" s="682" t="str">
        <f>"from CAL"&amp;CAL!G9</f>
        <v>from CAL9</v>
      </c>
      <c r="L20" s="37"/>
      <c r="M20" s="37"/>
    </row>
    <row r="21" spans="1:13" x14ac:dyDescent="0.2">
      <c r="A21" s="104" t="s">
        <v>861</v>
      </c>
      <c r="C21" s="709" t="s">
        <v>2473</v>
      </c>
      <c r="D21" s="709"/>
      <c r="E21" s="709"/>
      <c r="F21" s="709"/>
      <c r="G21" s="709"/>
      <c r="I21" s="743" t="str">
        <f>A6</f>
        <v>c11.6</v>
      </c>
      <c r="J21" s="119">
        <f>CAL!H10</f>
        <v>0</v>
      </c>
      <c r="L21" s="37"/>
      <c r="M21" s="37"/>
    </row>
    <row r="22" spans="1:13" x14ac:dyDescent="0.2">
      <c r="A22" s="104" t="s">
        <v>862</v>
      </c>
      <c r="C22" s="680"/>
      <c r="D22" s="709"/>
      <c r="E22" s="709"/>
      <c r="F22" s="709"/>
      <c r="G22" s="709"/>
      <c r="H22" s="682"/>
      <c r="I22" s="902"/>
      <c r="J22" s="116"/>
      <c r="L22" s="37"/>
      <c r="M22" s="37"/>
    </row>
    <row r="23" spans="1:13" x14ac:dyDescent="0.2">
      <c r="A23" s="104" t="s">
        <v>863</v>
      </c>
      <c r="B23" s="4352"/>
      <c r="C23" s="2715"/>
      <c r="D23" s="1481"/>
      <c r="E23" s="1481"/>
      <c r="F23" s="1481"/>
      <c r="G23" s="1481"/>
      <c r="H23" s="2716"/>
      <c r="I23" s="2717"/>
      <c r="J23" s="2718"/>
      <c r="L23" s="37"/>
      <c r="M23" s="37"/>
    </row>
    <row r="24" spans="1:13" x14ac:dyDescent="0.2">
      <c r="A24" s="104" t="s">
        <v>1838</v>
      </c>
      <c r="B24" s="4353"/>
      <c r="C24" s="2299"/>
      <c r="D24" s="993"/>
      <c r="E24" s="993"/>
      <c r="F24" s="993"/>
      <c r="G24" s="993"/>
      <c r="H24" s="1789"/>
      <c r="I24" s="2719"/>
      <c r="J24" s="2720"/>
      <c r="L24" s="37"/>
      <c r="M24" s="37"/>
    </row>
    <row r="25" spans="1:13" x14ac:dyDescent="0.2">
      <c r="A25" s="104" t="s">
        <v>1407</v>
      </c>
      <c r="B25" s="4354"/>
      <c r="C25" s="2299"/>
      <c r="D25" s="993"/>
      <c r="E25" s="993"/>
      <c r="F25" s="993"/>
      <c r="G25" s="993"/>
      <c r="H25" s="1789"/>
      <c r="I25" s="2719"/>
      <c r="J25" s="2720"/>
      <c r="L25" s="37"/>
      <c r="M25" s="37"/>
    </row>
    <row r="26" spans="1:13" x14ac:dyDescent="0.2">
      <c r="A26" s="104" t="s">
        <v>1466</v>
      </c>
      <c r="B26" s="4355"/>
      <c r="C26" s="2299"/>
      <c r="D26" s="993"/>
      <c r="E26" s="993"/>
      <c r="F26" s="993"/>
      <c r="G26" s="993"/>
      <c r="H26" s="1789"/>
      <c r="I26" s="2719"/>
      <c r="J26" s="2720"/>
      <c r="L26" s="37"/>
      <c r="M26" s="37"/>
    </row>
    <row r="27" spans="1:13" x14ac:dyDescent="0.2">
      <c r="A27" s="104" t="s">
        <v>826</v>
      </c>
      <c r="B27" s="4354"/>
      <c r="C27" s="2299"/>
      <c r="D27" s="993"/>
      <c r="E27" s="993"/>
      <c r="F27" s="993"/>
      <c r="G27" s="993"/>
      <c r="H27" s="1789"/>
      <c r="I27" s="1789"/>
      <c r="J27" s="2720"/>
      <c r="L27" s="37"/>
      <c r="M27" s="37"/>
    </row>
    <row r="28" spans="1:13" x14ac:dyDescent="0.2">
      <c r="A28" s="104" t="s">
        <v>2472</v>
      </c>
      <c r="B28" s="4356"/>
      <c r="C28" s="1047"/>
      <c r="D28" s="1047"/>
      <c r="E28" s="1047"/>
      <c r="F28" s="1047"/>
      <c r="G28" s="1047"/>
      <c r="H28" s="2721"/>
      <c r="I28" s="2722"/>
      <c r="J28" s="2749"/>
      <c r="L28" s="37"/>
      <c r="M28" s="37"/>
    </row>
    <row customFormat="1" r="29" s="2331" spans="1:13" x14ac:dyDescent="0.2">
      <c r="A29" s="104" t="s">
        <v>2064</v>
      </c>
      <c r="B29" s="2344"/>
      <c r="C29" s="709"/>
      <c r="D29" s="709"/>
      <c r="E29" s="709"/>
      <c r="F29" s="709"/>
      <c r="G29" s="709"/>
      <c r="H29" s="682"/>
      <c r="I29" s="902"/>
      <c r="J29" s="2345"/>
      <c r="L29" s="37"/>
      <c r="M29" s="37"/>
    </row>
    <row customFormat="1" r="30" s="2331" spans="1:13" x14ac:dyDescent="0.2">
      <c r="A30" s="104" t="s">
        <v>6142</v>
      </c>
      <c r="B30" s="2344"/>
      <c r="C30" s="709"/>
      <c r="D30" s="709"/>
      <c r="E30" s="709"/>
      <c r="F30" s="709"/>
      <c r="G30" s="709"/>
      <c r="H30" s="682"/>
      <c r="I30" s="902"/>
      <c r="J30" s="2345"/>
      <c r="L30" s="37"/>
      <c r="M30" s="37"/>
    </row>
    <row r="31" spans="1:13" x14ac:dyDescent="0.2">
      <c r="A31" s="104" t="s">
        <v>6143</v>
      </c>
      <c r="J31" s="669" t="str">
        <f>"lower of "&amp;I18&amp;" and "&amp;I21</f>
        <v>lower of c11.5 and c11.6</v>
      </c>
      <c r="L31" s="37"/>
      <c r="M31" s="37"/>
    </row>
    <row r="32" spans="1:13" x14ac:dyDescent="0.2">
      <c r="B32" s="37"/>
      <c r="C32" s="709" t="s">
        <v>2063</v>
      </c>
      <c r="D32" s="709"/>
      <c r="E32" s="709"/>
      <c r="F32" s="709"/>
      <c r="G32" s="709"/>
      <c r="H32" s="682"/>
      <c r="I32" s="743" t="str">
        <f>A7</f>
        <v>c11.7</v>
      </c>
      <c r="J32" s="119">
        <f>MIN(J18,J21)</f>
        <v>0</v>
      </c>
      <c r="L32" s="37"/>
      <c r="M32" s="37"/>
    </row>
    <row r="33" spans="1:13" x14ac:dyDescent="0.2">
      <c r="B33" s="37"/>
      <c r="C33" s="709"/>
      <c r="D33" s="709"/>
      <c r="E33" s="709"/>
      <c r="F33" s="709"/>
      <c r="G33" s="709"/>
      <c r="H33" s="682"/>
      <c r="I33" s="682"/>
      <c r="J33" s="116"/>
      <c r="L33" s="37"/>
      <c r="M33" s="37"/>
    </row>
    <row r="34" spans="1:13" x14ac:dyDescent="0.2">
      <c r="B34" s="37"/>
      <c r="C34" s="709"/>
      <c r="D34" s="709"/>
      <c r="E34" s="709"/>
      <c r="F34" s="709"/>
      <c r="G34" s="709"/>
      <c r="H34" s="682"/>
      <c r="I34" s="902"/>
      <c r="J34" s="118" t="str">
        <f>I18&amp;" minus "&amp;I32</f>
        <v>c11.5 minus c11.7</v>
      </c>
      <c r="L34" s="37"/>
      <c r="M34" s="37"/>
    </row>
    <row r="35" spans="1:13" x14ac:dyDescent="0.2">
      <c r="B35" s="37"/>
      <c r="C35" s="709" t="s">
        <v>2065</v>
      </c>
      <c r="D35" s="709"/>
      <c r="E35" s="709"/>
      <c r="F35" s="709"/>
      <c r="G35" s="709"/>
      <c r="H35" s="682"/>
      <c r="I35" s="743" t="str">
        <f>A8</f>
        <v>c11.8</v>
      </c>
      <c r="J35" s="119">
        <f>MAX(0,J18-J32)</f>
        <v>2000</v>
      </c>
      <c r="L35" s="37"/>
      <c r="M35" s="37"/>
    </row>
    <row r="36" spans="1:13" x14ac:dyDescent="0.2">
      <c r="B36" s="37"/>
      <c r="C36" s="684"/>
      <c r="D36" s="684"/>
      <c r="E36" s="684"/>
      <c r="F36" s="684"/>
      <c r="G36" s="684"/>
      <c r="H36" s="684"/>
      <c r="I36" s="684"/>
      <c r="K36" s="37"/>
      <c r="L36" s="37"/>
      <c r="M36" s="37"/>
    </row>
    <row r="37" spans="1:13" x14ac:dyDescent="0.2">
      <c r="B37" s="37"/>
      <c r="J37" s="682" t="str">
        <f>"total all instances ("&amp;SSE&amp;SE!C20&amp;")"</f>
        <v>total all instances (SSE38)</v>
      </c>
      <c r="L37" s="37"/>
    </row>
    <row r="38" spans="1:13" x14ac:dyDescent="0.2">
      <c r="B38" s="37"/>
      <c r="C38" s="709" t="s">
        <v>4010</v>
      </c>
      <c r="D38" s="709"/>
      <c r="E38" s="709"/>
      <c r="F38" s="709"/>
      <c r="G38" s="709"/>
      <c r="I38" s="743" t="str">
        <f>A9</f>
        <v>c11.9</v>
      </c>
      <c r="J38" s="745">
        <f>MAX(0,SE!D21)</f>
        <v>0</v>
      </c>
      <c r="K38" s="933"/>
      <c r="L38" s="37"/>
    </row>
    <row r="39" spans="1:13" x14ac:dyDescent="0.2">
      <c r="B39" s="37"/>
      <c r="L39" s="37"/>
    </row>
    <row r="40" spans="1:13" x14ac:dyDescent="0.2">
      <c r="B40" s="37"/>
      <c r="J40" s="689" t="str">
        <f><![CDATA["total all instances ("&FSE&SE!G20&" + "&FSE&SE!G23&")"]]></f>
        <v>total all instances (FSE81 + FSE82)</v>
      </c>
      <c r="L40" s="37"/>
    </row>
    <row r="41" spans="1:13" x14ac:dyDescent="0.2">
      <c r="B41" s="37"/>
      <c r="C41" s="684"/>
      <c r="D41" s="684"/>
      <c r="E41" s="684"/>
      <c r="F41" s="684"/>
      <c r="G41" s="684"/>
      <c r="I41" s="743" t="str">
        <f>A10</f>
        <v>c11.10</v>
      </c>
      <c r="J41" s="745">
        <f>SE!H21+SE!H24</f>
        <v>0</v>
      </c>
      <c r="K41" s="933"/>
      <c r="L41" s="37"/>
    </row>
    <row r="42" spans="1:13" x14ac:dyDescent="0.2">
      <c r="B42" s="37"/>
      <c r="C42" s="709"/>
      <c r="D42" s="709"/>
      <c r="E42" s="709"/>
      <c r="F42" s="709"/>
      <c r="G42" s="684"/>
      <c r="H42" s="684"/>
      <c r="I42" s="684"/>
      <c r="K42" s="37"/>
      <c r="L42" s="37"/>
      <c r="M42" s="37"/>
    </row>
    <row r="43" spans="1:13" x14ac:dyDescent="0.2">
      <c r="B43" s="37"/>
      <c r="J43" s="682" t="str">
        <f><![CDATA[LUN&LUN!C4&" + "&LUN&LUN!G4&" + "&LUN&LUN!G13]]></f>
        <v>LUN4 + LUN14 + LUN17</v>
      </c>
      <c r="L43" s="37"/>
      <c r="M43" s="37"/>
    </row>
    <row r="44" spans="1:13" x14ac:dyDescent="0.2">
      <c r="B44" s="37"/>
      <c r="C44" s="709" t="s">
        <v>3409</v>
      </c>
      <c r="D44" s="709"/>
      <c r="E44" s="709"/>
      <c r="F44" s="709"/>
      <c r="G44" s="709"/>
      <c r="I44" s="743" t="str">
        <f>A11</f>
        <v>c11.11</v>
      </c>
      <c r="J44" s="119">
        <f>MAX(0,LUN!D5+LUN!H5+LUN!H14)</f>
        <v>0</v>
      </c>
      <c r="K44" s="37"/>
      <c r="L44" s="37"/>
      <c r="M44" s="37"/>
    </row>
    <row r="45" spans="1:13" x14ac:dyDescent="0.2">
      <c r="B45" s="37"/>
      <c r="C45" s="709"/>
      <c r="D45" s="709"/>
      <c r="E45" s="709"/>
      <c r="F45" s="709"/>
      <c r="G45" s="709"/>
      <c r="H45" s="709"/>
      <c r="I45" s="684"/>
      <c r="J45" s="37"/>
      <c r="K45" s="37"/>
      <c r="L45" s="37"/>
      <c r="M45" s="37"/>
    </row>
    <row r="46" spans="1:13" x14ac:dyDescent="0.2">
      <c r="B46" s="37"/>
      <c r="J46" s="682" t="str">
        <f><![CDATA["Total all instances ("&SPS&PS!C31&" + "&SPS&PS!C34&")"]]></f>
        <v>Total all instances (SPS30 + SPS31)</v>
      </c>
      <c r="L46" s="37"/>
      <c r="M46" s="37"/>
    </row>
    <row r="47" spans="1:13" x14ac:dyDescent="0.2">
      <c r="B47" s="37"/>
      <c r="C47" s="709" t="s">
        <v>2712</v>
      </c>
      <c r="D47" s="684"/>
      <c r="E47" s="709"/>
      <c r="F47" s="709"/>
      <c r="G47" s="684"/>
      <c r="I47" s="743" t="str">
        <f>A12</f>
        <v>c11.12</v>
      </c>
      <c r="J47" s="119">
        <f>MAX(0,PS!D32+PS!D35)</f>
        <v>0</v>
      </c>
      <c r="K47" s="933"/>
      <c r="L47" s="37"/>
      <c r="M47" s="37"/>
    </row>
    <row r="48" spans="1:13" x14ac:dyDescent="0.2">
      <c r="A48" s="37"/>
      <c r="L48" s="37"/>
      <c r="M48" s="37"/>
    </row>
    <row r="49" spans="2:13" x14ac:dyDescent="0.2">
      <c r="B49" s="37"/>
      <c r="J49" s="682" t="str">
        <f><![CDATA["Total all instances ("&FPS&PS!G46&" + "&FPS&PS!G49&" + "&FPS&PS!J49&")"]]></f>
        <v>Total all instances (FPS77 + FPS78 + FPS79)</v>
      </c>
      <c r="L49" s="37"/>
      <c r="M49" s="37"/>
    </row>
    <row r="50" spans="2:13" x14ac:dyDescent="0.2">
      <c r="B50" s="37"/>
      <c r="C50" s="709"/>
      <c r="D50" s="709"/>
      <c r="E50" s="709"/>
      <c r="F50" s="709"/>
      <c r="G50" s="709"/>
      <c r="I50" s="743" t="str">
        <f>A13</f>
        <v>c11.13</v>
      </c>
      <c r="J50" s="119">
        <f>PS!H47+PS!H50+PS!K50</f>
        <v>0</v>
      </c>
      <c r="K50" s="933"/>
      <c r="L50" s="37"/>
      <c r="M50" s="37"/>
    </row>
    <row r="51" spans="2:13" x14ac:dyDescent="0.2">
      <c r="B51" s="37"/>
      <c r="C51" s="684"/>
      <c r="D51" s="684"/>
      <c r="E51" s="684"/>
      <c r="F51" s="684"/>
      <c r="G51" s="684"/>
      <c r="H51" s="684"/>
      <c r="I51" s="684"/>
      <c r="K51" s="37"/>
      <c r="L51" s="37"/>
      <c r="M51" s="37"/>
    </row>
    <row r="52" spans="2:13" x14ac:dyDescent="0.2">
      <c r="B52" s="37"/>
      <c r="J52" s="682" t="str">
        <f>"from "&amp;PRO&amp;PRO!C21</f>
        <v>from PRO21</v>
      </c>
    </row>
    <row r="53" spans="2:13" x14ac:dyDescent="0.2">
      <c r="B53" s="37"/>
      <c r="C53" s="709" t="s">
        <v>3902</v>
      </c>
      <c r="D53" s="709"/>
      <c r="E53" s="709"/>
      <c r="F53" s="709"/>
      <c r="G53" s="684"/>
      <c r="I53" s="743" t="str">
        <f>A14</f>
        <v>c11.14</v>
      </c>
      <c r="J53" s="745">
        <f>MAX(0,PRO!D22)</f>
        <v>0</v>
      </c>
      <c r="K53" s="37"/>
    </row>
    <row r="54" spans="2:13" x14ac:dyDescent="0.2">
      <c r="B54" s="37"/>
      <c r="C54" s="709"/>
      <c r="D54" s="709"/>
      <c r="E54" s="709"/>
      <c r="F54" s="709"/>
      <c r="G54" s="709"/>
      <c r="H54" s="709"/>
      <c r="I54" s="684"/>
      <c r="J54" s="37"/>
    </row>
    <row r="55" spans="2:13" x14ac:dyDescent="0.2">
      <c r="B55" s="37"/>
      <c r="J55" s="682" t="str">
        <f><![CDATA[FOR&FOR!C17&" + "&FOR&FOR!C20&" + "&FOR&FOR!C28&" + "&FOR&FOR!C31&" + "&FOR&FOR!C34&" + "&FOR&FOR!K15&" + "&FOR&FOR!O25]]></f>
        <v>FOR3 + FOR5 + FOR8 + FOR10 + FOR12 + FOR29 + FOR40</v>
      </c>
    </row>
    <row r="56" spans="2:13" x14ac:dyDescent="0.2">
      <c r="B56" s="37"/>
      <c r="C56" s="709" t="s">
        <v>1370</v>
      </c>
      <c r="D56" s="709"/>
      <c r="E56" s="709"/>
      <c r="F56" s="709"/>
      <c r="G56" s="709"/>
      <c r="I56" s="743" t="str">
        <f>A15</f>
        <v>c11.15</v>
      </c>
      <c r="J56" s="119">
        <f>MAX(0,FOR!D18-'Swiss Tax'!H9)+MAX(0,FOR!D21-'Swiss Tax'!H16-'Swiss Tax'!H23)+FOR!D29+FOR!D32+FOR!D35+FOR!L16+FOR!P26</f>
        <v>0</v>
      </c>
      <c r="K56" s="37"/>
    </row>
    <row r="57" spans="2:13" x14ac:dyDescent="0.2">
      <c r="B57" s="37"/>
      <c r="F57" s="37"/>
      <c r="G57" s="37"/>
      <c r="H57" s="38"/>
      <c r="J57" s="37"/>
      <c r="K57" s="37"/>
    </row>
    <row r="58" spans="2:13" x14ac:dyDescent="0.2">
      <c r="B58" s="37"/>
      <c r="C58" s="709" t="s">
        <v>1878</v>
      </c>
      <c r="D58" s="709"/>
      <c r="E58" s="709"/>
      <c r="F58" s="684"/>
    </row>
    <row r="59" spans="2:13" x14ac:dyDescent="0.2">
      <c r="C59" s="684"/>
      <c r="D59" s="684"/>
      <c r="E59" s="682" t="str">
        <f>'NS income (c1)'!D128&amp;" x BR_rate ("&amp;BR_rate*100&amp;"%)"</f>
        <v>(TRU3 + TRU7 + TRU16) x NS_gross (100/80) x BR_rate (20%)</v>
      </c>
      <c r="F59" s="743" t="str">
        <f ref="F59:F65" si="0" t="shared">A16</f>
        <v>c11.16</v>
      </c>
      <c r="G59" s="746">
        <f>TRUNC(((TRU!D12+TRU!D21+TRU!L7)*NS_gross*BR_rate)+0.0099,2)</f>
        <v>0</v>
      </c>
      <c r="H59" s="932" t="s">
        <v>1707</v>
      </c>
    </row>
    <row r="60" spans="2:13" x14ac:dyDescent="0.2">
      <c r="C60" s="684"/>
      <c r="D60" s="684"/>
      <c r="E60" s="682" t="str">
        <f><![CDATA[TRU&TRU!C6&" x trust_gross ("&trust_gross_F&")"&" x AHR_rate ("&AHR_rate*100&"%)"]]></f>
        <v>TRU1 x trust_gross (100/55) x AHR_rate (45%)</v>
      </c>
      <c r="F60" s="743" t="str">
        <f si="0" t="shared"/>
        <v>c11.17</v>
      </c>
      <c r="G60" s="746">
        <f>TRUNC((TRU!D7*trust_gross*AHR_rate)+0.0099,2)</f>
        <v>0</v>
      </c>
      <c r="H60" s="932" t="s">
        <v>1707</v>
      </c>
    </row>
    <row r="61" spans="2:13" x14ac:dyDescent="0.2">
      <c r="E61" s="682" t="str">
        <f><![CDATA[TRU&TRU!C32&" x trust_gross ("&trust_gross_F&") x AHR_rate ("&AHR_rate*100&"%)"]]></f>
        <v>TRU10 x trust_gross (100/55) x AHR_rate (45%)</v>
      </c>
      <c r="F61" s="743" t="str">
        <f si="0" t="shared"/>
        <v>c11.18</v>
      </c>
      <c r="G61" s="746">
        <f>TRUNC((TRU!D33*trust_gross*AHR_rate)+0.0099,2)</f>
        <v>0</v>
      </c>
      <c r="H61" s="932" t="s">
        <v>1707</v>
      </c>
    </row>
    <row r="62" spans="2:13" x14ac:dyDescent="0.2">
      <c r="C62" s="684"/>
      <c r="D62" s="684"/>
      <c r="E62" s="682" t="str">
        <f>'NS income (c1)'!D132&amp;" x OLD_BR ("&amp;OLD_BR*100&amp;"%)"</f>
        <v>TRU20 x Gross_By_22 (100/78) x OLD_BR (22%)</v>
      </c>
      <c r="F62" s="743" t="str">
        <f si="0" t="shared"/>
        <v>c11.19</v>
      </c>
      <c r="G62" s="746">
        <f>TRUNC((TRU!P12*100/78*OLD_BR)+0.0099,2)</f>
        <v>0</v>
      </c>
      <c r="H62" s="932" t="s">
        <v>1707</v>
      </c>
    </row>
    <row r="63" spans="2:13" x14ac:dyDescent="0.2">
      <c r="C63" s="684"/>
      <c r="D63" s="684"/>
      <c r="E63" s="682" t="str">
        <f>'Savings (c2)'!F45&amp;" "&amp;'Savings (c2)'!F46&amp;" x BR_rate ("&amp;BR_rate*100&amp;"%)"</f>
        <v>(TRU4 + TRU8 + TRU17) x savings_gross (100/80) x BR_rate (20%)</v>
      </c>
      <c r="F63" s="743" t="str">
        <f si="0" t="shared"/>
        <v>c11.20</v>
      </c>
      <c r="G63" s="746">
        <f>TRUNC(((TRU!D16+TRU!D25+TRU!L12)*savings_gross*BR_rate)+0.0099,2)</f>
        <v>0</v>
      </c>
      <c r="H63" s="932" t="s">
        <v>1707</v>
      </c>
      <c r="K63" s="37"/>
    </row>
    <row r="64" spans="2:13" x14ac:dyDescent="0.2">
      <c r="C64" s="684"/>
      <c r="D64" s="684"/>
      <c r="E64" s="682" t="str">
        <f>'Savings (c2)'!F49&amp;" x AHR_rate ("&amp;AHR_rate*100&amp;"%)"</f>
        <v>TRU11 x trust_gross (100/55) x AHR_rate (45%)</v>
      </c>
      <c r="F64" s="743" t="str">
        <f si="0" t="shared"/>
        <v>c11.21</v>
      </c>
      <c r="G64" s="746">
        <f>TRUNC(((TRU!H21)*trust_gross*AHR_rate)+0.0099,2)</f>
        <v>0</v>
      </c>
      <c r="H64" s="932" t="s">
        <v>1707</v>
      </c>
      <c r="K64" s="37"/>
    </row>
    <row r="65" spans="3:11" x14ac:dyDescent="0.2">
      <c r="C65" s="684"/>
      <c r="D65" s="1783"/>
      <c r="E65" s="682" t="str">
        <f>'Divs (c3)'!E29&amp;" x DivAR_rate ("&amp;(trust_div_gross_P*100)&amp;"%)"</f>
        <v>TRU12 x trust_div_gross (100/61.9) x DivAR_rate (38.1%)</v>
      </c>
      <c r="F65" s="743" t="str">
        <f si="0" t="shared"/>
        <v>c11.22</v>
      </c>
      <c r="G65" s="746">
        <f>TRUNC(((TRU!H25)*100/data!K53*DivAR_rate)+0.0099,2)</f>
        <v>0</v>
      </c>
      <c r="H65" s="929" t="s">
        <v>1707</v>
      </c>
      <c r="J65" s="1735"/>
    </row>
    <row r="66" spans="3:11" x14ac:dyDescent="0.2">
      <c r="C66" s="684"/>
      <c r="D66" s="1783"/>
      <c r="E66" s="682" t="str">
        <f><![CDATA["(TRU"&TRU!G11&" + TRU"&TRU!C28&" + TRU"&TRU!K15&") x divs_gross ("&divs_gross_F&") x DivBR_rate ("&divs_gross_P*100&"%)"]]></f>
        <v>(TRU5 + TRU9 + TRU18) x divs_gross (100/92.5) x DivBR_rate (7.5%)</v>
      </c>
      <c r="F66" s="743" t="s">
        <v>863</v>
      </c>
      <c r="G66" s="746">
        <f>TRUNC(((TRU!H12+TRU!D29+TRU!L16)*100/data!K47*DivBR_rate)+0.0099,2)</f>
        <v>0</v>
      </c>
      <c r="H66" s="929" t="s">
        <v>1707</v>
      </c>
    </row>
    <row r="67" spans="3:11" x14ac:dyDescent="0.2">
      <c r="C67" s="684"/>
      <c r="D67" s="682"/>
      <c r="E67" s="682" t="str">
        <f>"from "&amp;TRU&amp;TRU!G36</f>
        <v>from TRU15</v>
      </c>
      <c r="F67" s="743" t="str">
        <f>A24</f>
        <v>c11.24</v>
      </c>
      <c r="G67" s="746">
        <f>TRU!H37</f>
        <v>0</v>
      </c>
    </row>
    <row r="69" spans="3:11" x14ac:dyDescent="0.2">
      <c r="J69" s="38" t="str">
        <f><![CDATA[F59&" + "&F60&" + "&F61&" + "&F62&" + "&F63&" + "&F64&" + "&F65&" + "&F66&" + "&F67]]></f>
        <v>c11.16 + c11.17 + c11.18 + c11.19 + c11.20 + c11.21 + c11.22 + c11.23 + c11.24</v>
      </c>
    </row>
    <row r="70" spans="3:11" x14ac:dyDescent="0.2">
      <c r="C70" s="715" t="s">
        <v>7007</v>
      </c>
      <c r="F70" s="37"/>
      <c r="G70" s="37"/>
      <c r="I70" s="743" t="str">
        <f>A25</f>
        <v>c11.25</v>
      </c>
      <c r="J70" s="119">
        <f>MAX(0,G59+G60+G61+G62+G63+G64+G65+G66+G67)</f>
        <v>0</v>
      </c>
    </row>
    <row r="71" spans="3:11" x14ac:dyDescent="0.2">
      <c r="C71" s="37"/>
      <c r="D71" s="37"/>
      <c r="E71" s="37"/>
    </row>
    <row r="72" spans="3:11" x14ac:dyDescent="0.2">
      <c r="J72" s="682" t="str">
        <f>NRD&amp;NRD!D19&amp;" + "&amp;NRD&amp;NRD!D22</f>
        <v>NRD21 + NRD22</v>
      </c>
    </row>
    <row r="73" spans="3:11" x14ac:dyDescent="0.2">
      <c r="C73" s="715" t="s">
        <v>1879</v>
      </c>
      <c r="D73" s="715"/>
      <c r="E73" s="715"/>
      <c r="F73" s="682"/>
      <c r="G73" s="684"/>
      <c r="I73" s="743" t="str">
        <f>A26</f>
        <v>c11.26</v>
      </c>
      <c r="J73" s="745">
        <f>MAX(0,NRD!E20+NRD!E23)</f>
        <v>0</v>
      </c>
    </row>
    <row r="74" spans="3:11" x14ac:dyDescent="0.2">
      <c r="C74" s="709"/>
      <c r="D74" s="709"/>
      <c r="E74" s="709"/>
      <c r="F74" s="684"/>
      <c r="G74" s="684"/>
      <c r="H74" s="682"/>
      <c r="I74" s="684"/>
    </row>
    <row r="75" spans="3:11" x14ac:dyDescent="0.2">
      <c r="J75" s="682" t="str">
        <f><![CDATA[INC&'INC(1)'!C15&" x savings_gross ("&savings_gross_F&") x BR_rate ("&BR_rate*100&"%)"]]></f>
        <v>INC1 x savings_gross (100/80) x BR_rate (20%)</v>
      </c>
    </row>
    <row r="76" spans="3:11" x14ac:dyDescent="0.2">
      <c r="C76" s="709" t="s">
        <v>4129</v>
      </c>
      <c r="D76" s="684"/>
      <c r="E76" s="684"/>
      <c r="F76" s="709"/>
      <c r="G76" s="709"/>
      <c r="I76" s="743" t="str">
        <f>A27</f>
        <v>c11.27</v>
      </c>
      <c r="J76" s="119">
        <f>TRUNC(('INC(1)'!D16*savings_gross*BR_rate)+0.0099,2)</f>
        <v>0</v>
      </c>
      <c r="K76" s="932" t="s">
        <v>1707</v>
      </c>
    </row>
    <row r="78" spans="3:11" x14ac:dyDescent="0.2">
      <c r="J78" s="689" t="str">
        <f>"from "&amp;AOI&amp;AOI!C5</f>
        <v>from AOI2</v>
      </c>
    </row>
    <row r="79" spans="3:11" x14ac:dyDescent="0.2">
      <c r="C79" s="684" t="s">
        <v>4411</v>
      </c>
      <c r="D79" s="684"/>
      <c r="E79" s="684"/>
      <c r="F79" s="684"/>
      <c r="G79" s="684"/>
      <c r="I79" s="743" t="str">
        <f>A28</f>
        <v>c11.28</v>
      </c>
      <c r="J79" s="119">
        <f>MAX(0,AOI!D6)</f>
        <v>0</v>
      </c>
    </row>
    <row r="80" spans="3:11" x14ac:dyDescent="0.2">
      <c r="C80" s="684"/>
      <c r="D80" s="684"/>
      <c r="E80" s="684"/>
      <c r="F80" s="684"/>
      <c r="G80" s="684"/>
      <c r="H80" s="684"/>
      <c r="I80" s="684"/>
    </row>
    <row r="81" spans="3:10" x14ac:dyDescent="0.2">
      <c r="J81" s="682" t="str">
        <f>"from "&amp;AOI&amp;AOI!G19</f>
        <v>from AOI10</v>
      </c>
    </row>
    <row r="82" spans="3:10" x14ac:dyDescent="0.2">
      <c r="C82" s="709" t="s">
        <v>3160</v>
      </c>
      <c r="D82" s="709"/>
      <c r="E82" s="709"/>
      <c r="F82" s="709"/>
      <c r="G82" s="684"/>
      <c r="I82" s="1784" t="str">
        <f>A29</f>
        <v>c11.29</v>
      </c>
      <c r="J82" s="745">
        <f>MAX(0,AOI!H20)</f>
        <v>0</v>
      </c>
    </row>
    <row r="83" spans="3:10" x14ac:dyDescent="0.2">
      <c r="C83" s="709"/>
      <c r="D83" s="709"/>
      <c r="E83" s="709"/>
      <c r="F83" s="709"/>
      <c r="G83" s="709"/>
      <c r="H83" s="709"/>
      <c r="I83" s="684"/>
    </row>
    <row r="84" spans="3:10" x14ac:dyDescent="0.2">
      <c r="J84" s="682" t="str">
        <f>"from "&amp;INC&amp;'INC(2)'!C28</f>
        <v>from INC19</v>
      </c>
    </row>
    <row r="85" spans="3:10" x14ac:dyDescent="0.2">
      <c r="C85" s="709" t="s">
        <v>3412</v>
      </c>
      <c r="D85" s="709"/>
      <c r="E85" s="709"/>
      <c r="F85" s="684"/>
      <c r="G85" s="682"/>
      <c r="I85" s="743" t="str">
        <f>A30</f>
        <v>c11.30</v>
      </c>
      <c r="J85" s="745">
        <f>MAX(0,'INC(2)'!D29)</f>
        <v>0</v>
      </c>
    </row>
    <row r="87" spans="3:10" x14ac:dyDescent="0.2">
      <c r="J87" s="93" t="str">
        <f><![CDATA[I35&" + "&I38&" + "&I41&" + "&I44&" + "&I47&" + "&I50&" + "&I53&" + "&I56]]></f>
        <v>c11.8 + c11.9 + c11.10 + c11.11 + c11.12 + c11.13 + c11.14 + c11.15</v>
      </c>
    </row>
    <row r="88" spans="3:10" x14ac:dyDescent="0.2">
      <c r="J88" s="93" t="str">
        <f><![CDATA[" + "&I70&" + "&I73&" + "&I76&" + "&I79&" + "&I82&" + "&I85]]></f>
        <v xml:space="preserve"> + c11.25 + c11.26 + c11.27 + c11.28 + c11.29 + c11.30</v>
      </c>
    </row>
    <row r="89" spans="3:10" x14ac:dyDescent="0.2">
      <c r="C89" s="716" t="s">
        <v>2667</v>
      </c>
      <c r="I89" s="743" t="str">
        <f>A31</f>
        <v>c11.31</v>
      </c>
      <c r="J89" s="119">
        <f>MAX(0,J35+J38+J41+J44+J47+J50+J53+J56+J70+J73+J76+J79+J82+J85)</f>
        <v>2000</v>
      </c>
    </row>
    <row r="90" spans="3:10" x14ac:dyDescent="0.2">
      <c r="J90" s="93" t="str">
        <f>"copy to box "&amp;'Tax due (c12)'!F51</f>
        <v>copy to box c12.13</v>
      </c>
    </row>
  </sheetData>
  <phoneticPr fontId="67" type="noConversion"/>
  <pageMargins bottom="0.196850393700787" footer="0" header="0" left="0.196850393700787" right="0.196850393700787" top="0.196850393700787"/>
  <pageSetup fitToHeight="2" orientation="portrait" paperSize="9" r:id="rId1"/>
  <headerFooter alignWithMargins="0"/>
</worksheet>
</file>

<file path=xl/worksheets/sheet72.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700-000000000000}">
  <sheetPr codeName="Sheet55">
    <tabColor theme="9" tint="0.39997558519241921"/>
  </sheetPr>
  <dimension ref="A1:O94"/>
  <sheetViews>
    <sheetView showGridLines="0" topLeftCell="B1" workbookViewId="0">
      <selection activeCell="J12" sqref="J12"/>
    </sheetView>
  </sheetViews>
  <sheetFormatPr defaultColWidth="9.140625" defaultRowHeight="12" x14ac:dyDescent="0.2"/>
  <cols>
    <col min="1" max="1" customWidth="true" hidden="true" style="121" width="6.42578125" collapsed="true"/>
    <col min="2" max="2" customWidth="true" style="121" width="12.140625" collapsed="true"/>
    <col min="3" max="4" style="121" width="9.140625" collapsed="true"/>
    <col min="5" max="5" customWidth="true" style="121" width="19.85546875" collapsed="true"/>
    <col min="6" max="6" customWidth="true" style="121" width="6.7109375" collapsed="true"/>
    <col min="7" max="7" customWidth="true" style="121" width="18.28515625" collapsed="true"/>
    <col min="8" max="8" customWidth="true" style="121" width="8.7109375" collapsed="true"/>
    <col min="9" max="9" customWidth="true" style="121" width="7.0" collapsed="true"/>
    <col min="10" max="10" customWidth="true" style="121" width="18.28515625" collapsed="true"/>
    <col min="11" max="11" bestFit="true" customWidth="true" style="121" width="11.0" collapsed="true"/>
    <col min="12" max="12" customWidth="true" style="121" width="7.5703125" collapsed="true"/>
    <col min="13" max="13" customWidth="true" style="121" width="10.140625" collapsed="true"/>
    <col min="14" max="14" bestFit="true" customWidth="true" style="121" width="9.42578125" collapsed="true"/>
    <col min="15" max="16384" style="121" width="9.140625" collapsed="true"/>
  </cols>
  <sheetData>
    <row ht="18" r="1" spans="1:13" x14ac:dyDescent="0.25">
      <c r="A1" s="107" t="s">
        <v>819</v>
      </c>
      <c r="B1" s="2725" t="s">
        <v>5867</v>
      </c>
    </row>
    <row customFormat="1" r="2" s="2982" spans="1:13" x14ac:dyDescent="0.2">
      <c r="A2" s="107" t="s">
        <v>3068</v>
      </c>
      <c r="D2" s="3035" t="s">
        <v>7395</v>
      </c>
      <c r="E2" s="3030"/>
      <c r="F2" s="3030"/>
      <c r="G2" s="3030"/>
      <c r="H2" s="3030"/>
      <c r="I2" s="3036"/>
    </row>
    <row r="3" spans="1:13" x14ac:dyDescent="0.2">
      <c r="A3" s="107" t="s">
        <v>1558</v>
      </c>
    </row>
    <row r="4" spans="1:13" x14ac:dyDescent="0.2">
      <c r="A4" s="107" t="s">
        <v>1559</v>
      </c>
      <c r="B4" s="375"/>
      <c r="C4" s="375"/>
      <c r="D4" s="375"/>
      <c r="E4" s="375"/>
      <c r="F4" s="375"/>
      <c r="G4" s="371"/>
      <c r="H4" s="371"/>
      <c r="I4" s="375"/>
      <c r="J4" s="3456" t="str">
        <f>'Tax adj (c9)'!L147&amp;" minus "&amp;'Div Cr (c10)'!I12</f>
        <v>c9.43 minus c10.4</v>
      </c>
    </row>
    <row r="5" spans="1:13" x14ac:dyDescent="0.2">
      <c r="A5" s="107" t="s">
        <v>1560</v>
      </c>
      <c r="E5" s="375"/>
      <c r="F5" s="375"/>
      <c r="H5" s="93" t="s">
        <v>4015</v>
      </c>
      <c r="I5" s="738" t="str">
        <f>A1</f>
        <v>c12.1</v>
      </c>
      <c r="J5" s="2298">
        <f>MAX(0,'Tax adj (c9)'!M147-'Div Cr (c10)'!J12)</f>
        <v>11292.21</v>
      </c>
    </row>
    <row r="6" spans="1:13" x14ac:dyDescent="0.2">
      <c r="A6" s="107" t="s">
        <v>1561</v>
      </c>
      <c r="B6" s="375"/>
      <c r="C6" s="375"/>
      <c r="D6" s="375"/>
      <c r="M6" s="375"/>
    </row>
    <row r="7" spans="1:13" x14ac:dyDescent="0.2">
      <c r="A7" s="107" t="s">
        <v>2885</v>
      </c>
      <c r="G7" s="128" t="str">
        <f>"from "&amp;'Class 4 NIC (c16)'!J163</f>
        <v>from c16.31</v>
      </c>
      <c r="H7" s="371"/>
      <c r="I7" s="375"/>
      <c r="J7" s="375"/>
      <c r="K7" s="375"/>
      <c r="L7" s="375"/>
    </row>
    <row r="8" spans="1:13" x14ac:dyDescent="0.2">
      <c r="A8" s="3102" t="s">
        <v>8917</v>
      </c>
      <c r="B8" s="372" t="s">
        <v>3459</v>
      </c>
      <c r="C8" s="371"/>
      <c r="D8" s="375"/>
      <c r="F8" s="738" t="str">
        <f>A2</f>
        <v>c12.2</v>
      </c>
      <c r="G8" s="413">
        <f>'Class 4 NIC (c16)'!K163</f>
        <v>500.22</v>
      </c>
    </row>
    <row r="9" spans="1:13" x14ac:dyDescent="0.2">
      <c r="A9" s="107" t="s">
        <v>2942</v>
      </c>
    </row>
    <row r="10" spans="1:13" x14ac:dyDescent="0.2">
      <c r="A10" s="107" t="s">
        <v>1510</v>
      </c>
      <c r="B10" s="4357"/>
      <c r="C10" s="37"/>
      <c r="D10" s="37"/>
      <c r="E10" s="37"/>
    </row>
    <row r="11" spans="1:13" x14ac:dyDescent="0.2">
      <c r="A11" s="107" t="s">
        <v>1511</v>
      </c>
      <c r="B11" s="4345"/>
      <c r="C11" s="1481"/>
      <c r="D11" s="1043"/>
      <c r="E11" s="2643"/>
      <c r="F11" s="1945"/>
      <c r="G11" s="4359"/>
      <c r="M11" s="371"/>
    </row>
    <row r="12" spans="1:13" x14ac:dyDescent="0.2">
      <c r="A12" s="107" t="s">
        <v>864</v>
      </c>
      <c r="B12" s="4346"/>
      <c r="C12" s="993"/>
      <c r="D12" s="1045"/>
      <c r="E12" s="2644"/>
      <c r="G12" s="4359"/>
    </row>
    <row r="13" spans="1:13" x14ac:dyDescent="0.2">
      <c r="A13" s="107" t="s">
        <v>865</v>
      </c>
      <c r="B13" s="4347"/>
      <c r="C13" s="1047"/>
      <c r="D13" s="1048"/>
      <c r="E13" s="2644"/>
      <c r="G13" s="4360"/>
    </row>
    <row r="14" spans="1:13" x14ac:dyDescent="0.2">
      <c r="A14" s="107" t="s">
        <v>866</v>
      </c>
      <c r="G14" s="4360"/>
    </row>
    <row r="15" spans="1:13" x14ac:dyDescent="0.2">
      <c r="A15" s="107" t="s">
        <v>867</v>
      </c>
      <c r="G15" s="93" t="str">
        <f>"from "&amp;'Class 4 NIC (c16)'!J189</f>
        <v>from c16.32</v>
      </c>
    </row>
    <row r="16" spans="1:13" x14ac:dyDescent="0.2">
      <c r="A16" s="107" t="s">
        <v>868</v>
      </c>
      <c r="B16" s="372" t="s">
        <v>4292</v>
      </c>
      <c r="F16" s="738" t="str">
        <f>A3</f>
        <v>c12.3</v>
      </c>
      <c r="G16" s="413">
        <f>'Class 4 NIC (c16)'!K189</f>
        <v>117</v>
      </c>
    </row>
    <row r="17" spans="1:14" x14ac:dyDescent="0.2">
      <c r="A17" s="107" t="s">
        <v>869</v>
      </c>
      <c r="G17" s="4360"/>
    </row>
    <row r="18" spans="1:14" x14ac:dyDescent="0.2">
      <c r="A18" s="107" t="s">
        <v>870</v>
      </c>
      <c r="B18" s="4358"/>
      <c r="C18" s="1785"/>
      <c r="D18" s="1786"/>
    </row>
    <row r="19" spans="1:14" x14ac:dyDescent="0.2">
      <c r="A19" s="107" t="s">
        <v>3910</v>
      </c>
    </row>
    <row r="20" spans="1:14" x14ac:dyDescent="0.2">
      <c r="A20" s="107" t="s">
        <v>815</v>
      </c>
      <c r="J20" s="93" t="str">
        <f>F8&amp;" + "&amp;F16</f>
        <v>c12.2 + c12.3</v>
      </c>
    </row>
    <row r="21" spans="1:14" x14ac:dyDescent="0.2">
      <c r="A21" s="107" t="s">
        <v>4295</v>
      </c>
      <c r="B21" s="372" t="s">
        <v>4297</v>
      </c>
      <c r="I21" s="738" t="str">
        <f>A4</f>
        <v>c12.4</v>
      </c>
      <c r="J21" s="413">
        <f>G8+G16</f>
        <v>617.22</v>
      </c>
    </row>
    <row r="22" spans="1:14" x14ac:dyDescent="0.2">
      <c r="A22" s="107" t="s">
        <v>4296</v>
      </c>
    </row>
    <row r="23" spans="1:14" x14ac:dyDescent="0.2">
      <c r="A23" s="107" t="s">
        <v>4385</v>
      </c>
      <c r="B23" s="371"/>
      <c r="C23" s="371"/>
      <c r="D23" s="371"/>
      <c r="E23" s="375"/>
      <c r="F23" s="375"/>
      <c r="G23" s="375"/>
      <c r="H23" s="375"/>
      <c r="I23" s="375"/>
      <c r="J23" s="128" t="str">
        <f>I5&amp;" + "&amp;I21</f>
        <v>c12.1 + c12.4</v>
      </c>
    </row>
    <row r="24" spans="1:14" x14ac:dyDescent="0.2">
      <c r="A24" s="107" t="s">
        <v>4386</v>
      </c>
      <c r="B24" s="415" t="s">
        <v>4293</v>
      </c>
      <c r="E24" s="371"/>
      <c r="F24" s="371"/>
      <c r="H24" s="414"/>
      <c r="I24" s="738" t="str">
        <f>A5</f>
        <v>c12.5</v>
      </c>
      <c r="J24" s="735">
        <f>J5+J21</f>
        <v>11909.429999999998</v>
      </c>
    </row>
    <row r="25" spans="1:14" x14ac:dyDescent="0.2">
      <c r="A25" s="2810"/>
    </row>
    <row r="26" spans="1:14" x14ac:dyDescent="0.2">
      <c r="A26" s="2810"/>
      <c r="G26" s="691" t="str">
        <f>"from "&amp;CAL&amp;CAL!C6</f>
        <v>from CAL7</v>
      </c>
      <c r="H26" s="416"/>
      <c r="I26" s="375"/>
      <c r="J26" s="375"/>
    </row>
    <row r="27" spans="1:14" x14ac:dyDescent="0.2">
      <c r="B27" s="687" t="str">
        <f>CAL!D6</f>
        <v>Underpaid tax for earlier years included in 2019-20 tax code</v>
      </c>
      <c r="E27" s="1945"/>
      <c r="F27" s="738" t="str">
        <f>A6</f>
        <v>c12.6</v>
      </c>
      <c r="G27" s="413">
        <f>CAL!D7</f>
        <v>2999</v>
      </c>
      <c r="H27" s="128"/>
      <c r="I27" s="128"/>
      <c r="J27" s="371"/>
    </row>
    <row r="28" spans="1:14" x14ac:dyDescent="0.2">
      <c r="B28" s="739"/>
      <c r="C28" s="371"/>
      <c r="D28" s="371"/>
      <c r="E28" s="371"/>
      <c r="F28" s="748"/>
      <c r="G28" s="371"/>
      <c r="H28" s="371"/>
      <c r="I28" s="375"/>
      <c r="J28" s="375"/>
    </row>
    <row r="29" spans="1:14" x14ac:dyDescent="0.2">
      <c r="F29" s="684"/>
      <c r="G29" s="128" t="str">
        <f>"from "&amp;'S loans(c27)'!J254</f>
        <v>from c27.44</v>
      </c>
    </row>
    <row r="30" spans="1:14" x14ac:dyDescent="0.2">
      <c r="B30" s="740" t="s">
        <v>2559</v>
      </c>
      <c r="D30" s="375"/>
      <c r="F30" s="738" t="str">
        <f>A7</f>
        <v>c12.7</v>
      </c>
      <c r="G30" s="119">
        <f>'S loans(c27)'!K254</f>
        <v>0</v>
      </c>
      <c r="N30" s="823"/>
    </row>
    <row customFormat="1" r="32" s="2982" spans="1:14" x14ac:dyDescent="0.2">
      <c r="F32" s="684"/>
      <c r="G32" s="3189" t="str">
        <f>"from "&amp;'S loans(c27)'!J273</f>
        <v>from c27.45</v>
      </c>
    </row>
    <row customFormat="1" r="33" s="2982" spans="2:12" x14ac:dyDescent="0.2">
      <c r="B33" s="3188" t="s">
        <v>8009</v>
      </c>
      <c r="C33" s="3179"/>
      <c r="D33" s="3179"/>
      <c r="F33" s="3190" t="str">
        <f>A8</f>
        <v>c12.7b</v>
      </c>
      <c r="G33" s="2956">
        <f>'S loans(c27)'!K273</f>
        <v>0</v>
      </c>
    </row>
    <row customFormat="1" r="34" s="2982" spans="2:12" x14ac:dyDescent="0.2"/>
    <row customFormat="1" r="35" s="2982" spans="2:12" x14ac:dyDescent="0.2">
      <c r="B35" s="121"/>
      <c r="C35" s="121"/>
      <c r="D35" s="121"/>
      <c r="E35" s="121"/>
      <c r="F35" s="121"/>
      <c r="G35" s="93" t="str">
        <f>"from "&amp;'CBC(c28)'!I37</f>
        <v>from c28.14</v>
      </c>
      <c r="H35" s="121"/>
      <c r="I35" s="121"/>
      <c r="J35" s="121"/>
      <c r="K35" s="121"/>
    </row>
    <row r="36" spans="2:12" x14ac:dyDescent="0.2">
      <c r="B36" s="742" t="s">
        <v>814</v>
      </c>
      <c r="F36" s="738" t="str">
        <f>A9</f>
        <v>c12.8</v>
      </c>
      <c r="G36" s="119">
        <f>'CBC(c28)'!J37</f>
        <v>0</v>
      </c>
    </row>
    <row r="37" spans="2:12" x14ac:dyDescent="0.2">
      <c r="F37" s="684"/>
      <c r="H37" s="116"/>
      <c r="I37" s="375"/>
      <c r="J37" s="375"/>
    </row>
    <row r="38" spans="2:12" x14ac:dyDescent="0.2">
      <c r="B38" s="742"/>
      <c r="C38" s="375"/>
      <c r="D38" s="375"/>
      <c r="E38" s="375"/>
      <c r="F38" s="742"/>
      <c r="G38" s="128" t="str">
        <f>"from "&amp;'Pensions (c25c26)'!J129</f>
        <v>from c25.50</v>
      </c>
      <c r="H38" s="116"/>
      <c r="I38" s="375"/>
      <c r="J38" s="375"/>
    </row>
    <row r="39" spans="2:12" x14ac:dyDescent="0.2">
      <c r="B39" s="747" t="s">
        <v>1669</v>
      </c>
      <c r="C39" s="375"/>
      <c r="D39" s="375"/>
      <c r="F39" s="738" t="str">
        <f>A10</f>
        <v>c12.9</v>
      </c>
      <c r="G39" s="413">
        <f>'Pensions (c25c26)'!K129</f>
        <v>0</v>
      </c>
      <c r="H39" s="116"/>
      <c r="I39" s="375"/>
      <c r="J39" s="375"/>
    </row>
    <row r="40" spans="2:12" x14ac:dyDescent="0.2">
      <c r="F40" s="684"/>
      <c r="H40" s="116"/>
      <c r="I40" s="375"/>
      <c r="J40" s="375"/>
    </row>
    <row r="41" spans="2:12" x14ac:dyDescent="0.2">
      <c r="B41" s="742"/>
      <c r="C41" s="375"/>
      <c r="D41" s="375"/>
      <c r="E41" s="375"/>
      <c r="F41" s="742"/>
      <c r="G41" s="128" t="str">
        <f>"from "&amp;'Pensions (c25c26)'!J184</f>
        <v>from c26.3</v>
      </c>
      <c r="H41" s="375"/>
      <c r="I41" s="375"/>
      <c r="J41" s="375"/>
    </row>
    <row r="42" spans="2:12" x14ac:dyDescent="0.2">
      <c r="B42" s="742" t="s">
        <v>1416</v>
      </c>
      <c r="C42" s="375"/>
      <c r="D42" s="375"/>
      <c r="F42" s="738" t="str">
        <f>A11</f>
        <v>c12.10</v>
      </c>
      <c r="G42" s="413">
        <f>'Pensions (c25c26)'!K184</f>
        <v>0</v>
      </c>
      <c r="H42" s="416"/>
      <c r="I42" s="375"/>
      <c r="J42" s="375"/>
    </row>
    <row r="43" spans="2:12" x14ac:dyDescent="0.2">
      <c r="F43" s="684"/>
      <c r="H43" s="375"/>
      <c r="I43" s="375"/>
      <c r="J43" s="375"/>
    </row>
    <row r="44" spans="2:12" x14ac:dyDescent="0.2">
      <c r="B44" s="742"/>
      <c r="F44" s="684"/>
      <c r="G44" s="128" t="str">
        <f>"from "&amp;'RBC (c19)'!C17</f>
        <v>from c19.1</v>
      </c>
      <c r="H44" s="375"/>
      <c r="I44" s="375"/>
      <c r="J44" s="375"/>
    </row>
    <row r="45" spans="2:12" x14ac:dyDescent="0.2">
      <c r="B45" s="684" t="s">
        <v>3547</v>
      </c>
      <c r="C45" s="375"/>
      <c r="D45" s="375"/>
      <c r="F45" s="738" t="str">
        <f>A12</f>
        <v>c12.11</v>
      </c>
      <c r="G45" s="413">
        <f>'RBC (c19)'!D17</f>
        <v>0</v>
      </c>
      <c r="H45" s="416"/>
      <c r="I45" s="375"/>
      <c r="J45" s="375"/>
    </row>
    <row r="46" spans="2:12" x14ac:dyDescent="0.2">
      <c r="H46" s="375"/>
      <c r="I46" s="375"/>
      <c r="J46" s="375"/>
    </row>
    <row r="47" spans="2:12" x14ac:dyDescent="0.2">
      <c r="F47" s="375"/>
      <c r="G47" s="3191"/>
      <c r="H47" s="375"/>
      <c r="I47" s="371"/>
      <c r="J47" s="128" t="str">
        <f><![CDATA[I24&" + "&F27&" + "&F30&" + "&F33&" + "&F36&" + "&F39&" + "&F42&" + "&F45&" + ("&'Pensions (c25c26)'!J149&" minus "&'Pensions (c25c26)'!J152&")"]]></f>
        <v>c12.5 + c12.6 + c12.7 + c12.7b + c12.8 + c12.9 + c12.10 + c12.11 + (c25.56 minus c25.57)</v>
      </c>
    </row>
    <row r="48" spans="2:12" x14ac:dyDescent="0.2">
      <c r="B48" s="375"/>
      <c r="C48" s="375"/>
      <c r="D48" s="375"/>
      <c r="E48" s="375"/>
      <c r="F48" s="375"/>
      <c r="G48" s="375"/>
      <c r="H48" s="375"/>
      <c r="I48" s="738" t="str">
        <f>A13</f>
        <v>c12.12</v>
      </c>
      <c r="J48" s="735">
        <f>J24+G27+G30+G33+G36+G39+G42+G45+('Pensions (c25c26)'!K149-'Pensions (c25c26)'!K152)</f>
        <v>14908.429999999998</v>
      </c>
      <c r="K48" s="2312" t="s">
        <v>1521</v>
      </c>
      <c r="L48" s="823"/>
    </row>
    <row r="49" spans="2:13" x14ac:dyDescent="0.2">
      <c r="B49" s="375"/>
      <c r="C49" s="375"/>
      <c r="D49" s="375"/>
      <c r="E49" s="375"/>
      <c r="I49" s="2261"/>
      <c r="J49" s="2310"/>
      <c r="K49" s="37"/>
      <c r="L49" s="37"/>
      <c r="M49" s="37"/>
    </row>
    <row r="50" spans="2:13" x14ac:dyDescent="0.2">
      <c r="G50" s="128" t="str">
        <f>"from "&amp;'Tax paid (c11)'!I89</f>
        <v>from c11.31</v>
      </c>
      <c r="L50" s="37"/>
      <c r="M50" s="37"/>
    </row>
    <row r="51" spans="2:13" x14ac:dyDescent="0.2">
      <c r="B51" s="415" t="s">
        <v>1420</v>
      </c>
      <c r="D51" s="371"/>
      <c r="F51" s="738" t="str">
        <f>A14</f>
        <v>c12.13</v>
      </c>
      <c r="G51" s="119">
        <f>'Tax paid (c11)'!J89</f>
        <v>2000</v>
      </c>
    </row>
    <row r="53" spans="2:13" x14ac:dyDescent="0.2">
      <c r="G53" s="691" t="str">
        <f>"from "&amp;CAL&amp;CAL!C9</f>
        <v>from CAL8</v>
      </c>
    </row>
    <row r="54" spans="2:13" x14ac:dyDescent="0.2">
      <c r="B54" s="2326" t="str">
        <f>CAL!D9</f>
        <v>2019-20 underpaid tax included in 2020-21 tax code</v>
      </c>
      <c r="C54" s="1945"/>
      <c r="D54" s="1945"/>
      <c r="E54" s="1945"/>
      <c r="F54" s="738" t="str">
        <f>A15</f>
        <v>c12.14</v>
      </c>
      <c r="G54" s="413">
        <f>CAL!D10</f>
        <v>0</v>
      </c>
      <c r="H54" s="375"/>
      <c r="I54" s="375"/>
      <c r="J54" s="375"/>
    </row>
    <row r="55" spans="2:13" x14ac:dyDescent="0.2">
      <c r="H55" s="116"/>
      <c r="I55" s="371"/>
      <c r="J55" s="371"/>
    </row>
    <row r="56" spans="2:13" x14ac:dyDescent="0.2">
      <c r="C56" s="371"/>
      <c r="D56" s="371"/>
      <c r="E56" s="371"/>
      <c r="F56" s="371"/>
      <c r="G56" s="128"/>
      <c r="H56" s="375"/>
      <c r="I56" s="371"/>
      <c r="J56" s="128" t="str">
        <f>F51&amp;" + "&amp;F54</f>
        <v>c12.13 + c12.14</v>
      </c>
    </row>
    <row r="57" spans="2:13" x14ac:dyDescent="0.2">
      <c r="B57" s="371"/>
      <c r="H57" s="375"/>
      <c r="I57" s="738" t="str">
        <f>A16</f>
        <v>c12.15</v>
      </c>
      <c r="J57" s="735">
        <f>G51+G54</f>
        <v>2000</v>
      </c>
    </row>
    <row r="58" spans="2:13" x14ac:dyDescent="0.2">
      <c r="B58" s="371"/>
      <c r="H58" s="128"/>
      <c r="I58" s="371"/>
      <c r="J58" s="371"/>
    </row>
    <row r="59" spans="2:13" x14ac:dyDescent="0.2">
      <c r="B59" s="371"/>
      <c r="C59" s="371"/>
      <c r="D59" s="371"/>
      <c r="E59" s="371"/>
      <c r="F59" s="371"/>
      <c r="H59" s="414"/>
      <c r="I59" s="371"/>
      <c r="J59" s="128" t="str">
        <f>I48&amp;" minus "&amp;I57</f>
        <v>c12.12 minus c12.15</v>
      </c>
    </row>
    <row r="60" spans="2:13" x14ac:dyDescent="0.2">
      <c r="B60" s="415" t="s">
        <v>4294</v>
      </c>
      <c r="C60" s="371"/>
      <c r="D60" s="371"/>
      <c r="E60" s="371"/>
      <c r="F60" s="371"/>
      <c r="G60" s="371"/>
      <c r="I60" s="1206" t="str">
        <f>A17</f>
        <v>c12.16</v>
      </c>
      <c r="J60" s="735">
        <f>J48-J57</f>
        <v>12908.429999999998</v>
      </c>
      <c r="K60" s="2312" t="s">
        <v>1521</v>
      </c>
    </row>
    <row r="61" spans="2:13" x14ac:dyDescent="0.2">
      <c r="B61" s="371"/>
      <c r="C61" s="371"/>
      <c r="D61" s="371"/>
      <c r="E61" s="375"/>
      <c r="F61" s="375"/>
      <c r="G61" s="375"/>
      <c r="I61" s="2261"/>
      <c r="J61" s="2310"/>
      <c r="K61" s="37"/>
      <c r="L61" s="37"/>
      <c r="M61" s="37"/>
    </row>
    <row r="62" spans="2:13" x14ac:dyDescent="0.2">
      <c r="K62" s="37"/>
      <c r="L62" s="37"/>
      <c r="M62" s="37"/>
    </row>
    <row r="63" spans="2:13" x14ac:dyDescent="0.2">
      <c r="G63" s="128" t="str">
        <f>"from "&amp;'CG (c18)'!W148</f>
        <v>from c18.58</v>
      </c>
      <c r="K63" s="37"/>
      <c r="L63" s="37"/>
      <c r="M63" s="37"/>
    </row>
    <row r="64" spans="2:13" x14ac:dyDescent="0.2">
      <c r="B64" s="415" t="s">
        <v>1784</v>
      </c>
      <c r="C64" s="371"/>
      <c r="D64" s="371"/>
      <c r="F64" s="738" t="str">
        <f>A18</f>
        <v>c12.17</v>
      </c>
      <c r="G64" s="119">
        <f>'CG (c18)'!X148</f>
        <v>0</v>
      </c>
      <c r="H64" s="116"/>
      <c r="I64" s="375"/>
      <c r="J64" s="375"/>
      <c r="K64" s="37"/>
      <c r="L64" s="37"/>
      <c r="M64" s="37"/>
    </row>
    <row r="65" spans="2:13" x14ac:dyDescent="0.2">
      <c r="B65" s="371"/>
      <c r="C65" s="371"/>
      <c r="D65" s="371"/>
      <c r="E65" s="371"/>
      <c r="H65" s="371"/>
      <c r="I65" s="371"/>
      <c r="J65" s="371"/>
      <c r="K65" s="37"/>
      <c r="L65" s="37"/>
      <c r="M65" s="37"/>
    </row>
    <row r="66" spans="2:13" x14ac:dyDescent="0.2">
      <c r="B66" s="375"/>
      <c r="C66" s="375"/>
      <c r="D66" s="375"/>
      <c r="E66" s="371"/>
      <c r="F66" s="371"/>
      <c r="H66" s="414"/>
      <c r="I66" s="375"/>
      <c r="J66" s="128" t="str">
        <f>I60&amp;" + "&amp;F64</f>
        <v>c12.16 + c12.17</v>
      </c>
      <c r="K66" s="37"/>
      <c r="L66" s="37"/>
      <c r="M66" s="37"/>
    </row>
    <row r="67" spans="2:13" x14ac:dyDescent="0.2">
      <c r="B67" s="415" t="s">
        <v>6055</v>
      </c>
      <c r="C67" s="375"/>
      <c r="D67" s="375"/>
      <c r="E67" s="375"/>
      <c r="G67" s="375"/>
      <c r="H67" s="93" t="s">
        <v>6525</v>
      </c>
      <c r="I67" s="738" t="str">
        <f>A19</f>
        <v>c12.18</v>
      </c>
      <c r="J67" s="735">
        <f>J60+G64</f>
        <v>12908.429999999998</v>
      </c>
      <c r="K67" s="2312" t="s">
        <v>1521</v>
      </c>
      <c r="L67" s="37"/>
      <c r="M67" s="37"/>
    </row>
    <row r="68" spans="2:13" x14ac:dyDescent="0.2">
      <c r="I68" s="2261"/>
      <c r="J68" s="371"/>
      <c r="L68" s="37"/>
      <c r="M68" s="37"/>
    </row>
    <row r="71" spans="2:13" x14ac:dyDescent="0.2">
      <c r="B71" s="1034" t="str">
        <f>"The following 5 boxes are only used on the SA302 ("&amp;I79&amp;" is used in the calculation at Payments on Account "&amp;'POAs (c13)'!H39&amp;")"</f>
        <v>The following 5 boxes are only used on the SA302 (c12.21 is used in the calculation at Payments on Account c13.10)</v>
      </c>
      <c r="C71" s="1035"/>
      <c r="D71" s="1035"/>
      <c r="E71" s="1035"/>
      <c r="F71" s="1035"/>
      <c r="G71" s="1035"/>
      <c r="K71" s="375"/>
    </row>
    <row r="72" spans="2:13" x14ac:dyDescent="0.2">
      <c r="B72" s="1035"/>
      <c r="C72" s="1035"/>
      <c r="D72" s="1035"/>
      <c r="E72" s="1035"/>
      <c r="F72" s="1035"/>
      <c r="G72" s="1036" t="str">
        <f>"from "&amp;FIN&amp;'REL(2)'!C45</f>
        <v>from FIN1</v>
      </c>
      <c r="K72" s="1208"/>
    </row>
    <row r="73" spans="2:13" x14ac:dyDescent="0.2">
      <c r="B73" s="1034" t="s">
        <v>2721</v>
      </c>
      <c r="C73" s="1035"/>
      <c r="D73" s="1035"/>
      <c r="E73" s="1035"/>
      <c r="F73" s="1207" t="str">
        <f>A20</f>
        <v>c12.19</v>
      </c>
      <c r="G73" s="1037">
        <f>'REL(2)'!D46</f>
        <v>600</v>
      </c>
      <c r="H73" s="1034" t="s">
        <v>7008</v>
      </c>
    </row>
    <row r="74" spans="2:13" x14ac:dyDescent="0.2">
      <c r="B74" s="1039"/>
      <c r="C74" s="1035"/>
      <c r="D74" s="1035"/>
      <c r="E74" s="1035"/>
      <c r="F74" s="1035"/>
      <c r="G74" s="1035"/>
      <c r="H74" s="1034"/>
    </row>
    <row customHeight="1" ht="12.75" r="75" spans="2:13" x14ac:dyDescent="0.2">
      <c r="B75" s="1039"/>
      <c r="C75" s="1035"/>
      <c r="D75" s="1038"/>
      <c r="E75" s="1035"/>
      <c r="F75" s="1035"/>
      <c r="G75" s="1036" t="str">
        <f>"from "&amp;CAL&amp;CAL!C22</f>
        <v>from CAL14</v>
      </c>
    </row>
    <row r="76" spans="2:13" x14ac:dyDescent="0.2">
      <c r="B76" s="1034" t="s">
        <v>3373</v>
      </c>
      <c r="C76" s="1035"/>
      <c r="D76" s="1038"/>
      <c r="E76" s="1035"/>
      <c r="F76" s="1207" t="str">
        <f>A21</f>
        <v>c12.20</v>
      </c>
      <c r="G76" s="1037">
        <f>CAL!D23</f>
        <v>0</v>
      </c>
      <c r="H76" s="1034" t="s">
        <v>7008</v>
      </c>
    </row>
    <row r="78" spans="2:13" x14ac:dyDescent="0.2">
      <c r="J78" s="128" t="str">
        <f>I67&amp;" + "&amp;F73&amp;" + "&amp;F76</f>
        <v>c12.18 + c12.19 + c12.20</v>
      </c>
    </row>
    <row r="79" spans="2:13" x14ac:dyDescent="0.2">
      <c r="H79" s="414" t="s">
        <v>3374</v>
      </c>
      <c r="I79" s="738" t="str">
        <f>A22</f>
        <v>c12.21</v>
      </c>
      <c r="J79" s="735">
        <f>box_18_3+G73+G76</f>
        <v>13508.429999999998</v>
      </c>
      <c r="K79" s="2312" t="s">
        <v>1521</v>
      </c>
      <c r="M79" s="372" t="s">
        <v>7008</v>
      </c>
    </row>
    <row r="81" spans="2:13" x14ac:dyDescent="0.2">
      <c r="E81" s="121" t="s">
        <v>6549</v>
      </c>
    </row>
    <row r="82" spans="2:13" x14ac:dyDescent="0.2">
      <c r="E82" s="2131" t="s">
        <v>2386</v>
      </c>
    </row>
    <row r="83" spans="2:13" x14ac:dyDescent="0.2">
      <c r="E83" s="2131" t="s">
        <v>6550</v>
      </c>
    </row>
    <row r="84" spans="2:13" x14ac:dyDescent="0.2">
      <c r="B84" s="2712"/>
      <c r="C84" s="2712"/>
      <c r="D84" s="2712"/>
      <c r="E84" s="2131"/>
      <c r="F84" s="2712"/>
      <c r="G84" s="2712"/>
      <c r="H84" s="2712"/>
      <c r="I84" s="2712"/>
      <c r="J84" s="2712"/>
      <c r="K84" s="2712"/>
    </row>
    <row customFormat="1" ht="12.75" r="85" s="2712" spans="2:13" x14ac:dyDescent="0.2">
      <c r="B85" s="121"/>
      <c r="C85" s="121"/>
      <c r="D85" s="121"/>
      <c r="E85" s="1189" t="s">
        <v>6551</v>
      </c>
      <c r="F85" s="121"/>
      <c r="G85" s="121"/>
      <c r="H85" s="121"/>
      <c r="I85" s="121"/>
      <c r="J85" s="121"/>
      <c r="K85" s="121"/>
    </row>
    <row customHeight="1" ht="12.75" r="86" spans="2:13" x14ac:dyDescent="0.2">
      <c r="B86" s="2712"/>
      <c r="C86" s="2712"/>
      <c r="D86" s="2712"/>
      <c r="E86" s="1189"/>
      <c r="F86" s="2712"/>
      <c r="G86" s="2712"/>
      <c r="H86" s="2712"/>
      <c r="I86" s="2712"/>
      <c r="J86" s="2712"/>
      <c r="K86" s="2712"/>
    </row>
    <row customFormat="1" customHeight="1" ht="12.75" r="87" s="2712" spans="2:13" x14ac:dyDescent="0.2">
      <c r="B87" s="121"/>
      <c r="C87" s="121"/>
      <c r="D87" s="121"/>
      <c r="E87" s="981"/>
      <c r="F87" s="121"/>
      <c r="G87" s="121"/>
      <c r="H87" s="121"/>
      <c r="I87" s="3668"/>
      <c r="J87" s="3456" t="str">
        <f>I5&amp;" from resident calculation"</f>
        <v>c12.1 from resident calculation</v>
      </c>
      <c r="K87" s="121"/>
    </row>
    <row r="88" spans="2:13" x14ac:dyDescent="0.2">
      <c r="B88" s="742" t="s">
        <v>6463</v>
      </c>
      <c r="E88" s="981"/>
      <c r="H88" s="93" t="s">
        <v>6526</v>
      </c>
      <c r="I88" s="738" t="str">
        <f>A23</f>
        <v>c12.22</v>
      </c>
      <c r="J88" s="119"/>
      <c r="K88" s="2312" t="s">
        <v>1521</v>
      </c>
      <c r="M88" s="372" t="s">
        <v>7008</v>
      </c>
    </row>
    <row r="89" spans="2:13" x14ac:dyDescent="0.2">
      <c r="B89" s="742"/>
      <c r="E89" s="981"/>
      <c r="H89" s="93"/>
      <c r="I89" s="2261"/>
      <c r="J89" s="371"/>
      <c r="M89" s="37"/>
    </row>
    <row r="90" spans="2:13" x14ac:dyDescent="0.2">
      <c r="B90" s="742"/>
      <c r="E90" s="981"/>
      <c r="H90" s="93"/>
      <c r="J90" s="116"/>
      <c r="L90" s="2714"/>
    </row>
    <row r="91" spans="2:13" x14ac:dyDescent="0.2">
      <c r="E91" s="981"/>
      <c r="H91" s="93"/>
      <c r="I91" s="3668"/>
      <c r="J91" s="3456" t="str">
        <f>I5&amp;" from non-resident calculation"</f>
        <v>c12.1 from non-resident calculation</v>
      </c>
      <c r="L91" s="2714"/>
    </row>
    <row r="92" spans="2:13" x14ac:dyDescent="0.2">
      <c r="B92" s="742" t="s">
        <v>6464</v>
      </c>
      <c r="E92" s="981"/>
      <c r="H92" s="93" t="s">
        <v>7041</v>
      </c>
      <c r="I92" s="738" t="str">
        <f>A24</f>
        <v>c12.23</v>
      </c>
      <c r="J92" s="119"/>
      <c r="K92" s="2312" t="s">
        <v>1521</v>
      </c>
      <c r="L92" s="2714"/>
      <c r="M92" s="372" t="s">
        <v>7008</v>
      </c>
    </row>
    <row r="93" spans="2:13" x14ac:dyDescent="0.2">
      <c r="E93" s="981"/>
      <c r="I93" s="2261"/>
      <c r="J93" s="371"/>
      <c r="M93" s="37"/>
    </row>
    <row r="94" spans="2:13" x14ac:dyDescent="0.2">
      <c r="E94" s="121" t="s">
        <v>2495</v>
      </c>
    </row>
  </sheetData>
  <phoneticPr fontId="67" type="noConversion"/>
  <pageMargins bottom="0.19685039370078741" footer="0" header="0" left="0.19685039370078741" right="0.19685039370078741" top="0.19685039370078741"/>
  <pageSetup horizontalDpi="4294967293" orientation="portrait" paperSize="9" r:id="rId1" verticalDpi="1200"/>
  <headerFooter alignWithMargins="0"/>
</worksheet>
</file>

<file path=xl/worksheets/sheet73.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800-000000000000}">
  <sheetPr codeName="Sheet9">
    <tabColor rgb="FFFFFF00"/>
  </sheetPr>
  <dimension ref="A1:P75"/>
  <sheetViews>
    <sheetView showGridLines="0" topLeftCell="B1" workbookViewId="0">
      <selection activeCell="G78" sqref="G78"/>
    </sheetView>
  </sheetViews>
  <sheetFormatPr defaultColWidth="8.85546875" defaultRowHeight="12" x14ac:dyDescent="0.2"/>
  <cols>
    <col min="1" max="1" customWidth="true" hidden="true" style="121" width="11.5703125" collapsed="true"/>
    <col min="2" max="2" customWidth="true" style="121" width="3.7109375" collapsed="true"/>
    <col min="3" max="3" customWidth="true" style="121" width="8.7109375" collapsed="true"/>
    <col min="4" max="4" customWidth="true" style="121" width="7.0" collapsed="true"/>
    <col min="5" max="5" customWidth="true" style="121" width="10.42578125" collapsed="true"/>
    <col min="6" max="6" customWidth="true" style="121" width="27.28515625" collapsed="true"/>
    <col min="7" max="7" customWidth="true" style="121" width="44.140625" collapsed="true"/>
    <col min="8" max="8" customWidth="true" style="121" width="6.5703125" collapsed="true"/>
    <col min="9" max="9" customWidth="true" style="121" width="14.7109375" collapsed="true"/>
    <col min="10" max="10" customWidth="true" style="121" width="6.5703125" collapsed="true"/>
    <col min="11" max="11" customWidth="true" style="121" width="16.85546875" collapsed="true"/>
    <col min="12" max="12" customWidth="true" style="121" width="6.0" collapsed="true"/>
    <col min="13" max="13" customWidth="true" style="121" width="11.7109375" collapsed="true"/>
    <col min="14" max="14" customWidth="true" style="121" width="3.0" collapsed="true"/>
    <col min="15" max="16384" style="121" width="8.85546875" collapsed="true"/>
  </cols>
  <sheetData>
    <row ht="18" r="1" spans="1:15" x14ac:dyDescent="0.25">
      <c r="A1" s="121" t="s">
        <v>2943</v>
      </c>
      <c r="B1" s="2728" t="s">
        <v>2123</v>
      </c>
      <c r="C1" s="371"/>
      <c r="O1" s="375"/>
    </row>
    <row r="2" spans="1:15" x14ac:dyDescent="0.2">
      <c r="A2" s="121" t="s">
        <v>2944</v>
      </c>
      <c r="I2" s="689" t="str">
        <f>"from "&amp;CAL&amp;CAL!G22</f>
        <v>from CAL15</v>
      </c>
    </row>
    <row r="3" spans="1:15" x14ac:dyDescent="0.2">
      <c r="A3" s="121" t="s">
        <v>2945</v>
      </c>
      <c r="B3" s="121" t="s">
        <v>2129</v>
      </c>
      <c r="F3" s="684"/>
      <c r="H3" s="738" t="str">
        <f>A1</f>
        <v>c13.1</v>
      </c>
      <c r="I3" s="735">
        <f>CAL!H23</f>
        <v>0</v>
      </c>
    </row>
    <row r="4" spans="1:15" x14ac:dyDescent="0.2">
      <c r="A4" s="121" t="s">
        <v>2946</v>
      </c>
      <c r="B4" s="121" t="s">
        <v>2128</v>
      </c>
      <c r="F4" s="684"/>
      <c r="G4" s="684"/>
      <c r="H4" s="684"/>
    </row>
    <row r="5" spans="1:15" x14ac:dyDescent="0.2">
      <c r="A5" s="121" t="s">
        <v>2947</v>
      </c>
      <c r="I5" s="689" t="str">
        <f>"from "&amp;CAL&amp;CAL!G25</f>
        <v>from CAL16</v>
      </c>
    </row>
    <row r="6" spans="1:15" x14ac:dyDescent="0.2">
      <c r="A6" s="121" t="s">
        <v>2948</v>
      </c>
      <c r="B6" s="1945" t="str">
        <f>"Any "&amp;next_year&amp;" repayment you are"</f>
        <v>Any 2020-21 repayment you are</v>
      </c>
      <c r="C6" s="1945"/>
      <c r="D6" s="1945"/>
      <c r="F6" s="684"/>
      <c r="H6" s="738" t="str">
        <f>A2</f>
        <v>c13.2</v>
      </c>
      <c r="I6" s="735">
        <f>CAL!H26</f>
        <v>0</v>
      </c>
    </row>
    <row r="7" spans="1:15" x14ac:dyDescent="0.2">
      <c r="A7" s="121" t="s">
        <v>2949</v>
      </c>
      <c r="B7" s="121" t="s">
        <v>2127</v>
      </c>
      <c r="J7" s="371"/>
    </row>
    <row r="8" spans="1:15" x14ac:dyDescent="0.2">
      <c r="A8" s="121" t="s">
        <v>2950</v>
      </c>
    </row>
    <row r="9" spans="1:15" x14ac:dyDescent="0.2">
      <c r="A9" s="121" t="s">
        <v>2951</v>
      </c>
      <c r="G9" s="93" t="s">
        <v>3163</v>
      </c>
      <c r="H9" s="738" t="str">
        <f>A3</f>
        <v>c13.3</v>
      </c>
      <c r="I9" s="735"/>
    </row>
    <row r="10" spans="1:15" x14ac:dyDescent="0.2">
      <c r="A10" s="121" t="s">
        <v>2952</v>
      </c>
      <c r="G10" s="93" t="s">
        <v>943</v>
      </c>
    </row>
    <row r="11" spans="1:15" x14ac:dyDescent="0.2">
      <c r="A11" s="121" t="s">
        <v>2953</v>
      </c>
    </row>
    <row r="12" spans="1:15" x14ac:dyDescent="0.2">
      <c r="A12" s="121" t="s">
        <v>4016</v>
      </c>
      <c r="G12" s="93" t="s">
        <v>3163</v>
      </c>
      <c r="H12" s="738" t="str">
        <f>A4</f>
        <v>c13.4</v>
      </c>
      <c r="I12" s="735"/>
    </row>
    <row r="13" spans="1:15" x14ac:dyDescent="0.2">
      <c r="A13" s="121" t="s">
        <v>4017</v>
      </c>
      <c r="G13" s="93" t="s">
        <v>944</v>
      </c>
    </row>
    <row r="14" spans="1:15" x14ac:dyDescent="0.2">
      <c r="A14" s="121" t="s">
        <v>4018</v>
      </c>
      <c r="B14" s="121" t="s">
        <v>3860</v>
      </c>
    </row>
    <row r="15" spans="1:15" x14ac:dyDescent="0.2">
      <c r="A15" s="121" t="s">
        <v>2107</v>
      </c>
      <c r="B15" s="415" t="s">
        <v>2124</v>
      </c>
    </row>
    <row r="16" spans="1:15" x14ac:dyDescent="0.2">
      <c r="A16" s="121" t="s">
        <v>2108</v>
      </c>
      <c r="C16" s="121" t="str">
        <f>"If (Today’s date equal to or before 30 December "&amp;Tax_year_end&amp;") and (Employment = ‘Y’ or box "&amp;INC&amp;'INC(2)'!C13&amp;" &gt; 0) and (box FIN2 not ticked)"</f>
        <v>If (Today’s date equal to or before 30 December 2020) and (Employment = ‘Y’ or box INC11 &gt; 0) and (box FIN2 not ticked)</v>
      </c>
      <c r="F16" s="1945"/>
      <c r="G16" s="1945"/>
    </row>
    <row r="17" spans="1:11" x14ac:dyDescent="0.2">
      <c r="A17" s="121" t="s">
        <v>4556</v>
      </c>
    </row>
    <row r="18" spans="1:11" x14ac:dyDescent="0.2">
      <c r="I18" s="93" t="str">
        <f>'Tax due (c12)'!I79&amp;" minus "&amp;H9</f>
        <v>c12.21 minus c13.3</v>
      </c>
    </row>
    <row r="19" spans="1:11" x14ac:dyDescent="0.2">
      <c r="A19" s="2674" t="s">
        <v>4554</v>
      </c>
      <c r="B19" s="121" t="s">
        <v>2125</v>
      </c>
      <c r="H19" s="738" t="str">
        <f>A5</f>
        <v>c13.5</v>
      </c>
      <c r="I19" s="119">
        <f>'Tax due (c12)'!J79-I9</f>
        <v>13508.429999999998</v>
      </c>
      <c r="J19" s="403" t="s">
        <v>1521</v>
      </c>
      <c r="K19" s="2303"/>
    </row>
    <row r="20" spans="1:11" x14ac:dyDescent="0.2">
      <c r="A20" s="2807" t="b">
        <f>('INC(2)'!D14+EMP!D5+EMP!L5+EMP!D8+EMP!L8+MOR!D20)&gt;0</f>
        <v>1</v>
      </c>
      <c r="C20" s="121" t="str">
        <f>"else "&amp;H19&amp;" = 0 (zero)"</f>
        <v>else c13.5 = 0 (zero)</v>
      </c>
    </row>
    <row r="21" spans="1:11" x14ac:dyDescent="0.2">
      <c r="A21" s="2674" t="s">
        <v>4555</v>
      </c>
      <c r="C21" s="121" t="s">
        <v>2495</v>
      </c>
    </row>
    <row r="22" spans="1:11" x14ac:dyDescent="0.2">
      <c r="A22" s="2683" t="b">
        <v>0</v>
      </c>
    </row>
    <row r="23" spans="1:11" x14ac:dyDescent="0.2">
      <c r="B23" s="121" t="s">
        <v>4557</v>
      </c>
      <c r="I23" s="93" t="str">
        <f>"from "&amp;'Tax due (c12)'!F16</f>
        <v>from c12.3</v>
      </c>
    </row>
    <row r="24" spans="1:11" x14ac:dyDescent="0.2">
      <c r="B24" s="121" t="s">
        <v>4264</v>
      </c>
      <c r="H24" s="738" t="str">
        <f>A6</f>
        <v>c13.6</v>
      </c>
      <c r="I24" s="119">
        <f>'Tax due (c12)'!G16</f>
        <v>117</v>
      </c>
    </row>
    <row r="26" spans="1:11" x14ac:dyDescent="0.2">
      <c r="I26" s="121" t="str">
        <f>H19&amp;" minus "&amp;H24</f>
        <v>c13.5 minus c13.6</v>
      </c>
    </row>
    <row r="27" spans="1:11" x14ac:dyDescent="0.2">
      <c r="B27" s="121" t="s">
        <v>4558</v>
      </c>
      <c r="H27" s="738" t="str">
        <f>A7</f>
        <v>c13.7</v>
      </c>
      <c r="I27" s="119">
        <f>I19-I24</f>
        <v>13391.429999999998</v>
      </c>
      <c r="J27" s="403" t="s">
        <v>1521</v>
      </c>
      <c r="K27" s="2303"/>
    </row>
    <row r="29" spans="1:11" x14ac:dyDescent="0.2">
      <c r="B29" s="711" t="s">
        <v>2126</v>
      </c>
    </row>
    <row r="30" spans="1:11" x14ac:dyDescent="0.2">
      <c r="B30" s="711" t="s">
        <v>5003</v>
      </c>
      <c r="D30" s="121" t="str">
        <f><![CDATA["If box "&H27&" is positive and is less than "&DOLLAR(coded_out_limit,0)&" and you want this included in your "&next_year&" tax code, copy the"]]></f>
        <v>If box c13.7 is positive and is less than $3,000 and you want this included in your 2020-21 tax code, copy the</v>
      </c>
      <c r="G30" s="1945"/>
      <c r="I30" s="1945"/>
    </row>
    <row r="31" spans="1:11" x14ac:dyDescent="0.2">
      <c r="D31" s="121" t="str">
        <f>"figure in box "&amp;H27&amp;" to box "&amp;H32</f>
        <v>figure in box c13.7 to box c13.8</v>
      </c>
      <c r="I31" s="93"/>
    </row>
    <row customHeight="1" ht="12" r="32" spans="1:11" x14ac:dyDescent="0.2">
      <c r="D32" s="121" t="s">
        <v>2386</v>
      </c>
      <c r="H32" s="738" t="str">
        <f>A8</f>
        <v>c13.8</v>
      </c>
      <c r="I32" s="735">
        <f>IF(AND(PAYE_case,to_be_coded,before_30_sep,'POAs (c13)'!I19&lt;coded_out_limit),'POAs (c13)'!I27,0)</f>
        <v>0</v>
      </c>
    </row>
    <row customHeight="1" ht="12" r="33" spans="2:11" x14ac:dyDescent="0.2">
      <c r="D33" s="121" t="str">
        <f>" leave box "&amp;H32&amp;" blank"</f>
        <v xml:space="preserve"> leave box c13.8 blank</v>
      </c>
    </row>
    <row customHeight="1" ht="12" r="34" spans="2:11" x14ac:dyDescent="0.2">
      <c r="D34" s="121" t="s">
        <v>2495</v>
      </c>
    </row>
    <row customHeight="1" ht="12" r="35" spans="2:11" x14ac:dyDescent="0.2">
      <c r="I35" s="380" t="str">
        <f><![CDATA[H3&" + "&H6&" + "&H9&" + "&H12&" + "&H32]]></f>
        <v>c13.1 + c13.2 + c13.3 + c13.4 + c13.8</v>
      </c>
    </row>
    <row customHeight="1" ht="12" r="36" spans="2:11" x14ac:dyDescent="0.2">
      <c r="B36" s="121" t="s">
        <v>3862</v>
      </c>
      <c r="H36" s="738" t="str">
        <f>A9</f>
        <v>c13.9</v>
      </c>
      <c r="I36" s="735">
        <f>I3+I6+I9+I12+I32</f>
        <v>0</v>
      </c>
    </row>
    <row r="38" spans="2:11" x14ac:dyDescent="0.2">
      <c r="B38" s="121" t="s">
        <v>3860</v>
      </c>
      <c r="I38" s="93" t="str">
        <f>'Tax due (c12)'!I79&amp;" minus "&amp;H36</f>
        <v>c12.21 minus c13.9</v>
      </c>
    </row>
    <row r="39" spans="2:11" x14ac:dyDescent="0.2">
      <c r="B39" s="121" t="s">
        <v>3861</v>
      </c>
      <c r="H39" s="738" t="str">
        <f>A10</f>
        <v>c13.10</v>
      </c>
      <c r="I39" s="119">
        <f>'Tax due (c12)'!J79-I36</f>
        <v>13508.429999999998</v>
      </c>
      <c r="J39" s="403" t="s">
        <v>1521</v>
      </c>
      <c r="K39" s="2303"/>
    </row>
    <row r="41" spans="2:11" x14ac:dyDescent="0.2">
      <c r="B41" s="121" t="s">
        <v>5818</v>
      </c>
      <c r="I41" s="3194" t="str">
        <f><![CDATA['Tax due (c12)'!I60&" minus ("&'Tax due (c12)'!F16&" + "&'Tax due (c12)'!F30&" + "&'Tax due (c12)'!F33&" + "&'POAs (c13)'!H32&" + "&NRD&NRD!K23&")"]]></f>
        <v>c12.16 minus (c12.3 + c12.7 + c12.7b + c13.8 + NRD36)</v>
      </c>
    </row>
    <row r="42" spans="2:11" x14ac:dyDescent="0.2">
      <c r="B42" s="121" t="s">
        <v>8019</v>
      </c>
      <c r="F42" s="3179"/>
      <c r="H42" s="738" t="str">
        <f>A11</f>
        <v>c13.11</v>
      </c>
      <c r="I42" s="119">
        <f>'Tax due (c12)'!J60-('Tax due (c12)'!G16+'Tax due (c12)'!G30+'Tax due (c12)'!G33+I32+NRD!L24)</f>
        <v>12791.429999999998</v>
      </c>
      <c r="J42" s="403" t="s">
        <v>1521</v>
      </c>
      <c r="K42" s="2303"/>
    </row>
    <row r="44" spans="2:11" x14ac:dyDescent="0.2">
      <c r="E44" s="94" t="str">
        <f>"if box "&amp;H42&amp;" is &lt; POA_limit ("&amp;DOLLAR(POA_limit,0)&amp;")"</f>
        <v>if box c13.11 is &lt; POA_limit ($1,000)</v>
      </c>
    </row>
    <row r="45" spans="2:11" x14ac:dyDescent="0.2">
      <c r="E45" s="94" t="str">
        <f>"set boxes "&amp;H48&amp;" to "&amp;H71&amp;" to 0 (zero)"</f>
        <v>set boxes c13.12 to c13.16 to 0 (zero)</v>
      </c>
    </row>
    <row r="46" spans="2:11" x14ac:dyDescent="0.2">
      <c r="E46" s="121" t="s">
        <v>2386</v>
      </c>
    </row>
    <row r="47" spans="2:11" x14ac:dyDescent="0.2">
      <c r="B47" s="121" t="s">
        <v>5055</v>
      </c>
      <c r="I47" s="93" t="str">
        <f><![CDATA['Tax adj (c9)'!L86&" + "&'Tax adj (c9)'!I92&" + "&'Tax due (c12)'!I5&" + "&'Tax due (c12)'!F8&" + "&'Tax due (c12)'!F36&" + "&'Tax due (c12)'!F39&" + "&'Tax due (c12)'!F42&" + "&'Tax due (c12)'!F45&" minus "&NRD&NRD!K23]]></f>
        <v>c9.25 + c9.27 + c12.1 + c12.2 + c12.8 + c12.9 + c12.10 + c12.11 minus NRD36</v>
      </c>
    </row>
    <row ht="15" r="48" spans="2:11" x14ac:dyDescent="0.2">
      <c r="B48" s="121" t="s">
        <v>713</v>
      </c>
      <c r="H48" s="738" t="str">
        <f>A12</f>
        <v>c13.12</v>
      </c>
      <c r="I48" s="735">
        <f>IF(I42&lt;POA_limit,0,'Tax adj (c9)'!M86+'Tax adj (c9)'!J92+'Tax due (c12)'!J5+'Tax due (c12)'!G8+'Tax due (c12)'!G36+'Tax due (c12)'!G39+'Tax due (c12)'!G42+'Tax due (c12)'!G45-NRD!L24)</f>
        <v>11792.429999999998</v>
      </c>
      <c r="K48" s="903"/>
    </row>
    <row r="49" spans="2:11" x14ac:dyDescent="0.2">
      <c r="K49" s="904"/>
    </row>
    <row r="50" spans="2:11" x14ac:dyDescent="0.2">
      <c r="I50" s="93" t="str">
        <f>H48&amp;" x 20%"</f>
        <v>c13.12 x 20%</v>
      </c>
    </row>
    <row r="51" spans="2:11" x14ac:dyDescent="0.2">
      <c r="H51" s="738" t="str">
        <f>A13</f>
        <v>c13.13</v>
      </c>
      <c r="I51" s="735">
        <f>IF(I42&lt;POA_limit,0,I48*20%)</f>
        <v>2358.4859999999999</v>
      </c>
    </row>
    <row r="53" spans="2:11" x14ac:dyDescent="0.2">
      <c r="I53" s="689" t="str">
        <f>"if box "&amp;CAL&amp;CAL!C14&amp;" ticked "</f>
        <v xml:space="preserve">if box CAL10 ticked </v>
      </c>
    </row>
    <row r="54" spans="2:11" x14ac:dyDescent="0.2">
      <c r="B54" s="94" t="s">
        <v>2408</v>
      </c>
      <c r="I54" s="689" t="str">
        <f>H58&amp;" = box "&amp;CAL&amp;CAL!G14</f>
        <v>c13.14 = box CAL11</v>
      </c>
    </row>
    <row r="55" spans="2:11" x14ac:dyDescent="0.2">
      <c r="I55" s="689" t="s">
        <v>2386</v>
      </c>
    </row>
    <row r="56" spans="2:11" x14ac:dyDescent="0.2">
      <c r="I56" s="689" t="str">
        <f>H58&amp;" = 0 (zero)"</f>
        <v>c13.14 = 0 (zero)</v>
      </c>
    </row>
    <row r="57" spans="2:11" x14ac:dyDescent="0.2">
      <c r="I57" s="689" t="s">
        <v>2495</v>
      </c>
    </row>
    <row r="58" spans="2:11" x14ac:dyDescent="0.2">
      <c r="G58" s="689"/>
      <c r="H58" s="738" t="str">
        <f>A14</f>
        <v>c13.14</v>
      </c>
      <c r="I58" s="735">
        <f>IF(I42&lt;POA_limit,0,IF(claim_to_reduce,CAL!H15,0))</f>
        <v>0</v>
      </c>
    </row>
    <row r="60" spans="2:11" x14ac:dyDescent="0.2">
      <c r="I60" s="93" t="str">
        <f>H42&amp;" x 50%"</f>
        <v>c13.11 x 50%</v>
      </c>
    </row>
    <row r="61" spans="2:11" x14ac:dyDescent="0.2">
      <c r="H61" s="738" t="str">
        <f>A15</f>
        <v>c13.15</v>
      </c>
      <c r="I61" s="735">
        <f>IF(I42&lt;POA_limit,0,TRUNC(I42*50%,2))</f>
        <v>6395.71</v>
      </c>
    </row>
    <row r="63" spans="2:11" x14ac:dyDescent="0.2">
      <c r="E63" s="93" t="str">
        <f>"if box "&amp;H51&amp;" minus "&amp;H42&amp;" = 0"</f>
        <v>if box c13.13 minus c13.11 = 0</v>
      </c>
    </row>
    <row r="64" spans="2:11" x14ac:dyDescent="0.2">
      <c r="E64" s="93" t="str">
        <f>H71&amp;" = 0"</f>
        <v>c13.16 = 0</v>
      </c>
    </row>
    <row r="65" spans="2:11" x14ac:dyDescent="0.2">
      <c r="E65" s="121" t="s">
        <v>2386</v>
      </c>
    </row>
    <row r="66" spans="2:11" x14ac:dyDescent="0.2">
      <c r="I66" s="93" t="str">
        <f>"if box "&amp;CAL&amp;CAL!C14&amp;" ticked "</f>
        <v xml:space="preserve">if box CAL10 ticked </v>
      </c>
    </row>
    <row r="67" spans="2:11" x14ac:dyDescent="0.2">
      <c r="I67" s="2168" t="str">
        <f>H71&amp;" = lower of "&amp;H58&amp;" and "&amp;H61</f>
        <v>c13.16 = lower of c13.14 and c13.15</v>
      </c>
    </row>
    <row r="68" spans="2:11" x14ac:dyDescent="0.2">
      <c r="I68" s="121" t="s">
        <v>2386</v>
      </c>
    </row>
    <row r="69" spans="2:11" x14ac:dyDescent="0.2">
      <c r="I69" s="93" t="str">
        <f>H71&amp;" = "&amp;H61</f>
        <v>c13.16 = c13.15</v>
      </c>
    </row>
    <row r="70" spans="2:11" x14ac:dyDescent="0.2">
      <c r="I70" s="121" t="s">
        <v>2495</v>
      </c>
    </row>
    <row ht="12.75" r="71" spans="2:11" x14ac:dyDescent="0.2">
      <c r="B71" s="16" t="str">
        <f>"Each POA for "&amp;next_year</f>
        <v>Each POA for 2020-21</v>
      </c>
      <c r="D71" s="1945"/>
      <c r="H71" s="738" t="str">
        <f>A16</f>
        <v>c13.16</v>
      </c>
      <c r="I71" s="735">
        <f>IF(I42&lt;POA_limit,0,IF(I51&gt;I42,0,IF(claim_to_reduce,MIN(I58,I61),I61)))</f>
        <v>6395.71</v>
      </c>
    </row>
    <row r="72" spans="2:11" x14ac:dyDescent="0.2">
      <c r="E72" s="852" t="s">
        <v>2495</v>
      </c>
    </row>
    <row r="73" spans="2:11" x14ac:dyDescent="0.2">
      <c r="E73" s="121" t="s">
        <v>2495</v>
      </c>
    </row>
    <row r="74" spans="2:11" x14ac:dyDescent="0.2">
      <c r="B74" s="711" t="str">
        <f>"Total Amount Payable on 31 January "&amp;BCD_year</f>
        <v>Total Amount Payable on 31 January 2021</v>
      </c>
      <c r="E74" s="1945"/>
      <c r="F74" s="1945"/>
      <c r="I74" s="93" t="str">
        <f>H39&amp;" + "&amp;H71</f>
        <v>c13.10 + c13.16</v>
      </c>
    </row>
    <row r="75" spans="2:11" x14ac:dyDescent="0.2">
      <c r="H75" s="738" t="str">
        <f>A17</f>
        <v>c13.17</v>
      </c>
      <c r="I75" s="119">
        <f>I39+I71</f>
        <v>19904.14</v>
      </c>
      <c r="J75" s="2303" t="s">
        <v>1521</v>
      </c>
      <c r="K75" s="2303"/>
    </row>
  </sheetData>
  <phoneticPr fontId="67" type="noConversion"/>
  <pageMargins bottom="0.196850393700787" footer="0" header="0" left="0.196850393700787" right="0.196850393700787" top="0.196850393700787"/>
  <pageSetup orientation="portrait" paperSize="9" r:id="rId1"/>
  <headerFooter alignWithMargins="0"/>
</worksheet>
</file>

<file path=xl/worksheets/sheet74.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900-000000000000}">
  <sheetPr codeName="Sheet10">
    <tabColor rgb="FFFFFF00"/>
  </sheetPr>
  <dimension ref="A1:AA164"/>
  <sheetViews>
    <sheetView showGridLines="0" topLeftCell="B133" workbookViewId="0">
      <selection activeCell="M25" sqref="M25"/>
    </sheetView>
  </sheetViews>
  <sheetFormatPr defaultColWidth="9.140625" defaultRowHeight="12" x14ac:dyDescent="0.2"/>
  <cols>
    <col min="1" max="1" customWidth="true" hidden="true" style="121" width="9.5703125" collapsed="true"/>
    <col min="2" max="2" customWidth="true" style="121" width="2.7109375" collapsed="true"/>
    <col min="3" max="3" customWidth="true" style="121" width="34.42578125" collapsed="true"/>
    <col min="4" max="4" customWidth="true" style="121" width="9.0" collapsed="true"/>
    <col min="5" max="5" customWidth="true" style="121" width="5.85546875" collapsed="true"/>
    <col min="6" max="6" customWidth="true" style="121" width="12.42578125" collapsed="true"/>
    <col min="7" max="8" customWidth="true" style="121" width="5.85546875" collapsed="true"/>
    <col min="9" max="9" customWidth="true" style="121" width="12.42578125" collapsed="true"/>
    <col min="10" max="10" customWidth="true" style="121" width="3.140625" collapsed="true"/>
    <col min="11" max="11" customWidth="true" style="121" width="6.5703125" collapsed="true"/>
    <col min="12" max="12" customWidth="true" style="121" width="13.28515625" collapsed="true"/>
    <col min="13" max="13" customWidth="true" style="121" width="6.140625" collapsed="true"/>
    <col min="14" max="14" customWidth="true" style="121" width="32.42578125" collapsed="true"/>
    <col min="15" max="15" customWidth="true" style="121" width="10.85546875" collapsed="true"/>
    <col min="16" max="16" customWidth="true" style="121" width="1.85546875" collapsed="true"/>
    <col min="17" max="17" customWidth="true" style="121" width="4.7109375" collapsed="true"/>
    <col min="18" max="18" customWidth="true" style="121" width="11.0" collapsed="true"/>
    <col min="19" max="19" customWidth="true" style="37" width="2.85546875" collapsed="true"/>
    <col min="20" max="20" customWidth="true" style="37" width="9.0" collapsed="true"/>
    <col min="21" max="21" style="121" width="9.140625" collapsed="true"/>
    <col min="22" max="23" customWidth="true" style="121" width="4.7109375" collapsed="true"/>
    <col min="24" max="24" style="121" width="9.140625" collapsed="true"/>
    <col min="25" max="26" customWidth="true" style="121" width="4.7109375" collapsed="true"/>
    <col min="27" max="16384" style="121" width="9.140625" collapsed="true"/>
  </cols>
  <sheetData>
    <row ht="18" r="1" spans="1:18" x14ac:dyDescent="0.25">
      <c r="A1" s="104" t="s">
        <v>2954</v>
      </c>
      <c r="B1" s="2725" t="str">
        <f>"Calculate personal allowance due if your income is "&amp;DOLLAR(PA_taper_limit,0)&amp;" or more"</f>
        <v>Calculate personal allowance due if your income is $100,000 or more</v>
      </c>
      <c r="O1" s="37"/>
      <c r="P1" s="37"/>
      <c r="Q1" s="37"/>
      <c r="R1" s="37"/>
    </row>
    <row r="2" spans="1:18" x14ac:dyDescent="0.2">
      <c r="A2" s="104" t="s">
        <v>2955</v>
      </c>
      <c r="G2" s="2939" t="s">
        <v>7394</v>
      </c>
      <c r="H2" s="2940"/>
      <c r="I2" s="2940"/>
      <c r="J2" s="2940"/>
      <c r="K2" s="2941"/>
      <c r="L2" s="1506"/>
      <c r="P2" s="37"/>
      <c r="Q2" s="37"/>
      <c r="R2" s="37"/>
    </row>
    <row r="3" spans="1:18" x14ac:dyDescent="0.2">
      <c r="A3" s="104" t="s">
        <v>3799</v>
      </c>
      <c r="B3" s="37"/>
      <c r="P3" s="37"/>
      <c r="Q3" s="37"/>
      <c r="R3" s="37"/>
    </row>
    <row r="4" spans="1:18" x14ac:dyDescent="0.2">
      <c r="A4" s="104" t="s">
        <v>3009</v>
      </c>
      <c r="B4" s="37"/>
      <c r="C4" s="37"/>
      <c r="D4" s="37"/>
      <c r="E4" s="37"/>
      <c r="F4" s="37"/>
      <c r="G4" s="37"/>
      <c r="H4" s="37"/>
      <c r="I4" s="37"/>
      <c r="J4" s="37"/>
      <c r="K4" s="37"/>
      <c r="L4" s="38" t="str">
        <f>"from "&amp;'Deductions (c4)'!H219</f>
        <v>from c4.63</v>
      </c>
      <c r="M4" s="37"/>
    </row>
    <row r="5" spans="1:18" x14ac:dyDescent="0.2">
      <c r="A5" s="104" t="s">
        <v>3010</v>
      </c>
      <c r="B5" s="37"/>
      <c r="C5" s="36" t="s">
        <v>4150</v>
      </c>
      <c r="D5" s="37"/>
      <c r="E5" s="37"/>
      <c r="F5" s="37"/>
      <c r="G5" s="37"/>
      <c r="H5" s="37"/>
      <c r="I5" s="37"/>
      <c r="K5" s="743" t="str">
        <f>A1</f>
        <v>c14.1</v>
      </c>
      <c r="L5" s="392">
        <f>TRUNC(MAX(0,'Deductions (c4)'!I219),0)</f>
        <v>61047</v>
      </c>
      <c r="M5" s="37"/>
    </row>
    <row r="6" spans="1:18" x14ac:dyDescent="0.2">
      <c r="A6" s="104" t="s">
        <v>2553</v>
      </c>
      <c r="B6" s="37"/>
      <c r="M6" s="37"/>
    </row>
    <row r="7" spans="1:18" x14ac:dyDescent="0.2">
      <c r="A7" s="2810"/>
      <c r="B7" s="37"/>
      <c r="L7" s="93" t="str">
        <f>"PA_taper_limit ("&amp;DOLLAR(PA_taper_limit,0)&amp;")"</f>
        <v>PA_taper_limit ($100,000)</v>
      </c>
      <c r="M7" s="37"/>
    </row>
    <row r="8" spans="1:18" x14ac:dyDescent="0.2">
      <c r="A8" s="2810"/>
      <c r="B8" s="37"/>
      <c r="C8" s="36" t="s">
        <v>2279</v>
      </c>
      <c r="D8" s="37"/>
      <c r="E8" s="37"/>
      <c r="F8" s="37"/>
      <c r="G8" s="37"/>
      <c r="K8" s="743" t="str">
        <f>A2</f>
        <v>c14.2</v>
      </c>
      <c r="L8" s="755">
        <f>PA_taper_limit</f>
        <v>100000</v>
      </c>
      <c r="M8" s="37"/>
    </row>
    <row r="9" spans="1:18" x14ac:dyDescent="0.2">
      <c r="A9" s="2810"/>
      <c r="B9" s="37"/>
      <c r="C9" s="36"/>
      <c r="D9" s="37"/>
      <c r="E9" s="37"/>
      <c r="F9" s="37"/>
      <c r="G9" s="37"/>
      <c r="H9" s="37"/>
      <c r="I9" s="37"/>
      <c r="K9" s="37"/>
      <c r="L9" s="37"/>
      <c r="M9" s="37"/>
    </row>
    <row r="10" spans="1:18" x14ac:dyDescent="0.2">
      <c r="A10" s="2810"/>
      <c r="B10" s="37"/>
      <c r="K10" s="37"/>
      <c r="L10" s="38" t="str">
        <f>K5&amp;" minus "&amp;K8</f>
        <v>c14.1 minus c14.2</v>
      </c>
      <c r="M10" s="37"/>
    </row>
    <row r="11" spans="1:18" x14ac:dyDescent="0.2">
      <c r="A11" s="2810"/>
      <c r="B11" s="37"/>
      <c r="K11" s="743" t="str">
        <f>A3</f>
        <v>c14.3</v>
      </c>
      <c r="L11" s="392">
        <f>MAX(0,L5-L8)</f>
        <v>0</v>
      </c>
      <c r="M11" s="37"/>
    </row>
    <row r="12" spans="1:18" x14ac:dyDescent="0.2">
      <c r="A12" s="2810"/>
      <c r="B12" s="37"/>
      <c r="M12" s="37"/>
    </row>
    <row r="13" spans="1:18" x14ac:dyDescent="0.2">
      <c r="A13" s="2810"/>
      <c r="B13" s="37"/>
      <c r="C13" s="51" t="s">
        <v>3148</v>
      </c>
      <c r="D13" s="981"/>
      <c r="E13" s="981"/>
      <c r="F13" s="981"/>
      <c r="G13" s="981"/>
      <c r="H13" s="981"/>
      <c r="I13" s="981"/>
      <c r="J13" s="981"/>
      <c r="K13" s="982"/>
      <c r="L13" s="2325" t="str">
        <f>"P_A ("&amp;DOLLAR(P_A,0)&amp;")"</f>
        <v>P_A ($12,500)</v>
      </c>
      <c r="M13" s="37"/>
    </row>
    <row r="14" spans="1:18" x14ac:dyDescent="0.2">
      <c r="A14" s="2810"/>
      <c r="B14" s="37"/>
      <c r="C14" s="1787"/>
      <c r="D14" s="974"/>
      <c r="E14" s="974"/>
      <c r="F14" s="974"/>
      <c r="G14" s="974"/>
      <c r="H14" s="974"/>
      <c r="I14" s="974"/>
      <c r="J14" s="982"/>
      <c r="K14" s="743" t="str">
        <f>A4</f>
        <v>c14.4</v>
      </c>
      <c r="L14" s="392">
        <f>P_A</f>
        <v>12500</v>
      </c>
      <c r="M14" s="37"/>
    </row>
    <row r="15" spans="1:18" x14ac:dyDescent="0.2">
      <c r="A15" s="2810"/>
      <c r="B15" s="37"/>
      <c r="C15" s="974"/>
      <c r="D15" s="981"/>
      <c r="E15" s="981"/>
      <c r="F15" s="981"/>
      <c r="G15" s="981"/>
      <c r="H15" s="981"/>
      <c r="I15" s="981"/>
      <c r="J15" s="981"/>
      <c r="M15" s="37"/>
    </row>
    <row r="16" spans="1:18" x14ac:dyDescent="0.2">
      <c r="A16" s="2810"/>
      <c r="B16" s="37"/>
      <c r="K16" s="37"/>
      <c r="L16" s="38" t="str">
        <f>K11&amp;" x AA_excess ("&amp;AA_excess * 100&amp;"%)"</f>
        <v>c14.3 x AA_excess (50%)</v>
      </c>
    </row>
    <row r="17" spans="1:26" x14ac:dyDescent="0.2">
      <c r="B17" s="37"/>
      <c r="C17" s="37"/>
      <c r="D17" s="37"/>
      <c r="E17" s="37"/>
      <c r="F17" s="37"/>
      <c r="G17" s="37"/>
      <c r="K17" s="743" t="str">
        <f>A5</f>
        <v>c14.5</v>
      </c>
      <c r="L17" s="392">
        <f>TRUNC(L11*AA_excess,0)</f>
        <v>0</v>
      </c>
      <c r="M17" s="937" t="s">
        <v>1743</v>
      </c>
    </row>
    <row r="18" spans="1:26" x14ac:dyDescent="0.2">
      <c r="B18" s="37"/>
      <c r="C18" s="37"/>
      <c r="D18" s="37"/>
      <c r="E18" s="37"/>
      <c r="F18" s="37"/>
      <c r="J18" s="37"/>
    </row>
    <row r="19" spans="1:26" x14ac:dyDescent="0.2">
      <c r="C19" s="2645" t="s">
        <v>6052</v>
      </c>
      <c r="D19" s="1442"/>
      <c r="E19" s="1442"/>
      <c r="F19" s="1442"/>
      <c r="G19" s="1442"/>
      <c r="H19" s="1442"/>
      <c r="I19" s="1442"/>
      <c r="J19" s="1442"/>
      <c r="K19" s="1442"/>
      <c r="L19" s="1442"/>
      <c r="M19" s="1788"/>
    </row>
    <row r="20" spans="1:26" x14ac:dyDescent="0.2">
      <c r="C20" s="1044"/>
      <c r="D20" s="993"/>
      <c r="E20" s="993"/>
      <c r="F20" s="993"/>
      <c r="G20" s="993"/>
      <c r="H20" s="993"/>
      <c r="I20" s="993"/>
      <c r="J20" s="993"/>
      <c r="K20" s="993"/>
      <c r="L20" s="2640" t="s">
        <v>6051</v>
      </c>
      <c r="M20" s="1045"/>
    </row>
    <row r="21" spans="1:26" x14ac:dyDescent="0.2">
      <c r="C21" s="1044"/>
      <c r="D21" s="993"/>
      <c r="E21" s="993"/>
      <c r="F21" s="993"/>
      <c r="G21" s="993"/>
      <c r="H21" s="993"/>
      <c r="I21" s="993"/>
      <c r="J21" s="993"/>
      <c r="K21" s="1790"/>
      <c r="L21" s="2646">
        <f>IF(in_year_rept,'Add pages'!I36,0)</f>
        <v>0</v>
      </c>
      <c r="M21" s="1045"/>
    </row>
    <row r="22" spans="1:26" x14ac:dyDescent="0.2">
      <c r="C22" s="1046"/>
      <c r="D22" s="1047"/>
      <c r="E22" s="1047"/>
      <c r="F22" s="1047"/>
      <c r="G22" s="1047"/>
      <c r="H22" s="1047"/>
      <c r="I22" s="1047"/>
      <c r="J22" s="1047"/>
      <c r="K22" s="1047"/>
      <c r="L22" s="1047"/>
      <c r="M22" s="1048"/>
    </row>
    <row r="24" spans="1:26" x14ac:dyDescent="0.2">
      <c r="B24" s="37"/>
      <c r="C24" s="37"/>
      <c r="D24" s="37"/>
      <c r="E24" s="37"/>
      <c r="F24" s="37"/>
      <c r="G24" s="37"/>
      <c r="H24" s="37"/>
      <c r="I24" s="37"/>
      <c r="J24" s="37"/>
      <c r="K24" s="37"/>
      <c r="L24" s="38" t="str">
        <f>K14&amp;" minus "&amp;K17</f>
        <v>c14.4 minus c14.5</v>
      </c>
    </row>
    <row r="25" spans="1:26" x14ac:dyDescent="0.2">
      <c r="B25" s="37"/>
      <c r="C25" s="37" t="s">
        <v>5876</v>
      </c>
      <c r="D25" s="37"/>
      <c r="F25" s="37"/>
      <c r="G25" s="37"/>
      <c r="H25" s="37"/>
      <c r="I25" s="37"/>
      <c r="J25" s="37"/>
      <c r="K25" s="743" t="str">
        <f>A6</f>
        <v>c14.6</v>
      </c>
      <c r="L25" s="392">
        <f>IF(in_year_rept,MIN(L21,MAX(0,L14-L17)),MAX(0,L14-L17))</f>
        <v>12500</v>
      </c>
    </row>
    <row r="26" spans="1:26" x14ac:dyDescent="0.2">
      <c r="B26" s="37"/>
      <c r="C26" s="37"/>
      <c r="D26" s="37"/>
      <c r="E26" s="37"/>
      <c r="F26" s="37"/>
      <c r="G26" s="37"/>
      <c r="H26" s="37"/>
      <c r="I26" s="37"/>
      <c r="J26" s="37"/>
      <c r="L26" s="2330" t="str">
        <f>"copy to box "&amp;'Deductions (c4)'!H239</f>
        <v>copy to box c4.64</v>
      </c>
    </row>
    <row r="27" spans="1:26" x14ac:dyDescent="0.2">
      <c r="B27" s="37"/>
      <c r="C27" s="685"/>
      <c r="D27" s="685"/>
      <c r="E27" s="685"/>
      <c r="F27" s="685"/>
      <c r="G27" s="685"/>
      <c r="H27" s="685"/>
      <c r="I27" s="685"/>
      <c r="J27" s="685"/>
      <c r="K27" s="685"/>
      <c r="L27" s="685"/>
      <c r="M27" s="685"/>
      <c r="N27" s="685"/>
      <c r="O27" s="685"/>
      <c r="P27" s="685"/>
      <c r="Q27" s="685"/>
      <c r="R27" s="685"/>
      <c r="S27" s="685"/>
      <c r="T27" s="685"/>
      <c r="U27" s="685"/>
      <c r="V27" s="685"/>
      <c r="W27" s="685"/>
      <c r="X27" s="685"/>
      <c r="Y27" s="685"/>
      <c r="Z27" s="685"/>
    </row>
    <row customFormat="1" r="28" s="3387" spans="1:26" x14ac:dyDescent="0.2">
      <c r="B28" s="37"/>
      <c r="C28" s="37"/>
      <c r="D28" s="37"/>
      <c r="E28" s="37"/>
      <c r="F28" s="37"/>
      <c r="G28" s="37"/>
      <c r="H28" s="37"/>
      <c r="I28" s="37"/>
      <c r="J28" s="37"/>
      <c r="K28" s="37"/>
      <c r="L28" s="37"/>
      <c r="M28" s="37"/>
      <c r="N28" s="37"/>
      <c r="O28" s="37"/>
      <c r="P28" s="37"/>
      <c r="Q28" s="37"/>
      <c r="R28" s="37"/>
      <c r="S28" s="37"/>
      <c r="T28" s="37"/>
      <c r="U28" s="37"/>
      <c r="V28" s="37"/>
      <c r="W28" s="37"/>
      <c r="X28" s="37"/>
      <c r="Y28" s="37"/>
      <c r="Z28" s="37"/>
    </row>
    <row customFormat="1" r="29" s="3387" spans="1:26" x14ac:dyDescent="0.2">
      <c r="B29" s="37"/>
      <c r="C29" s="37"/>
      <c r="D29" s="37"/>
      <c r="E29" s="37"/>
      <c r="F29" s="37"/>
      <c r="G29" s="37"/>
      <c r="H29" s="2939" t="s">
        <v>7394</v>
      </c>
      <c r="I29" s="2940"/>
      <c r="J29" s="2940"/>
      <c r="K29" s="2940"/>
      <c r="L29" s="2941"/>
      <c r="M29" s="1506"/>
      <c r="N29" s="37"/>
      <c r="O29" s="37"/>
      <c r="P29" s="37"/>
      <c r="Q29" s="37"/>
      <c r="R29" s="37"/>
      <c r="S29" s="37"/>
      <c r="T29" s="37"/>
      <c r="U29" s="37"/>
      <c r="V29" s="37"/>
      <c r="W29" s="37"/>
      <c r="X29" s="37"/>
      <c r="Y29" s="37"/>
      <c r="Z29" s="37"/>
    </row>
    <row r="30" spans="1:26" x14ac:dyDescent="0.2">
      <c r="B30" s="37"/>
      <c r="C30" s="37"/>
      <c r="D30" s="37"/>
      <c r="E30" s="37"/>
      <c r="F30" s="37"/>
      <c r="G30" s="37"/>
      <c r="H30" s="37"/>
      <c r="I30" s="37"/>
      <c r="J30" s="37"/>
      <c r="K30" s="37"/>
      <c r="L30" s="37"/>
      <c r="M30" s="37"/>
      <c r="N30" s="37"/>
      <c r="O30" s="37"/>
      <c r="P30" s="37"/>
      <c r="Q30" s="37"/>
      <c r="R30" s="37"/>
      <c r="U30" s="37"/>
      <c r="V30" s="37"/>
      <c r="W30" s="37"/>
      <c r="X30" s="37"/>
      <c r="Y30" s="37"/>
      <c r="Z30" s="37"/>
    </row>
    <row r="31" spans="1:26" x14ac:dyDescent="0.2">
      <c r="A31" s="104" t="s">
        <v>1789</v>
      </c>
      <c r="B31" s="37"/>
      <c r="C31" s="711" t="str">
        <f>"Calculate age related Married Couple’s Allowance due claimed by husband, spouse or civil partner with higher income (box MCA"&amp;MCA!C4&amp;" present)"</f>
        <v>Calculate age related Married Couple’s Allowance due claimed by husband, spouse or civil partner with higher income (box MCA1 present)</v>
      </c>
      <c r="E31" s="37"/>
      <c r="F31" s="37"/>
      <c r="G31" s="37"/>
      <c r="H31" s="37"/>
      <c r="I31" s="37"/>
      <c r="J31" s="37"/>
      <c r="K31" s="37"/>
      <c r="L31" s="37"/>
      <c r="M31" s="37"/>
      <c r="N31" s="2647" t="str">
        <f>"Only complete these boxes if either you or your wife (or a former wife you were married to in "&amp;tax_year&amp;" were born before 6 April "&amp;MCA_year</f>
        <v>Only complete these boxes if either you or your wife (or a former wife you were married to in 2019-20 were born before 6 April 1935</v>
      </c>
      <c r="O31" s="2648"/>
      <c r="P31" s="2648"/>
      <c r="Q31" s="1441"/>
      <c r="R31" s="1441"/>
      <c r="S31" s="1441"/>
      <c r="T31" s="1441"/>
      <c r="U31" s="2329"/>
      <c r="V31" s="1441"/>
      <c r="W31" s="1441"/>
      <c r="X31" s="1441"/>
      <c r="Y31" s="1441"/>
      <c r="Z31" s="1455"/>
    </row>
    <row r="32" spans="1:26" x14ac:dyDescent="0.2">
      <c r="A32" s="104" t="s">
        <v>3356</v>
      </c>
      <c r="B32" s="37"/>
      <c r="C32" s="711"/>
      <c r="E32" s="37"/>
      <c r="F32" s="37"/>
      <c r="G32" s="37"/>
      <c r="H32" s="37"/>
      <c r="I32" s="37"/>
      <c r="J32" s="37"/>
      <c r="K32" s="37"/>
      <c r="L32" s="37"/>
      <c r="M32" s="37"/>
      <c r="N32" s="2649" t="s">
        <v>1323</v>
      </c>
      <c r="O32" s="2650"/>
      <c r="P32" s="2650"/>
      <c r="Q32" s="37"/>
      <c r="R32" s="394"/>
      <c r="U32" s="37"/>
      <c r="V32" s="37"/>
      <c r="W32" s="37"/>
      <c r="X32" s="37"/>
      <c r="Y32" s="37"/>
      <c r="Z32" s="1071"/>
    </row>
    <row r="33" spans="1:26" x14ac:dyDescent="0.2">
      <c r="A33" s="104" t="s">
        <v>3357</v>
      </c>
      <c r="B33" s="37"/>
      <c r="C33" s="121" t="str">
        <f>"If MCA"&amp;MCA!C4&amp;" present then"</f>
        <v>If MCA1 present then</v>
      </c>
      <c r="E33" s="37"/>
      <c r="F33" s="37"/>
      <c r="G33" s="37"/>
      <c r="H33" s="37"/>
      <c r="I33" s="37"/>
      <c r="J33" s="37"/>
      <c r="K33" s="37"/>
      <c r="L33" s="37"/>
      <c r="M33" s="37"/>
      <c r="N33" s="2649" t="s">
        <v>1324</v>
      </c>
      <c r="O33" s="2650"/>
      <c r="P33" s="2650"/>
      <c r="Q33" s="37"/>
      <c r="R33" s="37"/>
      <c r="U33" s="37"/>
      <c r="V33" s="37"/>
      <c r="W33" s="37"/>
      <c r="X33" s="37"/>
      <c r="Y33" s="37"/>
      <c r="Z33" s="1071"/>
    </row>
    <row customHeight="1" ht="11.25" r="34" spans="1:26" x14ac:dyDescent="0.2">
      <c r="A34" s="104" t="s">
        <v>3358</v>
      </c>
      <c r="C34" s="121" t="str">
        <f><![CDATA["DOB for Married Couple’s Allowance = earliest date from box "&YPD&'INC(1)'!C4&" or box MCA"&MCA!C8&" or box MCA"&MCA!C9]]></f>
        <v>DOB for Married Couple’s Allowance = earliest date from box YPD1 or box MCA2 or box MCA5</v>
      </c>
      <c r="N34" s="2651"/>
      <c r="O34" s="2650"/>
      <c r="P34" s="2650"/>
      <c r="Q34" s="37"/>
      <c r="R34" s="394"/>
      <c r="U34" s="37"/>
      <c r="V34" s="37"/>
      <c r="W34" s="37"/>
      <c r="X34" s="37"/>
      <c r="Y34" s="37"/>
      <c r="Z34" s="1071"/>
    </row>
    <row customHeight="1" ht="11.25" r="35" spans="1:26" x14ac:dyDescent="0.2">
      <c r="A35" s="104" t="s">
        <v>3359</v>
      </c>
      <c r="N35" s="2652" t="str">
        <f>"Enter the maximum Married Couples Allowance from "&amp;N36</f>
        <v>Enter the maximum Married Couples Allowance from Table 1</v>
      </c>
      <c r="O35" s="2650"/>
      <c r="P35" s="2650"/>
      <c r="Q35" s="37"/>
      <c r="R35" s="37"/>
      <c r="U35" s="37"/>
      <c r="V35" s="37"/>
      <c r="W35" s="37"/>
      <c r="X35" s="37"/>
      <c r="Y35" s="37"/>
      <c r="Z35" s="1071"/>
    </row>
    <row customHeight="1" ht="11.25" r="36" spans="1:26" x14ac:dyDescent="0.2">
      <c r="A36" s="104" t="s">
        <v>3360</v>
      </c>
      <c r="L36" s="93" t="str">
        <f>"If DOB for Married Couple's Allowance is Null or after 5 April "&amp;MCA_year</f>
        <v>If DOB for Married Couple's Allowance is Null or after 5 April 1935</v>
      </c>
      <c r="N36" s="2653" t="s">
        <v>689</v>
      </c>
      <c r="O36" s="2650"/>
      <c r="P36" s="2650"/>
      <c r="Q36" s="37"/>
      <c r="R36" s="37"/>
      <c r="U36" s="37"/>
      <c r="V36" s="37"/>
      <c r="W36" s="37"/>
      <c r="X36" s="37"/>
      <c r="Y36" s="37"/>
      <c r="Z36" s="1071"/>
    </row>
    <row customHeight="1" ht="11.25" r="37" spans="1:26" x14ac:dyDescent="0.2">
      <c r="A37" s="104" t="s">
        <v>3361</v>
      </c>
      <c r="L37" s="93" t="str">
        <f>K42&amp;" = 0 (zero)"</f>
        <v>c15.1 = 0 (zero)</v>
      </c>
      <c r="N37" s="2647" t="s">
        <v>936</v>
      </c>
      <c r="O37" s="2654" t="s">
        <v>935</v>
      </c>
      <c r="P37" s="2650"/>
      <c r="Q37" s="37"/>
      <c r="R37" s="37"/>
      <c r="U37" s="37"/>
      <c r="V37" s="37"/>
      <c r="W37" s="37"/>
      <c r="X37" s="37"/>
      <c r="Y37" s="37"/>
      <c r="Z37" s="1071"/>
    </row>
    <row customHeight="1" ht="11.25" r="38" spans="1:26" x14ac:dyDescent="0.2">
      <c r="A38" s="104" t="s">
        <v>1365</v>
      </c>
      <c r="B38" s="37"/>
      <c r="L38" s="121" t="s">
        <v>2386</v>
      </c>
      <c r="M38" s="37"/>
      <c r="N38" s="2652" t="s">
        <v>1528</v>
      </c>
      <c r="O38" s="2655" t="s">
        <v>938</v>
      </c>
      <c r="P38" s="2650"/>
      <c r="Q38" s="37"/>
      <c r="R38" s="37"/>
      <c r="U38" s="37"/>
      <c r="V38" s="37"/>
      <c r="W38" s="37"/>
      <c r="X38" s="37"/>
      <c r="Y38" s="37"/>
      <c r="Z38" s="1071"/>
    </row>
    <row customHeight="1" ht="11.25" r="39" spans="1:26" x14ac:dyDescent="0.2">
      <c r="A39" s="104" t="s">
        <v>1366</v>
      </c>
      <c r="B39" s="37"/>
      <c r="L39" s="93" t="str">
        <f>"(DOB for Married Couple's Allowance is before 6 April "&amp;MCA_year&amp;")"</f>
        <v>(DOB for Married Couple's Allowance is before 6 April 1935)</v>
      </c>
      <c r="M39" s="37"/>
      <c r="N39" s="2652" t="s">
        <v>2589</v>
      </c>
      <c r="O39" s="2655" t="s">
        <v>939</v>
      </c>
      <c r="P39" s="2650"/>
      <c r="Q39" s="37"/>
      <c r="R39" s="37"/>
      <c r="U39" s="37"/>
      <c r="V39" s="37"/>
      <c r="W39" s="37"/>
      <c r="X39" s="37"/>
      <c r="Y39" s="37"/>
      <c r="Z39" s="1071"/>
    </row>
    <row customHeight="1" ht="11.25" r="40" spans="1:26" x14ac:dyDescent="0.2">
      <c r="A40" s="104" t="s">
        <v>3750</v>
      </c>
      <c r="B40" s="37"/>
      <c r="F40" s="37"/>
      <c r="G40" s="37"/>
      <c r="L40" s="2325" t="str">
        <f>K42&amp;" = H_MCA ("&amp;DOLLAR(H_MCA,0)&amp;")"</f>
        <v>c15.1 = H_MCA ($8,915)</v>
      </c>
      <c r="M40" s="37"/>
      <c r="N40" s="2652" t="s">
        <v>842</v>
      </c>
      <c r="O40" s="2655" t="s">
        <v>937</v>
      </c>
      <c r="P40" s="2650"/>
      <c r="Q40" s="37"/>
      <c r="R40" s="37"/>
      <c r="U40" s="37"/>
      <c r="V40" s="37"/>
      <c r="W40" s="37"/>
      <c r="X40" s="37"/>
      <c r="Y40" s="37"/>
      <c r="Z40" s="1071"/>
    </row>
    <row r="41" spans="1:26" x14ac:dyDescent="0.2">
      <c r="A41" s="104" t="s">
        <v>3751</v>
      </c>
      <c r="B41" s="37"/>
      <c r="F41" s="37"/>
      <c r="G41" s="37"/>
      <c r="H41" s="37"/>
      <c r="I41" s="38"/>
      <c r="J41" s="37"/>
      <c r="K41" s="37"/>
      <c r="L41" s="37" t="s">
        <v>2495</v>
      </c>
      <c r="M41" s="37"/>
      <c r="N41" s="2652"/>
      <c r="O41" s="2656"/>
      <c r="P41" s="2650"/>
      <c r="Q41" s="37"/>
      <c r="R41" s="37"/>
      <c r="U41" s="37"/>
      <c r="V41" s="37"/>
      <c r="W41" s="37"/>
      <c r="X41" s="37"/>
      <c r="Y41" s="37"/>
      <c r="Z41" s="1071"/>
    </row>
    <row r="42" spans="1:26" x14ac:dyDescent="0.2">
      <c r="A42" s="104" t="s">
        <v>3752</v>
      </c>
      <c r="B42" s="37"/>
      <c r="C42" s="37" t="s">
        <v>2989</v>
      </c>
      <c r="D42" s="37"/>
      <c r="H42" s="37"/>
      <c r="J42" s="37"/>
      <c r="K42" s="743" t="str">
        <f>A31</f>
        <v>c15.1</v>
      </c>
      <c r="L42" s="104">
        <f>IF(Older_spouse=1,H_MCA,0)</f>
        <v>0</v>
      </c>
      <c r="M42" s="37"/>
      <c r="N42" s="2652" t="str">
        <f>"After 5 April "&amp;MCA_year</f>
        <v>After 5 April 1935</v>
      </c>
      <c r="O42" s="2657">
        <v>0</v>
      </c>
      <c r="P42" s="2650"/>
      <c r="Q42" s="37"/>
      <c r="R42" s="37"/>
      <c r="U42" s="37"/>
      <c r="V42" s="37"/>
      <c r="W42" s="37"/>
      <c r="X42" s="37"/>
      <c r="Y42" s="37"/>
      <c r="Z42" s="1071"/>
    </row>
    <row r="43" spans="1:26" x14ac:dyDescent="0.2">
      <c r="A43" s="104" t="s">
        <v>1098</v>
      </c>
      <c r="B43" s="37"/>
      <c r="M43" s="37"/>
      <c r="N43" s="2652"/>
      <c r="O43" s="2656"/>
      <c r="P43" s="2650"/>
      <c r="Q43" s="37"/>
      <c r="R43" s="37"/>
      <c r="U43" s="37"/>
      <c r="V43" s="37"/>
      <c r="W43" s="37"/>
      <c r="X43" s="37"/>
      <c r="Y43" s="37"/>
      <c r="Z43" s="1071"/>
    </row>
    <row r="44" spans="1:26" x14ac:dyDescent="0.2">
      <c r="A44" s="104" t="s">
        <v>1099</v>
      </c>
      <c r="B44" s="37"/>
      <c r="C44" s="37"/>
      <c r="D44" s="37"/>
      <c r="I44" s="38" t="str">
        <f>"from "&amp;'Deductions (c4)'!H219</f>
        <v>from c4.63</v>
      </c>
      <c r="M44" s="37"/>
      <c r="N44" s="2658" t="str">
        <f>"Before 6 April "&amp;MCA_year</f>
        <v>Before 6 April 1935</v>
      </c>
      <c r="O44" s="2659">
        <f>H_MCA</f>
        <v>8915</v>
      </c>
      <c r="P44" s="2650"/>
      <c r="Q44" s="37"/>
      <c r="R44" s="37"/>
      <c r="U44" s="37"/>
      <c r="V44" s="37"/>
      <c r="W44" s="37"/>
      <c r="X44" s="37"/>
      <c r="Y44" s="37"/>
      <c r="Z44" s="1071"/>
    </row>
    <row r="45" spans="1:26" x14ac:dyDescent="0.2">
      <c r="A45" s="104" t="s">
        <v>1100</v>
      </c>
      <c r="B45" s="37"/>
      <c r="C45" s="36" t="s">
        <v>4143</v>
      </c>
      <c r="D45" s="37"/>
      <c r="H45" s="743" t="str">
        <f>A32</f>
        <v>c15.2</v>
      </c>
      <c r="I45" s="755">
        <f>'Deductions (c4)'!I219</f>
        <v>61047</v>
      </c>
      <c r="M45" s="37"/>
      <c r="N45" s="2660"/>
      <c r="O45" s="2661"/>
      <c r="P45" s="2662" t="s">
        <v>5846</v>
      </c>
      <c r="Q45" s="1069"/>
      <c r="R45" s="1069"/>
      <c r="S45" s="1069"/>
      <c r="T45" s="1069"/>
      <c r="U45" s="1069"/>
      <c r="V45" s="1069"/>
      <c r="W45" s="1069"/>
      <c r="X45" s="1069"/>
      <c r="Y45" s="1069"/>
      <c r="Z45" s="1032"/>
    </row>
    <row r="46" spans="1:26" x14ac:dyDescent="0.2">
      <c r="A46" s="104" t="s">
        <v>1101</v>
      </c>
      <c r="B46" s="37"/>
      <c r="C46" s="37"/>
      <c r="D46" s="37"/>
      <c r="M46" s="37"/>
    </row>
    <row r="47" spans="1:26" x14ac:dyDescent="0.2">
      <c r="A47" s="104" t="s">
        <v>1426</v>
      </c>
      <c r="B47" s="37"/>
      <c r="I47" s="2325" t="str">
        <f>"AA_limit ("&amp;DOLLAR(AA_limit,0)&amp;")"</f>
        <v>AA_limit ($29,600)</v>
      </c>
    </row>
    <row r="48" spans="1:26" x14ac:dyDescent="0.2">
      <c r="A48" s="104" t="s">
        <v>1427</v>
      </c>
      <c r="B48" s="37"/>
      <c r="C48" s="37" t="s">
        <v>4412</v>
      </c>
      <c r="D48" s="37"/>
      <c r="H48" s="743" t="str">
        <f>A33</f>
        <v>c15.3</v>
      </c>
      <c r="I48" s="1204">
        <f>AA_limit</f>
        <v>29600</v>
      </c>
    </row>
    <row r="49" spans="1:18" x14ac:dyDescent="0.2">
      <c r="A49" s="104" t="s">
        <v>1428</v>
      </c>
    </row>
    <row r="50" spans="1:18" x14ac:dyDescent="0.2">
      <c r="A50" s="104" t="s">
        <v>1429</v>
      </c>
      <c r="B50" s="37"/>
      <c r="C50" s="37"/>
      <c r="D50" s="37"/>
      <c r="I50" s="38" t="str">
        <f>H45&amp;" minus "&amp;H48</f>
        <v>c15.2 minus c15.3</v>
      </c>
    </row>
    <row r="51" spans="1:18" x14ac:dyDescent="0.2">
      <c r="A51" s="104" t="s">
        <v>1430</v>
      </c>
      <c r="C51" s="37"/>
      <c r="D51" s="37"/>
      <c r="H51" s="743" t="str">
        <f>A34</f>
        <v>c15.4</v>
      </c>
      <c r="I51" s="392">
        <f>MAX(0,I45-I48)</f>
        <v>31447</v>
      </c>
    </row>
    <row r="52" spans="1:18" x14ac:dyDescent="0.2">
      <c r="M52" s="37"/>
      <c r="P52" s="37"/>
      <c r="R52" s="37"/>
    </row>
    <row r="53" spans="1:18" x14ac:dyDescent="0.2">
      <c r="C53" s="37"/>
      <c r="D53" s="37"/>
      <c r="H53" s="37"/>
      <c r="I53" s="38" t="str">
        <f>H51&amp;" x AA_excess ("&amp;AA_excess * 100&amp;"%)"</f>
        <v>c15.4 x AA_excess (50%)</v>
      </c>
    </row>
    <row r="54" spans="1:18" x14ac:dyDescent="0.2">
      <c r="C54" s="37"/>
      <c r="D54" s="37"/>
      <c r="H54" s="743" t="str">
        <f>A35</f>
        <v>c15.5</v>
      </c>
      <c r="I54" s="392">
        <f>TRUNC(I51*AA_excess,0)</f>
        <v>15723</v>
      </c>
      <c r="J54" s="932" t="s">
        <v>1743</v>
      </c>
    </row>
    <row r="56" spans="1:18" x14ac:dyDescent="0.2">
      <c r="C56" s="37"/>
      <c r="D56" s="37"/>
      <c r="E56" s="37"/>
      <c r="F56" s="38" t="str">
        <f>"from "&amp;K14</f>
        <v>from c14.4</v>
      </c>
      <c r="J56" s="37"/>
      <c r="K56" s="37"/>
      <c r="L56" s="37"/>
      <c r="M56" s="37"/>
      <c r="P56" s="37"/>
      <c r="R56" s="37"/>
    </row>
    <row r="57" spans="1:18" x14ac:dyDescent="0.2">
      <c r="C57" s="37"/>
      <c r="D57" s="37"/>
      <c r="E57" s="743" t="str">
        <f>A36</f>
        <v>c15.6</v>
      </c>
      <c r="F57" s="104">
        <f>L14</f>
        <v>12500</v>
      </c>
      <c r="J57" s="37"/>
      <c r="K57" s="37"/>
      <c r="L57" s="37"/>
      <c r="M57" s="37"/>
      <c r="P57" s="37"/>
      <c r="R57" s="37"/>
    </row>
    <row r="58" spans="1:18" x14ac:dyDescent="0.2">
      <c r="C58" s="37"/>
      <c r="D58" s="37"/>
      <c r="J58" s="37"/>
      <c r="K58" s="37"/>
      <c r="L58" s="37"/>
      <c r="M58" s="37"/>
      <c r="P58" s="37"/>
      <c r="R58" s="37"/>
    </row>
    <row r="59" spans="1:18" x14ac:dyDescent="0.2">
      <c r="C59" s="37"/>
      <c r="D59" s="37"/>
      <c r="F59" s="38" t="str">
        <f>"from "&amp;K25</f>
        <v>from c14.6</v>
      </c>
      <c r="G59" s="37"/>
      <c r="I59" s="38" t="str">
        <f>E57&amp;" minus "&amp;E60</f>
        <v>c15.6 minus c15.7</v>
      </c>
      <c r="J59" s="37"/>
      <c r="K59" s="37"/>
      <c r="L59" s="37"/>
      <c r="M59" s="37"/>
      <c r="P59" s="37"/>
    </row>
    <row r="60" spans="1:18" x14ac:dyDescent="0.2">
      <c r="C60" s="37"/>
      <c r="D60" s="37"/>
      <c r="E60" s="743" t="str">
        <f>A37</f>
        <v>c15.7</v>
      </c>
      <c r="F60" s="392">
        <f>L25</f>
        <v>12500</v>
      </c>
      <c r="H60" s="743" t="str">
        <f>A38</f>
        <v>c15.8</v>
      </c>
      <c r="I60" s="392">
        <f>MAX(0,F57-F60)</f>
        <v>0</v>
      </c>
      <c r="J60" s="37"/>
      <c r="K60" s="37"/>
      <c r="L60" s="37"/>
      <c r="M60" s="37"/>
      <c r="P60" s="37"/>
      <c r="Q60" s="37"/>
    </row>
    <row r="61" spans="1:18" x14ac:dyDescent="0.2">
      <c r="C61" s="37"/>
      <c r="D61" s="37"/>
      <c r="F61" s="37"/>
      <c r="G61" s="37"/>
      <c r="H61" s="37"/>
      <c r="I61" s="37"/>
    </row>
    <row r="62" spans="1:18" x14ac:dyDescent="0.2">
      <c r="C62" s="37"/>
      <c r="D62" s="37"/>
      <c r="E62" s="37"/>
      <c r="F62" s="37"/>
      <c r="G62" s="37"/>
      <c r="H62" s="37"/>
      <c r="I62" s="37"/>
      <c r="J62" s="37"/>
      <c r="K62" s="37"/>
      <c r="L62" s="38" t="str">
        <f>H54&amp;" minus "&amp;H60</f>
        <v>c15.5 minus c15.8</v>
      </c>
      <c r="M62" s="37"/>
      <c r="P62" s="37"/>
      <c r="Q62" s="37"/>
    </row>
    <row r="63" spans="1:18" x14ac:dyDescent="0.2">
      <c r="C63" s="37"/>
      <c r="D63" s="37"/>
      <c r="E63" s="37"/>
      <c r="F63" s="37"/>
      <c r="G63" s="37"/>
      <c r="H63" s="37"/>
      <c r="I63" s="37"/>
      <c r="K63" s="743" t="str">
        <f>A39</f>
        <v>c15.9</v>
      </c>
      <c r="L63" s="392">
        <f>MAX(0,I54-I60)</f>
        <v>15723</v>
      </c>
      <c r="M63" s="37"/>
      <c r="P63" s="37"/>
      <c r="Q63" s="37"/>
    </row>
    <row r="64" spans="1:18" x14ac:dyDescent="0.2">
      <c r="C64" s="37"/>
      <c r="D64" s="37"/>
      <c r="E64" s="37"/>
      <c r="F64" s="37"/>
      <c r="G64" s="37"/>
      <c r="H64" s="37"/>
      <c r="I64" s="37"/>
      <c r="J64" s="37"/>
      <c r="K64" s="37"/>
      <c r="L64" s="37"/>
      <c r="M64" s="37"/>
      <c r="P64" s="37"/>
      <c r="Q64" s="37"/>
    </row>
    <row r="65" spans="3:26" x14ac:dyDescent="0.2">
      <c r="C65" s="37"/>
      <c r="D65" s="37"/>
      <c r="E65" s="37"/>
      <c r="F65" s="37"/>
      <c r="G65" s="37"/>
      <c r="H65" s="37"/>
      <c r="I65" s="37"/>
      <c r="J65" s="37"/>
      <c r="K65" s="37"/>
      <c r="L65" s="38" t="str">
        <f>K42&amp;" minus "&amp;K63</f>
        <v>c15.1 minus c15.9</v>
      </c>
      <c r="P65" s="37"/>
      <c r="Q65" s="37"/>
    </row>
    <row r="66" spans="3:26" x14ac:dyDescent="0.2">
      <c r="C66" s="37"/>
      <c r="D66" s="37"/>
      <c r="E66" s="37"/>
      <c r="F66" s="37"/>
      <c r="G66" s="37"/>
      <c r="H66" s="37"/>
      <c r="I66" s="37"/>
      <c r="J66" s="37"/>
      <c r="K66" s="743" t="str">
        <f>A40</f>
        <v>c15.10</v>
      </c>
      <c r="L66" s="104">
        <f>MAX(0,L42-L63)</f>
        <v>0</v>
      </c>
      <c r="O66" s="37"/>
      <c r="P66" s="37"/>
      <c r="Q66" s="37"/>
    </row>
    <row r="67" spans="3:26" x14ac:dyDescent="0.2">
      <c r="C67" s="37"/>
      <c r="D67" s="37"/>
      <c r="E67" s="37"/>
      <c r="F67" s="37"/>
      <c r="G67" s="37"/>
      <c r="H67" s="37"/>
      <c r="I67" s="37"/>
      <c r="J67" s="37"/>
      <c r="K67" s="37"/>
      <c r="L67" s="37"/>
      <c r="M67" s="37"/>
      <c r="N67" s="37"/>
      <c r="O67" s="37"/>
      <c r="P67" s="37"/>
      <c r="Q67" s="37"/>
    </row>
    <row r="68" spans="3:26" x14ac:dyDescent="0.2">
      <c r="L68" s="93" t="str">
        <f>"If "&amp;K42&amp;" is greater than 0 (zero)"</f>
        <v>If c15.1 is greater than 0 (zero)</v>
      </c>
    </row>
    <row r="69" spans="3:26" x14ac:dyDescent="0.2">
      <c r="L69" s="2325" t="str">
        <f>K73&amp;" = Higher of "&amp;K66&amp;" and MCA ("&amp;DOLLAR(MCA,0)&amp;")"</f>
        <v>c15.11 = Higher of c15.10 and MCA ($3,450)</v>
      </c>
    </row>
    <row r="70" spans="3:26" x14ac:dyDescent="0.2">
      <c r="L70" s="93" t="s">
        <v>2386</v>
      </c>
    </row>
    <row r="71" spans="3:26" x14ac:dyDescent="0.2">
      <c r="L71" s="38" t="str">
        <f>K73&amp;" = 0 (zero)"</f>
        <v>c15.11 = 0 (zero)</v>
      </c>
    </row>
    <row r="72" spans="3:26" x14ac:dyDescent="0.2">
      <c r="C72" s="37"/>
      <c r="D72" s="37"/>
      <c r="E72" s="37"/>
      <c r="F72" s="37"/>
      <c r="G72" s="37"/>
      <c r="H72" s="37"/>
      <c r="I72" s="37"/>
      <c r="J72" s="37"/>
      <c r="K72" s="37"/>
      <c r="L72" s="121" t="s">
        <v>2495</v>
      </c>
      <c r="M72" s="37"/>
      <c r="N72" s="37"/>
      <c r="O72" s="37"/>
      <c r="P72" s="37"/>
      <c r="Q72" s="37"/>
    </row>
    <row r="73" spans="3:26" x14ac:dyDescent="0.2">
      <c r="C73" s="37"/>
      <c r="D73" s="37"/>
      <c r="E73" s="37"/>
      <c r="F73" s="37"/>
      <c r="G73" s="37"/>
      <c r="H73" s="37"/>
      <c r="I73" s="37"/>
      <c r="J73" s="37"/>
      <c r="K73" s="743" t="str">
        <f>A41</f>
        <v>c15.11</v>
      </c>
      <c r="L73" s="104">
        <f>IF(L42&gt;0,MAX(MCA,L66),0)</f>
        <v>0</v>
      </c>
      <c r="M73" s="37"/>
      <c r="N73" s="2663" t="str">
        <f>"copy to box "&amp;'Tax adj (c9)'!I51&amp;" unless you were married this year (see note)"</f>
        <v>copy to box c9.16 unless you were married this year (see note)</v>
      </c>
      <c r="O73" s="1442"/>
      <c r="P73" s="1442"/>
      <c r="Q73" s="1442"/>
      <c r="R73" s="1480"/>
    </row>
    <row r="74" spans="3:26" x14ac:dyDescent="0.2">
      <c r="C74" s="37"/>
      <c r="D74" s="37"/>
      <c r="E74" s="37"/>
      <c r="F74" s="37"/>
      <c r="G74" s="37"/>
      <c r="H74" s="37"/>
      <c r="I74" s="37"/>
      <c r="K74" s="37"/>
      <c r="L74" s="37"/>
      <c r="M74" s="37"/>
      <c r="N74" s="2649" t="s">
        <v>2170</v>
      </c>
      <c r="O74" s="993"/>
      <c r="P74" s="993"/>
      <c r="Q74" s="993"/>
      <c r="R74" s="1045"/>
    </row>
    <row r="75" spans="3:26" x14ac:dyDescent="0.2">
      <c r="C75" s="37"/>
      <c r="D75" s="37"/>
      <c r="E75" s="37"/>
      <c r="F75" s="37"/>
      <c r="G75" s="37"/>
      <c r="H75" s="37"/>
      <c r="I75" s="37"/>
      <c r="K75" s="37"/>
      <c r="L75" s="37"/>
      <c r="M75" s="37"/>
      <c r="N75" s="2660"/>
      <c r="O75" s="1069"/>
      <c r="P75" s="2662" t="s">
        <v>5846</v>
      </c>
      <c r="Q75" s="1069"/>
      <c r="R75" s="2664"/>
    </row>
    <row r="76" spans="3:26" x14ac:dyDescent="0.2">
      <c r="C76" s="685"/>
      <c r="D76" s="685"/>
      <c r="E76" s="685"/>
      <c r="F76" s="685"/>
      <c r="G76" s="685"/>
      <c r="H76" s="685"/>
      <c r="I76" s="685"/>
      <c r="J76" s="685"/>
      <c r="K76" s="685"/>
      <c r="L76" s="685"/>
      <c r="M76" s="685"/>
      <c r="N76" s="685"/>
      <c r="O76" s="685"/>
      <c r="P76" s="685"/>
      <c r="Q76" s="685"/>
      <c r="R76" s="685"/>
      <c r="S76" s="685"/>
      <c r="T76" s="685"/>
      <c r="U76" s="685"/>
      <c r="V76" s="685"/>
      <c r="W76" s="685"/>
      <c r="X76" s="685"/>
      <c r="Y76" s="685"/>
      <c r="Z76" s="685"/>
    </row>
    <row r="77" spans="3:26" x14ac:dyDescent="0.2">
      <c r="P77" s="37"/>
      <c r="Q77" s="37"/>
      <c r="R77" s="37"/>
      <c r="U77" s="37"/>
      <c r="V77" s="37"/>
      <c r="W77" s="37"/>
      <c r="X77" s="37"/>
      <c r="Y77" s="37"/>
      <c r="Z77" s="37"/>
    </row>
    <row r="78" spans="3:26" x14ac:dyDescent="0.2">
      <c r="C78" s="51" t="s">
        <v>1325</v>
      </c>
      <c r="E78" s="37"/>
      <c r="F78" s="37"/>
      <c r="G78" s="37"/>
      <c r="H78" s="37"/>
      <c r="I78" s="37"/>
      <c r="J78" s="37"/>
      <c r="K78" s="37"/>
      <c r="L78" s="37"/>
      <c r="M78" s="37"/>
      <c r="P78" s="37"/>
      <c r="Q78" s="37"/>
    </row>
    <row r="79" spans="3:26" x14ac:dyDescent="0.2">
      <c r="C79" s="51" t="s">
        <v>1326</v>
      </c>
    </row>
    <row ht="12.75" r="81" spans="3:18" x14ac:dyDescent="0.2">
      <c r="C81" s="1189" t="s">
        <v>5869</v>
      </c>
      <c r="I81" s="93" t="str">
        <f>"If MCA"&amp;MCA!C16&amp;" present"</f>
        <v>If MCA9 present</v>
      </c>
    </row>
    <row r="82" spans="3:18" x14ac:dyDescent="0.2">
      <c r="I82" s="93" t="str">
        <f>H86&amp;" = Select month from "&amp;C102</f>
        <v>c15.12 = Select month from Table A</v>
      </c>
    </row>
    <row r="83" spans="3:18" x14ac:dyDescent="0.2">
      <c r="I83" s="93" t="s">
        <v>2386</v>
      </c>
    </row>
    <row r="84" spans="3:18" x14ac:dyDescent="0.2">
      <c r="I84" s="38" t="str">
        <f>H86&amp;" = 0 (zero)"</f>
        <v>c15.12 = 0 (zero)</v>
      </c>
    </row>
    <row r="85" spans="3:18" x14ac:dyDescent="0.2">
      <c r="D85" s="37"/>
      <c r="E85" s="37"/>
      <c r="F85" s="37"/>
      <c r="G85" s="37"/>
      <c r="H85" s="37"/>
      <c r="I85" s="38" t="s">
        <v>2495</v>
      </c>
      <c r="J85" s="37"/>
      <c r="K85" s="37"/>
      <c r="L85" s="37"/>
      <c r="M85" s="37"/>
      <c r="P85" s="37"/>
      <c r="Q85" s="37"/>
    </row>
    <row r="86" spans="3:18" x14ac:dyDescent="0.2">
      <c r="D86" s="37"/>
      <c r="E86" s="37"/>
      <c r="F86" s="37"/>
      <c r="G86" s="2640" t="str">
        <f>"Select month from "&amp;C102</f>
        <v>Select month from Table A</v>
      </c>
      <c r="H86" s="743" t="str">
        <f>A42</f>
        <v>c15.12</v>
      </c>
      <c r="I86" s="104">
        <f>months_not_married</f>
        <v>0</v>
      </c>
      <c r="J86" s="37"/>
      <c r="K86" s="37"/>
      <c r="L86" s="37"/>
      <c r="M86" s="37"/>
      <c r="P86" s="37"/>
      <c r="Q86" s="37"/>
    </row>
    <row r="87" spans="3:18" x14ac:dyDescent="0.2">
      <c r="C87" s="37"/>
      <c r="D87" s="37"/>
      <c r="E87" s="37"/>
      <c r="F87" s="37"/>
      <c r="G87" s="37"/>
      <c r="H87" s="37"/>
      <c r="I87" s="37"/>
      <c r="J87" s="37"/>
      <c r="K87" s="37"/>
      <c r="L87" s="37"/>
      <c r="M87" s="37"/>
      <c r="P87" s="37"/>
      <c r="Q87" s="37"/>
    </row>
    <row r="88" spans="3:18" x14ac:dyDescent="0.2">
      <c r="C88" s="37"/>
      <c r="D88" s="37"/>
      <c r="E88" s="37"/>
      <c r="F88" s="37"/>
      <c r="G88" s="37"/>
      <c r="H88" s="37"/>
      <c r="I88" s="38" t="str">
        <f>K73&amp;" x "&amp;H86</f>
        <v>c15.11 x c15.12</v>
      </c>
      <c r="J88" s="37"/>
      <c r="K88" s="37"/>
      <c r="L88" s="37"/>
      <c r="M88" s="37"/>
      <c r="P88" s="37"/>
      <c r="Q88" s="37"/>
    </row>
    <row r="89" spans="3:18" x14ac:dyDescent="0.2">
      <c r="C89" s="37"/>
      <c r="D89" s="37"/>
      <c r="E89" s="37"/>
      <c r="F89" s="37"/>
      <c r="H89" s="743" t="str">
        <f>A43</f>
        <v>c15.13</v>
      </c>
      <c r="I89" s="104">
        <f>L73*I86</f>
        <v>0</v>
      </c>
      <c r="J89" s="37"/>
      <c r="K89" s="37"/>
      <c r="L89" s="37"/>
      <c r="M89" s="37"/>
      <c r="P89" s="37"/>
      <c r="Q89" s="37"/>
    </row>
    <row r="90" spans="3:18" x14ac:dyDescent="0.2">
      <c r="C90" s="37"/>
      <c r="D90" s="37"/>
      <c r="E90" s="37"/>
      <c r="F90" s="37"/>
      <c r="G90" s="37"/>
      <c r="H90" s="37"/>
      <c r="I90" s="37"/>
      <c r="J90" s="37"/>
      <c r="M90" s="37"/>
    </row>
    <row r="91" spans="3:18" x14ac:dyDescent="0.2">
      <c r="C91" s="37"/>
      <c r="D91" s="37"/>
      <c r="E91" s="37"/>
      <c r="F91" s="37"/>
      <c r="G91" s="37"/>
      <c r="H91" s="37"/>
      <c r="I91" s="37"/>
      <c r="K91" s="37"/>
      <c r="L91" s="38" t="str">
        <f>H89&amp;" divided by 12"</f>
        <v>c15.13 divided by 12</v>
      </c>
      <c r="M91" s="37"/>
    </row>
    <row r="92" spans="3:18" x14ac:dyDescent="0.2">
      <c r="C92" s="37"/>
      <c r="D92" s="37"/>
      <c r="E92" s="37"/>
      <c r="F92" s="37"/>
      <c r="G92" s="37"/>
      <c r="H92" s="37"/>
      <c r="I92" s="37"/>
      <c r="J92" s="37"/>
      <c r="K92" s="743" t="str">
        <f>A44</f>
        <v>c15.14</v>
      </c>
      <c r="L92" s="104">
        <f>TRUNC(I89/12,0)</f>
        <v>0</v>
      </c>
      <c r="M92" s="932" t="s">
        <v>1743</v>
      </c>
    </row>
    <row r="93" spans="3:18" x14ac:dyDescent="0.2">
      <c r="C93" s="37"/>
      <c r="D93" s="37"/>
      <c r="E93" s="37"/>
      <c r="F93" s="37"/>
      <c r="G93" s="37"/>
      <c r="H93" s="37"/>
      <c r="I93" s="37"/>
      <c r="J93" s="37"/>
      <c r="K93" s="37"/>
      <c r="L93" s="37"/>
      <c r="M93" s="37"/>
    </row>
    <row r="94" spans="3:18" x14ac:dyDescent="0.2">
      <c r="C94" s="37"/>
      <c r="D94" s="37"/>
      <c r="E94" s="37"/>
      <c r="F94" s="37"/>
      <c r="G94" s="37"/>
      <c r="H94" s="37"/>
      <c r="I94" s="37"/>
      <c r="L94" s="38" t="str">
        <f>K73&amp;" minus "&amp;K92</f>
        <v>c15.11 minus c15.14</v>
      </c>
      <c r="M94" s="37"/>
    </row>
    <row r="95" spans="3:18" x14ac:dyDescent="0.2">
      <c r="C95" s="37"/>
      <c r="D95" s="37"/>
      <c r="E95" s="37"/>
      <c r="F95" s="37"/>
      <c r="G95" s="37"/>
      <c r="H95" s="37"/>
      <c r="I95" s="37"/>
      <c r="J95" s="37"/>
      <c r="K95" s="743" t="str">
        <f>A45</f>
        <v>c15.15</v>
      </c>
      <c r="L95" s="104">
        <f>MAX(0,L73-L92)</f>
        <v>0</v>
      </c>
      <c r="M95" s="37"/>
      <c r="N95" s="2663" t="str">
        <f>"copy to box "&amp;'Tax adj (c9)'!I51&amp;" unless your spouse is getting half or all of the allowance"</f>
        <v>copy to box c9.16 unless your spouse is getting half or all of the allowance</v>
      </c>
      <c r="O95" s="1442"/>
      <c r="P95" s="1442"/>
      <c r="Q95" s="1442"/>
      <c r="R95" s="1480"/>
    </row>
    <row r="96" spans="3:18" x14ac:dyDescent="0.2">
      <c r="C96" s="37"/>
      <c r="D96" s="37"/>
      <c r="L96" s="38"/>
      <c r="M96" s="37"/>
      <c r="N96" s="2649"/>
      <c r="O96" s="993"/>
      <c r="P96" s="993"/>
      <c r="Q96" s="993"/>
      <c r="R96" s="1045"/>
    </row>
    <row r="97" spans="3:20" x14ac:dyDescent="0.2">
      <c r="D97" s="37"/>
      <c r="M97" s="37"/>
      <c r="N97" s="2660"/>
      <c r="O97" s="1069"/>
      <c r="P97" s="2662" t="s">
        <v>5846</v>
      </c>
      <c r="Q97" s="1069"/>
      <c r="R97" s="2664"/>
    </row>
    <row r="98" spans="3:20" x14ac:dyDescent="0.2">
      <c r="C98" s="121" t="s">
        <v>2386</v>
      </c>
    </row>
    <row r="99" spans="3:20" x14ac:dyDescent="0.2">
      <c r="C99" s="121" t="str">
        <f>K42&amp;" to "&amp;K95&amp;" = 0 (zero)"</f>
        <v>c15.1 to c15.15 = 0 (zero)</v>
      </c>
    </row>
    <row r="100" spans="3:20" x14ac:dyDescent="0.2">
      <c r="C100" s="121" t="s">
        <v>2495</v>
      </c>
    </row>
    <row customFormat="1" r="101" s="2764" spans="3:20" x14ac:dyDescent="0.2">
      <c r="S101" s="37"/>
      <c r="T101" s="37"/>
    </row>
    <row customFormat="1" r="102" s="2764" spans="3:20" x14ac:dyDescent="0.2">
      <c r="C102" s="51" t="s">
        <v>4439</v>
      </c>
      <c r="D102" s="37"/>
      <c r="S102" s="37"/>
      <c r="T102" s="37"/>
    </row>
    <row customFormat="1" r="103" s="2764" spans="3:20" x14ac:dyDescent="0.2">
      <c r="C103" s="1201" t="s">
        <v>940</v>
      </c>
      <c r="D103" s="1202" t="s">
        <v>941</v>
      </c>
      <c r="S103" s="37"/>
      <c r="T103" s="37"/>
    </row>
    <row customFormat="1" r="104" s="2764" spans="3:20" x14ac:dyDescent="0.2">
      <c r="C104" s="2327" t="str">
        <f>"Before 6 May "&amp;Tax_year_start&amp;" (or no date entered)"</f>
        <v>Before 6 May 2019 (or no date entered)</v>
      </c>
      <c r="D104" s="1203">
        <v>0</v>
      </c>
      <c r="S104" s="37"/>
      <c r="T104" s="37"/>
    </row>
    <row customFormat="1" r="105" s="2764" spans="3:20" x14ac:dyDescent="0.2">
      <c r="C105" s="2327" t="str">
        <f>"6 May "&amp;Tax_year_start&amp;" to 5 June "&amp;Tax_year_start</f>
        <v>6 May 2019 to 5 June 2019</v>
      </c>
      <c r="D105" s="660">
        <v>1</v>
      </c>
      <c r="S105" s="37"/>
      <c r="T105" s="37"/>
    </row>
    <row customFormat="1" r="106" s="2764" spans="3:20" x14ac:dyDescent="0.2">
      <c r="C106" s="2327" t="str">
        <f>"6 June "&amp;Tax_year_start&amp;" to 5 July "&amp;Tax_year_start</f>
        <v>6 June 2019 to 5 July 2019</v>
      </c>
      <c r="D106" s="660">
        <v>2</v>
      </c>
      <c r="S106" s="37"/>
      <c r="T106" s="37"/>
    </row>
    <row customFormat="1" r="107" s="2764" spans="3:20" x14ac:dyDescent="0.2">
      <c r="C107" s="2327" t="str">
        <f>"6 July "&amp;Tax_year_start&amp;" to 5 August "&amp;Tax_year_start</f>
        <v>6 July 2019 to 5 August 2019</v>
      </c>
      <c r="D107" s="660">
        <v>3</v>
      </c>
      <c r="S107" s="37"/>
      <c r="T107" s="37"/>
    </row>
    <row customFormat="1" r="108" s="2764" spans="3:20" x14ac:dyDescent="0.2">
      <c r="C108" s="2327" t="str">
        <f>"6 August "&amp;Tax_year_start&amp;" to 5 September "&amp;Tax_year_start</f>
        <v>6 August 2019 to 5 September 2019</v>
      </c>
      <c r="D108" s="660">
        <v>4</v>
      </c>
      <c r="S108" s="37"/>
      <c r="T108" s="37"/>
    </row>
    <row customFormat="1" r="109" s="2764" spans="3:20" x14ac:dyDescent="0.2">
      <c r="C109" s="2327" t="str">
        <f>"6 September "&amp;Tax_year_start&amp;" to 5 October "&amp;Tax_year_start</f>
        <v>6 September 2019 to 5 October 2019</v>
      </c>
      <c r="D109" s="660">
        <v>5</v>
      </c>
      <c r="S109" s="37"/>
      <c r="T109" s="37"/>
    </row>
    <row customFormat="1" r="110" s="2764" spans="3:20" x14ac:dyDescent="0.2">
      <c r="C110" s="2327" t="str">
        <f>"6 October "&amp;Tax_year_start&amp;" to 5 November "&amp;Tax_year_start</f>
        <v>6 October 2019 to 5 November 2019</v>
      </c>
      <c r="D110" s="660">
        <v>6</v>
      </c>
      <c r="S110" s="37"/>
      <c r="T110" s="37"/>
    </row>
    <row customFormat="1" r="111" s="2764" spans="3:20" x14ac:dyDescent="0.2">
      <c r="C111" s="2327" t="str">
        <f>"6 November "&amp;Tax_year_start&amp;" to 5 December "&amp;Tax_year_start</f>
        <v>6 November 2019 to 5 December 2019</v>
      </c>
      <c r="D111" s="660">
        <v>7</v>
      </c>
      <c r="S111" s="37"/>
      <c r="T111" s="37"/>
    </row>
    <row customFormat="1" r="112" s="2764" spans="3:20" x14ac:dyDescent="0.2">
      <c r="C112" s="2327" t="str">
        <f>"6 December "&amp;Tax_year_start&amp;" to 5 January "&amp;Tax_year_end</f>
        <v>6 December 2019 to 5 January 2020</v>
      </c>
      <c r="D112" s="660">
        <v>8</v>
      </c>
      <c r="S112" s="37"/>
      <c r="T112" s="37"/>
    </row>
    <row customFormat="1" r="113" s="2764" spans="3:26" x14ac:dyDescent="0.2">
      <c r="C113" s="2327" t="str">
        <f>"6 January "&amp;Tax_year_end&amp;" to 5 February "&amp;Tax_year_end</f>
        <v>6 January 2020 to 5 February 2020</v>
      </c>
      <c r="D113" s="660">
        <v>9</v>
      </c>
      <c r="S113" s="37"/>
      <c r="T113" s="37"/>
    </row>
    <row customFormat="1" r="114" s="2764" spans="3:26" x14ac:dyDescent="0.2">
      <c r="C114" s="2327" t="str">
        <f>"6 February "&amp;Tax_year_end&amp;" to 5 March "&amp;Tax_year_end</f>
        <v>6 February 2020 to 5 March 2020</v>
      </c>
      <c r="D114" s="660">
        <v>10</v>
      </c>
      <c r="S114" s="37"/>
      <c r="T114" s="37"/>
    </row>
    <row customFormat="1" r="115" s="2764" spans="3:26" x14ac:dyDescent="0.2">
      <c r="C115" s="2327" t="str">
        <f>"6 March "&amp;Tax_year_end&amp;" to 5 April "&amp;Tax_year_end</f>
        <v>6 March 2020 to 5 April 2020</v>
      </c>
      <c r="D115" s="660">
        <v>11</v>
      </c>
      <c r="S115" s="37"/>
      <c r="T115" s="37"/>
    </row>
    <row customFormat="1" r="116" s="2764" spans="3:26" x14ac:dyDescent="0.2">
      <c r="C116" s="2328" t="str">
        <f>"6 April "&amp;Tax_year_end&amp;" and later"</f>
        <v>6 April 2020 and later</v>
      </c>
      <c r="D116" s="1205">
        <v>12</v>
      </c>
      <c r="S116" s="37"/>
      <c r="T116" s="37"/>
    </row>
    <row r="117" spans="3:26" x14ac:dyDescent="0.2">
      <c r="C117" s="685"/>
      <c r="D117" s="685"/>
      <c r="E117" s="685"/>
      <c r="F117" s="685"/>
      <c r="G117" s="685"/>
      <c r="H117" s="685"/>
      <c r="I117" s="685"/>
      <c r="J117" s="685"/>
      <c r="K117" s="685"/>
      <c r="L117" s="685"/>
      <c r="M117" s="685"/>
      <c r="N117" s="685"/>
      <c r="O117" s="685"/>
      <c r="P117" s="685"/>
      <c r="Q117" s="685"/>
      <c r="R117" s="685"/>
      <c r="S117" s="685"/>
      <c r="T117" s="685"/>
      <c r="U117" s="685"/>
      <c r="V117" s="685"/>
      <c r="W117" s="685"/>
      <c r="X117" s="685"/>
      <c r="Y117" s="685"/>
      <c r="Z117" s="685"/>
    </row>
    <row r="118" spans="3:26" x14ac:dyDescent="0.2">
      <c r="M118" s="37"/>
      <c r="P118" s="37"/>
      <c r="Q118" s="37"/>
      <c r="R118" s="37"/>
      <c r="U118" s="37"/>
      <c r="V118" s="37"/>
      <c r="W118" s="37"/>
      <c r="X118" s="37"/>
      <c r="Y118" s="37"/>
      <c r="Z118" s="37"/>
    </row>
    <row r="119" spans="3:26" x14ac:dyDescent="0.2">
      <c r="C119" s="51" t="s">
        <v>1322</v>
      </c>
      <c r="M119" s="37"/>
    </row>
    <row r="120" spans="3:26" x14ac:dyDescent="0.2">
      <c r="C120" s="121" t="str">
        <f>"This can be either claimed by wife or lower income spouse / civil partner (boxes "&amp;N127&amp;", or "&amp;N129&amp;") or allocated to wife or lower income spouse / civil partner by husband or higher income spouse / civil partner "</f>
        <v xml:space="preserve">This can be either claimed by wife or lower income spouse / civil partner (boxes box MCA6 = Y, or box MCA7 = Y) or allocated to wife or lower income spouse / civil partner by husband or higher income spouse / civil partner </v>
      </c>
    </row>
    <row r="121" spans="3:26" x14ac:dyDescent="0.2">
      <c r="C121" s="121" t="str">
        <f>"(box "&amp;N126&amp;", or box "&amp;N128&amp;")."</f>
        <v>(box box MCA3 = Y, or box box MCA4 = Y).</v>
      </c>
    </row>
    <row r="123" spans="3:26" x14ac:dyDescent="0.2">
      <c r="C123" s="121" t="s">
        <v>5847</v>
      </c>
      <c r="D123" s="37"/>
      <c r="E123" s="37"/>
      <c r="F123" s="37"/>
      <c r="G123" s="37"/>
      <c r="H123" s="37"/>
      <c r="I123" s="37"/>
      <c r="J123" s="37"/>
      <c r="K123" s="37"/>
      <c r="L123" s="37"/>
      <c r="M123" s="37"/>
    </row>
    <row r="124" spans="3:26" x14ac:dyDescent="0.2">
      <c r="C124" s="37"/>
      <c r="D124" s="37"/>
      <c r="E124" s="37"/>
      <c r="F124" s="37"/>
      <c r="G124" s="37"/>
      <c r="H124" s="37"/>
      <c r="M124" s="37"/>
    </row>
    <row r="125" spans="3:26" x14ac:dyDescent="0.2">
      <c r="I125" s="93" t="str">
        <f>"if "&amp;N126&amp;" or "&amp;N127</f>
        <v>if box MCA3 = Y or box MCA6 = Y</v>
      </c>
      <c r="N125" s="2665" t="s">
        <v>4440</v>
      </c>
    </row>
    <row r="126" spans="3:26" x14ac:dyDescent="0.2">
      <c r="I126" s="2325" t="str">
        <f>H130&amp;" = MCA_2 ("&amp;DOLLAR(MCA_2,0)&amp;")"</f>
        <v>c15.16 = MCA_2 ($1,725)</v>
      </c>
      <c r="N126" s="2666" t="s">
        <v>1125</v>
      </c>
      <c r="O126" s="2669">
        <f>MCA_2</f>
        <v>1725</v>
      </c>
    </row>
    <row r="127" spans="3:26" x14ac:dyDescent="0.2">
      <c r="I127" s="121" t="s">
        <v>2386</v>
      </c>
      <c r="N127" s="2667" t="s">
        <v>1126</v>
      </c>
      <c r="O127" s="2670">
        <f>MCA_2</f>
        <v>1725</v>
      </c>
    </row>
    <row r="128" spans="3:26" x14ac:dyDescent="0.2">
      <c r="I128" s="2325" t="str">
        <f>H130&amp;" = MCA ("&amp;DOLLAR(MCA,0)&amp;")"</f>
        <v>c15.16 = MCA ($3,450)</v>
      </c>
      <c r="N128" s="2667" t="s">
        <v>954</v>
      </c>
      <c r="O128" s="2670">
        <f>MCA</f>
        <v>3450</v>
      </c>
    </row>
    <row r="129" spans="3:15" x14ac:dyDescent="0.2">
      <c r="I129" s="121" t="s">
        <v>2495</v>
      </c>
      <c r="N129" s="2667" t="s">
        <v>955</v>
      </c>
      <c r="O129" s="2670">
        <f>MCA</f>
        <v>3450</v>
      </c>
    </row>
    <row r="130" spans="3:15" x14ac:dyDescent="0.2">
      <c r="C130" s="37"/>
      <c r="D130" s="37"/>
      <c r="E130" s="37"/>
      <c r="F130" s="37"/>
      <c r="G130" s="2640" t="str">
        <f>"Select amount from "&amp;N125</f>
        <v>Select amount from Table B</v>
      </c>
      <c r="H130" s="743" t="str">
        <f>A46</f>
        <v>c15.16</v>
      </c>
      <c r="I130" s="104">
        <f>IF(MCA_to_wife,MCA,IF(MCA_split,MCA_2,0))</f>
        <v>0</v>
      </c>
      <c r="M130" s="37"/>
      <c r="N130" s="2668" t="s">
        <v>956</v>
      </c>
      <c r="O130" s="2671" t="s">
        <v>957</v>
      </c>
    </row>
    <row r="131" spans="3:15" x14ac:dyDescent="0.2">
      <c r="C131" s="37"/>
      <c r="D131" s="37"/>
      <c r="E131" s="37"/>
      <c r="F131" s="37"/>
      <c r="G131" s="37"/>
      <c r="H131" s="37"/>
      <c r="I131" s="37"/>
      <c r="J131" s="37"/>
      <c r="K131" s="37"/>
      <c r="L131" s="37"/>
      <c r="M131" s="37"/>
    </row>
    <row r="132" spans="3:15" x14ac:dyDescent="0.2">
      <c r="C132" s="715" t="s">
        <v>5869</v>
      </c>
    </row>
    <row r="133" spans="3:15" x14ac:dyDescent="0.2">
      <c r="I133" s="93" t="str">
        <f>"if MCA"&amp;MCA!C16&amp;" present"</f>
        <v>if MCA9 present</v>
      </c>
    </row>
    <row r="134" spans="3:15" x14ac:dyDescent="0.2">
      <c r="I134" s="93" t="str">
        <f>H138&amp;" = Select month from table A"</f>
        <v>c15.17 = Select month from table A</v>
      </c>
    </row>
    <row r="135" spans="3:15" x14ac:dyDescent="0.2">
      <c r="I135" s="121" t="s">
        <v>2386</v>
      </c>
    </row>
    <row r="136" spans="3:15" x14ac:dyDescent="0.2">
      <c r="I136" s="93" t="str">
        <f>H138&amp;" = 0 (zero)"</f>
        <v>c15.17 = 0 (zero)</v>
      </c>
    </row>
    <row r="137" spans="3:15" x14ac:dyDescent="0.2">
      <c r="I137" s="121" t="s">
        <v>2495</v>
      </c>
    </row>
    <row r="138" spans="3:15" x14ac:dyDescent="0.2">
      <c r="C138" s="37"/>
      <c r="D138" s="37"/>
      <c r="E138" s="37"/>
      <c r="F138" s="37"/>
      <c r="G138" s="2640" t="str">
        <f>"Select month from "&amp;C102</f>
        <v>Select month from Table A</v>
      </c>
      <c r="H138" s="743" t="str">
        <f>A47</f>
        <v>c15.17</v>
      </c>
      <c r="I138" s="104">
        <f>months_not_married</f>
        <v>0</v>
      </c>
      <c r="J138" s="37"/>
      <c r="K138" s="37"/>
      <c r="L138" s="37"/>
      <c r="M138" s="37"/>
    </row>
    <row r="139" spans="3:15" x14ac:dyDescent="0.2">
      <c r="C139" s="37"/>
      <c r="D139" s="37"/>
      <c r="E139" s="37"/>
      <c r="F139" s="37"/>
      <c r="G139" s="37"/>
      <c r="H139" s="37"/>
      <c r="I139" s="37"/>
      <c r="J139" s="37"/>
      <c r="K139" s="37"/>
      <c r="L139" s="37"/>
      <c r="M139" s="37"/>
    </row>
    <row r="140" spans="3:15" x14ac:dyDescent="0.2">
      <c r="C140" s="37"/>
      <c r="D140" s="37"/>
      <c r="I140" s="38" t="str">
        <f>H130&amp;" x "&amp;H138</f>
        <v>c15.16 x c15.17</v>
      </c>
      <c r="M140" s="37"/>
    </row>
    <row r="141" spans="3:15" x14ac:dyDescent="0.2">
      <c r="C141" s="37"/>
      <c r="D141" s="37"/>
      <c r="H141" s="743" t="str">
        <f>A48</f>
        <v>c15.18</v>
      </c>
      <c r="I141" s="104">
        <f>I130*I138</f>
        <v>0</v>
      </c>
      <c r="M141" s="37"/>
    </row>
    <row r="142" spans="3:15" x14ac:dyDescent="0.2">
      <c r="C142" s="37"/>
      <c r="D142" s="37"/>
      <c r="E142" s="37"/>
      <c r="F142" s="37"/>
      <c r="J142" s="37"/>
      <c r="K142" s="37"/>
      <c r="L142" s="37"/>
      <c r="M142" s="37"/>
    </row>
    <row r="143" spans="3:15" x14ac:dyDescent="0.2">
      <c r="C143" s="37"/>
      <c r="D143" s="37"/>
      <c r="E143" s="37"/>
      <c r="F143" s="37"/>
      <c r="G143" s="37"/>
      <c r="H143" s="37"/>
      <c r="I143" s="37"/>
      <c r="J143" s="37"/>
      <c r="K143" s="37"/>
      <c r="L143" s="38" t="str">
        <f>H141&amp;" divided by 12"</f>
        <v>c15.18 divided by 12</v>
      </c>
      <c r="M143" s="37"/>
    </row>
    <row r="144" spans="3:15" x14ac:dyDescent="0.2">
      <c r="C144" s="37"/>
      <c r="D144" s="37"/>
      <c r="E144" s="37"/>
      <c r="F144" s="37"/>
      <c r="G144" s="37"/>
      <c r="H144" s="37"/>
      <c r="I144" s="37"/>
      <c r="K144" s="743" t="str">
        <f>A49</f>
        <v>c15.19</v>
      </c>
      <c r="L144" s="104">
        <f>TRUNC((I141/12)+0.99,0)</f>
        <v>0</v>
      </c>
      <c r="M144" s="932" t="s">
        <v>3701</v>
      </c>
    </row>
    <row r="145" spans="3:26" x14ac:dyDescent="0.2">
      <c r="C145" s="37"/>
      <c r="D145" s="37"/>
      <c r="E145" s="37"/>
      <c r="F145" s="37"/>
      <c r="G145" s="37"/>
      <c r="H145" s="37"/>
      <c r="I145" s="37"/>
      <c r="J145" s="37"/>
      <c r="K145" s="37"/>
      <c r="L145" s="37"/>
    </row>
    <row r="146" spans="3:26" x14ac:dyDescent="0.2">
      <c r="H146" s="37"/>
      <c r="L146" s="38" t="str">
        <f>H130&amp;" minus "&amp;K144</f>
        <v>c15.16 minus c15.19</v>
      </c>
    </row>
    <row r="147" spans="3:26" x14ac:dyDescent="0.2">
      <c r="H147" s="37"/>
      <c r="I147" s="37"/>
      <c r="K147" s="743" t="str">
        <f>A50</f>
        <v>c15.20</v>
      </c>
      <c r="L147" s="104">
        <f>MAX(0,I130-L144)</f>
        <v>0</v>
      </c>
    </row>
    <row r="148" spans="3:26" x14ac:dyDescent="0.2">
      <c r="I148" s="37"/>
      <c r="J148" s="835"/>
      <c r="K148" s="37"/>
      <c r="L148" s="93" t="str">
        <f>"If MCA"&amp;MCA!C5&amp;" is present then copy "&amp;K147&amp;" to box "&amp;'Tax adj (c9)'!I51</f>
        <v>If MCA8 is present then copy c15.20 to box c9.16</v>
      </c>
    </row>
    <row r="149" spans="3:26" x14ac:dyDescent="0.2">
      <c r="C149" s="121" t="s">
        <v>2386</v>
      </c>
    </row>
    <row r="150" spans="3:26" x14ac:dyDescent="0.2">
      <c r="C150" s="121" t="str">
        <f>H130&amp;" to "&amp;K147&amp;" = 0 (zero)"</f>
        <v>c15.16 to c15.20 = 0 (zero)</v>
      </c>
    </row>
    <row r="151" spans="3:26" x14ac:dyDescent="0.2">
      <c r="C151" s="121" t="s">
        <v>2495</v>
      </c>
    </row>
    <row r="152" spans="3:26" x14ac:dyDescent="0.2">
      <c r="C152" s="685"/>
      <c r="D152" s="685"/>
      <c r="E152" s="685"/>
      <c r="F152" s="685"/>
      <c r="G152" s="685"/>
      <c r="H152" s="685"/>
      <c r="I152" s="685"/>
      <c r="J152" s="685"/>
      <c r="K152" s="685"/>
      <c r="L152" s="685"/>
      <c r="M152" s="685"/>
      <c r="N152" s="685"/>
      <c r="O152" s="685"/>
      <c r="P152" s="685"/>
      <c r="Q152" s="685"/>
      <c r="R152" s="685"/>
      <c r="S152" s="685"/>
      <c r="T152" s="685"/>
      <c r="U152" s="685"/>
      <c r="V152" s="685"/>
      <c r="W152" s="685"/>
      <c r="X152" s="685"/>
      <c r="Y152" s="685"/>
      <c r="Z152" s="685"/>
    </row>
    <row r="153" spans="3:26" x14ac:dyDescent="0.2">
      <c r="E153" s="37"/>
      <c r="F153" s="37"/>
      <c r="G153" s="37"/>
      <c r="P153" s="37"/>
      <c r="Q153" s="37"/>
      <c r="R153" s="37"/>
      <c r="U153" s="37"/>
      <c r="V153" s="37"/>
      <c r="W153" s="37"/>
      <c r="X153" s="37"/>
      <c r="Y153" s="37"/>
      <c r="Z153" s="37"/>
    </row>
    <row r="154" spans="3:26" x14ac:dyDescent="0.2">
      <c r="L154" s="93" t="str">
        <f>"If box MCA"&amp;MCA!C4&amp;" is present"</f>
        <v>If box MCA1 is present</v>
      </c>
    </row>
    <row r="155" spans="3:26" x14ac:dyDescent="0.2">
      <c r="L155" s="93" t="str">
        <f>K163&amp;" = "&amp;K95&amp;" minus "&amp;K147</f>
        <v>c15.21 = c15.15 minus c15.20</v>
      </c>
    </row>
    <row r="156" spans="3:26" x14ac:dyDescent="0.2">
      <c r="L156" s="94" t="s">
        <v>2386</v>
      </c>
    </row>
    <row r="157" spans="3:26" x14ac:dyDescent="0.2">
      <c r="L157" s="93" t="str">
        <f>"If box MCA"&amp;MCA!C5&amp;" is present"</f>
        <v>If box MCA8 is present</v>
      </c>
    </row>
    <row r="158" spans="3:26" x14ac:dyDescent="0.2">
      <c r="L158" s="93" t="str">
        <f>K163&amp;" = "&amp;K147</f>
        <v>c15.21 = c15.20</v>
      </c>
    </row>
    <row r="159" spans="3:26" x14ac:dyDescent="0.2">
      <c r="L159" s="121" t="s">
        <v>2386</v>
      </c>
    </row>
    <row r="160" spans="3:26" x14ac:dyDescent="0.2">
      <c r="L160" s="121" t="str">
        <f>K163&amp;" = 0 (zero)"</f>
        <v>c15.21 = 0 (zero)</v>
      </c>
    </row>
    <row r="161" spans="3:12" x14ac:dyDescent="0.2">
      <c r="L161" s="121" t="s">
        <v>2495</v>
      </c>
    </row>
    <row r="162" spans="3:12" x14ac:dyDescent="0.2">
      <c r="L162" s="121" t="s">
        <v>2495</v>
      </c>
    </row>
    <row r="163" spans="3:12" x14ac:dyDescent="0.2">
      <c r="C163" s="715" t="s">
        <v>3766</v>
      </c>
      <c r="K163" s="743" t="str">
        <f>A51</f>
        <v>c15.21</v>
      </c>
      <c r="L163" s="104">
        <f>IF(man_mca_claim,MAX(0,L95-L147),IF(wife_mca_claim,L147,0))</f>
        <v>0</v>
      </c>
    </row>
    <row r="164" spans="3:12" x14ac:dyDescent="0.2">
      <c r="J164" s="835"/>
      <c r="L164" s="38" t="str">
        <f>"If MCA"&amp;MCA!C4&amp;" is present then copy "&amp;K163&amp;" to box "&amp;'Tax adj (c9)'!I51</f>
        <v>If MCA1 is present then copy c15.21 to box c9.16</v>
      </c>
    </row>
  </sheetData>
  <phoneticPr fontId="67" type="noConversion"/>
  <pageMargins bottom="0.19685039370078741" footer="0.19685039370078741" header="0.19685039370078741" left="0.15748031496062992" right="0.15748031496062992" top="0.19685039370078741"/>
  <pageSetup orientation="landscape" paperSize="9" r:id="rId1" scale="84"/>
  <headerFooter alignWithMargins="0"/>
</worksheet>
</file>

<file path=xl/worksheets/sheet75.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A00-000000000000}">
  <sheetPr codeName="Sheet38">
    <tabColor rgb="FFFFFF00"/>
  </sheetPr>
  <dimension ref="A1:U190"/>
  <sheetViews>
    <sheetView showGridLines="0" topLeftCell="B1" workbookViewId="0" zoomScaleNormal="100">
      <selection activeCell="N172" sqref="N172"/>
    </sheetView>
  </sheetViews>
  <sheetFormatPr defaultColWidth="9.140625" defaultRowHeight="12" x14ac:dyDescent="0.2"/>
  <cols>
    <col min="1" max="1" customWidth="true" hidden="true" style="37" width="7.0" collapsed="true"/>
    <col min="2" max="2" customWidth="true" style="37" width="6.85546875" collapsed="true"/>
    <col min="3" max="3" customWidth="true" style="37" width="17.5703125" collapsed="true"/>
    <col min="4" max="4" customWidth="true" style="37" width="6.0" collapsed="true"/>
    <col min="5" max="5" customWidth="true" style="37" width="13.85546875" collapsed="true"/>
    <col min="6" max="6" customWidth="true" style="37" width="9.5703125" collapsed="true"/>
    <col min="7" max="7" customWidth="true" style="37" width="6.42578125" collapsed="true"/>
    <col min="8" max="8" customWidth="true" style="37" width="12.85546875" collapsed="true"/>
    <col min="9" max="9" customWidth="true" style="37" width="12.0" collapsed="true"/>
    <col min="10" max="10" customWidth="true" style="37" width="6.85546875" collapsed="true"/>
    <col min="11" max="11" customWidth="true" style="37" width="13.0" collapsed="true"/>
    <col min="12" max="12" customWidth="true" style="37" width="3.42578125" collapsed="true"/>
    <col min="13" max="13" customWidth="true" style="37" width="11.140625" collapsed="true"/>
    <col min="14" max="14" customWidth="true" style="37" width="16.5703125" collapsed="true"/>
    <col min="15" max="15" customWidth="true" style="37" width="21.140625" collapsed="true"/>
    <col min="16" max="16384" style="37" width="9.140625" collapsed="true"/>
  </cols>
  <sheetData>
    <row ht="18" r="1" spans="1:10" x14ac:dyDescent="0.25">
      <c r="A1" s="37" t="s">
        <v>2018</v>
      </c>
      <c r="B1" s="2726" t="s">
        <v>2893</v>
      </c>
    </row>
    <row r="2" spans="1:10" x14ac:dyDescent="0.2">
      <c r="A2" s="37" t="s">
        <v>2019</v>
      </c>
    </row>
    <row r="3" spans="1:10" x14ac:dyDescent="0.2">
      <c r="A3" s="37" t="s">
        <v>2020</v>
      </c>
      <c r="C3" s="3035" t="s">
        <v>7395</v>
      </c>
      <c r="D3" s="3058"/>
      <c r="E3" s="3058"/>
      <c r="F3" s="3030"/>
      <c r="G3" s="3031"/>
      <c r="H3" s="3031"/>
    </row>
    <row r="4" spans="1:10" x14ac:dyDescent="0.2">
      <c r="A4" s="37" t="s">
        <v>2021</v>
      </c>
      <c r="C4" s="2322"/>
      <c r="D4" s="2322"/>
      <c r="E4" s="2322"/>
    </row>
    <row ht="12.75" r="5" spans="1:10" x14ac:dyDescent="0.2">
      <c r="A5" s="37" t="s">
        <v>3961</v>
      </c>
      <c r="C5" s="2338" t="s">
        <v>6946</v>
      </c>
      <c r="D5" s="2332"/>
      <c r="E5" s="2332"/>
      <c r="F5" s="2333"/>
      <c r="G5" s="2333"/>
      <c r="H5" s="2333"/>
      <c r="I5" s="2333"/>
      <c r="J5" s="2334"/>
    </row>
    <row ht="12.75" r="6" spans="1:10" x14ac:dyDescent="0.2">
      <c r="A6" s="37" t="s">
        <v>3962</v>
      </c>
      <c r="C6" s="2339" t="s">
        <v>7042</v>
      </c>
      <c r="D6" s="2322"/>
      <c r="E6" s="2322"/>
      <c r="J6" s="1071"/>
    </row>
    <row ht="12.75" r="7" spans="1:10" x14ac:dyDescent="0.2">
      <c r="A7" s="37" t="s">
        <v>3963</v>
      </c>
      <c r="C7" s="2339" t="s">
        <v>7043</v>
      </c>
      <c r="D7" s="2322"/>
      <c r="E7" s="2322"/>
      <c r="J7" s="1071"/>
    </row>
    <row r="8" spans="1:10" x14ac:dyDescent="0.2">
      <c r="A8" s="37" t="s">
        <v>3964</v>
      </c>
      <c r="C8" s="2340"/>
      <c r="D8" s="2322"/>
      <c r="E8" s="2322"/>
      <c r="J8" s="1071"/>
    </row>
    <row ht="12.75" r="9" spans="1:10" x14ac:dyDescent="0.2">
      <c r="A9" s="37" t="s">
        <v>3965</v>
      </c>
      <c r="C9" s="2339" t="s">
        <v>7045</v>
      </c>
      <c r="D9" s="2322"/>
      <c r="E9" s="2322"/>
      <c r="J9" s="1071"/>
    </row>
    <row ht="12.75" r="10" spans="1:10" x14ac:dyDescent="0.2">
      <c r="A10" s="37" t="s">
        <v>3966</v>
      </c>
      <c r="C10" s="2341" t="s">
        <v>7044</v>
      </c>
      <c r="D10" s="2322"/>
      <c r="E10" s="2322"/>
      <c r="J10" s="1071"/>
    </row>
    <row ht="12.75" r="11" spans="1:10" x14ac:dyDescent="0.2">
      <c r="A11" s="37" t="s">
        <v>3967</v>
      </c>
      <c r="C11" s="2341"/>
      <c r="D11" s="2322"/>
      <c r="E11" s="2322"/>
      <c r="J11" s="1071"/>
    </row>
    <row ht="12.75" r="12" spans="1:10" x14ac:dyDescent="0.2">
      <c r="A12" s="37" t="s">
        <v>3968</v>
      </c>
      <c r="C12" s="2339" t="s">
        <v>7046</v>
      </c>
      <c r="D12" s="2322"/>
      <c r="E12" s="2322"/>
      <c r="J12" s="1071"/>
    </row>
    <row ht="12.75" r="13" spans="1:10" x14ac:dyDescent="0.2">
      <c r="A13" s="37" t="s">
        <v>3969</v>
      </c>
      <c r="C13" s="2339" t="s">
        <v>7048</v>
      </c>
      <c r="D13" s="2322"/>
      <c r="E13" s="2322"/>
      <c r="J13" s="1071"/>
    </row>
    <row ht="12.75" r="14" spans="1:10" x14ac:dyDescent="0.2">
      <c r="A14" s="37" t="s">
        <v>3970</v>
      </c>
      <c r="C14" s="2342" t="s">
        <v>7047</v>
      </c>
      <c r="D14" s="2335"/>
      <c r="E14" s="2335"/>
      <c r="F14" s="2336"/>
      <c r="G14" s="2336"/>
      <c r="H14" s="2336"/>
      <c r="I14" s="2336"/>
      <c r="J14" s="2337"/>
    </row>
    <row ht="12.75" r="15" spans="1:10" x14ac:dyDescent="0.2">
      <c r="A15" s="37" t="s">
        <v>3666</v>
      </c>
      <c r="C15" s="864"/>
      <c r="D15" s="2322"/>
      <c r="E15" s="2322"/>
    </row>
    <row r="16" spans="1:10" x14ac:dyDescent="0.2">
      <c r="A16" s="37" t="s">
        <v>3667</v>
      </c>
    </row>
    <row r="17" spans="1:20" x14ac:dyDescent="0.2">
      <c r="A17" s="37" t="s">
        <v>3668</v>
      </c>
      <c r="C17" s="4345"/>
      <c r="D17" s="4361"/>
      <c r="E17" s="1481"/>
      <c r="F17" s="1067"/>
      <c r="G17" s="1067"/>
      <c r="H17" s="1070"/>
    </row>
    <row r="18" spans="1:20" x14ac:dyDescent="0.2">
      <c r="A18" s="37" t="s">
        <v>3669</v>
      </c>
      <c r="C18" s="4346"/>
      <c r="D18" s="4362"/>
      <c r="E18" s="993"/>
      <c r="H18" s="1071"/>
    </row>
    <row r="19" spans="1:20" x14ac:dyDescent="0.2">
      <c r="A19" s="37" t="s">
        <v>3670</v>
      </c>
      <c r="C19" s="4346"/>
      <c r="D19" s="4362"/>
      <c r="E19" s="993"/>
      <c r="H19" s="1071"/>
    </row>
    <row r="20" spans="1:20" x14ac:dyDescent="0.2">
      <c r="A20" s="37" t="s">
        <v>634</v>
      </c>
      <c r="C20" s="4347"/>
      <c r="D20" s="4363"/>
      <c r="E20" s="1047"/>
      <c r="F20" s="1069"/>
      <c r="G20" s="1069"/>
      <c r="H20" s="1032"/>
    </row>
    <row r="21" spans="1:20" x14ac:dyDescent="0.2">
      <c r="A21" s="37" t="s">
        <v>4254</v>
      </c>
      <c r="T21" s="52"/>
    </row>
    <row ht="12.75" r="22" spans="1:20" x14ac:dyDescent="0.2">
      <c r="A22" s="37" t="s">
        <v>4255</v>
      </c>
      <c r="C22" s="1190" t="s">
        <v>5817</v>
      </c>
      <c r="E22" s="1791" t="s">
        <v>5843</v>
      </c>
      <c r="G22" s="1199" t="str">
        <f><![CDATA["[Class 4 NIC exempt] ("&LUN&LUN!K16&" = Y) or any instances of boxes ("&SSE&SE!C17&" = Y) or ("&FSE&SE!G29&" = Y) or ("&SPS&PS!C22&" = Y) or ("&FPS&PS!J13&" = Y)"]]></f>
        <v>[Class 4 NIC exempt] (LUN64 = Y) or any instances of boxes (SSE37 = Y) or (FSE101 = Y) or (SPS26 = Y) or (FPS26 = Y)</v>
      </c>
      <c r="I22" s="7"/>
      <c r="J22" s="7"/>
      <c r="K22" s="7"/>
      <c r="L22" s="7"/>
      <c r="M22" s="7"/>
      <c r="T22" s="52"/>
    </row>
    <row ht="12.75" r="23" spans="1:20" x14ac:dyDescent="0.2">
      <c r="A23" s="37" t="s">
        <v>4256</v>
      </c>
      <c r="E23" s="2132"/>
      <c r="F23" s="974"/>
      <c r="G23" s="2133"/>
      <c r="H23" s="974"/>
      <c r="I23" s="974"/>
      <c r="T23" s="52"/>
    </row>
    <row r="24" spans="1:20" x14ac:dyDescent="0.2">
      <c r="A24" s="37" t="s">
        <v>4257</v>
      </c>
      <c r="F24" s="37" t="str">
        <f>"Calculate "&amp;J50&amp;" to "&amp;G85</f>
        <v>Calculate c16.1 to c16.12</v>
      </c>
      <c r="T24" s="52"/>
    </row>
    <row ht="12.75" r="25" spans="1:20" x14ac:dyDescent="0.2">
      <c r="A25" s="37" t="s">
        <v>4258</v>
      </c>
      <c r="F25" s="37" t="str">
        <f>"Set "&amp;G88&amp;" to "&amp;J163&amp;" to 0 (zero)"</f>
        <v>Set c16.13 to c16.31 to 0 (zero)</v>
      </c>
      <c r="H25" s="7"/>
      <c r="I25" s="1792"/>
      <c r="J25" s="7"/>
      <c r="K25" s="7"/>
      <c r="L25" s="7"/>
      <c r="M25" s="7"/>
      <c r="T25" s="52"/>
    </row>
    <row ht="12.75" r="26" spans="1:20" x14ac:dyDescent="0.2">
      <c r="A26" s="37" t="s">
        <v>4259</v>
      </c>
      <c r="E26" s="1078" t="s">
        <v>1319</v>
      </c>
      <c r="H26" s="1792"/>
      <c r="I26" s="7"/>
      <c r="J26" s="7"/>
      <c r="K26" s="7"/>
      <c r="L26" s="7"/>
      <c r="M26" s="7"/>
      <c r="S26" s="52"/>
      <c r="T26" s="52"/>
    </row>
    <row ht="12.75" r="27" spans="1:20" x14ac:dyDescent="0.2">
      <c r="A27" s="37" t="s">
        <v>4260</v>
      </c>
      <c r="F27" s="37" t="str">
        <f>"Calculate "&amp;J50&amp;" to "&amp;A19</f>
        <v>Calculate c16.1 to c16.19</v>
      </c>
      <c r="H27" s="7"/>
      <c r="I27" s="1792"/>
      <c r="J27" s="7"/>
      <c r="K27" s="7"/>
      <c r="L27" s="7"/>
      <c r="M27" s="7"/>
      <c r="S27" s="52"/>
      <c r="T27" s="52"/>
    </row>
    <row ht="12.75" r="28" spans="1:20" x14ac:dyDescent="0.2">
      <c r="A28" s="37" t="s">
        <v>4261</v>
      </c>
      <c r="E28" s="4364"/>
      <c r="F28" s="4365"/>
      <c r="G28" s="1442"/>
      <c r="H28" s="1793"/>
      <c r="I28" s="1794"/>
      <c r="J28" s="2134"/>
      <c r="L28" s="7"/>
      <c r="M28" s="7"/>
      <c r="T28" s="52"/>
    </row>
    <row ht="12.75" r="29" spans="1:20" x14ac:dyDescent="0.2">
      <c r="A29" s="37" t="s">
        <v>4266</v>
      </c>
      <c r="E29" s="4366"/>
      <c r="F29" s="4362"/>
      <c r="G29" s="993"/>
      <c r="H29" s="1795"/>
      <c r="I29" s="1796"/>
      <c r="J29" s="2137"/>
      <c r="K29" s="2135"/>
      <c r="L29" s="7"/>
      <c r="M29" s="7"/>
      <c r="T29" s="52"/>
    </row>
    <row ht="12.75" r="30" spans="1:20" x14ac:dyDescent="0.2">
      <c r="A30" s="37" t="s">
        <v>4267</v>
      </c>
      <c r="E30" s="4366"/>
      <c r="F30" s="4362"/>
      <c r="G30" s="993"/>
      <c r="H30" s="1795"/>
      <c r="I30" s="1795"/>
      <c r="J30" s="2136"/>
      <c r="K30" s="1795"/>
      <c r="L30" s="7"/>
      <c r="M30" s="7"/>
      <c r="S30" s="52"/>
      <c r="T30" s="52"/>
    </row>
    <row ht="12.75" r="31" spans="1:20" x14ac:dyDescent="0.2">
      <c r="A31" s="37" t="s">
        <v>4268</v>
      </c>
      <c r="E31" s="4366"/>
      <c r="F31" s="4362"/>
      <c r="G31" s="993"/>
      <c r="H31" s="1795"/>
      <c r="I31" s="1795"/>
      <c r="J31" s="1045"/>
      <c r="K31" s="1796"/>
      <c r="L31" s="7"/>
      <c r="M31" s="7"/>
      <c r="S31" s="52"/>
      <c r="T31" s="52"/>
    </row>
    <row ht="12.75" r="32" spans="1:20" x14ac:dyDescent="0.2">
      <c r="A32" s="37" t="s">
        <v>4269</v>
      </c>
      <c r="E32" s="4366"/>
      <c r="F32" s="4362"/>
      <c r="G32" s="993"/>
      <c r="H32" s="1795"/>
      <c r="I32" s="993"/>
      <c r="J32" s="2137"/>
      <c r="K32" s="1795"/>
      <c r="L32" s="7"/>
      <c r="M32" s="7"/>
      <c r="S32" s="52"/>
      <c r="T32" s="52"/>
    </row>
    <row ht="12.75" r="33" spans="5:20" x14ac:dyDescent="0.2">
      <c r="E33" s="4366"/>
      <c r="F33" s="4362"/>
      <c r="G33" s="993"/>
      <c r="H33" s="1795"/>
      <c r="I33" s="1795"/>
      <c r="J33" s="1045"/>
      <c r="K33" s="1795"/>
      <c r="L33" s="7"/>
      <c r="M33" s="7"/>
      <c r="S33" s="52"/>
      <c r="T33" s="52"/>
    </row>
    <row ht="12.75" r="34" spans="5:20" x14ac:dyDescent="0.2">
      <c r="E34" s="4366"/>
      <c r="F34" s="4362"/>
      <c r="H34" s="1795"/>
      <c r="I34" s="1795"/>
      <c r="J34" s="2137"/>
      <c r="K34" s="1796"/>
      <c r="L34" s="7"/>
      <c r="M34" s="7"/>
      <c r="S34" s="52"/>
      <c r="T34" s="52"/>
    </row>
    <row ht="12.75" r="35" spans="5:20" x14ac:dyDescent="0.2">
      <c r="E35" s="4366"/>
      <c r="F35" s="4362"/>
      <c r="H35" s="1795"/>
      <c r="I35" s="1795"/>
      <c r="J35" s="2137"/>
      <c r="K35" s="1796"/>
      <c r="L35" s="7"/>
      <c r="M35" s="7"/>
      <c r="S35" s="52"/>
      <c r="T35" s="52"/>
    </row>
    <row ht="12.75" r="36" spans="5:20" x14ac:dyDescent="0.2">
      <c r="E36" s="4367"/>
      <c r="F36" s="4363"/>
      <c r="G36" s="1047"/>
      <c r="H36" s="1797"/>
      <c r="I36" s="1797"/>
      <c r="J36" s="1048"/>
      <c r="K36" s="1795"/>
      <c r="L36" s="7"/>
      <c r="M36" s="7"/>
      <c r="S36" s="52"/>
      <c r="T36" s="52"/>
    </row>
    <row ht="12.75" r="37" spans="5:20" x14ac:dyDescent="0.2">
      <c r="F37" s="37" t="str">
        <f>"If "&amp;G88&amp;" = 0 (zero)"</f>
        <v>If c16.13 = 0 (zero)</v>
      </c>
      <c r="H37" s="7"/>
      <c r="I37" s="7"/>
      <c r="J37" s="7"/>
      <c r="K37" s="1792"/>
      <c r="L37" s="7"/>
      <c r="M37" s="7"/>
      <c r="S37" s="52"/>
      <c r="T37" s="52"/>
    </row>
    <row ht="12.75" r="38" spans="5:20" x14ac:dyDescent="0.2">
      <c r="F38" s="1444" t="str">
        <f>"Set "&amp;J107&amp;" to "&amp;J155&amp;" to 0 (zero)"</f>
        <v>Set c16.20 to c16.30 to 0 (zero)</v>
      </c>
      <c r="I38" s="7"/>
      <c r="J38" s="7"/>
      <c r="K38" s="7"/>
      <c r="L38" s="1792"/>
      <c r="M38" s="7"/>
      <c r="S38" s="52"/>
    </row>
    <row ht="12.75" r="39" spans="5:20" x14ac:dyDescent="0.2">
      <c r="F39" s="1444" t="str">
        <f>"Set "&amp;J163&amp;" = "&amp;J100</f>
        <v>Set c16.31 = c16.19</v>
      </c>
      <c r="I39" s="7"/>
      <c r="J39" s="7"/>
      <c r="K39" s="7"/>
      <c r="L39" s="1792"/>
      <c r="M39" s="7"/>
      <c r="S39" s="52"/>
    </row>
    <row ht="12.75" r="40" spans="5:20" x14ac:dyDescent="0.2">
      <c r="F40" s="1791" t="s">
        <v>1319</v>
      </c>
      <c r="H40" s="7"/>
      <c r="I40" s="7"/>
      <c r="J40" s="7"/>
      <c r="L40" s="7"/>
      <c r="M40" s="7"/>
      <c r="S40" s="52"/>
    </row>
    <row ht="12.75" r="41" spans="5:20" x14ac:dyDescent="0.2">
      <c r="F41" s="1078" t="str">
        <f>"Calculate "&amp;J107</f>
        <v>Calculate c16.20</v>
      </c>
      <c r="H41" s="7"/>
      <c r="I41" s="7"/>
      <c r="J41" s="7"/>
      <c r="K41" s="7"/>
      <c r="L41" s="1792"/>
      <c r="M41" s="7"/>
      <c r="S41" s="52"/>
    </row>
    <row ht="12.75" r="42" spans="5:20" x14ac:dyDescent="0.2">
      <c r="E42" s="1078"/>
      <c r="F42" s="1078" t="str">
        <f>"If "&amp;J107&amp;" = 0 (zero)"</f>
        <v>If c16.20 = 0 (zero)</v>
      </c>
      <c r="H42" s="7"/>
      <c r="I42" s="7"/>
      <c r="J42" s="7"/>
      <c r="K42" s="7"/>
      <c r="L42" s="1792"/>
      <c r="M42" s="7"/>
      <c r="S42" s="52"/>
    </row>
    <row ht="12.75" r="43" spans="5:20" x14ac:dyDescent="0.2">
      <c r="F43" s="84" t="str">
        <f>"Set "&amp;J110&amp;" to "&amp;J155&amp;" to 0 (zero)"</f>
        <v>Set c16.21 to c16.30 to 0 (zero)</v>
      </c>
      <c r="H43" s="7"/>
      <c r="I43" s="7"/>
      <c r="J43" s="7"/>
      <c r="K43" s="7"/>
      <c r="L43" s="7"/>
      <c r="M43" s="1792"/>
    </row>
    <row ht="12.75" r="44" spans="5:20" x14ac:dyDescent="0.2">
      <c r="F44" s="84" t="str">
        <f>"Set "&amp;J163&amp;" = "&amp;J100</f>
        <v>Set c16.31 = c16.19</v>
      </c>
      <c r="H44" s="7"/>
      <c r="I44" s="7"/>
      <c r="J44" s="7"/>
      <c r="K44" s="7"/>
      <c r="L44" s="7"/>
      <c r="M44" s="1792"/>
    </row>
    <row ht="12.75" r="45" spans="5:20" x14ac:dyDescent="0.2">
      <c r="F45" s="1791" t="s">
        <v>1319</v>
      </c>
      <c r="H45" s="7"/>
      <c r="I45" s="7"/>
      <c r="J45" s="7"/>
      <c r="K45" s="7"/>
      <c r="M45" s="7"/>
    </row>
    <row ht="12.75" r="46" spans="5:20" x14ac:dyDescent="0.2">
      <c r="F46" s="84" t="str">
        <f>"Calculate "&amp;J110&amp;" to "&amp;J155</f>
        <v>Calculate c16.21 to c16.30</v>
      </c>
      <c r="H46" s="7"/>
      <c r="I46" s="7"/>
      <c r="J46" s="7"/>
      <c r="K46" s="7"/>
      <c r="L46" s="7"/>
      <c r="M46" s="1792"/>
    </row>
    <row ht="12.75" r="47" spans="5:20" x14ac:dyDescent="0.2">
      <c r="F47" s="84" t="str">
        <f>"Set "&amp;J163&amp;" to lower of "&amp;J100&amp;" and "&amp;J155</f>
        <v>Set c16.31 to lower of c16.19 and c16.30</v>
      </c>
      <c r="H47" s="7"/>
      <c r="I47" s="7"/>
      <c r="J47" s="7"/>
      <c r="K47" s="7"/>
      <c r="L47" s="7"/>
      <c r="M47" s="1792"/>
    </row>
    <row r="48" spans="5:20" x14ac:dyDescent="0.2">
      <c r="M48" s="52"/>
    </row>
    <row r="49" spans="8:14" x14ac:dyDescent="0.2">
      <c r="I49" s="709"/>
      <c r="J49" s="709"/>
      <c r="K49" s="682" t="str">
        <f>"Total all instances ("&amp;SSE&amp;SE!C8&amp;")"</f>
        <v>Total all instances (SSE31)</v>
      </c>
    </row>
    <row r="50" spans="8:14" x14ac:dyDescent="0.2">
      <c r="H50" s="709" t="s">
        <v>2284</v>
      </c>
      <c r="J50" s="714" t="str">
        <f>A1</f>
        <v>c16.1</v>
      </c>
      <c r="K50" s="392">
        <f>TRUNC(SE!D9,0)</f>
        <v>0</v>
      </c>
      <c r="L50" s="999" t="s">
        <v>4451</v>
      </c>
    </row>
    <row r="52" spans="8:14" x14ac:dyDescent="0.2">
      <c r="I52" s="709"/>
      <c r="J52" s="709"/>
      <c r="K52" s="750" t="str">
        <f>"Total all instances ("&amp;FSE&amp;SE!G14&amp;")"</f>
        <v>Total all instances (FSE76)</v>
      </c>
    </row>
    <row r="53" spans="8:14" x14ac:dyDescent="0.2">
      <c r="J53" s="714" t="str">
        <f>A2</f>
        <v>c16.2</v>
      </c>
      <c r="K53" s="392">
        <f>TRUNC(SE!H15,0)</f>
        <v>14190</v>
      </c>
      <c r="L53" s="999" t="s">
        <v>4452</v>
      </c>
    </row>
    <row r="54" spans="8:14" x14ac:dyDescent="0.2">
      <c r="I54" s="709"/>
      <c r="J54" s="709"/>
    </row>
    <row r="55" spans="8:14" x14ac:dyDescent="0.2">
      <c r="I55" s="709"/>
      <c r="J55" s="709"/>
      <c r="K55" s="750" t="str">
        <f>"from "&amp;LUN&amp;LUN!K7</f>
        <v>from LUN52</v>
      </c>
    </row>
    <row r="56" spans="8:14" x14ac:dyDescent="0.2">
      <c r="H56" s="709" t="s">
        <v>2285</v>
      </c>
      <c r="J56" s="714" t="str">
        <f>A3</f>
        <v>c16.3</v>
      </c>
      <c r="K56" s="392">
        <f>TRUNC(LUN!L8,0)</f>
        <v>0</v>
      </c>
      <c r="L56" s="937" t="s">
        <v>1743</v>
      </c>
    </row>
    <row r="57" spans="8:14" x14ac:dyDescent="0.2">
      <c r="M57" s="121"/>
      <c r="N57" s="121"/>
    </row>
    <row r="58" spans="8:14" x14ac:dyDescent="0.2">
      <c r="I58" s="709"/>
      <c r="J58" s="709"/>
      <c r="K58" s="750" t="str">
        <f>"Total all instances ("&amp;SPS&amp;PS!C13&amp;")"</f>
        <v>Total all instances (SPS20)</v>
      </c>
    </row>
    <row r="59" spans="8:14" x14ac:dyDescent="0.2">
      <c r="H59" s="709" t="s">
        <v>2286</v>
      </c>
      <c r="J59" s="714" t="str">
        <f>A4</f>
        <v>c16.4</v>
      </c>
      <c r="K59" s="392">
        <f>TRUNC(PS!D14,0)</f>
        <v>0</v>
      </c>
      <c r="L59" s="999" t="s">
        <v>4453</v>
      </c>
    </row>
    <row r="60" spans="8:14" x14ac:dyDescent="0.2">
      <c r="I60" s="709"/>
      <c r="J60" s="709"/>
      <c r="K60" s="394"/>
    </row>
    <row r="61" spans="8:14" x14ac:dyDescent="0.2">
      <c r="J61" s="709"/>
      <c r="K61" s="750" t="str">
        <f>"Total all instances ("&amp;FPS&amp;PS!J7&amp;")"</f>
        <v>Total all instances (FPS20)</v>
      </c>
    </row>
    <row r="62" spans="8:14" x14ac:dyDescent="0.2">
      <c r="I62" s="709"/>
      <c r="J62" s="714" t="str">
        <f>A5</f>
        <v>c16.5</v>
      </c>
      <c r="K62" s="392">
        <f>TRUNC(PS!K8,0)</f>
        <v>0</v>
      </c>
      <c r="L62" s="999" t="s">
        <v>4454</v>
      </c>
    </row>
    <row r="63" spans="8:14" x14ac:dyDescent="0.2">
      <c r="I63" s="709"/>
    </row>
    <row r="64" spans="8:14" x14ac:dyDescent="0.2">
      <c r="N64" s="38" t="str">
        <f><![CDATA[J50&" + "&J53&" + "&J56&" + "&J59&" + "&J62]]></f>
        <v>c16.1 + c16.2 + c16.3 + c16.4 + c16.5</v>
      </c>
    </row>
    <row r="65" spans="8:14" x14ac:dyDescent="0.2">
      <c r="H65" s="51" t="s">
        <v>2891</v>
      </c>
      <c r="M65" s="714" t="str">
        <f>A6</f>
        <v>c16.6</v>
      </c>
      <c r="N65" s="392">
        <f>K50+K53+K56+K59+K62</f>
        <v>14190</v>
      </c>
    </row>
    <row ht="12.75" r="67" spans="8:14" x14ac:dyDescent="0.2">
      <c r="H67" s="1189" t="str">
        <f>"NIC Adjustments (use absolute value of Return boxes in boxes "&amp;J70&amp;" to "&amp;J79&amp;")"</f>
        <v>NIC Adjustments (use absolute value of Return boxes in boxes c16.7 to c16.10)</v>
      </c>
    </row>
    <row r="69" spans="8:14" x14ac:dyDescent="0.2">
      <c r="K69" s="682" t="str">
        <f>"Total all instances absolute value ("&amp;FSE&amp;SE!G32&amp;")"</f>
        <v>Total all instances absolute value (FSE102)</v>
      </c>
    </row>
    <row r="70" spans="8:14" x14ac:dyDescent="0.2">
      <c r="J70" s="714" t="str">
        <f>A7</f>
        <v>c16.7</v>
      </c>
      <c r="K70" s="392">
        <f>TRUNC(ABS(SE!H33)+0.99,0)</f>
        <v>0</v>
      </c>
      <c r="L70" s="999" t="s">
        <v>4447</v>
      </c>
    </row>
    <row r="72" spans="8:14" x14ac:dyDescent="0.2">
      <c r="K72" s="682" t="str">
        <f>" absolute value from "&amp;LUN&amp;LUN!K19</f>
        <v xml:space="preserve"> absolute value from LUN65</v>
      </c>
    </row>
    <row r="73" spans="8:14" x14ac:dyDescent="0.2">
      <c r="J73" s="714" t="str">
        <f>A8</f>
        <v>c16.8</v>
      </c>
      <c r="K73" s="392">
        <f>TRUNC(ABS(LUN!L20)+0.99,0)</f>
        <v>0</v>
      </c>
      <c r="L73" s="999" t="s">
        <v>3701</v>
      </c>
    </row>
    <row r="75" spans="8:14" x14ac:dyDescent="0.2">
      <c r="I75" s="709"/>
      <c r="J75" s="709"/>
      <c r="K75" s="682" t="str">
        <f>"Total all instances absolute value  ("&amp;SPS&amp;PS!C25&amp;")"</f>
        <v>Total all instances absolute value  (SPS27)</v>
      </c>
    </row>
    <row r="76" spans="8:14" x14ac:dyDescent="0.2">
      <c r="J76" s="714" t="str">
        <f>A9</f>
        <v>c16.9</v>
      </c>
      <c r="K76" s="392">
        <f>TRUNC(ABS(PS!D26)+0.99,0)</f>
        <v>0</v>
      </c>
      <c r="L76" s="999" t="s">
        <v>4448</v>
      </c>
    </row>
    <row r="77" spans="8:14" x14ac:dyDescent="0.2">
      <c r="I77" s="709"/>
      <c r="J77" s="709"/>
    </row>
    <row r="78" spans="8:14" x14ac:dyDescent="0.2">
      <c r="K78" s="682" t="str">
        <f>"Total all instances absolute value ("&amp;FPS&amp;PS!M13&amp;")"</f>
        <v>Total all instances absolute value (FPS27)</v>
      </c>
    </row>
    <row r="79" spans="8:14" x14ac:dyDescent="0.2">
      <c r="J79" s="714" t="str">
        <f>A10</f>
        <v>c16.10</v>
      </c>
      <c r="K79" s="392">
        <f>TRUNC(ABS(PS!N14)+0.99,0)</f>
        <v>0</v>
      </c>
      <c r="L79" s="999" t="s">
        <v>4449</v>
      </c>
    </row>
    <row r="80" spans="8:14" x14ac:dyDescent="0.2">
      <c r="J80" s="52"/>
      <c r="K80" s="52"/>
    </row>
    <row r="81" spans="2:12" x14ac:dyDescent="0.2">
      <c r="H81" s="38" t="str">
        <f><![CDATA[J70&" + "&J73&" + "&J76&" + "&J79]]></f>
        <v>c16.7 + c16.8 + c16.9 + c16.10</v>
      </c>
      <c r="J81" s="52"/>
      <c r="K81" s="52"/>
      <c r="L81" s="52"/>
    </row>
    <row r="82" spans="2:12" x14ac:dyDescent="0.2">
      <c r="B82" s="37" t="s">
        <v>3141</v>
      </c>
      <c r="G82" s="714" t="str">
        <f>A11</f>
        <v>c16.11</v>
      </c>
      <c r="H82" s="392">
        <f>K70+K73+K76+K79</f>
        <v>0</v>
      </c>
      <c r="J82" s="52"/>
      <c r="K82" s="52"/>
      <c r="L82" s="52"/>
    </row>
    <row r="83" spans="2:12" x14ac:dyDescent="0.2">
      <c r="H83" s="38"/>
      <c r="J83" s="52"/>
      <c r="K83" s="52"/>
      <c r="L83" s="52"/>
    </row>
    <row r="84" spans="2:12" x14ac:dyDescent="0.2">
      <c r="B84" s="37" t="s">
        <v>4300</v>
      </c>
      <c r="H84" s="38" t="str">
        <f>M65&amp;" minus "&amp;G82</f>
        <v>c16.6 minus c16.11</v>
      </c>
      <c r="J84" s="52"/>
      <c r="K84" s="52"/>
      <c r="L84" s="52"/>
    </row>
    <row r="85" spans="2:12" x14ac:dyDescent="0.2">
      <c r="B85" s="37" t="s">
        <v>5056</v>
      </c>
      <c r="G85" s="714" t="str">
        <f>A12</f>
        <v>c16.12</v>
      </c>
      <c r="H85" s="392">
        <f>MAX(N65-H82,0)</f>
        <v>14190</v>
      </c>
      <c r="J85" s="52"/>
      <c r="K85" s="52"/>
      <c r="L85" s="52"/>
    </row>
    <row r="86" spans="2:12" x14ac:dyDescent="0.2">
      <c r="L86" s="52"/>
    </row>
    <row r="87" spans="2:12" x14ac:dyDescent="0.2">
      <c r="H87" s="1958" t="str">
        <f>G85&amp;" minus NIC_LEL ("&amp;DOLLAR(NIC_LEL,0)&amp;")"</f>
        <v>c16.12 minus NIC_LEL ($8,632)</v>
      </c>
      <c r="J87" s="52"/>
      <c r="K87" s="52"/>
      <c r="L87" s="52"/>
    </row>
    <row r="88" spans="2:12" x14ac:dyDescent="0.2">
      <c r="B88" s="36" t="s">
        <v>1609</v>
      </c>
      <c r="C88" s="36"/>
      <c r="D88" s="36"/>
      <c r="F88" s="36"/>
      <c r="G88" s="714" t="str">
        <f>A13</f>
        <v>c16.13</v>
      </c>
      <c r="H88" s="392">
        <f>IF(NIC_exempt,0,MAX(H85-NIC_LEL,0))</f>
        <v>5558</v>
      </c>
      <c r="J88" s="52"/>
      <c r="K88" s="52"/>
      <c r="L88" s="52"/>
    </row>
    <row r="89" spans="2:12" x14ac:dyDescent="0.2">
      <c r="K89" s="1958" t="str">
        <f>"max_NIC ("&amp;DOLLAR(max_NIC,2)&amp;")"</f>
        <v>max_NIC ($3,723.12)</v>
      </c>
      <c r="L89" s="52"/>
    </row>
    <row r="90" spans="2:12" x14ac:dyDescent="0.2">
      <c r="B90" s="37" t="s">
        <v>4441</v>
      </c>
      <c r="J90" s="714" t="str">
        <f>A14</f>
        <v>c16.14</v>
      </c>
      <c r="K90" s="1009">
        <f>IF(NIC_exempt,0,max_NIC)</f>
        <v>3723.12</v>
      </c>
    </row>
    <row r="92" spans="2:12" x14ac:dyDescent="0.2">
      <c r="K92" s="38" t="str">
        <f>"lower of ("&amp;G94&amp;" x NIC_rate ("&amp;(NIC_rate*100)&amp;"%))"</f>
        <v>lower of (c16.15 x NIC_rate (9%))</v>
      </c>
    </row>
    <row r="93" spans="2:12" x14ac:dyDescent="0.2">
      <c r="H93" s="1958" t="str">
        <f>"lower of box "&amp;G88&amp;" and NIC_Band ("&amp;DOLLAR(NIC_Band,0)&amp;")"</f>
        <v>lower of box c16.13 and NIC_Band ($41,368)</v>
      </c>
      <c r="J93" s="50"/>
      <c r="K93" s="1958" t="str">
        <f>"or max_NIC ("&amp;DOLLAR(max_NIC,2)&amp;")"</f>
        <v>or max_NIC ($3,723.12)</v>
      </c>
      <c r="L93" s="50"/>
    </row>
    <row r="94" spans="2:12" x14ac:dyDescent="0.2">
      <c r="D94" s="38"/>
      <c r="E94" s="38"/>
      <c r="G94" s="714" t="str">
        <f>A15</f>
        <v>c16.15</v>
      </c>
      <c r="H94" s="392">
        <f>IF(NIC_exempt,0,MIN(H88,NIC_Band))</f>
        <v>5558</v>
      </c>
      <c r="I94" s="50"/>
      <c r="J94" s="714" t="str">
        <f>A16</f>
        <v>c16.16</v>
      </c>
      <c r="K94" s="119">
        <f>IF(NIC_exempt,0,MIN(TRUNC(H94*NIC_rate,2),max_NIC))</f>
        <v>500.22</v>
      </c>
      <c r="L94" s="937" t="s">
        <v>2694</v>
      </c>
    </row>
    <row r="95" spans="2:12" x14ac:dyDescent="0.2">
      <c r="I95" s="50"/>
      <c r="J95" s="50"/>
      <c r="K95" s="50"/>
      <c r="L95" s="50"/>
    </row>
    <row r="96" spans="2:12" x14ac:dyDescent="0.2">
      <c r="H96" s="38" t="str">
        <f>G88&amp;" minus "&amp;G94</f>
        <v>c16.13 minus c16.15</v>
      </c>
      <c r="K96" s="38" t="str">
        <f>G97&amp;" x NIC_supp_rate ("&amp;(NIC_supp_rate*100)&amp;"%)"</f>
        <v>c16.17 x NIC_supp_rate (2%)</v>
      </c>
      <c r="L96" s="50"/>
    </row>
    <row r="97" spans="2:12" x14ac:dyDescent="0.2">
      <c r="G97" s="714" t="str">
        <f>A17</f>
        <v>c16.17</v>
      </c>
      <c r="H97" s="392">
        <f>IF(NIC_exempt,0,MAX(0,H88-H94))</f>
        <v>0</v>
      </c>
      <c r="I97" s="50"/>
      <c r="J97" s="714" t="str">
        <f>A18</f>
        <v>c16.18</v>
      </c>
      <c r="K97" s="119">
        <f>IF(NIC_exempt,0,TRUNC(H97*NIC_supp_rate,2))</f>
        <v>0</v>
      </c>
      <c r="L97" s="937" t="s">
        <v>2694</v>
      </c>
    </row>
    <row customHeight="1" ht="12.75" r="99" spans="2:12" x14ac:dyDescent="0.2">
      <c r="K99" s="37" t="str">
        <f>J94&amp;" + "&amp;J97</f>
        <v>c16.16 + c16.18</v>
      </c>
    </row>
    <row customHeight="1" ht="12.75" r="100" spans="2:12" x14ac:dyDescent="0.2">
      <c r="B100" s="37" t="s">
        <v>4377</v>
      </c>
      <c r="I100" s="38" t="s">
        <v>2892</v>
      </c>
      <c r="J100" s="714" t="str">
        <f>A19</f>
        <v>c16.19</v>
      </c>
      <c r="K100" s="735">
        <f>IF(NIC_exempt,0,K94+K97)</f>
        <v>500.22</v>
      </c>
    </row>
    <row customHeight="1" ht="12.75" r="102" spans="2:12" x14ac:dyDescent="0.2">
      <c r="B102" s="51" t="s">
        <v>4262</v>
      </c>
    </row>
    <row r="104" spans="2:12" x14ac:dyDescent="0.2">
      <c r="B104" s="4352"/>
      <c r="C104" s="1481"/>
    </row>
    <row r="105" spans="2:12" x14ac:dyDescent="0.2">
      <c r="B105" s="4362"/>
      <c r="C105" s="993"/>
      <c r="L105" s="999"/>
    </row>
    <row r="106" spans="2:12" x14ac:dyDescent="0.2">
      <c r="B106" s="993"/>
      <c r="D106" s="993"/>
      <c r="E106" s="993"/>
      <c r="F106" s="993"/>
      <c r="G106" s="993"/>
      <c r="K106" s="737" t="str">
        <f>"Total all instances ("&amp;NI!C19&amp;") + ("&amp;NI!C26&amp;")"</f>
        <v>Total all instances (EMPCL1) + (MORCL1)</v>
      </c>
    </row>
    <row r="107" spans="2:12" x14ac:dyDescent="0.2">
      <c r="B107" s="37" t="s">
        <v>4972</v>
      </c>
      <c r="I107" s="38"/>
      <c r="J107" s="714" t="str">
        <f>A20</f>
        <v>c16.20</v>
      </c>
      <c r="K107" s="735">
        <f>IF(OR(H88=0,NIC_exempt),0,TRUNC(NI!D20+0.99,0)+TRUNC(NI!D27+0.99,0))</f>
        <v>24622</v>
      </c>
      <c r="L107" s="999" t="s">
        <v>5882</v>
      </c>
    </row>
    <row r="109" spans="2:12" x14ac:dyDescent="0.2">
      <c r="K109" s="38" t="str">
        <f>J107&amp;" x NIC1_rate ("&amp;NIC1_rate*100&amp;"%)"</f>
        <v>c16.20 x NIC1_rate (12%)</v>
      </c>
    </row>
    <row r="110" spans="2:12" x14ac:dyDescent="0.2">
      <c r="I110" s="38" t="s">
        <v>4263</v>
      </c>
      <c r="J110" s="714" t="str">
        <f>A21</f>
        <v>c16.21</v>
      </c>
      <c r="K110" s="735">
        <f>IF(OR(H88=0,K107=0,NIC_exempt),0,TRUNC((K107*NIC1_rate)+0.0099,2))</f>
        <v>2954.64</v>
      </c>
      <c r="L110" s="993" t="s">
        <v>1707</v>
      </c>
    </row>
    <row r="112" spans="2:12" x14ac:dyDescent="0.2">
      <c r="K112" s="1958" t="str">
        <f>IF(NIC2_weekamt_Selected&lt;3,"NIC2_annual_limit ("&amp;DOLLAR(NIC2_annual_limit,2)&amp;")","NIC2SF_annual_limit ("&amp;DOLLAR(NIC2SF_annual_limit,2)&amp;")")</f>
        <v>NIC2_annual_limit ($159.00)</v>
      </c>
    </row>
    <row r="113" spans="2:12" x14ac:dyDescent="0.2">
      <c r="B113" s="37" t="str">
        <f>IF(NIC2_weekamt_Selected&lt;3,"53 weeks of Class 2 at "&amp;DOLLAR(NIC2_weekamt,2)&amp;" per week","53 weeks of Class 2 at "&amp;DOLLAR(NIC2SF_weekamt,2)&amp;" per week")</f>
        <v>53 weeks of Class 2 at $3.00 per week</v>
      </c>
      <c r="C113" s="2324"/>
      <c r="J113" s="714" t="str">
        <f>A22</f>
        <v>c16.22</v>
      </c>
      <c r="K113" s="735">
        <f>IF(OR(H88=0,K107=0,NIC_exempt),0,IF(K110=0,0,IF(NI!O23=2,NIC2_annual_limit,IF(NI!O23=3,NIC2SF_annual_limit,0))))</f>
        <v>159</v>
      </c>
      <c r="L113" s="993"/>
    </row>
    <row r="115" spans="2:12" x14ac:dyDescent="0.2">
      <c r="K115" s="37" t="str">
        <f>J90&amp;" + "&amp;J113</f>
        <v>c16.14 + c16.22</v>
      </c>
    </row>
    <row r="116" spans="2:12" x14ac:dyDescent="0.2">
      <c r="B116" s="37" t="str">
        <f>"Total Max Class 4 NIC Charge x UPL rate + Class 2 annual limit"</f>
        <v>Total Max Class 4 NIC Charge x UPL rate + Class 2 annual limit</v>
      </c>
      <c r="J116" s="714" t="str">
        <f>A23</f>
        <v>c16.23</v>
      </c>
      <c r="K116" s="735">
        <f>IF(OR(H88=0,K107=0,NIC_exempt),0,IF(K110=0,0,K90+K113))</f>
        <v>3882.12</v>
      </c>
    </row>
    <row r="118" spans="2:12" x14ac:dyDescent="0.2">
      <c r="C118" s="4352"/>
      <c r="D118" s="1481"/>
      <c r="E118" s="1481"/>
      <c r="F118" s="1043"/>
      <c r="G118" s="1197"/>
    </row>
    <row r="119" spans="2:12" x14ac:dyDescent="0.2">
      <c r="C119" s="4346"/>
      <c r="D119" s="993"/>
      <c r="E119" s="993"/>
      <c r="F119" s="1045"/>
    </row>
    <row r="120" spans="2:12" x14ac:dyDescent="0.2">
      <c r="C120" s="4346"/>
      <c r="D120" s="993"/>
      <c r="E120" s="993"/>
      <c r="F120" s="1045"/>
    </row>
    <row r="121" spans="2:12" x14ac:dyDescent="0.2">
      <c r="C121" s="4346"/>
      <c r="D121" s="993"/>
      <c r="E121" s="993"/>
      <c r="F121" s="1045"/>
    </row>
    <row r="122" spans="2:12" x14ac:dyDescent="0.2">
      <c r="C122" s="4346"/>
      <c r="D122" s="993"/>
      <c r="E122" s="993"/>
      <c r="F122" s="1045"/>
    </row>
    <row r="123" spans="2:12" x14ac:dyDescent="0.2">
      <c r="C123" s="4347"/>
      <c r="D123" s="1047"/>
      <c r="E123" s="1047"/>
      <c r="F123" s="1048"/>
    </row>
    <row r="124" spans="2:12" x14ac:dyDescent="0.2">
      <c r="K124" s="38" t="str">
        <f>J116&amp;" minus ("&amp;J110&amp;" + "&amp;J189&amp;")"</f>
        <v>c16.23 minus (c16.21 + c16.32)</v>
      </c>
      <c r="L124" s="1197"/>
    </row>
    <row r="125" spans="2:12" x14ac:dyDescent="0.2">
      <c r="B125" s="37" t="s">
        <v>4280</v>
      </c>
      <c r="J125" s="714" t="str">
        <f>A24</f>
        <v>c16.24</v>
      </c>
      <c r="K125" s="735">
        <f>IF(OR(H88=0,K107=0,NIC_exempt),0,IF(K110=0,0,MAX(0,K116-(K110+K189))))</f>
        <v>810.48</v>
      </c>
    </row>
    <row r="127" spans="2:12" x14ac:dyDescent="0.2">
      <c r="K127" s="38" t="str">
        <f>J125&amp;" divided by NIC_rate ("&amp;NIC_rate*100&amp;"%)"</f>
        <v>c16.24 divided by NIC_rate (9%)</v>
      </c>
    </row>
    <row r="128" spans="2:12" x14ac:dyDescent="0.2">
      <c r="B128" s="37" t="str">
        <f>"Divide the result of "&amp;J125&amp;" by UPL rate"</f>
        <v>Divide the result of c16.24 by UPL rate</v>
      </c>
      <c r="J128" s="714" t="str">
        <f>A25</f>
        <v>c16.25</v>
      </c>
      <c r="K128" s="735">
        <f>IF(OR(H88=0,K107=0,NIC_exempt),0,K125/NIC_rate)</f>
        <v>9005.3333333333339</v>
      </c>
      <c r="L128" s="937" t="s">
        <v>2694</v>
      </c>
    </row>
    <row r="130" spans="2:12" x14ac:dyDescent="0.2">
      <c r="I130" s="2324"/>
      <c r="K130" s="1958" t="str">
        <f><![CDATA["lower of ("&G85&" and NIC_UEL ("&DOLLAR(NIC_UEL,0)&")) minus NIC_LEL ("&DOLLAR(NIC_LEL,0)&")"]]></f>
        <v>lower of (c16.12 and NIC_UEL ($50,000)) minus NIC_LEL ($8,632)</v>
      </c>
    </row>
    <row r="131" spans="2:12" x14ac:dyDescent="0.2">
      <c r="B131" s="37" t="s">
        <v>4281</v>
      </c>
      <c r="J131" s="714" t="str">
        <f>A26</f>
        <v>c16.26</v>
      </c>
      <c r="K131" s="735">
        <f>IF(OR(H88=0,K107=0,NIC_exempt),0,IF(K110=0,0,MIN(H85,NIC_UEL)-NIC_LEL))</f>
        <v>5558</v>
      </c>
      <c r="L131" s="707" t="s">
        <v>1521</v>
      </c>
    </row>
    <row r="133" spans="2:12" x14ac:dyDescent="0.2">
      <c r="K133" s="38" t="str">
        <f>J131&amp;" minus "&amp;J128</f>
        <v>c16.26 minus c16.25</v>
      </c>
    </row>
    <row r="134" spans="2:12" x14ac:dyDescent="0.2">
      <c r="B134" s="37" t="str">
        <f>"Subtract the result of "&amp;J128&amp;" from the result of "&amp;J131</f>
        <v>Subtract the result of c16.25 from the result of c16.26</v>
      </c>
      <c r="J134" s="714" t="str">
        <f>A27</f>
        <v>c16.27</v>
      </c>
      <c r="K134" s="735">
        <f>IF(OR(H88=0,K107=0,NIC_exempt),0,MAX(0,K131-K128))</f>
        <v>0</v>
      </c>
    </row>
    <row r="136" spans="2:12" x14ac:dyDescent="0.2">
      <c r="K136" s="38" t="str">
        <f>J134&amp;" x NIC_supp_rate ("&amp;NIC_supp_rate*100&amp;"%)"</f>
        <v>c16.27 x NIC_supp_rate (2%)</v>
      </c>
    </row>
    <row r="137" spans="2:12" x14ac:dyDescent="0.2">
      <c r="B137" s="37" t="str">
        <f>"Multiply the result of "&amp;J134&amp;" by LPL rate"</f>
        <v>Multiply the result of c16.27 by LPL rate</v>
      </c>
      <c r="J137" s="714" t="str">
        <f>A28</f>
        <v>c16.28</v>
      </c>
      <c r="K137" s="735">
        <f>IF(OR(H88=0,K107=0,NIC_exempt),0,TRUNC(K134*NIC_supp_rate,2))</f>
        <v>0</v>
      </c>
      <c r="L137" s="937" t="s">
        <v>2694</v>
      </c>
    </row>
    <row r="139" spans="2:12" x14ac:dyDescent="0.2">
      <c r="I139" s="2324"/>
      <c r="K139" s="38" t="str">
        <f><![CDATA["("&G85&" minus NIC_UEL ("&DOLLAR(NIC_UEL,0)&")) x NIC_supp_rate ("&NIC_supp_rate*100&"%)"]]></f>
        <v>(c16.12 minus NIC_UEL ($50,000)) x NIC_supp_rate (2%)</v>
      </c>
    </row>
    <row r="140" spans="2:12" x14ac:dyDescent="0.2">
      <c r="B140" s="37" t="s">
        <v>4282</v>
      </c>
      <c r="J140" s="714" t="str">
        <f>A29</f>
        <v>c16.29</v>
      </c>
      <c r="K140" s="735">
        <f>MAX(0,IF(OR(H88=0,K107=0,NIC_exempt),0,IF(H85-NIC_UEL&lt;0,0,((H85-NIC_UEL)*NIC_supp_rate))))</f>
        <v>0</v>
      </c>
    </row>
    <row r="142" spans="2:12" x14ac:dyDescent="0.2">
      <c r="J142" s="37" t="str">
        <f><![CDATA["If "&J125&" > 0 and "&J125&" > ("&J110&" + "&J189&" + ("&G88&" x NIC_rate ("&NIC_rate*100&"%)))"]]></f>
        <v>If c16.24 &gt; 0 and c16.24 &gt; (c16.21 + c16.32 + (c16.13 x NIC_rate (9%)))</v>
      </c>
    </row>
    <row r="143" spans="2:12" x14ac:dyDescent="0.2">
      <c r="J143" s="37" t="str">
        <f>J155&amp;" = "&amp;J125</f>
        <v>c16.30 = c16.24</v>
      </c>
    </row>
    <row r="144" spans="2:12" x14ac:dyDescent="0.2">
      <c r="J144" s="37" t="s">
        <v>2386</v>
      </c>
    </row>
    <row r="145" spans="9:11" x14ac:dyDescent="0.2">
      <c r="J145" s="37" t="str">
        <f><![CDATA["If "&J125&" > 0 and "&J125&" <= ("&J110&" + "&J189&" + ("&G88&" x NIC_rate ("&NIC_rate*100&"%)))"]]></f>
        <v>If c16.24 &gt; 0 and c16.24 &lt;= (c16.21 + c16.32 + (c16.13 x NIC_rate (9%)))</v>
      </c>
    </row>
    <row r="146" spans="9:11" x14ac:dyDescent="0.2">
      <c r="J146" s="37" t="str">
        <f><![CDATA[J155&" = "&J125&" + "&J137&" + "&J140]]></f>
        <v>c16.30 = c16.24 + c16.28 + c16.29</v>
      </c>
    </row>
    <row r="147" spans="9:11" x14ac:dyDescent="0.2">
      <c r="J147" s="37" t="s">
        <v>2386</v>
      </c>
    </row>
    <row r="148" spans="9:11" x14ac:dyDescent="0.2">
      <c r="J148" s="37" t="str">
        <f><![CDATA["if "&J116&" minus ("&J110&" + "&J189&")"&" < 0"]]></f>
        <v>if c16.23 minus (c16.21 + c16.32) &lt; 0</v>
      </c>
    </row>
    <row r="149" spans="9:11" x14ac:dyDescent="0.2">
      <c r="J149" s="37" t="str">
        <f><![CDATA[J155&" = "&J125&" + "&J137&" + "&J140]]></f>
        <v>c16.30 = c16.24 + c16.28 + c16.29</v>
      </c>
    </row>
    <row r="150" spans="9:11" x14ac:dyDescent="0.2">
      <c r="J150" s="37" t="s">
        <v>2386</v>
      </c>
    </row>
    <row r="151" spans="9:11" x14ac:dyDescent="0.2">
      <c r="J151" s="37" t="str">
        <f>J155&amp;" = zero 0"</f>
        <v>c16.30 = zero 0</v>
      </c>
    </row>
    <row r="152" spans="9:11" x14ac:dyDescent="0.2">
      <c r="J152" s="84" t="s">
        <v>2495</v>
      </c>
    </row>
    <row r="153" spans="9:11" x14ac:dyDescent="0.2">
      <c r="J153" s="1078" t="s">
        <v>2495</v>
      </c>
    </row>
    <row r="154" spans="9:11" x14ac:dyDescent="0.2">
      <c r="J154" s="37" t="s">
        <v>2495</v>
      </c>
    </row>
    <row r="155" spans="9:11" x14ac:dyDescent="0.2">
      <c r="I155" s="38" t="s">
        <v>4301</v>
      </c>
      <c r="J155" s="714" t="str">
        <f>A30</f>
        <v>c16.30</v>
      </c>
      <c r="K155" s="735">
        <f>IF(OR(H88=0,K107=0,NIC_exempt),0,IF(AND(K125&gt;0,K125&gt;(K110+K189+(H88*NIC_rate))),K125,IF(AND(K125&gt;0,K125&lt;=(K110+K189+(H88*NIC_rate))),(K125+K137+K140),IF(K116-(K110+K189)&lt;0,(K125+K137+K140),0))))</f>
        <v>810.48</v>
      </c>
    </row>
    <row r="158" spans="9:11" x14ac:dyDescent="0.2">
      <c r="J158" s="37" t="str">
        <f>"If "&amp;J107&amp;" &gt; 0 (zero)"</f>
        <v>If c16.20 &gt; 0 (zero)</v>
      </c>
    </row>
    <row r="159" spans="9:11" x14ac:dyDescent="0.2">
      <c r="J159" s="36" t="str">
        <f>J163&amp;" = Lower of "&amp;J100&amp;" and "&amp;J155</f>
        <v>c16.31 = Lower of c16.19 and c16.30</v>
      </c>
    </row>
    <row r="160" spans="9:11" x14ac:dyDescent="0.2">
      <c r="J160" s="37" t="s">
        <v>2386</v>
      </c>
    </row>
    <row r="161" spans="2:14" x14ac:dyDescent="0.2">
      <c r="J161" s="37" t="str">
        <f>J163&amp;" = "&amp;J100</f>
        <v>c16.31 = c16.19</v>
      </c>
    </row>
    <row r="162" spans="2:14" x14ac:dyDescent="0.2">
      <c r="J162" s="37" t="s">
        <v>2495</v>
      </c>
    </row>
    <row r="163" spans="2:14" x14ac:dyDescent="0.2">
      <c r="I163" s="38" t="s">
        <v>4302</v>
      </c>
      <c r="J163" s="714" t="str">
        <f>A31</f>
        <v>c16.31</v>
      </c>
      <c r="K163" s="735">
        <f>IF(NIC_exempt,0,IF(K107&gt;0,MIN(K100,K155),K100))</f>
        <v>500.22</v>
      </c>
    </row>
    <row r="164" spans="2:14" x14ac:dyDescent="0.2">
      <c r="K164" s="38" t="str">
        <f>"copy to box "&amp;'Tax due (c12)'!F8</f>
        <v>copy to box c12.2</v>
      </c>
    </row>
    <row ht="12.75" r="166" spans="2:14" x14ac:dyDescent="0.2">
      <c r="C166" s="7"/>
      <c r="D166" s="7"/>
      <c r="E166" s="7"/>
      <c r="F166" s="7"/>
      <c r="G166" s="1189" t="s">
        <v>5844</v>
      </c>
    </row>
    <row ht="12.75" r="167" spans="2:14" x14ac:dyDescent="0.2">
      <c r="C167" s="7"/>
      <c r="D167" s="7"/>
      <c r="E167" s="7"/>
      <c r="F167" s="1189" t="s">
        <v>5844</v>
      </c>
      <c r="G167" s="7"/>
    </row>
    <row ht="12.75" r="168" spans="2:14" x14ac:dyDescent="0.2">
      <c r="C168" s="7"/>
      <c r="D168" s="7"/>
      <c r="E168" s="4368"/>
      <c r="F168" s="1198"/>
      <c r="G168" s="7"/>
    </row>
    <row ht="12.75" r="169" spans="2:14" x14ac:dyDescent="0.2">
      <c r="C169" s="7"/>
      <c r="D169" s="4368"/>
      <c r="E169" s="7"/>
      <c r="F169" s="1198"/>
      <c r="G169" s="7"/>
    </row>
    <row ht="12.75" r="170" spans="2:14" x14ac:dyDescent="0.2">
      <c r="C170" s="1189" t="s">
        <v>5844</v>
      </c>
      <c r="D170" s="7"/>
      <c r="E170" s="7"/>
      <c r="F170" s="7"/>
      <c r="G170" s="7"/>
    </row>
    <row ht="12.75" r="171" spans="2:14" x14ac:dyDescent="0.2">
      <c r="C171" s="7"/>
    </row>
    <row r="172" spans="2:14" x14ac:dyDescent="0.2">
      <c r="B172" s="685"/>
      <c r="C172" s="685"/>
      <c r="D172" s="685"/>
      <c r="E172" s="685"/>
      <c r="F172" s="685"/>
      <c r="G172" s="685"/>
      <c r="H172" s="685"/>
      <c r="I172" s="685"/>
      <c r="J172" s="685"/>
      <c r="K172" s="685"/>
      <c r="L172" s="685"/>
    </row>
    <row r="173" spans="2:14" x14ac:dyDescent="0.2">
      <c r="B173" s="121"/>
      <c r="C173" s="121"/>
      <c r="D173" s="121"/>
      <c r="E173" s="121"/>
      <c r="F173" s="121"/>
      <c r="G173" s="121"/>
      <c r="H173" s="121"/>
      <c r="I173" s="121"/>
      <c r="J173" s="121"/>
      <c r="K173" s="121"/>
      <c r="L173" s="121"/>
    </row>
    <row r="174" spans="2:14" x14ac:dyDescent="0.2">
      <c r="B174" s="51" t="s">
        <v>4264</v>
      </c>
    </row>
    <row r="175" spans="2:14" x14ac:dyDescent="0.2">
      <c r="B175" s="1199" t="s">
        <v>5853</v>
      </c>
      <c r="M175" s="974"/>
      <c r="N175" s="974"/>
    </row>
    <row ht="12.75" r="176" spans="2:14" x14ac:dyDescent="0.2">
      <c r="B176" s="979" t="s">
        <v>5848</v>
      </c>
      <c r="M176" s="974"/>
      <c r="N176" s="974"/>
    </row>
    <row ht="12.75" r="177" spans="2:19" x14ac:dyDescent="0.2">
      <c r="B177" s="979" t="s">
        <v>5849</v>
      </c>
    </row>
    <row ht="12.75" r="178" spans="2:19" x14ac:dyDescent="0.2">
      <c r="B178" s="979" t="s">
        <v>5850</v>
      </c>
      <c r="M178" s="974"/>
      <c r="N178" s="974"/>
    </row>
    <row ht="12.75" r="179" spans="2:19" x14ac:dyDescent="0.2">
      <c r="B179" s="979" t="s">
        <v>5851</v>
      </c>
    </row>
    <row ht="12.75" r="180" spans="2:19" x14ac:dyDescent="0.2">
      <c r="B180" s="979" t="s">
        <v>5852</v>
      </c>
    </row>
    <row r="182" spans="2:19" x14ac:dyDescent="0.2">
      <c r="J182" s="37" t="str">
        <f><![CDATA["if "&G85&" >= NIC2_SPT ("&DOLLAR(NIC2_SPT,0)&") and ("&SSE&SE!C14&" = N and "&FSE&SE!G26&" = N and "&LUN&LUN!K13&" = N and "&SPS&PS!C19&" = N and "&FPS&PS!G13&" = N) or"]]></f>
        <v>if c16.12 &gt;= NIC2_SPT ($6,365) and (SSE36 = N and FSE100 = N and LUN63 = N and SPS25 = N and FPS25 = N) or</v>
      </c>
      <c r="K182" s="2324"/>
      <c r="L182" s="2324"/>
    </row>
    <row r="183" spans="2:19" x14ac:dyDescent="0.2">
      <c r="J183" s="37" t="str">
        <f><![CDATA["if "&G85&" < NIC2_SPT ("&DOLLAR(NIC2_SPT,0)&") and if ("&SSE&SE!C14&" = Y or "&FSE&SE!G26&" = Y or "&LUN&LUN!K13&" = Y or "&SPS&PS!C19&" = Y or "&FPS&PS!G13&" = Y)"]]></f>
        <v>if c16.12 &lt; NIC2_SPT ($6,365) and if (SSE36 = Y or FSE100 = Y or LUN63 = Y or SPS25 = Y or FPS25 = Y)</v>
      </c>
      <c r="K183" s="2324"/>
      <c r="L183" s="2324"/>
      <c r="P183" s="974"/>
      <c r="Q183" s="974"/>
      <c r="R183" s="974"/>
      <c r="S183" s="974"/>
    </row>
    <row r="184" spans="2:19" x14ac:dyDescent="0.2">
      <c r="J184" s="37" t="str">
        <f>J189&amp;" = box NI"&amp;NI!C11</f>
        <v>c16.32 = box NICL2</v>
      </c>
      <c r="P184" s="974"/>
      <c r="Q184" s="974"/>
      <c r="R184" s="974"/>
      <c r="S184" s="974"/>
    </row>
    <row r="185" spans="2:19" x14ac:dyDescent="0.2">
      <c r="J185" s="37" t="s">
        <v>2386</v>
      </c>
    </row>
    <row r="186" spans="2:19" x14ac:dyDescent="0.2">
      <c r="J186" s="37" t="str">
        <f>J189&amp;" = 0 (zero)"</f>
        <v>c16.32 = 0 (zero)</v>
      </c>
      <c r="O186" s="974"/>
      <c r="P186" s="974"/>
    </row>
    <row r="187" spans="2:19" x14ac:dyDescent="0.2">
      <c r="J187" s="84" t="s">
        <v>2495</v>
      </c>
      <c r="O187" s="974"/>
    </row>
    <row r="188" spans="2:19" x14ac:dyDescent="0.2">
      <c r="J188" s="1078" t="s">
        <v>2495</v>
      </c>
    </row>
    <row r="189" spans="2:19" x14ac:dyDescent="0.2">
      <c r="B189" s="1026" t="s">
        <v>4265</v>
      </c>
      <c r="J189" s="714" t="str">
        <f>A32</f>
        <v>c16.32</v>
      </c>
      <c r="K189" s="735">
        <f>IF(NI!D12="",0,IF(AND(H85&gt;=NIC2_SPT,NIC2_voluntary="FALSE"),MIN(NIC2SF_annual_limit,NI!D12),IF(AND(H85&lt;NIC2_SPT,NIC2_voluntary="TRUE"),MIN(NIC2SF_annual_limit,NI!D12),0)))</f>
        <v>117</v>
      </c>
      <c r="O189" s="974"/>
    </row>
    <row r="190" spans="2:19" x14ac:dyDescent="0.2">
      <c r="K190" s="38" t="str">
        <f>"copy to box "&amp;'Tax due (c12)'!F16</f>
        <v>copy to box c12.3</v>
      </c>
    </row>
  </sheetData>
  <phoneticPr fontId="67" type="noConversion"/>
  <pageMargins bottom="0.19685039370078741" footer="0" header="0" left="0.19685039370078741" right="0.19685039370078741" top="0.19685039370078741"/>
  <pageSetup orientation="portrait" paperSize="9" r:id="rId1"/>
  <headerFooter alignWithMargins="0"/>
</worksheet>
</file>

<file path=xl/worksheets/sheet76.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B00-000000000000}">
  <sheetPr codeName="Sheet6">
    <tabColor rgb="FFFFFF00"/>
  </sheetPr>
  <dimension ref="A1:AI242"/>
  <sheetViews>
    <sheetView showGridLines="0" topLeftCell="B205" workbookViewId="0" zoomScaleNormal="100">
      <selection activeCell="S234" sqref="S234"/>
    </sheetView>
  </sheetViews>
  <sheetFormatPr defaultColWidth="8.85546875" defaultRowHeight="12" x14ac:dyDescent="0.2"/>
  <cols>
    <col min="1" max="1" customWidth="true" hidden="true" style="37" width="4.85546875" collapsed="true"/>
    <col min="2" max="2" customWidth="true" style="121" width="2.85546875" collapsed="true"/>
    <col min="3" max="3" customWidth="true" style="121" width="17.0" collapsed="true"/>
    <col min="4" max="4" customWidth="true" style="121" width="6.7109375" collapsed="true"/>
    <col min="5" max="5" customWidth="true" style="121" width="7.140625" collapsed="true"/>
    <col min="6" max="6" customWidth="true" style="121" width="13.7109375" collapsed="true"/>
    <col min="7" max="7" customWidth="true" style="121" width="2.7109375" collapsed="true"/>
    <col min="8" max="8" customWidth="true" style="121" width="5.7109375" collapsed="true"/>
    <col min="9" max="9" customWidth="true" style="121" width="2.7109375" collapsed="true"/>
    <col min="10" max="11" customWidth="true" style="121" width="6.42578125" collapsed="true"/>
    <col min="12" max="12" customWidth="true" style="121" width="7.5703125" collapsed="true"/>
    <col min="13" max="13" customWidth="true" style="121" width="13.7109375" collapsed="true"/>
    <col min="14" max="14" customWidth="true" style="121" width="6.28515625" collapsed="true"/>
    <col min="15" max="15" bestFit="true" customWidth="true" style="121" width="6.28515625" collapsed="true"/>
    <col min="16" max="16" customWidth="true" style="121" width="7.42578125" collapsed="true"/>
    <col min="17" max="17" customWidth="true" style="121" width="13.7109375" collapsed="true"/>
    <col min="18" max="18" customWidth="true" style="121" width="4.85546875" collapsed="true"/>
    <col min="19" max="19" style="121" width="8.85546875" collapsed="true"/>
    <col min="20" max="20" customWidth="true" style="121" width="8.42578125" collapsed="true"/>
    <col min="21" max="21" customWidth="true" style="121" width="12.85546875" collapsed="true"/>
    <col min="22" max="22" customWidth="true" style="121" width="1.42578125" collapsed="true"/>
    <col min="23" max="23" customWidth="true" style="121" width="2.5703125" collapsed="true"/>
    <col min="24" max="24" style="121" width="8.85546875" collapsed="true"/>
    <col min="25" max="26" customWidth="true" style="121" width="4.7109375" collapsed="true"/>
    <col min="27" max="27" style="121" width="8.85546875" collapsed="true"/>
    <col min="28" max="29" customWidth="true" style="121" width="4.7109375" collapsed="true"/>
    <col min="30" max="30" customWidth="true" style="121" width="3.7109375" collapsed="true"/>
    <col min="31" max="31" customWidth="true" style="121" width="5.7109375" collapsed="true"/>
    <col min="32" max="16384" style="121" width="8.85546875" collapsed="true"/>
  </cols>
  <sheetData>
    <row ht="18" r="1" spans="1:19" x14ac:dyDescent="0.25">
      <c r="A1" s="37" t="s">
        <v>3671</v>
      </c>
      <c r="B1" s="2726" t="s">
        <v>4418</v>
      </c>
      <c r="C1" s="37"/>
      <c r="D1" s="37"/>
      <c r="E1" s="37"/>
      <c r="F1" s="37"/>
      <c r="G1" s="37"/>
      <c r="O1" s="37"/>
      <c r="P1" s="37"/>
      <c r="Q1" s="38"/>
      <c r="R1" s="37"/>
    </row>
    <row r="2" spans="1:19" x14ac:dyDescent="0.2">
      <c r="A2" s="37" t="s">
        <v>3672</v>
      </c>
      <c r="H2" s="2939" t="s">
        <v>7394</v>
      </c>
      <c r="I2" s="2940"/>
      <c r="J2" s="2940"/>
      <c r="K2" s="2940"/>
      <c r="L2" s="2940"/>
      <c r="M2" s="2940"/>
      <c r="N2" s="2941"/>
    </row>
    <row r="3" spans="1:19" x14ac:dyDescent="0.2">
      <c r="A3" s="37" t="s">
        <v>986</v>
      </c>
    </row>
    <row r="4" spans="1:19" x14ac:dyDescent="0.2">
      <c r="A4" s="37" t="s">
        <v>987</v>
      </c>
      <c r="B4" s="2140"/>
    </row>
    <row r="5" spans="1:19" x14ac:dyDescent="0.2">
      <c r="A5" s="37" t="s">
        <v>988</v>
      </c>
      <c r="B5" s="2138" t="s">
        <v>6476</v>
      </c>
    </row>
    <row r="6" spans="1:19" x14ac:dyDescent="0.2">
      <c r="A6" s="37" t="s">
        <v>989</v>
      </c>
      <c r="B6" s="2138" t="s">
        <v>7049</v>
      </c>
    </row>
    <row r="7" spans="1:19" x14ac:dyDescent="0.2">
      <c r="A7" s="37" t="s">
        <v>990</v>
      </c>
      <c r="B7" s="2139" t="s">
        <v>7050</v>
      </c>
    </row>
    <row r="8" spans="1:19" x14ac:dyDescent="0.2">
      <c r="A8" s="37" t="s">
        <v>898</v>
      </c>
      <c r="B8" s="2140"/>
    </row>
    <row r="9" spans="1:19" x14ac:dyDescent="0.2">
      <c r="A9" s="37" t="s">
        <v>899</v>
      </c>
      <c r="B9" s="2674" t="s">
        <v>6479</v>
      </c>
    </row>
    <row r="10" spans="1:19" x14ac:dyDescent="0.2">
      <c r="A10" s="37" t="s">
        <v>3660</v>
      </c>
      <c r="B10" s="2674" t="s">
        <v>6480</v>
      </c>
    </row>
    <row r="11" spans="1:19" x14ac:dyDescent="0.2">
      <c r="A11" s="37" t="s">
        <v>3661</v>
      </c>
      <c r="B11" s="2765" t="s">
        <v>6481</v>
      </c>
    </row>
    <row r="12" spans="1:19" x14ac:dyDescent="0.2">
      <c r="A12" s="37" t="s">
        <v>3662</v>
      </c>
    </row>
    <row r="13" spans="1:19" x14ac:dyDescent="0.2">
      <c r="A13" s="37" t="s">
        <v>115</v>
      </c>
    </row>
    <row r="14" spans="1:19" x14ac:dyDescent="0.2">
      <c r="A14" s="37" t="s">
        <v>116</v>
      </c>
    </row>
    <row customHeight="1" ht="33.75" r="15" spans="1:19" x14ac:dyDescent="0.2">
      <c r="A15" s="37" t="s">
        <v>117</v>
      </c>
      <c r="B15" s="4542" t="s">
        <v>4414</v>
      </c>
      <c r="C15" s="4542"/>
      <c r="D15" s="4542"/>
      <c r="E15" s="4542"/>
      <c r="F15" s="4542"/>
      <c r="G15" s="4542"/>
      <c r="H15" s="4542"/>
      <c r="I15" s="4542"/>
      <c r="J15" s="4542"/>
      <c r="K15" s="4542"/>
      <c r="L15" s="4542"/>
      <c r="M15" s="4542"/>
      <c r="N15" s="4542"/>
      <c r="O15" s="4542"/>
      <c r="P15" s="4542"/>
      <c r="Q15" s="4542"/>
      <c r="R15" s="4542"/>
      <c r="S15" s="4542"/>
    </row>
    <row r="16" spans="1:19" x14ac:dyDescent="0.2">
      <c r="A16" s="37" t="s">
        <v>118</v>
      </c>
      <c r="R16" s="37"/>
    </row>
    <row customHeight="1" ht="26.25" r="17" spans="1:23" x14ac:dyDescent="0.2">
      <c r="A17" s="37" t="s">
        <v>119</v>
      </c>
      <c r="B17" s="4542" t="s">
        <v>4415</v>
      </c>
      <c r="C17" s="4542"/>
      <c r="D17" s="4542"/>
      <c r="E17" s="4542"/>
      <c r="F17" s="4542"/>
      <c r="G17" s="4542"/>
      <c r="H17" s="4542"/>
      <c r="I17" s="4542"/>
      <c r="J17" s="4542"/>
      <c r="K17" s="4542"/>
      <c r="L17" s="4542"/>
      <c r="M17" s="4542"/>
      <c r="N17" s="4542"/>
      <c r="O17" s="4542"/>
      <c r="P17" s="4542"/>
      <c r="Q17" s="4542"/>
      <c r="R17" s="4542"/>
      <c r="S17" s="4542"/>
    </row>
    <row r="18" spans="1:23" x14ac:dyDescent="0.2">
      <c r="A18" s="37" t="s">
        <v>120</v>
      </c>
      <c r="R18" s="37"/>
    </row>
    <row ht="12.75" r="19" spans="1:23" x14ac:dyDescent="0.2">
      <c r="A19" s="37" t="s">
        <v>3560</v>
      </c>
      <c r="B19" s="979" t="s">
        <v>4416</v>
      </c>
      <c r="R19" s="37"/>
    </row>
    <row ht="12.75" r="20" spans="1:23" x14ac:dyDescent="0.2">
      <c r="A20" s="37" t="s">
        <v>3561</v>
      </c>
      <c r="B20" s="1196" t="str">
        <f>P77&amp;" &gt; 0 or"</f>
        <v>c17.20 &gt; 0 or</v>
      </c>
      <c r="R20" s="37"/>
    </row>
    <row ht="12.75" r="21" spans="1:23" x14ac:dyDescent="0.2">
      <c r="A21" s="37" t="s">
        <v>3562</v>
      </c>
      <c r="B21" s="1196" t="str">
        <f><![CDATA["If boxes (("&CGT&CGT!C4&" + "&CGT&CGT!C14&" + "&CGT&CGT!C24&" + "&CGT&CGT!C31&") minus (("&CGT&CGT!C7&" + "&CGT&CGT!G14&" + "&CGT&CGT!G24&" + "&CGT&CGT!C34&") minus ("&CGT&CGT!C37&" + "&CGT&CGT!G40&"))"&" + "&CGT&CGT!P18&" + (("&CGT&CGT!L26&" + "&CGT&CGT!L34&") minus "&CGT&CGT!P34&") is greater than zero) or"]]></f>
        <v>If boxes ((CGT6 + CGT17 + CGT26 + CGT34) minus ((CGT7 + CGT19 + CGT27 + CGT35) minus (CGT41 + CGT43)) + CGT52 + ((CGT52.1 + CGT52.2) minus CGT52.5) is greater than zero) or</v>
      </c>
      <c r="C21" s="1057"/>
      <c r="O21" s="3291"/>
      <c r="P21" s="3291"/>
      <c r="Q21" s="3291"/>
      <c r="R21" s="3331"/>
      <c r="S21" s="3291"/>
    </row>
    <row ht="12.75" r="22" spans="1:23" x14ac:dyDescent="0.2">
      <c r="A22" s="37" t="s">
        <v>3563</v>
      </c>
      <c r="B22" s="1196" t="str">
        <f>CGT&amp;CGT!L18&amp;" is not zero or Null or (box "&amp;CGT&amp;CGT!C17&amp;" is not zero or null)"</f>
        <v>CGT51 is not zero or Null or (box CGT18 is not zero or null)</v>
      </c>
      <c r="R22" s="37"/>
    </row>
    <row ht="12.75" r="23" spans="1:23" x14ac:dyDescent="0.2">
      <c r="A23" s="37" t="s">
        <v>6928</v>
      </c>
      <c r="B23" s="779" t="s">
        <v>4417</v>
      </c>
      <c r="R23" s="37"/>
      <c r="T23" s="37"/>
      <c r="U23" s="37"/>
      <c r="V23" s="37"/>
      <c r="W23" s="37"/>
    </row>
    <row ht="12.75" r="24" spans="1:23" x14ac:dyDescent="0.2">
      <c r="A24" s="37" t="s">
        <v>6929</v>
      </c>
      <c r="B24" s="1196" t="str">
        <f><![CDATA["("&FOR&FOR!K39&" > 0 with "&FOR&FOR!O33&" absent, or"]]></f>
        <v>(FOR43 &gt; 0 with FOR44 absent, or</v>
      </c>
      <c r="R24" s="37"/>
    </row>
    <row ht="12.75" r="25" spans="1:23" x14ac:dyDescent="0.2">
      <c r="A25" s="37" t="s">
        <v>6930</v>
      </c>
      <c r="B25" s="1196" t="str">
        <f>AOI&amp;AOI!C13&amp;" &gt; 0 with "&amp;AOI&amp;AOI!C16&amp;" absent, or"</f>
        <v>AOI4 &gt; 0 with AOI5 absent, or</v>
      </c>
      <c r="R25" s="37"/>
    </row>
    <row ht="12.75" r="26" spans="1:23" x14ac:dyDescent="0.2">
      <c r="A26" s="37" t="s">
        <v>6931</v>
      </c>
      <c r="B26" s="1196" t="str">
        <f>AOI&amp;AOI!C19&amp;" &gt; 0 with "&amp;AOI&amp;AOI!C22&amp;" absent, or"</f>
        <v>AOI6 &gt; 0 with AOI7 absent, or</v>
      </c>
      <c r="R26" s="37"/>
    </row>
    <row ht="12.75" r="27" spans="1:23" x14ac:dyDescent="0.2">
      <c r="A27" s="37" t="s">
        <v>6932</v>
      </c>
      <c r="B27" s="1196" t="str">
        <f>AOI&amp;AOI!G13&amp;" &gt; 0 with "&amp;AOI&amp;AOI!G16&amp;" absent)"</f>
        <v>AOI8 &gt; 0 with AOI9 absent)</v>
      </c>
      <c r="R27" s="37"/>
    </row>
    <row r="28" spans="1:23" x14ac:dyDescent="0.2">
      <c r="A28" s="37" t="s">
        <v>6933</v>
      </c>
      <c r="R28" s="37"/>
    </row>
    <row r="29" spans="1:23" x14ac:dyDescent="0.2">
      <c r="A29" s="37" t="s">
        <v>6934</v>
      </c>
      <c r="B29" s="121" t="str">
        <f><![CDATA["If ("&FOR&FOR!K39&" + "&AOI&AOI!C13&" + "&AOI&AOI!C19&" + "&AOI&AOI!G13&") is greater than 0 (zero)"]]></f>
        <v>If (FOR43 + AOI4 + AOI6 + AOI8) is greater than 0 (zero)</v>
      </c>
      <c r="R29" s="37"/>
    </row>
    <row r="30" spans="1:23" x14ac:dyDescent="0.2">
      <c r="A30" s="37" t="s">
        <v>6935</v>
      </c>
      <c r="B30" s="1945" t="s">
        <v>7770</v>
      </c>
      <c r="C30" s="1945"/>
      <c r="R30" s="37"/>
    </row>
    <row r="31" spans="1:23" x14ac:dyDescent="0.2">
      <c r="A31" s="37" t="s">
        <v>6936</v>
      </c>
      <c r="B31" s="2766" t="s">
        <v>4413</v>
      </c>
      <c r="I31" s="37"/>
      <c r="J31" s="37"/>
      <c r="K31" s="37"/>
      <c r="N31" s="37"/>
      <c r="O31" s="37"/>
      <c r="P31" s="37"/>
      <c r="Q31" s="37"/>
      <c r="R31" s="37"/>
    </row>
    <row r="32" spans="1:23" x14ac:dyDescent="0.2">
      <c r="A32" s="37" t="s">
        <v>6937</v>
      </c>
      <c r="B32" s="1021"/>
      <c r="I32" s="37"/>
      <c r="J32" s="37"/>
      <c r="K32" s="37"/>
      <c r="M32" s="93"/>
      <c r="N32" s="37"/>
      <c r="O32" s="37"/>
      <c r="P32" s="37"/>
      <c r="Q32" s="37"/>
      <c r="R32" s="37"/>
    </row>
    <row r="33" spans="1:18" x14ac:dyDescent="0.2">
      <c r="A33" s="37" t="s">
        <v>6938</v>
      </c>
      <c r="B33" s="37"/>
      <c r="I33" s="37"/>
      <c r="M33" s="93"/>
      <c r="Q33" s="37"/>
      <c r="R33" s="37"/>
    </row>
    <row r="34" spans="1:18" x14ac:dyDescent="0.2">
      <c r="A34" s="37" t="s">
        <v>3564</v>
      </c>
    </row>
    <row r="35" spans="1:18" x14ac:dyDescent="0.2">
      <c r="A35" s="37" t="s">
        <v>6723</v>
      </c>
      <c r="L35" s="37"/>
      <c r="M35" s="38"/>
    </row>
    <row r="36" spans="1:18" x14ac:dyDescent="0.2">
      <c r="A36" s="37" t="s">
        <v>6724</v>
      </c>
      <c r="M36" s="1958" t="str">
        <f>"from "&amp;'Divs (c3)'!G70</f>
        <v>from c3.21</v>
      </c>
    </row>
    <row r="37" spans="1:18" x14ac:dyDescent="0.2">
      <c r="A37" s="37" t="s">
        <v>7372</v>
      </c>
      <c r="J37" s="37"/>
      <c r="K37" s="38" t="s">
        <v>5836</v>
      </c>
      <c r="L37" s="714" t="str">
        <f>A1</f>
        <v>c17.1</v>
      </c>
      <c r="M37" s="392">
        <f>'Divs (c3)'!H70</f>
        <v>63872</v>
      </c>
    </row>
    <row r="38" spans="1:18" x14ac:dyDescent="0.2">
      <c r="A38" s="37" t="s">
        <v>7373</v>
      </c>
    </row>
    <row r="39" spans="1:18" x14ac:dyDescent="0.2">
      <c r="A39" s="37" t="s">
        <v>3565</v>
      </c>
      <c r="B39" s="2766" t="s">
        <v>7051</v>
      </c>
      <c r="G39" s="37"/>
      <c r="L39" s="684"/>
      <c r="Q39" s="37"/>
      <c r="R39" s="37"/>
    </row>
    <row r="40" spans="1:18" x14ac:dyDescent="0.2">
      <c r="A40" s="37" t="s">
        <v>6725</v>
      </c>
      <c r="B40" s="37"/>
      <c r="F40" s="38" t="str">
        <f>"from "&amp;'NS income (c1)'!I153</f>
        <v>from c1.58</v>
      </c>
      <c r="L40" s="709"/>
      <c r="M40" s="394"/>
      <c r="Q40" s="37"/>
      <c r="R40" s="37"/>
    </row>
    <row r="41" spans="1:18" x14ac:dyDescent="0.2">
      <c r="A41" s="37" t="s">
        <v>2109</v>
      </c>
      <c r="B41" s="37"/>
      <c r="C41" s="36" t="s">
        <v>1795</v>
      </c>
      <c r="E41" s="714" t="str">
        <f>A2</f>
        <v>c17.2</v>
      </c>
      <c r="F41" s="392">
        <f>'NS income (c1)'!J153</f>
        <v>0</v>
      </c>
      <c r="L41" s="684"/>
      <c r="Q41" s="37"/>
      <c r="R41" s="37"/>
    </row>
    <row r="42" spans="1:18" x14ac:dyDescent="0.2">
      <c r="A42" s="37" t="s">
        <v>6726</v>
      </c>
      <c r="B42" s="37"/>
      <c r="R42" s="37"/>
    </row>
    <row r="43" spans="1:18" x14ac:dyDescent="0.2">
      <c r="A43" s="37" t="s">
        <v>6727</v>
      </c>
      <c r="B43" s="37"/>
      <c r="C43" s="36" t="s">
        <v>4122</v>
      </c>
      <c r="D43" s="38"/>
      <c r="E43" s="682"/>
      <c r="F43" s="751" t="str">
        <f>"from "&amp;PRO&amp;PRO!G21</f>
        <v>from PRO22</v>
      </c>
      <c r="G43" s="38"/>
      <c r="L43" s="688"/>
      <c r="M43" s="38" t="str">
        <f>E41&amp;" + "&amp;E44</f>
        <v>c17.2 + c17.3</v>
      </c>
      <c r="Q43" s="37"/>
      <c r="R43" s="37"/>
    </row>
    <row r="44" spans="1:18" x14ac:dyDescent="0.2">
      <c r="A44" s="37" t="s">
        <v>2110</v>
      </c>
      <c r="B44" s="37"/>
      <c r="C44" s="121" t="s">
        <v>4123</v>
      </c>
      <c r="E44" s="917" t="str">
        <f>A3</f>
        <v>c17.3</v>
      </c>
      <c r="F44" s="107">
        <f>TRUNC(PRO!H22,0)</f>
        <v>0</v>
      </c>
      <c r="G44" s="932" t="s">
        <v>1743</v>
      </c>
      <c r="L44" s="714" t="str">
        <f>A4</f>
        <v>c17.4</v>
      </c>
      <c r="M44" s="105">
        <f>F41+F44</f>
        <v>0</v>
      </c>
      <c r="Q44" s="37"/>
      <c r="R44" s="37"/>
    </row>
    <row r="45" spans="1:18" x14ac:dyDescent="0.2">
      <c r="A45" s="37" t="s">
        <v>2111</v>
      </c>
      <c r="B45" s="37"/>
      <c r="D45" s="373"/>
      <c r="E45" s="688"/>
      <c r="F45" s="373"/>
      <c r="G45" s="373"/>
      <c r="L45" s="684"/>
      <c r="M45" s="106"/>
      <c r="Q45" s="37"/>
      <c r="R45" s="37"/>
    </row>
    <row r="46" spans="1:18" x14ac:dyDescent="0.2">
      <c r="A46" s="37" t="s">
        <v>6737</v>
      </c>
      <c r="B46" s="37"/>
      <c r="D46" s="373"/>
      <c r="E46" s="684"/>
      <c r="G46" s="373"/>
      <c r="L46" s="684"/>
      <c r="M46" s="106" t="str">
        <f>L37&amp;" minus "&amp;L44</f>
        <v>c17.1 minus c17.4</v>
      </c>
      <c r="Q46" s="37"/>
      <c r="R46" s="37"/>
    </row>
    <row r="47" spans="1:18" x14ac:dyDescent="0.2">
      <c r="A47" s="37" t="s">
        <v>2112</v>
      </c>
      <c r="B47" s="37"/>
      <c r="E47" s="684"/>
      <c r="L47" s="714" t="str">
        <f>A5</f>
        <v>c17.5</v>
      </c>
      <c r="M47" s="392">
        <f>MAX(0,M37-M44)</f>
        <v>63872</v>
      </c>
      <c r="Q47" s="37"/>
      <c r="R47" s="37"/>
    </row>
    <row r="48" spans="1:18" x14ac:dyDescent="0.2">
      <c r="A48" s="37" t="s">
        <v>6738</v>
      </c>
      <c r="B48" s="37"/>
      <c r="C48" s="36" t="s">
        <v>2421</v>
      </c>
      <c r="D48" s="37"/>
      <c r="E48" s="3473"/>
      <c r="F48" s="1958" t="str">
        <f>'Deductions (c4)'!L287&amp;" minus "&amp;'Deductions (c4)'!H227</f>
        <v>c4.70 minus c4.63b</v>
      </c>
      <c r="L48" s="684"/>
      <c r="Q48" s="37"/>
      <c r="R48" s="37"/>
    </row>
    <row r="49" spans="1:18" x14ac:dyDescent="0.2">
      <c r="A49" s="37" t="s">
        <v>3975</v>
      </c>
      <c r="B49" s="37"/>
      <c r="C49" s="121" t="s">
        <v>2422</v>
      </c>
      <c r="E49" s="714" t="str">
        <f>A6</f>
        <v>c17.6</v>
      </c>
      <c r="F49" s="392">
        <f>MAX(0,'Deductions (c4)'!M287-'Deductions (c4)'!I227)</f>
        <v>13700</v>
      </c>
      <c r="L49" s="684"/>
      <c r="Q49" s="37"/>
      <c r="R49" s="37"/>
    </row>
    <row r="50" spans="1:18" x14ac:dyDescent="0.2">
      <c r="A50" s="37" t="s">
        <v>3976</v>
      </c>
      <c r="B50" s="37"/>
      <c r="E50" s="684"/>
      <c r="L50" s="684"/>
      <c r="Q50" s="37"/>
      <c r="R50" s="37"/>
    </row>
    <row r="51" spans="1:18" x14ac:dyDescent="0.2">
      <c r="A51" s="37" t="s">
        <v>3977</v>
      </c>
      <c r="E51" s="684"/>
      <c r="F51" s="38" t="str">
        <f>"from "&amp;'Deductions (c4)'!H177</f>
        <v>from c4.49</v>
      </c>
      <c r="L51" s="682"/>
      <c r="M51" s="106" t="str">
        <f>E49&amp;" minus "&amp;E52</f>
        <v>c17.6 minus c17.7</v>
      </c>
    </row>
    <row r="52" spans="1:18" x14ac:dyDescent="0.2">
      <c r="A52" s="37" t="s">
        <v>3978</v>
      </c>
      <c r="C52" s="121" t="s">
        <v>2423</v>
      </c>
      <c r="E52" s="714" t="str">
        <f>A7</f>
        <v>c17.7</v>
      </c>
      <c r="F52" s="392">
        <f>'Deductions (c4)'!I177</f>
        <v>0</v>
      </c>
      <c r="L52" s="714" t="str">
        <f>A8</f>
        <v>c17.8</v>
      </c>
      <c r="M52" s="392">
        <f>MAX(0,F49-F52)</f>
        <v>13700</v>
      </c>
    </row>
    <row r="53" spans="1:18" x14ac:dyDescent="0.2">
      <c r="A53" s="37" t="s">
        <v>3979</v>
      </c>
    </row>
    <row r="54" spans="1:18" x14ac:dyDescent="0.2">
      <c r="A54" s="37" t="s">
        <v>3980</v>
      </c>
      <c r="B54" s="37"/>
      <c r="L54" s="684"/>
      <c r="M54" s="106" t="str">
        <f>L47&amp;" minus "&amp;L52</f>
        <v>c17.5 minus c17.8</v>
      </c>
      <c r="Q54" s="37"/>
      <c r="R54" s="37"/>
    </row>
    <row r="55" spans="1:18" x14ac:dyDescent="0.2">
      <c r="A55" s="37" t="s">
        <v>3981</v>
      </c>
      <c r="B55" s="37"/>
      <c r="K55" s="93" t="s">
        <v>1660</v>
      </c>
      <c r="L55" s="714" t="str">
        <f>A9</f>
        <v>c17.9</v>
      </c>
      <c r="M55" s="392">
        <f>MAX(0,M47-M52)</f>
        <v>50172</v>
      </c>
      <c r="Q55" s="37"/>
      <c r="R55" s="37"/>
    </row>
    <row r="56" spans="1:18" x14ac:dyDescent="0.2">
      <c r="A56" s="37" t="s">
        <v>3982</v>
      </c>
    </row>
    <row r="57" spans="1:18" x14ac:dyDescent="0.2">
      <c r="A57" s="37" t="s">
        <v>3983</v>
      </c>
      <c r="B57" s="37"/>
      <c r="C57" s="1020" t="s">
        <v>1659</v>
      </c>
      <c r="D57" s="38"/>
      <c r="E57" s="684"/>
      <c r="Q57" s="37"/>
      <c r="R57" s="37"/>
    </row>
    <row r="58" spans="1:18" x14ac:dyDescent="0.2">
      <c r="A58" s="37" t="s">
        <v>3984</v>
      </c>
      <c r="C58" s="121" t="s">
        <v>5871</v>
      </c>
    </row>
    <row r="59" spans="1:18" x14ac:dyDescent="0.2">
      <c r="A59" s="37" t="s">
        <v>6728</v>
      </c>
      <c r="B59" s="37"/>
      <c r="E59" s="684"/>
      <c r="F59" s="2325" t="str">
        <f>"BR_band ("&amp;DOLLAR(BR_band,0)&amp;")"</f>
        <v>BR_band ($37,500)</v>
      </c>
      <c r="Q59" s="37"/>
      <c r="R59" s="37"/>
    </row>
    <row r="60" spans="1:18" x14ac:dyDescent="0.2">
      <c r="A60" s="37" t="s">
        <v>6729</v>
      </c>
      <c r="B60" s="37"/>
      <c r="C60" s="93" t="s">
        <v>1661</v>
      </c>
      <c r="E60" s="714" t="str">
        <f>A10</f>
        <v>c17.10</v>
      </c>
      <c r="F60" s="392">
        <f>BR_band</f>
        <v>37500</v>
      </c>
      <c r="L60" s="684"/>
      <c r="Q60" s="37"/>
      <c r="R60" s="37"/>
    </row>
    <row r="61" spans="1:18" x14ac:dyDescent="0.2">
      <c r="A61" s="37" t="s">
        <v>6730</v>
      </c>
      <c r="B61" s="37"/>
      <c r="E61" s="684"/>
      <c r="L61" s="684"/>
      <c r="Q61" s="37"/>
      <c r="R61" s="37"/>
    </row>
    <row r="62" spans="1:18" x14ac:dyDescent="0.2">
      <c r="A62" s="37" t="s">
        <v>6731</v>
      </c>
      <c r="B62" s="37"/>
      <c r="E62" s="684"/>
      <c r="F62" s="103" t="str">
        <f>"from "&amp;'Deductions (c4)'!H201</f>
        <v>from c4.58</v>
      </c>
      <c r="K62" s="37"/>
      <c r="L62" s="684"/>
      <c r="M62" s="38" t="str">
        <f>E60&amp;" + "&amp;E63</f>
        <v>c17.10 + c17.11</v>
      </c>
      <c r="Q62" s="37"/>
      <c r="R62" s="37"/>
    </row>
    <row r="63" spans="1:18" x14ac:dyDescent="0.2">
      <c r="A63" s="37" t="s">
        <v>6732</v>
      </c>
      <c r="B63" s="37"/>
      <c r="C63" s="93" t="s">
        <v>3649</v>
      </c>
      <c r="E63" s="917" t="str">
        <f>A11</f>
        <v>c17.11</v>
      </c>
      <c r="F63" s="107">
        <f>'Deductions (c4)'!I201</f>
        <v>1000</v>
      </c>
      <c r="K63" s="93" t="s">
        <v>1662</v>
      </c>
      <c r="L63" s="917" t="str">
        <f>A12</f>
        <v>c17.12</v>
      </c>
      <c r="M63" s="108">
        <f>F60+F63</f>
        <v>38500</v>
      </c>
      <c r="Q63" s="37"/>
      <c r="R63" s="37"/>
    </row>
    <row r="64" spans="1:18" x14ac:dyDescent="0.2">
      <c r="A64" s="37" t="s">
        <v>6733</v>
      </c>
      <c r="B64" s="37"/>
      <c r="C64" s="37"/>
      <c r="D64" s="38"/>
      <c r="E64" s="684"/>
      <c r="K64" s="37"/>
      <c r="L64" s="709"/>
      <c r="Q64" s="37"/>
      <c r="R64" s="37"/>
    </row>
    <row r="65" spans="1:18" x14ac:dyDescent="0.2">
      <c r="A65" s="37" t="s">
        <v>6734</v>
      </c>
      <c r="B65" s="37"/>
      <c r="C65" s="121" t="s">
        <v>5870</v>
      </c>
      <c r="D65" s="38"/>
      <c r="E65" s="684"/>
      <c r="K65" s="37"/>
      <c r="L65" s="709"/>
      <c r="M65" s="106" t="str">
        <f>L55&amp;" minus "&amp;L63</f>
        <v>c17.9 minus c17.12</v>
      </c>
      <c r="Q65" s="37"/>
      <c r="R65" s="37"/>
    </row>
    <row r="66" spans="1:18" x14ac:dyDescent="0.2">
      <c r="A66" s="37" t="s">
        <v>6735</v>
      </c>
      <c r="B66" s="37"/>
      <c r="D66" s="38"/>
      <c r="E66" s="684"/>
      <c r="K66" s="37"/>
      <c r="L66" s="714" t="str">
        <f>A13</f>
        <v>c17.13</v>
      </c>
      <c r="M66" s="392">
        <f>MAX(0,M55-M63)</f>
        <v>11672</v>
      </c>
      <c r="Q66" s="37"/>
      <c r="R66" s="37"/>
    </row>
    <row r="67" spans="1:18" x14ac:dyDescent="0.2">
      <c r="A67" s="37" t="s">
        <v>6736</v>
      </c>
      <c r="B67" s="37"/>
      <c r="C67" s="1021" t="s">
        <v>1663</v>
      </c>
      <c r="Q67" s="37"/>
      <c r="R67" s="37"/>
    </row>
    <row r="68" spans="1:18" x14ac:dyDescent="0.2">
      <c r="A68" s="37" t="s">
        <v>6939</v>
      </c>
      <c r="B68" s="117"/>
      <c r="C68" s="117"/>
      <c r="D68" s="410" t="s">
        <v>4037</v>
      </c>
      <c r="E68" s="684"/>
      <c r="F68" s="2325" t="str">
        <f>"HR_band ("&amp;DOLLAR(HR_band,0)&amp;")"</f>
        <v>HR_band ($112,500)</v>
      </c>
      <c r="K68" s="37"/>
      <c r="L68" s="684"/>
      <c r="M68" s="394"/>
      <c r="Q68" s="37"/>
      <c r="R68" s="37"/>
    </row>
    <row r="69" spans="1:18" x14ac:dyDescent="0.2">
      <c r="A69" s="37" t="s">
        <v>3985</v>
      </c>
      <c r="B69" s="117"/>
      <c r="C69" s="117"/>
      <c r="D69" s="410" t="s">
        <v>4038</v>
      </c>
      <c r="E69" s="714" t="str">
        <f>A14</f>
        <v>c17.14</v>
      </c>
      <c r="F69" s="392">
        <f>HR_band</f>
        <v>112500</v>
      </c>
      <c r="K69" s="37"/>
      <c r="L69" s="684"/>
      <c r="M69" s="394"/>
      <c r="Q69" s="37"/>
      <c r="R69" s="37"/>
    </row>
    <row r="70" spans="1:18" x14ac:dyDescent="0.2">
      <c r="A70" s="37" t="s">
        <v>3986</v>
      </c>
      <c r="B70" s="37"/>
      <c r="C70" s="37"/>
      <c r="D70" s="38"/>
      <c r="E70" s="684"/>
      <c r="F70" s="836" t="s">
        <v>6393</v>
      </c>
      <c r="K70" s="37"/>
      <c r="L70" s="684"/>
      <c r="M70" s="836" t="str">
        <f>"lower of "&amp;L66&amp;" and "&amp;E69</f>
        <v>lower of c17.13 and c17.14</v>
      </c>
      <c r="P70" s="37"/>
      <c r="Q70" s="106" t="str">
        <f>L71&amp;" x HR_rate ("&amp;HR_rate*100&amp;"%)"</f>
        <v>c17.16 x HR_rate (40%)</v>
      </c>
      <c r="R70" s="37"/>
    </row>
    <row r="71" spans="1:18" x14ac:dyDescent="0.2">
      <c r="A71" s="37" t="s">
        <v>3987</v>
      </c>
      <c r="B71" s="37"/>
      <c r="D71" s="38"/>
      <c r="E71" s="714" t="str">
        <f>A15</f>
        <v>c17.15</v>
      </c>
      <c r="F71" s="392"/>
      <c r="K71" s="38" t="s">
        <v>3313</v>
      </c>
      <c r="L71" s="714" t="str">
        <f>A16</f>
        <v>c17.16</v>
      </c>
      <c r="M71" s="392">
        <f>MIN(M66,F69)</f>
        <v>11672</v>
      </c>
      <c r="P71" s="714" t="str">
        <f>A17</f>
        <v>c17.17</v>
      </c>
      <c r="Q71" s="837">
        <f>TRUNC((M71*HR_rate)+0.0099,2)</f>
        <v>4668.8</v>
      </c>
      <c r="R71" s="937" t="s">
        <v>1707</v>
      </c>
    </row>
    <row r="72" spans="1:18" x14ac:dyDescent="0.2">
      <c r="A72" s="37" t="s">
        <v>3990</v>
      </c>
      <c r="B72" s="37"/>
      <c r="C72" s="37"/>
      <c r="D72" s="38"/>
      <c r="K72" s="37"/>
      <c r="L72" s="709"/>
      <c r="M72" s="371"/>
      <c r="N72" s="371"/>
      <c r="P72" s="739"/>
      <c r="Q72" s="807"/>
      <c r="R72" s="37"/>
    </row>
    <row r="73" spans="1:18" x14ac:dyDescent="0.2">
      <c r="A73" s="37" t="s">
        <v>3991</v>
      </c>
      <c r="B73" s="37"/>
      <c r="C73" s="37"/>
      <c r="D73" s="38"/>
      <c r="K73" s="37"/>
      <c r="L73" s="709"/>
      <c r="M73" s="106" t="str">
        <f>L66&amp;" minus "&amp;L71</f>
        <v>c17.13 minus c17.16</v>
      </c>
      <c r="P73" s="684"/>
      <c r="Q73" s="931" t="str">
        <f>L74&amp;" x AHR_rate ("&amp;AHR_rate*100&amp;"%)"</f>
        <v>c17.18 x AHR_rate (45%)</v>
      </c>
      <c r="R73" s="37"/>
    </row>
    <row r="74" spans="1:18" x14ac:dyDescent="0.2">
      <c r="A74" s="37" t="s">
        <v>1172</v>
      </c>
      <c r="B74" s="37"/>
      <c r="C74" s="37"/>
      <c r="D74" s="38"/>
      <c r="K74" s="38" t="s">
        <v>3974</v>
      </c>
      <c r="L74" s="714" t="str">
        <f>A18</f>
        <v>c17.18</v>
      </c>
      <c r="M74" s="392">
        <f>MAX(0,M66-M71)</f>
        <v>0</v>
      </c>
      <c r="P74" s="714" t="str">
        <f>A19</f>
        <v>c17.19</v>
      </c>
      <c r="Q74" s="837">
        <f>TRUNC((M74*AHR_rate)+0.0099,2)</f>
        <v>0</v>
      </c>
      <c r="R74" s="937" t="s">
        <v>1707</v>
      </c>
    </row>
    <row r="75" spans="1:18" x14ac:dyDescent="0.2">
      <c r="A75" s="37" t="s">
        <v>1173</v>
      </c>
      <c r="B75" s="37"/>
      <c r="C75" s="37"/>
      <c r="D75" s="38"/>
      <c r="K75" s="37"/>
      <c r="P75" s="684"/>
      <c r="R75" s="37"/>
    </row>
    <row r="76" spans="1:18" x14ac:dyDescent="0.2">
      <c r="A76" s="37" t="s">
        <v>1174</v>
      </c>
      <c r="B76" s="37"/>
      <c r="C76" s="37"/>
      <c r="D76" s="38"/>
      <c r="E76" s="37"/>
      <c r="K76" s="37"/>
      <c r="N76" s="37"/>
      <c r="P76" s="684"/>
      <c r="Q76" s="38" t="str">
        <f>P71&amp;" + "&amp;P74</f>
        <v>c17.17 + c17.19</v>
      </c>
      <c r="R76" s="37"/>
    </row>
    <row r="77" spans="1:18" x14ac:dyDescent="0.2">
      <c r="A77" s="37" t="s">
        <v>2634</v>
      </c>
      <c r="C77" s="37"/>
      <c r="D77" s="38"/>
      <c r="E77" s="37"/>
      <c r="F77" s="102"/>
      <c r="N77" s="37"/>
      <c r="P77" s="714" t="str">
        <f>A20</f>
        <v>c17.20</v>
      </c>
      <c r="Q77" s="837">
        <f>Q71+Q74</f>
        <v>4668.8</v>
      </c>
      <c r="R77" s="37"/>
    </row>
    <row r="78" spans="1:18" x14ac:dyDescent="0.2">
      <c r="A78" s="37" t="s">
        <v>2635</v>
      </c>
      <c r="B78" s="36" t="str">
        <f>"If box "&amp;P77&amp;" = 0 (zero) and"</f>
        <v>If box c17.20 = 0 (zero) and</v>
      </c>
      <c r="R78" s="37"/>
    </row>
    <row r="79" spans="1:18" x14ac:dyDescent="0.2">
      <c r="B79" s="121" t="str">
        <f><![CDATA["boxes (("&CGT&CGT!C4&" + "&CGT&CGT!C14&" + "&CGT&CGT!C24&" + "&CGT&CGT!C31&") minus (("&CGT&CGT!C7&" + "&CGT&CGT!G14&" + "&CGT&CGT!G24&" + "&CGT&CGT!C34&") minus ("&CGT&CGT!C37&" + "&CGT&CGT!G40&"))"&" + "&CGT&CGT!P18&" + (("&CGT!L26&" + "&CGT!L34&") minus "&CGT!P34&") <= 0 (zero)) and"]]></f>
        <v>boxes ((CGT6 + CGT17 + CGT26 + CGT34) minus ((CGT7 + CGT19 + CGT27 + CGT35) minus (CGT41 + CGT43)) + CGT52 + ((52.1 + 52.2) minus 52.5) &lt;= 0 (zero)) and</v>
      </c>
      <c r="M79" s="3291"/>
      <c r="N79" s="3291"/>
      <c r="O79" s="3291"/>
      <c r="P79" s="3291"/>
      <c r="Q79" s="3331"/>
      <c r="R79" s="37"/>
    </row>
    <row r="80" spans="1:18" x14ac:dyDescent="0.2">
      <c r="B80" s="121" t="str">
        <f><![CDATA["("&CGT&CGT!L18&" = 0 (zero) or null) and (box "&CGT&CGT!C17&" = zero or null)) no Top Slicing relief is due"]]></f>
        <v>(CGT51 = 0 (zero) or null) and (box CGT18 = zero or null)) no Top Slicing relief is due</v>
      </c>
      <c r="Q80" s="37"/>
      <c r="R80" s="37"/>
    </row>
    <row r="81" spans="1:34" x14ac:dyDescent="0.2">
      <c r="B81" s="36" t="str">
        <f>"set "&amp;E101&amp;" to "&amp;L101&amp;" to 1"</f>
        <v>set c17.21 to c17.22 to 1</v>
      </c>
      <c r="Q81" s="37"/>
      <c r="R81" s="37"/>
    </row>
    <row r="82" spans="1:34" x14ac:dyDescent="0.2">
      <c r="B82" s="36" t="s">
        <v>2386</v>
      </c>
      <c r="Q82" s="37"/>
      <c r="R82" s="37"/>
    </row>
    <row customFormat="1" r="83" s="2712" spans="1:34" x14ac:dyDescent="0.2">
      <c r="A83" s="37"/>
      <c r="B83" s="2710"/>
      <c r="Q83" s="37"/>
      <c r="R83" s="37"/>
    </row>
    <row customFormat="1" r="84" s="2712" spans="1:34" x14ac:dyDescent="0.2">
      <c r="A84" s="37"/>
      <c r="B84" s="2710"/>
      <c r="Q84" s="37"/>
      <c r="R84" s="37"/>
    </row>
    <row customFormat="1" customHeight="1" ht="11.25" r="85" s="2712" spans="1:34" x14ac:dyDescent="0.2">
      <c r="A85" s="37"/>
      <c r="B85" s="2710"/>
      <c r="P85" s="37"/>
      <c r="Q85" s="37"/>
      <c r="R85" s="37"/>
    </row>
    <row customFormat="1" r="86" s="2712" spans="1:34" x14ac:dyDescent="0.2">
      <c r="A86" s="37"/>
      <c r="B86" s="2710"/>
      <c r="C86" s="37"/>
      <c r="D86" s="37"/>
      <c r="E86" s="2650"/>
      <c r="F86" s="2689" t="s">
        <v>615</v>
      </c>
      <c r="G86" s="2650"/>
      <c r="H86" s="2650"/>
      <c r="I86" s="2690" t="s">
        <v>2444</v>
      </c>
      <c r="J86" s="2650"/>
      <c r="K86" s="2650"/>
      <c r="L86" s="2650"/>
      <c r="M86" s="2674"/>
      <c r="N86" s="121"/>
      <c r="O86" s="37"/>
      <c r="Q86" s="121"/>
      <c r="R86" s="121"/>
      <c r="S86" s="121"/>
    </row>
    <row ht="12.75" r="87" spans="1:34" x14ac:dyDescent="0.2">
      <c r="C87" s="37"/>
      <c r="E87" s="2650"/>
      <c r="F87" s="2640" t="s">
        <v>1770</v>
      </c>
      <c r="G87" s="2650"/>
      <c r="H87" s="2650"/>
      <c r="I87" s="2650"/>
      <c r="J87" s="2691" t="s">
        <v>1771</v>
      </c>
      <c r="K87" s="2650"/>
      <c r="L87" s="2650"/>
      <c r="M87" s="2674"/>
      <c r="P87" s="1791" t="s">
        <v>5873</v>
      </c>
      <c r="Q87" s="37"/>
      <c r="R87" s="37"/>
      <c r="S87" s="2686"/>
      <c r="T87" s="2686"/>
      <c r="U87" s="2686"/>
      <c r="V87" s="2686"/>
      <c r="W87" s="2686"/>
    </row>
    <row r="88" spans="1:34" x14ac:dyDescent="0.2">
      <c r="B88" s="37"/>
      <c r="C88" s="37"/>
      <c r="D88" s="37"/>
      <c r="E88" s="2674"/>
      <c r="F88" s="2640" t="str">
        <f><![CDATA[AOI&AOI!C13&", "&AOI&AOI!C19&",  "&AOI&AOI!G13&" and "&FOR&FOR!K39]]></f>
        <v>AOI4, AOI6,  AOI8 and FOR43</v>
      </c>
      <c r="G88" s="2650"/>
      <c r="H88" s="2650"/>
      <c r="I88" s="2674"/>
      <c r="J88" s="2691" t="str">
        <f><![CDATA[AOI&AOI!C16&", "&AOI&AOI!C22&",  "&AOI&AOI!G16&" and "&FOR&FOR!O33]]></f>
        <v>AOI5, AOI7,  AOI9 and FOR44</v>
      </c>
      <c r="K88" s="2650"/>
      <c r="L88" s="2650"/>
      <c r="M88" s="2674"/>
      <c r="Q88" s="2686"/>
      <c r="R88" s="2686"/>
      <c r="S88" s="2686"/>
      <c r="T88" s="37"/>
      <c r="U88" s="37"/>
      <c r="V88" s="37"/>
      <c r="W88" s="37"/>
      <c r="X88" s="37"/>
      <c r="Y88" s="37"/>
      <c r="Z88" s="37"/>
      <c r="AA88" s="37"/>
      <c r="AB88" s="37"/>
      <c r="AC88" s="37"/>
      <c r="AD88" s="37"/>
      <c r="AE88" s="37"/>
      <c r="AF88" s="37"/>
      <c r="AG88" s="37"/>
      <c r="AH88" s="37"/>
    </row>
    <row r="89" spans="1:34" x14ac:dyDescent="0.2">
      <c r="B89" s="37"/>
      <c r="C89" s="37"/>
      <c r="D89" s="37"/>
      <c r="E89" s="2674"/>
      <c r="F89" s="2640" t="s">
        <v>2853</v>
      </c>
      <c r="G89" s="2650"/>
      <c r="H89" s="2650"/>
      <c r="I89" s="2650"/>
      <c r="J89" s="2691" t="s">
        <v>2853</v>
      </c>
      <c r="K89" s="2650"/>
      <c r="L89" s="2650"/>
      <c r="M89" s="2650"/>
      <c r="N89" s="37"/>
      <c r="Q89" s="1078" t="str">
        <f><![CDATA["If "&AOI&AOI!C13&" is present AND "&AOI&AOI!C16&" not present, or"]]></f>
        <v>If AOI4 is present AND AOI5 not present, or</v>
      </c>
      <c r="R89" s="37"/>
      <c r="S89" s="37"/>
      <c r="T89" s="2686"/>
      <c r="U89" s="2686"/>
      <c r="V89" s="2686"/>
      <c r="W89" s="2686"/>
      <c r="X89" s="37"/>
    </row>
    <row r="90" spans="1:34" x14ac:dyDescent="0.2">
      <c r="B90" s="37"/>
      <c r="C90" s="37"/>
      <c r="D90" s="37"/>
      <c r="E90" s="2650"/>
      <c r="F90" s="2692" t="s">
        <v>1667</v>
      </c>
      <c r="G90" s="2650"/>
      <c r="H90" s="2650"/>
      <c r="I90" s="2650"/>
      <c r="J90" s="2692" t="s">
        <v>1668</v>
      </c>
      <c r="K90" s="2650"/>
      <c r="L90" s="2650"/>
      <c r="M90" s="2692" t="s">
        <v>3528</v>
      </c>
      <c r="N90" s="37"/>
      <c r="O90" s="37"/>
      <c r="Q90" s="84" t="str">
        <f>AOI&amp;AOI!C19&amp;" is present AND "&amp;AOI&amp;AOI!C22&amp;" not present, or"</f>
        <v>AOI6 is present AND AOI7 not present, or</v>
      </c>
      <c r="R90" s="37"/>
      <c r="S90" s="37"/>
      <c r="T90" s="37"/>
      <c r="U90" s="37"/>
      <c r="V90" s="37"/>
      <c r="W90" s="37"/>
      <c r="X90" s="37"/>
    </row>
    <row r="91" spans="1:34" x14ac:dyDescent="0.2">
      <c r="B91" s="37"/>
      <c r="C91" s="37"/>
      <c r="D91" s="37"/>
      <c r="E91" s="2640" t="s">
        <v>2666</v>
      </c>
      <c r="F91" s="2693">
        <f>TRUNC(MAX(FOR!L40,'Multi-foreign-gains'!D16),0)</f>
        <v>0</v>
      </c>
      <c r="G91" s="2674"/>
      <c r="H91" s="2650"/>
      <c r="I91" s="2650"/>
      <c r="J91" s="2693" t="str">
        <f>IF(OR(FOR!P34="multiple",FOR!P34=""),"M",MAX(FOR!P34,'Multi-foreign-gains'!P16,1))</f>
        <v>M</v>
      </c>
      <c r="K91" s="2650"/>
      <c r="L91" s="2650"/>
      <c r="M91" s="2694">
        <f>IF(J91="M",0,IF(F91&gt;0,MAX(1,F91/J91),0))</f>
        <v>0</v>
      </c>
      <c r="O91" s="37"/>
      <c r="Q91" s="84" t="str">
        <f>AOI&amp;AOI!G13&amp;" is present AND "&amp;AOI&amp;AOI!G16&amp;" is not present, or"</f>
        <v>AOI8 is present AND AOI9 is not present, or</v>
      </c>
      <c r="R91" s="37"/>
      <c r="S91" s="37"/>
      <c r="T91" s="37"/>
      <c r="U91" s="37"/>
      <c r="V91" s="37"/>
      <c r="W91" s="37"/>
      <c r="X91" s="37"/>
    </row>
    <row r="92" spans="1:34" x14ac:dyDescent="0.2">
      <c r="B92" s="37"/>
      <c r="C92" s="37"/>
      <c r="D92" s="37"/>
      <c r="E92" s="2640" t="s">
        <v>3957</v>
      </c>
      <c r="F92" s="2693">
        <f>TRUNC(MAX(AOI!D20,'Multi-UK-gains'!F16),0)</f>
        <v>0</v>
      </c>
      <c r="G92" s="2650"/>
      <c r="H92" s="2650"/>
      <c r="I92" s="2650"/>
      <c r="J92" s="2693" t="str">
        <f>IF(OR(AOI!D23="multiple",AOI!D23=""),"M",MAX(AOI!D23,'Multi-UK-gains'!R17,1))</f>
        <v>M</v>
      </c>
      <c r="K92" s="2650"/>
      <c r="L92" s="2650"/>
      <c r="M92" s="2694">
        <f>IF(J92="M",0,IF(F92&gt;0,MAX(1,F92/J92),0))</f>
        <v>0</v>
      </c>
      <c r="N92" s="37"/>
      <c r="O92" s="37"/>
      <c r="Q92" s="84" t="str">
        <f>FOR&amp;FOR!K39&amp;" is present AND "&amp;FOR&amp;FOR!O33&amp;" not present"</f>
        <v>FOR43 is present AND FOR44 not present</v>
      </c>
      <c r="R92" s="37"/>
      <c r="S92" s="37"/>
      <c r="T92" s="37"/>
      <c r="U92" s="37"/>
      <c r="V92" s="37"/>
      <c r="W92" s="37"/>
      <c r="X92" s="37"/>
      <c r="Y92" s="37"/>
      <c r="Z92" s="37"/>
      <c r="AA92" s="37"/>
      <c r="AB92" s="37"/>
      <c r="AC92" s="37"/>
      <c r="AD92" s="37"/>
      <c r="AE92" s="37"/>
      <c r="AF92" s="37"/>
      <c r="AG92" s="37"/>
      <c r="AH92" s="37"/>
    </row>
    <row r="93" spans="1:34" x14ac:dyDescent="0.2">
      <c r="B93" s="37"/>
      <c r="C93" s="37"/>
      <c r="D93" s="38"/>
      <c r="E93" s="2640" t="s">
        <v>3958</v>
      </c>
      <c r="F93" s="2693">
        <f>TRUNC(MAX(AOI!D14,'Multi-UK-gains'!M21),0)</f>
        <v>0</v>
      </c>
      <c r="G93" s="2650"/>
      <c r="H93" s="2640"/>
      <c r="I93" s="2650"/>
      <c r="J93" s="2693" t="str">
        <f>IF(OR(AOI!D17="multiple",AOI!D17=""),"M",MAX(AOI!D17,'Multi-UK-gains'!V22,1))</f>
        <v>M</v>
      </c>
      <c r="K93" s="2650"/>
      <c r="L93" s="2650"/>
      <c r="M93" s="2694">
        <f>IF(J93="M",0,IF(F93&gt;0,MAX(1,F93/J93),0))</f>
        <v>0</v>
      </c>
      <c r="N93" s="37"/>
      <c r="O93" s="37"/>
      <c r="Q93" s="1078" t="str">
        <f>L101&amp;" = ITF CEG INPUT AMOUNT"</f>
        <v>c17.22 = ITF CEG INPUT AMOUNT</v>
      </c>
      <c r="R93" s="37"/>
      <c r="S93" s="37"/>
      <c r="T93" s="37"/>
      <c r="U93" s="51"/>
      <c r="V93" s="37"/>
      <c r="W93" s="37"/>
      <c r="X93" s="37"/>
      <c r="Y93" s="37"/>
      <c r="Z93" s="37"/>
      <c r="AA93" s="37"/>
      <c r="AB93" s="37"/>
      <c r="AC93" s="37"/>
      <c r="AD93" s="37"/>
      <c r="AE93" s="37"/>
      <c r="AF93" s="37"/>
      <c r="AG93" s="37"/>
      <c r="AH93" s="37"/>
    </row>
    <row r="94" spans="1:34" x14ac:dyDescent="0.2">
      <c r="B94" s="37"/>
      <c r="C94" s="37"/>
      <c r="D94" s="38"/>
      <c r="E94" s="2640" t="s">
        <v>3959</v>
      </c>
      <c r="F94" s="2693">
        <f>TRUNC(AOI!H14,0)</f>
        <v>0</v>
      </c>
      <c r="G94" s="2650"/>
      <c r="H94" s="2640"/>
      <c r="I94" s="2650"/>
      <c r="J94" s="2693">
        <f>MAX(AOI!H17,1)</f>
        <v>1</v>
      </c>
      <c r="K94" s="2650"/>
      <c r="L94" s="2650"/>
      <c r="M94" s="2694">
        <f>IF(J94="M",0,IF(F94&gt;0,MAX(1,F94/J94),0))</f>
        <v>0</v>
      </c>
      <c r="N94" s="37"/>
      <c r="O94" s="37"/>
      <c r="Q94" s="2935" t="s">
        <v>2386</v>
      </c>
      <c r="R94" s="37"/>
      <c r="S94" s="37"/>
      <c r="T94" s="37"/>
      <c r="U94" s="37"/>
      <c r="V94" s="37"/>
      <c r="W94" s="37"/>
      <c r="X94" s="37"/>
      <c r="Y94" s="37"/>
      <c r="Z94" s="37"/>
      <c r="AA94" s="37"/>
      <c r="AB94" s="37"/>
      <c r="AC94" s="37"/>
      <c r="AD94" s="37"/>
      <c r="AE94" s="37"/>
      <c r="AF94" s="37"/>
      <c r="AG94" s="37"/>
      <c r="AH94" s="37"/>
    </row>
    <row r="95" spans="1:34" x14ac:dyDescent="0.2">
      <c r="B95" s="37"/>
      <c r="C95" s="37"/>
      <c r="D95" s="38"/>
      <c r="E95" s="2640" t="s">
        <v>1051</v>
      </c>
      <c r="F95" s="2693"/>
      <c r="G95" s="2650"/>
      <c r="H95" s="2640"/>
      <c r="I95" s="2650"/>
      <c r="J95" s="2693"/>
      <c r="K95" s="2650"/>
      <c r="L95" s="2650"/>
      <c r="M95" s="2694">
        <f>IF(No_of_for_gains&gt;1,'Multi-foreign-gains'!Q16,0)</f>
        <v>0</v>
      </c>
      <c r="O95" s="37"/>
      <c r="Q95" s="84" t="str">
        <f><![CDATA["a) If "&AOI&AOI!C13&" is present, a = the higher of 1 or ("&AOI&AOI!C13&"/"&AOI&AOI!C16&"), else a = zero"]]></f>
        <v>a) If AOI4 is present, a = the higher of 1 or (AOI4/AOI5), else a = zero</v>
      </c>
      <c r="R95" s="37"/>
      <c r="S95" s="37"/>
      <c r="T95" s="37"/>
      <c r="U95" s="37"/>
      <c r="V95" s="37"/>
      <c r="W95" s="37"/>
      <c r="X95" s="37"/>
      <c r="Y95" s="37"/>
      <c r="Z95" s="37"/>
      <c r="AA95" s="37"/>
      <c r="AB95" s="37"/>
      <c r="AC95" s="37"/>
      <c r="AD95" s="37"/>
      <c r="AE95" s="37"/>
      <c r="AF95" s="37"/>
      <c r="AG95" s="37"/>
      <c r="AH95" s="37"/>
    </row>
    <row r="96" spans="1:34" x14ac:dyDescent="0.2">
      <c r="B96" s="37"/>
      <c r="C96" s="37"/>
      <c r="D96" s="38"/>
      <c r="E96" s="2640" t="s">
        <v>1052</v>
      </c>
      <c r="F96" s="2693"/>
      <c r="G96" s="2650"/>
      <c r="H96" s="2640"/>
      <c r="I96" s="2650"/>
      <c r="J96" s="2693"/>
      <c r="K96" s="2650"/>
      <c r="L96" s="2650"/>
      <c r="M96" s="2694">
        <f>IF('Multi-UK-gains'!Q17&gt;1,'Multi-UK-gains'!S17,0)</f>
        <v>0</v>
      </c>
      <c r="O96" s="37"/>
      <c r="Q96" s="84" t="str">
        <f><![CDATA["b) If "&AOI&AOI!C19&" is present, b = the higher of 1 or ("&AOI&AOI!C19&"/"&AOI&AOI!C22&"), else b = zero"]]></f>
        <v>b) If AOI6 is present, b = the higher of 1 or (AOI6/AOI7), else b = zero</v>
      </c>
      <c r="R96" s="37"/>
      <c r="S96" s="37"/>
      <c r="T96" s="37"/>
      <c r="U96" s="2685"/>
      <c r="V96" s="37"/>
      <c r="W96" s="37"/>
      <c r="X96" s="37"/>
      <c r="Y96" s="37"/>
      <c r="Z96" s="37"/>
      <c r="AA96" s="37"/>
      <c r="AB96" s="37"/>
      <c r="AC96" s="37"/>
      <c r="AD96" s="37"/>
      <c r="AE96" s="37"/>
      <c r="AF96" s="37"/>
      <c r="AG96" s="37"/>
      <c r="AH96" s="37"/>
    </row>
    <row r="97" spans="1:34" x14ac:dyDescent="0.2">
      <c r="B97" s="37"/>
      <c r="C97" s="37"/>
      <c r="D97" s="38"/>
      <c r="E97" s="2640" t="s">
        <v>1053</v>
      </c>
      <c r="F97" s="2693"/>
      <c r="G97" s="2650"/>
      <c r="H97" s="2640"/>
      <c r="I97" s="2650"/>
      <c r="J97" s="2693"/>
      <c r="K97" s="2650"/>
      <c r="L97" s="2650"/>
      <c r="M97" s="2694">
        <f>IF('Multi-UK-gains'!U22&gt;1,'Multi-UK-gains'!W22,0)</f>
        <v>0</v>
      </c>
      <c r="O97" s="37"/>
      <c r="Q97" s="84" t="str">
        <f><![CDATA["c) If "&AOI&AOI!G13&" is present, c = the higher of 1 or ("&AOI&AOI!G13&"/"&AOI&AOI!G16&"), else c = zero"]]></f>
        <v>c) If AOI8 is present, c = the higher of 1 or (AOI8/AOI9), else c = zero</v>
      </c>
      <c r="R97" s="37"/>
      <c r="S97" s="37"/>
      <c r="T97" s="37"/>
      <c r="U97" s="2685"/>
      <c r="V97" s="37"/>
      <c r="W97" s="37"/>
      <c r="X97" s="37"/>
      <c r="Y97" s="37"/>
      <c r="Z97" s="37"/>
      <c r="AA97" s="37"/>
      <c r="AB97" s="37"/>
      <c r="AC97" s="37"/>
      <c r="AD97" s="37"/>
      <c r="AE97" s="37"/>
      <c r="AF97" s="37"/>
      <c r="AG97" s="37"/>
      <c r="AH97" s="37"/>
    </row>
    <row r="98" spans="1:34" x14ac:dyDescent="0.2">
      <c r="B98" s="37"/>
      <c r="C98" s="37"/>
      <c r="D98" s="37"/>
      <c r="E98" s="37"/>
      <c r="F98" s="371"/>
      <c r="G98" s="37"/>
      <c r="H98" s="37"/>
      <c r="I98" s="37"/>
      <c r="J98" s="37"/>
      <c r="K98" s="37"/>
      <c r="L98" s="37"/>
      <c r="M98" s="371"/>
      <c r="N98" s="37"/>
      <c r="O98" s="37"/>
      <c r="Q98" s="84" t="str">
        <f><![CDATA["d) If "&FOR&FOR!K39&" is present, d = the higher of 1 or ("&FOR&FOR!K39&"/"&FOR&FOR!O33&"), else d = zero"]]></f>
        <v>d) If FOR43 is present, d = the higher of 1 or (FOR43/FOR44), else d = zero</v>
      </c>
      <c r="R98" s="37"/>
      <c r="S98" s="37"/>
      <c r="T98" s="37"/>
      <c r="U98" s="2685"/>
      <c r="V98" s="37"/>
      <c r="W98" s="37"/>
      <c r="X98" s="37"/>
      <c r="Y98" s="37"/>
      <c r="Z98" s="37"/>
      <c r="AA98" s="37"/>
      <c r="AB98" s="37"/>
      <c r="AC98" s="37"/>
      <c r="AD98" s="37"/>
      <c r="AE98" s="37"/>
      <c r="AF98" s="37"/>
      <c r="AG98" s="37"/>
      <c r="AH98" s="37"/>
    </row>
    <row r="99" spans="1:34" x14ac:dyDescent="0.2">
      <c r="B99" s="37"/>
      <c r="E99" s="2674"/>
      <c r="F99" s="2640" t="s">
        <v>2562</v>
      </c>
      <c r="G99" s="37"/>
      <c r="H99" s="37"/>
      <c r="I99" s="37"/>
      <c r="J99" s="37"/>
      <c r="L99" s="2674"/>
      <c r="M99" s="2640" t="s">
        <v>2562</v>
      </c>
      <c r="O99" s="37"/>
      <c r="Q99" s="1078" t="str">
        <f>L101&amp;" = higher of 1 or (a + b + c + d)"</f>
        <v>c17.22 = higher of 1 or (a + b + c + d)</v>
      </c>
      <c r="R99" s="37"/>
      <c r="S99" s="37"/>
      <c r="T99" s="37"/>
      <c r="U99" s="2685"/>
      <c r="V99" s="37"/>
      <c r="W99" s="37"/>
      <c r="X99" s="37"/>
      <c r="Y99" s="37"/>
      <c r="Z99" s="37"/>
      <c r="AA99" s="37"/>
      <c r="AB99" s="37"/>
      <c r="AC99" s="37"/>
      <c r="AD99" s="37"/>
      <c r="AE99" s="37"/>
      <c r="AF99" s="37"/>
      <c r="AG99" s="37"/>
      <c r="AH99" s="37"/>
    </row>
    <row r="100" spans="1:34" x14ac:dyDescent="0.2">
      <c r="C100" s="37"/>
      <c r="F100" s="93" t="str">
        <f><![CDATA[AOI&AOI!C13&" + "&AOI&AOI!C19&" + "&AOI&AOI!G13&" + "&FOR&FOR!K39]]></f>
        <v>AOI4 + AOI6 + AOI8 + FOR43</v>
      </c>
      <c r="K100" s="2674"/>
      <c r="L100" s="2674"/>
      <c r="M100" s="2681" t="str">
        <f><![CDATA[AOI&AOI!C16&" + "&AOI&AOI!C22&" +  "&AOI&AOI!G16&" + "&FOR&FOR!O33]]></f>
        <v>AOI5 + AOI7 +  AOI9 + FOR44</v>
      </c>
      <c r="N100" s="2650"/>
      <c r="O100" s="37"/>
      <c r="Q100" s="852" t="s">
        <v>2495</v>
      </c>
      <c r="R100" s="37"/>
      <c r="S100" s="37"/>
      <c r="T100" s="37"/>
      <c r="U100" s="2685"/>
      <c r="V100" s="37"/>
      <c r="W100" s="37"/>
      <c r="X100" s="37"/>
      <c r="Y100" s="37"/>
      <c r="Z100" s="37"/>
      <c r="AA100" s="37"/>
      <c r="AB100" s="37"/>
      <c r="AC100" s="37"/>
      <c r="AD100" s="37"/>
      <c r="AE100" s="37"/>
      <c r="AF100" s="37"/>
      <c r="AG100" s="37"/>
      <c r="AH100" s="37"/>
    </row>
    <row r="101" spans="1:34" x14ac:dyDescent="0.2">
      <c r="B101" s="37"/>
      <c r="D101" s="38" t="s">
        <v>3988</v>
      </c>
      <c r="E101" s="714" t="str">
        <f>A21</f>
        <v>c17.21</v>
      </c>
      <c r="F101" s="109">
        <f>SUM(F91:F97)</f>
        <v>0</v>
      </c>
      <c r="G101" s="937" t="s">
        <v>1743</v>
      </c>
      <c r="H101" s="37"/>
      <c r="I101" s="37"/>
      <c r="K101" s="2640" t="s">
        <v>3989</v>
      </c>
      <c r="L101" s="2683" t="str">
        <f>A22</f>
        <v>c17.22</v>
      </c>
      <c r="M101" s="2694">
        <f>TRUNC(SUM(M91:M97),0)</f>
        <v>0</v>
      </c>
      <c r="N101" s="2650" t="s">
        <v>1743</v>
      </c>
      <c r="O101" s="37"/>
      <c r="P101" s="714" t="str">
        <f>A22</f>
        <v>c17.22</v>
      </c>
      <c r="Q101" s="105"/>
      <c r="R101" s="937" t="s">
        <v>1743</v>
      </c>
      <c r="T101" s="37"/>
      <c r="U101" s="2685"/>
      <c r="V101" s="37"/>
      <c r="W101" s="37"/>
    </row>
    <row customFormat="1" r="102" s="2712" spans="1:34" x14ac:dyDescent="0.2">
      <c r="A102" s="37"/>
      <c r="B102" s="37"/>
      <c r="D102" s="2711"/>
      <c r="E102" s="709"/>
      <c r="F102" s="988"/>
      <c r="G102" s="937"/>
      <c r="H102" s="37"/>
      <c r="I102" s="37"/>
      <c r="K102" s="2640"/>
      <c r="L102" s="2650"/>
      <c r="M102" s="2723"/>
      <c r="N102" s="2650"/>
      <c r="O102" s="37"/>
      <c r="P102" s="709"/>
      <c r="Q102" s="102"/>
      <c r="R102" s="937"/>
      <c r="T102" s="37"/>
      <c r="U102" s="2711"/>
      <c r="V102" s="37"/>
      <c r="W102" s="37"/>
    </row>
    <row customFormat="1" r="103" s="2712" spans="1:34" x14ac:dyDescent="0.2">
      <c r="A103" s="37"/>
      <c r="B103" s="37"/>
    </row>
    <row r="104" spans="1:34" x14ac:dyDescent="0.2">
      <c r="B104" s="84" t="s">
        <v>2495</v>
      </c>
      <c r="E104" s="684"/>
      <c r="L104" s="684"/>
      <c r="T104" s="37"/>
      <c r="U104" s="37"/>
      <c r="V104" s="37"/>
      <c r="W104" s="37"/>
      <c r="X104" s="37"/>
      <c r="Y104" s="37"/>
      <c r="Z104" s="37"/>
      <c r="AA104" s="37"/>
    </row>
    <row customFormat="1" r="105" s="2712" spans="1:34" x14ac:dyDescent="0.2">
      <c r="A105" s="37"/>
      <c r="O105" s="37"/>
      <c r="S105" s="37"/>
      <c r="T105" s="37"/>
      <c r="U105" s="37"/>
      <c r="V105" s="37"/>
      <c r="W105" s="37"/>
      <c r="X105" s="37"/>
      <c r="Y105" s="37"/>
      <c r="Z105" s="37"/>
      <c r="AA105" s="37"/>
    </row>
    <row customFormat="1" r="106" s="2982" spans="1:34" x14ac:dyDescent="0.2">
      <c r="A106" s="37"/>
      <c r="B106" s="2974" t="str">
        <f>"If box "&amp;P77&amp;" = 0 (zero)"</f>
        <v>If box c17.20 = 0 (zero)</v>
      </c>
      <c r="X106" s="37"/>
      <c r="Y106" s="37"/>
      <c r="Z106" s="37"/>
      <c r="AA106" s="37"/>
    </row>
    <row customFormat="1" r="107" s="2982" spans="1:34" x14ac:dyDescent="0.2">
      <c r="A107" s="37"/>
      <c r="B107" s="2974" t="str">
        <f>"set "&amp;E114&amp;" to "&amp;L235&amp;" to 0 (zero)"</f>
        <v>set c17.22a to c17.48 to 0 (zero)</v>
      </c>
    </row>
    <row customFormat="1" r="108" s="2982" spans="1:34" x14ac:dyDescent="0.2">
      <c r="A108" s="37"/>
      <c r="B108" s="2974" t="s">
        <v>2386</v>
      </c>
    </row>
    <row customFormat="1" r="109" s="2982" spans="1:34" x14ac:dyDescent="0.2">
      <c r="A109" s="37"/>
      <c r="B109" s="2974" t="str">
        <f>"calculate "&amp;E114&amp;" to "&amp;L235</f>
        <v>calculate c17.22a to c17.48</v>
      </c>
    </row>
    <row customFormat="1" r="110" s="2982" spans="1:34" x14ac:dyDescent="0.2">
      <c r="A110" s="37"/>
    </row>
    <row customFormat="1" r="111" s="2982" spans="1:34" x14ac:dyDescent="0.2">
      <c r="A111" s="37"/>
      <c r="B111" s="37"/>
      <c r="C111" s="1020" t="s">
        <v>3992</v>
      </c>
      <c r="E111" s="684"/>
      <c r="L111" s="684"/>
      <c r="N111" s="37"/>
    </row>
    <row customFormat="1" r="112" s="2982" spans="1:34" x14ac:dyDescent="0.2">
      <c r="A112" s="37"/>
      <c r="B112" s="37"/>
      <c r="C112" s="1020"/>
      <c r="E112" s="684"/>
      <c r="L112" s="684"/>
      <c r="N112" s="37"/>
    </row>
    <row customFormat="1" r="113" s="2982" spans="1:17" x14ac:dyDescent="0.2">
      <c r="A113" s="37"/>
      <c r="F113" s="2325" t="str">
        <f>'Deductions (c4)'!L227&amp;" minus "&amp;E44</f>
        <v>c4.63c minus c17.3</v>
      </c>
      <c r="Q113" s="93" t="str">
        <f>E114&amp;" minus "&amp;L52</f>
        <v>c17.22a minus c17.8</v>
      </c>
    </row>
    <row customFormat="1" r="114" s="2982" spans="1:17" x14ac:dyDescent="0.2">
      <c r="A114" s="37"/>
      <c r="C114" s="2982" t="s">
        <v>2660</v>
      </c>
      <c r="E114" s="2157" t="str">
        <f>A23</f>
        <v>c17.22a</v>
      </c>
      <c r="F114" s="1978">
        <f>MAX(0,'Deductions (c4)'!M227-F44)</f>
        <v>47444</v>
      </c>
      <c r="P114" s="2157" t="str">
        <f>A24</f>
        <v>c17.22b</v>
      </c>
      <c r="Q114" s="1978">
        <f>MAX(0,F114-M52)</f>
        <v>33744</v>
      </c>
    </row>
    <row customFormat="1" r="115" s="2982" spans="1:17" x14ac:dyDescent="0.2">
      <c r="A115" s="37"/>
    </row>
    <row customFormat="1" r="116" s="2982" spans="1:17" x14ac:dyDescent="0.2">
      <c r="A116" s="37"/>
      <c r="C116" s="2982" t="s">
        <v>6739</v>
      </c>
      <c r="F116" s="93" t="str">
        <f>'Savings (c2)'!H77&amp;" minus ("&amp;'Savings (c2)'!E28&amp;" + "&amp;'Savings (c2)'!H73&amp;")"</f>
        <v>c2.19 minus (c2.6 + c2.18)</v>
      </c>
      <c r="M116" s="93" t="str">
        <f>L52&amp;" minus "&amp;E114</f>
        <v>c17.8 minus c17.22a</v>
      </c>
      <c r="Q116" s="93" t="str">
        <f>E117&amp;" minus "&amp;L117</f>
        <v>c17.22c minus c17.22d</v>
      </c>
    </row>
    <row customFormat="1" r="117" s="2982" spans="1:17" x14ac:dyDescent="0.2">
      <c r="A117" s="37"/>
      <c r="C117" s="852" t="s">
        <v>6740</v>
      </c>
      <c r="E117" s="2157" t="str">
        <f>A25</f>
        <v>c17.22c</v>
      </c>
      <c r="F117" s="1978">
        <f>MAX(0,'Savings (c2)'!I77-('Savings (c2)'!F28+'Savings (c2)'!I73))</f>
        <v>3678</v>
      </c>
      <c r="L117" s="2157" t="str">
        <f>A26</f>
        <v>c17.22d</v>
      </c>
      <c r="M117" s="1978">
        <f>MAX(0,M52-F114)</f>
        <v>0</v>
      </c>
      <c r="P117" s="2157" t="str">
        <f>A27</f>
        <v>c17.22e</v>
      </c>
      <c r="Q117" s="1978">
        <f>MAX(0,F117-M117)</f>
        <v>3678</v>
      </c>
    </row>
    <row customFormat="1" r="118" s="2982" spans="1:17" x14ac:dyDescent="0.2">
      <c r="A118" s="37"/>
    </row>
    <row customFormat="1" r="119" s="2982" spans="1:17" x14ac:dyDescent="0.2">
      <c r="A119" s="37"/>
      <c r="F119" s="93" t="str">
        <f>"from "&amp;'Divs (c3)'!G47</f>
        <v>from c3.15</v>
      </c>
      <c r="M119" s="93" t="str">
        <f>L117&amp;" minus "&amp;E117</f>
        <v>c17.22d minus c17.22c</v>
      </c>
      <c r="Q119" s="93" t="str">
        <f>E120&amp;" minus "&amp;L120</f>
        <v>c17.22f minus c17.22g</v>
      </c>
    </row>
    <row customFormat="1" r="120" s="2982" spans="1:17" x14ac:dyDescent="0.2">
      <c r="A120" s="37"/>
      <c r="C120" s="2982" t="s">
        <v>690</v>
      </c>
      <c r="E120" s="2157" t="str">
        <f>A28</f>
        <v>c17.22f</v>
      </c>
      <c r="F120" s="1978">
        <f>'Divs (c3)'!H47</f>
        <v>12750</v>
      </c>
      <c r="L120" s="2157" t="str">
        <f>A29</f>
        <v>c17.22g</v>
      </c>
      <c r="M120" s="1978">
        <f>MAX(0,M117-F117)</f>
        <v>0</v>
      </c>
      <c r="P120" s="2157" t="str">
        <f>A30</f>
        <v>c17.22h</v>
      </c>
      <c r="Q120" s="1978">
        <f>MAX(0,F120-M120)</f>
        <v>12750</v>
      </c>
    </row>
    <row customFormat="1" r="121" s="2982" spans="1:17" x14ac:dyDescent="0.2">
      <c r="A121" s="37"/>
    </row>
    <row customFormat="1" r="122" s="2982" spans="1:17" x14ac:dyDescent="0.2">
      <c r="A122" s="37"/>
      <c r="Q122" s="93" t="str">
        <f>P114&amp;" + "&amp;P117&amp;" + "&amp;P120</f>
        <v>c17.22b + c17.22e + c17.22h</v>
      </c>
    </row>
    <row customFormat="1" r="123" s="2982" spans="1:17" x14ac:dyDescent="0.2">
      <c r="A123" s="37"/>
      <c r="C123" s="2982" t="s">
        <v>967</v>
      </c>
      <c r="P123" s="2157" t="str">
        <f>A31</f>
        <v>c17.22i</v>
      </c>
      <c r="Q123" s="1978">
        <f>Q114+Q117+Q120</f>
        <v>50172</v>
      </c>
    </row>
    <row customFormat="1" r="124" s="2982" spans="1:17" x14ac:dyDescent="0.2">
      <c r="A124" s="37"/>
    </row>
    <row customFormat="1" r="125" s="2982" spans="1:17" x14ac:dyDescent="0.2">
      <c r="A125" s="37"/>
      <c r="M125" s="93" t="str">
        <f>L120&amp;" minus "&amp;E120</f>
        <v>c17.22g minus c17.22f</v>
      </c>
      <c r="Q125" s="93" t="str">
        <f>E101&amp;" minus "&amp;L126</f>
        <v>c17.21 minus c17.22j</v>
      </c>
    </row>
    <row customFormat="1" r="126" s="2982" spans="1:17" x14ac:dyDescent="0.2">
      <c r="A126" s="37"/>
      <c r="C126" s="2982" t="s">
        <v>6741</v>
      </c>
      <c r="L126" s="2157" t="str">
        <f>A32</f>
        <v>c17.22j</v>
      </c>
      <c r="M126" s="1978">
        <f>MAX(0,M120-F120)</f>
        <v>0</v>
      </c>
      <c r="P126" s="2157" t="str">
        <f>A33</f>
        <v>c17.22k</v>
      </c>
      <c r="Q126" s="1978">
        <f>MAX(0,F101-M126)</f>
        <v>0</v>
      </c>
    </row>
    <row customFormat="1" r="127" s="2982" spans="1:17" x14ac:dyDescent="0.2">
      <c r="A127" s="37"/>
    </row>
    <row customFormat="1" r="128" s="2982" spans="1:17" x14ac:dyDescent="0.2">
      <c r="A128" s="37"/>
      <c r="B128" s="37"/>
      <c r="D128" s="37"/>
      <c r="F128" s="93" t="str">
        <f>"lower of "&amp;P126&amp;" and SR_band ("&amp;DOLLAR(SR_band,0)&amp;")"</f>
        <v>lower of c17.22k and SR_band ($5,000)</v>
      </c>
    </row>
    <row customFormat="1" r="129" s="2982" spans="1:21" x14ac:dyDescent="0.2">
      <c r="A129" s="37"/>
      <c r="B129" s="37"/>
      <c r="C129" s="2982" t="s">
        <v>613</v>
      </c>
      <c r="E129" s="2157" t="str">
        <f>A34</f>
        <v>c17.23</v>
      </c>
      <c r="F129" s="2180">
        <f>MIN(Q126,SR_band)</f>
        <v>0</v>
      </c>
      <c r="N129" s="2181"/>
    </row>
    <row customFormat="1" r="130" s="2982" spans="1:21" x14ac:dyDescent="0.2">
      <c r="A130" s="37"/>
      <c r="B130" s="37"/>
      <c r="D130" s="37"/>
      <c r="F130" s="93" t="str">
        <f>"lower of "&amp;E129&amp;" and"</f>
        <v>lower of c17.23 and</v>
      </c>
    </row>
    <row customFormat="1" r="131" s="2982" spans="1:21" x14ac:dyDescent="0.2">
      <c r="A131" s="37"/>
      <c r="B131" s="37"/>
      <c r="F131" s="93" t="str">
        <f>"(SR_band ("&amp;DOLLAR(SR_band,0)&amp;") minus ("&amp;P123&amp;"))"</f>
        <v>(SR_band ($5,000) minus (c17.22i))</v>
      </c>
      <c r="Q131" s="93" t="str">
        <f>E132&amp;" x SR_rate ("&amp;SR_rate*100&amp;"%)"</f>
        <v>c17.23a x SR_rate (0%)</v>
      </c>
      <c r="U131" s="2978"/>
    </row>
    <row customFormat="1" r="132" s="2982" spans="1:21" x14ac:dyDescent="0.2">
      <c r="A132" s="37"/>
      <c r="B132" s="37"/>
      <c r="C132" s="2984" t="s">
        <v>6742</v>
      </c>
      <c r="E132" s="2157" t="str">
        <f>A35</f>
        <v>c17.23a</v>
      </c>
      <c r="F132" s="2180">
        <f>MIN(F129,MAX(0,SR_band-Q123))</f>
        <v>0</v>
      </c>
      <c r="L132" s="37"/>
      <c r="P132" s="2157" t="str">
        <f>A36</f>
        <v>c17.23b</v>
      </c>
      <c r="Q132" s="2182">
        <f>TRUNC(F132*SR_rate,2)</f>
        <v>0</v>
      </c>
      <c r="R132" s="2181" t="s">
        <v>2694</v>
      </c>
      <c r="U132" s="2978"/>
    </row>
    <row customFormat="1" r="133" s="2982" spans="1:21" x14ac:dyDescent="0.2">
      <c r="A133" s="37"/>
      <c r="B133" s="37"/>
      <c r="C133" s="2975"/>
      <c r="U133" s="2978"/>
    </row>
    <row customFormat="1" r="134" s="2982" spans="1:21" x14ac:dyDescent="0.2">
      <c r="A134" s="37"/>
      <c r="B134" s="37"/>
      <c r="C134" s="2975"/>
      <c r="F134" s="836" t="str">
        <f>"SR_band ("&amp;DOLLAR(SR_band,0)&amp;") minus "&amp;P114</f>
        <v>SR_band ($5,000) minus c17.22b</v>
      </c>
      <c r="G134" s="37"/>
      <c r="U134" s="2978"/>
    </row>
    <row customFormat="1" r="135" s="2982" spans="1:21" x14ac:dyDescent="0.2">
      <c r="A135" s="37"/>
      <c r="B135" s="37"/>
      <c r="C135" s="2975"/>
      <c r="E135" s="2157" t="str">
        <f>A37</f>
        <v>c17.23c</v>
      </c>
      <c r="F135" s="2937">
        <f>MAX(0,SR_band-Q114)</f>
        <v>0</v>
      </c>
      <c r="G135" s="37"/>
      <c r="Q135" s="93"/>
      <c r="U135" s="2978"/>
    </row>
    <row customFormat="1" r="136" s="2982" spans="1:21" x14ac:dyDescent="0.2">
      <c r="A136" s="37"/>
      <c r="B136" s="37"/>
      <c r="C136" s="2975"/>
      <c r="G136" s="37"/>
      <c r="Q136" s="93"/>
      <c r="U136" s="2978"/>
    </row>
    <row customFormat="1" r="137" s="2982" spans="1:21" x14ac:dyDescent="0.2">
      <c r="A137" s="37"/>
      <c r="B137" s="37"/>
      <c r="C137" s="2975"/>
      <c r="F137" s="93" t="str">
        <f>P117&amp;" minus "&amp;E135</f>
        <v>c17.22e minus c17.23c</v>
      </c>
      <c r="G137" s="37"/>
      <c r="Q137" s="93"/>
      <c r="U137" s="2978"/>
    </row>
    <row customFormat="1" r="138" s="2982" spans="1:21" x14ac:dyDescent="0.2">
      <c r="A138" s="37"/>
      <c r="B138" s="37"/>
      <c r="C138" s="2975"/>
      <c r="E138" s="2157" t="str">
        <f>A38</f>
        <v>c17.23d</v>
      </c>
      <c r="F138" s="2937">
        <f>MAX(0,Q117-F135)</f>
        <v>3678</v>
      </c>
      <c r="G138" s="37"/>
      <c r="Q138" s="93"/>
      <c r="U138" s="2978"/>
    </row>
    <row customFormat="1" r="139" s="2982" spans="1:21" x14ac:dyDescent="0.2">
      <c r="A139" s="37"/>
      <c r="B139" s="37"/>
      <c r="C139" s="2975"/>
      <c r="D139" s="37"/>
      <c r="F139" s="93" t="str">
        <f>"lower of ("&amp;P126&amp;" minus "&amp;E132&amp;") and"</f>
        <v>lower of (c17.22k minus c17.23a) and</v>
      </c>
      <c r="G139" s="37"/>
      <c r="Q139" s="93"/>
      <c r="U139" s="2978"/>
    </row>
    <row customFormat="1" r="140" s="2982" spans="1:21" x14ac:dyDescent="0.2">
      <c r="A140" s="37"/>
      <c r="B140" s="37"/>
      <c r="C140" s="2975"/>
      <c r="F140" s="93" t="str">
        <f>"("&amp;'Deductions (c4)'!L430&amp;" minus "&amp;E138&amp;")"</f>
        <v>(c4.79 minus c17.23d)</v>
      </c>
      <c r="G140" s="37"/>
      <c r="Q140" s="93" t="str">
        <f>E141&amp;" x SNil_rate ("&amp;SNil_rate*100&amp;"%)"</f>
        <v>c17.24 x SNil_rate (0%)</v>
      </c>
      <c r="U140" s="2978"/>
    </row>
    <row customFormat="1" r="141" s="2982" spans="1:21" x14ac:dyDescent="0.2">
      <c r="A141" s="37"/>
      <c r="B141" s="37"/>
      <c r="C141" s="2984" t="s">
        <v>6743</v>
      </c>
      <c r="E141" s="2157" t="str">
        <f>A39</f>
        <v>c17.24</v>
      </c>
      <c r="F141" s="2180">
        <f>MIN(MAX(0,Q126-F132),MAX(0,PSA-F138))</f>
        <v>0</v>
      </c>
      <c r="G141" s="37"/>
      <c r="P141" s="2157" t="str">
        <f>A40</f>
        <v>c17.24a</v>
      </c>
      <c r="Q141" s="2182">
        <f>TRUNC(F141*SNil_rate,2)</f>
        <v>0</v>
      </c>
      <c r="R141" s="2181" t="s">
        <v>2694</v>
      </c>
      <c r="U141" s="2978"/>
    </row>
    <row customFormat="1" r="142" s="2982" spans="1:21" x14ac:dyDescent="0.2">
      <c r="A142" s="37"/>
      <c r="B142" s="37"/>
      <c r="C142" s="2975"/>
      <c r="E142" s="709"/>
      <c r="F142" s="394"/>
      <c r="U142" s="2978"/>
    </row>
    <row customFormat="1" r="143" s="2982" spans="1:21" x14ac:dyDescent="0.2">
      <c r="A143" s="37"/>
      <c r="F143" s="93" t="str">
        <f>"lower of "&amp;P123&amp;" and "&amp;L63</f>
        <v>lower of c17.22i and c17.12</v>
      </c>
      <c r="U143" s="111"/>
    </row>
    <row customFormat="1" r="144" s="2982" spans="1:21" x14ac:dyDescent="0.2">
      <c r="A144" s="37"/>
      <c r="C144" s="2975" t="s">
        <v>6744</v>
      </c>
      <c r="E144" s="2157" t="str">
        <f>A41</f>
        <v>c17.25</v>
      </c>
      <c r="F144" s="2180">
        <f>MIN(Q123,M63)</f>
        <v>38500</v>
      </c>
      <c r="U144" s="37"/>
    </row>
    <row customFormat="1" r="145" s="2982" spans="1:21" x14ac:dyDescent="0.2">
      <c r="A145" s="37"/>
      <c r="B145" s="37"/>
      <c r="D145" s="37"/>
      <c r="F145" s="93" t="str">
        <f><![CDATA["lower of ("&P126&" minus ("&E132&" + "&E141&")) and"]]></f>
        <v>lower of (c17.22k minus (c17.23a + c17.24)) and</v>
      </c>
      <c r="U145" s="37"/>
    </row>
    <row customFormat="1" r="146" s="2982" spans="1:21" x14ac:dyDescent="0.2">
      <c r="A146" s="37"/>
      <c r="B146" s="37"/>
      <c r="F146" s="93" t="str">
        <f><![CDATA["("&L63&" minus ("&E132&" + "&E141&" + "&E144&"))"]]></f>
        <v>(c17.12 minus (c17.23a + c17.24 + c17.25))</v>
      </c>
      <c r="Q146" s="93" t="str">
        <f>E147&amp;" x BR_rate ("&amp;BR_rate*100&amp;"%)"</f>
        <v>c17.25a x BR_rate (20%)</v>
      </c>
      <c r="U146" s="37"/>
    </row>
    <row customFormat="1" r="147" s="2982" spans="1:21" x14ac:dyDescent="0.2">
      <c r="A147" s="37"/>
      <c r="B147" s="37"/>
      <c r="C147" s="2984" t="s">
        <v>6745</v>
      </c>
      <c r="E147" s="2157" t="str">
        <f>A42</f>
        <v>c17.25a</v>
      </c>
      <c r="F147" s="2180">
        <f>MAX(0,MIN(Q126-(F132+F141),M63-(F132+F141+F144)))</f>
        <v>0</v>
      </c>
      <c r="P147" s="2157" t="str">
        <f>A43</f>
        <v>c17.25b</v>
      </c>
      <c r="Q147" s="2182">
        <f>TRUNC(F147*BR_rate,2)</f>
        <v>0</v>
      </c>
      <c r="R147" s="2181" t="s">
        <v>2694</v>
      </c>
      <c r="U147" s="37"/>
    </row>
    <row customFormat="1" r="148" s="2982" spans="1:21" x14ac:dyDescent="0.2">
      <c r="A148" s="37"/>
      <c r="B148" s="37"/>
    </row>
    <row customFormat="1" r="149" s="2982" spans="1:21" x14ac:dyDescent="0.2">
      <c r="A149" s="37"/>
      <c r="B149" s="37"/>
      <c r="D149" s="37"/>
      <c r="F149" s="93" t="str">
        <f>P123&amp;" minus "&amp;E144</f>
        <v>c17.22i minus c17.25</v>
      </c>
    </row>
    <row customFormat="1" r="150" s="2982" spans="1:21" x14ac:dyDescent="0.2">
      <c r="A150" s="37"/>
      <c r="B150" s="37"/>
      <c r="C150" s="2975" t="s">
        <v>6746</v>
      </c>
      <c r="E150" s="2157" t="str">
        <f>A44</f>
        <v>c17.26</v>
      </c>
      <c r="F150" s="2180">
        <f>MAX(0,(Q123-F144))</f>
        <v>11672</v>
      </c>
      <c r="R150" s="2181"/>
    </row>
    <row customFormat="1" r="151" s="2982" spans="1:21" x14ac:dyDescent="0.2">
      <c r="A151" s="37"/>
      <c r="B151" s="37"/>
      <c r="D151" s="37"/>
      <c r="F151" s="93" t="str">
        <f><![CDATA["lower of "&P126&" minus ("&E132&" + "&E141&" + "&E147&") and"]]></f>
        <v>lower of c17.22k minus (c17.23a + c17.24 + c17.25a) and</v>
      </c>
      <c r="P151" s="684"/>
    </row>
    <row customFormat="1" r="152" s="2982" spans="1:21" x14ac:dyDescent="0.2">
      <c r="A152" s="37"/>
      <c r="D152" s="1945"/>
      <c r="E152" s="1945"/>
      <c r="F152" s="2325" t="str">
        <f>"(HR_band ("&amp;DOLLAR(HR_band,0)&amp;") minus "&amp;E150&amp;")"</f>
        <v>(HR_band ($112,500) minus c17.26)</v>
      </c>
      <c r="G152" s="37"/>
      <c r="Q152" s="93" t="str">
        <f>E153&amp;" x HR_rate ("&amp;HR_rate*100&amp;"%)"</f>
        <v>c17.27 x HR_rate (40%)</v>
      </c>
    </row>
    <row customFormat="1" r="153" s="2982" spans="1:21" x14ac:dyDescent="0.2">
      <c r="A153" s="37"/>
      <c r="C153" s="2984" t="s">
        <v>6747</v>
      </c>
      <c r="E153" s="2157" t="str">
        <f>A45</f>
        <v>c17.27</v>
      </c>
      <c r="F153" s="2180">
        <f>MAX(0,MIN((Q126-(F132+F141+F147)),HR_band-F150))</f>
        <v>0</v>
      </c>
      <c r="G153" s="37"/>
      <c r="P153" s="2157" t="str">
        <f>A46</f>
        <v>c17.27a</v>
      </c>
      <c r="Q153" s="2182">
        <f>TRUNC(F153*HR_rate,2)</f>
        <v>0</v>
      </c>
      <c r="R153" s="2181" t="s">
        <v>2694</v>
      </c>
    </row>
    <row customFormat="1" r="154" s="2982" spans="1:21" x14ac:dyDescent="0.2">
      <c r="A154" s="37"/>
      <c r="D154" s="37"/>
      <c r="F154" s="93" t="str">
        <f>P126&amp;" minus"</f>
        <v>c17.22k minus</v>
      </c>
      <c r="P154" s="684"/>
    </row>
    <row customFormat="1" r="155" s="2982" spans="1:21" x14ac:dyDescent="0.2">
      <c r="A155" s="37"/>
      <c r="F155" s="93" t="str">
        <f><![CDATA["("&E132&" + "&E141&" + "&E147&" + "&E153&")"]]></f>
        <v>(c17.23a + c17.24 + c17.25a + c17.27)</v>
      </c>
      <c r="Q155" s="93" t="str">
        <f>E156&amp;" x AHR_rate ("&amp;AHR_rate*100&amp;"%)"</f>
        <v>c17.28 x AHR_rate (45%)</v>
      </c>
    </row>
    <row customFormat="1" r="156" s="2982" spans="1:21" x14ac:dyDescent="0.2">
      <c r="A156" s="37"/>
      <c r="C156" s="2979" t="s">
        <v>6748</v>
      </c>
      <c r="E156" s="2157" t="str">
        <f>A47</f>
        <v>c17.28</v>
      </c>
      <c r="F156" s="2180">
        <f>MAX(0,Q126-(F132+F141+F147+F153))</f>
        <v>0</v>
      </c>
      <c r="P156" s="2157" t="str">
        <f>A48</f>
        <v>c17.28a</v>
      </c>
      <c r="Q156" s="2182">
        <f>TRUNC(F156*AHR_rate,2)</f>
        <v>0</v>
      </c>
      <c r="R156" s="2181" t="s">
        <v>2694</v>
      </c>
    </row>
    <row customFormat="1" r="157" s="2982" spans="1:21" x14ac:dyDescent="0.2">
      <c r="A157" s="37"/>
      <c r="E157" s="684"/>
      <c r="P157" s="684"/>
    </row>
    <row customFormat="1" r="158" s="2982" spans="1:21" x14ac:dyDescent="0.2">
      <c r="A158" s="37"/>
      <c r="P158" s="684"/>
      <c r="Q158" s="93" t="str">
        <f><![CDATA[P132&" + "&P141&" + "&P147&" + "&P153&" + "&P156]]></f>
        <v>c17.23b + c17.24a + c17.25b + c17.27a + c17.28a</v>
      </c>
    </row>
    <row customFormat="1" r="159" s="2982" spans="1:21" x14ac:dyDescent="0.2">
      <c r="A159" s="37"/>
      <c r="P159" s="2157" t="str">
        <f>A49</f>
        <v>c17.29</v>
      </c>
      <c r="Q159" s="2182">
        <f>Q132+Q141+Q147+Q153+Q156</f>
        <v>0</v>
      </c>
    </row>
    <row customFormat="1" r="160" s="2982" spans="1:21" x14ac:dyDescent="0.2">
      <c r="A160" s="37"/>
      <c r="P160" s="684"/>
    </row>
    <row customFormat="1" r="161" s="2982" spans="1:18" x14ac:dyDescent="0.2">
      <c r="A161" s="37"/>
      <c r="C161" s="2982" t="s">
        <v>1377</v>
      </c>
      <c r="P161" s="684"/>
      <c r="Q161" s="93" t="str">
        <f>P126&amp;" x BR_rate ("&amp;BR_rate*100&amp;"%)"</f>
        <v>c17.22k x BR_rate (20%)</v>
      </c>
    </row>
    <row customFormat="1" r="162" s="2982" spans="1:18" x14ac:dyDescent="0.2">
      <c r="A162" s="37"/>
      <c r="C162" s="2984" t="s">
        <v>6749</v>
      </c>
      <c r="P162" s="2157" t="str">
        <f>A50</f>
        <v>c17.30</v>
      </c>
      <c r="Q162" s="2182">
        <f>TRUNC(Q126*BR_rate,2)</f>
        <v>0</v>
      </c>
      <c r="R162" s="2181" t="s">
        <v>2694</v>
      </c>
    </row>
    <row customFormat="1" r="163" s="2982" spans="1:18" x14ac:dyDescent="0.2">
      <c r="A163" s="37"/>
      <c r="P163" s="684"/>
    </row>
    <row customFormat="1" r="164" s="2982" spans="1:18" x14ac:dyDescent="0.2">
      <c r="A164" s="37"/>
      <c r="Q164" s="93" t="str">
        <f>P159&amp;" minus "&amp;P162</f>
        <v>c17.29 minus c17.30</v>
      </c>
    </row>
    <row customFormat="1" r="165" s="2982" spans="1:18" x14ac:dyDescent="0.2">
      <c r="A165" s="37"/>
      <c r="P165" s="2157" t="str">
        <f>A51</f>
        <v>c17.31</v>
      </c>
      <c r="Q165" s="2182">
        <f>MAX(0,Q159-Q162)</f>
        <v>0</v>
      </c>
    </row>
    <row customFormat="1" r="166" s="2982" spans="1:18" x14ac:dyDescent="0.2">
      <c r="A166" s="37"/>
      <c r="C166" s="1022" t="s">
        <v>1128</v>
      </c>
    </row>
    <row customFormat="1" r="167" s="2982" spans="1:18" x14ac:dyDescent="0.2">
      <c r="A167" s="37"/>
      <c r="F167" s="2978" t="str">
        <f>L47&amp;" + "&amp;L101</f>
        <v>c17.5 + c17.22</v>
      </c>
      <c r="K167" s="2978"/>
      <c r="L167" s="2978"/>
      <c r="M167" s="2978"/>
      <c r="N167" s="2978"/>
    </row>
    <row customFormat="1" r="168" s="2982" spans="1:18" x14ac:dyDescent="0.2">
      <c r="A168" s="37"/>
      <c r="E168" s="2157" t="str">
        <f>A52</f>
        <v>c17.32</v>
      </c>
      <c r="F168" s="2158">
        <f>M47+M101</f>
        <v>63872</v>
      </c>
      <c r="I168" s="2978"/>
      <c r="J168" s="2978"/>
      <c r="K168" s="37"/>
      <c r="L168" s="37"/>
      <c r="M168" s="37"/>
      <c r="N168" s="37"/>
    </row>
    <row customFormat="1" r="169" s="2982" spans="1:18" x14ac:dyDescent="0.2">
      <c r="A169" s="37"/>
      <c r="D169" s="2978"/>
      <c r="E169" s="682"/>
      <c r="F169" s="2978"/>
      <c r="I169" s="2978"/>
      <c r="J169" s="2978"/>
      <c r="K169" s="37"/>
      <c r="L169" s="37"/>
      <c r="M169" s="37"/>
      <c r="N169" s="37"/>
    </row>
    <row customFormat="1" r="170" s="2982" spans="1:18" x14ac:dyDescent="0.2">
      <c r="A170" s="37"/>
      <c r="D170" s="2978"/>
      <c r="E170" s="682"/>
      <c r="F170" s="2978" t="str">
        <f>E168&amp;" minus "&amp;E101</f>
        <v>c17.32 minus c17.21</v>
      </c>
      <c r="I170" s="2978"/>
      <c r="J170" s="2978"/>
      <c r="K170" s="37"/>
      <c r="L170" s="37"/>
      <c r="M170" s="37"/>
      <c r="N170" s="37"/>
    </row>
    <row customFormat="1" r="171" s="2982" spans="1:18" x14ac:dyDescent="0.2">
      <c r="A171" s="37"/>
      <c r="E171" s="2157" t="str">
        <f>A53</f>
        <v>c17.33</v>
      </c>
      <c r="F171" s="2183">
        <f>MAX(0,F168-F101)</f>
        <v>63872</v>
      </c>
      <c r="I171" s="2978"/>
    </row>
    <row customFormat="1" r="172" s="2982" spans="1:18" x14ac:dyDescent="0.2">
      <c r="A172" s="37"/>
      <c r="E172" s="684"/>
      <c r="I172" s="2978"/>
    </row>
    <row customFormat="1" r="173" s="2982" spans="1:18" x14ac:dyDescent="0.2">
      <c r="A173" s="37"/>
      <c r="E173" s="684"/>
      <c r="F173" s="106" t="str">
        <f>E171&amp;" minus "&amp;L52</f>
        <v>c17.33 minus c17.8</v>
      </c>
      <c r="I173" s="2978"/>
    </row>
    <row customFormat="1" r="174" s="2982" spans="1:18" x14ac:dyDescent="0.2">
      <c r="A174" s="37"/>
      <c r="E174" s="2157" t="str">
        <f>A54</f>
        <v>c17.34</v>
      </c>
      <c r="F174" s="1978">
        <f>MAX(0,F171-M52)</f>
        <v>50172</v>
      </c>
      <c r="I174" s="2978"/>
    </row>
    <row customFormat="1" r="175" s="2982" spans="1:18" x14ac:dyDescent="0.2">
      <c r="A175" s="37"/>
      <c r="E175" s="709"/>
      <c r="F175" s="394"/>
      <c r="I175" s="2978"/>
    </row>
    <row customFormat="1" r="176" s="2982" spans="1:18" x14ac:dyDescent="0.2">
      <c r="A176" s="37"/>
      <c r="E176" s="684"/>
      <c r="F176" s="106" t="str">
        <f>E174&amp;" minus "&amp;L63</f>
        <v>c17.34 minus c17.12</v>
      </c>
    </row>
    <row customFormat="1" r="177" s="2982" spans="1:17" x14ac:dyDescent="0.2">
      <c r="A177" s="37"/>
      <c r="C177" s="2982" t="s">
        <v>1129</v>
      </c>
      <c r="E177" s="2157" t="str">
        <f>A55</f>
        <v>c17.35</v>
      </c>
      <c r="F177" s="1978">
        <f>MAX(0,F174-M63)</f>
        <v>11672</v>
      </c>
      <c r="I177" s="2978"/>
    </row>
    <row customFormat="1" r="178" s="2982" spans="1:17" x14ac:dyDescent="0.2">
      <c r="A178" s="37"/>
      <c r="E178" s="684"/>
      <c r="F178" s="394"/>
      <c r="I178" s="2978"/>
    </row>
    <row customFormat="1" r="179" s="2982" spans="1:17" x14ac:dyDescent="0.2">
      <c r="A179" s="37"/>
      <c r="E179" s="684"/>
      <c r="F179" s="836" t="str">
        <f>"lower of "&amp;L101&amp;" and "&amp;E177</f>
        <v>lower of c17.22 and c17.35</v>
      </c>
      <c r="I179" s="2978"/>
    </row>
    <row customFormat="1" r="180" s="2982" spans="1:17" x14ac:dyDescent="0.2">
      <c r="A180" s="37"/>
      <c r="C180" s="93" t="s">
        <v>1130</v>
      </c>
      <c r="E180" s="2157" t="str">
        <f>A56</f>
        <v>c17.36</v>
      </c>
      <c r="F180" s="1978">
        <f>MIN(M101,F177)</f>
        <v>0</v>
      </c>
      <c r="I180" s="2978"/>
    </row>
    <row customFormat="1" r="181" s="2982" spans="1:17" x14ac:dyDescent="0.2">
      <c r="A181" s="37"/>
      <c r="D181" s="93"/>
      <c r="E181" s="689"/>
      <c r="F181" s="394"/>
      <c r="I181" s="2978"/>
    </row>
    <row customFormat="1" r="182" s="2982" spans="1:17" x14ac:dyDescent="0.2">
      <c r="A182" s="37"/>
      <c r="D182" s="93"/>
      <c r="E182" s="684"/>
      <c r="F182" s="106" t="str">
        <f>E177&amp;" minus "&amp;E180</f>
        <v>c17.35 minus c17.36</v>
      </c>
      <c r="I182" s="2978"/>
    </row>
    <row customFormat="1" r="183" s="2982" spans="1:17" x14ac:dyDescent="0.2">
      <c r="A183" s="37"/>
      <c r="C183" s="2982" t="s">
        <v>2637</v>
      </c>
      <c r="D183" s="93"/>
      <c r="E183" s="2157" t="str">
        <f>A57</f>
        <v>c17.37</v>
      </c>
      <c r="F183" s="1978">
        <f>MAX(0,F177-F180)</f>
        <v>11672</v>
      </c>
      <c r="I183" s="2978"/>
    </row>
    <row customFormat="1" r="184" s="2982" spans="1:17" x14ac:dyDescent="0.2">
      <c r="A184" s="37"/>
      <c r="C184" s="2982" t="s">
        <v>2638</v>
      </c>
      <c r="D184" s="93"/>
      <c r="E184" s="684"/>
      <c r="I184" s="2978"/>
    </row>
    <row customFormat="1" r="185" s="2982" spans="1:17" x14ac:dyDescent="0.2">
      <c r="A185" s="37"/>
      <c r="D185" s="93"/>
      <c r="E185" s="709"/>
      <c r="F185" s="106" t="str">
        <f>L71&amp;" minus "&amp;E183</f>
        <v>c17.16 minus c17.37</v>
      </c>
      <c r="I185" s="2978"/>
    </row>
    <row customFormat="1" r="186" s="2982" spans="1:17" x14ac:dyDescent="0.2">
      <c r="A186" s="37"/>
      <c r="C186" s="2982" t="s">
        <v>2636</v>
      </c>
      <c r="D186" s="93"/>
      <c r="E186" s="2157" t="str">
        <f>A58</f>
        <v>c17.38</v>
      </c>
      <c r="F186" s="1978">
        <f>MAX(0,M71-F183)</f>
        <v>0</v>
      </c>
      <c r="I186" s="2978"/>
    </row>
    <row customFormat="1" r="187" s="2982" spans="1:17" x14ac:dyDescent="0.2">
      <c r="A187" s="37"/>
      <c r="D187" s="93"/>
      <c r="E187" s="709"/>
      <c r="F187" s="394"/>
      <c r="I187" s="2978"/>
    </row>
    <row customFormat="1" r="188" s="2982" spans="1:17" x14ac:dyDescent="0.2">
      <c r="A188" s="37"/>
      <c r="B188" s="709" t="str">
        <f><![CDATA["If "&E186&" is zero no Top Slicing Relief is due set "&P192&" to "&L235&" to 0 (zero)"]]></f>
        <v>If c17.38 is zero no Top Slicing Relief is due set c17.38a to c17.48 to 0 (zero)</v>
      </c>
      <c r="D188" s="93"/>
      <c r="F188" s="394"/>
      <c r="I188" s="2978"/>
    </row>
    <row customFormat="1" r="189" s="2982" spans="1:17" x14ac:dyDescent="0.2">
      <c r="A189" s="37"/>
      <c r="B189" s="709" t="s">
        <v>2386</v>
      </c>
    </row>
    <row customFormat="1" r="190" s="2982" spans="1:17" x14ac:dyDescent="0.2">
      <c r="A190" s="37"/>
      <c r="B190" s="709" t="str">
        <f>"calculate TSR (boxes "&amp;P192&amp;" to "&amp;L235&amp;")"</f>
        <v>calculate TSR (boxes c17.38a to c17.48)</v>
      </c>
    </row>
    <row customFormat="1" r="191" s="2982" spans="1:17" x14ac:dyDescent="0.2">
      <c r="A191" s="37"/>
      <c r="B191" s="709"/>
      <c r="Q191" s="93" t="str">
        <f>L101&amp;" minus "&amp;L126</f>
        <v>c17.22 minus c17.22j</v>
      </c>
    </row>
    <row customFormat="1" r="192" s="2982" spans="1:17" x14ac:dyDescent="0.2">
      <c r="A192" s="37"/>
      <c r="B192" s="709"/>
      <c r="C192" s="2982" t="s">
        <v>6741</v>
      </c>
      <c r="P192" s="3059" t="str">
        <f>A59</f>
        <v>c17.38a</v>
      </c>
      <c r="Q192" s="2321">
        <f>MAX(0,M101-M126)</f>
        <v>0</v>
      </c>
    </row>
    <row customFormat="1" r="193" s="2982" spans="1:14" x14ac:dyDescent="0.2">
      <c r="A193" s="37"/>
    </row>
    <row customFormat="1" r="194" s="2982" spans="1:14" x14ac:dyDescent="0.2">
      <c r="A194" s="37"/>
      <c r="D194" s="37"/>
      <c r="F194" s="93" t="str">
        <f>"lower of "&amp;P192&amp;" and SR_band ("&amp;DOLLAR(SR_band,0)&amp;")"</f>
        <v>lower of c17.38a and SR_band ($5,000)</v>
      </c>
      <c r="G194" s="37"/>
    </row>
    <row customFormat="1" r="195" s="2982" spans="1:14" x14ac:dyDescent="0.2">
      <c r="A195" s="37"/>
      <c r="C195" s="2982" t="s">
        <v>613</v>
      </c>
      <c r="E195" s="2157" t="str">
        <f>A60</f>
        <v>c17.38b</v>
      </c>
      <c r="F195" s="2180">
        <f>MIN(Q192,SR_band)</f>
        <v>0</v>
      </c>
      <c r="G195" s="37"/>
    </row>
    <row customFormat="1" r="196" s="2982" spans="1:14" x14ac:dyDescent="0.2">
      <c r="A196" s="37"/>
      <c r="F196" s="93" t="str">
        <f>"lower of "&amp;E195&amp;" and"</f>
        <v>lower of c17.38b and</v>
      </c>
      <c r="G196" s="37"/>
    </row>
    <row customFormat="1" r="197" s="2982" spans="1:14" x14ac:dyDescent="0.2">
      <c r="A197" s="37"/>
      <c r="D197" s="37"/>
      <c r="F197" s="93" t="str">
        <f>"(SR_band ("&amp;DOLLAR(SR_band,0)&amp;") minus ("&amp;P123&amp;"))"</f>
        <v>(SR_band ($5,000) minus (c17.22i))</v>
      </c>
      <c r="G197" s="37"/>
      <c r="M197" s="93" t="str">
        <f>E198&amp;" x SR_rate ("&amp;SR_rate*100&amp;"%)"</f>
        <v>c17.38c x SR_rate (0%)</v>
      </c>
    </row>
    <row customFormat="1" r="198" s="2982" spans="1:14" x14ac:dyDescent="0.2">
      <c r="A198" s="37"/>
      <c r="C198" s="2984" t="s">
        <v>6742</v>
      </c>
      <c r="E198" s="2157" t="str">
        <f>A61</f>
        <v>c17.38c</v>
      </c>
      <c r="F198" s="2180">
        <f>MIN(F195,MAX(0,SR_band-Q123))</f>
        <v>0</v>
      </c>
      <c r="G198" s="37"/>
      <c r="L198" s="2157" t="str">
        <f>A62</f>
        <v>c17.38d</v>
      </c>
      <c r="M198" s="2182">
        <f>TRUNC(F198*SR_rate,2)</f>
        <v>0</v>
      </c>
      <c r="N198" s="2181" t="s">
        <v>2694</v>
      </c>
    </row>
    <row customFormat="1" r="199" s="2982" spans="1:14" x14ac:dyDescent="0.2">
      <c r="A199" s="37"/>
      <c r="C199" s="2975"/>
      <c r="D199" s="37"/>
      <c r="F199" s="93" t="str">
        <f>"lower of ("&amp;P192&amp;" minus "&amp;E198&amp;") and"</f>
        <v>lower of (c17.38a minus c17.38c) and</v>
      </c>
      <c r="I199" s="2978"/>
    </row>
    <row customFormat="1" r="200" s="2982" spans="1:14" x14ac:dyDescent="0.2">
      <c r="A200" s="37"/>
      <c r="C200" s="2975"/>
      <c r="D200" s="37"/>
      <c r="F200" s="93" t="str">
        <f>"("&amp;'Deductions (c4)'!L430&amp;" minus "&amp;E138&amp;")"</f>
        <v>(c4.79 minus c17.23d)</v>
      </c>
      <c r="I200" s="2978"/>
      <c r="M200" s="93" t="str">
        <f>E201&amp;" x SNil_rate ("&amp;SNil_rate*100&amp;"%)"</f>
        <v>c17.38e x SNil_rate (0%)</v>
      </c>
    </row>
    <row customFormat="1" r="201" s="2982" spans="1:14" x14ac:dyDescent="0.2">
      <c r="A201" s="37"/>
      <c r="C201" s="2984" t="s">
        <v>6743</v>
      </c>
      <c r="E201" s="2157" t="str">
        <f>A63</f>
        <v>c17.38e</v>
      </c>
      <c r="F201" s="2180">
        <f>MIN(MAX(0,Q192-F198),MAX(0,PSA-F138))</f>
        <v>0</v>
      </c>
      <c r="I201" s="2978"/>
      <c r="L201" s="2157" t="str">
        <f>A64</f>
        <v>c17.38f</v>
      </c>
      <c r="M201" s="2182">
        <f>TRUNC(F201*SNil_rate,2)</f>
        <v>0</v>
      </c>
      <c r="N201" s="2181" t="s">
        <v>2694</v>
      </c>
    </row>
    <row customFormat="1" r="202" s="2982" spans="1:14" x14ac:dyDescent="0.2">
      <c r="A202" s="37"/>
      <c r="C202" s="2975"/>
      <c r="I202" s="2978"/>
    </row>
    <row customFormat="1" r="203" s="2982" spans="1:14" x14ac:dyDescent="0.2">
      <c r="A203" s="37"/>
      <c r="D203" s="37"/>
      <c r="F203" s="93" t="str">
        <f>"from "&amp;E144</f>
        <v>from c17.25</v>
      </c>
      <c r="I203" s="2978"/>
    </row>
    <row customFormat="1" r="204" s="2982" spans="1:14" x14ac:dyDescent="0.2">
      <c r="A204" s="37"/>
      <c r="B204" s="1024"/>
      <c r="C204" s="2975" t="s">
        <v>6744</v>
      </c>
      <c r="E204" s="2157" t="str">
        <f>A65</f>
        <v>c17.38g</v>
      </c>
      <c r="F204" s="2180">
        <f>F144</f>
        <v>38500</v>
      </c>
      <c r="I204" s="2978"/>
    </row>
    <row customFormat="1" r="205" s="2982" spans="1:14" x14ac:dyDescent="0.2">
      <c r="A205" s="37"/>
      <c r="D205" s="93"/>
      <c r="F205" s="93" t="str">
        <f><![CDATA["lower of ("&P192&" minus ("&E198&" + "&E201&")) and"]]></f>
        <v>lower of (c17.38a minus (c17.38c + c17.38e)) and</v>
      </c>
      <c r="I205" s="2978"/>
    </row>
    <row customFormat="1" r="206" s="2982" spans="1:14" x14ac:dyDescent="0.2">
      <c r="A206" s="37"/>
      <c r="D206" s="93"/>
      <c r="F206" s="93" t="str">
        <f><![CDATA["("&L63&" minus ("&E198&" + "&E201&" + "&E204&"))"]]></f>
        <v>(c17.12 minus (c17.38c + c17.38e + c17.38g))</v>
      </c>
      <c r="I206" s="2978"/>
      <c r="M206" s="93" t="str">
        <f>E207&amp;" x BR_rate ("&amp;BR_rate*100&amp;"%)"</f>
        <v>c17.38h x BR_rate (20%)</v>
      </c>
    </row>
    <row customFormat="1" r="207" s="2982" spans="1:14" x14ac:dyDescent="0.2">
      <c r="A207" s="37"/>
      <c r="C207" s="2984" t="s">
        <v>6745</v>
      </c>
      <c r="D207" s="93"/>
      <c r="E207" s="2157" t="str">
        <f>A66</f>
        <v>c17.38h</v>
      </c>
      <c r="F207" s="2180">
        <f>MIN(MAX(0,Q192-(F198+F201)),MAX(0,M63-(F198+F201+F204)))</f>
        <v>0</v>
      </c>
      <c r="I207" s="2978"/>
      <c r="L207" s="2157" t="str">
        <f>A67</f>
        <v>c17.38i</v>
      </c>
      <c r="M207" s="2182">
        <f>TRUNC(F207*BR_rate,2)</f>
        <v>0</v>
      </c>
      <c r="N207" s="2181" t="s">
        <v>2694</v>
      </c>
    </row>
    <row customFormat="1" r="208" s="2982" spans="1:14" x14ac:dyDescent="0.2">
      <c r="A208" s="37"/>
      <c r="D208" s="93"/>
      <c r="F208" s="394"/>
      <c r="I208" s="2978"/>
    </row>
    <row customFormat="1" r="209" s="2982" spans="1:19" x14ac:dyDescent="0.2">
      <c r="A209" s="37"/>
      <c r="D209" s="37"/>
      <c r="F209" s="93" t="str">
        <f>"from "&amp;E150</f>
        <v>from c17.26</v>
      </c>
      <c r="I209" s="37"/>
    </row>
    <row customFormat="1" r="210" s="2982" spans="1:19" x14ac:dyDescent="0.2">
      <c r="A210" s="37"/>
      <c r="C210" s="2975" t="s">
        <v>6746</v>
      </c>
      <c r="E210" s="2157" t="str">
        <f>A68</f>
        <v>c17.38j</v>
      </c>
      <c r="F210" s="2180">
        <f>F150</f>
        <v>11672</v>
      </c>
    </row>
    <row customFormat="1" r="211" s="2982" spans="1:19" x14ac:dyDescent="0.2">
      <c r="A211" s="37"/>
      <c r="F211" s="93" t="str">
        <f><![CDATA["lower of ("&P192&" minus ("&E198&" + "&E201&" + "&E207&")) and"]]></f>
        <v>lower of (c17.38a minus (c17.38c + c17.38e + c17.38h)) and</v>
      </c>
    </row>
    <row customFormat="1" r="212" s="2982" spans="1:19" x14ac:dyDescent="0.2">
      <c r="A212" s="37"/>
      <c r="D212" s="2324"/>
      <c r="E212" s="1945"/>
      <c r="F212" s="2325" t="str">
        <f>"(HR_band ("&amp;DOLLAR(HR_band,0)&amp;") minus "&amp;E210&amp;")"</f>
        <v>(HR_band ($112,500) minus c17.38j)</v>
      </c>
      <c r="M212" s="93" t="str">
        <f>E213&amp;" x HR_rate ("&amp;HR_rate*100&amp;"%)"</f>
        <v>c17.39 x HR_rate (40%)</v>
      </c>
    </row>
    <row customFormat="1" r="213" s="2982" spans="1:19" x14ac:dyDescent="0.2">
      <c r="A213" s="37"/>
      <c r="C213" s="2984" t="s">
        <v>6747</v>
      </c>
      <c r="D213" s="37"/>
      <c r="E213" s="2157" t="str">
        <f>A69</f>
        <v>c17.39</v>
      </c>
      <c r="F213" s="2180">
        <f>MAX(0,MIN(Q192-(F198+F201+F207),HR_band-F210))</f>
        <v>0</v>
      </c>
      <c r="I213" s="37"/>
      <c r="L213" s="2157" t="str">
        <f>A70</f>
        <v>c17.40</v>
      </c>
      <c r="M213" s="2182">
        <f>TRUNC(F213*HR_rate,2)</f>
        <v>0</v>
      </c>
      <c r="N213" s="2181" t="s">
        <v>2694</v>
      </c>
    </row>
    <row customFormat="1" r="214" s="2982" spans="1:19" x14ac:dyDescent="0.2">
      <c r="A214" s="37"/>
      <c r="E214" s="684"/>
      <c r="F214" s="93" t="str">
        <f>P192&amp;" minus"</f>
        <v>c17.38a minus</v>
      </c>
      <c r="G214" s="37"/>
      <c r="I214" s="37"/>
      <c r="L214" s="684"/>
    </row>
    <row customFormat="1" r="215" s="2982" spans="1:19" x14ac:dyDescent="0.2">
      <c r="A215" s="37"/>
      <c r="D215" s="37"/>
      <c r="F215" s="93" t="str">
        <f><![CDATA["("&E198&" + "&E201&" + "&E207&" + "&E213&")"]]></f>
        <v>(c17.38c + c17.38e + c17.38h + c17.39)</v>
      </c>
      <c r="G215" s="37"/>
      <c r="I215" s="37"/>
      <c r="M215" s="93" t="str">
        <f>E216&amp;" x AHR_rate ("&amp;AHR_rate*100&amp;"%)"</f>
        <v>c17.41 x AHR_rate (45%)</v>
      </c>
    </row>
    <row customFormat="1" r="216" s="2982" spans="1:19" x14ac:dyDescent="0.2">
      <c r="A216" s="37"/>
      <c r="C216" s="2979" t="s">
        <v>6748</v>
      </c>
      <c r="D216" s="37"/>
      <c r="E216" s="2157" t="str">
        <f>A71</f>
        <v>c17.41</v>
      </c>
      <c r="F216" s="2180">
        <f>MAX(0,Q192-(F198+F201+F207+F213))</f>
        <v>0</v>
      </c>
      <c r="G216" s="37"/>
      <c r="I216" s="37"/>
      <c r="L216" s="2157" t="str">
        <f>A72</f>
        <v>c17.42</v>
      </c>
      <c r="M216" s="2182">
        <f>TRUNC(F216*AHR_rate,2)</f>
        <v>0</v>
      </c>
      <c r="N216" s="2181" t="s">
        <v>2694</v>
      </c>
    </row>
    <row customFormat="1" r="217" s="2982" spans="1:19" x14ac:dyDescent="0.2">
      <c r="A217" s="37"/>
      <c r="D217" s="37"/>
      <c r="L217" s="684"/>
    </row>
    <row customFormat="1" r="218" s="2982" spans="1:19" x14ac:dyDescent="0.2">
      <c r="A218" s="37"/>
      <c r="B218" s="709" t="str">
        <f>"If "&amp;E216&amp;" is equal to "&amp;L101&amp;" no Top Slicing Relief is due"</f>
        <v>If c17.41 is equal to c17.22 no Top Slicing Relief is due</v>
      </c>
      <c r="D218" s="37"/>
      <c r="L218" s="684"/>
    </row>
    <row customFormat="1" r="219" s="2982" spans="1:19" x14ac:dyDescent="0.2">
      <c r="A219" s="37"/>
      <c r="B219" s="709" t="str">
        <f>"set "&amp;L223&amp;" to "&amp;L235&amp;" to 0 (zero)"</f>
        <v>set c17.43 to c17.48 to 0 (zero)</v>
      </c>
      <c r="D219" s="37"/>
      <c r="L219" s="684"/>
    </row>
    <row customFormat="1" r="220" s="2982" spans="1:19" x14ac:dyDescent="0.2">
      <c r="A220" s="37"/>
      <c r="B220" s="709" t="s">
        <v>2386</v>
      </c>
      <c r="D220" s="37"/>
      <c r="L220" s="684"/>
    </row>
    <row customFormat="1" r="221" s="2982" spans="1:19" x14ac:dyDescent="0.2">
      <c r="A221" s="37"/>
      <c r="B221" s="709" t="str">
        <f>"calculate "&amp;L223&amp;" to "&amp;L235</f>
        <v>calculate c17.43 to c17.48</v>
      </c>
      <c r="D221" s="37"/>
      <c r="L221" s="684"/>
    </row>
    <row customFormat="1" r="222" s="2982" spans="1:19" x14ac:dyDescent="0.2">
      <c r="A222" s="37"/>
      <c r="L222" s="684"/>
      <c r="M222" s="93" t="str">
        <f><![CDATA[L198&" + "&L201&" + "&L207&" + "&L213&" + "&L216]]></f>
        <v>c17.38d + c17.38f + c17.38i + c17.40 + c17.42</v>
      </c>
    </row>
    <row customFormat="1" r="223" s="2982" spans="1:19" x14ac:dyDescent="0.2">
      <c r="A223" s="37"/>
      <c r="L223" s="2157" t="str">
        <f>A73</f>
        <v>c17.43</v>
      </c>
      <c r="M223" s="2182">
        <f>IF(F216=M101,0,IF(F186=0,0,M198+M201+M207+M213+M216))</f>
        <v>0</v>
      </c>
      <c r="S223" s="37"/>
    </row>
    <row customFormat="1" r="224" s="2982" spans="1:19" x14ac:dyDescent="0.2">
      <c r="A224" s="37"/>
    </row>
    <row customFormat="1" r="225" s="2982" spans="1:14" x14ac:dyDescent="0.2">
      <c r="A225" s="37"/>
      <c r="C225" s="2982" t="s">
        <v>1377</v>
      </c>
      <c r="L225" s="684"/>
      <c r="M225" s="93" t="str">
        <f>P192&amp;" x BR_rate ("&amp;BR_rate*100&amp;"%)"</f>
        <v>c17.38a x BR_rate (20%)</v>
      </c>
    </row>
    <row customFormat="1" r="226" s="2982" spans="1:14" x14ac:dyDescent="0.2">
      <c r="A226" s="37"/>
      <c r="C226" s="2984" t="s">
        <v>6749</v>
      </c>
      <c r="L226" s="2157" t="str">
        <f>A74</f>
        <v>c17.44</v>
      </c>
      <c r="M226" s="2182">
        <f>IF(F216=M101,0,IF(F186=0,0,TRUNC(Q192*BR_rate,2)))</f>
        <v>0</v>
      </c>
      <c r="N226" s="2181" t="s">
        <v>2694</v>
      </c>
    </row>
    <row customFormat="1" r="227" s="2982" spans="1:14" x14ac:dyDescent="0.2">
      <c r="A227" s="37"/>
      <c r="E227" s="2975" t="str">
        <f>"If "&amp;E101&amp;" divided by "&amp;L101&amp;" &gt;1"</f>
        <v>If c17.21 divided by c17.22 &gt;1</v>
      </c>
      <c r="L227" s="684"/>
    </row>
    <row customFormat="1" r="228" s="2982" spans="1:14" x14ac:dyDescent="0.2">
      <c r="A228" s="37"/>
      <c r="E228" s="2984" t="str">
        <f>E232&amp;" = "&amp;E101&amp;" divided by "&amp;L101</f>
        <v>c17.46 = c17.21 divided by c17.22</v>
      </c>
      <c r="M228" s="93" t="str">
        <f>L223&amp;" minus "&amp;L226</f>
        <v>c17.43 minus c17.44</v>
      </c>
    </row>
    <row customFormat="1" r="229" s="2982" spans="1:14" x14ac:dyDescent="0.2">
      <c r="A229" s="37"/>
      <c r="E229" s="2982" t="s">
        <v>2386</v>
      </c>
      <c r="G229" s="2984"/>
      <c r="K229" s="838" t="s">
        <v>1131</v>
      </c>
      <c r="L229" s="2157" t="str">
        <f>A75</f>
        <v>c17.45</v>
      </c>
      <c r="M229" s="2182">
        <f>IF(F216=M101,0,IF(F186=0,0,MAX(0,M223-M226)))</f>
        <v>0</v>
      </c>
    </row>
    <row customFormat="1" r="230" s="2982" spans="1:14" x14ac:dyDescent="0.2">
      <c r="A230" s="37"/>
      <c r="D230" s="2979"/>
      <c r="E230" s="2975" t="str">
        <f>E232&amp;" = 1"</f>
        <v>c17.46 = 1</v>
      </c>
      <c r="K230" s="37"/>
      <c r="L230" s="37"/>
      <c r="M230" s="37"/>
      <c r="N230" s="37"/>
    </row>
    <row customFormat="1" r="231" s="2982" spans="1:14" x14ac:dyDescent="0.2">
      <c r="A231" s="37"/>
      <c r="E231" s="2982" t="s">
        <v>4040</v>
      </c>
      <c r="M231" s="103" t="str">
        <f>L229&amp;" x "&amp;E232</f>
        <v>c17.45 x c17.46</v>
      </c>
      <c r="N231" s="37"/>
    </row>
    <row customFormat="1" r="232" s="2982" spans="1:14" x14ac:dyDescent="0.2">
      <c r="A232" s="37"/>
      <c r="E232" s="2179" t="str">
        <f>A76</f>
        <v>c17.46</v>
      </c>
      <c r="F232" s="2184">
        <f>IF(F216=M101,0,IF(F186=0,0,IF(M101&gt;0,TRUNC(F101/M101,4),1)))</f>
        <v>0</v>
      </c>
      <c r="G232" s="929" t="s">
        <v>36</v>
      </c>
      <c r="K232" s="838" t="s">
        <v>1132</v>
      </c>
      <c r="L232" s="2179" t="str">
        <f>A77</f>
        <v>c17.47</v>
      </c>
      <c r="M232" s="2185">
        <f>IF(F216=M101,0,IF(F186=0,0,TRUNC(M229*F232,2)))</f>
        <v>0</v>
      </c>
      <c r="N232" s="2181" t="s">
        <v>2694</v>
      </c>
    </row>
    <row customFormat="1" r="233" s="2982" spans="1:14" x14ac:dyDescent="0.2">
      <c r="A233" s="37"/>
    </row>
    <row customFormat="1" r="234" s="2982" spans="1:14" x14ac:dyDescent="0.2">
      <c r="A234" s="37"/>
      <c r="M234" s="93" t="str">
        <f>P165&amp;" minus "&amp;L232</f>
        <v>c17.31 minus c17.47</v>
      </c>
      <c r="N234" s="93"/>
    </row>
    <row customFormat="1" r="235" s="2982" spans="1:14" x14ac:dyDescent="0.2">
      <c r="A235" s="37"/>
      <c r="D235" s="2978" t="s">
        <v>2031</v>
      </c>
      <c r="L235" s="2027" t="str">
        <f>A78</f>
        <v>c17.48</v>
      </c>
      <c r="M235" s="2185">
        <f>IF(OR(F216=M101,F186=0,box_NRD1),0,MAX(0,Q165-M232))</f>
        <v>0</v>
      </c>
      <c r="N235" s="2186"/>
    </row>
    <row customFormat="1" r="236" s="2982" spans="1:14" x14ac:dyDescent="0.2">
      <c r="A236" s="37"/>
      <c r="M236" s="2978" t="str">
        <f>"copy to box "&amp;'Tax adj (c9)'!I11</f>
        <v>copy to box c9.3</v>
      </c>
      <c r="N236" s="2978"/>
    </row>
    <row customFormat="1" r="237" s="2982" spans="1:14" x14ac:dyDescent="0.2">
      <c r="A237" s="37"/>
      <c r="B237" s="2767" t="s">
        <v>2495</v>
      </c>
    </row>
    <row customFormat="1" r="238" s="2982" spans="1:14" x14ac:dyDescent="0.2">
      <c r="A238" s="37"/>
      <c r="B238" s="1024" t="s">
        <v>2495</v>
      </c>
    </row>
    <row customFormat="1" r="239" s="2982" spans="1:14" x14ac:dyDescent="0.2">
      <c r="A239" s="37"/>
      <c r="B239" s="2768" t="s">
        <v>2495</v>
      </c>
    </row>
    <row customFormat="1" r="240" s="2982" spans="1:14" x14ac:dyDescent="0.2">
      <c r="A240" s="37"/>
      <c r="B240" s="709" t="s">
        <v>2386</v>
      </c>
    </row>
    <row customFormat="1" r="241" s="2982" spans="1:2" x14ac:dyDescent="0.2">
      <c r="A241" s="37"/>
      <c r="B241" s="1023" t="str">
        <f>L37&amp;" to "&amp;L235&amp;" = 0 (zero)"</f>
        <v>c17.1 to c17.48 = 0 (zero)</v>
      </c>
    </row>
    <row r="242" spans="1:2" x14ac:dyDescent="0.2">
      <c r="B242" s="1024" t="s">
        <v>2495</v>
      </c>
    </row>
  </sheetData>
  <mergeCells count="2">
    <mergeCell ref="B15:S15"/>
    <mergeCell ref="B17:S17"/>
  </mergeCells>
  <phoneticPr fontId="67" type="noConversion"/>
  <pageMargins bottom="0.19685039370078741" footer="0" header="0" left="0.19685039370078741" right="0.19685039370078741" top="0.19685039370078741"/>
  <pageSetup orientation="portrait" paperSize="9" r:id="rId1"/>
  <headerFooter alignWithMargins="0"/>
</worksheet>
</file>

<file path=xl/worksheets/sheet77.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C00-000000000000}">
  <sheetPr codeName="Sheet1"/>
  <dimension ref="A1:K46"/>
  <sheetViews>
    <sheetView showGridLines="0" workbookViewId="0">
      <selection activeCell="E22" sqref="E22"/>
    </sheetView>
  </sheetViews>
  <sheetFormatPr defaultColWidth="9.140625" defaultRowHeight="12" x14ac:dyDescent="0.2"/>
  <cols>
    <col min="1" max="1" customWidth="true" style="34" width="38.7109375" collapsed="true"/>
    <col min="2" max="2" customWidth="true" style="34" width="11.7109375" collapsed="true"/>
    <col min="3" max="3" customWidth="true" style="34" width="13.140625" collapsed="true"/>
    <col min="4" max="4" customWidth="true" style="34" width="12.28515625" collapsed="true"/>
    <col min="5" max="6" customWidth="true" style="34" width="12.85546875" collapsed="true"/>
    <col min="7" max="8" customWidth="true" style="34" width="12.42578125" collapsed="true"/>
    <col min="9" max="9" customWidth="true" style="34" width="4.28515625" collapsed="true"/>
    <col min="10" max="16384" style="34" width="9.140625" collapsed="true"/>
  </cols>
  <sheetData>
    <row r="1" spans="1:10" x14ac:dyDescent="0.2">
      <c r="A1" s="35"/>
      <c r="B1" s="35"/>
      <c r="C1" s="35"/>
      <c r="D1" s="35"/>
      <c r="E1" s="35"/>
      <c r="F1" s="35"/>
      <c r="G1" s="35"/>
      <c r="H1" s="35"/>
      <c r="I1" s="35"/>
      <c r="J1" s="35"/>
    </row>
    <row r="2" spans="1:10" x14ac:dyDescent="0.2">
      <c r="A2" s="35"/>
      <c r="B2" s="436" t="s">
        <v>3811</v>
      </c>
      <c r="C2" s="436" t="s">
        <v>3905</v>
      </c>
      <c r="D2" s="436" t="s">
        <v>3650</v>
      </c>
      <c r="E2" s="436" t="s">
        <v>690</v>
      </c>
      <c r="F2" s="436" t="s">
        <v>3144</v>
      </c>
      <c r="G2" s="436" t="s">
        <v>3811</v>
      </c>
    </row>
    <row r="3" spans="1:10" x14ac:dyDescent="0.2">
      <c r="A3" s="35"/>
      <c r="B3" s="437" t="s">
        <v>1375</v>
      </c>
      <c r="C3" s="437" t="s">
        <v>1519</v>
      </c>
      <c r="D3" s="437" t="s">
        <v>3214</v>
      </c>
      <c r="E3" s="437" t="s">
        <v>1562</v>
      </c>
      <c r="F3" s="437" t="s">
        <v>3145</v>
      </c>
      <c r="G3" s="437" t="s">
        <v>548</v>
      </c>
    </row>
    <row r="4" spans="1:10" x14ac:dyDescent="0.2">
      <c r="A4" s="35"/>
      <c r="B4" s="438"/>
      <c r="C4" s="438"/>
      <c r="D4" s="438"/>
      <c r="E4" s="438"/>
      <c r="F4" s="438" t="s">
        <v>2196</v>
      </c>
      <c r="G4" s="438" t="s">
        <v>2196</v>
      </c>
    </row>
    <row r="5" spans="1:10" x14ac:dyDescent="0.2">
      <c r="A5" s="435" t="s">
        <v>1533</v>
      </c>
      <c r="B5" s="105">
        <f>'NS income (c1)'!J24</f>
        <v>33254</v>
      </c>
      <c r="C5" s="370">
        <f>'NS income (c1)'!J153</f>
        <v>0</v>
      </c>
      <c r="D5" s="434"/>
      <c r="E5" s="434"/>
      <c r="F5" s="434"/>
      <c r="G5" s="458"/>
      <c r="I5" s="374"/>
    </row>
    <row r="6" spans="1:10" x14ac:dyDescent="0.2">
      <c r="A6" s="128" t="s">
        <v>1849</v>
      </c>
      <c r="B6" s="105">
        <f>'NS income (c1)'!J28</f>
        <v>0</v>
      </c>
      <c r="C6" s="371"/>
      <c r="D6" s="371"/>
      <c r="E6" s="371"/>
      <c r="F6" s="371"/>
      <c r="G6" s="37"/>
    </row>
    <row r="7" spans="1:10" x14ac:dyDescent="0.2">
      <c r="A7" s="435" t="s">
        <v>2757</v>
      </c>
      <c r="B7" s="105">
        <f>'NS income (c1)'!J47+'NS income (c1)'!F55</f>
        <v>14190</v>
      </c>
      <c r="C7" s="434"/>
      <c r="D7" s="434"/>
      <c r="E7" s="434"/>
      <c r="F7" s="434"/>
      <c r="G7" s="458"/>
    </row>
    <row r="8" spans="1:10" x14ac:dyDescent="0.2">
      <c r="A8" s="128" t="s">
        <v>1750</v>
      </c>
      <c r="B8" s="105">
        <f>'NS income (c1)'!J73</f>
        <v>0</v>
      </c>
      <c r="C8" s="371"/>
      <c r="D8" s="105">
        <f>'Savings (c2)'!I11</f>
        <v>0</v>
      </c>
      <c r="E8" s="370">
        <f>'Divs (c3)'!H5</f>
        <v>0</v>
      </c>
      <c r="F8" s="371"/>
      <c r="G8" s="37"/>
    </row>
    <row r="9" spans="1:10" x14ac:dyDescent="0.2">
      <c r="A9" s="435" t="s">
        <v>608</v>
      </c>
      <c r="B9" s="105">
        <f>'NS income (c1)'!J93</f>
        <v>0</v>
      </c>
      <c r="C9" s="434"/>
      <c r="D9" s="434"/>
      <c r="E9" s="434"/>
      <c r="F9" s="434"/>
      <c r="G9" s="458"/>
    </row>
    <row r="10" spans="1:10" x14ac:dyDescent="0.2">
      <c r="A10" s="128" t="s">
        <v>1373</v>
      </c>
      <c r="B10" s="105">
        <f>'NS income (c1)'!J98+'NS income (c1)'!J113+'NS income (c1)'!J124</f>
        <v>0</v>
      </c>
      <c r="C10" s="371"/>
      <c r="D10" s="105">
        <f>'Savings (c2)'!I40</f>
        <v>0</v>
      </c>
      <c r="E10" s="370">
        <f>'Divs (c3)'!H17</f>
        <v>0</v>
      </c>
      <c r="F10" s="105">
        <f>'Divs (c3)'!H52</f>
        <v>0</v>
      </c>
      <c r="G10" s="37"/>
    </row>
    <row r="11" spans="1:10" x14ac:dyDescent="0.2">
      <c r="A11" s="435" t="s">
        <v>1773</v>
      </c>
      <c r="B11" s="105">
        <f>'NS income (c1)'!J133</f>
        <v>0</v>
      </c>
      <c r="C11" s="434"/>
      <c r="D11" s="105">
        <f>'Savings (c2)'!I53</f>
        <v>0</v>
      </c>
      <c r="E11" s="370">
        <f>'Divs (c3)'!H33</f>
        <v>0</v>
      </c>
      <c r="F11" s="434"/>
      <c r="G11" s="105">
        <f>'Divs (c3)'!H63+'Divs (c3)'!H66</f>
        <v>0</v>
      </c>
    </row>
    <row r="12" spans="1:10" x14ac:dyDescent="0.2">
      <c r="A12" s="128" t="s">
        <v>3601</v>
      </c>
      <c r="B12" s="457"/>
      <c r="C12" s="371"/>
      <c r="D12" s="105">
        <f>'Savings (c2)'!I67</f>
        <v>3678</v>
      </c>
      <c r="E12" s="371"/>
      <c r="F12" s="371"/>
      <c r="G12" s="371"/>
    </row>
    <row r="13" spans="1:10" x14ac:dyDescent="0.2">
      <c r="A13" s="435" t="s">
        <v>1072</v>
      </c>
      <c r="B13" s="459"/>
      <c r="C13" s="434"/>
      <c r="D13" s="434"/>
      <c r="E13" s="105">
        <f>'Divs (c3)'!H43</f>
        <v>12750</v>
      </c>
      <c r="F13" s="434"/>
      <c r="G13" s="434"/>
    </row>
    <row r="14" spans="1:10" x14ac:dyDescent="0.2">
      <c r="A14" s="128" t="s">
        <v>2546</v>
      </c>
      <c r="B14" s="105">
        <f>'NS income (c1)'!J136</f>
        <v>0</v>
      </c>
      <c r="C14" s="371"/>
      <c r="D14" s="371"/>
      <c r="E14" s="371"/>
      <c r="F14" s="371"/>
      <c r="G14" s="371"/>
    </row>
    <row r="15" spans="1:10" x14ac:dyDescent="0.2">
      <c r="A15" s="435" t="s">
        <v>3398</v>
      </c>
      <c r="B15" s="434"/>
      <c r="C15" s="434"/>
      <c r="D15" s="105">
        <f>'Savings (c2)'!I73</f>
        <v>0</v>
      </c>
      <c r="E15" s="434"/>
      <c r="F15" s="105">
        <f>'Divs (c3)'!H55</f>
        <v>0</v>
      </c>
      <c r="G15" s="434"/>
    </row>
    <row r="16" spans="1:10" x14ac:dyDescent="0.2">
      <c r="A16" s="128" t="s">
        <v>1374</v>
      </c>
      <c r="B16" s="105">
        <f>'NS income (c1)'!J141</f>
        <v>0</v>
      </c>
      <c r="C16" s="371"/>
      <c r="D16" s="371"/>
      <c r="E16" s="371"/>
      <c r="F16" s="371"/>
      <c r="G16" s="371"/>
    </row>
    <row r="17" spans="1:8" x14ac:dyDescent="0.2">
      <c r="A17" s="414" t="s">
        <v>3904</v>
      </c>
      <c r="B17" s="105">
        <f>'NS income (c1)'!J149</f>
        <v>47444</v>
      </c>
      <c r="C17" s="370">
        <f>'NS income (c1)'!J153</f>
        <v>0</v>
      </c>
      <c r="D17" s="370">
        <f>'Savings (c2)'!I77</f>
        <v>3678</v>
      </c>
      <c r="E17" s="370">
        <f>'Divs (c3)'!H47</f>
        <v>12750</v>
      </c>
      <c r="F17" s="370">
        <f>'Divs (c3)'!H58</f>
        <v>0</v>
      </c>
      <c r="G17" s="105">
        <f>G11</f>
        <v>0</v>
      </c>
    </row>
    <row r="19" spans="1:8" x14ac:dyDescent="0.2">
      <c r="F19" s="414" t="s">
        <v>3904</v>
      </c>
      <c r="G19" s="101">
        <f>'Divs (c3)'!H70</f>
        <v>63872</v>
      </c>
    </row>
    <row r="21" spans="1:8" x14ac:dyDescent="0.2">
      <c r="B21" s="93" t="s">
        <v>4946</v>
      </c>
      <c r="C21" s="405" t="s">
        <v>2884</v>
      </c>
      <c r="D21" s="121" t="s">
        <v>2560</v>
      </c>
      <c r="E21" s="94" t="s">
        <v>1362</v>
      </c>
      <c r="F21" s="94" t="s">
        <v>3078</v>
      </c>
    </row>
    <row r="22" spans="1:8" x14ac:dyDescent="0.2">
      <c r="B22" s="392">
        <f>HR_band</f>
        <v>112500</v>
      </c>
      <c r="C22" s="392">
        <f>'Deductions (c4)'!I201</f>
        <v>1000</v>
      </c>
      <c r="D22" s="392">
        <f>'Deductions (c4)'!I197</f>
        <v>625</v>
      </c>
      <c r="E22" s="392" t="e">
        <f>HR_band+'Divs (c3)'!H88+'Divs (c3)'!#REF!</f>
        <v>#REF!</v>
      </c>
      <c r="F22" s="101" t="e">
        <f>AHR_band-HR_band+'Divs (c3)'!H88+'Divs (c3)'!#REF!</f>
        <v>#REF!</v>
      </c>
      <c r="H22" s="811"/>
    </row>
    <row r="24" spans="1:8" x14ac:dyDescent="0.2">
      <c r="B24" s="439" t="s">
        <v>53</v>
      </c>
      <c r="C24" s="439" t="s">
        <v>966</v>
      </c>
      <c r="D24" s="439" t="s">
        <v>967</v>
      </c>
      <c r="E24" s="121" t="str">
        <f>"First "&amp;DOLLAR(SR_band,0)</f>
        <v>First $5,000</v>
      </c>
      <c r="F24" s="645" t="str">
        <f>"Next "&amp;DOLLAR('tax it (c6)'!H38,0)</f>
        <v>Next $0</v>
      </c>
      <c r="G24" s="645" t="str">
        <f>"Next "&amp;DOLLAR(HR_band+C22+D22,0)</f>
        <v>Next $114,125</v>
      </c>
      <c r="H24" s="645" t="e">
        <f>"Over "&amp;DOLLAR(AHR_band+'Divs (c3)'!H88+'Divs (c3)'!#REF!,0)</f>
        <v>#REF!</v>
      </c>
    </row>
    <row r="25" spans="1:8" x14ac:dyDescent="0.2">
      <c r="E25" s="812" t="s">
        <v>551</v>
      </c>
      <c r="F25" s="812" t="s">
        <v>551</v>
      </c>
      <c r="G25" s="439" t="str">
        <f>"@ 40%"</f>
        <v>@ 40%</v>
      </c>
      <c r="H25" s="645" t="str">
        <f>"@ 50%"</f>
        <v>@ 50%</v>
      </c>
    </row>
    <row customHeight="1" ht="12.75" r="26" spans="1:8" x14ac:dyDescent="0.2">
      <c r="A26" s="77" t="s">
        <v>1774</v>
      </c>
      <c r="B26" s="454">
        <f>'NS income (c1)'!J149+'Divs (c3)'!H63</f>
        <v>47444</v>
      </c>
      <c r="C26" s="454">
        <f>MAX(0,B26-D26)</f>
        <v>13700</v>
      </c>
      <c r="D26" s="454">
        <f>'tax it (c6)'!H14</f>
        <v>33744</v>
      </c>
      <c r="E26" s="455">
        <f>'tax it (c6)'!H23</f>
        <v>0</v>
      </c>
      <c r="F26" s="455">
        <f>'tax it (c6)'!H64</f>
        <v>12020</v>
      </c>
      <c r="G26" s="456">
        <f>'tax it (c6)'!H88</f>
        <v>0</v>
      </c>
      <c r="H26" s="813">
        <f>'tax it (c6)'!H96</f>
        <v>0</v>
      </c>
    </row>
    <row customHeight="1" ht="12.75" r="27" spans="1:8" x14ac:dyDescent="0.2">
      <c r="H27" s="643"/>
    </row>
    <row customHeight="1" ht="12.75" r="28" spans="1:8" x14ac:dyDescent="0.2">
      <c r="E28" s="89" t="s">
        <v>549</v>
      </c>
      <c r="F28" s="89" t="s">
        <v>551</v>
      </c>
      <c r="G28" s="89" t="s">
        <v>550</v>
      </c>
      <c r="H28" s="645" t="str">
        <f>"@ 50%"</f>
        <v>@ 50%</v>
      </c>
    </row>
    <row customHeight="1" ht="12.75" r="29" spans="1:8" x14ac:dyDescent="0.2">
      <c r="A29" s="77" t="s">
        <v>691</v>
      </c>
      <c r="B29" s="454">
        <f>'Savings (c2)'!I77</f>
        <v>3678</v>
      </c>
      <c r="C29" s="454">
        <f>MAX(0,B29-D29)</f>
        <v>0</v>
      </c>
      <c r="D29" s="454">
        <f>'tax it (c6)'!M14</f>
        <v>3678</v>
      </c>
      <c r="E29" s="454">
        <f>'tax it (c6)'!M35</f>
        <v>0</v>
      </c>
      <c r="F29" s="454">
        <f>'tax it (c6)'!M64</f>
        <v>3178</v>
      </c>
      <c r="G29" s="454" t="e">
        <f>'tax it (c6)'!#REF!</f>
        <v>#REF!</v>
      </c>
      <c r="H29" s="813">
        <f>'tax it (c6)'!M96</f>
        <v>0</v>
      </c>
    </row>
    <row customHeight="1" ht="12.75" r="30" spans="1:8" x14ac:dyDescent="0.2">
      <c r="H30" s="643"/>
    </row>
    <row customHeight="1" ht="12.75" r="31" spans="1:8" x14ac:dyDescent="0.2">
      <c r="E31" s="89" t="s">
        <v>549</v>
      </c>
      <c r="F31" s="89" t="s">
        <v>549</v>
      </c>
      <c r="G31" s="89" t="s">
        <v>552</v>
      </c>
      <c r="H31" s="644" t="s">
        <v>1363</v>
      </c>
    </row>
    <row customHeight="1" ht="12.75" r="32" spans="1:8" x14ac:dyDescent="0.2">
      <c r="A32" s="77" t="s">
        <v>3077</v>
      </c>
      <c r="B32" s="454">
        <f>'Divs (c3)'!H47</f>
        <v>12750</v>
      </c>
      <c r="C32" s="454">
        <f>MAX(0,B32-D32)</f>
        <v>0</v>
      </c>
      <c r="D32" s="454">
        <f>'tax it (c6)'!R14</f>
        <v>12750</v>
      </c>
      <c r="E32" s="454">
        <f>'tax it (c6)'!R24</f>
        <v>0</v>
      </c>
      <c r="F32" s="454">
        <f>'tax it (c6)'!R64</f>
        <v>0</v>
      </c>
      <c r="G32" s="454" t="str">
        <f>'tax it (c6)'!R88</f>
        <v>lower of (c6.25 minus c6.26) and c6.30</v>
      </c>
      <c r="H32" s="814">
        <f>'tax it (c6)'!R96</f>
        <v>0</v>
      </c>
    </row>
    <row customHeight="1" ht="12.75" r="33" spans="1:8" x14ac:dyDescent="0.2">
      <c r="A33" s="77"/>
      <c r="B33" s="394"/>
      <c r="C33" s="394"/>
      <c r="D33" s="394"/>
      <c r="E33" s="394"/>
      <c r="F33" s="394"/>
      <c r="G33" s="394"/>
      <c r="H33" s="643"/>
    </row>
    <row customHeight="1" ht="12.75" r="34" spans="1:8" x14ac:dyDescent="0.2">
      <c r="E34" s="89" t="s">
        <v>551</v>
      </c>
      <c r="F34" s="812" t="s">
        <v>551</v>
      </c>
      <c r="G34" s="89" t="s">
        <v>550</v>
      </c>
      <c r="H34" s="645" t="str">
        <f>"@ 50%"</f>
        <v>@ 50%</v>
      </c>
    </row>
    <row customHeight="1" ht="12.75" r="35" spans="1:8" x14ac:dyDescent="0.2">
      <c r="A35" s="77" t="s">
        <v>3076</v>
      </c>
      <c r="B35" s="454" t="e">
        <f>'NS income (c1)'!J153+'Taxable (c5)'!F260</f>
        <v>#VALUE!</v>
      </c>
      <c r="C35" s="454" t="e">
        <f>MAX(0,B35-D35)</f>
        <v>#VALUE!</v>
      </c>
      <c r="D35" s="454">
        <f>'tax it (c6)'!W14</f>
        <v>0</v>
      </c>
      <c r="E35" s="454">
        <f>'tax it (c6)'!W20</f>
        <v>48123</v>
      </c>
      <c r="F35" s="454">
        <f>'tax it (c6)'!W64</f>
        <v>0</v>
      </c>
      <c r="G35" s="454">
        <f>'tax it (c6)'!W88</f>
        <v>0</v>
      </c>
      <c r="H35" s="813">
        <f>'tax it (c6)'!W96</f>
        <v>0</v>
      </c>
    </row>
    <row customHeight="1" ht="12.75" r="36" spans="1:8" x14ac:dyDescent="0.2">
      <c r="A36" s="77"/>
      <c r="B36" s="77"/>
      <c r="C36" s="77"/>
      <c r="D36" s="77"/>
      <c r="E36" s="77"/>
      <c r="F36" s="77"/>
      <c r="G36" s="77"/>
      <c r="H36" s="643"/>
    </row>
    <row customHeight="1" ht="12.75" r="37" spans="1:8" x14ac:dyDescent="0.2">
      <c r="A37" s="77" t="s">
        <v>2633</v>
      </c>
      <c r="B37" s="77"/>
      <c r="C37" s="77"/>
      <c r="D37" s="77"/>
      <c r="E37" s="812" t="s">
        <v>549</v>
      </c>
      <c r="F37" s="89" t="s">
        <v>551</v>
      </c>
      <c r="G37" s="89" t="s">
        <v>550</v>
      </c>
      <c r="H37" s="645" t="str">
        <f>"@ 50%"</f>
        <v>@ 50%</v>
      </c>
    </row>
    <row customHeight="1" ht="12.75" r="38" spans="1:8" x14ac:dyDescent="0.2">
      <c r="A38" s="78" t="s">
        <v>2196</v>
      </c>
      <c r="B38" s="454">
        <f>'Divs (c3)'!H58</f>
        <v>0</v>
      </c>
      <c r="C38" s="454">
        <f>MAX(0,B38-D38)</f>
        <v>0</v>
      </c>
      <c r="D38" s="454">
        <f>'tax it (c6)'!AB14</f>
        <v>0</v>
      </c>
      <c r="E38" s="454">
        <f>'tax it (c6)'!AB35</f>
        <v>0</v>
      </c>
      <c r="F38" s="454">
        <f>'tax it (c6)'!AB64</f>
        <v>0</v>
      </c>
      <c r="G38" s="454" t="e">
        <f>'tax it (c6)'!#REF!</f>
        <v>#REF!</v>
      </c>
      <c r="H38" s="813">
        <f>'tax it (c6)'!AB96</f>
        <v>0</v>
      </c>
    </row>
    <row r="39" spans="1:8" x14ac:dyDescent="0.2">
      <c r="H39" s="643"/>
    </row>
    <row r="40" spans="1:8" x14ac:dyDescent="0.2">
      <c r="A40" s="78" t="s">
        <v>3904</v>
      </c>
      <c r="B40" s="454">
        <f>'Divs (c3)'!H70</f>
        <v>63872</v>
      </c>
      <c r="C40" s="454">
        <f>MAX(0,B40-D40)</f>
        <v>63872</v>
      </c>
      <c r="D40" s="454">
        <f>'Taxable (c5)'!BB275</f>
        <v>0</v>
      </c>
      <c r="E40" s="454">
        <f>SUM(E26:E38)</f>
        <v>48123</v>
      </c>
      <c r="F40" s="454">
        <f>SUM(F26:F38)</f>
        <v>15198</v>
      </c>
      <c r="G40" s="454">
        <f>'tax it (c8)'!D19+'tax it (c8)'!D37+'tax it (c8)'!D51</f>
        <v>11939</v>
      </c>
      <c r="H40" s="814">
        <f>H26+H29+H32+H35+H38</f>
        <v>0</v>
      </c>
    </row>
    <row customHeight="1" ht="24.75" r="45" spans="1:8" x14ac:dyDescent="0.2"/>
    <row r="46" spans="1:8" x14ac:dyDescent="0.2">
      <c r="D46" s="440"/>
      <c r="E46" s="123"/>
    </row>
  </sheetData>
  <phoneticPr fontId="67" type="noConversion"/>
  <pageMargins bottom="0.196850393700787" footer="0" header="0" left="0.196850393700787" right="0.196850393700787" top="0.196850393700787"/>
  <pageSetup horizontalDpi="4294967293" orientation="landscape" paperSize="9" r:id="rId1"/>
  <headerFooter alignWithMargins="0"/>
</worksheet>
</file>

<file path=xl/worksheets/sheet7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D00-000000000000}">
  <sheetPr codeName="Sheet2">
    <tabColor rgb="FFFFC000"/>
  </sheetPr>
  <dimension ref="A1:AA152"/>
  <sheetViews>
    <sheetView showGridLines="0" topLeftCell="B136" workbookViewId="0" zoomScaleNormal="100">
      <selection activeCell="F161" sqref="F161"/>
    </sheetView>
  </sheetViews>
  <sheetFormatPr defaultColWidth="9.140625" defaultRowHeight="12" x14ac:dyDescent="0.2"/>
  <cols>
    <col min="1" max="1" customWidth="true" hidden="true" style="121" width="5.5703125" collapsed="true"/>
    <col min="2" max="2" customWidth="true" style="121" width="38.140625" collapsed="true"/>
    <col min="3" max="3" customWidth="true" style="121" width="6.42578125" collapsed="true"/>
    <col min="4" max="4" customWidth="true" style="121" width="18.0" collapsed="true"/>
    <col min="5" max="5" customWidth="true" style="121" width="5.42578125" collapsed="true"/>
    <col min="6" max="6" customWidth="true" style="2764" width="29.7109375" collapsed="true"/>
    <col min="7" max="7" customWidth="true" style="121" width="7.0" collapsed="true"/>
    <col min="8" max="8" customWidth="true" style="121" width="18.0" collapsed="true"/>
    <col min="9" max="9" customWidth="true" style="121" width="5.42578125" collapsed="true"/>
    <col min="10" max="10" customWidth="true" style="3271" width="22.85546875" collapsed="true"/>
    <col min="11" max="11" customWidth="true" style="3271" width="7.28515625" collapsed="true"/>
    <col min="12" max="12" customWidth="true" style="3271" width="18.0" collapsed="true"/>
    <col min="13" max="13" customWidth="true" style="3271" width="5.7109375" collapsed="true"/>
    <col min="14" max="14" customWidth="true" style="3271" width="29.7109375" collapsed="true"/>
    <col min="15" max="15" customWidth="true" style="121" width="6.28515625" collapsed="true"/>
    <col min="16" max="16" customWidth="true" style="121" width="18.0" collapsed="true"/>
    <col min="17" max="17" customWidth="true" style="121" width="6.0" collapsed="true"/>
    <col min="18" max="18" customWidth="true" style="2764" width="29.7109375" collapsed="true"/>
    <col min="19" max="19" customWidth="true" style="121" width="6.28515625" collapsed="true"/>
    <col min="20" max="20" customWidth="true" style="121" width="18.0" collapsed="true"/>
    <col min="21" max="21" customWidth="true" style="121" width="5.42578125" collapsed="true"/>
    <col min="22" max="22" customWidth="true" style="2764" width="5.42578125" collapsed="true"/>
    <col min="23" max="23" customWidth="true" style="121" width="6.28515625" collapsed="true"/>
    <col min="24" max="24" customWidth="true" style="121" width="18.0" collapsed="true"/>
    <col min="25" max="25" bestFit="true" customWidth="true" style="121" width="6.28515625" collapsed="true"/>
    <col min="26" max="16384" style="121" width="9.140625" collapsed="true"/>
  </cols>
  <sheetData>
    <row ht="18" r="1" spans="1:26" x14ac:dyDescent="0.25">
      <c r="A1" s="121" t="s">
        <v>4014</v>
      </c>
      <c r="B1" s="2724" t="s">
        <v>2813</v>
      </c>
      <c r="Z1" s="93"/>
    </row>
    <row customFormat="1" r="2" s="2982" spans="1:26" x14ac:dyDescent="0.2">
      <c r="A2" s="2982" t="s">
        <v>2005</v>
      </c>
      <c r="B2" s="711"/>
      <c r="D2" s="3035" t="s">
        <v>7395</v>
      </c>
      <c r="E2" s="3030"/>
      <c r="F2" s="3060"/>
      <c r="G2" s="3030"/>
      <c r="H2" s="3030"/>
      <c r="I2" s="3030"/>
      <c r="J2" s="3060"/>
      <c r="K2" s="3060"/>
      <c r="L2" s="3060"/>
      <c r="M2" s="3060"/>
      <c r="N2" s="3060"/>
      <c r="O2" s="3030"/>
      <c r="P2" s="3031"/>
    </row>
    <row r="3" spans="1:26" x14ac:dyDescent="0.2">
      <c r="A3" s="3326" t="s">
        <v>7555</v>
      </c>
      <c r="B3" s="4369"/>
      <c r="C3" s="1070"/>
      <c r="D3" s="37"/>
      <c r="E3" s="37"/>
      <c r="F3" s="37"/>
      <c r="G3" s="37"/>
      <c r="H3" s="37"/>
      <c r="I3" s="37"/>
      <c r="J3" s="37"/>
      <c r="K3" s="37"/>
      <c r="L3" s="37"/>
      <c r="M3" s="37"/>
      <c r="N3" s="37"/>
      <c r="O3" s="37"/>
      <c r="P3" s="37"/>
      <c r="Q3" s="37"/>
      <c r="R3" s="37"/>
      <c r="S3" s="37"/>
    </row>
    <row r="4" spans="1:26" x14ac:dyDescent="0.2">
      <c r="A4" s="121" t="s">
        <v>2006</v>
      </c>
      <c r="B4" s="4370"/>
      <c r="C4" s="1071"/>
    </row>
    <row customHeight="1" ht="12" r="5" spans="1:26" x14ac:dyDescent="0.2">
      <c r="A5" s="121" t="s">
        <v>2007</v>
      </c>
      <c r="B5" s="4371"/>
      <c r="C5" s="1071"/>
      <c r="Z5" s="37"/>
    </row>
    <row customHeight="1" ht="12" r="6" spans="1:26" x14ac:dyDescent="0.2">
      <c r="A6" s="121" t="s">
        <v>2008</v>
      </c>
      <c r="B6" s="4346"/>
      <c r="C6" s="1071"/>
    </row>
    <row r="7" spans="1:26" x14ac:dyDescent="0.2">
      <c r="A7" s="121" t="s">
        <v>3423</v>
      </c>
      <c r="B7" s="4347"/>
      <c r="C7" s="1032"/>
      <c r="Z7" s="37"/>
    </row>
    <row customHeight="1" ht="12" r="8" spans="1:26" x14ac:dyDescent="0.2">
      <c r="A8" s="121" t="s">
        <v>3424</v>
      </c>
    </row>
    <row r="9" spans="1:26" x14ac:dyDescent="0.2">
      <c r="A9" s="121" t="s">
        <v>3425</v>
      </c>
      <c r="B9" s="121" t="str">
        <f><![CDATA["If boxes (("&CGT&CGT!C4&" + "&CGT&CGT!C14&" + "&CGT&CGT!C24&" + "&CGT&CGT!C31&") minus (("&CGT&CGT!C7&" + "&CGT&CGT!G14&" + "&CGT&CGT!G24&" + "&CGT&CGT!C34&") minus ("&CGT&CGT!C37&" + "&CGT&CGT!G40&"))"&" + "&CGT&CGT!P18&" + (("&CGT&CGT!L26&" + "&CGT&CGT!L34&") minus "&CGT&CGT!P34&") is greater than zero) or (box "&CGT&CGT!L18&" is not zero or null) or (box "&CGT&CGT!C17&" is not zero or null)"]]></f>
        <v>If boxes ((CGT6 + CGT17 + CGT26 + CGT34) minus ((CGT7 + CGT19 + CGT27 + CGT35) minus (CGT41 + CGT43)) + CGT52 + ((CGT52.1 + CGT52.2) minus CGT52.5) is greater than zero) or (box CGT51 is not zero or null) or (box CGT18 is not zero or null)</v>
      </c>
      <c r="F9" s="3291"/>
      <c r="G9" s="3291"/>
      <c r="H9" s="3291"/>
    </row>
    <row r="10" spans="1:26" x14ac:dyDescent="0.2">
      <c r="A10" s="121" t="s">
        <v>3426</v>
      </c>
      <c r="B10" s="121" t="str">
        <f>"Calculate "&amp;C17&amp;" to "&amp;W148</f>
        <v>Calculate c18.1 to c18.58</v>
      </c>
      <c r="X10" s="37"/>
    </row>
    <row r="11" spans="1:26" x14ac:dyDescent="0.2">
      <c r="A11" s="121" t="s">
        <v>3428</v>
      </c>
      <c r="B11" s="2323"/>
      <c r="C11" s="2323"/>
      <c r="D11" s="821"/>
      <c r="E11" s="2323"/>
      <c r="G11" s="2323"/>
      <c r="H11" s="821"/>
      <c r="I11" s="2323"/>
      <c r="O11" s="822"/>
      <c r="P11" s="821"/>
      <c r="Q11" s="822"/>
      <c r="R11" s="822"/>
      <c r="S11" s="2323"/>
      <c r="T11" s="822"/>
      <c r="U11" s="822"/>
      <c r="V11" s="822"/>
      <c r="X11" s="37"/>
      <c r="Z11" s="37"/>
    </row>
    <row r="12" spans="1:26" x14ac:dyDescent="0.2">
      <c r="A12" s="121" t="s">
        <v>3429</v>
      </c>
      <c r="H12" s="682" t="s">
        <v>5761</v>
      </c>
      <c r="L12" s="3287" t="s">
        <v>5761</v>
      </c>
      <c r="V12" s="822"/>
      <c r="Z12" s="37"/>
    </row>
    <row customFormat="1" r="13" s="2323" spans="1:26" x14ac:dyDescent="0.2">
      <c r="A13" s="121" t="s">
        <v>3430</v>
      </c>
      <c r="B13" s="121"/>
      <c r="C13" s="121"/>
      <c r="D13" s="121"/>
      <c r="E13" s="121"/>
      <c r="F13" s="2764"/>
      <c r="G13" s="121"/>
      <c r="H13" s="38"/>
      <c r="I13" s="121"/>
      <c r="J13" s="3271"/>
      <c r="K13" s="3271"/>
      <c r="L13" s="3271"/>
      <c r="M13" s="3271"/>
      <c r="N13" s="3271"/>
      <c r="O13" s="121"/>
      <c r="P13" s="682" t="s">
        <v>606</v>
      </c>
      <c r="Q13" s="121"/>
      <c r="R13" s="2764"/>
      <c r="S13" s="121"/>
      <c r="T13" s="121"/>
      <c r="U13" s="121"/>
      <c r="V13" s="2764"/>
      <c r="Z13" s="37"/>
    </row>
    <row r="14" spans="1:26" x14ac:dyDescent="0.2">
      <c r="A14" s="121" t="s">
        <v>3432</v>
      </c>
      <c r="D14" s="682" t="s">
        <v>5353</v>
      </c>
      <c r="G14" s="3291"/>
      <c r="H14" s="3287" t="s">
        <v>7553</v>
      </c>
      <c r="K14" s="3291"/>
      <c r="L14" s="3287" t="s">
        <v>7600</v>
      </c>
      <c r="T14" s="682" t="s">
        <v>607</v>
      </c>
      <c r="Z14" s="37"/>
    </row>
    <row r="15" spans="1:26" x14ac:dyDescent="0.2">
      <c r="A15" s="121" t="s">
        <v>3433</v>
      </c>
      <c r="H15" s="93"/>
      <c r="P15" s="689" t="str">
        <f><![CDATA["("&CGT&CGT!C14&" minus "&CGT&CGT!P15&") +"]]></f>
        <v>(CGT17 minus CGT50) +</v>
      </c>
      <c r="Z15" s="37"/>
    </row>
    <row r="16" spans="1:26" x14ac:dyDescent="0.2">
      <c r="A16" s="121" t="s">
        <v>3434</v>
      </c>
      <c r="D16" s="1798" t="str">
        <f>"From "&amp;CGT&amp;CGT!C4</f>
        <v>From CGT6</v>
      </c>
      <c r="H16" s="3290" t="str">
        <f>"From "&amp;CGT&amp;CGT!L26</f>
        <v>From CGT52.1</v>
      </c>
      <c r="K16" s="3326"/>
      <c r="L16" s="3290" t="str">
        <f>"From "&amp;CGT&amp;CGT!L34</f>
        <v>From CGT52.2</v>
      </c>
      <c r="P16" s="3489" t="str">
        <f><![CDATA[CGT&CGT!C24&" + ("&CGT&CGT!C31&" minus "&CGT&CGT!P11&")"]]></f>
        <v>CGT26 + (CGT34 minus CGT49)</v>
      </c>
      <c r="T16" s="3489" t="str">
        <f>CGT&amp;CGT!P11&amp;" + "&amp;CGT&amp;CGT!P15</f>
        <v>CGT49 + CGT50</v>
      </c>
      <c r="Z16" s="37"/>
    </row>
    <row r="17" spans="1:26" x14ac:dyDescent="0.2">
      <c r="A17" s="121" t="s">
        <v>3436</v>
      </c>
      <c r="B17" s="121" t="s">
        <v>3422</v>
      </c>
      <c r="C17" s="714" t="str">
        <f>A1</f>
        <v>c18.1</v>
      </c>
      <c r="D17" s="392">
        <f>TRUNC(CGT!D5,0)</f>
        <v>0</v>
      </c>
      <c r="E17" s="932" t="s">
        <v>1743</v>
      </c>
      <c r="F17" s="93" t="s">
        <v>3422</v>
      </c>
      <c r="G17" s="714" t="str">
        <f>A2</f>
        <v>c18.2</v>
      </c>
      <c r="H17" s="392">
        <f>TRUNC(CGT!M27,0)</f>
        <v>0</v>
      </c>
      <c r="I17" s="929" t="s">
        <v>1743</v>
      </c>
      <c r="J17" s="932"/>
      <c r="K17" s="3288" t="str">
        <f>A3</f>
        <v>c18.2a</v>
      </c>
      <c r="L17" s="392">
        <f>TRUNC(CGT!M35,0)</f>
        <v>0</v>
      </c>
      <c r="M17" s="4394" t="s">
        <v>1743</v>
      </c>
      <c r="N17" s="93" t="s">
        <v>3422</v>
      </c>
      <c r="O17" s="714" t="str">
        <f>A4</f>
        <v>c18.3</v>
      </c>
      <c r="P17" s="2321">
        <f>MAX(0,(TRUNC(CGT!D15,0)-TRUNC(CGT!Q16,0))+TRUNC(CGT!D25,0)+(TRUNC(CGT!D32,0)-TRUNC(CGT!Q12,0)))</f>
        <v>0</v>
      </c>
      <c r="Q17" s="932" t="s">
        <v>1743</v>
      </c>
      <c r="R17" s="93" t="s">
        <v>3422</v>
      </c>
      <c r="S17" s="714" t="str">
        <f>A5</f>
        <v>c18.4</v>
      </c>
      <c r="T17" s="392">
        <f>TRUNC(CGT!Q12+CGT!Q16,0)</f>
        <v>0</v>
      </c>
      <c r="U17" s="932" t="s">
        <v>1743</v>
      </c>
      <c r="Z17" s="37"/>
    </row>
    <row r="18" spans="1:26" x14ac:dyDescent="0.2">
      <c r="A18" s="3326" t="s">
        <v>7603</v>
      </c>
      <c r="B18" s="2323"/>
      <c r="C18" s="709"/>
      <c r="D18" s="394"/>
      <c r="E18" s="932"/>
      <c r="F18" s="932"/>
      <c r="G18" s="709"/>
      <c r="H18" s="394"/>
      <c r="I18" s="932"/>
      <c r="J18" s="932"/>
      <c r="K18" s="932"/>
      <c r="L18" s="932"/>
      <c r="M18" s="932"/>
      <c r="N18" s="932"/>
      <c r="O18" s="709"/>
      <c r="P18" s="394"/>
      <c r="Q18" s="932"/>
      <c r="R18" s="932"/>
      <c r="S18" s="709"/>
      <c r="T18" s="394"/>
      <c r="U18" s="932"/>
      <c r="V18" s="932"/>
      <c r="Z18" s="37"/>
    </row>
    <row r="19" spans="1:26" x14ac:dyDescent="0.2">
      <c r="A19" s="3326" t="s">
        <v>7604</v>
      </c>
      <c r="B19" s="2323"/>
      <c r="C19" s="709"/>
      <c r="D19" s="682" t="s">
        <v>5353</v>
      </c>
      <c r="E19" s="932"/>
      <c r="F19" s="932"/>
      <c r="G19" s="709"/>
      <c r="I19" s="932"/>
      <c r="J19" s="932"/>
      <c r="K19" s="932"/>
      <c r="L19" s="3326"/>
      <c r="M19" s="932"/>
      <c r="N19" s="932"/>
      <c r="O19" s="709"/>
      <c r="P19" s="682" t="s">
        <v>606</v>
      </c>
      <c r="Q19" s="932"/>
      <c r="R19" s="932"/>
      <c r="S19" s="709"/>
      <c r="T19" s="682" t="s">
        <v>607</v>
      </c>
      <c r="U19" s="932"/>
      <c r="V19" s="932"/>
      <c r="Z19" s="37"/>
    </row>
    <row customFormat="1" r="20" s="2323" spans="1:26" x14ac:dyDescent="0.2">
      <c r="A20" s="121" t="s">
        <v>3265</v>
      </c>
      <c r="B20" s="121"/>
      <c r="C20" s="121"/>
      <c r="D20" s="121"/>
      <c r="E20" s="121"/>
      <c r="F20" s="2764"/>
      <c r="G20" s="121"/>
      <c r="H20" s="1453"/>
      <c r="I20" s="121"/>
      <c r="J20" s="3271"/>
      <c r="K20" s="3271"/>
      <c r="L20" s="3271"/>
      <c r="M20" s="3271"/>
      <c r="N20" s="3271"/>
      <c r="O20" s="121"/>
      <c r="P20" s="121"/>
      <c r="Q20" s="121"/>
      <c r="R20" s="2764"/>
      <c r="S20" s="121"/>
      <c r="T20" s="121"/>
      <c r="U20" s="121"/>
      <c r="V20" s="932"/>
      <c r="Z20" s="37"/>
    </row>
    <row customFormat="1" r="21" s="2323" spans="1:26" x14ac:dyDescent="0.2">
      <c r="A21" s="121" t="s">
        <v>3266</v>
      </c>
      <c r="B21" s="121"/>
      <c r="C21" s="121"/>
      <c r="D21" s="1798" t="str">
        <f>"from "&amp;CGT&amp;CGT!L4</f>
        <v>from CGT45</v>
      </c>
      <c r="E21" s="121"/>
      <c r="F21" s="2764"/>
      <c r="G21" s="121"/>
      <c r="H21" s="3292" t="s">
        <v>7071</v>
      </c>
      <c r="I21" s="121"/>
      <c r="J21" s="3271"/>
      <c r="K21" s="932"/>
      <c r="L21" s="932"/>
      <c r="M21" s="3271"/>
      <c r="N21" s="3271"/>
      <c r="O21" s="121"/>
      <c r="P21" s="3292" t="str">
        <f>C22&amp;" minus "&amp;C17</f>
        <v>c18.5 minus c18.1</v>
      </c>
      <c r="Q21" s="121"/>
      <c r="R21" s="2764"/>
      <c r="S21" s="3291"/>
      <c r="T21" s="3289" t="str">
        <f>C22&amp;" minus ("&amp;C17&amp;" + "&amp;O17&amp;")"</f>
        <v>c18.5 minus (c18.1 + c18.3)</v>
      </c>
      <c r="U21" s="121"/>
      <c r="V21" s="2764"/>
      <c r="W21" s="3271"/>
      <c r="X21" s="3271"/>
      <c r="Y21" s="3271"/>
      <c r="Z21" s="37"/>
    </row>
    <row customFormat="1" r="22" s="3271" spans="1:26" x14ac:dyDescent="0.2">
      <c r="A22" s="121" t="s">
        <v>3267</v>
      </c>
      <c r="B22" s="121" t="s">
        <v>5350</v>
      </c>
      <c r="C22" s="714" t="str">
        <f>A6</f>
        <v>c18.5</v>
      </c>
      <c r="D22" s="392">
        <f>MAX(0,TRUNC(CGT!M5+0.99,0))</f>
        <v>0</v>
      </c>
      <c r="E22" s="932" t="s">
        <v>3701</v>
      </c>
      <c r="F22" s="3330" t="s">
        <v>5350</v>
      </c>
      <c r="G22" s="714" t="str">
        <f>A7</f>
        <v>c18.6</v>
      </c>
      <c r="H22" s="392">
        <v>0</v>
      </c>
      <c r="I22" s="121"/>
      <c r="K22" s="932"/>
      <c r="L22" s="932"/>
      <c r="N22" s="93" t="s">
        <v>5350</v>
      </c>
      <c r="O22" s="714" t="str">
        <f>A8</f>
        <v>c18.7</v>
      </c>
      <c r="P22" s="392">
        <f>MAX(0,D22-D17)</f>
        <v>0</v>
      </c>
      <c r="Q22" s="121"/>
      <c r="R22" s="93" t="s">
        <v>5350</v>
      </c>
      <c r="S22" s="714" t="str">
        <f>A9</f>
        <v>c18.8</v>
      </c>
      <c r="T22" s="392">
        <f>MAX(0,D22-(D17+P17))</f>
        <v>0</v>
      </c>
      <c r="U22" s="121"/>
      <c r="V22" s="2764"/>
      <c r="W22" s="121"/>
      <c r="X22" s="121"/>
      <c r="Y22" s="121"/>
      <c r="Z22" s="37"/>
    </row>
    <row customFormat="1" r="23" s="3271" spans="1:26" x14ac:dyDescent="0.2">
      <c r="A23" s="3326" t="s">
        <v>7601</v>
      </c>
      <c r="B23" s="2323"/>
      <c r="C23" s="709"/>
      <c r="D23" s="394"/>
      <c r="E23" s="932"/>
      <c r="F23" s="932"/>
      <c r="G23" s="709"/>
      <c r="H23" s="394"/>
      <c r="I23" s="2323"/>
      <c r="O23" s="709"/>
      <c r="P23" s="394"/>
      <c r="Q23" s="2323"/>
      <c r="R23" s="2764"/>
      <c r="S23" s="709"/>
      <c r="T23" s="394"/>
      <c r="U23" s="2323"/>
      <c r="V23" s="2764"/>
      <c r="W23" s="121"/>
      <c r="X23" s="121"/>
      <c r="Y23" s="121"/>
      <c r="Z23" s="37"/>
    </row>
    <row customFormat="1" r="24" s="3271" spans="1:26" x14ac:dyDescent="0.2">
      <c r="A24" s="3326" t="s">
        <v>7602</v>
      </c>
      <c r="B24" s="2323"/>
      <c r="C24" s="709"/>
      <c r="D24" s="682" t="s">
        <v>5353</v>
      </c>
      <c r="E24" s="932"/>
      <c r="F24" s="932"/>
      <c r="G24" s="709"/>
      <c r="H24" s="682"/>
      <c r="I24" s="932"/>
      <c r="J24" s="932"/>
      <c r="K24" s="932"/>
      <c r="L24" s="3326"/>
      <c r="M24" s="932"/>
      <c r="N24" s="932"/>
      <c r="O24" s="709"/>
      <c r="P24" s="682" t="s">
        <v>606</v>
      </c>
      <c r="Q24" s="932"/>
      <c r="R24" s="932"/>
      <c r="S24" s="709"/>
      <c r="T24" s="682" t="s">
        <v>607</v>
      </c>
      <c r="U24" s="2323"/>
      <c r="V24" s="2764"/>
      <c r="W24" s="121"/>
      <c r="X24" s="121"/>
      <c r="Y24" s="121"/>
      <c r="Z24" s="37"/>
    </row>
    <row customFormat="1" r="25" s="3271" spans="1:26" x14ac:dyDescent="0.2">
      <c r="A25" s="121" t="s">
        <v>3268</v>
      </c>
      <c r="B25" s="121"/>
      <c r="C25" s="121"/>
      <c r="D25" s="121"/>
      <c r="E25" s="121"/>
      <c r="F25" s="2764"/>
      <c r="G25" s="121"/>
      <c r="H25" s="121"/>
      <c r="I25" s="121"/>
      <c r="O25" s="121"/>
      <c r="P25" s="121"/>
      <c r="Q25" s="121"/>
      <c r="R25" s="2764"/>
      <c r="S25" s="121"/>
      <c r="T25" s="121"/>
      <c r="U25" s="121"/>
      <c r="V25" s="2764"/>
      <c r="W25" s="2323"/>
      <c r="X25" s="2323"/>
      <c r="Y25" s="2323"/>
      <c r="Z25" s="37"/>
    </row>
    <row r="26" spans="1:26" x14ac:dyDescent="0.2">
      <c r="A26" s="121" t="s">
        <v>3269</v>
      </c>
      <c r="W26" s="2323"/>
      <c r="X26" s="2323"/>
      <c r="Y26" s="2323"/>
      <c r="Z26" s="37"/>
    </row>
    <row r="27" spans="1:26" x14ac:dyDescent="0.2">
      <c r="A27" s="121" t="s">
        <v>3270</v>
      </c>
      <c r="K27" s="121"/>
      <c r="L27" s="121"/>
      <c r="Z27" s="37"/>
    </row>
    <row r="28" spans="1:26" x14ac:dyDescent="0.2">
      <c r="A28" s="121" t="s">
        <v>3272</v>
      </c>
      <c r="B28" s="3271"/>
      <c r="C28" s="709"/>
      <c r="D28" s="394"/>
      <c r="E28" s="3271"/>
      <c r="F28" s="93"/>
      <c r="G28" s="709"/>
      <c r="H28" s="394"/>
      <c r="I28" s="3271"/>
      <c r="K28" s="394"/>
      <c r="L28" s="394"/>
      <c r="N28" s="93"/>
      <c r="O28" s="709"/>
      <c r="P28" s="394"/>
      <c r="Q28" s="3271"/>
      <c r="R28" s="93"/>
      <c r="S28" s="709"/>
      <c r="T28" s="394"/>
      <c r="U28" s="3271"/>
      <c r="Z28" s="37"/>
    </row>
    <row customFormat="1" r="29" s="2323" spans="1:26" x14ac:dyDescent="0.2">
      <c r="A29" s="121" t="s">
        <v>3273</v>
      </c>
      <c r="B29" s="3271"/>
      <c r="C29" s="709"/>
      <c r="D29" s="394"/>
      <c r="E29" s="3271"/>
      <c r="F29" s="93"/>
      <c r="G29" s="709"/>
      <c r="H29" s="394"/>
      <c r="I29" s="3271"/>
      <c r="J29" s="3271"/>
      <c r="K29" s="394"/>
      <c r="L29" s="394"/>
      <c r="M29" s="3271"/>
      <c r="N29" s="93"/>
      <c r="O29" s="709"/>
      <c r="P29" s="394"/>
      <c r="Q29" s="3271"/>
      <c r="R29" s="93"/>
      <c r="S29" s="709"/>
      <c r="T29" s="394"/>
      <c r="U29" s="3271"/>
      <c r="V29" s="3271"/>
      <c r="W29" s="121"/>
      <c r="X29" s="121"/>
      <c r="Y29" s="121"/>
      <c r="Z29" s="37"/>
    </row>
    <row customFormat="1" r="30" s="2323" spans="1:26" x14ac:dyDescent="0.2">
      <c r="A30" s="121" t="s">
        <v>2793</v>
      </c>
      <c r="B30" s="121"/>
      <c r="C30" s="121"/>
      <c r="D30" s="118" t="str">
        <f>C17&amp;" minus "&amp;C22</f>
        <v>c18.1 minus c18.5</v>
      </c>
      <c r="E30" s="121"/>
      <c r="F30" s="2764"/>
      <c r="G30" s="121"/>
      <c r="H30" s="3292" t="s">
        <v>7071</v>
      </c>
      <c r="I30" s="121"/>
      <c r="J30" s="3271"/>
      <c r="K30" s="3326"/>
      <c r="L30" s="3326"/>
      <c r="M30" s="3271"/>
      <c r="N30" s="3271"/>
      <c r="O30" s="121"/>
      <c r="P30" s="118" t="str">
        <f>O17&amp;" minus "&amp;O22</f>
        <v>c18.3 minus c18.7</v>
      </c>
      <c r="Q30" s="121"/>
      <c r="R30" s="2764"/>
      <c r="S30" s="121"/>
      <c r="T30" s="118" t="str">
        <f>S17&amp;" minus "&amp;S22</f>
        <v>c18.4 minus c18.8</v>
      </c>
      <c r="U30" s="121"/>
      <c r="V30" s="3271"/>
      <c r="W30" s="3271"/>
      <c r="X30" s="3271"/>
      <c r="Y30" s="3271"/>
      <c r="Z30" s="37"/>
    </row>
    <row r="31" spans="1:26" x14ac:dyDescent="0.2">
      <c r="A31" s="121" t="s">
        <v>2794</v>
      </c>
      <c r="B31" s="121" t="s">
        <v>5854</v>
      </c>
      <c r="C31" s="714" t="str">
        <f>A10</f>
        <v>c18.9</v>
      </c>
      <c r="D31" s="392">
        <f>MAX(0,D17-D22)</f>
        <v>0</v>
      </c>
      <c r="F31" s="3330" t="s">
        <v>5854</v>
      </c>
      <c r="G31" s="714" t="str">
        <f>A11</f>
        <v>c18.10</v>
      </c>
      <c r="H31" s="392">
        <v>0</v>
      </c>
      <c r="K31" s="3326"/>
      <c r="L31" s="3326"/>
      <c r="N31" s="93" t="s">
        <v>5854</v>
      </c>
      <c r="O31" s="714" t="str">
        <f>A12</f>
        <v>c18.11</v>
      </c>
      <c r="P31" s="392">
        <f>MAX(0,P17-P22)</f>
        <v>0</v>
      </c>
      <c r="R31" s="93" t="s">
        <v>5854</v>
      </c>
      <c r="S31" s="714" t="str">
        <f>A13</f>
        <v>c18.12</v>
      </c>
      <c r="T31" s="392">
        <f>MAX(0,T17-T22)</f>
        <v>0</v>
      </c>
      <c r="W31" s="3271"/>
      <c r="X31" s="3271"/>
      <c r="Y31" s="3271"/>
      <c r="Z31" s="37"/>
    </row>
    <row r="32" spans="1:26" x14ac:dyDescent="0.2">
      <c r="A32" s="121" t="s">
        <v>2795</v>
      </c>
      <c r="B32" s="3326"/>
      <c r="C32" s="709"/>
      <c r="D32" s="394"/>
      <c r="E32" s="3326"/>
      <c r="F32" s="1220"/>
      <c r="G32" s="709"/>
      <c r="H32" s="394"/>
      <c r="I32" s="3326"/>
      <c r="J32" s="3326"/>
      <c r="K32" s="3326"/>
      <c r="L32" s="3326"/>
      <c r="M32" s="3326"/>
      <c r="N32" s="93"/>
      <c r="O32" s="709"/>
      <c r="P32" s="394"/>
      <c r="Q32" s="3326"/>
      <c r="R32" s="93"/>
      <c r="S32" s="709"/>
      <c r="T32" s="394"/>
      <c r="U32" s="3326"/>
    </row>
    <row customFormat="1" r="33" s="3326" spans="1:26" x14ac:dyDescent="0.2">
      <c r="A33" s="121" t="s">
        <v>2796</v>
      </c>
      <c r="B33" s="3271"/>
      <c r="C33" s="709"/>
      <c r="D33" s="394"/>
      <c r="E33" s="3271"/>
      <c r="F33" s="93"/>
      <c r="G33" s="93"/>
      <c r="H33" s="93"/>
      <c r="I33" s="93"/>
      <c r="J33" s="93"/>
      <c r="K33" s="93"/>
      <c r="L33" s="394"/>
      <c r="M33" s="3271"/>
      <c r="N33" s="93"/>
      <c r="O33" s="709"/>
      <c r="P33" s="394"/>
      <c r="Q33" s="3271"/>
      <c r="R33" s="93"/>
      <c r="S33" s="709"/>
      <c r="T33" s="394"/>
      <c r="U33" s="3271"/>
      <c r="V33" s="3271"/>
      <c r="W33" s="3271"/>
      <c r="X33" s="3271"/>
      <c r="Y33" s="3271"/>
      <c r="Z33" s="37"/>
    </row>
    <row customFormat="1" r="34" s="3326" spans="1:26" x14ac:dyDescent="0.2">
      <c r="A34" s="121" t="s">
        <v>2869</v>
      </c>
      <c r="B34" s="3271"/>
      <c r="C34" s="709"/>
      <c r="D34" s="394"/>
      <c r="E34" s="3271"/>
      <c r="F34" s="93"/>
      <c r="I34" s="93"/>
      <c r="J34" s="93"/>
      <c r="M34" s="3271"/>
      <c r="N34" s="93"/>
      <c r="O34" s="709"/>
      <c r="P34" s="394"/>
      <c r="Q34" s="3271"/>
      <c r="R34" s="93"/>
      <c r="S34" s="709"/>
      <c r="T34" s="394"/>
      <c r="U34" s="3271"/>
      <c r="V34" s="3271"/>
      <c r="W34" s="3271"/>
      <c r="X34" s="3271"/>
      <c r="Y34" s="3271"/>
      <c r="Z34" s="37"/>
    </row>
    <row customFormat="1" r="35" s="3271" spans="1:26" x14ac:dyDescent="0.2">
      <c r="A35" s="121" t="s">
        <v>2870</v>
      </c>
      <c r="C35" s="709"/>
      <c r="D35" s="394"/>
      <c r="I35" s="93"/>
      <c r="N35" s="93"/>
      <c r="O35" s="709"/>
      <c r="P35" s="394"/>
      <c r="R35" s="93"/>
      <c r="S35" s="709"/>
      <c r="T35" s="394"/>
      <c r="Z35" s="37"/>
    </row>
    <row customFormat="1" r="36" s="3271" spans="1:26" x14ac:dyDescent="0.2">
      <c r="A36" s="121" t="s">
        <v>2871</v>
      </c>
      <c r="B36" s="121"/>
      <c r="C36" s="121"/>
      <c r="D36" s="93"/>
      <c r="E36" s="121"/>
      <c r="F36" s="2764"/>
      <c r="G36" s="121"/>
      <c r="H36" s="121"/>
      <c r="I36" s="121"/>
      <c r="O36" s="121"/>
      <c r="P36" s="121"/>
      <c r="Q36" s="121"/>
      <c r="R36" s="2764"/>
      <c r="S36" s="121"/>
      <c r="T36" s="121"/>
      <c r="U36" s="121"/>
      <c r="Z36" s="37"/>
    </row>
    <row customFormat="1" r="37" s="3271" spans="1:26" x14ac:dyDescent="0.2">
      <c r="A37" s="121" t="s">
        <v>2873</v>
      </c>
      <c r="B37" s="121"/>
      <c r="C37" s="121"/>
      <c r="D37" s="3286" t="str">
        <f>"from CGT"&amp;CGT!C7</f>
        <v>from CGT7</v>
      </c>
      <c r="E37" s="121"/>
      <c r="O37" s="121"/>
      <c r="P37" s="121"/>
      <c r="Q37" s="121"/>
      <c r="R37" s="2764"/>
      <c r="S37" s="121"/>
      <c r="T37" s="121"/>
      <c r="U37" s="121"/>
      <c r="V37" s="2764"/>
      <c r="Z37" s="37"/>
    </row>
    <row customFormat="1" r="38" s="3271" spans="1:26" x14ac:dyDescent="0.2">
      <c r="A38" s="121" t="s">
        <v>2874</v>
      </c>
      <c r="B38" s="121" t="s">
        <v>5204</v>
      </c>
      <c r="C38" s="714" t="str">
        <f>A14</f>
        <v>c18.13</v>
      </c>
      <c r="D38" s="392">
        <f>MAX(0,TRUNC(CGT!D8+0.99,0))</f>
        <v>0</v>
      </c>
      <c r="E38" s="932" t="s">
        <v>3701</v>
      </c>
      <c r="O38" s="121"/>
      <c r="P38" s="121"/>
      <c r="Q38" s="121"/>
      <c r="R38" s="2764"/>
      <c r="S38" s="121"/>
      <c r="T38" s="121"/>
      <c r="U38" s="121"/>
      <c r="V38" s="2764"/>
      <c r="W38" s="121"/>
      <c r="X38" s="121"/>
      <c r="Y38" s="121"/>
      <c r="Z38" s="37"/>
    </row>
    <row customFormat="1" r="39" s="3271" spans="1:26" x14ac:dyDescent="0.2">
      <c r="A39" s="121" t="s">
        <v>2875</v>
      </c>
      <c r="B39" s="121"/>
      <c r="C39" s="121"/>
      <c r="D39" s="121"/>
      <c r="E39" s="121"/>
      <c r="F39" s="2764"/>
      <c r="G39" s="121"/>
      <c r="H39" s="121"/>
      <c r="I39" s="121"/>
      <c r="O39" s="121"/>
      <c r="P39" s="121"/>
      <c r="Q39" s="121"/>
      <c r="R39" s="2764"/>
      <c r="S39" s="121"/>
      <c r="T39" s="121"/>
      <c r="U39" s="121"/>
      <c r="V39" s="2764"/>
      <c r="W39" s="121"/>
      <c r="X39" s="121"/>
      <c r="Y39" s="121"/>
      <c r="Z39" s="37"/>
    </row>
    <row customFormat="1" r="40" s="3271" spans="1:26" x14ac:dyDescent="0.2">
      <c r="A40" s="121" t="s">
        <v>5205</v>
      </c>
      <c r="B40" s="121"/>
      <c r="C40" s="121"/>
      <c r="D40" s="682" t="str">
        <f>CGT&amp;CGT!G14&amp;" + "&amp;CGT&amp;CGT!G24&amp;" + "</f>
        <v xml:space="preserve">CGT19 + CGT27 + </v>
      </c>
      <c r="E40" s="121"/>
      <c r="F40" s="2764"/>
      <c r="G40" s="121"/>
      <c r="H40" s="121"/>
      <c r="I40" s="121"/>
      <c r="O40" s="121"/>
      <c r="P40" s="121"/>
      <c r="Q40" s="121"/>
      <c r="R40" s="2764"/>
      <c r="S40" s="121"/>
      <c r="T40" s="121"/>
      <c r="U40" s="121"/>
      <c r="V40" s="2764"/>
      <c r="W40" s="121"/>
      <c r="X40" s="121"/>
      <c r="Y40" s="121"/>
      <c r="Z40" s="37"/>
    </row>
    <row customFormat="1" r="41" s="3271" spans="1:26" x14ac:dyDescent="0.2">
      <c r="A41" s="121" t="s">
        <v>5206</v>
      </c>
      <c r="B41" s="121"/>
      <c r="C41" s="121"/>
      <c r="D41" s="1798" t="str">
        <f><![CDATA["("&CGT&CGT!C34&" minus ("&CGT&CGT!C37&" + "&CGT&CGT!G40&"))"]]></f>
        <v>(CGT35 minus (CGT41 + CGT43))</v>
      </c>
      <c r="E41" s="121"/>
      <c r="F41" s="2764"/>
      <c r="G41" s="121"/>
      <c r="H41" s="121"/>
      <c r="I41" s="121"/>
      <c r="O41" s="121"/>
      <c r="P41" s="121"/>
      <c r="Q41" s="121"/>
      <c r="R41" s="2764"/>
      <c r="S41" s="121"/>
      <c r="T41" s="121"/>
      <c r="U41" s="121"/>
      <c r="V41" s="2764"/>
      <c r="W41" s="121"/>
      <c r="X41" s="121"/>
      <c r="Y41" s="121"/>
      <c r="Z41" s="37"/>
    </row>
    <row r="42" spans="1:26" x14ac:dyDescent="0.2">
      <c r="A42" s="121" t="s">
        <v>5207</v>
      </c>
      <c r="B42" s="2764" t="s">
        <v>5204</v>
      </c>
      <c r="C42" s="714" t="str">
        <f>A15</f>
        <v>c18.14</v>
      </c>
      <c r="D42" s="392">
        <f>MAX(0,TRUNC(CGT!H15+0.99,0)+TRUNC(CGT!H25+0.99,0)+TRUNC(CGT!D35-(CGT!D38+CGT!H41)+0.99,0))</f>
        <v>0</v>
      </c>
      <c r="E42" s="932" t="s">
        <v>3701</v>
      </c>
      <c r="F42" s="932"/>
      <c r="Z42" s="37"/>
    </row>
    <row r="43" spans="1:26" x14ac:dyDescent="0.2">
      <c r="A43" s="121" t="s">
        <v>5208</v>
      </c>
      <c r="Z43" s="37"/>
    </row>
    <row r="44" spans="1:26" x14ac:dyDescent="0.2">
      <c r="A44" s="121" t="s">
        <v>5209</v>
      </c>
      <c r="D44" s="1798" t="str">
        <f>"from "&amp;CGT&amp;CGT!P4</f>
        <v>from CGT46</v>
      </c>
      <c r="Z44" s="37"/>
    </row>
    <row r="45" spans="1:26" x14ac:dyDescent="0.2">
      <c r="A45" s="121" t="s">
        <v>5210</v>
      </c>
      <c r="B45" s="1945" t="str">
        <f>"Income losses of "&amp;tax_year&amp;" set against gains"</f>
        <v>Income losses of 2019-20 set against gains</v>
      </c>
      <c r="C45" s="714" t="str">
        <f>A16</f>
        <v>c18.15</v>
      </c>
      <c r="D45" s="392">
        <f>MAX(0,TRUNC(CGT!Q5+0.99,0))</f>
        <v>0</v>
      </c>
      <c r="E45" s="932" t="s">
        <v>3701</v>
      </c>
      <c r="F45" s="932"/>
      <c r="Z45" s="37"/>
    </row>
    <row r="46" spans="1:26" x14ac:dyDescent="0.2">
      <c r="A46" s="121" t="s">
        <v>5211</v>
      </c>
    </row>
    <row r="47" spans="1:26" x14ac:dyDescent="0.2">
      <c r="A47" s="121" t="s">
        <v>5212</v>
      </c>
      <c r="D47" s="93" t="str">
        <f>C38&amp;" + "&amp;C42&amp;" + "&amp;C45</f>
        <v>c18.13 + c18.14 + c18.15</v>
      </c>
      <c r="G47" s="3271"/>
      <c r="H47" s="3290" t="str">
        <f>"From "&amp;CGT&amp;CGT!P34</f>
        <v>From CGT52.5</v>
      </c>
      <c r="K47" s="3293"/>
      <c r="L47" s="3294" t="str">
        <f>G48&amp;" minus "&amp;G17</f>
        <v>c18.16a minus c18.2</v>
      </c>
      <c r="P47" s="118" t="str">
        <f>C48&amp;" minus ("&amp;C31&amp;" + "&amp;G31&amp;")"</f>
        <v>c18.16 minus (c18.9 + c18.10)</v>
      </c>
      <c r="S47" s="3326"/>
      <c r="T47" s="118" t="str">
        <f><![CDATA[C48&" minus ("&C31&" + "&G31&" + "&O31&")"]]></f>
        <v>c18.16 minus (c18.9 + c18.10 + c18.11)</v>
      </c>
    </row>
    <row r="48" spans="1:26" x14ac:dyDescent="0.2">
      <c r="A48" s="121" t="s">
        <v>5213</v>
      </c>
      <c r="B48" s="121" t="s">
        <v>5819</v>
      </c>
      <c r="C48" s="714" t="str">
        <f>A17</f>
        <v>c18.16</v>
      </c>
      <c r="D48" s="392">
        <f>MAX(0,D38+D42+D45)</f>
        <v>0</v>
      </c>
      <c r="F48" s="3289" t="s">
        <v>5204</v>
      </c>
      <c r="G48" s="3288" t="str">
        <f>A18</f>
        <v>c18.16a</v>
      </c>
      <c r="H48" s="392">
        <f>MAX(0,TRUNC(CGT!Q35+0.99,0))</f>
        <v>0</v>
      </c>
      <c r="I48" s="4395" t="s">
        <v>3701</v>
      </c>
      <c r="J48" s="3289" t="s">
        <v>5204</v>
      </c>
      <c r="K48" s="3288" t="str">
        <f>A19</f>
        <v>c18.16b</v>
      </c>
      <c r="L48" s="392">
        <f>MAX(0,H48-H17)</f>
        <v>0</v>
      </c>
      <c r="N48" s="93" t="s">
        <v>5819</v>
      </c>
      <c r="O48" s="714" t="str">
        <f>A20</f>
        <v>c18.17</v>
      </c>
      <c r="P48" s="392">
        <f>MAX(0,D48-(D31+H31))</f>
        <v>0</v>
      </c>
      <c r="R48" s="93" t="s">
        <v>5819</v>
      </c>
      <c r="S48" s="714" t="str">
        <f>A21</f>
        <v>c18.18</v>
      </c>
      <c r="T48" s="392">
        <f>MAX(0,D48-(D31+H31+P31))</f>
        <v>0</v>
      </c>
    </row>
    <row r="49" spans="1:20" x14ac:dyDescent="0.2">
      <c r="A49" s="121" t="s">
        <v>5214</v>
      </c>
    </row>
    <row r="50" spans="1:20" x14ac:dyDescent="0.2">
      <c r="A50" s="121" t="s">
        <v>5215</v>
      </c>
      <c r="D50" s="118" t="str">
        <f>"("&amp;C31&amp;" + "&amp;G31&amp;") minus "&amp;C48</f>
        <v>(c18.9 + c18.10) minus c18.16</v>
      </c>
      <c r="G50" s="3289"/>
      <c r="H50" s="3289" t="str">
        <f>G17&amp;" minus "&amp;G48</f>
        <v>c18.2 minus c18.16a</v>
      </c>
      <c r="K50" s="3289"/>
      <c r="L50" s="3294" t="str">
        <f>K17&amp;" minus "&amp;K48</f>
        <v>c18.2a minus c18.16b</v>
      </c>
      <c r="O50" s="684"/>
      <c r="P50" s="118" t="str">
        <f>O31&amp;" minus "&amp;O48</f>
        <v>c18.11 minus c18.17</v>
      </c>
      <c r="S50" s="684"/>
      <c r="T50" s="118" t="str">
        <f>S31&amp;" minus "&amp;S48</f>
        <v>c18.12 minus c18.18</v>
      </c>
    </row>
    <row r="51" spans="1:20" x14ac:dyDescent="0.2">
      <c r="A51" s="121" t="s">
        <v>5216</v>
      </c>
      <c r="B51" s="121" t="s">
        <v>3427</v>
      </c>
      <c r="C51" s="714" t="str">
        <f>A22</f>
        <v>c18.19</v>
      </c>
      <c r="D51" s="392">
        <f>MAX(0,(D31+H31)-D48)</f>
        <v>0</v>
      </c>
      <c r="F51" s="3289" t="s">
        <v>3427</v>
      </c>
      <c r="G51" s="3288" t="str">
        <f>A23</f>
        <v>c18.19a</v>
      </c>
      <c r="H51" s="392">
        <f>MAX(0,H17-H48)</f>
        <v>0</v>
      </c>
      <c r="J51" s="3289" t="s">
        <v>3427</v>
      </c>
      <c r="K51" s="3288" t="str">
        <f>A24</f>
        <v>c18.19b</v>
      </c>
      <c r="L51" s="392">
        <f>MAX(0,L17-L48)</f>
        <v>0</v>
      </c>
      <c r="N51" s="93" t="s">
        <v>3427</v>
      </c>
      <c r="O51" s="714" t="str">
        <f>A25</f>
        <v>c18.20</v>
      </c>
      <c r="P51" s="1339">
        <f>MAX(0,P31-P48)</f>
        <v>0</v>
      </c>
      <c r="R51" s="93" t="s">
        <v>3427</v>
      </c>
      <c r="S51" s="714" t="str">
        <f>A26</f>
        <v>c18.21</v>
      </c>
      <c r="T51" s="392">
        <f>MAX(0,T31-T48)</f>
        <v>0</v>
      </c>
    </row>
    <row r="52" spans="1:20" x14ac:dyDescent="0.2">
      <c r="A52" s="121" t="s">
        <v>5217</v>
      </c>
    </row>
    <row r="53" spans="1:20" x14ac:dyDescent="0.2">
      <c r="A53" s="121" t="s">
        <v>5218</v>
      </c>
      <c r="O53" s="684"/>
      <c r="P53" s="689" t="str">
        <f>"from CGT"&amp;CGT!C17</f>
        <v>from CGT18</v>
      </c>
      <c r="Q53" s="684"/>
      <c r="R53" s="684"/>
      <c r="S53" s="684"/>
    </row>
    <row r="54" spans="1:20" x14ac:dyDescent="0.2">
      <c r="A54" s="121" t="s">
        <v>5219</v>
      </c>
      <c r="B54" s="121" t="s">
        <v>3431</v>
      </c>
      <c r="O54" s="714" t="str">
        <f>A27</f>
        <v>c18.22</v>
      </c>
      <c r="P54" s="392">
        <f>TRUNC(CGT!D18,0)</f>
        <v>0</v>
      </c>
      <c r="Q54" s="932" t="s">
        <v>1743</v>
      </c>
      <c r="R54" s="932"/>
      <c r="S54" s="684"/>
    </row>
    <row r="55" spans="1:20" x14ac:dyDescent="0.2">
      <c r="A55" s="121" t="s">
        <v>5220</v>
      </c>
      <c r="O55" s="684"/>
      <c r="P55" s="394"/>
      <c r="S55" s="684"/>
    </row>
    <row r="56" spans="1:20" x14ac:dyDescent="0.2">
      <c r="A56" s="121" t="s">
        <v>5221</v>
      </c>
      <c r="O56" s="3295"/>
      <c r="P56" s="3292" t="str">
        <f>K51&amp;" + "&amp;O51&amp;" + "&amp;O54</f>
        <v>c18.19b + c18.20 + c18.22</v>
      </c>
    </row>
    <row r="57" spans="1:20" x14ac:dyDescent="0.2">
      <c r="A57" s="121" t="s">
        <v>5222</v>
      </c>
      <c r="B57" s="121" t="s">
        <v>3435</v>
      </c>
      <c r="O57" s="714" t="str">
        <f>A28</f>
        <v>c18.23</v>
      </c>
      <c r="P57" s="392">
        <f>L51+P51+P54</f>
        <v>0</v>
      </c>
    </row>
    <row r="58" spans="1:20" x14ac:dyDescent="0.2">
      <c r="A58" s="121" t="s">
        <v>5223</v>
      </c>
    </row>
    <row r="59" spans="1:20" x14ac:dyDescent="0.2">
      <c r="A59" s="121" t="s">
        <v>5224</v>
      </c>
      <c r="C59" s="684" t="str">
        <f><![CDATA["If ("&NRD!P10&" = Y and "&NRD!P11&" = N and "&NRD!P9&" = N)"]]></f>
        <v>If (box_NRD28 = Y and box_NRD29 = N and box_NRD16 = N)</v>
      </c>
    </row>
    <row r="60" spans="1:20" x14ac:dyDescent="0.2">
      <c r="A60" s="121" t="s">
        <v>5352</v>
      </c>
      <c r="C60" s="749" t="str">
        <f>C64&amp;" = 0 (zero)"</f>
        <v>c18.24 = 0 (zero)</v>
      </c>
    </row>
    <row r="61" spans="1:20" x14ac:dyDescent="0.2">
      <c r="A61" s="121" t="s">
        <v>5764</v>
      </c>
      <c r="C61" s="749" t="s">
        <v>1319</v>
      </c>
    </row>
    <row r="62" spans="1:20" x14ac:dyDescent="0.2">
      <c r="A62" s="121" t="s">
        <v>5765</v>
      </c>
      <c r="C62" s="749" t="str">
        <f>C64&amp;" = CG_exempt ("&amp;DOLLAR(CG_exempt,0)&amp;")"</f>
        <v>c18.24 = CG_exempt ($12,000)</v>
      </c>
      <c r="D62" s="1945"/>
    </row>
    <row r="63" spans="1:20" x14ac:dyDescent="0.2">
      <c r="A63" s="121" t="s">
        <v>5820</v>
      </c>
      <c r="C63" s="749" t="s">
        <v>2495</v>
      </c>
      <c r="N63" s="3291"/>
      <c r="O63" s="3295"/>
      <c r="P63" s="3292" t="str">
        <f>C64&amp;" minus ("&amp;C51&amp;" + "&amp;G51&amp;")"</f>
        <v>c18.24 minus (c18.19 + c18.19a)</v>
      </c>
      <c r="S63" s="684"/>
      <c r="T63" s="118" t="str">
        <f>O64&amp;" minus "&amp;O57</f>
        <v>c18.25 minus c18.23</v>
      </c>
    </row>
    <row r="64" spans="1:20" x14ac:dyDescent="0.2">
      <c r="B64" s="805" t="s">
        <v>4308</v>
      </c>
      <c r="C64" s="714" t="str">
        <f>A29</f>
        <v>c18.24</v>
      </c>
      <c r="D64" s="392">
        <f>IF(NON_DOM_Allowances,CG_exempt,0)</f>
        <v>12000</v>
      </c>
      <c r="O64" s="714" t="str">
        <f>A30</f>
        <v>c18.25</v>
      </c>
      <c r="P64" s="392">
        <f>MAX(0,D64-(D51+H51))</f>
        <v>12000</v>
      </c>
      <c r="S64" s="714" t="str">
        <f>A31</f>
        <v>c18.26</v>
      </c>
      <c r="T64" s="392">
        <f>MAX(0,P64-P57)</f>
        <v>12000</v>
      </c>
    </row>
    <row r="66" spans="2:25" x14ac:dyDescent="0.2">
      <c r="B66" s="3291"/>
      <c r="C66" s="3295"/>
      <c r="D66" s="3292" t="str">
        <f>"("&amp;C51&amp;" + "&amp;G51&amp;") minus "&amp;C64</f>
        <v>(c18.19 + c18.19a) minus c18.24</v>
      </c>
      <c r="N66" s="3326"/>
      <c r="O66" s="684"/>
      <c r="P66" s="118" t="str">
        <f>O57&amp;" minus "&amp;O64</f>
        <v>c18.23 minus c18.25</v>
      </c>
      <c r="S66" s="684"/>
      <c r="T66" s="118" t="str">
        <f>S51&amp;" minus "&amp;S64</f>
        <v>c18.21 minus c18.26</v>
      </c>
    </row>
    <row r="67" spans="2:25" x14ac:dyDescent="0.2">
      <c r="B67" s="121" t="s">
        <v>3271</v>
      </c>
      <c r="C67" s="714" t="str">
        <f>A32</f>
        <v>c18.27</v>
      </c>
      <c r="D67" s="392">
        <f>MAX(0,(D51+H51)-D64)</f>
        <v>0</v>
      </c>
      <c r="O67" s="714" t="str">
        <f>A33</f>
        <v>c18.28</v>
      </c>
      <c r="P67" s="392">
        <f>MAX(0,P57-P64)</f>
        <v>0</v>
      </c>
      <c r="S67" s="714" t="str">
        <f>A34</f>
        <v>c18.29</v>
      </c>
      <c r="T67" s="392">
        <f>MAX(0,T51-T64)</f>
        <v>0</v>
      </c>
    </row>
    <row r="68" spans="2:25" x14ac:dyDescent="0.2">
      <c r="O68" s="684"/>
      <c r="S68" s="684"/>
    </row>
    <row r="69" spans="2:25" x14ac:dyDescent="0.2">
      <c r="O69" s="684"/>
    </row>
    <row r="70" spans="2:25" x14ac:dyDescent="0.2">
      <c r="B70" s="121" t="str">
        <f>"Gains chargeable at "&amp;ER_CGT_rate*100&amp;"%"</f>
        <v>Gains chargeable at 10%</v>
      </c>
    </row>
    <row r="71" spans="2:25" x14ac:dyDescent="0.2">
      <c r="W71" s="684"/>
      <c r="X71" s="118" t="str">
        <f>S67&amp;" x ER_CGT_rate ("&amp;(ER_CGT_rate)*100&amp;"%)"</f>
        <v>c18.29 x ER_CGT_rate (10%)</v>
      </c>
    </row>
    <row r="72" spans="2:25" x14ac:dyDescent="0.2">
      <c r="C72" s="749" t="s">
        <v>4039</v>
      </c>
      <c r="W72" s="714" t="str">
        <f>A35</f>
        <v>c18.30</v>
      </c>
      <c r="X72" s="735">
        <f>TRUNC(T67*ER_CGT_rate,2)</f>
        <v>0</v>
      </c>
      <c r="Y72" s="932" t="s">
        <v>2694</v>
      </c>
    </row>
    <row r="73" spans="2:25" x14ac:dyDescent="0.2">
      <c r="C73" s="749" t="str">
        <f>C77&amp;" = "&amp;'non-res (c91)'!M116</f>
        <v>c18.31 = c91.28</v>
      </c>
    </row>
    <row r="74" spans="2:25" x14ac:dyDescent="0.2">
      <c r="C74" s="749" t="s">
        <v>1319</v>
      </c>
      <c r="D74" s="749"/>
    </row>
    <row r="75" spans="2:25" x14ac:dyDescent="0.2">
      <c r="C75" s="749" t="str">
        <f>C77&amp;" = "&amp;'Taxable (c5)'!BA309</f>
        <v>c18.31 = c5.86</v>
      </c>
    </row>
    <row r="76" spans="2:25" x14ac:dyDescent="0.2">
      <c r="C76" s="749" t="s">
        <v>2495</v>
      </c>
      <c r="D76" s="749"/>
    </row>
    <row r="77" spans="2:25" x14ac:dyDescent="0.2">
      <c r="B77" s="121" t="s">
        <v>2872</v>
      </c>
      <c r="C77" s="714" t="str">
        <f>A36</f>
        <v>c18.31</v>
      </c>
      <c r="D77" s="392">
        <f>MAX(0,IF(non_resident,'non-res (c91)'!N116,'Taxable (c5)'!BB309))</f>
        <v>50172</v>
      </c>
    </row>
    <row r="78" spans="2:25" x14ac:dyDescent="0.2">
      <c r="C78" s="684"/>
    </row>
    <row r="79" spans="2:25" x14ac:dyDescent="0.2">
      <c r="C79" s="684" t="str">
        <f><![CDATA["If ("&FOR&FOR!K39&" + "&AOI&AOI!C13&" + "&AOI&AOI!C19&" + "&AOI&AOI!G13&") > 0"]]></f>
        <v>If (FOR43 + AOI4 + AOI6 + AOI8) &gt; 0</v>
      </c>
    </row>
    <row r="80" spans="2:25" x14ac:dyDescent="0.2">
      <c r="C80" s="749" t="str">
        <f>C84&amp;" = "&amp;'TSR (c17)'!L101</f>
        <v>c18.32 = c17.22</v>
      </c>
    </row>
    <row r="81" spans="2:16" x14ac:dyDescent="0.2">
      <c r="C81" s="749" t="s">
        <v>1319</v>
      </c>
    </row>
    <row r="82" spans="2:16" x14ac:dyDescent="0.2">
      <c r="C82" s="749" t="str">
        <f>C84&amp;" = 0 (zero)"</f>
        <v>c18.32 = 0 (zero)</v>
      </c>
    </row>
    <row r="83" spans="2:16" x14ac:dyDescent="0.2">
      <c r="C83" s="749" t="s">
        <v>2495</v>
      </c>
      <c r="O83" s="684"/>
      <c r="P83" s="118" t="str">
        <f>C77&amp;" + "&amp;C84</f>
        <v>c18.31 + c18.32</v>
      </c>
    </row>
    <row r="84" spans="2:16" x14ac:dyDescent="0.2">
      <c r="B84" s="121" t="s">
        <v>2876</v>
      </c>
      <c r="C84" s="714" t="str">
        <f>A37</f>
        <v>c18.32</v>
      </c>
      <c r="D84" s="841">
        <f>'TSR (c17)'!M101</f>
        <v>0</v>
      </c>
      <c r="O84" s="714" t="str">
        <f>A38</f>
        <v>c18.33</v>
      </c>
      <c r="P84" s="392">
        <f>D77+D84</f>
        <v>50172</v>
      </c>
    </row>
    <row r="85" spans="2:16" x14ac:dyDescent="0.2">
      <c r="C85" s="684"/>
      <c r="O85" s="684"/>
    </row>
    <row r="86" spans="2:16" x14ac:dyDescent="0.2">
      <c r="C86" s="684" t="str">
        <f><![CDATA["If ("&FOR&FOR!K39&" + "&AOI&AOI!C13&" + "&AOI&AOI!C19&" + "&AOI&AOI!G13&") > 0"]]></f>
        <v>If (FOR43 + AOI4 + AOI6 + AOI8) &gt; 0</v>
      </c>
      <c r="O86" s="684"/>
    </row>
    <row r="87" spans="2:16" x14ac:dyDescent="0.2">
      <c r="C87" s="749" t="str">
        <f>C91&amp;" = "&amp;'TSR (c17)'!E101</f>
        <v>c18.34 = c17.21</v>
      </c>
    </row>
    <row r="88" spans="2:16" x14ac:dyDescent="0.2">
      <c r="C88" s="749" t="s">
        <v>1319</v>
      </c>
    </row>
    <row r="89" spans="2:16" x14ac:dyDescent="0.2">
      <c r="C89" s="749" t="str">
        <f>C91&amp;" = 0 (zero)"</f>
        <v>c18.34 = 0 (zero)</v>
      </c>
    </row>
    <row r="90" spans="2:16" x14ac:dyDescent="0.2">
      <c r="C90" s="749" t="s">
        <v>2495</v>
      </c>
      <c r="O90" s="684"/>
      <c r="P90" s="118" t="str">
        <f>O84&amp;" minus "&amp;C91</f>
        <v>c18.33 minus c18.34</v>
      </c>
    </row>
    <row r="91" spans="2:16" x14ac:dyDescent="0.2">
      <c r="B91" s="121" t="s">
        <v>615</v>
      </c>
      <c r="C91" s="714" t="str">
        <f>A39</f>
        <v>c18.34</v>
      </c>
      <c r="D91" s="841">
        <f>'TSR (c17)'!F101</f>
        <v>0</v>
      </c>
      <c r="O91" s="714" t="str">
        <f>A40</f>
        <v>c18.35</v>
      </c>
      <c r="P91" s="392">
        <f>MAX(0,P84-D91)</f>
        <v>50172</v>
      </c>
    </row>
    <row r="92" spans="2:16" x14ac:dyDescent="0.2">
      <c r="C92" s="684"/>
      <c r="O92" s="684"/>
    </row>
    <row r="93" spans="2:16" x14ac:dyDescent="0.2">
      <c r="C93" s="684"/>
      <c r="D93" s="93" t="str">
        <f>"From "&amp;'CDR (c7)'!E5</f>
        <v>From c7.1</v>
      </c>
      <c r="O93" s="709"/>
      <c r="P93" s="118" t="str">
        <f>O91&amp;" minus "&amp;C94</f>
        <v>c18.35 minus c18.36</v>
      </c>
    </row>
    <row r="94" spans="2:16" x14ac:dyDescent="0.2">
      <c r="B94" s="121" t="s">
        <v>933</v>
      </c>
      <c r="C94" s="714" t="str">
        <f>A41</f>
        <v>c18.36</v>
      </c>
      <c r="D94" s="392">
        <f>'CDR (c7)'!F5</f>
        <v>0</v>
      </c>
      <c r="N94" s="2764" t="s">
        <v>2876</v>
      </c>
      <c r="O94" s="714" t="str">
        <f>A42</f>
        <v>c18.37</v>
      </c>
      <c r="P94" s="392">
        <f>MAX(0,P91-D94)</f>
        <v>50172</v>
      </c>
    </row>
    <row r="96" spans="2:16" x14ac:dyDescent="0.2">
      <c r="O96" s="684"/>
      <c r="P96" s="2325" t="str">
        <f>"BR_band ("&amp;DOLLAR(BR_band,0)&amp;") + "&amp;'Deductions (c4)'!H204</f>
        <v>BR_band ($37,500) + c4.59</v>
      </c>
    </row>
    <row r="97" spans="2:25" x14ac:dyDescent="0.2">
      <c r="B97" s="121" t="s">
        <v>3078</v>
      </c>
      <c r="O97" s="714" t="str">
        <f>A43</f>
        <v>c18.38</v>
      </c>
      <c r="P97" s="848">
        <f>BR_band+'Deductions (c4)'!I204</f>
        <v>39125</v>
      </c>
    </row>
    <row r="99" spans="2:25" x14ac:dyDescent="0.2">
      <c r="O99" s="684"/>
      <c r="P99" s="93" t="str">
        <f>O97&amp;" minus "&amp;O94</f>
        <v>c18.38 minus c18.37</v>
      </c>
    </row>
    <row r="100" spans="2:25" x14ac:dyDescent="0.2">
      <c r="B100" s="121" t="s">
        <v>2877</v>
      </c>
      <c r="O100" s="1799" t="str">
        <f>A44</f>
        <v>c18.39</v>
      </c>
      <c r="P100" s="1341">
        <f>MAX(0,P97-P94)</f>
        <v>0</v>
      </c>
    </row>
    <row r="102" spans="2:25" x14ac:dyDescent="0.2">
      <c r="O102" s="684"/>
      <c r="P102" s="118" t="str">
        <f>O100&amp;" minus "&amp;S67</f>
        <v>c18.39 minus c18.29</v>
      </c>
    </row>
    <row r="103" spans="2:25" x14ac:dyDescent="0.2">
      <c r="B103" s="121" t="s">
        <v>6114</v>
      </c>
      <c r="O103" s="714" t="str">
        <f>A45</f>
        <v>c18.40</v>
      </c>
      <c r="P103" s="392">
        <f>MAX(0,P100-T67)</f>
        <v>0</v>
      </c>
    </row>
    <row r="105" spans="2:25" x14ac:dyDescent="0.2">
      <c r="P105" s="93" t="str">
        <f>"Lower of "&amp;C67&amp;" and "&amp;O103</f>
        <v>Lower of c18.27 and c18.40</v>
      </c>
    </row>
    <row r="106" spans="2:25" x14ac:dyDescent="0.2">
      <c r="B106" s="121" t="str">
        <f>"Gains chargeable at "&amp;Lower_CGT_rate_RP_CI*100&amp;"%"</f>
        <v>Gains chargeable at 18%</v>
      </c>
      <c r="O106" s="714" t="str">
        <f>A46</f>
        <v>c18.41</v>
      </c>
      <c r="P106" s="848">
        <f>MAX(0,MIN(D67,P103))</f>
        <v>0</v>
      </c>
    </row>
    <row r="107" spans="2:25" x14ac:dyDescent="0.2">
      <c r="O107" s="684"/>
      <c r="S107" s="684"/>
      <c r="X107" s="118" t="str">
        <f>O106&amp;" x Lower_CGT_rate_RP_CI ("&amp;(Lower_CGT_rate_RP_CI)*100&amp;"%)"</f>
        <v>c18.41 x Lower_CGT_rate_RP_CI (18%)</v>
      </c>
    </row>
    <row r="108" spans="2:25" x14ac:dyDescent="0.2">
      <c r="O108" s="684"/>
      <c r="P108" s="118" t="str">
        <f>C67&amp;" minus "&amp;O106</f>
        <v>c18.27 minus c18.41</v>
      </c>
      <c r="S108" s="709"/>
      <c r="T108" s="394"/>
      <c r="W108" s="714" t="str">
        <f>A47</f>
        <v>c18.42</v>
      </c>
      <c r="X108" s="735">
        <f>TRUNC(P106*Lower_CGT_rate_RP_CI,2)</f>
        <v>0</v>
      </c>
      <c r="Y108" s="932" t="s">
        <v>2694</v>
      </c>
    </row>
    <row r="109" spans="2:25" x14ac:dyDescent="0.2">
      <c r="B109" s="121" t="str">
        <f>"Gains chargeable at "&amp;Upper_CGT_rate_RP_CI*100&amp;"%"</f>
        <v>Gains chargeable at 28%</v>
      </c>
      <c r="O109" s="714" t="str">
        <f>A48</f>
        <v>c18.43</v>
      </c>
      <c r="P109" s="392">
        <f>MAX(0,D67-P106)</f>
        <v>0</v>
      </c>
      <c r="W109" s="684"/>
    </row>
    <row r="110" spans="2:25" x14ac:dyDescent="0.2">
      <c r="X110" s="118" t="str">
        <f>O109&amp;" x Upper_CGT_rate_RP_CI ("&amp;(Upper_CGT_rate_RP_CI)*100&amp;"%)"</f>
        <v>c18.43 x Upper_CGT_rate_RP_CI (28%)</v>
      </c>
    </row>
    <row r="111" spans="2:25" x14ac:dyDescent="0.2">
      <c r="O111" s="684"/>
      <c r="P111" s="93" t="str">
        <f>O103&amp;" minus "&amp;C67</f>
        <v>c18.40 minus c18.27</v>
      </c>
      <c r="W111" s="714" t="str">
        <f>A49</f>
        <v>c18.44</v>
      </c>
      <c r="X111" s="735">
        <f>TRUNC(P109*Upper_CGT_rate_RP_CI,2)</f>
        <v>0</v>
      </c>
      <c r="Y111" s="932" t="s">
        <v>2694</v>
      </c>
    </row>
    <row r="112" spans="2:25" x14ac:dyDescent="0.2">
      <c r="B112" s="121" t="s">
        <v>5225</v>
      </c>
      <c r="O112" s="1799" t="str">
        <f>A50</f>
        <v>c18.45</v>
      </c>
      <c r="P112" s="1341">
        <f>MAX(0,P103-D67)</f>
        <v>0</v>
      </c>
    </row>
    <row r="114" spans="2:25" x14ac:dyDescent="0.2">
      <c r="O114" s="684"/>
      <c r="P114" s="93" t="str">
        <f>"Lower of "&amp;O67&amp;" and "&amp;O112</f>
        <v>Lower of c18.28 and c18.45</v>
      </c>
    </row>
    <row r="115" spans="2:25" x14ac:dyDescent="0.2">
      <c r="B115" s="121" t="str">
        <f>"Gains chargeable at "&amp;Lower_CGT_rate*100&amp;"%"</f>
        <v>Gains chargeable at 10%</v>
      </c>
      <c r="O115" s="714" t="str">
        <f>A51</f>
        <v>c18.46</v>
      </c>
      <c r="P115" s="848">
        <f>MIN(P67,P112)</f>
        <v>0</v>
      </c>
    </row>
    <row r="116" spans="2:25" x14ac:dyDescent="0.2">
      <c r="O116" s="684"/>
      <c r="X116" s="118" t="str">
        <f>O115&amp;" x Lower_CGT_rate ("&amp;(Lower_CGT_rate)*100&amp;"%)"</f>
        <v>c18.46 x Lower_CGT_rate (10%)</v>
      </c>
    </row>
    <row r="117" spans="2:25" x14ac:dyDescent="0.2">
      <c r="O117" s="684"/>
      <c r="P117" s="118" t="str">
        <f>O67&amp;" minus "&amp;O115</f>
        <v>c18.28 minus c18.46</v>
      </c>
      <c r="W117" s="714" t="str">
        <f>A52</f>
        <v>c18.47</v>
      </c>
      <c r="X117" s="735">
        <f>TRUNC(P115*Lower_CGT_rate,2)</f>
        <v>0</v>
      </c>
      <c r="Y117" s="932" t="s">
        <v>2694</v>
      </c>
    </row>
    <row r="118" spans="2:25" x14ac:dyDescent="0.2">
      <c r="B118" s="121" t="str">
        <f>"Gains chargeable at "&amp;Upper_CGT_rate*100&amp;"%"</f>
        <v>Gains chargeable at 20%</v>
      </c>
      <c r="O118" s="714" t="str">
        <f>A53</f>
        <v>c18.48</v>
      </c>
      <c r="P118" s="392">
        <f>MAX(0,P67-P115)</f>
        <v>0</v>
      </c>
      <c r="W118" s="684"/>
    </row>
    <row r="119" spans="2:25" x14ac:dyDescent="0.2">
      <c r="S119" s="684"/>
      <c r="W119" s="684"/>
      <c r="X119" s="118" t="str">
        <f>O118&amp;" x Upper_CGT_rate ("&amp;(Upper_CGT_rate)*100&amp;"%)"</f>
        <v>c18.48 x Upper_CGT_rate (20%)</v>
      </c>
    </row>
    <row r="120" spans="2:25" x14ac:dyDescent="0.2">
      <c r="W120" s="714" t="str">
        <f>A54</f>
        <v>c18.49</v>
      </c>
      <c r="X120" s="735">
        <f>TRUNC(P118*Upper_CGT_rate,2)</f>
        <v>0</v>
      </c>
      <c r="Y120" s="932" t="s">
        <v>2694</v>
      </c>
    </row>
    <row r="121" spans="2:25" x14ac:dyDescent="0.2">
      <c r="B121" s="121" t="s">
        <v>929</v>
      </c>
    </row>
    <row r="122" spans="2:25" x14ac:dyDescent="0.2">
      <c r="W122" s="684"/>
      <c r="X122" s="118" t="str">
        <f><![CDATA[W72&" + "&W108&" + "&W111&" + "&W117&" + "&W120]]></f>
        <v>c18.30 + c18.42 + c18.44 + c18.47 + c18.49</v>
      </c>
    </row>
    <row r="123" spans="2:25" x14ac:dyDescent="0.2">
      <c r="W123" s="714" t="str">
        <f>A55</f>
        <v>c18.50</v>
      </c>
      <c r="X123" s="735">
        <f>X72+X108+X111+X117+X120</f>
        <v>0</v>
      </c>
    </row>
    <row r="124" spans="2:25" x14ac:dyDescent="0.2">
      <c r="B124" s="121" t="s">
        <v>2911</v>
      </c>
      <c r="W124" s="684"/>
    </row>
    <row r="125" spans="2:25" x14ac:dyDescent="0.2">
      <c r="W125" s="684"/>
      <c r="X125" s="751" t="str">
        <f>"from "&amp;CGT&amp;CGT!L18</f>
        <v>from CGT51</v>
      </c>
    </row>
    <row r="126" spans="2:25" x14ac:dyDescent="0.2">
      <c r="W126" s="714" t="str">
        <f>A56</f>
        <v>c18.51</v>
      </c>
      <c r="X126" s="735">
        <f>CGT!M19</f>
        <v>0</v>
      </c>
      <c r="Y126" s="985" t="s">
        <v>1521</v>
      </c>
    </row>
    <row r="127" spans="2:25" x14ac:dyDescent="0.2">
      <c r="W127" s="684"/>
    </row>
    <row r="128" spans="2:25" x14ac:dyDescent="0.2">
      <c r="B128" s="121" t="s">
        <v>1487</v>
      </c>
    </row>
    <row r="129" spans="2:25" x14ac:dyDescent="0.2">
      <c r="W129" s="684"/>
      <c r="X129" s="118" t="str">
        <f>W123&amp;" + "&amp;W126</f>
        <v>c18.50 + c18.51</v>
      </c>
    </row>
    <row r="130" spans="2:25" x14ac:dyDescent="0.2">
      <c r="W130" s="714" t="str">
        <f>A57</f>
        <v>c18.52</v>
      </c>
      <c r="X130" s="735">
        <f>MAX(0,X123+X126)</f>
        <v>0</v>
      </c>
    </row>
    <row r="131" spans="2:25" x14ac:dyDescent="0.2">
      <c r="B131" s="121" t="s">
        <v>3765</v>
      </c>
      <c r="W131" s="684"/>
    </row>
    <row r="132" spans="2:25" x14ac:dyDescent="0.2">
      <c r="W132" s="709"/>
      <c r="X132" s="751" t="str">
        <f>"from "&amp;FOR&amp;FOR!K25</f>
        <v>from FOR39</v>
      </c>
    </row>
    <row r="133" spans="2:25" x14ac:dyDescent="0.2">
      <c r="Q133" s="37"/>
      <c r="R133" s="37"/>
      <c r="W133" s="1994" t="str">
        <f>A58</f>
        <v>c18.53</v>
      </c>
      <c r="X133" s="110">
        <f>TRUNC(FOR!L26+0.99,0)</f>
        <v>0</v>
      </c>
      <c r="Y133" s="929" t="s">
        <v>3701</v>
      </c>
    </row>
    <row r="134" spans="2:25" x14ac:dyDescent="0.2">
      <c r="B134" s="121" t="s">
        <v>5226</v>
      </c>
      <c r="Q134" s="37"/>
      <c r="R134" s="37"/>
      <c r="W134" s="684"/>
    </row>
    <row r="135" spans="2:25" x14ac:dyDescent="0.2">
      <c r="Q135" s="37"/>
      <c r="R135" s="37"/>
      <c r="W135" s="684"/>
      <c r="X135" s="118" t="str">
        <f>W130&amp;" minus "&amp;W133</f>
        <v>c18.52 minus c18.53</v>
      </c>
    </row>
    <row r="136" spans="2:25" x14ac:dyDescent="0.2">
      <c r="W136" s="1994" t="str">
        <f>A59</f>
        <v>c18.54</v>
      </c>
      <c r="X136" s="735">
        <f>MAX(0,X130-X133)</f>
        <v>0</v>
      </c>
    </row>
    <row r="137" spans="2:25" x14ac:dyDescent="0.2">
      <c r="B137" s="121" t="s">
        <v>2602</v>
      </c>
      <c r="W137" s="684"/>
    </row>
    <row r="138" spans="2:25" x14ac:dyDescent="0.2">
      <c r="W138" s="684"/>
      <c r="X138" s="751" t="str">
        <f>"from "&amp;CGT&amp;CGT!P18</f>
        <v>from CGT52</v>
      </c>
    </row>
    <row r="139" spans="2:25" x14ac:dyDescent="0.2">
      <c r="W139" s="714" t="str">
        <f>A60</f>
        <v>c18.55</v>
      </c>
      <c r="X139" s="735">
        <f>TRUNC(CGT!Q19,0)</f>
        <v>0</v>
      </c>
      <c r="Y139" s="929" t="s">
        <v>1743</v>
      </c>
    </row>
    <row r="140" spans="2:25" x14ac:dyDescent="0.2">
      <c r="B140" s="121" t="s">
        <v>5759</v>
      </c>
    </row>
    <row r="141" spans="2:25" x14ac:dyDescent="0.2">
      <c r="X141" s="3283" t="str">
        <f>"From "&amp;CGT&amp;CGT!P30</f>
        <v>From CGT52.4</v>
      </c>
    </row>
    <row r="142" spans="2:25" x14ac:dyDescent="0.2">
      <c r="W142" s="714" t="str">
        <f>A61</f>
        <v>c18.56</v>
      </c>
      <c r="X142" s="735">
        <f>TRUNC(CGT!Q31+0.99,0)</f>
        <v>0</v>
      </c>
      <c r="Y142" s="929" t="s">
        <v>3701</v>
      </c>
    </row>
    <row r="143" spans="2:25" x14ac:dyDescent="0.2">
      <c r="B143" s="121" t="s">
        <v>5760</v>
      </c>
    </row>
    <row r="144" spans="2:25" x14ac:dyDescent="0.2">
      <c r="X144" s="751" t="str">
        <f><![CDATA[CGT&CGT!G10&" + "&CGT&CGT!G20&" + "&CGT&CGT!G27&" + "&CGT&CGT!G34]]></f>
        <v>CGT12 + CGT22 + CGT30 + CGT38</v>
      </c>
    </row>
    <row r="145" spans="2:25" x14ac:dyDescent="0.2">
      <c r="W145" s="714" t="str">
        <f>A62</f>
        <v>c18.57</v>
      </c>
      <c r="X145" s="735">
        <f>TRUNC(CGT!H11+0.99,0)+TRUNC(CGT!H21+0.99,0)+TRUNC(CGT!H28+0.99,0)+TRUNC(CGT!H35+0.99,0)</f>
        <v>0</v>
      </c>
      <c r="Y145" s="929" t="s">
        <v>3701</v>
      </c>
    </row>
    <row r="146" spans="2:25" x14ac:dyDescent="0.2">
      <c r="B146" s="36" t="s">
        <v>1372</v>
      </c>
      <c r="Q146" s="37"/>
      <c r="R146" s="37"/>
    </row>
    <row r="147" spans="2:25" x14ac:dyDescent="0.2">
      <c r="W147" s="709"/>
      <c r="X147" s="38" t="str">
        <f><![CDATA["("&W136&"  + "&W139&") minus ("&W142&" + "&W145&")"]]></f>
        <v>(c18.54  + c18.55) minus (c18.56 + c18.57)</v>
      </c>
    </row>
    <row r="148" spans="2:25" x14ac:dyDescent="0.2">
      <c r="W148" s="1994" t="str">
        <f>A63</f>
        <v>c18.58</v>
      </c>
      <c r="X148" s="110">
        <f>MAX(0,(X136+X139)-(X142+X145))</f>
        <v>0</v>
      </c>
    </row>
    <row r="149" spans="2:25" x14ac:dyDescent="0.2">
      <c r="B149" s="121" t="s">
        <v>2495</v>
      </c>
      <c r="W149" s="38"/>
      <c r="X149" s="38" t="str">
        <f><![CDATA["copy "&W142&" + "&W145&" + "&W148&" to box "&'Tax adj (c9)'!F128&" and "&'Tax due (c12)'!F64]]></f>
        <v>copy c18.56 + c18.57 + c18.58 to box c9.35 and c12.17</v>
      </c>
    </row>
    <row ht="12.75" r="150" spans="2:25" x14ac:dyDescent="0.2">
      <c r="B150" s="1189" t="s">
        <v>4478</v>
      </c>
      <c r="X150" s="38"/>
    </row>
    <row ht="12.75" r="151" spans="2:25" x14ac:dyDescent="0.2">
      <c r="B151" s="1189" t="str">
        <f>C17&amp;" to "&amp;W148&amp;" = 0 (zero)"</f>
        <v>c18.1 to c18.58 = 0 (zero)</v>
      </c>
    </row>
    <row ht="12.75" r="152" spans="2:25" x14ac:dyDescent="0.2">
      <c r="B152" s="4372"/>
    </row>
  </sheetData>
  <phoneticPr fontId="67" type="noConversion"/>
  <pageMargins bottom="0.196850393700787" footer="0" header="0" left="0.196850393700787" right="0.196850393700787" top="0.196850393700787"/>
  <pageSetup orientation="portrait" paperSize="9" r:id="rId1"/>
  <headerFooter alignWithMargins="0"/>
</worksheet>
</file>

<file path=xl/worksheets/sheet79.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E00-000000000000}">
  <sheetPr codeName="Sheet81"/>
  <dimension ref="A1:U113"/>
  <sheetViews>
    <sheetView showGridLines="0" topLeftCell="B1" workbookViewId="0">
      <selection activeCell="D18" sqref="D18"/>
    </sheetView>
  </sheetViews>
  <sheetFormatPr defaultColWidth="9.140625" defaultRowHeight="12.75" x14ac:dyDescent="0.2"/>
  <cols>
    <col min="1" max="1" customWidth="true" hidden="true" style="386" width="7.85546875" collapsed="true"/>
    <col min="2" max="2" customWidth="true" style="386" width="31.0" collapsed="true"/>
    <col min="3" max="3" customWidth="true" style="386" width="6.28515625" collapsed="true"/>
    <col min="4" max="4" customWidth="true" style="386" width="11.28515625" collapsed="true"/>
    <col min="5" max="5" customWidth="true" style="7" width="9.7109375" collapsed="true"/>
    <col min="6" max="6" customWidth="true" style="7" width="6.28515625" collapsed="true"/>
    <col min="7" max="7" customWidth="true" style="386" width="11.28515625" collapsed="true"/>
    <col min="8" max="8" customWidth="true" style="7" width="9.7109375" collapsed="true"/>
    <col min="9" max="9" customWidth="true" style="7" width="6.28515625" collapsed="true"/>
    <col min="10" max="10" customWidth="true" style="386" width="11.28515625" collapsed="true"/>
    <col min="11" max="11" customWidth="true" style="386" width="8.85546875" collapsed="true"/>
    <col min="12" max="12" customWidth="true" style="386" width="31.0" collapsed="true"/>
    <col min="13" max="14" customWidth="true" style="386" width="6.28515625" collapsed="true"/>
    <col min="15" max="15" customWidth="true" style="386" width="11.28515625" collapsed="true"/>
    <col min="16" max="16" customWidth="true" style="386" width="8.85546875" collapsed="true"/>
    <col min="17" max="17" customWidth="true" style="386" width="6.28515625" collapsed="true"/>
    <col min="18" max="18" customWidth="true" style="386" width="11.28515625" collapsed="true"/>
    <col min="19" max="16384" style="386" width="9.140625" collapsed="true"/>
  </cols>
  <sheetData>
    <row ht="18" r="1" spans="1:20" x14ac:dyDescent="0.25">
      <c r="A1" s="386" t="s">
        <v>3338</v>
      </c>
      <c r="B1" s="2725" t="s">
        <v>4397</v>
      </c>
    </row>
    <row r="2" spans="1:20" x14ac:dyDescent="0.2">
      <c r="B2" s="711"/>
    </row>
    <row ht="12" r="3" spans="1:20" x14ac:dyDescent="0.2">
      <c r="C3" s="3035" t="s">
        <v>7395</v>
      </c>
      <c r="D3" s="3030"/>
      <c r="E3" s="3030"/>
      <c r="F3" s="3030"/>
      <c r="G3" s="3030"/>
      <c r="H3" s="3030"/>
      <c r="I3" s="3031"/>
    </row>
    <row r="5" spans="1:20" x14ac:dyDescent="0.2">
      <c r="B5" s="733" t="s">
        <v>3547</v>
      </c>
      <c r="E5" s="386"/>
      <c r="F5" s="386"/>
    </row>
    <row r="6" spans="1:20" x14ac:dyDescent="0.2">
      <c r="B6" s="733"/>
      <c r="E6" s="386"/>
      <c r="F6" s="386"/>
      <c r="H6" s="386"/>
    </row>
    <row r="7" spans="1:20" x14ac:dyDescent="0.2">
      <c r="B7" s="733"/>
      <c r="D7" s="386" t="str">
        <f><![CDATA["if ("&NRD!P10&" = Y, "&NRD!P11&" = N, and "&NRD!P15&" = N)"]]></f>
        <v>if (box_NRD28 = Y, box_NRD29 = N, and box_NRD33 = N)</v>
      </c>
      <c r="E7" s="386"/>
      <c r="F7" s="386"/>
      <c r="H7" s="386"/>
    </row>
    <row r="8" spans="1:20" x14ac:dyDescent="0.2">
      <c r="B8" s="733"/>
      <c r="C8" s="1192"/>
      <c r="D8" s="386" t="str">
        <f>"and (NRD"&amp;NRD!K20&amp;" + NRD"&amp;NRD!H23&amp;" is greater than 0 (zero))"</f>
        <v>and (NRD34 + NRD35 is greater than 0 (zero))</v>
      </c>
      <c r="E8" s="386"/>
      <c r="F8" s="386"/>
      <c r="H8" s="386"/>
    </row>
    <row r="9" spans="1:20" x14ac:dyDescent="0.2">
      <c r="B9" s="121"/>
      <c r="C9" s="121"/>
      <c r="D9" s="1192" t="str">
        <f><![CDATA[" if "&NRD!P13&" = Y then "&C17&" = Res_non_dom_High_ch ("&DOLLAR(Res_non_dom_High_ch,0)&")"]]></f>
        <v xml:space="preserve"> if box_NRD31 = Y then c19.1 = Res_non_dom_High_ch ($60,000)</v>
      </c>
      <c r="E9" s="121"/>
      <c r="F9" s="121"/>
      <c r="G9" s="121"/>
      <c r="H9" s="386"/>
    </row>
    <row r="10" spans="1:20" x14ac:dyDescent="0.2">
      <c r="B10" s="121"/>
      <c r="C10" s="121"/>
      <c r="D10" s="121" t="s">
        <v>2386</v>
      </c>
      <c r="E10" s="121"/>
      <c r="F10" s="121"/>
      <c r="G10" s="121"/>
      <c r="H10" s="121"/>
    </row>
    <row r="11" spans="1:20" x14ac:dyDescent="0.2">
      <c r="B11" s="733"/>
      <c r="C11" s="680"/>
      <c r="D11" s="1192" t="str">
        <f><![CDATA[" if "&NRD!P14&" = Y then "&C17&" = Res_non_dom_ch ("&DOLLAR(Res_non_dom_ch,0)&")"]]></f>
        <v xml:space="preserve"> if box_NRD32 = Y then c19.1 = Res_non_dom_ch ($30,000)</v>
      </c>
      <c r="E11" s="386"/>
      <c r="F11" s="386"/>
      <c r="H11" s="121"/>
    </row>
    <row r="12" spans="1:20" x14ac:dyDescent="0.2">
      <c r="B12" s="733"/>
      <c r="C12" s="680"/>
      <c r="D12" s="721" t="s">
        <v>2386</v>
      </c>
      <c r="E12" s="386"/>
      <c r="F12" s="386"/>
      <c r="H12" s="386"/>
    </row>
    <row r="13" spans="1:20" x14ac:dyDescent="0.2">
      <c r="B13" s="733"/>
      <c r="C13" s="680"/>
      <c r="D13" s="1192" t="str">
        <f>C17&amp;" = 0 (zero)"</f>
        <v>c19.1 = 0 (zero)</v>
      </c>
      <c r="E13" s="386"/>
      <c r="F13" s="386"/>
      <c r="H13" s="386"/>
      <c r="L13" s="7"/>
      <c r="M13" s="7"/>
    </row>
    <row r="14" spans="1:20" x14ac:dyDescent="0.2">
      <c r="D14" s="1193" t="s">
        <v>2495</v>
      </c>
      <c r="E14" s="386"/>
      <c r="F14" s="386"/>
      <c r="H14" s="386"/>
      <c r="L14" s="967"/>
      <c r="M14" s="968"/>
      <c r="N14" s="968"/>
      <c r="O14" s="968"/>
      <c r="P14" s="968"/>
      <c r="Q14" s="968"/>
      <c r="R14" s="968"/>
      <c r="S14" s="968"/>
      <c r="T14" s="968"/>
    </row>
    <row r="15" spans="1:20" x14ac:dyDescent="0.2">
      <c r="D15" s="1194" t="s">
        <v>2495</v>
      </c>
      <c r="E15" s="386"/>
      <c r="F15" s="386"/>
      <c r="H15" s="386"/>
      <c r="L15" s="968"/>
      <c r="M15" s="968"/>
      <c r="N15" s="968"/>
      <c r="O15" s="968"/>
      <c r="P15" s="968"/>
      <c r="Q15" s="968"/>
      <c r="R15" s="968"/>
      <c r="S15" s="968"/>
      <c r="T15" s="968"/>
    </row>
    <row r="16" spans="1:20" x14ac:dyDescent="0.2">
      <c r="D16" s="121" t="s">
        <v>2495</v>
      </c>
      <c r="G16" s="7"/>
      <c r="H16" s="386"/>
      <c r="L16" s="968"/>
      <c r="M16" s="968"/>
      <c r="N16" s="968"/>
      <c r="O16" s="968"/>
      <c r="P16" s="968"/>
      <c r="Q16" s="968"/>
      <c r="R16" s="968"/>
      <c r="S16" s="968"/>
      <c r="T16" s="968"/>
    </row>
    <row r="17" spans="2:20" x14ac:dyDescent="0.2">
      <c r="B17" s="7"/>
      <c r="C17" s="1195" t="str">
        <f>A1</f>
        <v>c19.1</v>
      </c>
      <c r="D17" s="392">
        <f>IF(NON_DOM_Charge,IF(NRD!L21+NRD!I24&gt;0,IF(box_NRD31,Res_non_dom_High_ch,IF(box_NRD32,Res_non_dom_ch,0))),0)</f>
        <v>0</v>
      </c>
      <c r="G17" s="7"/>
      <c r="L17" s="969"/>
      <c r="M17" s="968"/>
      <c r="N17" s="968"/>
      <c r="O17" s="968"/>
      <c r="P17" s="968"/>
      <c r="Q17" s="968"/>
      <c r="R17" s="968"/>
      <c r="S17" s="968"/>
      <c r="T17" s="968"/>
    </row>
    <row r="18" spans="2:20" x14ac:dyDescent="0.2">
      <c r="B18" s="975"/>
      <c r="C18" s="975"/>
      <c r="D18" s="38" t="str">
        <f>"Copy to "&amp;'Tax adj (c9)'!F131&amp;" and to "&amp;'Tax due (c12)'!F45</f>
        <v>Copy to c9.36 and to c12.11</v>
      </c>
      <c r="L18" s="968"/>
      <c r="M18" s="968"/>
      <c r="N18" s="968"/>
      <c r="O18" s="968"/>
      <c r="P18" s="968"/>
      <c r="Q18" s="968"/>
      <c r="R18" s="968"/>
      <c r="S18" s="968"/>
      <c r="T18" s="968"/>
    </row>
    <row r="19" spans="2:20" x14ac:dyDescent="0.2">
      <c r="H19" s="975"/>
      <c r="L19" s="968"/>
      <c r="M19" s="969"/>
      <c r="N19" s="970"/>
      <c r="O19" s="968"/>
      <c r="P19" s="968"/>
      <c r="Q19" s="968"/>
      <c r="R19" s="968"/>
      <c r="S19" s="968"/>
      <c r="T19" s="968"/>
    </row>
    <row r="20" spans="2:20" x14ac:dyDescent="0.2">
      <c r="L20" s="968"/>
      <c r="M20" s="968"/>
      <c r="N20" s="970"/>
      <c r="O20" s="968"/>
      <c r="P20" s="968"/>
      <c r="Q20" s="968"/>
      <c r="R20" s="968"/>
      <c r="S20" s="968"/>
      <c r="T20" s="968"/>
    </row>
    <row r="21" spans="2:20" x14ac:dyDescent="0.2">
      <c r="L21" s="968"/>
      <c r="M21" s="968"/>
      <c r="N21" s="970"/>
      <c r="O21" s="968"/>
      <c r="P21" s="968"/>
      <c r="Q21" s="968"/>
      <c r="R21" s="968"/>
      <c r="S21" s="968"/>
      <c r="T21" s="968"/>
    </row>
    <row r="22" spans="2:20" x14ac:dyDescent="0.2">
      <c r="B22" s="7"/>
      <c r="C22" s="7"/>
      <c r="I22" s="975"/>
      <c r="J22" s="974"/>
      <c r="K22" s="974"/>
      <c r="L22" s="968"/>
      <c r="M22" s="968"/>
      <c r="N22" s="970"/>
      <c r="O22" s="968"/>
      <c r="P22" s="968"/>
      <c r="Q22" s="968"/>
      <c r="R22" s="968"/>
      <c r="S22" s="968"/>
      <c r="T22" s="968"/>
    </row>
    <row r="23" spans="2:20" x14ac:dyDescent="0.2">
      <c r="B23" s="121"/>
      <c r="D23" s="975"/>
      <c r="H23" s="975"/>
      <c r="I23" s="975"/>
      <c r="J23" s="974"/>
      <c r="K23" s="974"/>
      <c r="L23" s="968"/>
      <c r="M23" s="968"/>
      <c r="N23" s="970"/>
      <c r="O23" s="968"/>
      <c r="P23" s="968"/>
      <c r="Q23" s="968"/>
      <c r="R23" s="968"/>
      <c r="S23" s="968"/>
      <c r="T23" s="968"/>
    </row>
    <row r="24" spans="2:20" x14ac:dyDescent="0.2">
      <c r="I24" s="975"/>
      <c r="J24" s="974"/>
      <c r="K24" s="974"/>
      <c r="L24" s="968"/>
      <c r="M24" s="968"/>
      <c r="N24" s="970"/>
      <c r="O24" s="968"/>
      <c r="P24" s="968"/>
      <c r="Q24" s="968"/>
      <c r="R24" s="968"/>
      <c r="S24" s="968"/>
      <c r="T24" s="968"/>
    </row>
    <row r="25" spans="2:20" x14ac:dyDescent="0.2">
      <c r="I25" s="975"/>
      <c r="J25" s="974"/>
      <c r="K25" s="974"/>
      <c r="L25" s="968"/>
      <c r="M25" s="968"/>
      <c r="N25" s="970"/>
      <c r="O25" s="968"/>
      <c r="P25" s="968"/>
      <c r="Q25" s="968"/>
      <c r="R25" s="968"/>
      <c r="S25" s="968"/>
      <c r="T25" s="968"/>
    </row>
    <row r="26" spans="2:20" x14ac:dyDescent="0.2">
      <c r="B26" s="974"/>
      <c r="C26" s="974"/>
      <c r="D26" s="974"/>
      <c r="E26" s="975"/>
      <c r="F26" s="974"/>
      <c r="G26" s="974"/>
      <c r="H26" s="975"/>
      <c r="I26" s="975"/>
      <c r="J26" s="974"/>
      <c r="K26" s="974"/>
      <c r="L26" s="968"/>
      <c r="M26" s="968"/>
      <c r="N26" s="970"/>
      <c r="O26" s="968"/>
      <c r="P26" s="968"/>
      <c r="Q26" s="968"/>
      <c r="R26" s="968"/>
      <c r="S26" s="968"/>
      <c r="T26" s="968"/>
    </row>
    <row r="27" spans="2:20" x14ac:dyDescent="0.2">
      <c r="B27" s="974"/>
      <c r="C27" s="974"/>
      <c r="D27" s="974"/>
      <c r="E27" s="975"/>
      <c r="F27" s="974"/>
      <c r="G27" s="974"/>
      <c r="H27" s="975"/>
      <c r="I27" s="975"/>
      <c r="J27" s="974"/>
      <c r="K27" s="974"/>
      <c r="L27" s="968"/>
      <c r="M27" s="968"/>
      <c r="N27" s="970"/>
      <c r="O27" s="968"/>
      <c r="P27" s="968"/>
      <c r="Q27" s="968"/>
      <c r="R27" s="968"/>
      <c r="S27" s="968"/>
      <c r="T27" s="968"/>
    </row>
    <row r="28" spans="2:20" x14ac:dyDescent="0.2">
      <c r="B28" s="974"/>
      <c r="C28" s="974"/>
      <c r="D28" s="974"/>
      <c r="E28" s="975"/>
      <c r="F28" s="974"/>
      <c r="G28" s="974"/>
      <c r="H28" s="975"/>
      <c r="I28" s="975"/>
      <c r="J28" s="974"/>
      <c r="K28" s="974"/>
      <c r="L28" s="968"/>
      <c r="M28" s="968"/>
      <c r="N28" s="970"/>
      <c r="O28" s="968"/>
      <c r="P28" s="968"/>
      <c r="Q28" s="968"/>
      <c r="R28" s="968"/>
      <c r="S28" s="968"/>
      <c r="T28" s="968"/>
    </row>
    <row r="29" spans="2:20" x14ac:dyDescent="0.2">
      <c r="B29" s="974"/>
      <c r="C29" s="974"/>
      <c r="D29" s="974"/>
      <c r="E29" s="975"/>
      <c r="F29" s="974"/>
      <c r="G29" s="974"/>
      <c r="H29" s="975"/>
      <c r="I29" s="975"/>
      <c r="J29" s="974"/>
      <c r="K29" s="974"/>
      <c r="L29" s="968"/>
      <c r="M29" s="968"/>
      <c r="N29" s="970"/>
      <c r="O29" s="968"/>
      <c r="P29" s="968"/>
      <c r="Q29" s="968"/>
      <c r="R29" s="968"/>
      <c r="S29" s="968"/>
      <c r="T29" s="968"/>
    </row>
    <row r="30" spans="2:20" x14ac:dyDescent="0.2">
      <c r="B30" s="974"/>
      <c r="C30" s="974"/>
      <c r="D30" s="974"/>
      <c r="E30" s="975"/>
      <c r="F30" s="974"/>
      <c r="G30" s="974"/>
      <c r="H30" s="975"/>
      <c r="I30" s="975"/>
      <c r="J30" s="974"/>
      <c r="K30" s="974"/>
      <c r="L30" s="968"/>
      <c r="M30" s="968"/>
      <c r="N30" s="970"/>
      <c r="O30" s="968"/>
      <c r="P30" s="968"/>
      <c r="Q30" s="968"/>
      <c r="R30" s="968"/>
      <c r="S30" s="968"/>
      <c r="T30" s="968"/>
    </row>
    <row r="31" spans="2:20" x14ac:dyDescent="0.2">
      <c r="B31" s="974"/>
      <c r="C31" s="974"/>
      <c r="D31" s="974"/>
      <c r="E31" s="975"/>
      <c r="F31" s="974"/>
      <c r="G31" s="974"/>
      <c r="H31" s="975"/>
      <c r="I31" s="975"/>
      <c r="J31" s="974"/>
      <c r="K31" s="974"/>
      <c r="L31" s="968"/>
      <c r="M31" s="968"/>
      <c r="N31" s="970"/>
      <c r="O31" s="968"/>
      <c r="P31" s="968"/>
      <c r="Q31" s="968"/>
      <c r="R31" s="968"/>
      <c r="S31" s="968"/>
      <c r="T31" s="968"/>
    </row>
    <row r="32" spans="2:20" x14ac:dyDescent="0.2">
      <c r="B32" s="974"/>
      <c r="C32" s="974"/>
      <c r="D32" s="974"/>
      <c r="E32" s="975"/>
      <c r="F32" s="974"/>
      <c r="G32" s="974"/>
      <c r="H32" s="975"/>
      <c r="I32" s="975"/>
      <c r="J32" s="974"/>
      <c r="K32" s="974"/>
      <c r="L32" s="968"/>
      <c r="M32" s="968"/>
      <c r="N32" s="970"/>
      <c r="O32" s="968"/>
      <c r="P32" s="968"/>
      <c r="Q32" s="968"/>
      <c r="R32" s="968"/>
      <c r="S32" s="968"/>
      <c r="T32" s="968"/>
    </row>
    <row r="33" spans="2:20" x14ac:dyDescent="0.2">
      <c r="B33" s="974"/>
      <c r="C33" s="974"/>
      <c r="D33" s="974"/>
      <c r="E33" s="975"/>
      <c r="F33" s="974"/>
      <c r="G33" s="974"/>
      <c r="H33" s="975"/>
      <c r="I33" s="975"/>
      <c r="J33" s="974"/>
      <c r="K33" s="974"/>
      <c r="L33" s="968"/>
      <c r="M33" s="968"/>
      <c r="N33" s="970"/>
      <c r="O33" s="968"/>
      <c r="P33" s="968"/>
      <c r="Q33" s="968"/>
      <c r="R33" s="968"/>
      <c r="S33" s="968"/>
      <c r="T33" s="968"/>
    </row>
    <row r="34" spans="2:20" x14ac:dyDescent="0.2">
      <c r="B34" s="974"/>
      <c r="C34" s="974"/>
      <c r="D34" s="974"/>
      <c r="E34" s="975"/>
      <c r="F34" s="974"/>
      <c r="G34" s="974"/>
      <c r="H34" s="975"/>
      <c r="I34" s="975"/>
      <c r="J34" s="974"/>
      <c r="K34" s="974"/>
      <c r="L34" s="968"/>
      <c r="M34" s="968"/>
      <c r="N34" s="970"/>
      <c r="O34" s="968"/>
      <c r="P34" s="968"/>
      <c r="Q34" s="968"/>
      <c r="R34" s="968"/>
      <c r="S34" s="968"/>
      <c r="T34" s="968"/>
    </row>
    <row r="35" spans="2:20" x14ac:dyDescent="0.2">
      <c r="B35" s="974"/>
      <c r="C35" s="974"/>
      <c r="D35" s="974"/>
      <c r="E35" s="975"/>
      <c r="F35" s="974"/>
      <c r="G35" s="974"/>
      <c r="H35" s="975"/>
      <c r="I35" s="975"/>
      <c r="J35" s="974"/>
      <c r="K35" s="974"/>
      <c r="L35" s="968"/>
      <c r="M35" s="968"/>
      <c r="N35" s="970"/>
      <c r="O35" s="968"/>
      <c r="P35" s="968"/>
      <c r="Q35" s="968"/>
      <c r="R35" s="968"/>
      <c r="S35" s="968"/>
      <c r="T35" s="968"/>
    </row>
    <row r="36" spans="2:20" x14ac:dyDescent="0.2">
      <c r="B36" s="974"/>
      <c r="C36" s="974"/>
      <c r="D36" s="974"/>
      <c r="E36" s="975"/>
      <c r="F36" s="974"/>
      <c r="G36" s="974"/>
      <c r="H36" s="975"/>
      <c r="I36" s="975"/>
      <c r="J36" s="974"/>
      <c r="K36" s="974"/>
      <c r="L36" s="968"/>
      <c r="M36" s="968"/>
      <c r="N36" s="970"/>
      <c r="O36" s="968"/>
      <c r="P36" s="968"/>
      <c r="Q36" s="968"/>
      <c r="R36" s="968"/>
      <c r="S36" s="968"/>
      <c r="T36" s="968"/>
    </row>
    <row r="37" spans="2:20" x14ac:dyDescent="0.2">
      <c r="B37" s="974"/>
      <c r="C37" s="974"/>
      <c r="D37" s="974"/>
      <c r="E37" s="975"/>
      <c r="F37" s="974"/>
      <c r="G37" s="974"/>
      <c r="H37" s="975"/>
      <c r="I37" s="975"/>
      <c r="J37" s="974"/>
      <c r="K37" s="974"/>
      <c r="L37" s="968"/>
      <c r="M37" s="968"/>
      <c r="N37" s="970"/>
      <c r="O37" s="968"/>
      <c r="P37" s="968"/>
      <c r="Q37" s="968"/>
      <c r="R37" s="968"/>
      <c r="S37" s="968"/>
      <c r="T37" s="968"/>
    </row>
    <row r="38" spans="2:20" x14ac:dyDescent="0.2">
      <c r="B38" s="974"/>
      <c r="C38" s="974"/>
      <c r="D38" s="974"/>
      <c r="E38" s="975"/>
      <c r="F38" s="974"/>
      <c r="G38" s="974"/>
      <c r="H38" s="975"/>
      <c r="I38" s="975"/>
      <c r="J38" s="974"/>
      <c r="K38" s="974"/>
      <c r="L38" s="968"/>
      <c r="M38" s="968"/>
      <c r="N38" s="970"/>
      <c r="O38" s="968"/>
      <c r="P38" s="968"/>
      <c r="Q38" s="968"/>
      <c r="R38" s="968"/>
      <c r="S38" s="968"/>
      <c r="T38" s="968"/>
    </row>
    <row r="39" spans="2:20" x14ac:dyDescent="0.2">
      <c r="B39" s="974"/>
      <c r="C39" s="974"/>
      <c r="D39" s="974"/>
      <c r="E39" s="975"/>
      <c r="F39" s="974"/>
      <c r="G39" s="974"/>
      <c r="H39" s="975"/>
      <c r="I39" s="975"/>
      <c r="J39" s="974"/>
      <c r="K39" s="974"/>
      <c r="L39" s="968"/>
      <c r="M39" s="968"/>
      <c r="N39" s="970"/>
      <c r="O39" s="968"/>
      <c r="P39" s="968"/>
      <c r="Q39" s="968"/>
      <c r="R39" s="968"/>
      <c r="S39" s="968"/>
      <c r="T39" s="968"/>
    </row>
    <row r="40" spans="2:20" x14ac:dyDescent="0.2">
      <c r="B40" s="974"/>
      <c r="C40" s="974"/>
      <c r="D40" s="974"/>
      <c r="E40" s="975"/>
      <c r="F40" s="974"/>
      <c r="G40" s="974"/>
      <c r="H40" s="975"/>
      <c r="I40" s="975"/>
      <c r="J40" s="974"/>
      <c r="K40" s="974"/>
      <c r="L40" s="971"/>
      <c r="M40" s="971"/>
      <c r="N40" s="970"/>
      <c r="O40" s="968"/>
      <c r="P40" s="968"/>
      <c r="Q40" s="968"/>
      <c r="R40" s="968"/>
      <c r="S40" s="968"/>
      <c r="T40" s="968"/>
    </row>
    <row r="41" spans="2:20" x14ac:dyDescent="0.2">
      <c r="B41" s="974"/>
      <c r="C41" s="974"/>
      <c r="D41" s="974"/>
      <c r="E41" s="975"/>
      <c r="F41" s="974"/>
      <c r="G41" s="974"/>
      <c r="H41" s="975"/>
      <c r="I41" s="975"/>
      <c r="J41" s="974"/>
      <c r="K41" s="974"/>
      <c r="L41" s="971"/>
      <c r="M41" s="971"/>
      <c r="N41" s="970"/>
      <c r="O41" s="968"/>
      <c r="P41" s="968"/>
      <c r="Q41" s="968"/>
      <c r="R41" s="968"/>
      <c r="S41" s="968"/>
      <c r="T41" s="968"/>
    </row>
    <row r="42" spans="2:20" x14ac:dyDescent="0.2">
      <c r="B42" s="974"/>
      <c r="C42" s="974"/>
      <c r="D42" s="974"/>
      <c r="E42" s="975"/>
      <c r="F42" s="974"/>
      <c r="G42" s="974"/>
      <c r="H42" s="975"/>
      <c r="I42" s="975"/>
      <c r="J42" s="974"/>
      <c r="K42" s="974"/>
      <c r="N42" s="970"/>
      <c r="O42" s="968"/>
    </row>
    <row r="43" spans="2:20" x14ac:dyDescent="0.2">
      <c r="B43" s="974"/>
      <c r="C43" s="974"/>
      <c r="D43" s="974"/>
      <c r="E43" s="975"/>
      <c r="F43" s="974"/>
      <c r="G43" s="974"/>
      <c r="H43" s="975"/>
      <c r="I43" s="975"/>
      <c r="J43" s="974"/>
      <c r="K43" s="974"/>
    </row>
    <row r="44" spans="2:20" x14ac:dyDescent="0.2">
      <c r="B44" s="974"/>
      <c r="C44" s="974"/>
      <c r="D44" s="974"/>
      <c r="E44" s="975"/>
      <c r="F44" s="974"/>
      <c r="G44" s="974"/>
      <c r="H44" s="975"/>
      <c r="I44" s="975"/>
      <c r="J44" s="974"/>
      <c r="K44" s="974"/>
    </row>
    <row r="45" spans="2:20" x14ac:dyDescent="0.2">
      <c r="B45" s="974"/>
      <c r="C45" s="974"/>
      <c r="D45" s="974"/>
      <c r="E45" s="975"/>
      <c r="F45" s="974"/>
      <c r="G45" s="974"/>
      <c r="H45" s="975"/>
      <c r="I45" s="975"/>
      <c r="J45" s="974"/>
      <c r="K45" s="974"/>
    </row>
    <row r="46" spans="2:20" x14ac:dyDescent="0.2">
      <c r="B46" s="974"/>
      <c r="C46" s="974"/>
      <c r="D46" s="974"/>
      <c r="E46" s="975"/>
      <c r="F46" s="974"/>
      <c r="G46" s="974"/>
      <c r="H46" s="975"/>
      <c r="I46" s="975"/>
      <c r="J46" s="974"/>
      <c r="K46" s="974"/>
    </row>
    <row r="47" spans="2:20" x14ac:dyDescent="0.2">
      <c r="B47" s="974"/>
      <c r="C47" s="974"/>
      <c r="D47" s="974"/>
      <c r="E47" s="975"/>
      <c r="F47" s="974"/>
      <c r="G47" s="974"/>
      <c r="H47" s="975"/>
      <c r="I47" s="975"/>
      <c r="J47" s="974"/>
      <c r="K47" s="974"/>
    </row>
    <row r="48" spans="2:20" x14ac:dyDescent="0.2">
      <c r="B48" s="974"/>
      <c r="C48" s="974"/>
      <c r="D48" s="974"/>
      <c r="E48" s="975"/>
      <c r="F48" s="974"/>
      <c r="G48" s="974"/>
      <c r="H48" s="975"/>
      <c r="I48" s="975"/>
      <c r="J48" s="974"/>
      <c r="K48" s="974"/>
    </row>
    <row r="49" spans="2:13" x14ac:dyDescent="0.2">
      <c r="B49" s="974"/>
      <c r="C49" s="974"/>
      <c r="D49" s="974"/>
      <c r="E49" s="975"/>
      <c r="F49" s="974"/>
      <c r="G49" s="974"/>
      <c r="H49" s="975"/>
      <c r="I49" s="975"/>
      <c r="J49" s="974"/>
      <c r="K49" s="974"/>
    </row>
    <row r="50" spans="2:13" x14ac:dyDescent="0.2">
      <c r="B50" s="974"/>
      <c r="C50" s="974"/>
      <c r="D50" s="974"/>
      <c r="E50" s="975"/>
      <c r="F50" s="974"/>
      <c r="G50" s="974"/>
      <c r="H50" s="975"/>
      <c r="I50" s="975"/>
      <c r="J50" s="974"/>
      <c r="K50" s="974"/>
    </row>
    <row r="51" spans="2:13" x14ac:dyDescent="0.2">
      <c r="B51" s="974"/>
      <c r="C51" s="974"/>
      <c r="D51" s="974"/>
      <c r="E51" s="975"/>
      <c r="F51" s="974"/>
      <c r="G51" s="974"/>
      <c r="H51" s="975"/>
      <c r="I51" s="975"/>
      <c r="J51" s="974"/>
      <c r="K51" s="974"/>
    </row>
    <row r="52" spans="2:13" x14ac:dyDescent="0.2">
      <c r="B52" s="974"/>
      <c r="C52" s="974"/>
      <c r="D52" s="974"/>
      <c r="E52" s="975"/>
      <c r="F52" s="974"/>
      <c r="G52" s="974"/>
      <c r="H52" s="975"/>
      <c r="I52" s="975"/>
      <c r="J52" s="974"/>
      <c r="K52" s="974"/>
    </row>
    <row r="53" spans="2:13" x14ac:dyDescent="0.2">
      <c r="B53" s="974"/>
      <c r="C53" s="974"/>
      <c r="D53" s="974"/>
      <c r="E53" s="975"/>
      <c r="F53" s="974"/>
      <c r="G53" s="974"/>
      <c r="H53" s="975"/>
      <c r="I53" s="975"/>
      <c r="J53" s="974"/>
      <c r="K53" s="974"/>
    </row>
    <row r="54" spans="2:13" x14ac:dyDescent="0.2">
      <c r="B54" s="974"/>
      <c r="C54" s="974"/>
      <c r="D54" s="974"/>
      <c r="E54" s="975"/>
      <c r="F54" s="974"/>
      <c r="G54" s="974"/>
      <c r="H54" s="975"/>
      <c r="I54" s="975"/>
      <c r="J54" s="974"/>
      <c r="K54" s="974"/>
    </row>
    <row r="55" spans="2:13" x14ac:dyDescent="0.2">
      <c r="B55" s="974"/>
      <c r="C55" s="974"/>
      <c r="D55" s="974"/>
      <c r="E55" s="975"/>
      <c r="F55" s="974"/>
      <c r="G55" s="974"/>
      <c r="H55" s="975"/>
      <c r="I55" s="975"/>
      <c r="J55" s="974"/>
      <c r="K55" s="974"/>
    </row>
    <row r="56" spans="2:13" x14ac:dyDescent="0.2">
      <c r="B56" s="974"/>
      <c r="C56" s="974"/>
      <c r="D56" s="974"/>
      <c r="E56" s="975"/>
      <c r="F56" s="974"/>
      <c r="G56" s="974"/>
      <c r="H56" s="975"/>
      <c r="I56" s="975"/>
      <c r="J56" s="974"/>
      <c r="K56" s="974"/>
    </row>
    <row r="57" spans="2:13" x14ac:dyDescent="0.2">
      <c r="B57" s="974"/>
      <c r="C57" s="974"/>
      <c r="D57" s="974"/>
      <c r="E57" s="975"/>
      <c r="F57" s="974"/>
      <c r="G57" s="974"/>
      <c r="H57" s="975"/>
      <c r="I57" s="975"/>
      <c r="J57" s="974"/>
      <c r="K57" s="974"/>
    </row>
    <row r="58" spans="2:13" x14ac:dyDescent="0.2">
      <c r="B58" s="974"/>
      <c r="C58" s="974"/>
      <c r="D58" s="974"/>
      <c r="E58" s="975"/>
      <c r="F58" s="974"/>
      <c r="G58" s="974"/>
      <c r="H58" s="975"/>
      <c r="I58" s="975"/>
      <c r="J58" s="974"/>
      <c r="K58" s="974"/>
    </row>
    <row r="59" spans="2:13" x14ac:dyDescent="0.2">
      <c r="B59" s="974"/>
      <c r="C59" s="974"/>
      <c r="D59" s="974"/>
      <c r="E59" s="975"/>
      <c r="F59" s="974"/>
      <c r="G59" s="974"/>
      <c r="H59" s="975"/>
      <c r="I59" s="975"/>
      <c r="J59" s="974"/>
      <c r="K59" s="974"/>
    </row>
    <row r="60" spans="2:13" x14ac:dyDescent="0.2">
      <c r="B60" s="974"/>
      <c r="C60" s="974"/>
      <c r="D60" s="974"/>
      <c r="E60" s="975"/>
      <c r="F60" s="974"/>
      <c r="G60" s="974"/>
      <c r="H60" s="975"/>
      <c r="I60" s="975"/>
      <c r="J60" s="974"/>
      <c r="K60" s="974"/>
    </row>
    <row r="61" spans="2:13" x14ac:dyDescent="0.2">
      <c r="B61" s="974"/>
      <c r="C61" s="974"/>
      <c r="D61" s="974"/>
      <c r="E61" s="975"/>
      <c r="F61" s="974"/>
      <c r="G61" s="974"/>
      <c r="H61" s="975"/>
      <c r="I61" s="975"/>
      <c r="J61" s="974"/>
      <c r="K61" s="974"/>
    </row>
    <row r="62" spans="2:13" x14ac:dyDescent="0.2">
      <c r="B62" s="974"/>
      <c r="C62" s="974"/>
      <c r="D62" s="974"/>
      <c r="E62" s="975"/>
      <c r="F62" s="974"/>
      <c r="G62" s="974"/>
      <c r="H62" s="975"/>
      <c r="I62" s="975"/>
      <c r="J62" s="974"/>
      <c r="K62" s="974"/>
      <c r="L62" s="929"/>
      <c r="M62" s="929"/>
    </row>
    <row r="63" spans="2:13" x14ac:dyDescent="0.2">
      <c r="B63" s="974"/>
      <c r="C63" s="974"/>
      <c r="D63" s="974"/>
      <c r="E63" s="975"/>
      <c r="F63" s="974"/>
      <c r="G63" s="974"/>
      <c r="H63" s="975"/>
      <c r="I63" s="975"/>
      <c r="J63" s="974"/>
      <c r="K63" s="974"/>
    </row>
    <row r="64" spans="2:13" x14ac:dyDescent="0.2">
      <c r="B64" s="974"/>
      <c r="C64" s="974"/>
      <c r="D64" s="974"/>
      <c r="E64" s="975"/>
      <c r="F64" s="974"/>
      <c r="G64" s="974"/>
      <c r="H64" s="975"/>
      <c r="I64" s="975"/>
      <c r="J64" s="974"/>
      <c r="K64" s="974"/>
    </row>
    <row r="65" spans="2:13" x14ac:dyDescent="0.2">
      <c r="B65" s="974"/>
      <c r="C65" s="974"/>
      <c r="D65" s="974"/>
      <c r="E65" s="975"/>
      <c r="F65" s="974"/>
      <c r="G65" s="974"/>
      <c r="H65" s="975"/>
      <c r="I65" s="975"/>
      <c r="J65" s="974"/>
      <c r="K65" s="974"/>
    </row>
    <row r="66" spans="2:13" x14ac:dyDescent="0.2">
      <c r="B66" s="974"/>
      <c r="C66" s="974"/>
      <c r="D66" s="974"/>
      <c r="E66" s="975"/>
      <c r="F66" s="974"/>
      <c r="G66" s="974"/>
      <c r="H66" s="975"/>
      <c r="I66" s="975"/>
      <c r="J66" s="974"/>
      <c r="K66" s="974"/>
    </row>
    <row r="67" spans="2:13" x14ac:dyDescent="0.2">
      <c r="B67" s="974"/>
      <c r="C67" s="974"/>
      <c r="D67" s="974"/>
      <c r="E67" s="975"/>
      <c r="F67" s="974"/>
      <c r="G67" s="974"/>
      <c r="H67" s="975"/>
      <c r="I67" s="975"/>
      <c r="J67" s="974"/>
      <c r="K67" s="974"/>
    </row>
    <row r="68" spans="2:13" x14ac:dyDescent="0.2">
      <c r="B68" s="974"/>
      <c r="C68" s="974"/>
      <c r="D68" s="974"/>
      <c r="E68" s="975"/>
      <c r="F68" s="974"/>
      <c r="G68" s="974"/>
      <c r="H68" s="975"/>
      <c r="I68" s="975"/>
      <c r="J68" s="974"/>
      <c r="K68" s="974"/>
    </row>
    <row r="69" spans="2:13" x14ac:dyDescent="0.2">
      <c r="B69" s="974"/>
      <c r="C69" s="974"/>
      <c r="D69" s="974"/>
      <c r="E69" s="975"/>
      <c r="F69" s="974"/>
      <c r="G69" s="974"/>
      <c r="H69" s="975"/>
      <c r="I69" s="975"/>
      <c r="J69" s="974"/>
      <c r="K69" s="974"/>
    </row>
    <row r="70" spans="2:13" x14ac:dyDescent="0.2">
      <c r="B70" s="974"/>
      <c r="C70" s="974"/>
      <c r="D70" s="974"/>
      <c r="E70" s="975"/>
      <c r="F70" s="974"/>
      <c r="G70" s="974"/>
      <c r="H70" s="975"/>
      <c r="I70" s="975"/>
      <c r="J70" s="974"/>
      <c r="K70" s="974"/>
    </row>
    <row r="71" spans="2:13" x14ac:dyDescent="0.2">
      <c r="B71" s="974"/>
      <c r="C71" s="974"/>
      <c r="D71" s="974"/>
      <c r="E71" s="975"/>
      <c r="F71" s="974"/>
      <c r="G71" s="974"/>
      <c r="H71" s="975"/>
      <c r="I71" s="975"/>
      <c r="J71" s="974"/>
      <c r="K71" s="974"/>
      <c r="L71" s="929"/>
      <c r="M71" s="929"/>
    </row>
    <row r="72" spans="2:13" x14ac:dyDescent="0.2">
      <c r="B72" s="974"/>
      <c r="C72" s="974"/>
      <c r="D72" s="974"/>
      <c r="E72" s="975"/>
      <c r="F72" s="974"/>
      <c r="G72" s="974"/>
      <c r="H72" s="975"/>
      <c r="I72" s="975"/>
      <c r="J72" s="974"/>
      <c r="K72" s="974"/>
    </row>
    <row r="73" spans="2:13" x14ac:dyDescent="0.2">
      <c r="B73" s="974"/>
      <c r="C73" s="974"/>
      <c r="D73" s="974"/>
      <c r="E73" s="975"/>
      <c r="F73" s="974"/>
      <c r="G73" s="974"/>
      <c r="H73" s="975"/>
      <c r="I73" s="975"/>
      <c r="J73" s="974"/>
      <c r="K73" s="974"/>
    </row>
    <row r="74" spans="2:13" x14ac:dyDescent="0.2">
      <c r="B74" s="974"/>
      <c r="C74" s="974"/>
      <c r="D74" s="974"/>
      <c r="E74" s="975"/>
      <c r="F74" s="974"/>
      <c r="G74" s="974"/>
      <c r="H74" s="975"/>
      <c r="I74" s="975"/>
      <c r="J74" s="974"/>
      <c r="K74" s="974"/>
    </row>
    <row r="75" spans="2:13" x14ac:dyDescent="0.2">
      <c r="B75" s="974"/>
      <c r="C75" s="974"/>
      <c r="D75" s="974"/>
      <c r="E75" s="975"/>
      <c r="F75" s="974"/>
      <c r="G75" s="974"/>
      <c r="H75" s="975"/>
      <c r="I75" s="975"/>
      <c r="J75" s="974"/>
      <c r="K75" s="974"/>
    </row>
    <row r="76" spans="2:13" x14ac:dyDescent="0.2">
      <c r="B76" s="974"/>
      <c r="C76" s="974"/>
      <c r="D76" s="974"/>
      <c r="E76" s="975"/>
      <c r="F76" s="974"/>
      <c r="G76" s="974"/>
      <c r="H76" s="975"/>
      <c r="I76" s="975"/>
      <c r="J76" s="974"/>
      <c r="K76" s="974"/>
    </row>
    <row r="77" spans="2:13" x14ac:dyDescent="0.2">
      <c r="B77" s="974"/>
      <c r="C77" s="974"/>
      <c r="D77" s="974"/>
      <c r="E77" s="975"/>
      <c r="F77" s="974"/>
      <c r="G77" s="974"/>
      <c r="H77" s="975"/>
      <c r="I77" s="975"/>
      <c r="J77" s="974"/>
      <c r="K77" s="974"/>
    </row>
    <row r="78" spans="2:13" x14ac:dyDescent="0.2">
      <c r="B78" s="974"/>
      <c r="C78" s="974"/>
      <c r="D78" s="974"/>
      <c r="E78" s="975"/>
      <c r="F78" s="974"/>
      <c r="G78" s="974"/>
      <c r="H78" s="975"/>
      <c r="I78" s="975"/>
      <c r="J78" s="974"/>
      <c r="K78" s="974"/>
    </row>
    <row r="79" spans="2:13" x14ac:dyDescent="0.2">
      <c r="B79" s="974"/>
      <c r="C79" s="974"/>
      <c r="D79" s="974"/>
      <c r="E79" s="975"/>
      <c r="F79" s="974"/>
      <c r="G79" s="974"/>
      <c r="H79" s="975"/>
      <c r="I79" s="975"/>
      <c r="J79" s="974"/>
      <c r="K79" s="974"/>
    </row>
    <row r="80" spans="2:13" x14ac:dyDescent="0.2">
      <c r="B80" s="974"/>
      <c r="C80" s="974"/>
      <c r="D80" s="974"/>
      <c r="E80" s="975"/>
      <c r="F80" s="974"/>
      <c r="G80" s="974"/>
      <c r="H80" s="975"/>
      <c r="I80" s="975"/>
      <c r="J80" s="974"/>
      <c r="K80" s="974"/>
    </row>
    <row r="81" spans="2:11" x14ac:dyDescent="0.2">
      <c r="B81" s="974"/>
      <c r="C81" s="974"/>
      <c r="D81" s="974"/>
      <c r="E81" s="975"/>
      <c r="F81" s="974"/>
      <c r="G81" s="974"/>
      <c r="H81" s="975"/>
      <c r="I81" s="975"/>
      <c r="J81" s="974"/>
      <c r="K81" s="974"/>
    </row>
    <row r="82" spans="2:11" x14ac:dyDescent="0.2">
      <c r="B82" s="974"/>
      <c r="C82" s="974"/>
      <c r="D82" s="974"/>
      <c r="E82" s="975"/>
      <c r="F82" s="974"/>
      <c r="G82" s="974"/>
      <c r="H82" s="975"/>
      <c r="I82" s="975"/>
      <c r="J82" s="974"/>
      <c r="K82" s="974"/>
    </row>
    <row r="83" spans="2:11" x14ac:dyDescent="0.2">
      <c r="B83" s="974"/>
      <c r="C83" s="974"/>
      <c r="D83" s="974"/>
      <c r="E83" s="975"/>
      <c r="F83" s="974"/>
      <c r="G83" s="974"/>
      <c r="H83" s="975"/>
      <c r="I83" s="975"/>
      <c r="J83" s="974"/>
      <c r="K83" s="974"/>
    </row>
    <row r="84" spans="2:11" x14ac:dyDescent="0.2">
      <c r="B84" s="974"/>
      <c r="C84" s="974"/>
      <c r="D84" s="974"/>
      <c r="E84" s="975"/>
      <c r="F84" s="974"/>
      <c r="G84" s="974"/>
      <c r="H84" s="975"/>
      <c r="I84" s="975"/>
      <c r="J84" s="974"/>
      <c r="K84" s="974"/>
    </row>
    <row r="85" spans="2:11" x14ac:dyDescent="0.2">
      <c r="B85" s="974"/>
      <c r="C85" s="974"/>
      <c r="D85" s="974"/>
      <c r="E85" s="975"/>
      <c r="F85" s="974"/>
      <c r="G85" s="974"/>
      <c r="H85" s="975"/>
      <c r="I85" s="975"/>
      <c r="J85" s="974"/>
      <c r="K85" s="974"/>
    </row>
    <row r="86" spans="2:11" x14ac:dyDescent="0.2">
      <c r="B86" s="974"/>
      <c r="C86" s="974"/>
      <c r="D86" s="974"/>
      <c r="E86" s="975"/>
      <c r="F86" s="974"/>
      <c r="G86" s="974"/>
      <c r="H86" s="975"/>
      <c r="I86" s="975"/>
      <c r="J86" s="974"/>
      <c r="K86" s="974"/>
    </row>
    <row r="87" spans="2:11" x14ac:dyDescent="0.2">
      <c r="B87" s="974"/>
      <c r="C87" s="974"/>
      <c r="D87" s="974"/>
      <c r="E87" s="975"/>
      <c r="F87" s="974"/>
      <c r="G87" s="974"/>
      <c r="H87" s="975"/>
      <c r="I87" s="975"/>
      <c r="J87" s="974"/>
      <c r="K87" s="974"/>
    </row>
    <row r="88" spans="2:11" x14ac:dyDescent="0.2">
      <c r="B88" s="974"/>
      <c r="C88" s="974"/>
      <c r="D88" s="974"/>
      <c r="E88" s="975"/>
      <c r="F88" s="974"/>
      <c r="G88" s="974"/>
      <c r="H88" s="975"/>
      <c r="I88" s="975"/>
      <c r="J88" s="974"/>
      <c r="K88" s="974"/>
    </row>
    <row r="89" spans="2:11" x14ac:dyDescent="0.2">
      <c r="B89" s="974"/>
      <c r="C89" s="974"/>
      <c r="D89" s="974"/>
      <c r="E89" s="975"/>
      <c r="F89" s="974"/>
      <c r="G89" s="974"/>
      <c r="H89" s="975"/>
      <c r="I89" s="975"/>
      <c r="J89" s="974"/>
      <c r="K89" s="974"/>
    </row>
    <row r="90" spans="2:11" x14ac:dyDescent="0.2">
      <c r="B90" s="974"/>
      <c r="C90" s="974"/>
      <c r="D90" s="974"/>
      <c r="E90" s="975"/>
      <c r="F90" s="974"/>
      <c r="G90" s="974"/>
      <c r="H90" s="975"/>
      <c r="I90" s="975"/>
      <c r="J90" s="974"/>
      <c r="K90" s="974"/>
    </row>
    <row r="91" spans="2:11" x14ac:dyDescent="0.2">
      <c r="B91" s="974"/>
      <c r="C91" s="974"/>
      <c r="D91" s="974"/>
      <c r="E91" s="975"/>
      <c r="F91" s="974"/>
      <c r="G91" s="974"/>
      <c r="H91" s="975"/>
      <c r="I91" s="975"/>
      <c r="J91" s="974"/>
      <c r="K91" s="974"/>
    </row>
    <row r="92" spans="2:11" x14ac:dyDescent="0.2">
      <c r="B92" s="974"/>
      <c r="C92" s="974"/>
      <c r="D92" s="974"/>
      <c r="E92" s="975"/>
      <c r="F92" s="974"/>
      <c r="G92" s="974"/>
      <c r="H92" s="975"/>
      <c r="I92" s="975"/>
      <c r="J92" s="974"/>
      <c r="K92" s="974"/>
    </row>
    <row r="93" spans="2:11" x14ac:dyDescent="0.2">
      <c r="B93" s="974"/>
      <c r="C93" s="974"/>
      <c r="D93" s="974"/>
      <c r="E93" s="975"/>
      <c r="F93" s="974"/>
      <c r="G93" s="974"/>
      <c r="H93" s="975"/>
      <c r="I93" s="975"/>
      <c r="J93" s="974"/>
      <c r="K93" s="974"/>
    </row>
    <row r="94" spans="2:11" x14ac:dyDescent="0.2">
      <c r="B94" s="974"/>
      <c r="C94" s="974"/>
      <c r="D94" s="974"/>
      <c r="E94" s="975"/>
      <c r="F94" s="974"/>
      <c r="G94" s="974"/>
      <c r="H94" s="975"/>
      <c r="I94" s="975"/>
      <c r="J94" s="974"/>
      <c r="K94" s="974"/>
    </row>
    <row r="95" spans="2:11" x14ac:dyDescent="0.2">
      <c r="B95" s="974"/>
      <c r="C95" s="974"/>
      <c r="D95" s="974"/>
      <c r="E95" s="975"/>
      <c r="F95" s="974"/>
      <c r="G95" s="974"/>
      <c r="H95" s="975"/>
      <c r="I95" s="975"/>
      <c r="J95" s="974"/>
      <c r="K95" s="974"/>
    </row>
    <row r="96" spans="2:11" x14ac:dyDescent="0.2">
      <c r="B96" s="974"/>
      <c r="C96" s="974"/>
      <c r="D96" s="974"/>
      <c r="E96" s="975"/>
      <c r="F96" s="974"/>
      <c r="G96" s="974"/>
      <c r="H96" s="975"/>
      <c r="I96" s="975"/>
      <c r="J96" s="974"/>
      <c r="K96" s="974"/>
    </row>
    <row r="97" spans="2:11" x14ac:dyDescent="0.2">
      <c r="B97" s="974"/>
      <c r="C97" s="974"/>
      <c r="D97" s="974"/>
      <c r="E97" s="975"/>
      <c r="F97" s="974"/>
      <c r="G97" s="974"/>
      <c r="H97" s="975"/>
      <c r="I97" s="975"/>
      <c r="J97" s="974"/>
      <c r="K97" s="974"/>
    </row>
    <row r="98" spans="2:11" x14ac:dyDescent="0.2">
      <c r="B98" s="974"/>
      <c r="C98" s="974"/>
      <c r="D98" s="974"/>
      <c r="E98" s="975"/>
      <c r="F98" s="974"/>
      <c r="G98" s="974"/>
      <c r="H98" s="975"/>
      <c r="I98" s="975"/>
      <c r="J98" s="974"/>
      <c r="K98" s="974"/>
    </row>
    <row r="99" spans="2:11" x14ac:dyDescent="0.2">
      <c r="B99" s="974"/>
      <c r="C99" s="974"/>
      <c r="D99" s="974"/>
      <c r="E99" s="975"/>
      <c r="F99" s="974"/>
      <c r="G99" s="974"/>
      <c r="H99" s="975"/>
      <c r="I99" s="975"/>
      <c r="J99" s="974"/>
      <c r="K99" s="974"/>
    </row>
    <row r="100" spans="2:11" x14ac:dyDescent="0.2">
      <c r="B100" s="974"/>
      <c r="C100" s="974"/>
      <c r="D100" s="974"/>
      <c r="E100" s="975"/>
      <c r="F100" s="974"/>
      <c r="G100" s="974"/>
      <c r="H100" s="975"/>
      <c r="I100" s="975"/>
      <c r="J100" s="974"/>
      <c r="K100" s="974"/>
    </row>
    <row r="101" spans="2:11" x14ac:dyDescent="0.2">
      <c r="B101" s="974"/>
      <c r="C101" s="974"/>
      <c r="D101" s="974"/>
      <c r="E101" s="975"/>
      <c r="F101" s="974"/>
      <c r="G101" s="974"/>
      <c r="H101" s="975"/>
      <c r="I101" s="975"/>
      <c r="J101" s="974"/>
      <c r="K101" s="974"/>
    </row>
    <row r="102" spans="2:11" x14ac:dyDescent="0.2">
      <c r="B102" s="974"/>
      <c r="C102" s="974"/>
      <c r="D102" s="974"/>
      <c r="E102" s="975"/>
      <c r="F102" s="974"/>
      <c r="G102" s="974"/>
      <c r="H102" s="975"/>
      <c r="I102" s="975"/>
      <c r="J102" s="974"/>
      <c r="K102" s="974"/>
    </row>
    <row r="103" spans="2:11" x14ac:dyDescent="0.2">
      <c r="B103" s="974"/>
      <c r="C103" s="974"/>
      <c r="D103" s="974"/>
      <c r="E103" s="975"/>
      <c r="F103" s="974"/>
      <c r="G103" s="974"/>
      <c r="H103" s="975"/>
      <c r="I103" s="975"/>
      <c r="J103" s="974"/>
      <c r="K103" s="974"/>
    </row>
    <row r="104" spans="2:11" x14ac:dyDescent="0.2">
      <c r="B104" s="974"/>
      <c r="C104" s="974"/>
      <c r="D104" s="974"/>
      <c r="E104" s="975"/>
      <c r="F104" s="974"/>
      <c r="G104" s="974"/>
      <c r="H104" s="975"/>
      <c r="I104" s="975"/>
      <c r="J104" s="974"/>
      <c r="K104" s="974"/>
    </row>
    <row r="105" spans="2:11" x14ac:dyDescent="0.2">
      <c r="B105" s="974"/>
      <c r="C105" s="974"/>
      <c r="D105" s="974"/>
      <c r="E105" s="975"/>
      <c r="F105" s="974"/>
      <c r="G105" s="974"/>
      <c r="H105" s="975"/>
      <c r="I105" s="975"/>
      <c r="J105" s="974"/>
      <c r="K105" s="974"/>
    </row>
    <row r="106" spans="2:11" x14ac:dyDescent="0.2">
      <c r="B106" s="974"/>
      <c r="C106" s="974"/>
      <c r="D106" s="974"/>
      <c r="E106" s="975"/>
      <c r="F106" s="974"/>
      <c r="G106" s="974"/>
      <c r="H106" s="975"/>
      <c r="I106" s="975"/>
      <c r="J106" s="974"/>
      <c r="K106" s="974"/>
    </row>
    <row r="107" spans="2:11" x14ac:dyDescent="0.2">
      <c r="B107" s="974"/>
      <c r="C107" s="974"/>
      <c r="D107" s="974"/>
      <c r="E107" s="975"/>
      <c r="F107" s="974"/>
      <c r="G107" s="974"/>
      <c r="H107" s="975"/>
      <c r="I107" s="975"/>
      <c r="J107" s="974"/>
      <c r="K107" s="974"/>
    </row>
    <row r="108" spans="2:11" x14ac:dyDescent="0.2">
      <c r="B108" s="974"/>
      <c r="C108" s="974"/>
      <c r="D108" s="974"/>
      <c r="E108" s="975"/>
      <c r="F108" s="974"/>
      <c r="G108" s="974"/>
      <c r="H108" s="975"/>
      <c r="I108" s="975"/>
      <c r="J108" s="974"/>
      <c r="K108" s="974"/>
    </row>
    <row r="109" spans="2:11" x14ac:dyDescent="0.2">
      <c r="B109" s="974"/>
      <c r="C109" s="974"/>
      <c r="D109" s="974"/>
      <c r="E109" s="975"/>
      <c r="F109" s="974"/>
      <c r="G109" s="974"/>
      <c r="H109" s="975"/>
      <c r="I109" s="975"/>
      <c r="J109" s="974"/>
      <c r="K109" s="974"/>
    </row>
    <row r="110" spans="2:11" x14ac:dyDescent="0.2">
      <c r="B110" s="974"/>
      <c r="C110" s="974"/>
      <c r="D110" s="974"/>
      <c r="E110" s="975"/>
      <c r="F110" s="974"/>
      <c r="G110" s="974"/>
      <c r="H110" s="975"/>
      <c r="I110" s="975"/>
      <c r="J110" s="974"/>
      <c r="K110" s="974"/>
    </row>
    <row r="111" spans="2:11" x14ac:dyDescent="0.2">
      <c r="B111" s="974"/>
      <c r="C111" s="974"/>
      <c r="D111" s="974"/>
      <c r="E111" s="975"/>
      <c r="F111" s="974"/>
      <c r="G111" s="974"/>
      <c r="H111" s="975"/>
      <c r="I111" s="975"/>
      <c r="J111" s="974"/>
      <c r="K111" s="974"/>
    </row>
    <row r="112" spans="2:11" x14ac:dyDescent="0.2">
      <c r="B112" s="974"/>
      <c r="C112" s="974"/>
      <c r="D112" s="974"/>
      <c r="E112" s="975"/>
      <c r="F112" s="974"/>
      <c r="G112" s="974"/>
      <c r="H112" s="975"/>
      <c r="I112" s="975"/>
      <c r="J112" s="974"/>
      <c r="K112" s="974"/>
    </row>
    <row r="113" spans="2:11" x14ac:dyDescent="0.2">
      <c r="B113" s="974"/>
      <c r="C113" s="974"/>
      <c r="D113" s="974"/>
      <c r="E113" s="975"/>
      <c r="F113" s="974"/>
      <c r="G113" s="974"/>
      <c r="H113" s="975"/>
      <c r="I113" s="975"/>
      <c r="J113" s="974"/>
      <c r="K113" s="974"/>
    </row>
  </sheetData>
  <phoneticPr fontId="67" type="noConversion"/>
  <pageMargins bottom="0.19685" footer="0" header="0" left="0.19685" right="0.19685" top="0.19685"/>
  <pageSetup orientation="portrait" paperSize="9" r:id="rId1"/>
  <headerFooter alignWithMargins="0"/>
</worksheet>
</file>

<file path=xl/worksheets/sheet80.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F00-000000000000}">
  <sheetPr codeName="Sheet83"/>
  <dimension ref="A1:P100"/>
  <sheetViews>
    <sheetView showGridLines="0" topLeftCell="B1" workbookViewId="0" zoomScaleNormal="100">
      <selection activeCell="X31" sqref="X31"/>
    </sheetView>
  </sheetViews>
  <sheetFormatPr defaultColWidth="5.5703125" defaultRowHeight="12.75" x14ac:dyDescent="0.2"/>
  <cols>
    <col min="1" max="1" customWidth="true" hidden="true" style="2707" width="0.0" collapsed="true"/>
    <col min="2" max="3" style="7" width="5.5703125" collapsed="true"/>
    <col min="4" max="4" style="928" width="5.5703125" collapsed="true"/>
    <col min="5" max="5" style="926" width="5.5703125" collapsed="true"/>
    <col min="6" max="7" style="7" width="5.5703125" collapsed="true"/>
    <col min="8" max="8" style="927" width="5.5703125" collapsed="true"/>
    <col min="9" max="9" style="781" width="5.5703125" collapsed="true"/>
    <col min="10" max="10" style="7" width="5.5703125" collapsed="true"/>
    <col min="11" max="11" style="928" width="5.5703125" collapsed="true"/>
    <col min="12" max="12" style="926" width="5.5703125" collapsed="true"/>
    <col min="13" max="13" style="7" width="5.5703125" collapsed="true"/>
    <col min="14" max="14" style="927" width="5.5703125" collapsed="true"/>
    <col min="15" max="15" style="781" width="5.5703125" collapsed="true"/>
    <col min="16" max="16384" style="7" width="5.5703125" collapsed="true"/>
  </cols>
  <sheetData>
    <row ht="18" r="1" spans="1:15" x14ac:dyDescent="0.25">
      <c r="A1" s="2707" t="s">
        <v>2568</v>
      </c>
      <c r="B1" s="2727"/>
      <c r="C1" s="2707"/>
      <c r="D1" s="2773" t="s">
        <v>2323</v>
      </c>
      <c r="E1" s="2774"/>
      <c r="F1" s="2707"/>
      <c r="G1" s="2707"/>
      <c r="H1" s="2707"/>
      <c r="I1" s="2707"/>
      <c r="J1" s="2707"/>
      <c r="K1" s="2775"/>
      <c r="L1" s="2774"/>
      <c r="M1" s="2707"/>
      <c r="N1" s="2707"/>
      <c r="O1" s="2707"/>
    </row>
    <row r="2" spans="1:15" x14ac:dyDescent="0.2">
      <c r="A2" s="2707" t="s">
        <v>2569</v>
      </c>
      <c r="C2" s="2707"/>
      <c r="D2" s="2773"/>
      <c r="E2" s="2774"/>
      <c r="F2" s="2707"/>
      <c r="G2" s="2707"/>
      <c r="H2" s="2707"/>
      <c r="I2" s="2707"/>
      <c r="J2" s="2776" t="s">
        <v>7392</v>
      </c>
      <c r="K2" s="2777"/>
      <c r="L2" s="2777"/>
      <c r="M2" s="2777"/>
      <c r="N2" s="2777"/>
      <c r="O2" s="2778"/>
    </row>
    <row r="3" spans="1:15" x14ac:dyDescent="0.2">
      <c r="A3" s="2707" t="s">
        <v>2570</v>
      </c>
      <c r="C3" s="2707" t="s">
        <v>4250</v>
      </c>
      <c r="D3" s="2773"/>
      <c r="E3" s="2774"/>
      <c r="F3" s="2707"/>
      <c r="G3" s="2707"/>
      <c r="H3" s="2707"/>
      <c r="I3" s="2707"/>
      <c r="J3" s="2691"/>
      <c r="K3" s="2650"/>
      <c r="L3" s="2650"/>
      <c r="M3" s="2650"/>
      <c r="N3" s="2650"/>
      <c r="O3" s="2779"/>
    </row>
    <row r="4" spans="1:15" x14ac:dyDescent="0.2">
      <c r="A4" s="2707" t="s">
        <v>2571</v>
      </c>
    </row>
    <row r="5" spans="1:15" x14ac:dyDescent="0.2">
      <c r="A5" s="2707" t="s">
        <v>2572</v>
      </c>
    </row>
    <row r="6" spans="1:15" x14ac:dyDescent="0.2">
      <c r="A6" s="2707" t="s">
        <v>2573</v>
      </c>
    </row>
    <row r="7" spans="1:15" x14ac:dyDescent="0.2">
      <c r="A7" s="2707" t="s">
        <v>2895</v>
      </c>
    </row>
    <row r="8" spans="1:15" x14ac:dyDescent="0.2">
      <c r="A8" s="2707" t="s">
        <v>2574</v>
      </c>
    </row>
    <row r="9" spans="1:15" x14ac:dyDescent="0.2">
      <c r="A9" s="2707" t="s">
        <v>2575</v>
      </c>
    </row>
    <row r="10" spans="1:15" x14ac:dyDescent="0.2">
      <c r="A10" s="2707" t="s">
        <v>2576</v>
      </c>
    </row>
    <row r="11" spans="1:15" x14ac:dyDescent="0.2">
      <c r="A11" s="2707" t="s">
        <v>2577</v>
      </c>
    </row>
    <row r="12" spans="1:15" x14ac:dyDescent="0.2">
      <c r="A12" s="2707" t="s">
        <v>2578</v>
      </c>
    </row>
    <row r="13" spans="1:15" x14ac:dyDescent="0.2">
      <c r="A13" s="2707" t="s">
        <v>2579</v>
      </c>
    </row>
    <row r="14" spans="1:15" x14ac:dyDescent="0.2">
      <c r="A14" s="2707" t="s">
        <v>2580</v>
      </c>
    </row>
    <row r="15" spans="1:15" x14ac:dyDescent="0.2">
      <c r="A15" s="2707" t="s">
        <v>2581</v>
      </c>
    </row>
    <row r="16" spans="1:15" x14ac:dyDescent="0.2">
      <c r="A16" s="2707" t="s">
        <v>2582</v>
      </c>
    </row>
    <row r="17" spans="1:1" x14ac:dyDescent="0.2">
      <c r="A17" s="2707" t="s">
        <v>2275</v>
      </c>
    </row>
    <row r="18" spans="1:1" x14ac:dyDescent="0.2">
      <c r="A18" s="2707" t="s">
        <v>2328</v>
      </c>
    </row>
    <row r="19" spans="1:1" x14ac:dyDescent="0.2">
      <c r="A19" s="2707" t="s">
        <v>2329</v>
      </c>
    </row>
    <row r="20" spans="1:1" x14ac:dyDescent="0.2">
      <c r="A20" s="2707" t="s">
        <v>2330</v>
      </c>
    </row>
    <row r="21" spans="1:1" x14ac:dyDescent="0.2">
      <c r="A21" s="2707" t="s">
        <v>2331</v>
      </c>
    </row>
    <row r="22" spans="1:1" x14ac:dyDescent="0.2">
      <c r="A22" s="2707" t="s">
        <v>2332</v>
      </c>
    </row>
    <row r="23" spans="1:1" x14ac:dyDescent="0.2">
      <c r="A23" s="2707" t="s">
        <v>2333</v>
      </c>
    </row>
    <row r="24" spans="1:1" x14ac:dyDescent="0.2">
      <c r="A24" s="2707" t="s">
        <v>2334</v>
      </c>
    </row>
    <row r="25" spans="1:1" x14ac:dyDescent="0.2">
      <c r="A25" s="2707" t="s">
        <v>2335</v>
      </c>
    </row>
    <row r="26" spans="1:1" x14ac:dyDescent="0.2">
      <c r="A26" s="2707" t="s">
        <v>2336</v>
      </c>
    </row>
    <row r="27" spans="1:1" x14ac:dyDescent="0.2">
      <c r="A27" s="2707" t="s">
        <v>2337</v>
      </c>
    </row>
    <row r="28" spans="1:1" x14ac:dyDescent="0.2">
      <c r="A28" s="2707" t="s">
        <v>2338</v>
      </c>
    </row>
    <row r="29" spans="1:1" x14ac:dyDescent="0.2">
      <c r="A29" s="2707" t="s">
        <v>2339</v>
      </c>
    </row>
    <row r="30" spans="1:1" x14ac:dyDescent="0.2">
      <c r="A30" s="2707" t="s">
        <v>2340</v>
      </c>
    </row>
    <row r="31" spans="1:1" x14ac:dyDescent="0.2">
      <c r="A31" s="2707" t="s">
        <v>2341</v>
      </c>
    </row>
    <row r="32" spans="1:1" x14ac:dyDescent="0.2">
      <c r="A32" s="2707" t="s">
        <v>2342</v>
      </c>
    </row>
    <row r="33" spans="1:1" x14ac:dyDescent="0.2">
      <c r="A33" s="2707" t="s">
        <v>2343</v>
      </c>
    </row>
    <row r="34" spans="1:1" x14ac:dyDescent="0.2">
      <c r="A34" s="2707" t="s">
        <v>2344</v>
      </c>
    </row>
    <row r="35" spans="1:1" x14ac:dyDescent="0.2">
      <c r="A35" s="2707" t="s">
        <v>2345</v>
      </c>
    </row>
    <row r="36" spans="1:1" x14ac:dyDescent="0.2">
      <c r="A36" s="2707" t="s">
        <v>2346</v>
      </c>
    </row>
    <row r="37" spans="1:1" x14ac:dyDescent="0.2">
      <c r="A37" s="2707" t="s">
        <v>2347</v>
      </c>
    </row>
    <row r="38" spans="1:1" x14ac:dyDescent="0.2">
      <c r="A38" s="2707" t="s">
        <v>2348</v>
      </c>
    </row>
    <row r="39" spans="1:1" x14ac:dyDescent="0.2">
      <c r="A39" s="2707" t="s">
        <v>2349</v>
      </c>
    </row>
    <row r="40" spans="1:1" x14ac:dyDescent="0.2">
      <c r="A40" s="2707" t="s">
        <v>2350</v>
      </c>
    </row>
    <row r="41" spans="1:1" x14ac:dyDescent="0.2">
      <c r="A41" s="2707" t="s">
        <v>2351</v>
      </c>
    </row>
    <row r="42" spans="1:1" x14ac:dyDescent="0.2">
      <c r="A42" s="2707" t="s">
        <v>2352</v>
      </c>
    </row>
    <row r="43" spans="1:1" x14ac:dyDescent="0.2">
      <c r="A43" s="2707" t="s">
        <v>2353</v>
      </c>
    </row>
    <row r="44" spans="1:1" x14ac:dyDescent="0.2">
      <c r="A44" s="2707" t="s">
        <v>2354</v>
      </c>
    </row>
    <row r="45" spans="1:1" x14ac:dyDescent="0.2">
      <c r="A45" s="2707" t="s">
        <v>2355</v>
      </c>
    </row>
    <row r="46" spans="1:1" x14ac:dyDescent="0.2">
      <c r="A46" s="2707" t="s">
        <v>2356</v>
      </c>
    </row>
    <row r="47" spans="1:1" x14ac:dyDescent="0.2">
      <c r="A47" s="2707" t="s">
        <v>2357</v>
      </c>
    </row>
    <row r="48" spans="1:1" x14ac:dyDescent="0.2">
      <c r="A48" s="2707" t="s">
        <v>2358</v>
      </c>
    </row>
    <row r="49" spans="1:1" x14ac:dyDescent="0.2">
      <c r="A49" s="2707" t="s">
        <v>2359</v>
      </c>
    </row>
    <row r="50" spans="1:1" x14ac:dyDescent="0.2">
      <c r="A50" s="2707" t="s">
        <v>2360</v>
      </c>
    </row>
    <row r="51" spans="1:1" x14ac:dyDescent="0.2">
      <c r="A51" s="2707" t="s">
        <v>2361</v>
      </c>
    </row>
    <row r="52" spans="1:1" x14ac:dyDescent="0.2">
      <c r="A52" s="2707" t="s">
        <v>714</v>
      </c>
    </row>
    <row r="53" spans="1:1" x14ac:dyDescent="0.2">
      <c r="A53" s="2707" t="s">
        <v>715</v>
      </c>
    </row>
    <row r="54" spans="1:1" x14ac:dyDescent="0.2">
      <c r="A54" s="2707" t="s">
        <v>716</v>
      </c>
    </row>
    <row r="55" spans="1:1" x14ac:dyDescent="0.2">
      <c r="A55" s="2707" t="s">
        <v>717</v>
      </c>
    </row>
    <row r="56" spans="1:1" x14ac:dyDescent="0.2">
      <c r="A56" s="2707" t="s">
        <v>718</v>
      </c>
    </row>
    <row r="57" spans="1:1" x14ac:dyDescent="0.2">
      <c r="A57" s="2707" t="s">
        <v>719</v>
      </c>
    </row>
    <row r="58" spans="1:1" x14ac:dyDescent="0.2">
      <c r="A58" s="2707" t="s">
        <v>720</v>
      </c>
    </row>
    <row r="59" spans="1:1" x14ac:dyDescent="0.2">
      <c r="A59" s="2707" t="s">
        <v>721</v>
      </c>
    </row>
    <row r="60" spans="1:1" x14ac:dyDescent="0.2">
      <c r="A60" s="2707" t="s">
        <v>722</v>
      </c>
    </row>
    <row r="61" spans="1:1" x14ac:dyDescent="0.2">
      <c r="A61" s="2707" t="s">
        <v>723</v>
      </c>
    </row>
    <row r="62" spans="1:1" x14ac:dyDescent="0.2">
      <c r="A62" s="2707" t="s">
        <v>724</v>
      </c>
    </row>
    <row r="63" spans="1:1" x14ac:dyDescent="0.2">
      <c r="A63" s="2707" t="s">
        <v>725</v>
      </c>
    </row>
    <row r="64" spans="1:1" x14ac:dyDescent="0.2">
      <c r="A64" s="2707" t="s">
        <v>726</v>
      </c>
    </row>
    <row r="65" spans="1:1" x14ac:dyDescent="0.2">
      <c r="A65" s="2707" t="s">
        <v>727</v>
      </c>
    </row>
    <row r="66" spans="1:1" x14ac:dyDescent="0.2">
      <c r="A66" s="2707" t="s">
        <v>728</v>
      </c>
    </row>
    <row r="67" spans="1:1" x14ac:dyDescent="0.2">
      <c r="A67" s="2707" t="s">
        <v>729</v>
      </c>
    </row>
    <row r="68" spans="1:1" x14ac:dyDescent="0.2">
      <c r="A68" s="2707" t="s">
        <v>730</v>
      </c>
    </row>
    <row r="69" spans="1:1" x14ac:dyDescent="0.2">
      <c r="A69" s="2707" t="s">
        <v>731</v>
      </c>
    </row>
    <row r="70" spans="1:1" x14ac:dyDescent="0.2">
      <c r="A70" s="2707" t="s">
        <v>732</v>
      </c>
    </row>
    <row r="71" spans="1:1" x14ac:dyDescent="0.2">
      <c r="A71" s="2707" t="s">
        <v>733</v>
      </c>
    </row>
    <row r="72" spans="1:1" x14ac:dyDescent="0.2">
      <c r="A72" s="2707" t="s">
        <v>734</v>
      </c>
    </row>
    <row r="73" spans="1:1" x14ac:dyDescent="0.2">
      <c r="A73" s="2707" t="s">
        <v>735</v>
      </c>
    </row>
    <row r="74" spans="1:1" x14ac:dyDescent="0.2">
      <c r="A74" s="2707" t="s">
        <v>736</v>
      </c>
    </row>
    <row r="75" spans="1:1" x14ac:dyDescent="0.2">
      <c r="A75" s="2707" t="s">
        <v>737</v>
      </c>
    </row>
    <row r="76" spans="1:1" x14ac:dyDescent="0.2">
      <c r="A76" s="2707" t="s">
        <v>738</v>
      </c>
    </row>
    <row r="77" spans="1:1" x14ac:dyDescent="0.2">
      <c r="A77" s="2707" t="s">
        <v>739</v>
      </c>
    </row>
    <row r="78" spans="1:1" x14ac:dyDescent="0.2">
      <c r="A78" s="2707" t="s">
        <v>740</v>
      </c>
    </row>
    <row r="79" spans="1:1" x14ac:dyDescent="0.2">
      <c r="A79" s="2707" t="s">
        <v>741</v>
      </c>
    </row>
    <row r="80" spans="1:1" x14ac:dyDescent="0.2">
      <c r="A80" s="2707" t="s">
        <v>742</v>
      </c>
    </row>
    <row r="81" spans="1:1" x14ac:dyDescent="0.2">
      <c r="A81" s="2707" t="s">
        <v>743</v>
      </c>
    </row>
    <row r="82" spans="1:1" x14ac:dyDescent="0.2">
      <c r="A82" s="2707" t="s">
        <v>744</v>
      </c>
    </row>
    <row r="83" spans="1:1" x14ac:dyDescent="0.2">
      <c r="A83" s="2707" t="s">
        <v>745</v>
      </c>
    </row>
    <row r="84" spans="1:1" x14ac:dyDescent="0.2">
      <c r="A84" s="2707" t="s">
        <v>746</v>
      </c>
    </row>
    <row r="85" spans="1:1" x14ac:dyDescent="0.2">
      <c r="A85" s="2707" t="s">
        <v>747</v>
      </c>
    </row>
    <row r="86" spans="1:1" x14ac:dyDescent="0.2">
      <c r="A86" s="2707" t="s">
        <v>748</v>
      </c>
    </row>
    <row r="87" spans="1:1" x14ac:dyDescent="0.2">
      <c r="A87" s="2707" t="s">
        <v>749</v>
      </c>
    </row>
    <row r="88" spans="1:1" x14ac:dyDescent="0.2">
      <c r="A88" s="2707" t="s">
        <v>750</v>
      </c>
    </row>
    <row r="89" spans="1:1" x14ac:dyDescent="0.2">
      <c r="A89" s="2707" t="s">
        <v>751</v>
      </c>
    </row>
    <row r="90" spans="1:1" x14ac:dyDescent="0.2">
      <c r="A90" s="2707" t="s">
        <v>752</v>
      </c>
    </row>
    <row r="91" spans="1:1" x14ac:dyDescent="0.2">
      <c r="A91" s="2707" t="s">
        <v>753</v>
      </c>
    </row>
    <row r="92" spans="1:1" x14ac:dyDescent="0.2">
      <c r="A92" s="2707" t="s">
        <v>754</v>
      </c>
    </row>
    <row r="93" spans="1:1" x14ac:dyDescent="0.2">
      <c r="A93" s="2707" t="s">
        <v>755</v>
      </c>
    </row>
    <row r="94" spans="1:1" x14ac:dyDescent="0.2">
      <c r="A94" s="2707" t="s">
        <v>756</v>
      </c>
    </row>
    <row r="95" spans="1:1" x14ac:dyDescent="0.2">
      <c r="A95" s="2707" t="s">
        <v>757</v>
      </c>
    </row>
    <row r="96" spans="1:1" x14ac:dyDescent="0.2">
      <c r="A96" s="2707" t="s">
        <v>758</v>
      </c>
    </row>
    <row r="97" spans="1:1" x14ac:dyDescent="0.2">
      <c r="A97" s="2707" t="s">
        <v>759</v>
      </c>
    </row>
    <row r="98" spans="1:1" x14ac:dyDescent="0.2">
      <c r="A98" s="2707" t="s">
        <v>760</v>
      </c>
    </row>
    <row r="99" spans="1:1" x14ac:dyDescent="0.2">
      <c r="A99" s="2707" t="s">
        <v>761</v>
      </c>
    </row>
    <row r="100" spans="1:1" x14ac:dyDescent="0.2">
      <c r="A100" s="2707" t="s">
        <v>762</v>
      </c>
    </row>
  </sheetData>
  <phoneticPr fontId="67" type="noConversion"/>
  <pageMargins bottom="0.19685" footer="0" header="0" left="0.19685" right="0.19685" top="0.19685"/>
  <pageSetup orientation="portrait" paperSize="9" r:id="rId1"/>
  <headerFooter alignWithMargins="0"/>
</worksheet>
</file>

<file path=xl/worksheets/sheet81.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000-000000000000}">
  <sheetPr codeName="Sheet14"/>
  <dimension ref="A1:W87"/>
  <sheetViews>
    <sheetView showGridLines="0" topLeftCell="B64" workbookViewId="0">
      <selection activeCell="S18" sqref="S18"/>
    </sheetView>
  </sheetViews>
  <sheetFormatPr defaultColWidth="9.140625" defaultRowHeight="12" x14ac:dyDescent="0.2"/>
  <cols>
    <col min="1" max="1" customWidth="true" hidden="true" style="121" width="6.42578125" collapsed="true"/>
    <col min="2" max="2" customWidth="true" style="121" width="32.28515625" collapsed="true"/>
    <col min="3" max="3" customWidth="true" style="121" width="14.85546875" collapsed="true"/>
    <col min="4" max="4" customWidth="true" style="405" width="6.42578125" collapsed="true"/>
    <col min="5" max="5" customWidth="true" style="121" width="16.0" collapsed="true"/>
    <col min="6" max="6" customWidth="true" style="121" width="18.28515625" collapsed="true"/>
    <col min="7" max="7" customWidth="true" style="405" width="6.140625" collapsed="true"/>
    <col min="8" max="8" customWidth="true" style="121" width="16.0" collapsed="true"/>
    <col min="9" max="9" customWidth="true" style="121" width="18.28515625" collapsed="true"/>
    <col min="10" max="10" customWidth="true" style="405" width="6.7109375" collapsed="true"/>
    <col min="11" max="11" customWidth="true" style="121" width="16.0" collapsed="true"/>
    <col min="12" max="12" bestFit="true" customWidth="true" style="121" width="6.28515625" collapsed="true"/>
    <col min="13" max="13" customWidth="true" style="121" width="4.7109375" collapsed="true"/>
    <col min="14" max="14" style="121" width="9.140625" collapsed="true"/>
    <col min="15" max="15" customWidth="true" style="121" width="5.85546875" collapsed="true"/>
    <col min="16" max="17" style="121" width="9.140625" collapsed="true"/>
    <col min="18" max="18" customWidth="true" style="121" width="6.85546875" collapsed="true"/>
    <col min="19" max="19" style="121" width="9.140625" collapsed="true"/>
    <col min="20" max="20" customWidth="true" style="121" width="3.85546875" collapsed="true"/>
    <col min="21" max="21" customWidth="true" style="121" width="7.28515625" collapsed="true"/>
    <col min="22" max="16384" style="121" width="9.140625" collapsed="true"/>
  </cols>
  <sheetData>
    <row ht="20.25" r="1" spans="1:13" x14ac:dyDescent="0.3">
      <c r="A1" s="104" t="s">
        <v>3241</v>
      </c>
      <c r="B1" s="2735" t="s">
        <v>5312</v>
      </c>
      <c r="M1" s="981"/>
    </row>
    <row r="2" spans="1:13" x14ac:dyDescent="0.2">
      <c r="A2" s="104" t="s">
        <v>3242</v>
      </c>
      <c r="B2" s="403"/>
      <c r="M2" s="981"/>
    </row>
    <row r="3" spans="1:13" x14ac:dyDescent="0.2">
      <c r="A3" s="104" t="s">
        <v>3243</v>
      </c>
      <c r="B3" s="1200" t="s">
        <v>2711</v>
      </c>
      <c r="G3" s="3028" t="s">
        <v>7394</v>
      </c>
      <c r="H3" s="3030"/>
      <c r="I3" s="3061"/>
      <c r="J3" s="3030"/>
      <c r="K3" s="3031"/>
      <c r="L3" s="37"/>
      <c r="M3" s="981"/>
    </row>
    <row r="4" spans="1:13" x14ac:dyDescent="0.2">
      <c r="A4" s="104" t="s">
        <v>3244</v>
      </c>
      <c r="E4" s="691" t="str">
        <f>"from "&amp;LUN&amp;LUN!C13</f>
        <v>from LUN8</v>
      </c>
      <c r="F4" s="2291"/>
      <c r="H4" s="2291"/>
      <c r="I4" s="2190"/>
      <c r="K4" s="2190"/>
      <c r="L4" s="37"/>
      <c r="M4" s="981"/>
    </row>
    <row r="5" spans="1:13" x14ac:dyDescent="0.2">
      <c r="A5" s="104" t="s">
        <v>3245</v>
      </c>
      <c r="B5" s="684" t="s">
        <v>7053</v>
      </c>
      <c r="D5" s="2296" t="str">
        <f>A1</f>
        <v>c21.1</v>
      </c>
      <c r="E5" s="2295">
        <f>TRUNC(LUN!D14,0)</f>
        <v>0</v>
      </c>
      <c r="F5" s="929" t="s">
        <v>1743</v>
      </c>
      <c r="H5" s="2291"/>
      <c r="I5" s="2190"/>
      <c r="K5" s="2190"/>
      <c r="M5" s="981"/>
    </row>
    <row r="6" spans="1:13" x14ac:dyDescent="0.2">
      <c r="A6" s="104" t="s">
        <v>3246</v>
      </c>
      <c r="C6" s="684"/>
      <c r="D6" s="1384"/>
      <c r="E6" s="2291"/>
      <c r="F6" s="2291"/>
      <c r="H6" s="2291"/>
      <c r="I6" s="2190"/>
      <c r="K6" s="2190"/>
      <c r="M6" s="981"/>
    </row>
    <row r="7" spans="1:13" x14ac:dyDescent="0.2">
      <c r="A7" s="104" t="s">
        <v>3247</v>
      </c>
      <c r="B7" s="684"/>
      <c r="E7" s="691" t="str">
        <f><![CDATA[LUN&LUN!G7&" + "&LUN&LUN!G10&" + "&LUN&LUN!G13]]></f>
        <v>LUN15 + LUN16 + LUN17</v>
      </c>
      <c r="F7" s="2291"/>
      <c r="H7" s="2291"/>
      <c r="I7" s="2190"/>
      <c r="K7" s="2190"/>
      <c r="M7" s="981"/>
    </row>
    <row r="8" spans="1:13" x14ac:dyDescent="0.2">
      <c r="A8" s="104" t="s">
        <v>3248</v>
      </c>
      <c r="B8" s="684" t="s">
        <v>7054</v>
      </c>
      <c r="D8" s="2293" t="str">
        <f>A2</f>
        <v>c21.2</v>
      </c>
      <c r="E8" s="2295">
        <f>TRUNC(LUN!H8,0)+TRUNC(LUN!H11,0)+TRUNC(LUN!H14,0)</f>
        <v>0</v>
      </c>
      <c r="F8" s="929" t="s">
        <v>1743</v>
      </c>
      <c r="H8" s="2291"/>
      <c r="I8" s="2190"/>
      <c r="K8" s="2190"/>
      <c r="M8" s="981"/>
    </row>
    <row customFormat="1" r="9" s="2190" spans="1:13" x14ac:dyDescent="0.2">
      <c r="A9" s="104" t="s">
        <v>3249</v>
      </c>
      <c r="B9" s="684"/>
      <c r="D9" s="748"/>
      <c r="E9" s="371"/>
      <c r="F9" s="929"/>
      <c r="G9" s="405"/>
      <c r="H9" s="2291"/>
      <c r="J9" s="405"/>
      <c r="M9" s="981"/>
    </row>
    <row customFormat="1" r="10" s="2190" spans="1:13" x14ac:dyDescent="0.2">
      <c r="A10" s="104" t="s">
        <v>3250</v>
      </c>
      <c r="B10" s="684"/>
      <c r="D10" s="375"/>
      <c r="E10" s="128" t="s">
        <v>6393</v>
      </c>
      <c r="F10" s="929"/>
      <c r="G10" s="405"/>
      <c r="H10" s="2291"/>
      <c r="J10" s="405"/>
      <c r="M10" s="981"/>
    </row>
    <row customFormat="1" r="11" s="2190" spans="1:13" x14ac:dyDescent="0.2">
      <c r="A11" s="104" t="s">
        <v>3251</v>
      </c>
      <c r="B11" s="684"/>
      <c r="D11" s="2293" t="str">
        <f>A3</f>
        <v>c21.3</v>
      </c>
      <c r="E11" s="2295">
        <v>0</v>
      </c>
      <c r="F11" s="929"/>
      <c r="G11" s="405"/>
      <c r="H11" s="2291"/>
      <c r="J11" s="405"/>
      <c r="M11" s="981"/>
    </row>
    <row customFormat="1" r="12" s="2190" spans="1:13" x14ac:dyDescent="0.2">
      <c r="A12" s="104" t="s">
        <v>3252</v>
      </c>
      <c r="B12" s="684"/>
      <c r="D12" s="2291"/>
      <c r="E12" s="2291"/>
      <c r="F12" s="929"/>
      <c r="G12" s="405"/>
      <c r="H12" s="2291"/>
      <c r="J12" s="405"/>
      <c r="M12" s="981"/>
    </row>
    <row customFormat="1" r="13" s="2190" spans="1:13" x14ac:dyDescent="0.2">
      <c r="B13" s="684"/>
      <c r="D13" s="375"/>
      <c r="E13" s="128" t="s">
        <v>6393</v>
      </c>
      <c r="F13" s="929"/>
      <c r="G13" s="405"/>
      <c r="H13" s="2291"/>
      <c r="J13" s="405"/>
      <c r="M13" s="981"/>
    </row>
    <row customFormat="1" r="14" s="2190" spans="1:13" x14ac:dyDescent="0.2">
      <c r="B14" s="684"/>
      <c r="D14" s="2293" t="str">
        <f>A4</f>
        <v>c21.4</v>
      </c>
      <c r="E14" s="2295">
        <v>0</v>
      </c>
      <c r="F14" s="929"/>
      <c r="G14" s="405"/>
      <c r="H14" s="2291"/>
      <c r="J14" s="405"/>
      <c r="M14" s="981"/>
    </row>
    <row customFormat="1" r="15" s="2190" spans="1:13" x14ac:dyDescent="0.2">
      <c r="B15" s="684"/>
      <c r="D15" s="748"/>
      <c r="E15" s="371"/>
      <c r="F15" s="929"/>
      <c r="G15" s="405"/>
      <c r="H15" s="2291"/>
      <c r="J15" s="405"/>
      <c r="M15" s="981"/>
    </row>
    <row r="16" spans="1:13" x14ac:dyDescent="0.2">
      <c r="E16" s="93" t="str">
        <f>D5&amp;" + "&amp;D8</f>
        <v>c21.1 + c21.2</v>
      </c>
      <c r="F16" s="2291"/>
      <c r="H16" s="2291"/>
      <c r="I16" s="2190"/>
      <c r="K16" s="2190"/>
      <c r="M16" s="981"/>
    </row>
    <row r="17" spans="1:22" x14ac:dyDescent="0.2">
      <c r="B17" s="684" t="s">
        <v>4985</v>
      </c>
      <c r="D17" s="2293" t="str">
        <f>A5</f>
        <v>c21.5</v>
      </c>
      <c r="E17" s="2295">
        <f>E5+E8</f>
        <v>0</v>
      </c>
      <c r="F17" s="2291"/>
      <c r="H17" s="2291"/>
      <c r="I17" s="2190"/>
      <c r="K17" s="2190"/>
      <c r="M17" s="981"/>
    </row>
    <row r="18" spans="1:22" x14ac:dyDescent="0.2">
      <c r="E18" s="2291"/>
      <c r="F18" s="2291"/>
      <c r="H18" s="2291"/>
      <c r="I18" s="2190"/>
      <c r="K18" s="2190"/>
      <c r="M18" s="981"/>
    </row>
    <row r="19" spans="1:22" x14ac:dyDescent="0.2">
      <c r="B19" s="37"/>
      <c r="E19" s="691" t="str">
        <f>"from "&amp;LUN&amp;LUN!K7</f>
        <v>from LUN52</v>
      </c>
      <c r="F19" s="2291"/>
      <c r="H19" s="2292" t="str">
        <f>"lower of "&amp;D17&amp;" and "&amp;D20</f>
        <v>lower of c21.5 and c21.6</v>
      </c>
      <c r="I19" s="2190"/>
      <c r="K19" s="2190"/>
      <c r="M19" s="981"/>
    </row>
    <row r="20" spans="1:22" x14ac:dyDescent="0.2">
      <c r="B20" s="684" t="s">
        <v>4984</v>
      </c>
      <c r="D20" s="2296" t="str">
        <f>A6</f>
        <v>c21.6</v>
      </c>
      <c r="E20" s="2295">
        <f>TRUNC(LUN!L8,0)</f>
        <v>0</v>
      </c>
      <c r="F20" s="929" t="s">
        <v>1743</v>
      </c>
      <c r="G20" s="2296" t="str">
        <f>A7</f>
        <v>c21.7</v>
      </c>
      <c r="H20" s="2295">
        <f>MIN(E17,E20)</f>
        <v>0</v>
      </c>
      <c r="I20" s="2190"/>
      <c r="K20" s="2190"/>
      <c r="M20" s="981"/>
    </row>
    <row r="21" spans="1:22" x14ac:dyDescent="0.2">
      <c r="B21" s="37"/>
      <c r="C21" s="128"/>
      <c r="D21" s="50"/>
      <c r="E21" s="371"/>
      <c r="F21" s="2291"/>
      <c r="G21" s="50"/>
      <c r="H21" s="371"/>
      <c r="I21" s="2190"/>
      <c r="K21" s="1220"/>
      <c r="M21" s="981"/>
    </row>
    <row r="22" spans="1:22" x14ac:dyDescent="0.2">
      <c r="B22" s="37"/>
      <c r="C22" s="37"/>
      <c r="E22" s="93" t="str">
        <f>"from "&amp;'Taxable (c5)'!BA126</f>
        <v>from c5.76</v>
      </c>
      <c r="F22" s="2291"/>
      <c r="H22" s="2292" t="str">
        <f>"lower of "&amp;G20&amp;" and "&amp;D23</f>
        <v>lower of c21.7 and c21.8</v>
      </c>
      <c r="I22" s="37"/>
      <c r="J22" s="375"/>
      <c r="K22" s="128" t="s">
        <v>6393</v>
      </c>
      <c r="M22" s="981"/>
    </row>
    <row r="23" spans="1:22" x14ac:dyDescent="0.2">
      <c r="B23" s="684" t="s">
        <v>5313</v>
      </c>
      <c r="D23" s="2296" t="str">
        <f>A8</f>
        <v>c21.8</v>
      </c>
      <c r="E23" s="2297">
        <f>'Taxable (c5)'!BB126</f>
        <v>33744</v>
      </c>
      <c r="F23" s="2291"/>
      <c r="G23" s="2296" t="str">
        <f>A9</f>
        <v>c21.9</v>
      </c>
      <c r="H23" s="2295">
        <f>MIN(H20,E23)</f>
        <v>0</v>
      </c>
      <c r="I23" s="2190"/>
      <c r="J23" s="2193" t="str">
        <f>A10</f>
        <v>c21.10</v>
      </c>
      <c r="K23" s="2194">
        <v>0</v>
      </c>
      <c r="L23" s="2309"/>
      <c r="M23" s="981"/>
    </row>
    <row r="24" spans="1:22" x14ac:dyDescent="0.2">
      <c r="B24" s="37"/>
      <c r="C24" s="37"/>
      <c r="D24" s="50"/>
      <c r="E24" s="2291"/>
      <c r="F24" s="2291"/>
      <c r="H24" s="2291"/>
      <c r="I24" s="2190"/>
      <c r="K24" s="1220"/>
      <c r="M24" s="981"/>
    </row>
    <row r="25" spans="1:22" x14ac:dyDescent="0.2">
      <c r="B25" s="37"/>
      <c r="C25" s="37"/>
      <c r="D25" s="50"/>
      <c r="E25" s="2292" t="str">
        <f>"lower of "&amp;D20&amp;" and "&amp;D23</f>
        <v>lower of c21.6 and c21.8</v>
      </c>
      <c r="F25" s="2291"/>
      <c r="H25" s="2292" t="str">
        <f>D26&amp;" minus "&amp;G23</f>
        <v>c21.11 minus c21.9</v>
      </c>
      <c r="I25" s="2190"/>
      <c r="K25" s="2190"/>
      <c r="M25" s="981"/>
    </row>
    <row r="26" spans="1:22" x14ac:dyDescent="0.2">
      <c r="B26" s="684" t="s">
        <v>5197</v>
      </c>
      <c r="C26" s="37"/>
      <c r="D26" s="2296" t="str">
        <f>A11</f>
        <v>c21.11</v>
      </c>
      <c r="E26" s="2295">
        <f>MIN(E20,E23)</f>
        <v>0</v>
      </c>
      <c r="F26" s="2291"/>
      <c r="G26" s="2296" t="str">
        <f>A12</f>
        <v>c21.12</v>
      </c>
      <c r="H26" s="2295">
        <f>MAX(0,E26-H23)</f>
        <v>0</v>
      </c>
      <c r="I26" s="2190"/>
      <c r="K26" s="2190"/>
      <c r="M26" s="981"/>
      <c r="N26" s="669"/>
      <c r="O26" s="380"/>
      <c r="P26" s="371"/>
      <c r="R26" s="380"/>
      <c r="S26" s="371"/>
      <c r="U26" s="380"/>
      <c r="V26" s="116"/>
    </row>
    <row r="27" spans="1:22" x14ac:dyDescent="0.2">
      <c r="B27" s="37"/>
      <c r="C27" s="37"/>
      <c r="D27" s="50"/>
      <c r="E27" s="371"/>
      <c r="F27" s="2291"/>
      <c r="G27" s="50"/>
      <c r="H27" s="93" t="str">
        <f>"Copy to box "&amp;'Div Cr (c10)'!F9</f>
        <v>Copy to box c10.2</v>
      </c>
      <c r="I27" s="2190"/>
      <c r="K27" s="2190"/>
      <c r="M27" s="981"/>
      <c r="N27" s="669"/>
      <c r="O27" s="380"/>
      <c r="P27" s="371"/>
      <c r="R27" s="380"/>
      <c r="S27" s="371"/>
      <c r="U27" s="380"/>
      <c r="V27" s="116"/>
    </row>
    <row r="28" spans="1:22" x14ac:dyDescent="0.2">
      <c r="A28" s="1242"/>
      <c r="B28" s="1242"/>
      <c r="C28" s="1242"/>
      <c r="D28" s="1243"/>
      <c r="E28" s="1242"/>
      <c r="F28" s="1242"/>
      <c r="G28" s="1243"/>
      <c r="H28" s="1242"/>
      <c r="I28" s="1242"/>
      <c r="J28" s="1243"/>
      <c r="K28" s="1242"/>
      <c r="L28" s="1242"/>
      <c r="M28" s="981"/>
      <c r="N28" s="669"/>
      <c r="O28" s="380"/>
      <c r="P28" s="371"/>
      <c r="R28" s="380"/>
      <c r="S28" s="371"/>
      <c r="U28" s="380"/>
      <c r="V28" s="116"/>
    </row>
    <row customFormat="1" r="29" s="3387" spans="1:22" x14ac:dyDescent="0.2">
      <c r="A29" s="974"/>
      <c r="B29" s="974"/>
      <c r="C29" s="974"/>
      <c r="D29" s="3388"/>
      <c r="E29" s="974"/>
      <c r="F29" s="974"/>
      <c r="G29" s="3388"/>
      <c r="H29" s="974"/>
      <c r="I29" s="974"/>
      <c r="J29" s="3388"/>
      <c r="K29" s="974"/>
      <c r="L29" s="974"/>
      <c r="M29" s="981"/>
      <c r="N29" s="669"/>
      <c r="O29" s="380"/>
      <c r="P29" s="371"/>
      <c r="R29" s="380"/>
      <c r="S29" s="371"/>
      <c r="U29" s="380"/>
      <c r="V29" s="116"/>
    </row>
    <row customFormat="1" r="30" s="3387" spans="1:22" x14ac:dyDescent="0.2">
      <c r="A30" s="974"/>
      <c r="B30" s="974"/>
      <c r="C30" s="974"/>
      <c r="D30" s="3388"/>
      <c r="E30" s="974"/>
      <c r="F30" s="974"/>
      <c r="G30" s="3028" t="s">
        <v>7394</v>
      </c>
      <c r="H30" s="3030"/>
      <c r="I30" s="3061"/>
      <c r="J30" s="3030"/>
      <c r="K30" s="3031"/>
      <c r="L30" s="974"/>
      <c r="M30" s="981"/>
      <c r="N30" s="669"/>
      <c r="O30" s="380"/>
      <c r="P30" s="371"/>
      <c r="R30" s="380"/>
      <c r="S30" s="371"/>
      <c r="U30" s="380"/>
      <c r="V30" s="116"/>
    </row>
    <row r="31" spans="1:22" x14ac:dyDescent="0.2">
      <c r="A31" s="2810"/>
      <c r="B31" s="1200" t="s">
        <v>5315</v>
      </c>
      <c r="M31" s="981"/>
      <c r="O31" s="405"/>
      <c r="R31" s="405"/>
      <c r="U31" s="405"/>
    </row>
    <row r="32" spans="1:22" x14ac:dyDescent="0.2">
      <c r="M32" s="981"/>
      <c r="R32" s="405"/>
    </row>
    <row r="33" spans="1:18" x14ac:dyDescent="0.2">
      <c r="B33" s="1218" t="s">
        <v>5080</v>
      </c>
      <c r="M33" s="981"/>
      <c r="O33" s="405"/>
      <c r="R33" s="405"/>
    </row>
    <row r="34" spans="1:18" x14ac:dyDescent="0.2">
      <c r="A34" s="104" t="s">
        <v>2009</v>
      </c>
      <c r="B34" s="709"/>
      <c r="E34" s="118" t="str">
        <f>"from "&amp;'Taxable (c5)'!BA285</f>
        <v>from c5.84</v>
      </c>
      <c r="H34" s="38" t="str">
        <f>"lower of "&amp;'tax it (c6)'!V96&amp;" and "&amp;D35</f>
        <v>lower of c6.44 and c22.1</v>
      </c>
      <c r="K34" s="410" t="str">
        <f>G35&amp;" x AHR_rate ("&amp;AHR_rate*100&amp;"%)"</f>
        <v>c22.2 x AHR_rate (45%)</v>
      </c>
      <c r="M34" s="981"/>
      <c r="O34" s="405"/>
      <c r="R34" s="405"/>
    </row>
    <row r="35" spans="1:18" x14ac:dyDescent="0.2">
      <c r="A35" s="104" t="s">
        <v>2010</v>
      </c>
      <c r="B35" s="684" t="s">
        <v>5081</v>
      </c>
      <c r="D35" s="738" t="str">
        <f>A34</f>
        <v>c22.1</v>
      </c>
      <c r="E35" s="107">
        <f>'Taxable (c5)'!BB285</f>
        <v>0</v>
      </c>
      <c r="F35" s="118"/>
      <c r="G35" s="738" t="str">
        <f>A35</f>
        <v>c22.2</v>
      </c>
      <c r="H35" s="107">
        <f>MIN('tax it (c6)'!W96,E35)</f>
        <v>0</v>
      </c>
      <c r="I35" s="38"/>
      <c r="J35" s="738" t="str">
        <f>A36</f>
        <v>c22.3</v>
      </c>
      <c r="K35" s="119">
        <f>TRUNC((H35*AHR_rate)+0.0099,2)</f>
        <v>0</v>
      </c>
      <c r="L35" s="929" t="s">
        <v>1707</v>
      </c>
      <c r="M35" s="981"/>
    </row>
    <row r="36" spans="1:18" x14ac:dyDescent="0.2">
      <c r="A36" s="104" t="s">
        <v>2011</v>
      </c>
      <c r="M36" s="981"/>
    </row>
    <row r="37" spans="1:18" x14ac:dyDescent="0.2">
      <c r="A37" s="104" t="s">
        <v>2012</v>
      </c>
      <c r="E37" s="38" t="str">
        <f>D35&amp;" minus "&amp;G35</f>
        <v>c22.1 minus c22.2</v>
      </c>
      <c r="H37" s="38" t="str">
        <f>"lower of "&amp;'tax it (c6)'!V92&amp;" and "&amp;D38</f>
        <v>lower of c6.43 and c22.4</v>
      </c>
      <c r="K37" s="410" t="str">
        <f>G38&amp;" x HR_rate ("&amp;HR_rate*100&amp;"%)"</f>
        <v>c22.5 x HR_rate (40%)</v>
      </c>
      <c r="M37" s="981"/>
    </row>
    <row r="38" spans="1:18" x14ac:dyDescent="0.2">
      <c r="A38" s="104" t="s">
        <v>2013</v>
      </c>
      <c r="D38" s="738" t="str">
        <f>A37</f>
        <v>c22.4</v>
      </c>
      <c r="E38" s="107">
        <f>MAX(0,E35-H35)</f>
        <v>0</v>
      </c>
      <c r="G38" s="738" t="str">
        <f>A38</f>
        <v>c22.5</v>
      </c>
      <c r="H38" s="107">
        <f>MIN('tax it (c6)'!W92,E38)</f>
        <v>0</v>
      </c>
      <c r="J38" s="738" t="str">
        <f>A39</f>
        <v>c22.6</v>
      </c>
      <c r="K38" s="119">
        <f>TRUNC((H38*HR_rate)+0.0099,2)</f>
        <v>0</v>
      </c>
      <c r="L38" s="929" t="s">
        <v>1707</v>
      </c>
    </row>
    <row r="39" spans="1:18" x14ac:dyDescent="0.2">
      <c r="A39" s="104" t="s">
        <v>2014</v>
      </c>
      <c r="B39" s="684"/>
      <c r="L39" s="37"/>
    </row>
    <row r="40" spans="1:18" x14ac:dyDescent="0.2">
      <c r="A40" s="104" t="s">
        <v>2502</v>
      </c>
      <c r="B40" s="684"/>
      <c r="H40" s="38" t="str">
        <f>D38&amp;" minus "&amp;G38</f>
        <v>c22.4 minus c22.5</v>
      </c>
      <c r="K40" s="38" t="str">
        <f>G41&amp;" x BR_rate ("&amp;BR_rate*100&amp;"%)"</f>
        <v>c22.7 x BR_rate (20%)</v>
      </c>
      <c r="L40" s="37"/>
    </row>
    <row r="41" spans="1:18" x14ac:dyDescent="0.2">
      <c r="A41" s="104" t="s">
        <v>3816</v>
      </c>
      <c r="B41" s="684"/>
      <c r="G41" s="738" t="str">
        <f>A40</f>
        <v>c22.7</v>
      </c>
      <c r="H41" s="107">
        <f>MAX(0,E38-H38)</f>
        <v>0</v>
      </c>
      <c r="J41" s="738" t="str">
        <f>A41</f>
        <v>c22.8</v>
      </c>
      <c r="K41" s="119">
        <f>TRUNC((H41*BR_rate)+0.0099,2)</f>
        <v>0</v>
      </c>
      <c r="L41" s="929" t="s">
        <v>1707</v>
      </c>
    </row>
    <row r="42" spans="1:18" x14ac:dyDescent="0.2">
      <c r="A42" s="104" t="s">
        <v>829</v>
      </c>
      <c r="D42" s="121"/>
      <c r="G42" s="121"/>
      <c r="J42" s="121"/>
      <c r="L42" s="37"/>
    </row>
    <row r="43" spans="1:18" x14ac:dyDescent="0.2">
      <c r="A43" s="104" t="s">
        <v>830</v>
      </c>
      <c r="B43" s="1216" t="s">
        <v>5079</v>
      </c>
      <c r="C43" s="128"/>
    </row>
    <row r="44" spans="1:18" x14ac:dyDescent="0.2">
      <c r="A44" s="104" t="s">
        <v>3496</v>
      </c>
      <c r="E44" s="93" t="str">
        <f>"from "&amp;'Taxable (c5)'!BA280</f>
        <v>from c5.83</v>
      </c>
      <c r="J44" s="50"/>
      <c r="K44" s="38" t="str">
        <f>D45&amp;" x BR_rate ("&amp;BR_rate*100&amp;"%)"</f>
        <v>c22.9 x BR_rate (20%)</v>
      </c>
      <c r="L44" s="37"/>
    </row>
    <row r="45" spans="1:18" x14ac:dyDescent="0.2">
      <c r="A45" s="104" t="s">
        <v>2474</v>
      </c>
      <c r="B45" s="684" t="s">
        <v>5082</v>
      </c>
      <c r="D45" s="743" t="str">
        <f>A42</f>
        <v>c22.9</v>
      </c>
      <c r="E45" s="107">
        <f>'Taxable (c5)'!BB280</f>
        <v>0</v>
      </c>
      <c r="J45" s="743" t="str">
        <f>A43</f>
        <v>c22.10</v>
      </c>
      <c r="K45" s="119">
        <f>TRUNC((E45*BR_rate)+0.0099,2)</f>
        <v>0</v>
      </c>
      <c r="L45" s="929" t="s">
        <v>1707</v>
      </c>
    </row>
    <row r="47" spans="1:18" x14ac:dyDescent="0.2">
      <c r="B47" s="1218" t="s">
        <v>3792</v>
      </c>
    </row>
    <row r="48" spans="1:18" x14ac:dyDescent="0.2">
      <c r="B48" s="403"/>
      <c r="K48" s="689" t="str">
        <f>"from TRU"&amp;TRU!O20</f>
        <v>from TRU23</v>
      </c>
    </row>
    <row r="49" spans="1:13" x14ac:dyDescent="0.2">
      <c r="B49" s="709" t="s">
        <v>5078</v>
      </c>
      <c r="J49" s="743" t="str">
        <f>A44</f>
        <v>c22.11</v>
      </c>
      <c r="K49" s="107">
        <f>TRUNC(TRU!P21+0.0099,2)</f>
        <v>0</v>
      </c>
      <c r="L49" s="929" t="s">
        <v>1707</v>
      </c>
    </row>
    <row r="51" spans="1:13" x14ac:dyDescent="0.2">
      <c r="K51" s="93" t="str">
        <f><![CDATA[J35&" + "&J38&" + "&J41&" + "&J45&" + "&J49]]></f>
        <v>c22.3 + c22.6 + c22.8 + c22.10 + c22.11</v>
      </c>
    </row>
    <row r="52" spans="1:13" x14ac:dyDescent="0.2">
      <c r="J52" s="743" t="str">
        <f>A45</f>
        <v>c22.12</v>
      </c>
      <c r="K52" s="119">
        <f>K35+K38+K41+K45+K49</f>
        <v>0</v>
      </c>
      <c r="L52" s="37"/>
    </row>
    <row r="53" spans="1:13" x14ac:dyDescent="0.2">
      <c r="K53" s="93" t="str">
        <f>"Copy to box "&amp;'Tax adj (c9)'!I92</f>
        <v>Copy to box c9.27</v>
      </c>
      <c r="L53" s="37"/>
    </row>
    <row r="54" spans="1:13" x14ac:dyDescent="0.2">
      <c r="B54" s="1029"/>
      <c r="C54" s="1029"/>
      <c r="D54" s="1810"/>
      <c r="E54" s="1029"/>
      <c r="F54" s="1029"/>
      <c r="G54" s="1810"/>
      <c r="H54" s="1029"/>
      <c r="I54" s="1029"/>
      <c r="J54" s="1810"/>
      <c r="K54" s="1029"/>
      <c r="L54" s="1029"/>
    </row>
    <row customFormat="1" r="55" s="3387" spans="1:13" x14ac:dyDescent="0.2">
      <c r="B55" s="37"/>
      <c r="C55" s="37"/>
      <c r="D55" s="50"/>
      <c r="E55" s="37"/>
      <c r="F55" s="37"/>
      <c r="G55" s="50"/>
      <c r="H55" s="37"/>
      <c r="I55" s="37"/>
      <c r="J55" s="50"/>
      <c r="K55" s="37"/>
      <c r="L55" s="37"/>
    </row>
    <row r="56" spans="1:13" x14ac:dyDescent="0.2">
      <c r="G56" s="3028" t="s">
        <v>7394</v>
      </c>
      <c r="H56" s="3030"/>
      <c r="I56" s="3061"/>
      <c r="J56" s="3030"/>
      <c r="K56" s="3031"/>
    </row>
    <row r="57" spans="1:13" x14ac:dyDescent="0.2">
      <c r="A57" s="107" t="s">
        <v>2487</v>
      </c>
      <c r="B57" s="415" t="s">
        <v>7055</v>
      </c>
      <c r="C57" s="37"/>
      <c r="D57" s="37"/>
      <c r="E57" s="37"/>
      <c r="F57" s="37"/>
      <c r="G57" s="37"/>
      <c r="H57" s="37"/>
      <c r="I57" s="37"/>
      <c r="J57" s="37"/>
      <c r="K57" s="37"/>
      <c r="L57" s="37"/>
      <c r="M57" s="981"/>
    </row>
    <row r="58" spans="1:13" x14ac:dyDescent="0.2">
      <c r="A58" s="107" t="s">
        <v>3727</v>
      </c>
      <c r="B58" s="37" t="str">
        <f>"You only need to complete section c23 if you made an entry in box "&amp;AOR&amp;AOR!G11</f>
        <v>You only need to complete section c23 if you made an entry in box AOR9</v>
      </c>
      <c r="C58" s="37"/>
      <c r="D58" s="37"/>
      <c r="E58" s="37"/>
      <c r="F58" s="37"/>
      <c r="G58" s="37"/>
      <c r="H58" s="37"/>
      <c r="I58" s="37"/>
      <c r="J58" s="37"/>
      <c r="K58" s="37"/>
      <c r="L58" s="37"/>
      <c r="M58" s="981"/>
    </row>
    <row r="59" spans="1:13" x14ac:dyDescent="0.2">
      <c r="A59" s="107" t="s">
        <v>3728</v>
      </c>
      <c r="B59" s="37"/>
      <c r="C59" s="37"/>
      <c r="D59" s="50"/>
      <c r="E59" s="37"/>
      <c r="F59" s="37"/>
      <c r="G59" s="50"/>
      <c r="H59" s="37"/>
      <c r="I59" s="37"/>
      <c r="J59" s="50"/>
      <c r="K59" s="37"/>
      <c r="L59" s="37"/>
      <c r="M59" s="981"/>
    </row>
    <row ht="12.75" r="60" spans="1:13" x14ac:dyDescent="0.2">
      <c r="A60" s="107" t="s">
        <v>1564</v>
      </c>
      <c r="B60" s="2141" t="str">
        <f>"If box "&amp;AOR&amp;AOR!G11&amp;" = 0 (zero)"</f>
        <v>If box AOR9 = 0 (zero)</v>
      </c>
      <c r="C60" s="37"/>
      <c r="D60" s="50"/>
      <c r="E60" s="37"/>
      <c r="F60" s="37"/>
      <c r="G60" s="50"/>
      <c r="H60" s="37"/>
      <c r="I60" s="37"/>
      <c r="J60" s="50"/>
      <c r="K60" s="37"/>
      <c r="L60" s="37"/>
      <c r="M60" s="981"/>
    </row>
    <row ht="12.75" r="61" spans="1:13" x14ac:dyDescent="0.2">
      <c r="A61" s="107" t="s">
        <v>1565</v>
      </c>
      <c r="B61" s="2142" t="str">
        <f>D65&amp;" to "&amp;J77&amp;" = 0 (zero)"</f>
        <v>c23.1 to c23.11 = 0 (zero)</v>
      </c>
      <c r="C61" s="37"/>
      <c r="D61" s="50"/>
      <c r="E61" s="37"/>
      <c r="F61" s="37"/>
      <c r="G61" s="50"/>
      <c r="H61" s="37"/>
      <c r="I61" s="37"/>
      <c r="J61" s="50"/>
      <c r="K61" s="37"/>
      <c r="L61" s="37"/>
      <c r="M61" s="981"/>
    </row>
    <row ht="12.75" r="62" spans="1:13" x14ac:dyDescent="0.2">
      <c r="A62" s="107" t="s">
        <v>1566</v>
      </c>
      <c r="B62" s="2141" t="s">
        <v>6227</v>
      </c>
      <c r="C62" s="37"/>
      <c r="D62" s="50"/>
      <c r="E62" s="37"/>
      <c r="F62" s="37"/>
      <c r="G62" s="50"/>
      <c r="H62" s="37"/>
      <c r="I62" s="37"/>
      <c r="J62" s="50"/>
      <c r="K62" s="37"/>
      <c r="L62" s="37"/>
    </row>
    <row r="63" spans="1:13" x14ac:dyDescent="0.2">
      <c r="A63" s="107" t="s">
        <v>1567</v>
      </c>
      <c r="B63" s="37"/>
      <c r="C63" s="37"/>
      <c r="D63" s="50"/>
      <c r="E63" s="37"/>
      <c r="F63" s="37"/>
      <c r="G63" s="50"/>
      <c r="H63" s="37"/>
      <c r="I63" s="37"/>
      <c r="J63" s="50"/>
      <c r="K63" s="37"/>
      <c r="L63" s="37"/>
    </row>
    <row ht="12.75" r="64" spans="1:13" x14ac:dyDescent="0.2">
      <c r="A64" s="107" t="s">
        <v>3497</v>
      </c>
      <c r="B64" s="2141"/>
      <c r="C64" s="37"/>
      <c r="D64" s="50"/>
      <c r="E64" s="128" t="str">
        <f>"from "&amp;'tax it (c6)'!Q96</f>
        <v>from c6.34</v>
      </c>
      <c r="F64" s="37"/>
      <c r="G64" s="50"/>
      <c r="H64" s="37"/>
      <c r="I64" s="37"/>
      <c r="J64" s="50"/>
      <c r="K64" s="37"/>
      <c r="L64" s="37"/>
    </row>
    <row r="65" spans="1:12" x14ac:dyDescent="0.2">
      <c r="A65" s="107" t="s">
        <v>3421</v>
      </c>
      <c r="B65" s="116"/>
      <c r="C65" s="118" t="s">
        <v>1435</v>
      </c>
      <c r="D65" s="2143" t="str">
        <f>A57</f>
        <v>c23.1</v>
      </c>
      <c r="E65" s="2144">
        <f>'tax it (c6)'!R96</f>
        <v>0</v>
      </c>
      <c r="F65" s="37"/>
      <c r="G65" s="50"/>
      <c r="H65" s="37"/>
      <c r="I65" s="37"/>
      <c r="J65" s="50"/>
      <c r="K65" s="37"/>
      <c r="L65" s="37"/>
    </row>
    <row r="66" spans="1:12" x14ac:dyDescent="0.2">
      <c r="A66" s="107" t="s">
        <v>6228</v>
      </c>
      <c r="B66" s="37"/>
      <c r="C66" s="37"/>
      <c r="D66" s="50"/>
      <c r="E66" s="37"/>
      <c r="F66" s="371"/>
      <c r="G66" s="50"/>
      <c r="H66" s="37"/>
      <c r="I66" s="37"/>
      <c r="J66" s="50"/>
      <c r="K66" s="37"/>
      <c r="L66" s="37"/>
    </row>
    <row r="67" spans="1:12" x14ac:dyDescent="0.2">
      <c r="A67" s="107" t="s">
        <v>6229</v>
      </c>
      <c r="B67" s="37"/>
      <c r="C67" s="37"/>
      <c r="D67" s="37"/>
      <c r="E67" s="2129" t="str">
        <f>INC&amp;'INC(1)'!I15&amp;" + "&amp;AOI&amp;AOI!G28</f>
        <v>INC4 + AOI13</v>
      </c>
      <c r="F67" s="37"/>
      <c r="G67" s="380"/>
      <c r="H67" s="128" t="str">
        <f>"lower of "&amp;D65&amp;" and "&amp;D68</f>
        <v>lower of c23.1 and c23.2</v>
      </c>
      <c r="I67" s="37"/>
      <c r="J67" s="380"/>
      <c r="K67" s="128" t="str">
        <f>G68&amp;" x DivAR_rate ("&amp;DivAR_rate*100&amp;"%)"</f>
        <v>c23.3 x DivAR_rate (38.1%)</v>
      </c>
      <c r="L67" s="37"/>
    </row>
    <row r="68" spans="1:12" x14ac:dyDescent="0.2">
      <c r="B68" s="37"/>
      <c r="C68" s="37"/>
      <c r="D68" s="2143" t="str">
        <f>A58</f>
        <v>c23.2</v>
      </c>
      <c r="E68" s="2144">
        <f>TRUNC('INC(1)'!J16+AOI!H29+0.99,0)</f>
        <v>0</v>
      </c>
      <c r="F68" s="2145" t="s">
        <v>3701</v>
      </c>
      <c r="G68" s="2143" t="str">
        <f>A59</f>
        <v>c23.3</v>
      </c>
      <c r="H68" s="2144">
        <f>MIN(E65,E68)</f>
        <v>0</v>
      </c>
      <c r="I68" s="37"/>
      <c r="J68" s="2143" t="str">
        <f>A60</f>
        <v>c23.4</v>
      </c>
      <c r="K68" s="2146">
        <f>TRUNC(H68*(DivAR_rate)+0.0099,2)</f>
        <v>0</v>
      </c>
      <c r="L68" s="993" t="s">
        <v>1707</v>
      </c>
    </row>
    <row r="69" spans="1:12" x14ac:dyDescent="0.2">
      <c r="B69" s="37"/>
      <c r="C69" s="37"/>
      <c r="D69" s="37"/>
      <c r="E69" s="37"/>
      <c r="F69" s="37"/>
      <c r="G69" s="50"/>
      <c r="H69" s="37"/>
      <c r="I69" s="37"/>
      <c r="J69" s="50"/>
      <c r="K69" s="37"/>
      <c r="L69" s="37"/>
    </row>
    <row r="70" spans="1:12" x14ac:dyDescent="0.2">
      <c r="B70" s="37"/>
      <c r="C70" s="37"/>
      <c r="D70" s="50"/>
      <c r="E70" s="128" t="str">
        <f>"from "&amp;'tax it (c6)'!Q92</f>
        <v>from c6.33</v>
      </c>
      <c r="F70" s="37"/>
      <c r="G70" s="50"/>
      <c r="H70" s="37"/>
      <c r="I70" s="37"/>
      <c r="J70" s="50"/>
      <c r="K70" s="37"/>
      <c r="L70" s="37"/>
    </row>
    <row r="71" spans="1:12" x14ac:dyDescent="0.2">
      <c r="B71" s="37"/>
      <c r="C71" s="118" t="s">
        <v>1794</v>
      </c>
      <c r="D71" s="2143" t="str">
        <f>A61</f>
        <v>c23.5</v>
      </c>
      <c r="E71" s="2144">
        <f>'tax it (c6)'!R92</f>
        <v>10750</v>
      </c>
      <c r="F71" s="37"/>
      <c r="G71" s="50"/>
      <c r="H71" s="37"/>
      <c r="I71" s="37"/>
      <c r="J71" s="50"/>
      <c r="K71" s="37"/>
      <c r="L71" s="37"/>
    </row>
    <row r="72" spans="1:12" x14ac:dyDescent="0.2">
      <c r="B72" s="37"/>
      <c r="C72" s="371"/>
      <c r="D72" s="50"/>
      <c r="E72" s="37"/>
      <c r="F72" s="37"/>
      <c r="G72" s="50"/>
      <c r="H72" s="37"/>
      <c r="I72" s="37"/>
      <c r="J72" s="50"/>
      <c r="K72" s="37"/>
      <c r="L72" s="37"/>
    </row>
    <row r="73" spans="1:12" x14ac:dyDescent="0.2">
      <c r="B73" s="37"/>
      <c r="C73" s="37"/>
      <c r="D73" s="50"/>
      <c r="E73" s="38" t="str">
        <f>D68&amp;" minus "&amp;G68</f>
        <v>c23.2 minus c23.3</v>
      </c>
      <c r="F73" s="37"/>
      <c r="G73" s="50"/>
      <c r="H73" s="128" t="str">
        <f>"lower of "&amp;D71&amp;" and "&amp;D74</f>
        <v>lower of c23.5 and c23.6</v>
      </c>
      <c r="I73" s="37"/>
      <c r="J73" s="50"/>
      <c r="K73" s="128" t="str">
        <f>G74&amp;" x DivHR_rate ("&amp;DivHR_rate*100&amp;"%)"</f>
        <v>c23.7 x DivHR_rate (32.5%)</v>
      </c>
      <c r="L73" s="37"/>
    </row>
    <row r="74" spans="1:12" x14ac:dyDescent="0.2">
      <c r="B74" s="37"/>
      <c r="C74" s="37"/>
      <c r="D74" s="2143" t="str">
        <f>A62</f>
        <v>c23.6</v>
      </c>
      <c r="E74" s="2144">
        <f>MAX(0,E68-H68)</f>
        <v>0</v>
      </c>
      <c r="F74" s="37"/>
      <c r="G74" s="2143" t="str">
        <f>A63</f>
        <v>c23.7</v>
      </c>
      <c r="H74" s="2144">
        <f>MIN(E71,E74)</f>
        <v>0</v>
      </c>
      <c r="I74" s="37"/>
      <c r="J74" s="2143" t="str">
        <f>A64</f>
        <v>c23.8</v>
      </c>
      <c r="K74" s="2146">
        <f>TRUNC(H74*(DivHR_rate)+0.0099,2)</f>
        <v>0</v>
      </c>
      <c r="L74" s="993" t="s">
        <v>2694</v>
      </c>
    </row>
    <row r="75" spans="1:12" x14ac:dyDescent="0.2">
      <c r="B75" s="37"/>
      <c r="C75" s="37"/>
      <c r="D75" s="50"/>
      <c r="E75" s="37"/>
      <c r="F75" s="371"/>
      <c r="G75" s="50"/>
      <c r="H75" s="371"/>
      <c r="I75" s="371"/>
      <c r="J75" s="380"/>
      <c r="K75" s="37"/>
      <c r="L75" s="993"/>
    </row>
    <row r="76" spans="1:12" x14ac:dyDescent="0.2">
      <c r="B76" s="37"/>
      <c r="C76" s="37"/>
      <c r="D76" s="380"/>
      <c r="E76" s="2129" t="str">
        <f>"from "&amp;AOR&amp;AOR!G11</f>
        <v>from AOR9</v>
      </c>
      <c r="F76" s="37"/>
      <c r="G76" s="50"/>
      <c r="H76" s="38" t="str">
        <f>J68&amp;" + "&amp;J74</f>
        <v>c23.4 + c23.8</v>
      </c>
      <c r="I76" s="37"/>
      <c r="J76" s="50"/>
      <c r="K76" s="128" t="str">
        <f>"lower of "&amp;D77&amp;" and "&amp;G77</f>
        <v>lower of c23.9 and c23.10</v>
      </c>
      <c r="L76" s="37"/>
    </row>
    <row r="77" spans="1:12" x14ac:dyDescent="0.2">
      <c r="B77" s="371"/>
      <c r="C77" s="37"/>
      <c r="D77" s="2143" t="str">
        <f>A65</f>
        <v>c23.9</v>
      </c>
      <c r="E77" s="2146">
        <f>AOR!H12</f>
        <v>0</v>
      </c>
      <c r="F77" s="37"/>
      <c r="G77" s="2143" t="str">
        <f>A66</f>
        <v>c23.10</v>
      </c>
      <c r="H77" s="2144">
        <f>K68+K74</f>
        <v>0</v>
      </c>
      <c r="I77" s="371"/>
      <c r="J77" s="2143" t="str">
        <f>A67</f>
        <v>c23.11</v>
      </c>
      <c r="K77" s="2146">
        <f>MIN(E77,H77)</f>
        <v>0</v>
      </c>
      <c r="L77" s="37"/>
    </row>
    <row r="78" spans="1:12" x14ac:dyDescent="0.2">
      <c r="B78" s="37"/>
      <c r="C78" s="37"/>
      <c r="D78" s="50"/>
      <c r="E78" s="37"/>
      <c r="F78" s="37"/>
      <c r="G78" s="50"/>
      <c r="H78" s="37"/>
      <c r="I78" s="37"/>
      <c r="J78" s="50"/>
      <c r="K78" s="38" t="str">
        <f>"Copy to box "&amp;'Tax adj (c9)'!L98</f>
        <v>Copy to box c9.29</v>
      </c>
      <c r="L78" s="37"/>
    </row>
    <row ht="12.75" r="79" spans="1:12" x14ac:dyDescent="0.2">
      <c r="B79" s="2141" t="s">
        <v>2495</v>
      </c>
      <c r="C79" s="37"/>
      <c r="D79" s="50"/>
      <c r="E79" s="37"/>
      <c r="F79" s="37"/>
      <c r="G79" s="50"/>
      <c r="H79" s="37"/>
      <c r="I79" s="37"/>
      <c r="J79" s="50"/>
      <c r="K79" s="37"/>
      <c r="L79" s="37"/>
    </row>
    <row r="80" spans="1:12" x14ac:dyDescent="0.2">
      <c r="B80" s="1029"/>
      <c r="C80" s="1029"/>
      <c r="D80" s="1810"/>
      <c r="E80" s="1029"/>
      <c r="F80" s="1029"/>
      <c r="G80" s="1810"/>
      <c r="H80" s="1029"/>
      <c r="I80" s="1029"/>
      <c r="J80" s="1810"/>
      <c r="K80" s="1029"/>
      <c r="L80" s="1029"/>
    </row>
    <row r="81" spans="4:10" x14ac:dyDescent="0.2">
      <c r="D81" s="121"/>
      <c r="G81" s="121"/>
      <c r="J81" s="121"/>
    </row>
    <row r="82" spans="4:10" x14ac:dyDescent="0.2">
      <c r="D82" s="121"/>
      <c r="G82" s="121"/>
      <c r="J82" s="121"/>
    </row>
    <row r="83" spans="4:10" x14ac:dyDescent="0.2">
      <c r="D83" s="121"/>
      <c r="G83" s="121"/>
      <c r="J83" s="121"/>
    </row>
    <row r="84" spans="4:10" x14ac:dyDescent="0.2">
      <c r="D84" s="121"/>
      <c r="G84" s="121"/>
      <c r="J84" s="121"/>
    </row>
    <row r="85" spans="4:10" x14ac:dyDescent="0.2">
      <c r="D85" s="121"/>
      <c r="G85" s="121"/>
      <c r="J85" s="121"/>
    </row>
    <row r="86" spans="4:10" x14ac:dyDescent="0.2">
      <c r="D86" s="121"/>
      <c r="G86" s="121"/>
      <c r="J86" s="121"/>
    </row>
    <row r="87" spans="4:10" x14ac:dyDescent="0.2">
      <c r="D87" s="121"/>
      <c r="G87" s="121"/>
      <c r="J87" s="121"/>
    </row>
  </sheetData>
  <phoneticPr fontId="67" type="noConversion"/>
  <pageMargins bottom="0.19685039370078741" footer="0" header="0" left="0.19685039370078741" right="0.19685039370078741" top="0.19685039370078741"/>
  <pageSetup orientation="portrait" paperSize="9" r:id="rId1"/>
  <headerFooter alignWithMargins="0"/>
</worksheet>
</file>

<file path=xl/worksheets/sheet82.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100-000000000000}">
  <sheetPr codeName="Sheet87"/>
  <dimension ref="A1:Q82"/>
  <sheetViews>
    <sheetView showGridLines="0" topLeftCell="B49" workbookViewId="0">
      <selection activeCell="E58" sqref="E58"/>
    </sheetView>
  </sheetViews>
  <sheetFormatPr defaultColWidth="9.140625" defaultRowHeight="12" x14ac:dyDescent="0.2"/>
  <cols>
    <col min="1" max="1" customWidth="true" hidden="true" style="2982" width="6.5703125" collapsed="true"/>
    <col min="2" max="2" customWidth="true" style="2982" width="1.7109375" collapsed="true"/>
    <col min="3" max="3" customWidth="true" style="2982" width="32.28515625" collapsed="true"/>
    <col min="4" max="4" customWidth="true" style="2982" width="6.7109375" collapsed="true"/>
    <col min="5" max="5" customWidth="true" style="2982" width="8.28515625" collapsed="true"/>
    <col min="6" max="6" customWidth="true" style="2982" width="13.28515625" collapsed="true"/>
    <col min="7" max="7" customWidth="true" style="2982" width="18.28515625" collapsed="true"/>
    <col min="8" max="8" customWidth="true" style="2982" width="6.140625" collapsed="true"/>
    <col min="9" max="9" customWidth="true" style="2982" width="13.28515625" collapsed="true"/>
    <col min="10" max="10" customWidth="true" style="2982" width="18.28515625" collapsed="true"/>
    <col min="11" max="11" customWidth="true" style="2982" width="6.7109375" collapsed="true"/>
    <col min="12" max="12" customWidth="true" style="2982" width="13.28515625" collapsed="true"/>
    <col min="13" max="13" customWidth="true" style="2982" width="28.85546875" collapsed="true"/>
    <col min="14" max="16384" style="2982" width="9.140625" collapsed="true"/>
  </cols>
  <sheetData>
    <row ht="18" r="1" spans="1:12" x14ac:dyDescent="0.25">
      <c r="A1" s="107" t="s">
        <v>6238</v>
      </c>
      <c r="B1" s="2726" t="s">
        <v>6248</v>
      </c>
      <c r="E1" s="405"/>
      <c r="H1" s="405"/>
      <c r="K1" s="405"/>
    </row>
    <row r="2" spans="1:12" x14ac:dyDescent="0.2">
      <c r="A2" s="107" t="s">
        <v>6239</v>
      </c>
      <c r="E2" s="3035" t="s">
        <v>7395</v>
      </c>
      <c r="F2" s="3030"/>
      <c r="G2" s="3030"/>
      <c r="H2" s="3030"/>
      <c r="I2" s="3030"/>
      <c r="J2" s="3030"/>
      <c r="K2" s="3031"/>
    </row>
    <row r="3" spans="1:12" x14ac:dyDescent="0.2">
      <c r="A3" s="107" t="s">
        <v>6240</v>
      </c>
      <c r="K3" s="405"/>
    </row>
    <row r="4" spans="1:12" x14ac:dyDescent="0.2">
      <c r="A4" s="107" t="s">
        <v>6544</v>
      </c>
      <c r="B4" s="2982" t="str">
        <f><![CDATA["If "&PRO&PRO!G39&" + "&PRO&PRO!G42&" + "&TRU&TRU!K32&" + "&TRU&TRU!O35&" + "&FOR&FOR!C38&" + "&FOR&FOR!G38&" + total all instances ("&FPS&PS!J22&" + "&FPS&PS!M22&" + "&FPS&PS!J34&" + "&FPS&PS!M34&" + "&FOR&FOR!O5&" + "&FOR&FOR!O8&") = 0 (zero)"]]></f>
        <v>If PRO44 + PRO45 + TRU25 + TRU25.1 + FOR13.1 + FOR13.2 + total all instances (FPS41.1 + FPS41.2 + FPS63.1 + FPS63.2 + FOR24.1 + FOR24.2) = 0 (zero)</v>
      </c>
      <c r="H4" s="405"/>
      <c r="K4" s="405"/>
    </row>
    <row r="5" spans="1:12" x14ac:dyDescent="0.2">
      <c r="A5" s="107" t="s">
        <v>6241</v>
      </c>
      <c r="B5" s="2982" t="str">
        <f>"set "&amp;E11&amp;" to "&amp;K80&amp;" to zero"</f>
        <v>set c24.1 to c24.17 to zero</v>
      </c>
      <c r="H5" s="405"/>
      <c r="K5" s="405"/>
    </row>
    <row r="6" spans="1:12" x14ac:dyDescent="0.2">
      <c r="A6" s="107" t="s">
        <v>6545</v>
      </c>
      <c r="B6" s="2982" t="s">
        <v>2386</v>
      </c>
      <c r="H6" s="405"/>
      <c r="K6" s="405"/>
    </row>
    <row r="7" spans="1:12" x14ac:dyDescent="0.2">
      <c r="A7" s="107" t="s">
        <v>6242</v>
      </c>
      <c r="E7" s="405"/>
      <c r="H7" s="405"/>
      <c r="K7" s="405"/>
    </row>
    <row r="8" spans="1:12" x14ac:dyDescent="0.2">
      <c r="A8" s="107" t="s">
        <v>6243</v>
      </c>
      <c r="E8" s="405"/>
      <c r="H8" s="405"/>
      <c r="K8" s="405"/>
    </row>
    <row r="9" spans="1:12" x14ac:dyDescent="0.2">
      <c r="A9" s="107" t="s">
        <v>6244</v>
      </c>
      <c r="B9" s="687" t="s">
        <v>4409</v>
      </c>
      <c r="E9" s="405"/>
      <c r="H9" s="405"/>
      <c r="K9" s="405"/>
    </row>
    <row r="10" spans="1:12" x14ac:dyDescent="0.2">
      <c r="A10" s="107" t="s">
        <v>6245</v>
      </c>
      <c r="E10" s="380"/>
      <c r="F10" s="2129" t="str">
        <f>PRO&amp;PRO!G39&amp;" + "&amp;PRO&amp;PRO!G42</f>
        <v>PRO44 + PRO45</v>
      </c>
      <c r="H10" s="405"/>
      <c r="K10" s="405"/>
    </row>
    <row r="11" spans="1:12" x14ac:dyDescent="0.2">
      <c r="A11" s="107" t="s">
        <v>6246</v>
      </c>
      <c r="C11" s="2982" t="s">
        <v>6271</v>
      </c>
      <c r="E11" s="2143" t="str">
        <f>A1</f>
        <v>c24.1</v>
      </c>
      <c r="F11" s="2144">
        <f>TRUNC((PRO!H40+PRO!H43)+0.99,0)</f>
        <v>0</v>
      </c>
      <c r="G11" s="2145" t="s">
        <v>3701</v>
      </c>
    </row>
    <row r="12" spans="1:12" x14ac:dyDescent="0.2">
      <c r="A12" s="107" t="s">
        <v>6256</v>
      </c>
      <c r="E12" s="405"/>
    </row>
    <row r="13" spans="1:12" x14ac:dyDescent="0.2">
      <c r="A13" s="107" t="s">
        <v>6257</v>
      </c>
      <c r="E13" s="405"/>
      <c r="I13" s="93" t="str">
        <f>"from "&amp;'NS income (c1)'!E90</f>
        <v>from c1.32</v>
      </c>
    </row>
    <row r="14" spans="1:12" x14ac:dyDescent="0.2">
      <c r="A14" s="107" t="s">
        <v>6258</v>
      </c>
      <c r="C14" s="2982" t="str">
        <f>"Adjusted profit ("&amp;PRO&amp;PRO!G33&amp;")"</f>
        <v>Adjusted profit (PRO40)</v>
      </c>
      <c r="E14" s="405"/>
      <c r="H14" s="2143" t="str">
        <f>A2</f>
        <v>c24.2</v>
      </c>
      <c r="I14" s="2144">
        <f>'NS income (c1)'!F90</f>
        <v>0</v>
      </c>
      <c r="J14" s="2145"/>
    </row>
    <row r="15" spans="1:12" x14ac:dyDescent="0.2">
      <c r="A15" s="107" t="s">
        <v>6259</v>
      </c>
      <c r="E15" s="405"/>
    </row>
    <row r="16" spans="1:12" x14ac:dyDescent="0.2">
      <c r="A16" s="107" t="s">
        <v>6260</v>
      </c>
      <c r="E16" s="405"/>
      <c r="L16" s="93" t="str">
        <f>"lower of "&amp;E11&amp;" and "&amp;H14</f>
        <v>lower of c24.1 and c24.2</v>
      </c>
    </row>
    <row r="17" spans="1:16" x14ac:dyDescent="0.2">
      <c r="A17" s="107" t="s">
        <v>6261</v>
      </c>
      <c r="C17" s="2982" t="s">
        <v>6272</v>
      </c>
      <c r="E17" s="405"/>
      <c r="K17" s="2143" t="str">
        <f>A3</f>
        <v>c24.3</v>
      </c>
      <c r="L17" s="2144">
        <f>MIN(F11,I14)</f>
        <v>0</v>
      </c>
    </row>
    <row r="18" spans="1:16" x14ac:dyDescent="0.2">
      <c r="A18" s="107" t="s">
        <v>6546</v>
      </c>
    </row>
    <row r="19" spans="1:16" x14ac:dyDescent="0.2">
      <c r="A19" s="107" t="s">
        <v>6262</v>
      </c>
      <c r="B19" s="687" t="s">
        <v>6253</v>
      </c>
      <c r="L19" s="93"/>
    </row>
    <row r="20" spans="1:16" x14ac:dyDescent="0.2">
      <c r="A20" s="107" t="s">
        <v>6263</v>
      </c>
      <c r="D20" s="2129"/>
      <c r="E20" s="2129"/>
      <c r="F20" s="2129" t="str">
        <f><![CDATA["sum of ("&FPS&PS!J22&" + "&FPS&PS!M22&" for all instances)"]]></f>
        <v>sum of (FPS41.1 + FPS41.2 for all instances)</v>
      </c>
      <c r="G20" s="37"/>
      <c r="H20" s="37"/>
      <c r="I20" s="37"/>
    </row>
    <row r="21" spans="1:16" x14ac:dyDescent="0.2">
      <c r="C21" s="2982" t="s">
        <v>6271</v>
      </c>
      <c r="E21" s="2143" t="str">
        <f>A4</f>
        <v>c24.3a</v>
      </c>
      <c r="F21" s="2144">
        <f>TRUNC((PS!K23+PS!N23)+0.99,0)</f>
        <v>0</v>
      </c>
      <c r="G21" s="2145" t="s">
        <v>4449</v>
      </c>
      <c r="H21" s="37"/>
      <c r="I21" s="37"/>
      <c r="O21" s="806"/>
    </row>
    <row r="22" spans="1:16" x14ac:dyDescent="0.2">
      <c r="E22" s="37"/>
      <c r="F22" s="2129"/>
      <c r="G22" s="37"/>
      <c r="H22" s="37"/>
      <c r="I22" s="37"/>
    </row>
    <row r="23" spans="1:16" x14ac:dyDescent="0.2">
      <c r="C23" s="2982" t="str">
        <f><![CDATA["Calculate for each page the lower of "&FPS&PS!G22&" and ("&FPS&PS!J22&" + "&FPS&PS!M22&"), store the result and add together"]]></f>
        <v>Calculate for each page the lower of FPS41 and (FPS41.1 + FPS41.2), store the result and add together</v>
      </c>
      <c r="K23" s="93"/>
      <c r="L23" s="93"/>
      <c r="P23" s="2131"/>
    </row>
    <row r="24" spans="1:16" x14ac:dyDescent="0.2">
      <c r="E24" s="50"/>
      <c r="F24" s="37"/>
      <c r="G24" s="37"/>
      <c r="H24" s="37"/>
      <c r="I24" s="37"/>
      <c r="L24" s="93" t="str">
        <f><![CDATA["sum of the (lower of "&FPS&PS!G22&" and ("&FPS&PS!J22&" + "&FPS&PS!M22&")"]]></f>
        <v>sum of the (lower of FPS41 and (FPS41.1 + FPS41.2)</v>
      </c>
    </row>
    <row r="25" spans="1:16" x14ac:dyDescent="0.2">
      <c r="L25" s="93" t="str">
        <f>"for each instance)"</f>
        <v>for each instance)</v>
      </c>
    </row>
    <row r="26" spans="1:16" x14ac:dyDescent="0.2">
      <c r="A26" s="2982" t="s">
        <v>2234</v>
      </c>
      <c r="C26" s="2982" t="s">
        <v>6272</v>
      </c>
      <c r="E26" s="405"/>
      <c r="K26" s="2143" t="str">
        <f>A5</f>
        <v>c24.4</v>
      </c>
      <c r="L26" s="2144">
        <f>IF(PS!N26&gt;0,TRUNC(PS!N26+0.99,0),IF(AND(PS!K23="",PS!N23=""),0,TRUNC(MIN(A27,(PS!K23+PS!N23))+0.99,0)))</f>
        <v>0</v>
      </c>
      <c r="M26" s="2145" t="s">
        <v>4449</v>
      </c>
    </row>
    <row r="27" spans="1:16" x14ac:dyDescent="0.2">
      <c r="A27" s="3390">
        <f>PS!H23</f>
        <v>0</v>
      </c>
    </row>
    <row r="28" spans="1:16" x14ac:dyDescent="0.2">
      <c r="A28" s="2982" t="s">
        <v>705</v>
      </c>
      <c r="B28" s="687" t="s">
        <v>6273</v>
      </c>
      <c r="L28" s="93"/>
    </row>
    <row r="29" spans="1:16" x14ac:dyDescent="0.2">
      <c r="A29" s="3390">
        <f>PS!H35</f>
        <v>0</v>
      </c>
      <c r="B29" s="687"/>
      <c r="D29" s="2129"/>
      <c r="E29" s="2129"/>
      <c r="F29" s="2129" t="str">
        <f><![CDATA["sum of ("&FPS&PS!J34&" + "&FPS&PS!M34&" for all instances )"]]></f>
        <v>sum of (FPS63.1 + FPS63.2 for all instances )</v>
      </c>
      <c r="L29" s="93"/>
    </row>
    <row r="30" spans="1:16" x14ac:dyDescent="0.2">
      <c r="B30" s="687"/>
      <c r="C30" s="2982" t="s">
        <v>6271</v>
      </c>
      <c r="E30" s="2143" t="str">
        <f>A6</f>
        <v>c24.4a</v>
      </c>
      <c r="F30" s="2144">
        <f>TRUNC((PS!K35+PS!N35)+0.99,0)</f>
        <v>0</v>
      </c>
      <c r="G30" s="2145" t="s">
        <v>4449</v>
      </c>
      <c r="L30" s="93"/>
    </row>
    <row r="31" spans="1:16" x14ac:dyDescent="0.2">
      <c r="B31" s="687"/>
      <c r="E31" s="37"/>
      <c r="F31" s="2129"/>
      <c r="L31" s="93"/>
    </row>
    <row r="32" spans="1:16" x14ac:dyDescent="0.2">
      <c r="B32" s="37"/>
      <c r="C32" s="2982" t="str">
        <f><![CDATA["Calculate for each page the lower of "&FPS&PS!G34&" and ("&FPS&PS!J34&" + "&FPS&PS!M34&"), store the result and add together"]]></f>
        <v>Calculate for each page the lower of FPS60 and (FPS63.1 + FPS63.2), store the result and add together</v>
      </c>
      <c r="H32" s="37"/>
      <c r="I32" s="37"/>
      <c r="L32" s="93" t="str">
        <f><![CDATA["sum of the (lower of "&FPS&PS!G34&" and ("&FPS&PS!J34&" + "&FPS&PS!M34&")"]]></f>
        <v>sum of the (lower of FPS60 and (FPS63.1 + FPS63.2)</v>
      </c>
    </row>
    <row r="33" spans="2:13" x14ac:dyDescent="0.2">
      <c r="B33" s="37"/>
      <c r="C33" s="37"/>
      <c r="D33" s="37"/>
      <c r="E33" s="50"/>
      <c r="F33" s="37"/>
      <c r="G33" s="37"/>
      <c r="H33" s="37"/>
      <c r="I33" s="37"/>
      <c r="L33" s="93" t="str">
        <f>"for each instance)"</f>
        <v>for each instance)</v>
      </c>
    </row>
    <row r="34" spans="2:13" x14ac:dyDescent="0.2">
      <c r="B34" s="37"/>
      <c r="C34" s="2982" t="s">
        <v>6272</v>
      </c>
      <c r="E34" s="405"/>
      <c r="K34" s="2143" t="str">
        <f>A7</f>
        <v>c24.5</v>
      </c>
      <c r="L34" s="2144">
        <f>IF(PS!N38&gt;0,TRUNC(PS!N38+0.99,0),IF(AND(PS!K35="",PS!N35=""),0,TRUNC(MIN(A29,(PS!K35+PS!N35))+0.99,0)))</f>
        <v>0</v>
      </c>
      <c r="M34" s="2145" t="s">
        <v>4449</v>
      </c>
    </row>
    <row r="35" spans="2:13" x14ac:dyDescent="0.2">
      <c r="B35" s="37"/>
      <c r="C35" s="37"/>
      <c r="D35" s="37"/>
      <c r="E35" s="50"/>
      <c r="F35" s="37"/>
      <c r="G35" s="37"/>
      <c r="H35" s="37"/>
      <c r="I35" s="2129"/>
    </row>
    <row r="36" spans="2:13" x14ac:dyDescent="0.2">
      <c r="B36" s="37"/>
      <c r="C36" s="37"/>
      <c r="D36" s="37"/>
      <c r="E36" s="50"/>
      <c r="F36" s="37"/>
      <c r="G36" s="37"/>
      <c r="H36" s="2147"/>
      <c r="I36" s="371"/>
    </row>
    <row r="37" spans="2:13" x14ac:dyDescent="0.2">
      <c r="B37" s="687" t="s">
        <v>4337</v>
      </c>
    </row>
    <row r="38" spans="2:13" x14ac:dyDescent="0.2">
      <c r="D38" s="2129"/>
      <c r="E38" s="2129"/>
      <c r="F38" s="2129" t="str">
        <f><![CDATA["sum of ("&FOR&FOR!O5&" + "&FOR&FOR!O8&" for all instances )"]]></f>
        <v>sum of (FOR24.1 + FOR24.2 for all instances )</v>
      </c>
    </row>
    <row r="39" spans="2:13" x14ac:dyDescent="0.2">
      <c r="C39" s="2982" t="s">
        <v>6271</v>
      </c>
      <c r="E39" s="2143" t="str">
        <f>A8</f>
        <v>c24.6</v>
      </c>
      <c r="F39" s="2144">
        <f>TRUNC((FOR!P6+FOR!P9)+0.99,0)</f>
        <v>0</v>
      </c>
      <c r="G39" s="2145" t="s">
        <v>6548</v>
      </c>
    </row>
    <row r="41" spans="2:13" x14ac:dyDescent="0.2">
      <c r="E41" s="405"/>
      <c r="G41" s="2129"/>
      <c r="H41" s="2129"/>
      <c r="I41" s="2129" t="str">
        <f>"from "&amp;FOR&amp;FOR!O11</f>
        <v>from FOR27</v>
      </c>
    </row>
    <row r="42" spans="2:13" x14ac:dyDescent="0.2">
      <c r="C42" s="2982" t="s">
        <v>5607</v>
      </c>
      <c r="E42" s="405"/>
      <c r="H42" s="2143" t="str">
        <f>A9</f>
        <v>c24.7</v>
      </c>
      <c r="I42" s="2144">
        <f>MAX(0,TRUNC(FOR!P12+0.99,0))</f>
        <v>0</v>
      </c>
      <c r="J42" s="2145" t="s">
        <v>7420</v>
      </c>
    </row>
    <row r="43" spans="2:13" x14ac:dyDescent="0.2">
      <c r="E43" s="405"/>
    </row>
    <row r="44" spans="2:13" x14ac:dyDescent="0.2">
      <c r="E44" s="405"/>
      <c r="L44" s="93" t="str">
        <f>"lower of "&amp;E39&amp;" and "&amp;H42</f>
        <v>lower of c24.6 and c24.7</v>
      </c>
    </row>
    <row r="45" spans="2:13" x14ac:dyDescent="0.2">
      <c r="C45" s="2982" t="s">
        <v>6272</v>
      </c>
      <c r="E45" s="405"/>
      <c r="K45" s="2143" t="str">
        <f>A10</f>
        <v>c24.8</v>
      </c>
      <c r="L45" s="2144">
        <f>MIN(F39,I42)</f>
        <v>0</v>
      </c>
    </row>
    <row r="48" spans="2:13" x14ac:dyDescent="0.2">
      <c r="B48" s="687" t="s">
        <v>6443</v>
      </c>
    </row>
    <row r="49" spans="2:13" x14ac:dyDescent="0.2">
      <c r="L49" s="2129" t="str">
        <f>FOR&amp;FOR!C38&amp;" + "&amp;FOR&amp;FOR!G38</f>
        <v>FOR13.1 + FOR13.2</v>
      </c>
    </row>
    <row r="50" spans="2:13" x14ac:dyDescent="0.2">
      <c r="C50" s="2982" t="s">
        <v>6272</v>
      </c>
      <c r="K50" s="2143" t="str">
        <f>A11</f>
        <v>c24.9</v>
      </c>
      <c r="L50" s="2144">
        <f>TRUNC((FOR!D39+FOR!H39)+0.99,0)</f>
        <v>0</v>
      </c>
      <c r="M50" s="2145" t="s">
        <v>3701</v>
      </c>
    </row>
    <row r="52" spans="2:13" x14ac:dyDescent="0.2">
      <c r="B52" s="687" t="s">
        <v>6274</v>
      </c>
    </row>
    <row r="53" spans="2:13" x14ac:dyDescent="0.2">
      <c r="E53" s="405"/>
      <c r="L53" s="2129" t="str">
        <f>TRU&amp;TRU!K32&amp;" + "&amp;TRU&amp;TRU!O35</f>
        <v>TRU25 + TRU25.1</v>
      </c>
    </row>
    <row r="54" spans="2:13" x14ac:dyDescent="0.2">
      <c r="C54" s="2982" t="s">
        <v>6272</v>
      </c>
      <c r="E54" s="405"/>
      <c r="K54" s="2143" t="str">
        <f>A12</f>
        <v>c24.10</v>
      </c>
      <c r="L54" s="2144">
        <f>TRUNC((TRU!L33+TRU!P36)+0.99,0)</f>
        <v>0</v>
      </c>
      <c r="M54" s="2145" t="s">
        <v>3701</v>
      </c>
    </row>
    <row r="58" spans="2:13" x14ac:dyDescent="0.2">
      <c r="I58" s="93" t="str">
        <f>"from "&amp;'Deductions (c4)'!H191</f>
        <v>from c4.55</v>
      </c>
    </row>
    <row r="59" spans="2:13" x14ac:dyDescent="0.2">
      <c r="C59" s="2982" t="s">
        <v>6255</v>
      </c>
      <c r="H59" s="2143" t="str">
        <f>A13</f>
        <v>c24.11</v>
      </c>
      <c r="I59" s="2144">
        <f>'Deductions (c4)'!I191</f>
        <v>62672</v>
      </c>
      <c r="L59" s="375"/>
    </row>
    <row r="61" spans="2:13" x14ac:dyDescent="0.2">
      <c r="I61" s="93" t="str">
        <f>"from "&amp;'Savings (c2)'!H77</f>
        <v>from c2.19</v>
      </c>
    </row>
    <row r="62" spans="2:13" x14ac:dyDescent="0.2">
      <c r="C62" s="2982" t="s">
        <v>3650</v>
      </c>
      <c r="H62" s="2143" t="str">
        <f>A14</f>
        <v>c24.12</v>
      </c>
      <c r="I62" s="2144">
        <f>'Savings (c2)'!I77</f>
        <v>3678</v>
      </c>
    </row>
    <row r="64" spans="2:13" x14ac:dyDescent="0.2">
      <c r="I64" s="93" t="str">
        <f>"from "&amp;'Divs (c3)'!G47</f>
        <v>from c3.15</v>
      </c>
    </row>
    <row r="65" spans="3:12" x14ac:dyDescent="0.2">
      <c r="C65" s="2982" t="s">
        <v>3651</v>
      </c>
      <c r="H65" s="2143" t="str">
        <f>A15</f>
        <v>c24.13</v>
      </c>
      <c r="I65" s="2144">
        <f>'Divs (c3)'!H47</f>
        <v>12750</v>
      </c>
    </row>
    <row r="67" spans="3:12" x14ac:dyDescent="0.2">
      <c r="I67" s="93" t="str">
        <f>'Deductions (c4)'!L252&amp;" minus "&amp;'Deductions (c4)'!H276</f>
        <v>c4.67 minus c4.68</v>
      </c>
    </row>
    <row r="68" spans="3:12" x14ac:dyDescent="0.2">
      <c r="C68" s="2982" t="s">
        <v>605</v>
      </c>
      <c r="H68" s="2143" t="str">
        <f>A16</f>
        <v>c24.14</v>
      </c>
      <c r="I68" s="2144">
        <f>MAX(0,'Deductions (c4)'!M252-'Deductions (c4)'!I276)</f>
        <v>12500</v>
      </c>
    </row>
    <row r="70" spans="3:12" x14ac:dyDescent="0.2">
      <c r="I70" s="93" t="str">
        <f><![CDATA[H59&" minus ("&H62&" + "&H65&" + "&H68&")"]]></f>
        <v>c24.11 minus (c24.12 + c24.13 + c24.14)</v>
      </c>
    </row>
    <row r="71" spans="3:12" x14ac:dyDescent="0.2">
      <c r="C71" s="2982" t="s">
        <v>6254</v>
      </c>
      <c r="H71" s="2143" t="str">
        <f>A17</f>
        <v>c24.15</v>
      </c>
      <c r="I71" s="2144">
        <f>MAX(0,I59-(I62+I65+I68))</f>
        <v>33744</v>
      </c>
    </row>
    <row r="73" spans="3:12" x14ac:dyDescent="0.2">
      <c r="F73" s="93" t="str">
        <f><![CDATA[E11&" + "&E21&" + "&E30&" + "&E39&" + " &K50&" + "&K54]]></f>
        <v>c24.1 + c24.3a + c24.4a + c24.6 + c24.9 + c24.10</v>
      </c>
    </row>
    <row r="74" spans="3:12" x14ac:dyDescent="0.2">
      <c r="C74" s="2982" t="s">
        <v>6547</v>
      </c>
      <c r="E74" s="2130" t="str">
        <f>A18</f>
        <v>c24.15a</v>
      </c>
      <c r="F74" s="2144">
        <f>F11+F21+F30+F39+L50+L54</f>
        <v>0</v>
      </c>
    </row>
    <row r="76" spans="3:12" x14ac:dyDescent="0.2">
      <c r="L76" s="93" t="str">
        <f><![CDATA[K17&" + "&K26&" + "&K34&" + "&K45&" + " &K50&" + "&K54]]></f>
        <v>c24.3 + c24.4 + c24.5 + c24.8 + c24.9 + c24.10</v>
      </c>
    </row>
    <row r="77" spans="3:12" x14ac:dyDescent="0.2">
      <c r="C77" s="2982" t="s">
        <v>6264</v>
      </c>
      <c r="K77" s="2143" t="str">
        <f>A19</f>
        <v>c24.16</v>
      </c>
      <c r="L77" s="2144">
        <f>L17+L26+L34+L45+L50+L54</f>
        <v>0</v>
      </c>
    </row>
    <row r="79" spans="3:12" x14ac:dyDescent="0.2">
      <c r="L79" s="93" t="str">
        <f>"lower of "&amp;H71&amp;" and "&amp;K77</f>
        <v>lower of c24.15 and c24.16</v>
      </c>
    </row>
    <row r="80" spans="3:12" x14ac:dyDescent="0.2">
      <c r="C80" s="2982" t="s">
        <v>6265</v>
      </c>
      <c r="K80" s="2143" t="str">
        <f>A20</f>
        <v>c24.17</v>
      </c>
      <c r="L80" s="2144">
        <f>MIN(I71,L77)</f>
        <v>0</v>
      </c>
    </row>
    <row r="81" spans="2:12" x14ac:dyDescent="0.2">
      <c r="L81" s="93" t="str">
        <f>"copy to "&amp;'Tax adj (c9)'!I78</f>
        <v>copy to c9.22</v>
      </c>
    </row>
    <row r="82" spans="2:12" x14ac:dyDescent="0.2">
      <c r="B82" s="2982" t="s">
        <v>2495</v>
      </c>
    </row>
  </sheetData>
  <pageMargins bottom="0.75" footer="0.3" header="0.3" left="0.7" right="0.7" top="0.75"/>
</worksheet>
</file>

<file path=xl/worksheets/sheet83.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200-000000000000}">
  <sheetPr codeName="Sheet77">
    <tabColor rgb="FFFF33CC"/>
  </sheetPr>
  <dimension ref="A1:S212"/>
  <sheetViews>
    <sheetView showGridLines="0" topLeftCell="B157" workbookViewId="0">
      <selection activeCell="K122" sqref="K122"/>
    </sheetView>
  </sheetViews>
  <sheetFormatPr defaultColWidth="9.140625" defaultRowHeight="12" x14ac:dyDescent="0.2"/>
  <cols>
    <col min="1" max="1" customWidth="true" hidden="true" style="2982" width="6.7109375" collapsed="true"/>
    <col min="2" max="2" customWidth="true" style="2982" width="2.5703125" collapsed="true"/>
    <col min="3" max="3" customWidth="true" style="2984" width="39.140625" collapsed="true"/>
    <col min="4" max="4" customWidth="true" style="2984" width="7.0" collapsed="true"/>
    <col min="5" max="5" customWidth="true" style="2984" width="18.28515625" collapsed="true"/>
    <col min="6" max="6" customWidth="true" style="2982" width="10.5703125" collapsed="true"/>
    <col min="7" max="7" customWidth="true" style="2982" width="7.0" collapsed="true"/>
    <col min="8" max="8" customWidth="true" style="2982" width="18.28515625" collapsed="true"/>
    <col min="9" max="9" customWidth="true" style="2982" width="13.42578125" collapsed="true"/>
    <col min="10" max="10" customWidth="true" style="2982" width="7.0" collapsed="true"/>
    <col min="11" max="11" customWidth="true" style="404" width="18.28515625" collapsed="true"/>
    <col min="12" max="12" bestFit="true" customWidth="true" style="2982" width="7.42578125" collapsed="true"/>
    <col min="13" max="13" customWidth="true" style="2982" width="4.0" collapsed="true"/>
    <col min="14" max="16384" style="2982" width="9.140625" collapsed="true"/>
  </cols>
  <sheetData>
    <row ht="20.25" r="1" spans="1:14" x14ac:dyDescent="0.3">
      <c r="A1" s="2982" t="s">
        <v>848</v>
      </c>
      <c r="B1" s="2733" t="s">
        <v>3264</v>
      </c>
      <c r="D1" s="2983"/>
      <c r="E1" s="2983"/>
      <c r="G1" s="3028" t="s">
        <v>7394</v>
      </c>
      <c r="H1" s="3030"/>
      <c r="I1" s="3061"/>
      <c r="J1" s="3030"/>
      <c r="K1" s="3062"/>
    </row>
    <row r="2" spans="1:14" x14ac:dyDescent="0.2">
      <c r="A2" s="2982" t="s">
        <v>849</v>
      </c>
    </row>
    <row customHeight="1" ht="12" r="3" spans="1:14" x14ac:dyDescent="0.2">
      <c r="A3" s="2982" t="s">
        <v>1163</v>
      </c>
      <c r="B3" s="711" t="s">
        <v>1606</v>
      </c>
      <c r="F3" s="93"/>
      <c r="G3" s="120"/>
      <c r="H3" s="689" t="str">
        <f>"from "&amp;AIL&amp;AIL!C11</f>
        <v>from AIL7</v>
      </c>
      <c r="K3" s="2978" t="str">
        <f>G4&amp;" x LTA_lump ("&amp;LTA_lump*100&amp;"%)"</f>
        <v>c25.1 x LTA_lump (55%)</v>
      </c>
    </row>
    <row customHeight="1" ht="12" r="4" spans="1:14" x14ac:dyDescent="0.2">
      <c r="A4" s="2982" t="s">
        <v>1164</v>
      </c>
      <c r="C4" s="749" t="s">
        <v>51</v>
      </c>
      <c r="D4" s="749"/>
      <c r="E4" s="749"/>
      <c r="G4" s="714" t="str">
        <f>A1</f>
        <v>c25.1</v>
      </c>
      <c r="H4" s="122">
        <f>TRUNC(AIL!D12,0)</f>
        <v>0</v>
      </c>
      <c r="I4" s="932" t="s">
        <v>1743</v>
      </c>
      <c r="J4" s="714" t="str">
        <f>A2</f>
        <v>c25.2</v>
      </c>
      <c r="K4" s="799">
        <f>TRUNC(H4*LTA_lump,2)</f>
        <v>0</v>
      </c>
      <c r="L4" s="932" t="s">
        <v>2694</v>
      </c>
      <c r="N4" s="800"/>
    </row>
    <row r="5" spans="1:14" x14ac:dyDescent="0.2">
      <c r="A5" s="2982" t="s">
        <v>1165</v>
      </c>
      <c r="C5" s="749"/>
      <c r="D5" s="749"/>
      <c r="E5" s="749"/>
      <c r="F5" s="684"/>
      <c r="G5" s="684"/>
    </row>
    <row r="6" spans="1:14" x14ac:dyDescent="0.2">
      <c r="A6" s="2982" t="s">
        <v>1166</v>
      </c>
      <c r="C6" s="749"/>
      <c r="D6" s="749"/>
      <c r="E6" s="749"/>
      <c r="F6" s="684"/>
      <c r="G6" s="684"/>
      <c r="H6" s="689" t="str">
        <f>"from "&amp;AIL&amp;AIL!C14</f>
        <v>from AIL8</v>
      </c>
      <c r="K6" s="2978" t="str">
        <f>G7&amp;" x LTA_pension ("&amp;LTA_pension*100&amp;"%)"</f>
        <v>c25.3 x LTA_pension (25%)</v>
      </c>
    </row>
    <row r="7" spans="1:14" x14ac:dyDescent="0.2">
      <c r="A7" s="2982" t="s">
        <v>1490</v>
      </c>
      <c r="C7" s="749" t="s">
        <v>50</v>
      </c>
      <c r="D7" s="749"/>
      <c r="E7" s="749"/>
      <c r="G7" s="714" t="str">
        <f>A3</f>
        <v>c25.3</v>
      </c>
      <c r="H7" s="122">
        <f>TRUNC(AIL!D15,0)</f>
        <v>0</v>
      </c>
      <c r="I7" s="932" t="s">
        <v>1743</v>
      </c>
      <c r="J7" s="714" t="str">
        <f>A4</f>
        <v>c25.4</v>
      </c>
      <c r="K7" s="799">
        <f>TRUNC(H7*LTA_pension,2)</f>
        <v>0</v>
      </c>
      <c r="L7" s="932" t="s">
        <v>2694</v>
      </c>
    </row>
    <row r="8" spans="1:14" x14ac:dyDescent="0.2">
      <c r="A8" s="2982" t="s">
        <v>1491</v>
      </c>
    </row>
    <row r="9" spans="1:14" x14ac:dyDescent="0.2">
      <c r="A9" s="2982" t="s">
        <v>1492</v>
      </c>
      <c r="K9" s="93" t="str">
        <f>J4&amp;" + "&amp;J7</f>
        <v>c25.2 + c25.4</v>
      </c>
    </row>
    <row r="10" spans="1:14" x14ac:dyDescent="0.2">
      <c r="A10" s="2982" t="s">
        <v>2915</v>
      </c>
      <c r="C10" s="2984" t="s">
        <v>1606</v>
      </c>
      <c r="J10" s="714" t="str">
        <f>A5</f>
        <v>c25.5</v>
      </c>
      <c r="K10" s="799">
        <f>K4+K7</f>
        <v>0</v>
      </c>
    </row>
    <row r="11" spans="1:14" x14ac:dyDescent="0.2">
      <c r="A11" s="2982" t="s">
        <v>2916</v>
      </c>
    </row>
    <row r="12" spans="1:14" x14ac:dyDescent="0.2">
      <c r="A12" s="2982" t="s">
        <v>2917</v>
      </c>
      <c r="H12" s="689" t="str">
        <f>"from "&amp;AIL&amp;AIL!C17</f>
        <v>from AIL9</v>
      </c>
      <c r="K12" s="93" t="str">
        <f>"lower of "&amp;J10&amp;" and "&amp;G13</f>
        <v>lower of c25.5 and c25.6</v>
      </c>
    </row>
    <row r="13" spans="1:14" x14ac:dyDescent="0.2">
      <c r="A13" s="2982" t="s">
        <v>2918</v>
      </c>
      <c r="C13" s="749" t="s">
        <v>3826</v>
      </c>
      <c r="D13" s="749"/>
      <c r="E13" s="749"/>
      <c r="G13" s="714" t="str">
        <f>A6</f>
        <v>c25.6</v>
      </c>
      <c r="H13" s="122">
        <f>AIL!D18</f>
        <v>0</v>
      </c>
      <c r="I13" s="932"/>
      <c r="J13" s="714" t="str">
        <f>A7</f>
        <v>c25.7</v>
      </c>
      <c r="K13" s="799">
        <f>MIN(K10,H13)</f>
        <v>0</v>
      </c>
    </row>
    <row r="14" spans="1:14" x14ac:dyDescent="0.2">
      <c r="A14" s="2982" t="s">
        <v>2857</v>
      </c>
    </row>
    <row r="15" spans="1:14" x14ac:dyDescent="0.2">
      <c r="A15" s="2982" t="s">
        <v>2858</v>
      </c>
      <c r="K15" s="93" t="str">
        <f>J10&amp;" minus "&amp;J13</f>
        <v>c25.5 minus c25.7</v>
      </c>
    </row>
    <row r="16" spans="1:14" x14ac:dyDescent="0.2">
      <c r="A16" s="2982" t="s">
        <v>2859</v>
      </c>
      <c r="C16" s="2984" t="s">
        <v>3827</v>
      </c>
      <c r="J16" s="714" t="str">
        <f>A8</f>
        <v>c25.8</v>
      </c>
      <c r="K16" s="799">
        <f>MAX(0,K10-K13)</f>
        <v>0</v>
      </c>
    </row>
    <row r="17" spans="1:12" x14ac:dyDescent="0.2">
      <c r="A17" s="2982" t="s">
        <v>7561</v>
      </c>
      <c r="B17" s="685"/>
      <c r="C17" s="801"/>
      <c r="D17" s="801"/>
      <c r="E17" s="801"/>
      <c r="F17" s="685"/>
      <c r="G17" s="685"/>
      <c r="H17" s="685"/>
      <c r="I17" s="685"/>
      <c r="J17" s="685"/>
      <c r="K17" s="802"/>
      <c r="L17" s="802"/>
    </row>
    <row r="18" spans="1:12" x14ac:dyDescent="0.2">
      <c r="A18" s="2982" t="s">
        <v>7562</v>
      </c>
      <c r="L18" s="404"/>
    </row>
    <row r="19" spans="1:12" x14ac:dyDescent="0.2">
      <c r="A19" s="2982" t="s">
        <v>7563</v>
      </c>
      <c r="B19" s="711" t="s">
        <v>669</v>
      </c>
      <c r="G19" s="120"/>
    </row>
    <row r="20" spans="1:12" x14ac:dyDescent="0.2">
      <c r="A20" s="2982" t="s">
        <v>7564</v>
      </c>
    </row>
    <row r="21" spans="1:12" x14ac:dyDescent="0.2">
      <c r="A21" s="2982" t="s">
        <v>7565</v>
      </c>
      <c r="C21" s="749" t="str">
        <f>"Amount in excess of Pen_AA_limit ("&amp;DOLLAR(Pen_AA_limit,0)&amp;")"</f>
        <v>Amount in excess of Pen_AA_limit ($40,000)</v>
      </c>
      <c r="H21" s="689" t="str">
        <f>"from "&amp;AIL&amp;AIL!C20</f>
        <v>from AIL10</v>
      </c>
    </row>
    <row r="22" spans="1:12" x14ac:dyDescent="0.2">
      <c r="A22" s="2982" t="s">
        <v>7566</v>
      </c>
      <c r="C22" s="749" t="str">
        <f>"or Pen_MPAA_limit ("&amp;DOLLAR(Pen_MPAA_limit,0)&amp;") (lower allowance)"</f>
        <v>or Pen_MPAA_limit ($4,000) (lower allowance)</v>
      </c>
      <c r="D22" s="749"/>
      <c r="E22" s="749"/>
      <c r="G22" s="714" t="str">
        <f>A9</f>
        <v>c25.9</v>
      </c>
      <c r="H22" s="964">
        <f>TRUNC(AIL!D21,0)</f>
        <v>0</v>
      </c>
      <c r="I22" s="932" t="s">
        <v>1743</v>
      </c>
    </row>
    <row r="23" spans="1:12" x14ac:dyDescent="0.2">
      <c r="A23" s="2982" t="s">
        <v>2860</v>
      </c>
    </row>
    <row r="24" spans="1:12" x14ac:dyDescent="0.2">
      <c r="A24" s="2982" t="s">
        <v>1737</v>
      </c>
      <c r="C24" s="3303" t="s">
        <v>8767</v>
      </c>
      <c r="E24" s="3305" t="str">
        <f>'Status (c3a)'!H33&amp;" + "&amp;'Status (c3a)'!L33&amp;" + "&amp;'Deductions (c4)'!H204</f>
        <v>c3a.1a + c3a.2 + c4.59</v>
      </c>
    </row>
    <row r="25" spans="1:12" x14ac:dyDescent="0.2">
      <c r="A25" s="2982" t="s">
        <v>1738</v>
      </c>
      <c r="B25" s="117"/>
      <c r="C25" s="1299" t="s">
        <v>4237</v>
      </c>
      <c r="D25" s="714" t="str">
        <f>A10</f>
        <v>c25.10</v>
      </c>
      <c r="E25" s="964">
        <f>'Status (c3a)'!I33+'Status (c3a)'!M33+'Deductions (c4)'!I204</f>
        <v>14069</v>
      </c>
    </row>
    <row r="26" spans="1:12" x14ac:dyDescent="0.2">
      <c r="A26" s="2982" t="s">
        <v>1739</v>
      </c>
      <c r="C26" s="2982"/>
      <c r="E26" s="401"/>
    </row>
    <row r="27" spans="1:12" x14ac:dyDescent="0.2">
      <c r="A27" s="2982" t="s">
        <v>1740</v>
      </c>
      <c r="E27" s="2978" t="s">
        <v>4039</v>
      </c>
    </row>
    <row r="28" spans="1:12" x14ac:dyDescent="0.2">
      <c r="A28" s="2982" t="s">
        <v>3151</v>
      </c>
      <c r="C28" s="2982"/>
      <c r="D28" s="386"/>
      <c r="E28" s="717" t="str">
        <f>D32&amp;" = "&amp;'non-res (c91)'!M116</f>
        <v>c25.11 = c91.28</v>
      </c>
      <c r="K28" s="842"/>
    </row>
    <row r="29" spans="1:12" x14ac:dyDescent="0.2">
      <c r="A29" s="2982" t="s">
        <v>3152</v>
      </c>
      <c r="E29" s="2984" t="s">
        <v>1319</v>
      </c>
    </row>
    <row r="30" spans="1:12" x14ac:dyDescent="0.2">
      <c r="A30" s="2982" t="s">
        <v>3153</v>
      </c>
      <c r="E30" s="386" t="str">
        <f>D32&amp;" = "&amp;'Taxable (c5)'!BA309</f>
        <v>c25.11 = c5.86</v>
      </c>
    </row>
    <row r="31" spans="1:12" x14ac:dyDescent="0.2">
      <c r="A31" s="2982" t="s">
        <v>3154</v>
      </c>
      <c r="E31" s="2984" t="s">
        <v>2495</v>
      </c>
    </row>
    <row r="32" spans="1:12" x14ac:dyDescent="0.2">
      <c r="A32" s="2982" t="s">
        <v>3155</v>
      </c>
      <c r="C32" s="2982" t="s">
        <v>2872</v>
      </c>
      <c r="D32" s="714" t="str">
        <f>A11</f>
        <v>c25.11</v>
      </c>
      <c r="E32" s="964">
        <f>MAX(0,IF(non_resident,'non-res (c91)'!N116,'Taxable (c5)'!BB309))</f>
        <v>50172</v>
      </c>
    </row>
    <row r="33" spans="1:18" x14ac:dyDescent="0.2">
      <c r="A33" s="2982" t="s">
        <v>3156</v>
      </c>
      <c r="I33" s="981"/>
      <c r="J33" s="981"/>
      <c r="K33" s="2122"/>
      <c r="R33" s="401"/>
    </row>
    <row r="34" spans="1:18" x14ac:dyDescent="0.2">
      <c r="A34" s="2982" t="s">
        <v>3157</v>
      </c>
      <c r="E34" s="763" t="str">
        <f>D25&amp;" minus "&amp;D32</f>
        <v>c25.10 minus c25.11</v>
      </c>
      <c r="H34" s="93" t="str">
        <f>"lower of "&amp;G22&amp;" and "&amp;D35</f>
        <v>lower of c25.9 and c25.12</v>
      </c>
      <c r="I34" s="981"/>
      <c r="J34" s="981"/>
      <c r="K34" s="93" t="str">
        <f>G35&amp;" x "&amp;'Status (c3a)'!L44</f>
        <v>c25.13 x c3a.4</v>
      </c>
    </row>
    <row r="35" spans="1:18" x14ac:dyDescent="0.2">
      <c r="A35" s="2982" t="s">
        <v>3218</v>
      </c>
      <c r="C35" s="2984" t="s">
        <v>3258</v>
      </c>
      <c r="D35" s="714" t="str">
        <f>A12</f>
        <v>c25.12</v>
      </c>
      <c r="E35" s="804">
        <f>MAX(0,E25-E32)</f>
        <v>0</v>
      </c>
      <c r="G35" s="714" t="str">
        <f>A13</f>
        <v>c25.13</v>
      </c>
      <c r="H35" s="804">
        <f>MIN(H22,E35)</f>
        <v>0</v>
      </c>
      <c r="J35" s="714" t="str">
        <f>A14</f>
        <v>c25.14</v>
      </c>
      <c r="K35" s="799">
        <f>TRUNC(H35*'Status (c3a)'!M44,2)</f>
        <v>0</v>
      </c>
      <c r="L35" s="932" t="s">
        <v>2694</v>
      </c>
    </row>
    <row r="36" spans="1:18" x14ac:dyDescent="0.2">
      <c r="A36" s="2982" t="s">
        <v>3219</v>
      </c>
      <c r="E36" s="918"/>
      <c r="H36" s="401"/>
      <c r="K36" s="842"/>
    </row>
    <row r="37" spans="1:18" x14ac:dyDescent="0.2">
      <c r="A37" s="2982" t="s">
        <v>3220</v>
      </c>
      <c r="D37" s="3303"/>
      <c r="E37" s="3304" t="str">
        <f>D32&amp;" minus "&amp;D25</f>
        <v>c25.11 minus c25.10</v>
      </c>
      <c r="H37" s="763" t="str">
        <f>G22&amp;" minus "&amp;G35</f>
        <v>c25.9 minus c25.13</v>
      </c>
    </row>
    <row r="38" spans="1:18" x14ac:dyDescent="0.2">
      <c r="A38" s="2982" t="s">
        <v>3221</v>
      </c>
      <c r="C38" s="3303" t="s">
        <v>7567</v>
      </c>
      <c r="D38" s="714" t="str">
        <f>A15</f>
        <v>c25.15</v>
      </c>
      <c r="E38" s="804">
        <f>MAX(0,E32-E25)</f>
        <v>36103</v>
      </c>
      <c r="G38" s="714" t="str">
        <f>A16</f>
        <v>c25.16</v>
      </c>
      <c r="H38" s="804">
        <f>MAX(0,H22-H35)</f>
        <v>0</v>
      </c>
    </row>
    <row r="39" spans="1:18" x14ac:dyDescent="0.2">
      <c r="A39" s="2982" t="s">
        <v>2043</v>
      </c>
      <c r="C39" s="3297"/>
      <c r="D39" s="709"/>
      <c r="E39" s="1808"/>
      <c r="F39" s="3296"/>
      <c r="G39" s="709"/>
      <c r="H39" s="1808"/>
      <c r="I39" s="3296"/>
      <c r="J39" s="3296"/>
      <c r="L39" s="3296"/>
      <c r="M39" s="3296"/>
      <c r="N39" s="3296"/>
      <c r="O39" s="3296"/>
    </row>
    <row customFormat="1" r="40" s="3296" spans="1:18" x14ac:dyDescent="0.2">
      <c r="A40" s="2982" t="s">
        <v>2044</v>
      </c>
      <c r="C40" s="3297"/>
      <c r="D40" s="3297"/>
      <c r="E40" s="3305" t="str">
        <f>"from "&amp;'Status (c3a)'!P33</f>
        <v>from c3a.2a</v>
      </c>
      <c r="K40" s="404"/>
    </row>
    <row customFormat="1" r="41" s="3296" spans="1:18" x14ac:dyDescent="0.2">
      <c r="A41" s="2982" t="s">
        <v>2045</v>
      </c>
      <c r="C41" s="3303" t="s">
        <v>7558</v>
      </c>
      <c r="D41" s="3306" t="str">
        <f>A17</f>
        <v>c25.16a</v>
      </c>
      <c r="E41" s="3301">
        <f>'Status (c3a)'!Q33</f>
        <v>18486</v>
      </c>
      <c r="K41" s="404"/>
    </row>
    <row customFormat="1" r="42" s="3296" spans="1:18" x14ac:dyDescent="0.2">
      <c r="A42" s="2982" t="s">
        <v>2046</v>
      </c>
      <c r="C42" s="3297"/>
      <c r="K42" s="404"/>
    </row>
    <row customFormat="1" r="43" s="3296" spans="1:18" x14ac:dyDescent="0.2">
      <c r="A43" s="2982" t="s">
        <v>827</v>
      </c>
      <c r="C43" s="3297"/>
      <c r="E43" s="3307" t="str">
        <f>D41&amp;" minus "&amp;D38</f>
        <v>c25.16a minus c25.15</v>
      </c>
      <c r="G43" s="3308"/>
      <c r="H43" s="3305" t="str">
        <f>"lower of "&amp;G38&amp;" and "&amp;D44</f>
        <v>lower of c25.16 and c25.16b</v>
      </c>
      <c r="K43" s="3305" t="str">
        <f>G44&amp;" x "&amp;'Status (c3a)'!P44</f>
        <v>c25.16c x c3a.4a</v>
      </c>
    </row>
    <row customFormat="1" r="44" s="3296" spans="1:18" x14ac:dyDescent="0.2">
      <c r="A44" s="2982" t="s">
        <v>828</v>
      </c>
      <c r="C44" s="3308" t="s">
        <v>7559</v>
      </c>
      <c r="D44" s="3306" t="str">
        <f>A18</f>
        <v>c25.16b</v>
      </c>
      <c r="E44" s="3301">
        <f>MAX(0,E41-E38)</f>
        <v>0</v>
      </c>
      <c r="G44" s="3306" t="str">
        <f>A19</f>
        <v>c25.16c</v>
      </c>
      <c r="H44" s="3301">
        <f>MIN(H38,E44)</f>
        <v>0</v>
      </c>
      <c r="J44" s="3306" t="str">
        <f>A20</f>
        <v>c25.16d</v>
      </c>
      <c r="K44" s="3302">
        <f>TRUNC(H44*'Status (c3a)'!Q44,2)</f>
        <v>0</v>
      </c>
      <c r="L44" s="3309" t="s">
        <v>2694</v>
      </c>
    </row>
    <row customFormat="1" r="45" s="3296" spans="1:18" x14ac:dyDescent="0.2">
      <c r="A45" s="2982" t="s">
        <v>4456</v>
      </c>
      <c r="C45" s="3297"/>
    </row>
    <row customFormat="1" r="46" s="3296" spans="1:18" x14ac:dyDescent="0.2">
      <c r="A46" s="2982" t="s">
        <v>3591</v>
      </c>
      <c r="C46" s="3303"/>
      <c r="D46" s="3308"/>
      <c r="E46" s="3307" t="str">
        <f><![CDATA[D32&" minus ("&'Status (c3a)'!H33&" + "&D25&" + "&D41&")"]]></f>
        <v>c25.11 minus (c3a.1a + c25.10 + c25.16a)</v>
      </c>
      <c r="H46" s="3307" t="str">
        <f>G38&amp;" minus "&amp;G44</f>
        <v>c25.16 minus c25.16c</v>
      </c>
    </row>
    <row customFormat="1" r="47" s="3296" spans="1:18" x14ac:dyDescent="0.2">
      <c r="A47" s="2982" t="s">
        <v>3592</v>
      </c>
      <c r="C47" s="3303" t="s">
        <v>7560</v>
      </c>
      <c r="D47" s="3306" t="str">
        <f>A21</f>
        <v>c25.16e</v>
      </c>
      <c r="E47" s="3301">
        <f>MAX(0,E32-('Status (c3a)'!I33+E25+E41))</f>
        <v>15568</v>
      </c>
      <c r="G47" s="3306" t="str">
        <f>A22</f>
        <v>c25.16f</v>
      </c>
      <c r="H47" s="3301">
        <f>MAX(0,H38-H44)</f>
        <v>0</v>
      </c>
    </row>
    <row customFormat="1" r="48" s="3296" spans="1:18" x14ac:dyDescent="0.2">
      <c r="A48" s="2982" t="s">
        <v>3593</v>
      </c>
      <c r="C48" s="2982"/>
      <c r="D48" s="2982"/>
      <c r="E48" s="401"/>
      <c r="F48" s="2982"/>
      <c r="G48" s="2982"/>
      <c r="H48" s="2982"/>
      <c r="I48" s="2982"/>
      <c r="J48" s="2982"/>
      <c r="K48" s="842"/>
      <c r="L48" s="2982"/>
      <c r="M48" s="2982"/>
    </row>
    <row customFormat="1" r="49" s="3296" spans="1:15" x14ac:dyDescent="0.2">
      <c r="A49" s="2982" t="s">
        <v>3594</v>
      </c>
      <c r="C49" s="828"/>
      <c r="D49" s="2982"/>
      <c r="E49" s="763" t="str">
        <f>"from "&amp;'Status (c3a)'!X33</f>
        <v>from c3a.3</v>
      </c>
      <c r="F49" s="2982"/>
      <c r="G49" s="2982"/>
      <c r="H49" s="2982"/>
      <c r="I49" s="2982"/>
      <c r="J49" s="2982"/>
      <c r="K49" s="404"/>
      <c r="L49" s="2982"/>
      <c r="M49" s="37"/>
    </row>
    <row customFormat="1" r="50" s="3296" spans="1:15" x14ac:dyDescent="0.2">
      <c r="A50" s="2982" t="s">
        <v>3595</v>
      </c>
      <c r="C50" s="3303" t="s">
        <v>7568</v>
      </c>
      <c r="D50" s="714" t="str">
        <f>A23</f>
        <v>c25.17</v>
      </c>
      <c r="E50" s="964">
        <f>'Status (c3a)'!Y33</f>
        <v>119070</v>
      </c>
      <c r="F50" s="2982"/>
      <c r="G50" s="2982"/>
      <c r="H50" s="2982"/>
      <c r="I50" s="2982"/>
      <c r="J50" s="2982"/>
      <c r="K50" s="404"/>
      <c r="L50" s="2982"/>
      <c r="M50" s="37"/>
    </row>
    <row customFormat="1" r="51" s="3296" spans="1:15" x14ac:dyDescent="0.2">
      <c r="A51" s="2982" t="s">
        <v>3596</v>
      </c>
      <c r="C51" s="2984"/>
      <c r="D51" s="2984"/>
      <c r="E51" s="2984"/>
      <c r="F51" s="2982"/>
      <c r="G51" s="2982"/>
      <c r="H51" s="2982"/>
      <c r="I51" s="981"/>
      <c r="J51" s="981"/>
      <c r="K51" s="2148"/>
      <c r="L51" s="2982"/>
      <c r="M51" s="37"/>
    </row>
    <row customFormat="1" r="52" s="3296" spans="1:15" x14ac:dyDescent="0.2">
      <c r="A52" s="2982" t="s">
        <v>3597</v>
      </c>
      <c r="C52" s="749"/>
      <c r="D52" s="749"/>
      <c r="E52" s="3304" t="str">
        <f>D50&amp;" minus "&amp;D47</f>
        <v>c25.17 minus c25.16e</v>
      </c>
      <c r="F52" s="689"/>
      <c r="G52" s="3310"/>
      <c r="H52" s="3304" t="str">
        <f>"lower of "&amp;G47&amp;" and "&amp;D53</f>
        <v>lower of c25.16f and c25.18</v>
      </c>
      <c r="I52" s="981"/>
      <c r="J52" s="981"/>
      <c r="K52" s="93" t="str">
        <f>G53&amp;" x "&amp;'Status (c3a)'!X44</f>
        <v>c25.19 x c3a.5</v>
      </c>
      <c r="L52" s="2982"/>
      <c r="M52" s="37"/>
    </row>
    <row customFormat="1" r="53" s="3296" spans="1:15" x14ac:dyDescent="0.2">
      <c r="A53" s="2982" t="s">
        <v>3598</v>
      </c>
      <c r="C53" s="2984" t="s">
        <v>3259</v>
      </c>
      <c r="D53" s="714" t="str">
        <f>A24</f>
        <v>c25.18</v>
      </c>
      <c r="E53" s="804">
        <f>MAX(0,E50-E47)</f>
        <v>103502</v>
      </c>
      <c r="F53" s="689"/>
      <c r="G53" s="714" t="str">
        <f>A25</f>
        <v>c25.19</v>
      </c>
      <c r="H53" s="804">
        <f>MIN(H47,E53)</f>
        <v>0</v>
      </c>
      <c r="I53" s="2982"/>
      <c r="J53" s="714" t="str">
        <f>A26</f>
        <v>c25.20</v>
      </c>
      <c r="K53" s="799">
        <f>TRUNC(H53*'Status (c3a)'!Y44,2)</f>
        <v>0</v>
      </c>
      <c r="L53" s="932" t="s">
        <v>2694</v>
      </c>
      <c r="M53" s="37"/>
    </row>
    <row customFormat="1" r="54" s="3296" spans="1:15" x14ac:dyDescent="0.2">
      <c r="A54" s="2982" t="s">
        <v>3257</v>
      </c>
      <c r="C54" s="2984"/>
      <c r="D54" s="709"/>
      <c r="E54" s="1808"/>
      <c r="F54" s="689"/>
      <c r="G54" s="709"/>
      <c r="H54" s="1808"/>
      <c r="I54" s="2982"/>
      <c r="J54" s="709"/>
      <c r="K54" s="842"/>
      <c r="L54" s="932"/>
      <c r="M54" s="37"/>
    </row>
    <row customFormat="1" r="55" s="3296" spans="1:15" x14ac:dyDescent="0.2">
      <c r="A55" s="2982" t="s">
        <v>2747</v>
      </c>
      <c r="C55" s="2984"/>
      <c r="D55" s="2984"/>
      <c r="E55" s="2984"/>
      <c r="F55" s="2982"/>
      <c r="G55" s="2982"/>
      <c r="H55" s="3304" t="str">
        <f>G47&amp;" minus "&amp;G53</f>
        <v>c25.16f minus c25.19</v>
      </c>
      <c r="I55" s="981"/>
      <c r="J55" s="981"/>
      <c r="K55" s="93" t="str">
        <f>G56&amp;" x "&amp;'Status (c3a)'!AA44</f>
        <v>c25.21 x c3a.6</v>
      </c>
      <c r="L55" s="2982"/>
      <c r="M55" s="37"/>
    </row>
    <row customFormat="1" r="56" s="3296" spans="1:15" x14ac:dyDescent="0.2">
      <c r="A56" s="2982" t="s">
        <v>2748</v>
      </c>
      <c r="C56" s="3303" t="s">
        <v>7569</v>
      </c>
      <c r="D56" s="2984"/>
      <c r="E56" s="2984"/>
      <c r="F56" s="2982"/>
      <c r="G56" s="714" t="str">
        <f>A27</f>
        <v>c25.21</v>
      </c>
      <c r="H56" s="804">
        <f>MAX(0,H47-H53)</f>
        <v>0</v>
      </c>
      <c r="I56" s="2982"/>
      <c r="J56" s="714" t="str">
        <f>A28</f>
        <v>c25.22</v>
      </c>
      <c r="K56" s="799">
        <f>TRUNC(H56*'Status (c3a)'!AB44,2)</f>
        <v>0</v>
      </c>
      <c r="L56" s="932" t="s">
        <v>2694</v>
      </c>
      <c r="M56" s="37"/>
    </row>
    <row customFormat="1" r="57" s="3296" spans="1:15" x14ac:dyDescent="0.2">
      <c r="A57" s="2982" t="s">
        <v>5889</v>
      </c>
      <c r="C57" s="2984"/>
      <c r="D57" s="2984"/>
      <c r="E57" s="2984"/>
      <c r="F57" s="2982"/>
      <c r="G57" s="2982"/>
      <c r="H57" s="2982"/>
      <c r="I57" s="2982"/>
      <c r="J57" s="2982"/>
      <c r="K57" s="404"/>
      <c r="L57" s="2982"/>
      <c r="M57" s="37"/>
      <c r="N57" s="2982"/>
      <c r="O57" s="2982"/>
    </row>
    <row r="58" spans="1:15" x14ac:dyDescent="0.2">
      <c r="A58" s="2982" t="s">
        <v>5890</v>
      </c>
      <c r="C58" s="749"/>
      <c r="D58" s="749"/>
      <c r="E58" s="749"/>
      <c r="F58" s="689"/>
      <c r="I58" s="3308"/>
      <c r="J58" s="3308"/>
      <c r="K58" s="3311" t="str">
        <f><![CDATA[J35&" + "&J44&" + "&J53&" + "&J56]]></f>
        <v>c25.14 + c25.16d + c25.20 + c25.22</v>
      </c>
      <c r="M58" s="37"/>
    </row>
    <row r="59" spans="1:15" x14ac:dyDescent="0.2">
      <c r="A59" s="2982" t="s">
        <v>5891</v>
      </c>
      <c r="C59" s="2982"/>
      <c r="D59" s="2982"/>
      <c r="E59" s="2982"/>
      <c r="J59" s="714" t="str">
        <f>A29</f>
        <v>c25.23</v>
      </c>
      <c r="K59" s="846">
        <f>K35+K44+K53+K56</f>
        <v>0</v>
      </c>
      <c r="M59" s="37"/>
    </row>
    <row r="60" spans="1:15" x14ac:dyDescent="0.2">
      <c r="A60" s="2982" t="s">
        <v>5892</v>
      </c>
      <c r="M60" s="37"/>
    </row>
    <row r="61" spans="1:15" x14ac:dyDescent="0.2">
      <c r="A61" s="2982" t="s">
        <v>5893</v>
      </c>
      <c r="H61" s="689" t="str">
        <f>"from "&amp;AIL&amp;AIL!C23</f>
        <v>from AIL11</v>
      </c>
      <c r="K61" s="93" t="str">
        <f>"lower of "&amp;J59&amp;" and "&amp;G62</f>
        <v>lower of c25.23 and c25.24</v>
      </c>
      <c r="M61" s="37"/>
    </row>
    <row r="62" spans="1:15" x14ac:dyDescent="0.2">
      <c r="A62" s="2982" t="s">
        <v>6483</v>
      </c>
      <c r="C62" s="749" t="s">
        <v>3261</v>
      </c>
      <c r="D62" s="749"/>
      <c r="E62" s="749"/>
      <c r="G62" s="714" t="str">
        <f>A30</f>
        <v>c25.24</v>
      </c>
      <c r="H62" s="846">
        <f>TRUNC(AIL!D24,0)</f>
        <v>0</v>
      </c>
      <c r="I62" s="3474" t="s">
        <v>1743</v>
      </c>
      <c r="J62" s="714" t="str">
        <f>A31</f>
        <v>c25.25</v>
      </c>
      <c r="K62" s="799">
        <f>MIN(K59,H62)</f>
        <v>0</v>
      </c>
      <c r="M62" s="37"/>
    </row>
    <row r="63" spans="1:15" x14ac:dyDescent="0.2">
      <c r="A63" s="2982" t="s">
        <v>6484</v>
      </c>
      <c r="F63" s="689"/>
      <c r="K63" s="2982"/>
      <c r="M63" s="37"/>
    </row>
    <row r="64" spans="1:15" x14ac:dyDescent="0.2">
      <c r="F64" s="689"/>
      <c r="K64" s="93" t="str">
        <f>J59&amp;" minus "&amp;J62</f>
        <v>c25.23 minus c25.25</v>
      </c>
      <c r="M64" s="37"/>
    </row>
    <row r="65" spans="2:13" x14ac:dyDescent="0.2">
      <c r="F65" s="689"/>
      <c r="J65" s="714" t="str">
        <f>A32</f>
        <v>c25.26</v>
      </c>
      <c r="K65" s="799">
        <f>MAX(0,K59-K62)</f>
        <v>0</v>
      </c>
      <c r="M65" s="37"/>
    </row>
    <row r="66" spans="2:13" x14ac:dyDescent="0.2">
      <c r="C66" s="801"/>
      <c r="D66" s="801"/>
      <c r="E66" s="801"/>
      <c r="F66" s="685"/>
      <c r="G66" s="685"/>
      <c r="H66" s="685"/>
      <c r="I66" s="685"/>
      <c r="J66" s="685"/>
      <c r="K66" s="802"/>
      <c r="L66" s="802"/>
      <c r="M66" s="37"/>
    </row>
    <row r="67" spans="2:13" x14ac:dyDescent="0.2">
      <c r="L67" s="404"/>
      <c r="M67" s="37"/>
    </row>
    <row r="68" spans="2:13" x14ac:dyDescent="0.2">
      <c r="F68" s="689"/>
      <c r="J68" s="709"/>
      <c r="K68" s="842"/>
      <c r="M68" s="37"/>
    </row>
    <row r="69" spans="2:13" x14ac:dyDescent="0.2">
      <c r="C69" s="803"/>
      <c r="F69" s="689"/>
      <c r="H69" s="689" t="str">
        <f>"from "&amp;AIL&amp;AIL!C26</f>
        <v>from AIL11.1</v>
      </c>
      <c r="J69" s="709"/>
      <c r="K69" s="2978" t="str">
        <f>G70&amp;" x OTC_rate ("&amp;OTC_rate*100&amp;"%)"</f>
        <v>c25.27 x OTC_rate (25%)</v>
      </c>
      <c r="M69" s="37"/>
    </row>
    <row r="70" spans="2:13" x14ac:dyDescent="0.2">
      <c r="C70" s="2149" t="s">
        <v>6490</v>
      </c>
      <c r="F70" s="689"/>
      <c r="G70" s="714" t="str">
        <f>A33</f>
        <v>c25.27</v>
      </c>
      <c r="H70" s="799">
        <f>TRUNC(AIL!D27,0)</f>
        <v>0</v>
      </c>
      <c r="I70" s="929" t="s">
        <v>1743</v>
      </c>
      <c r="J70" s="714" t="str">
        <f>A34</f>
        <v>c25.28</v>
      </c>
      <c r="K70" s="799">
        <f>TRUNC(H70*OTC_rate,2)</f>
        <v>0</v>
      </c>
      <c r="L70" s="1057" t="s">
        <v>2694</v>
      </c>
      <c r="M70" s="37"/>
    </row>
    <row r="71" spans="2:13" x14ac:dyDescent="0.2">
      <c r="F71" s="689"/>
      <c r="J71" s="709"/>
      <c r="K71" s="842"/>
      <c r="M71" s="37"/>
    </row>
    <row r="72" spans="2:13" x14ac:dyDescent="0.2">
      <c r="C72" s="2149"/>
      <c r="F72" s="689"/>
      <c r="H72" s="689" t="str">
        <f>"from "&amp;AIL&amp;AIL!C29</f>
        <v>from AIL11.2</v>
      </c>
      <c r="J72" s="709"/>
      <c r="K72" s="402" t="str">
        <f>"lower of "&amp;J70&amp;" and "&amp;G73</f>
        <v>lower of c25.28 and c25.29</v>
      </c>
      <c r="M72" s="37"/>
    </row>
    <row r="73" spans="2:13" x14ac:dyDescent="0.2">
      <c r="C73" s="749" t="s">
        <v>3261</v>
      </c>
      <c r="F73" s="689"/>
      <c r="G73" s="714" t="str">
        <f>A35</f>
        <v>c25.29</v>
      </c>
      <c r="H73" s="799">
        <f>AIL!D30</f>
        <v>0</v>
      </c>
      <c r="J73" s="714" t="str">
        <f>A36</f>
        <v>c25.30</v>
      </c>
      <c r="K73" s="799">
        <f>MIN(K70,H73)</f>
        <v>0</v>
      </c>
      <c r="M73" s="37"/>
    </row>
    <row r="74" spans="2:13" x14ac:dyDescent="0.2">
      <c r="F74" s="689"/>
      <c r="J74" s="709"/>
      <c r="K74" s="842"/>
      <c r="M74" s="37"/>
    </row>
    <row r="75" spans="2:13" x14ac:dyDescent="0.2">
      <c r="F75" s="689"/>
      <c r="J75" s="709"/>
      <c r="K75" s="402" t="str">
        <f>J70&amp;" minus "&amp;J73</f>
        <v>c25.28 minus c25.30</v>
      </c>
      <c r="M75" s="37"/>
    </row>
    <row r="76" spans="2:13" x14ac:dyDescent="0.2">
      <c r="F76" s="689"/>
      <c r="J76" s="714" t="str">
        <f>A37</f>
        <v>c25.31</v>
      </c>
      <c r="K76" s="799">
        <f>MAX(0,K70-K73)</f>
        <v>0</v>
      </c>
      <c r="M76" s="37"/>
    </row>
    <row r="77" spans="2:13" x14ac:dyDescent="0.2">
      <c r="C77" s="801"/>
      <c r="D77" s="801"/>
      <c r="E77" s="801"/>
      <c r="F77" s="685"/>
      <c r="G77" s="685"/>
      <c r="H77" s="685"/>
      <c r="I77" s="685"/>
      <c r="J77" s="685"/>
      <c r="K77" s="802"/>
      <c r="L77" s="802"/>
      <c r="M77" s="37"/>
    </row>
    <row r="78" spans="2:13" x14ac:dyDescent="0.2">
      <c r="L78" s="404"/>
      <c r="M78" s="37"/>
    </row>
    <row r="79" spans="2:13" x14ac:dyDescent="0.2">
      <c r="B79" s="711" t="s">
        <v>670</v>
      </c>
      <c r="M79" s="37"/>
    </row>
    <row r="80" spans="2:13" x14ac:dyDescent="0.2">
      <c r="G80" s="120"/>
      <c r="H80" s="689" t="str">
        <f>"from "&amp;AIL&amp;AIL!G11</f>
        <v>from AIL13</v>
      </c>
      <c r="K80" s="2978" t="str">
        <f>G81&amp;" x Pen_Upayts ("&amp;Pen_Upayts*100&amp;"%)"</f>
        <v>c25.32 x Pen_Upayts (40%)</v>
      </c>
    </row>
    <row r="81" spans="2:12" x14ac:dyDescent="0.2">
      <c r="C81" s="803" t="s">
        <v>3828</v>
      </c>
      <c r="D81" s="803"/>
      <c r="E81" s="803"/>
      <c r="G81" s="714" t="str">
        <f>A38</f>
        <v>c25.32</v>
      </c>
      <c r="H81" s="122">
        <f>TRUNC(AIL!H12,0)</f>
        <v>0</v>
      </c>
      <c r="I81" s="929" t="s">
        <v>1743</v>
      </c>
      <c r="J81" s="714" t="str">
        <f>A39</f>
        <v>c25.33</v>
      </c>
      <c r="K81" s="799">
        <f>TRUNC(H81*Pen_Upayts,2)</f>
        <v>0</v>
      </c>
      <c r="L81" s="932" t="s">
        <v>2694</v>
      </c>
    </row>
    <row r="82" spans="2:12" x14ac:dyDescent="0.2">
      <c r="C82" s="749"/>
      <c r="D82" s="749"/>
      <c r="E82" s="749"/>
      <c r="F82" s="684"/>
      <c r="G82" s="684"/>
      <c r="J82" s="684"/>
    </row>
    <row r="83" spans="2:12" x14ac:dyDescent="0.2">
      <c r="C83" s="749"/>
      <c r="D83" s="749"/>
      <c r="E83" s="749"/>
      <c r="F83" s="684"/>
      <c r="G83" s="684"/>
      <c r="H83" s="689" t="str">
        <f>"from "&amp;AIL&amp;AIL!G14</f>
        <v>from AIL14</v>
      </c>
      <c r="J83" s="684"/>
      <c r="K83" s="2978" t="str">
        <f>G84&amp;" x Upayts_surcharge ("&amp;Upayts_surcharge*100&amp;"%)"</f>
        <v>c25.34 x Upayts_surcharge (55%)</v>
      </c>
    </row>
    <row r="84" spans="2:12" x14ac:dyDescent="0.2">
      <c r="C84" s="803" t="s">
        <v>3417</v>
      </c>
      <c r="D84" s="803"/>
      <c r="E84" s="803"/>
      <c r="G84" s="714" t="str">
        <f>A40</f>
        <v>c25.34</v>
      </c>
      <c r="H84" s="122">
        <f>TRUNC(AIL!H15,0)</f>
        <v>0</v>
      </c>
      <c r="I84" s="932" t="s">
        <v>1743</v>
      </c>
      <c r="J84" s="714" t="str">
        <f>A41</f>
        <v>c25.35</v>
      </c>
      <c r="K84" s="799">
        <f>TRUNC(H84*Upayts_surcharge,2)</f>
        <v>0</v>
      </c>
      <c r="L84" s="932" t="s">
        <v>2694</v>
      </c>
    </row>
    <row r="85" spans="2:12" x14ac:dyDescent="0.2">
      <c r="L85" s="37"/>
    </row>
    <row r="86" spans="2:12" x14ac:dyDescent="0.2">
      <c r="K86" s="93" t="str">
        <f>J81&amp;" + "&amp;J84</f>
        <v>c25.33 + c25.35</v>
      </c>
      <c r="L86" s="37"/>
    </row>
    <row r="87" spans="2:12" x14ac:dyDescent="0.2">
      <c r="C87" s="2984" t="s">
        <v>3418</v>
      </c>
      <c r="J87" s="714" t="str">
        <f>A42</f>
        <v>c25.36</v>
      </c>
      <c r="K87" s="799">
        <f>K81+K84</f>
        <v>0</v>
      </c>
      <c r="L87" s="37"/>
    </row>
    <row r="88" spans="2:12" x14ac:dyDescent="0.2">
      <c r="L88" s="37"/>
    </row>
    <row r="89" spans="2:12" x14ac:dyDescent="0.2">
      <c r="H89" s="689" t="str">
        <f>"from "&amp;AIL&amp;AIL!G17</f>
        <v>from AIL15</v>
      </c>
      <c r="K89" s="93" t="str">
        <f>"lower of "&amp;J87&amp;" and "&amp;G90</f>
        <v>lower of c25.36 and c25.37</v>
      </c>
      <c r="L89" s="37"/>
    </row>
    <row r="90" spans="2:12" x14ac:dyDescent="0.2">
      <c r="C90" s="749" t="s">
        <v>1344</v>
      </c>
      <c r="D90" s="749"/>
      <c r="E90" s="749"/>
      <c r="G90" s="714" t="str">
        <f>A43</f>
        <v>c25.37</v>
      </c>
      <c r="H90" s="122">
        <f>AIL!H18</f>
        <v>0</v>
      </c>
      <c r="J90" s="714" t="str">
        <f>A44</f>
        <v>c25.38</v>
      </c>
      <c r="K90" s="799">
        <f>MIN(K87,H90)</f>
        <v>0</v>
      </c>
      <c r="L90" s="37"/>
    </row>
    <row r="91" spans="2:12" x14ac:dyDescent="0.2">
      <c r="L91" s="37"/>
    </row>
    <row r="92" spans="2:12" x14ac:dyDescent="0.2">
      <c r="K92" s="93" t="str">
        <f>J87&amp;" minus "&amp;J90</f>
        <v>c25.36 minus c25.38</v>
      </c>
      <c r="L92" s="37"/>
    </row>
    <row r="93" spans="2:12" x14ac:dyDescent="0.2">
      <c r="C93" s="2984" t="s">
        <v>1343</v>
      </c>
      <c r="J93" s="714" t="str">
        <f>A45</f>
        <v>c25.39</v>
      </c>
      <c r="K93" s="799">
        <f>MAX(0,K87-K90)</f>
        <v>0</v>
      </c>
      <c r="L93" s="37"/>
    </row>
    <row r="94" spans="2:12" x14ac:dyDescent="0.2">
      <c r="B94" s="685"/>
      <c r="C94" s="801"/>
      <c r="D94" s="801"/>
      <c r="E94" s="801"/>
      <c r="F94" s="685"/>
      <c r="G94" s="685"/>
      <c r="H94" s="685"/>
      <c r="I94" s="685"/>
      <c r="J94" s="685"/>
      <c r="K94" s="802"/>
      <c r="L94" s="802"/>
    </row>
    <row r="95" spans="2:12" x14ac:dyDescent="0.2">
      <c r="L95" s="404"/>
    </row>
    <row r="96" spans="2:12" x14ac:dyDescent="0.2">
      <c r="B96" s="51" t="s">
        <v>671</v>
      </c>
      <c r="L96" s="37"/>
    </row>
    <row r="97" spans="2:12" x14ac:dyDescent="0.2">
      <c r="H97" s="689" t="str">
        <f>"from "&amp;AIL&amp;AIL!G20</f>
        <v>from AIL16</v>
      </c>
      <c r="L97" s="37"/>
    </row>
    <row r="98" spans="2:12" x14ac:dyDescent="0.2">
      <c r="C98" s="749" t="s">
        <v>672</v>
      </c>
      <c r="D98" s="749"/>
      <c r="E98" s="749"/>
      <c r="G98" s="714" t="str">
        <f>A46</f>
        <v>c25.40</v>
      </c>
      <c r="H98" s="122">
        <f>TRUNC(AIL!H21,0)</f>
        <v>0</v>
      </c>
      <c r="I98" s="932" t="s">
        <v>1743</v>
      </c>
      <c r="L98" s="37"/>
    </row>
    <row r="99" spans="2:12" x14ac:dyDescent="0.2">
      <c r="F99" s="749"/>
      <c r="G99" s="684"/>
      <c r="L99" s="37"/>
    </row>
    <row r="100" spans="2:12" x14ac:dyDescent="0.2">
      <c r="H100" s="93" t="str">
        <f>"SSR_lower_band ("&amp;DOLLAR(SSR_lower_band,0)&amp;")"</f>
        <v>SSR_lower_band ($20,000)</v>
      </c>
    </row>
    <row r="101" spans="2:12" x14ac:dyDescent="0.2">
      <c r="C101" s="1026" t="s">
        <v>4419</v>
      </c>
      <c r="F101" s="684"/>
      <c r="G101" s="714" t="str">
        <f>A47</f>
        <v>c25.41</v>
      </c>
      <c r="H101" s="1025">
        <f>SSR_lower_band</f>
        <v>20000</v>
      </c>
      <c r="I101" s="37"/>
      <c r="L101" s="37"/>
    </row>
    <row r="102" spans="2:12" x14ac:dyDescent="0.2">
      <c r="C102" s="2975"/>
      <c r="D102" s="2975"/>
      <c r="E102" s="2975"/>
      <c r="F102" s="709"/>
      <c r="G102" s="709"/>
      <c r="H102" s="37"/>
      <c r="I102" s="37"/>
    </row>
    <row r="103" spans="2:12" x14ac:dyDescent="0.2">
      <c r="F103" s="684"/>
      <c r="G103" s="684"/>
      <c r="H103" s="93" t="str">
        <f>"lower of "&amp;G98&amp;" and "&amp;G101</f>
        <v>lower of c25.40 and c25.41</v>
      </c>
      <c r="K103" s="2978" t="str">
        <f>G104&amp;" x SSR_lower_rate ("&amp;SSR_lower_rate*100&amp;"%)"</f>
        <v>c25.42 x SSR_lower_rate (20%)</v>
      </c>
      <c r="L103" s="37"/>
    </row>
    <row r="104" spans="2:12" x14ac:dyDescent="0.2">
      <c r="F104" s="689"/>
      <c r="G104" s="714" t="str">
        <f>A48</f>
        <v>c25.42</v>
      </c>
      <c r="H104" s="804">
        <f>MIN(H98,H101)</f>
        <v>0</v>
      </c>
      <c r="I104" s="37"/>
      <c r="J104" s="714" t="str">
        <f>A49</f>
        <v>c25.43</v>
      </c>
      <c r="K104" s="799">
        <f>TRUNC(H104*SSR_lower_rate,2)</f>
        <v>0</v>
      </c>
      <c r="L104" s="932" t="s">
        <v>2694</v>
      </c>
    </row>
    <row r="105" spans="2:12" x14ac:dyDescent="0.2">
      <c r="F105" s="684"/>
      <c r="G105" s="684"/>
      <c r="J105" s="684"/>
    </row>
    <row r="106" spans="2:12" x14ac:dyDescent="0.2">
      <c r="C106" s="2975"/>
      <c r="D106" s="2975"/>
      <c r="E106" s="2975"/>
      <c r="F106" s="709"/>
      <c r="G106" s="684"/>
      <c r="H106" s="2978" t="str">
        <f>G98&amp;" minus "&amp;G104</f>
        <v>c25.40 minus c25.42</v>
      </c>
      <c r="I106" s="37"/>
      <c r="J106" s="684"/>
      <c r="K106" s="2978" t="str">
        <f>G107&amp;" x SSR_higher_rate ("&amp;SSR_higher_rate*100&amp;"%)"</f>
        <v>c25.44 x SSR_higher_rate (50%)</v>
      </c>
    </row>
    <row r="107" spans="2:12" x14ac:dyDescent="0.2">
      <c r="F107" s="682"/>
      <c r="G107" s="714" t="str">
        <f>A50</f>
        <v>c25.44</v>
      </c>
      <c r="H107" s="799">
        <f>MAX(0,H98-H104)</f>
        <v>0</v>
      </c>
      <c r="I107" s="37"/>
      <c r="J107" s="714" t="str">
        <f>A51</f>
        <v>c25.45</v>
      </c>
      <c r="K107" s="799">
        <f>TRUNC(H107*SSR_higher_rate,2)</f>
        <v>0</v>
      </c>
      <c r="L107" s="932" t="s">
        <v>2694</v>
      </c>
    </row>
    <row r="108" spans="2:12" x14ac:dyDescent="0.2">
      <c r="C108" s="2975"/>
      <c r="D108" s="2975"/>
      <c r="E108" s="2975"/>
      <c r="F108" s="37"/>
      <c r="H108" s="37"/>
      <c r="I108" s="37"/>
      <c r="J108" s="684"/>
    </row>
    <row r="109" spans="2:12" x14ac:dyDescent="0.2">
      <c r="B109" s="51" t="s">
        <v>2385</v>
      </c>
      <c r="K109" s="93" t="str">
        <f>J104&amp;" + "&amp;J107</f>
        <v>c25.43 + c25.45</v>
      </c>
    </row>
    <row r="110" spans="2:12" x14ac:dyDescent="0.2">
      <c r="C110" s="2975" t="s">
        <v>2661</v>
      </c>
      <c r="D110" s="2975"/>
      <c r="E110" s="2975"/>
      <c r="F110" s="37"/>
      <c r="G110" s="37"/>
      <c r="H110" s="37"/>
      <c r="I110" s="37"/>
      <c r="J110" s="714" t="str">
        <f>A52</f>
        <v>c25.46</v>
      </c>
      <c r="K110" s="799">
        <f>K104+K107</f>
        <v>0</v>
      </c>
    </row>
    <row r="111" spans="2:12" x14ac:dyDescent="0.2">
      <c r="C111" s="2975"/>
      <c r="D111" s="2975"/>
      <c r="E111" s="2975"/>
      <c r="F111" s="37"/>
      <c r="G111" s="37"/>
      <c r="H111" s="37"/>
      <c r="I111" s="37"/>
      <c r="J111" s="709"/>
      <c r="K111" s="842"/>
    </row>
    <row r="112" spans="2:12" x14ac:dyDescent="0.2">
      <c r="H112" s="689" t="str">
        <f>"from "&amp;AIL&amp;AIL!G23</f>
        <v>from AIL18</v>
      </c>
      <c r="K112" s="379" t="str">
        <f>"lower of "&amp;J110&amp;" and "&amp;G113</f>
        <v>lower of c25.46 and c25.47</v>
      </c>
    </row>
    <row r="113" spans="2:12" x14ac:dyDescent="0.2">
      <c r="C113" s="749" t="s">
        <v>1344</v>
      </c>
      <c r="D113" s="749"/>
      <c r="E113" s="749"/>
      <c r="G113" s="2150" t="str">
        <f>A53</f>
        <v>c25.47</v>
      </c>
      <c r="H113" s="122">
        <f>AIL!H24</f>
        <v>0</v>
      </c>
      <c r="J113" s="2150" t="str">
        <f>A54</f>
        <v>c25.48</v>
      </c>
      <c r="K113" s="799">
        <f>MIN(K110,H113)</f>
        <v>0</v>
      </c>
    </row>
    <row r="115" spans="2:12" x14ac:dyDescent="0.2">
      <c r="K115" s="93" t="str">
        <f>J110&amp;" minus "&amp;J113</f>
        <v>c25.46 minus c25.48</v>
      </c>
    </row>
    <row r="116" spans="2:12" x14ac:dyDescent="0.2">
      <c r="C116" s="2984" t="s">
        <v>1367</v>
      </c>
      <c r="J116" s="2150" t="str">
        <f>A55</f>
        <v>c25.49</v>
      </c>
      <c r="K116" s="799">
        <f>MAX(0,K110-K113)</f>
        <v>0</v>
      </c>
    </row>
    <row r="117" spans="2:12" x14ac:dyDescent="0.2">
      <c r="B117" s="685"/>
      <c r="C117" s="801"/>
      <c r="D117" s="801"/>
      <c r="E117" s="801"/>
      <c r="F117" s="685"/>
      <c r="G117" s="685"/>
      <c r="H117" s="685"/>
      <c r="I117" s="685"/>
      <c r="J117" s="685"/>
      <c r="K117" s="802"/>
      <c r="L117" s="802"/>
    </row>
    <row r="118" spans="2:12" x14ac:dyDescent="0.2">
      <c r="L118" s="404"/>
    </row>
    <row r="119" spans="2:12" x14ac:dyDescent="0.2">
      <c r="B119" s="2983" t="s">
        <v>2662</v>
      </c>
    </row>
    <row r="120" spans="2:12" x14ac:dyDescent="0.2">
      <c r="B120" s="37"/>
    </row>
    <row r="121" spans="2:12" x14ac:dyDescent="0.2">
      <c r="B121" s="37"/>
      <c r="C121" s="4373"/>
      <c r="D121" s="1454"/>
      <c r="E121" s="1454"/>
      <c r="F121" s="1441"/>
      <c r="G121" s="1455"/>
    </row>
    <row r="122" spans="2:12" x14ac:dyDescent="0.2">
      <c r="C122" s="4355"/>
      <c r="D122" s="2975"/>
      <c r="E122" s="2975"/>
      <c r="F122" s="37"/>
      <c r="G122" s="1071"/>
    </row>
    <row r="123" spans="2:12" x14ac:dyDescent="0.2">
      <c r="B123" s="37"/>
      <c r="C123" s="4355"/>
      <c r="D123" s="2975"/>
      <c r="E123" s="2975"/>
      <c r="F123" s="37"/>
      <c r="G123" s="1071"/>
    </row>
    <row r="124" spans="2:12" x14ac:dyDescent="0.2">
      <c r="C124" s="4355"/>
      <c r="D124" s="2975"/>
      <c r="E124" s="2975"/>
      <c r="F124" s="37"/>
      <c r="G124" s="1071"/>
    </row>
    <row r="125" spans="2:12" x14ac:dyDescent="0.2">
      <c r="C125" s="4355"/>
      <c r="D125" s="2975"/>
      <c r="E125" s="2975"/>
      <c r="F125" s="37"/>
      <c r="G125" s="1071"/>
    </row>
    <row r="126" spans="2:12" x14ac:dyDescent="0.2">
      <c r="C126" s="4355"/>
      <c r="D126" s="2975"/>
      <c r="E126" s="2975"/>
      <c r="F126" s="37"/>
      <c r="G126" s="1071"/>
    </row>
    <row r="127" spans="2:12" x14ac:dyDescent="0.2">
      <c r="C127" s="4356"/>
      <c r="D127" s="1800"/>
      <c r="E127" s="1800"/>
      <c r="F127" s="1069"/>
      <c r="G127" s="1032"/>
    </row>
    <row r="128" spans="2:12" x14ac:dyDescent="0.2">
      <c r="I128" s="93"/>
      <c r="J128" s="93"/>
      <c r="K128" s="402" t="str">
        <f><![CDATA[J16&" + "&J65&" + "&J76&" + "&J93&" + "&J116]]></f>
        <v>c25.8 + c25.26 + c25.31 + c25.39 + c25.49</v>
      </c>
    </row>
    <row r="129" spans="2:12" x14ac:dyDescent="0.2">
      <c r="C129" s="749" t="s">
        <v>5877</v>
      </c>
      <c r="D129" s="2983"/>
      <c r="E129" s="2983"/>
      <c r="J129" s="2150" t="str">
        <f>A56</f>
        <v>c25.50</v>
      </c>
      <c r="K129" s="799">
        <f>K16+K65+K76+K93+K116</f>
        <v>0</v>
      </c>
    </row>
    <row r="130" spans="2:12" x14ac:dyDescent="0.2">
      <c r="C130" s="2982" t="s">
        <v>7056</v>
      </c>
      <c r="D130" s="2982"/>
      <c r="E130" s="2982"/>
      <c r="K130" s="379" t="str">
        <f>"Copy to "&amp;'Tax due (c12)'!F39</f>
        <v>Copy to c12.9</v>
      </c>
    </row>
    <row r="131" spans="2:12" x14ac:dyDescent="0.2">
      <c r="D131" s="93"/>
      <c r="E131" s="402" t="str">
        <f><![CDATA[J10&" + "&J59&" + "&J70&" + "&J87&" + "&J110]]></f>
        <v>c25.5 + c25.23 + c25.28 + c25.36 + c25.46</v>
      </c>
      <c r="F131" s="904"/>
      <c r="K131" s="379"/>
    </row>
    <row r="132" spans="2:12" x14ac:dyDescent="0.2">
      <c r="C132" s="2984" t="s">
        <v>2746</v>
      </c>
      <c r="D132" s="2150" t="str">
        <f>A57</f>
        <v>c25.51</v>
      </c>
      <c r="E132" s="799">
        <f>K10+K59+K70+K87+K110</f>
        <v>0</v>
      </c>
      <c r="F132" s="904"/>
      <c r="K132" s="379"/>
    </row>
    <row r="133" spans="2:12" x14ac:dyDescent="0.2">
      <c r="D133" s="2982"/>
      <c r="F133" s="904"/>
      <c r="K133" s="379"/>
    </row>
    <row r="134" spans="2:12" x14ac:dyDescent="0.2">
      <c r="C134" s="2982"/>
      <c r="D134" s="93"/>
      <c r="E134" s="402" t="str">
        <f><![CDATA[J13&" + "&J62&" + "&J73&" + "&J90&" + "&J113]]></f>
        <v>c25.7 + c25.25 + c25.30 + c25.38 + c25.48</v>
      </c>
      <c r="F134" s="904"/>
      <c r="K134" s="379"/>
    </row>
    <row r="135" spans="2:12" x14ac:dyDescent="0.2">
      <c r="C135" s="2984" t="s">
        <v>2749</v>
      </c>
      <c r="D135" s="2150" t="str">
        <f>A58</f>
        <v>c25.52</v>
      </c>
      <c r="E135" s="799">
        <f>K13+K62+K73+K90+K113</f>
        <v>0</v>
      </c>
      <c r="F135" s="904"/>
      <c r="K135" s="379"/>
    </row>
    <row r="136" spans="2:12" x14ac:dyDescent="0.2">
      <c r="B136" s="685"/>
      <c r="C136" s="801"/>
      <c r="D136" s="801"/>
      <c r="E136" s="801"/>
      <c r="F136" s="685"/>
      <c r="G136" s="685"/>
      <c r="H136" s="685"/>
      <c r="I136" s="685"/>
      <c r="J136" s="685"/>
      <c r="K136" s="802"/>
      <c r="L136" s="802"/>
    </row>
    <row r="137" spans="2:12" x14ac:dyDescent="0.2">
      <c r="L137" s="404"/>
    </row>
    <row ht="12.75" r="138" spans="2:12" x14ac:dyDescent="0.2">
      <c r="B138" s="779" t="s">
        <v>5883</v>
      </c>
    </row>
    <row r="139" spans="2:12" x14ac:dyDescent="0.2">
      <c r="H139" s="93" t="str">
        <f>"from "&amp;'Deductions (c4)'!H201</f>
        <v>from c4.58</v>
      </c>
    </row>
    <row r="140" spans="2:12" x14ac:dyDescent="0.2">
      <c r="C140" s="749" t="s">
        <v>5884</v>
      </c>
      <c r="G140" s="714" t="str">
        <f>A59</f>
        <v>c25.53</v>
      </c>
      <c r="H140" s="13">
        <f>'Deductions (c4)'!I201</f>
        <v>1000</v>
      </c>
    </row>
    <row r="142" spans="2:12" x14ac:dyDescent="0.2">
      <c r="K142" s="404" t="str">
        <f>G140&amp;" x BR_rate ("&amp;BR_rate*100&amp;"%)"</f>
        <v>c25.53 x BR_rate (20%)</v>
      </c>
    </row>
    <row r="143" spans="2:12" x14ac:dyDescent="0.2">
      <c r="C143" s="749" t="s">
        <v>5885</v>
      </c>
      <c r="J143" s="714" t="str">
        <f>A60</f>
        <v>c25.54</v>
      </c>
      <c r="K143" s="13">
        <f>TRUNC(H140*BR_rate,2)</f>
        <v>200</v>
      </c>
      <c r="L143" s="932" t="s">
        <v>2694</v>
      </c>
    </row>
    <row r="144" spans="2:12" x14ac:dyDescent="0.2">
      <c r="I144" s="981"/>
      <c r="J144" s="981"/>
    </row>
    <row r="145" spans="1:12" x14ac:dyDescent="0.2">
      <c r="J145" s="981"/>
      <c r="K145" s="93" t="str">
        <f>G140&amp;" x "&amp;'Status (c3a)'!L44</f>
        <v>c25.53 x c3a.4</v>
      </c>
    </row>
    <row r="146" spans="1:12" x14ac:dyDescent="0.2">
      <c r="C146" s="749" t="s">
        <v>5886</v>
      </c>
      <c r="J146" s="714" t="str">
        <f>A61</f>
        <v>c25.55</v>
      </c>
      <c r="K146" s="13">
        <f>TRUNC(H140*'Status (c3a)'!M44,4)</f>
        <v>200</v>
      </c>
      <c r="L146" s="1057" t="s">
        <v>2694</v>
      </c>
    </row>
    <row r="148" spans="1:12" x14ac:dyDescent="0.2">
      <c r="K148" s="379" t="str">
        <f>J143&amp;" minus "&amp;J146</f>
        <v>c25.54 minus c25.55</v>
      </c>
    </row>
    <row r="149" spans="1:12" x14ac:dyDescent="0.2">
      <c r="C149" s="749" t="s">
        <v>5888</v>
      </c>
      <c r="J149" s="714" t="str">
        <f>A62</f>
        <v>c25.56</v>
      </c>
      <c r="K149" s="13">
        <f>MAX(0,K143-K146)</f>
        <v>0</v>
      </c>
    </row>
    <row r="151" spans="1:12" x14ac:dyDescent="0.2">
      <c r="A151" s="2982" t="s">
        <v>2315</v>
      </c>
      <c r="K151" s="379" t="str">
        <f>J146&amp;" minus "&amp;J143</f>
        <v>c25.55 minus c25.54</v>
      </c>
    </row>
    <row r="152" spans="1:12" x14ac:dyDescent="0.2">
      <c r="A152" s="2982" t="s">
        <v>2316</v>
      </c>
      <c r="C152" s="749" t="s">
        <v>5894</v>
      </c>
      <c r="J152" s="714" t="str">
        <f>A63</f>
        <v>c25.57</v>
      </c>
      <c r="K152" s="13">
        <f>MAX(0,K146-K143)</f>
        <v>0</v>
      </c>
    </row>
    <row r="153" spans="1:12" x14ac:dyDescent="0.2">
      <c r="A153" s="2982" t="s">
        <v>2317</v>
      </c>
    </row>
    <row r="154" spans="1:12" x14ac:dyDescent="0.2">
      <c r="B154" s="685"/>
      <c r="C154" s="801"/>
      <c r="D154" s="801"/>
      <c r="E154" s="801"/>
      <c r="F154" s="685"/>
      <c r="G154" s="685"/>
      <c r="H154" s="685"/>
      <c r="I154" s="685"/>
      <c r="J154" s="685"/>
      <c r="K154" s="802"/>
      <c r="L154" s="802"/>
    </row>
    <row customFormat="1" r="155" s="3387" spans="1:12" x14ac:dyDescent="0.2">
      <c r="B155" s="37"/>
      <c r="C155" s="3386"/>
      <c r="D155" s="3386"/>
      <c r="E155" s="3386"/>
      <c r="F155" s="37"/>
      <c r="G155" s="37"/>
      <c r="H155" s="37"/>
      <c r="I155" s="37"/>
      <c r="J155" s="37"/>
      <c r="K155" s="842"/>
      <c r="L155" s="842"/>
    </row>
    <row r="156" spans="1:12" x14ac:dyDescent="0.2">
      <c r="G156" s="3028" t="s">
        <v>7394</v>
      </c>
      <c r="H156" s="3030"/>
      <c r="I156" s="3061"/>
      <c r="J156" s="3030"/>
      <c r="K156" s="3062"/>
      <c r="L156" s="404"/>
    </row>
    <row ht="12.75" r="157" spans="1:12" x14ac:dyDescent="0.2">
      <c r="B157" s="2734" t="s">
        <v>3527</v>
      </c>
      <c r="D157" s="2981"/>
      <c r="E157" s="2981"/>
      <c r="F157" s="51"/>
    </row>
    <row r="158" spans="1:12" x14ac:dyDescent="0.2">
      <c r="H158" s="691" t="str">
        <f>"from "&amp;INC&amp;'INC(2)'!C7</f>
        <v>from INC9</v>
      </c>
      <c r="I158" s="37"/>
    </row>
    <row r="159" spans="1:12" x14ac:dyDescent="0.2">
      <c r="G159" s="714" t="str">
        <f>A151</f>
        <v>c26.1</v>
      </c>
      <c r="H159" s="13">
        <f>TRUNC('INC(2)'!D8,0)</f>
        <v>0</v>
      </c>
      <c r="I159" s="932" t="s">
        <v>1743</v>
      </c>
    </row>
    <row r="160" spans="1:12" x14ac:dyDescent="0.2">
      <c r="C160" s="2984" t="str">
        <f>"If "&amp;G159&amp;" = 0 (zero) or"</f>
        <v>If c26.1 = 0 (zero) or</v>
      </c>
    </row>
    <row r="161" spans="3:12" x14ac:dyDescent="0.2">
      <c r="C161" s="852" t="str">
        <f>'Taxable (c5)'!BA309&amp;" = 0 (zero)"</f>
        <v>c5.86 = 0 (zero)</v>
      </c>
    </row>
    <row r="162" spans="3:12" x14ac:dyDescent="0.2">
      <c r="C162" s="930" t="str">
        <f>"Set "&amp;G184&amp;" to "&amp;J184&amp;" to 0 (zero)"</f>
        <v>Set c26.2 to c26.3 to 0 (zero)</v>
      </c>
    </row>
    <row r="163" spans="3:12" x14ac:dyDescent="0.2">
      <c r="C163" s="2984" t="s">
        <v>2386</v>
      </c>
      <c r="H163" s="2984" t="str">
        <f><![CDATA["If "&'Taxable (c5)'!BA309&" is greater than ("&'Status (c3a)'!AA33&" + "&'Deductions (c4)'!H204&")"]]></f>
        <v>If c5.86 is greater than (c3a.3a + c4.59)</v>
      </c>
      <c r="L163" s="2835"/>
    </row>
    <row r="164" spans="3:12" x14ac:dyDescent="0.2">
      <c r="H164" s="2984" t="str">
        <f>G184&amp;" = "&amp;'Status (c3a)'!AA44</f>
        <v>c26.2 = c3a.6</v>
      </c>
      <c r="L164" s="2833"/>
    </row>
    <row r="165" spans="3:12" x14ac:dyDescent="0.2">
      <c r="H165" s="2984" t="s">
        <v>2386</v>
      </c>
    </row>
    <row r="166" spans="3:12" x14ac:dyDescent="0.2">
      <c r="H166" s="852" t="str">
        <f><![CDATA["if "&'Taxable (c5)'!BA309&" is greater than ("&'Status (c3a)'!H33&" + "&'Status (c3a)'!L33&" + "&'Status (c3a)'!P33&" + "&'Deductions (c4)'!H204&")"]]></f>
        <v>if c5.86 is greater than (c3a.1a + c3a.2 + c3a.2a + c4.59)</v>
      </c>
      <c r="L166" s="2835"/>
    </row>
    <row r="167" spans="3:12" x14ac:dyDescent="0.2">
      <c r="H167" s="1221" t="str">
        <f>G184&amp;" = "&amp;'Status (c3a)'!X44</f>
        <v>c26.2 = c3a.5</v>
      </c>
      <c r="L167" s="2834"/>
    </row>
    <row r="168" spans="3:12" x14ac:dyDescent="0.2">
      <c r="H168" s="1221" t="s">
        <v>2386</v>
      </c>
    </row>
    <row r="169" spans="3:12" x14ac:dyDescent="0.2">
      <c r="H169" s="930" t="str">
        <f><![CDATA["if "&'Status (c3a)'!D21&" = 2 and "&'Taxable (c5)'!BA309&" is greater than ("&'Status (c3a)'!H33&" + "&'Status (c3a)'!L33&" + "&'Deductions (c4)'!H204&")"]]></f>
        <v>if c3a.1 = 2 and c5.86 is greater than (c3a.1a + c3a.2 + c4.59)</v>
      </c>
      <c r="L169" s="2674"/>
    </row>
    <row r="170" spans="3:12" x14ac:dyDescent="0.2">
      <c r="H170" s="1223" t="str">
        <f>G184&amp;" = "&amp;'Status (c3a)'!P44</f>
        <v>c26.2 = c3a.4a</v>
      </c>
      <c r="L170" s="2833"/>
    </row>
    <row r="171" spans="3:12" x14ac:dyDescent="0.2">
      <c r="H171" s="1223" t="s">
        <v>2386</v>
      </c>
    </row>
    <row r="172" spans="3:12" x14ac:dyDescent="0.2">
      <c r="H172" s="1221" t="str">
        <f>"if "&amp;'Taxable (c5)'!BA309&amp;" is greater than "&amp;'Status (c3a)'!H33</f>
        <v>if c5.86 is greater than c3a.1a</v>
      </c>
      <c r="L172" s="2835"/>
    </row>
    <row r="173" spans="3:12" x14ac:dyDescent="0.2">
      <c r="H173" s="2838" t="str">
        <f>G184&amp;" = "&amp;'Status (c3a)'!L44</f>
        <v>c26.2 = c3a.4</v>
      </c>
      <c r="L173" s="2833"/>
    </row>
    <row r="174" spans="3:12" x14ac:dyDescent="0.2">
      <c r="H174" s="2838" t="s">
        <v>2386</v>
      </c>
    </row>
    <row r="175" spans="3:12" x14ac:dyDescent="0.2">
      <c r="H175" s="3063" t="str">
        <f>"if "&amp;'Status (c3a)'!D21&amp;" = 2 and "&amp;'Taxable (c5)'!BA309&amp;" is greater than 0 (zero)"</f>
        <v>if c3a.1 = 2 and c5.86 is greater than 0 (zero)</v>
      </c>
      <c r="L175" s="2835"/>
    </row>
    <row r="176" spans="3:12" x14ac:dyDescent="0.2">
      <c r="H176" s="2159" t="str">
        <f>G184&amp;" = "&amp;'Status (c3a)'!H44</f>
        <v>c26.2 = c3a.3b</v>
      </c>
      <c r="L176" s="2833"/>
    </row>
    <row r="177" spans="3:12" x14ac:dyDescent="0.2">
      <c r="H177" s="2159" t="s">
        <v>2386</v>
      </c>
    </row>
    <row r="178" spans="3:12" x14ac:dyDescent="0.2">
      <c r="H178" s="3064" t="str">
        <f>G184&amp;" = 0 (zero)"</f>
        <v>c26.2 = 0 (zero)</v>
      </c>
      <c r="L178" s="2833"/>
    </row>
    <row r="179" spans="3:12" x14ac:dyDescent="0.2">
      <c r="H179" s="3065" t="s">
        <v>2495</v>
      </c>
    </row>
    <row r="180" spans="3:12" x14ac:dyDescent="0.2">
      <c r="H180" s="3066" t="s">
        <v>2495</v>
      </c>
    </row>
    <row r="181" spans="3:12" x14ac:dyDescent="0.2">
      <c r="H181" s="3067" t="s">
        <v>2495</v>
      </c>
    </row>
    <row r="182" spans="3:12" x14ac:dyDescent="0.2">
      <c r="C182" s="1801"/>
      <c r="D182" s="1801"/>
      <c r="E182" s="1801"/>
      <c r="F182" s="981"/>
      <c r="H182" s="2836" t="s">
        <v>2495</v>
      </c>
    </row>
    <row r="183" spans="3:12" x14ac:dyDescent="0.2">
      <c r="G183" s="981"/>
      <c r="H183" s="2837" t="s">
        <v>2495</v>
      </c>
      <c r="K183" s="93" t="str">
        <f>G159&amp;" x "&amp;G184</f>
        <v>c26.1 x c26.2</v>
      </c>
    </row>
    <row r="184" spans="3:12" x14ac:dyDescent="0.2">
      <c r="G184" s="714" t="str">
        <f>A152</f>
        <v>c26.2</v>
      </c>
      <c r="H184" s="1315">
        <f>IF(H159=0,0,IF('Taxable (c5)'!BB309=0,0,IF('Taxable (c5)'!BB309&gt;('Status (c3a)'!AB33+'Deductions (c4)'!I204),'Status (c3a)'!AB44,IF('Taxable (c5)'!BB309&gt;('Status (c3a)'!I33+'Status (c3a)'!M33+'Status (c3a)'!Q33+'Deductions (c4)'!I204),'Status (c3a)'!Y44,IF(AND('Status (c3a)'!E21=2,'Taxable (c5)'!BB309&gt;('Status (c3a)'!I33+'Status (c3a)'!M33+'Deductions (c4)'!I204)),'Status (c3a)'!Q44,IF('Taxable (c5)'!BB309&gt;'Status (c3a)'!I33,'Status (c3a)'!M44,IF(AND('Status (c3a)'!E21=2,'Taxable (c5)'!BB309&gt;0),'Status (c3a)'!I44,0)))))))</f>
        <v>0</v>
      </c>
      <c r="J184" s="714" t="str">
        <f>A153</f>
        <v>c26.3</v>
      </c>
      <c r="K184" s="799">
        <f>IF(H159=0,0,IF('Taxable (c5)'!BB309=0,0,TRUNC(H159*H184,2)))</f>
        <v>0</v>
      </c>
      <c r="L184" s="932" t="s">
        <v>2694</v>
      </c>
    </row>
    <row r="185" spans="3:12" x14ac:dyDescent="0.2">
      <c r="K185" s="379" t="str">
        <f>"Copy to "&amp;'Tax due (c12)'!F42</f>
        <v>Copy to c12.10</v>
      </c>
    </row>
    <row r="186" spans="3:12" x14ac:dyDescent="0.2">
      <c r="C186" s="2984" t="s">
        <v>2495</v>
      </c>
    </row>
    <row r="212" spans="11:11" x14ac:dyDescent="0.2">
      <c r="K212" s="379"/>
    </row>
  </sheetData>
  <phoneticPr fontId="67" type="noConversion"/>
  <pageMargins bottom="0.196850393700787" footer="0" header="0" left="0.196850393700787" right="0.196850393700787" top="0.196850393700787"/>
  <pageSetup orientation="portrait" paperSize="9" r:id="rId1"/>
  <headerFooter alignWithMargins="0"/>
</worksheet>
</file>

<file path=xl/worksheets/sheet84.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300-000000000000}">
  <sheetPr codeName="Sheet35">
    <tabColor theme="9" tint="0.39997558519241921"/>
  </sheetPr>
  <dimension ref="A1:S275"/>
  <sheetViews>
    <sheetView showGridLines="0" topLeftCell="B1" workbookViewId="0">
      <selection activeCell="Q260" sqref="Q260"/>
    </sheetView>
  </sheetViews>
  <sheetFormatPr defaultColWidth="9.140625" defaultRowHeight="12" x14ac:dyDescent="0.2"/>
  <cols>
    <col min="1" max="1" customWidth="true" hidden="true" style="386" width="8.5703125" collapsed="true"/>
    <col min="2" max="2" customWidth="true" style="389" width="23.85546875" collapsed="true"/>
    <col min="3" max="3" customWidth="true" style="389" width="5.28515625" collapsed="true"/>
    <col min="4" max="4" customWidth="true" style="389" width="14.0" collapsed="true"/>
    <col min="5" max="5" customWidth="true" style="386" width="24.42578125" collapsed="true"/>
    <col min="6" max="6" customWidth="true" style="412" width="6.7109375" collapsed="true"/>
    <col min="7" max="7" customWidth="true" style="386" width="12.7109375" collapsed="true"/>
    <col min="8" max="8" customWidth="true" style="386" width="6.85546875" collapsed="true"/>
    <col min="9" max="9" customWidth="true" style="412" width="54.0" collapsed="true"/>
    <col min="10" max="10" customWidth="true" style="386" width="6.28515625" collapsed="true"/>
    <col min="11" max="11" customWidth="true" style="386" width="12.7109375" collapsed="true"/>
    <col min="12" max="12" bestFit="true" customWidth="true" style="386" width="6.28515625" collapsed="true"/>
    <col min="13" max="13" customWidth="true" style="386" width="12.7109375" collapsed="true"/>
    <col min="14" max="15" customWidth="true" style="386" width="5.0" collapsed="true"/>
    <col min="16" max="16384" style="386" width="9.140625" collapsed="true"/>
  </cols>
  <sheetData>
    <row ht="20.25" r="1" spans="1:13" x14ac:dyDescent="0.3">
      <c r="A1" s="2674" t="s">
        <v>2854</v>
      </c>
      <c r="B1" s="2735" t="s">
        <v>2663</v>
      </c>
      <c r="C1" s="756"/>
      <c r="D1" s="756"/>
      <c r="G1" s="3069" t="s">
        <v>7394</v>
      </c>
      <c r="H1" s="3070"/>
      <c r="I1" s="3070"/>
      <c r="J1" s="3070"/>
      <c r="K1" s="3071"/>
    </row>
    <row r="2" spans="1:13" x14ac:dyDescent="0.2">
      <c r="A2" s="2810" t="s">
        <v>7081</v>
      </c>
      <c r="B2" s="974"/>
    </row>
    <row r="3" spans="1:13" x14ac:dyDescent="0.2">
      <c r="A3" s="2810" t="s">
        <v>7082</v>
      </c>
      <c r="E3" s="2674"/>
      <c r="F3" s="2687"/>
      <c r="G3" s="2674"/>
      <c r="H3" s="2674"/>
      <c r="I3" s="2687"/>
    </row>
    <row r="4" spans="1:13" x14ac:dyDescent="0.2">
      <c r="A4" s="2810" t="s">
        <v>7083</v>
      </c>
      <c r="B4" s="386"/>
      <c r="C4" s="386"/>
      <c r="D4" s="386"/>
      <c r="E4" s="2674"/>
      <c r="F4" s="2687"/>
      <c r="G4" s="2674"/>
      <c r="H4" s="2674"/>
      <c r="I4" s="4426" t="s">
        <v>3937</v>
      </c>
    </row>
    <row r="5" spans="1:13" x14ac:dyDescent="0.2">
      <c r="A5" s="386" t="s">
        <v>2855</v>
      </c>
      <c r="B5" s="386"/>
      <c r="C5" s="386"/>
      <c r="D5" s="386"/>
      <c r="E5" s="2674"/>
      <c r="F5" s="2681" t="s">
        <v>55</v>
      </c>
      <c r="G5" s="2706">
        <f>TRUNC(MAX(0,EMP!S5+TRUNC(EMP!D26+EMP!H26,0)-EMP!S31),0)</f>
        <v>33254</v>
      </c>
      <c r="H5" s="2674"/>
      <c r="I5" s="2700"/>
    </row>
    <row r="6" spans="1:13" x14ac:dyDescent="0.2">
      <c r="A6" s="386" t="s">
        <v>2856</v>
      </c>
      <c r="B6" s="386"/>
      <c r="C6" s="386"/>
      <c r="D6" s="386"/>
      <c r="E6" s="2674"/>
      <c r="F6" s="2681" t="s">
        <v>56</v>
      </c>
      <c r="G6" s="2706">
        <f>TRUNC(MAX(0,EMP!T5+TRUNC(EMP!L26+EMP!P26,0)-EMP!T31),0)</f>
        <v>0</v>
      </c>
      <c r="H6" s="2674"/>
      <c r="I6" s="2683"/>
    </row>
    <row r="7" spans="1:13" x14ac:dyDescent="0.2">
      <c r="A7" s="386" t="s">
        <v>4024</v>
      </c>
      <c r="B7" s="389" t="s">
        <v>2563</v>
      </c>
      <c r="C7" s="386"/>
      <c r="D7" s="386"/>
      <c r="F7" s="386"/>
      <c r="I7" s="2705"/>
    </row>
    <row r="8" spans="1:13" x14ac:dyDescent="0.2">
      <c r="A8" s="386" t="s">
        <v>4025</v>
      </c>
      <c r="B8" s="389" t="str">
        <f>"Complete box "&amp;F16&amp;" for each instance of the employment schedule"</f>
        <v>Complete box c27.1c for each instance of the employment schedule</v>
      </c>
      <c r="C8" s="386"/>
      <c r="D8" s="386"/>
      <c r="F8" s="386"/>
      <c r="I8" s="2705"/>
    </row>
    <row r="9" spans="1:13" x14ac:dyDescent="0.2">
      <c r="A9" s="2674" t="s">
        <v>2017</v>
      </c>
      <c r="B9" s="386"/>
      <c r="C9" s="386"/>
      <c r="D9" s="386"/>
      <c r="F9" s="2673"/>
      <c r="G9" s="2697" t="str">
        <f><![CDATA[EMP&EMP!C4&" + "&EMP&EMP!C10&" + "&EMP&EMP!C25&" + "&EMP&EMP!G25]]></f>
        <v>EMP1 + EMP3 + EMP12 + EMP16</v>
      </c>
      <c r="I9" s="2705"/>
    </row>
    <row r="10" spans="1:13" x14ac:dyDescent="0.2">
      <c r="A10" s="2674"/>
      <c r="B10" s="386"/>
      <c r="C10" s="386"/>
      <c r="D10" s="386"/>
      <c r="E10" s="2713" t="s">
        <v>6969</v>
      </c>
      <c r="F10" s="2696" t="str">
        <f>A2</f>
        <v>c27.1a</v>
      </c>
      <c r="G10" s="1457"/>
      <c r="H10" s="999" t="s">
        <v>4948</v>
      </c>
      <c r="I10" s="2705"/>
    </row>
    <row r="11" spans="1:13" x14ac:dyDescent="0.2">
      <c r="A11" s="2810" t="s">
        <v>7084</v>
      </c>
      <c r="B11" s="386"/>
      <c r="C11" s="386"/>
      <c r="D11" s="386"/>
      <c r="F11" s="386"/>
      <c r="I11" s="2705"/>
    </row>
    <row r="12" spans="1:13" x14ac:dyDescent="0.2">
      <c r="A12" s="2810" t="s">
        <v>7085</v>
      </c>
      <c r="B12" s="386"/>
      <c r="C12" s="386"/>
      <c r="D12" s="386"/>
      <c r="F12" s="386"/>
      <c r="G12" s="2697" t="str">
        <f><![CDATA[EMP&EMP!C30&" + "&EMP&EMP!C33&" + "&EMP&EMP!G30&" + "&EMP&EMP!G33]]></f>
        <v>EMP17 + EMP18 + EMP19 + EMP20</v>
      </c>
      <c r="H12" s="2673"/>
      <c r="I12" s="2705"/>
    </row>
    <row r="13" spans="1:13" x14ac:dyDescent="0.2">
      <c r="A13" s="2810" t="s">
        <v>7086</v>
      </c>
      <c r="B13" s="386"/>
      <c r="C13" s="386"/>
      <c r="D13" s="386"/>
      <c r="E13" s="2713" t="s">
        <v>6969</v>
      </c>
      <c r="F13" s="2696" t="str">
        <f>A3</f>
        <v>c27.1b</v>
      </c>
      <c r="G13" s="1457"/>
      <c r="H13" s="929" t="s">
        <v>6948</v>
      </c>
      <c r="I13" s="2673"/>
    </row>
    <row r="14" spans="1:13" x14ac:dyDescent="0.2">
      <c r="A14" s="386" t="s">
        <v>1156</v>
      </c>
      <c r="D14" s="2650"/>
      <c r="E14" s="2674"/>
      <c r="F14" s="386"/>
      <c r="J14" s="2687"/>
      <c r="K14" s="2681" t="str">
        <f><![CDATA["Total all instances "&EMP&EMP!C4&", "&EMP&EMP!C10&", "&EMP&EMP!C25&", and "&EMP&EMP!G25]]></f>
        <v>Total all instances EMP1, EMP3, EMP12, and EMP16</v>
      </c>
      <c r="L14" s="2674"/>
    </row>
    <row r="15" spans="1:13" x14ac:dyDescent="0.2">
      <c r="A15" s="386" t="s">
        <v>1157</v>
      </c>
      <c r="D15" s="2650"/>
      <c r="E15" s="2674"/>
      <c r="F15" s="2686"/>
      <c r="G15" s="93" t="str">
        <f>F10&amp;" minus "&amp;F13</f>
        <v>c27.1a minus c27.1b</v>
      </c>
      <c r="I15" s="386"/>
      <c r="J15" s="2674"/>
      <c r="K15" s="2681" t="str">
        <f>"minus total all instances "&amp;EMP&amp;EMP!C30&amp;" to "&amp;EMP&amp;EMP!G33</f>
        <v>minus total all instances EMP17 to EMP20</v>
      </c>
      <c r="L15" s="2674"/>
      <c r="M15" s="2673"/>
    </row>
    <row r="16" spans="1:13" x14ac:dyDescent="0.2">
      <c r="A16" s="3179" t="s">
        <v>7430</v>
      </c>
      <c r="B16" s="386"/>
      <c r="C16" s="386"/>
      <c r="D16" s="2674"/>
      <c r="E16" s="2713" t="s">
        <v>6969</v>
      </c>
      <c r="F16" s="2698" t="str">
        <f>A4</f>
        <v>c27.1c</v>
      </c>
      <c r="G16" s="1457"/>
      <c r="I16" s="386"/>
      <c r="J16" s="2699" t="str">
        <f>A1</f>
        <v>c27.1</v>
      </c>
      <c r="K16" s="2700">
        <f>G5+G6</f>
        <v>33254</v>
      </c>
      <c r="L16" s="2701" t="s">
        <v>1743</v>
      </c>
    </row>
    <row r="17" spans="1:18" x14ac:dyDescent="0.2">
      <c r="A17" s="3179" t="s">
        <v>7431</v>
      </c>
      <c r="B17" s="386"/>
      <c r="C17" s="386"/>
      <c r="D17" s="386"/>
      <c r="F17" s="386"/>
      <c r="G17" s="782"/>
      <c r="I17" s="386"/>
    </row>
    <row r="18" spans="1:18" x14ac:dyDescent="0.2">
      <c r="A18" s="3329" t="s">
        <v>7057</v>
      </c>
      <c r="B18" s="37" t="s">
        <v>7</v>
      </c>
      <c r="G18" s="703" t="str">
        <f><![CDATA[ASE&ASE!C5&" + "&ASE&ASE!C8&" + "&ASE&ASE!C11&" + "&ASE&ASE!C14]]></f>
        <v>ASE1 + ASE3 + ASE4 + ASE5</v>
      </c>
    </row>
    <row r="19" spans="1:18" x14ac:dyDescent="0.2">
      <c r="A19" s="2771" t="s">
        <v>7058</v>
      </c>
      <c r="B19" s="386"/>
      <c r="C19" s="386"/>
      <c r="D19" s="386"/>
      <c r="F19" s="757" t="str">
        <f>A5</f>
        <v>c27.2</v>
      </c>
      <c r="G19" s="783">
        <f>TRUNC(ASE!D6+ASE!D9+ASE!D12+ASE!D15,0)</f>
        <v>0</v>
      </c>
      <c r="H19" s="929" t="s">
        <v>1743</v>
      </c>
      <c r="J19" s="1458"/>
      <c r="K19" s="1458"/>
    </row>
    <row r="20" spans="1:18" x14ac:dyDescent="0.2">
      <c r="A20" s="2771" t="s">
        <v>7059</v>
      </c>
      <c r="B20" s="386"/>
      <c r="C20" s="386"/>
      <c r="D20" s="386"/>
      <c r="F20" s="386"/>
      <c r="I20" s="386"/>
      <c r="J20" s="1458"/>
      <c r="K20" s="1456"/>
    </row>
    <row r="21" spans="1:18" x14ac:dyDescent="0.2">
      <c r="A21" s="386" t="s">
        <v>1158</v>
      </c>
      <c r="B21" s="386"/>
      <c r="C21" s="386"/>
      <c r="D21" s="386"/>
      <c r="F21" s="386"/>
      <c r="G21" s="698" t="str">
        <f>"Total all instances "&amp;F16&amp;" + "&amp;F19</f>
        <v>Total all instances c27.1c + c27.2</v>
      </c>
      <c r="I21" s="386"/>
      <c r="J21" s="2674"/>
      <c r="K21" s="2695" t="str">
        <f>F16&amp;" + "&amp;F19</f>
        <v>c27.1c + c27.2</v>
      </c>
    </row>
    <row r="22" spans="1:18" x14ac:dyDescent="0.2">
      <c r="A22" s="386" t="s">
        <v>1159</v>
      </c>
      <c r="B22" s="386"/>
      <c r="C22" s="386"/>
      <c r="D22" s="386"/>
      <c r="F22" s="757" t="str">
        <f>A6</f>
        <v>c27.3</v>
      </c>
      <c r="G22" s="783">
        <f>K16+G19</f>
        <v>33254</v>
      </c>
      <c r="I22" s="386"/>
      <c r="J22" s="2702" t="str">
        <f>A6</f>
        <v>c27.3</v>
      </c>
      <c r="K22" s="2703"/>
    </row>
    <row r="23" spans="1:18" x14ac:dyDescent="0.2">
      <c r="A23" s="386" t="s">
        <v>3061</v>
      </c>
      <c r="B23" s="386"/>
      <c r="C23" s="386"/>
      <c r="D23" s="386"/>
      <c r="F23" s="386"/>
      <c r="I23" s="386"/>
      <c r="J23" s="1458"/>
      <c r="K23" s="1458"/>
    </row>
    <row r="24" spans="1:18" x14ac:dyDescent="0.2">
      <c r="A24" s="386" t="s">
        <v>3062</v>
      </c>
      <c r="G24" s="703" t="str">
        <f><![CDATA[ASE&ASE!G11&" + "&ASE&ASE!G14&" + "&ASE&ASE!G17]]></f>
        <v>ASE11 + ASE12 + ASE13</v>
      </c>
      <c r="J24" s="1458"/>
      <c r="K24" s="1458"/>
    </row>
    <row r="25" spans="1:18" x14ac:dyDescent="0.2">
      <c r="A25" s="386" t="s">
        <v>3063</v>
      </c>
      <c r="B25" s="386"/>
      <c r="C25" s="386"/>
      <c r="D25" s="386"/>
      <c r="F25" s="757" t="str">
        <f>A7</f>
        <v>c27.4</v>
      </c>
      <c r="G25" s="752">
        <f>TRUNC(ASE!H12+ASE!H15+ASE!H18+0.99,0)</f>
        <v>0</v>
      </c>
      <c r="H25" s="929" t="s">
        <v>3701</v>
      </c>
      <c r="I25" s="386"/>
      <c r="J25" s="1458"/>
      <c r="K25" s="1458"/>
    </row>
    <row r="26" spans="1:18" x14ac:dyDescent="0.2">
      <c r="A26" s="386" t="s">
        <v>3064</v>
      </c>
      <c r="I26" s="386"/>
      <c r="J26" s="1458"/>
      <c r="K26" s="1458"/>
    </row>
    <row r="27" spans="1:18" x14ac:dyDescent="0.2">
      <c r="A27" s="386" t="s">
        <v>3065</v>
      </c>
      <c r="F27" s="386"/>
      <c r="G27" s="698" t="str">
        <f>F22&amp;" minus "&amp;F25</f>
        <v>c27.3 minus c27.4</v>
      </c>
      <c r="I27" s="386"/>
      <c r="J27" s="1458"/>
      <c r="K27" s="1458"/>
      <c r="P27" s="121"/>
    </row>
    <row r="28" spans="1:18" x14ac:dyDescent="0.2">
      <c r="A28" s="386" t="s">
        <v>3187</v>
      </c>
      <c r="B28" s="4459" t="s">
        <v>3377</v>
      </c>
      <c r="C28" s="4421"/>
      <c r="D28" s="4421"/>
      <c r="F28" s="757" t="str">
        <f>A8</f>
        <v>c27.5</v>
      </c>
      <c r="G28" s="752">
        <f>MAX(G22-G25,0)</f>
        <v>33254</v>
      </c>
      <c r="I28" s="386"/>
      <c r="J28" s="1458"/>
      <c r="K28" s="1458"/>
    </row>
    <row r="29" spans="1:18" x14ac:dyDescent="0.2">
      <c r="A29" s="2290" t="s">
        <v>6895</v>
      </c>
      <c r="B29" s="4419" t="s">
        <v>3937</v>
      </c>
      <c r="C29" s="4420"/>
      <c r="D29" s="4420"/>
      <c r="E29" s="4421"/>
      <c r="J29" s="1458"/>
      <c r="K29" s="1458"/>
    </row>
    <row r="30" spans="1:18" x14ac:dyDescent="0.2">
      <c r="A30" s="386" t="s">
        <v>3188</v>
      </c>
      <c r="B30" s="4418" t="str">
        <f>"Complete box "&amp;F38&amp;" for each instance of employment where EMP8 = Y"</f>
        <v>Complete box c27.6c for each instance of employment where EMP8 = Y</v>
      </c>
      <c r="C30" s="4420"/>
      <c r="D30" s="4420"/>
      <c r="E30" s="4421"/>
      <c r="J30" s="1458"/>
      <c r="K30" s="1458"/>
    </row>
    <row r="31" spans="1:18" x14ac:dyDescent="0.2">
      <c r="A31" s="386" t="s">
        <v>3189</v>
      </c>
      <c r="B31" s="386"/>
      <c r="F31" s="2673"/>
      <c r="G31" s="4416" t="s">
        <v>6393</v>
      </c>
      <c r="I31" s="2704"/>
      <c r="J31" s="2687"/>
      <c r="L31" s="2674"/>
      <c r="M31" s="2674"/>
      <c r="N31" s="2674"/>
      <c r="O31" s="2674"/>
      <c r="P31" s="2674"/>
      <c r="Q31" s="2674"/>
      <c r="R31" s="2674"/>
    </row>
    <row r="32" spans="1:18" x14ac:dyDescent="0.2">
      <c r="A32" s="386" t="s">
        <v>3190</v>
      </c>
      <c r="E32" s="4442" t="s">
        <v>6969</v>
      </c>
      <c r="F32" s="2698" t="str">
        <f>A11</f>
        <v>c27.6a</v>
      </c>
      <c r="G32" s="4417"/>
      <c r="H32" s="4441" t="s">
        <v>4948</v>
      </c>
      <c r="J32" s="4422"/>
      <c r="K32" s="4423" t="str">
        <f>"If "&amp;EMP&amp;EMP!G11&amp;" = Y"</f>
        <v>If EMP = Y</v>
      </c>
      <c r="L32" s="4424"/>
      <c r="M32" s="4424"/>
      <c r="N32" s="4424"/>
      <c r="O32" s="4424"/>
      <c r="P32" s="4424"/>
      <c r="Q32" s="4424"/>
      <c r="R32" s="4424"/>
    </row>
    <row r="33" spans="1:18" x14ac:dyDescent="0.2">
      <c r="A33" s="386" t="s">
        <v>3191</v>
      </c>
      <c r="C33" s="386"/>
      <c r="D33" s="386"/>
      <c r="F33" s="386"/>
      <c r="G33" s="4398"/>
      <c r="I33" s="386"/>
      <c r="J33" s="4422"/>
      <c r="K33" s="4423" t="str">
        <f><![CDATA[J38&" = Total all instances "&EMP&EMP!C4&", "&EMP&EMP!C10&", "&EMP&EMP!C25&", and "&EMP&EMP!G25&" (where "&EMP&EMP!G11&" = Y)"]]></f>
        <v>c27.6 = Total all instances EMP1, EMP3, EMP12, and EMP16 (where EMP = Y)</v>
      </c>
      <c r="L33" s="4424"/>
      <c r="M33" s="4425"/>
      <c r="N33" s="4426"/>
      <c r="O33" s="4426"/>
      <c r="P33" s="4424"/>
      <c r="Q33" s="4424"/>
      <c r="R33" s="4424"/>
    </row>
    <row r="34" spans="1:18" x14ac:dyDescent="0.2">
      <c r="A34" s="386" t="s">
        <v>3192</v>
      </c>
      <c r="C34" s="386"/>
      <c r="D34" s="386"/>
      <c r="F34" s="2686"/>
      <c r="G34" s="4416" t="s">
        <v>6393</v>
      </c>
      <c r="I34" s="386"/>
      <c r="J34" s="4422"/>
      <c r="K34" s="4427" t="str">
        <f><![CDATA["minus total all instances "&EMP&EMP!C30&" to "&EMP&EMP!G33&" (where "&EMP&EMP!G11&" = Y)"]]></f>
        <v>minus total all instances EMP17 to EMP20 (where EMP = Y)</v>
      </c>
      <c r="L34" s="4424"/>
      <c r="M34" s="4425"/>
      <c r="N34" s="4426"/>
      <c r="O34" s="4426"/>
      <c r="P34" s="4424"/>
      <c r="Q34" s="4424"/>
      <c r="R34" s="4424"/>
    </row>
    <row r="35" spans="1:18" x14ac:dyDescent="0.2">
      <c r="A35" s="386" t="s">
        <v>3193</v>
      </c>
      <c r="E35" s="4442" t="s">
        <v>6969</v>
      </c>
      <c r="F35" s="2698" t="str">
        <f>A12</f>
        <v>c27.6b</v>
      </c>
      <c r="G35" s="4417"/>
      <c r="H35" s="4441" t="s">
        <v>6948</v>
      </c>
      <c r="J35" s="4422"/>
      <c r="K35" s="4423" t="s">
        <v>2386</v>
      </c>
      <c r="L35" s="4424"/>
      <c r="M35" s="4424"/>
      <c r="N35" s="4424"/>
      <c r="O35" s="4424"/>
      <c r="P35" s="4424"/>
      <c r="Q35" s="4424"/>
      <c r="R35" s="4424"/>
    </row>
    <row r="36" spans="1:18" x14ac:dyDescent="0.2">
      <c r="A36" s="386" t="s">
        <v>3194</v>
      </c>
      <c r="F36" s="386"/>
      <c r="G36" s="4398"/>
      <c r="J36" s="4422"/>
      <c r="K36" s="4423" t="str">
        <f>J38&amp;" = 0 (zero)"</f>
        <v>c27.6 = 0 (zero)</v>
      </c>
      <c r="L36" s="4424"/>
      <c r="M36" s="4424"/>
      <c r="N36" s="4424"/>
      <c r="O36" s="4424"/>
      <c r="P36" s="4424"/>
      <c r="Q36" s="4424"/>
      <c r="R36" s="4424"/>
    </row>
    <row r="37" spans="1:18" x14ac:dyDescent="0.2">
      <c r="A37" s="386" t="s">
        <v>3195</v>
      </c>
      <c r="F37" s="2673"/>
      <c r="G37" s="4416" t="s">
        <v>6393</v>
      </c>
      <c r="J37" s="4423"/>
      <c r="K37" s="4423" t="s">
        <v>2495</v>
      </c>
      <c r="L37" s="4424"/>
      <c r="M37" s="4424"/>
      <c r="N37" s="4424"/>
      <c r="O37" s="4424"/>
      <c r="P37" s="4424"/>
      <c r="Q37" s="4424"/>
      <c r="R37" s="4424"/>
    </row>
    <row r="38" spans="1:18" x14ac:dyDescent="0.2">
      <c r="A38" s="386" t="s">
        <v>1150</v>
      </c>
      <c r="E38" s="4442" t="s">
        <v>6969</v>
      </c>
      <c r="F38" s="2698" t="str">
        <f>A13</f>
        <v>c27.6c</v>
      </c>
      <c r="G38" s="4417"/>
      <c r="H38" s="4441" t="s">
        <v>1743</v>
      </c>
      <c r="J38" s="4428" t="str">
        <f>A9</f>
        <v>c27.6</v>
      </c>
      <c r="K38" s="4429"/>
      <c r="L38" s="4430" t="s">
        <v>1743</v>
      </c>
      <c r="M38" s="4424"/>
      <c r="N38" s="4424"/>
      <c r="O38" s="4424"/>
      <c r="P38" s="4424"/>
      <c r="Q38" s="4424"/>
      <c r="R38" s="4424"/>
    </row>
    <row r="39" spans="1:18" x14ac:dyDescent="0.2">
      <c r="A39" s="386" t="s">
        <v>1151</v>
      </c>
      <c r="J39" s="4431"/>
      <c r="K39" s="4431"/>
      <c r="L39" s="4432"/>
      <c r="M39" s="4432"/>
      <c r="N39" s="4432"/>
      <c r="O39" s="4432"/>
      <c r="P39" s="4432"/>
      <c r="Q39" s="4432"/>
      <c r="R39" s="4432"/>
    </row>
    <row ht="12.75" r="40" spans="1:18" x14ac:dyDescent="0.2">
      <c r="A40" s="386" t="s">
        <v>1152</v>
      </c>
      <c r="B40" s="4443" t="s">
        <v>4391</v>
      </c>
      <c r="F40" s="386"/>
      <c r="J40" s="4433"/>
      <c r="K40" s="4432"/>
      <c r="L40" s="4432"/>
      <c r="M40" s="4434"/>
      <c r="N40" s="4432"/>
      <c r="O40" s="4432"/>
      <c r="P40" s="4432"/>
      <c r="Q40" s="4432"/>
      <c r="R40" s="4432"/>
    </row>
    <row r="41" spans="1:18" x14ac:dyDescent="0.2">
      <c r="A41" s="386" t="s">
        <v>1153</v>
      </c>
      <c r="J41" s="4431"/>
      <c r="K41" s="4432"/>
      <c r="L41" s="4432"/>
      <c r="M41" s="4431"/>
      <c r="N41" s="4432"/>
      <c r="O41" s="4432"/>
      <c r="P41" s="4432"/>
      <c r="Q41" s="4432"/>
      <c r="R41" s="4432"/>
    </row>
    <row r="42" spans="1:18" x14ac:dyDescent="0.2">
      <c r="A42" s="386" t="s">
        <v>1154</v>
      </c>
      <c r="E42" s="2674"/>
      <c r="F42" s="2686"/>
      <c r="G42" s="1453"/>
      <c r="J42" s="4431"/>
      <c r="K42" s="4432"/>
      <c r="L42" s="4432"/>
      <c r="M42" s="4422"/>
      <c r="N42" s="4425" t="str">
        <f>"If pseudo box "&amp;SLR&amp;'REL(2)'!C13&amp;" = 01 and"</f>
        <v>If pseudo box SLRPT = 01 and</v>
      </c>
      <c r="O42" s="4432"/>
      <c r="P42" s="4432"/>
      <c r="Q42" s="4432"/>
      <c r="R42" s="4432"/>
    </row>
    <row r="43" spans="1:18" x14ac:dyDescent="0.2">
      <c r="A43" s="3179" t="s">
        <v>7432</v>
      </c>
      <c r="E43" s="2674"/>
      <c r="F43" s="2686"/>
      <c r="G43" s="1453"/>
      <c r="J43" s="4431"/>
      <c r="K43" s="4432"/>
      <c r="L43" s="4432"/>
      <c r="M43" s="4422"/>
      <c r="N43" s="4435" t="str">
        <f>"all instances "&amp;J38&amp;" are greater than SL_limit1 ("&amp;DOLLAR(SL_limit1,0)&amp;")"</f>
        <v>all instances c27.6 are greater than SL_limit1 ($18,935)</v>
      </c>
      <c r="O43" s="4432"/>
      <c r="P43" s="4432"/>
      <c r="Q43" s="4432"/>
      <c r="R43" s="4432"/>
    </row>
    <row r="44" spans="1:18" x14ac:dyDescent="0.2">
      <c r="A44" s="386" t="s">
        <v>1155</v>
      </c>
      <c r="E44" s="2674"/>
      <c r="F44" s="2686"/>
      <c r="G44" s="1453"/>
      <c r="J44" s="4431"/>
      <c r="K44" s="4432"/>
      <c r="L44" s="4432"/>
      <c r="M44" s="4422"/>
      <c r="N44" s="4436" t="str">
        <f>F53&amp;" = all instances "&amp;J38&amp;" minus SL_limit1 ("&amp;DOLLAR(SL_limit1,0)&amp;")"</f>
        <v>c27.7 = all instances c27.6 minus SL_limit1 ($18,935)</v>
      </c>
      <c r="O44" s="4432"/>
      <c r="P44" s="4432"/>
      <c r="Q44" s="4432"/>
      <c r="R44" s="4432"/>
    </row>
    <row r="45" spans="1:18" x14ac:dyDescent="0.2">
      <c r="A45" s="386" t="s">
        <v>1421</v>
      </c>
      <c r="E45" s="2674"/>
      <c r="F45" s="2686"/>
      <c r="G45" s="1453"/>
      <c r="J45" s="4431"/>
      <c r="K45" s="4432"/>
      <c r="L45" s="4432"/>
      <c r="M45" s="4422"/>
      <c r="N45" s="4437" t="s">
        <v>2386</v>
      </c>
      <c r="O45" s="4432"/>
      <c r="P45" s="4432"/>
      <c r="Q45" s="4432"/>
      <c r="R45" s="4432"/>
    </row>
    <row r="46" spans="1:18" x14ac:dyDescent="0.2">
      <c r="A46" s="386" t="s">
        <v>1422</v>
      </c>
      <c r="E46" s="2674"/>
      <c r="F46" s="2686"/>
      <c r="G46" s="1453"/>
      <c r="J46" s="4431"/>
      <c r="K46" s="4432"/>
      <c r="L46" s="4432"/>
      <c r="M46" s="4422"/>
      <c r="N46" s="4425" t="str">
        <f>"If pseudo box "&amp;SLR&amp;'REL(2)'!C13&amp;" = 02 and"</f>
        <v>If pseudo box SLRPT = 02 and</v>
      </c>
      <c r="O46" s="4432"/>
      <c r="P46" s="4432"/>
      <c r="Q46" s="4432"/>
      <c r="R46" s="4432"/>
    </row>
    <row r="47" spans="1:18" x14ac:dyDescent="0.2">
      <c r="A47" s="386" t="s">
        <v>1423</v>
      </c>
      <c r="E47" s="2674"/>
      <c r="F47" s="2686"/>
      <c r="G47" s="1453"/>
      <c r="J47" s="4431"/>
      <c r="K47" s="4432"/>
      <c r="L47" s="4432"/>
      <c r="M47" s="4422"/>
      <c r="N47" s="4438" t="str">
        <f>"all instances "&amp;J38&amp;" are greater than SL_limit2 ("&amp;DOLLAR(SL_limit2,0)&amp;")"</f>
        <v>all instances c27.6 are greater than SL_limit2 ($25,725)</v>
      </c>
      <c r="O47" s="4432"/>
      <c r="P47" s="4432"/>
      <c r="Q47" s="4432"/>
      <c r="R47" s="4432"/>
    </row>
    <row r="48" spans="1:18" x14ac:dyDescent="0.2">
      <c r="A48" s="386" t="s">
        <v>2508</v>
      </c>
      <c r="E48" s="2674"/>
      <c r="F48" s="2686"/>
      <c r="G48" s="1453"/>
      <c r="J48" s="4431"/>
      <c r="K48" s="4432"/>
      <c r="L48" s="4432"/>
      <c r="M48" s="4422"/>
      <c r="N48" s="4436" t="str">
        <f>F53&amp;" = all instances "&amp;J38&amp;" minus SL_limit2 ("&amp;DOLLAR(SL_limit2,0)&amp;")"</f>
        <v>c27.7 = all instances c27.6 minus SL_limit2 ($25,725)</v>
      </c>
      <c r="O48" s="4432"/>
      <c r="P48" s="4432"/>
      <c r="Q48" s="4432"/>
      <c r="R48" s="4432"/>
    </row>
    <row r="49" spans="1:18" x14ac:dyDescent="0.2">
      <c r="A49" s="386" t="s">
        <v>2509</v>
      </c>
      <c r="E49" s="2674"/>
      <c r="F49" s="2686"/>
      <c r="G49" s="1453"/>
      <c r="J49" s="4431"/>
      <c r="K49" s="4432"/>
      <c r="L49" s="4432"/>
      <c r="M49" s="4422"/>
      <c r="N49" s="4437" t="s">
        <v>2386</v>
      </c>
      <c r="O49" s="4432"/>
      <c r="P49" s="4432"/>
      <c r="Q49" s="4432"/>
      <c r="R49" s="4432"/>
    </row>
    <row r="50" spans="1:18" x14ac:dyDescent="0.2">
      <c r="A50" s="386" t="s">
        <v>2510</v>
      </c>
      <c r="E50" s="2674"/>
      <c r="F50" s="2686"/>
      <c r="G50" s="1453"/>
      <c r="J50" s="4431"/>
      <c r="K50" s="4432"/>
      <c r="L50" s="4432"/>
      <c r="M50" s="4422"/>
      <c r="N50" s="4425" t="str">
        <f>F53&amp;" = 0 (zero)"</f>
        <v>c27.7 = 0 (zero)</v>
      </c>
      <c r="O50" s="4432"/>
      <c r="P50" s="4432"/>
      <c r="Q50" s="4432"/>
      <c r="R50" s="4432"/>
    </row>
    <row r="51" spans="1:18" x14ac:dyDescent="0.2">
      <c r="A51" s="386" t="s">
        <v>2511</v>
      </c>
      <c r="E51" s="2674"/>
      <c r="F51" s="2686"/>
      <c r="G51" s="1453"/>
      <c r="I51" s="693"/>
      <c r="J51" s="4439"/>
      <c r="K51" s="4432"/>
      <c r="L51" s="4432"/>
      <c r="M51" s="4440"/>
      <c r="N51" s="4437" t="s">
        <v>2495</v>
      </c>
      <c r="O51" s="4432"/>
      <c r="P51" s="4432"/>
      <c r="Q51" s="4432"/>
      <c r="R51" s="4432"/>
    </row>
    <row r="52" spans="1:18" x14ac:dyDescent="0.2">
      <c r="A52" s="386" t="s">
        <v>2512</v>
      </c>
      <c r="E52" s="2674"/>
      <c r="F52" s="2686"/>
      <c r="G52" s="4416" t="s">
        <v>6393</v>
      </c>
      <c r="J52" s="4431"/>
      <c r="K52" s="4432"/>
      <c r="L52" s="4432"/>
      <c r="M52" s="4422"/>
      <c r="N52" s="4436" t="s">
        <v>2495</v>
      </c>
      <c r="O52" s="4432"/>
      <c r="P52" s="4432"/>
      <c r="Q52" s="4432"/>
      <c r="R52" s="4432"/>
    </row>
    <row r="53" spans="1:18" x14ac:dyDescent="0.2">
      <c r="A53" s="386" t="s">
        <v>2513</v>
      </c>
      <c r="D53" s="974"/>
      <c r="F53" s="757" t="str">
        <f>A14</f>
        <v>c27.7</v>
      </c>
      <c r="G53" s="392"/>
      <c r="I53" s="693"/>
      <c r="J53" s="4432"/>
      <c r="K53" s="4432"/>
      <c r="L53" s="4432"/>
      <c r="M53" s="4432"/>
      <c r="N53" s="4432"/>
      <c r="O53" s="4432"/>
      <c r="P53" s="4432"/>
      <c r="Q53" s="4432"/>
      <c r="R53" s="4432"/>
    </row>
    <row r="54" spans="1:18" x14ac:dyDescent="0.2">
      <c r="A54" s="386" t="s">
        <v>2514</v>
      </c>
      <c r="F54" s="386"/>
      <c r="I54" s="693"/>
      <c r="J54" s="753"/>
    </row>
    <row r="55" spans="1:18" x14ac:dyDescent="0.2">
      <c r="A55" s="3179" t="s">
        <v>7433</v>
      </c>
      <c r="I55" s="693"/>
    </row>
    <row r="56" spans="1:18" x14ac:dyDescent="0.2">
      <c r="A56" s="386" t="s">
        <v>2515</v>
      </c>
      <c r="F56" s="693"/>
      <c r="G56" s="4416" t="s">
        <v>6393</v>
      </c>
      <c r="I56" s="693"/>
      <c r="J56" s="753"/>
    </row>
    <row r="57" spans="1:18" x14ac:dyDescent="0.2">
      <c r="A57" s="386" t="s">
        <v>2516</v>
      </c>
      <c r="B57" s="759" t="s">
        <v>2563</v>
      </c>
      <c r="F57" s="757" t="str">
        <f>A15</f>
        <v>c27.8</v>
      </c>
      <c r="G57" s="752"/>
      <c r="I57" s="693"/>
    </row>
    <row r="58" spans="1:18" x14ac:dyDescent="0.2">
      <c r="A58" s="386" t="s">
        <v>2517</v>
      </c>
      <c r="F58" s="386"/>
      <c r="I58" s="693"/>
    </row>
    <row r="59" spans="1:18" x14ac:dyDescent="0.2">
      <c r="A59" s="3179" t="s">
        <v>7434</v>
      </c>
      <c r="F59" s="386"/>
      <c r="I59" s="693"/>
    </row>
    <row ht="12.75" r="60" spans="1:18" x14ac:dyDescent="0.2">
      <c r="A60" s="3179" t="s">
        <v>7435</v>
      </c>
      <c r="B60" s="4443" t="s">
        <v>7438</v>
      </c>
      <c r="C60" s="4444"/>
      <c r="D60" s="4444"/>
      <c r="E60" s="4445"/>
      <c r="F60" s="2982"/>
      <c r="G60" s="2982"/>
      <c r="I60" s="693"/>
    </row>
    <row ht="12.75" r="61" spans="1:18" x14ac:dyDescent="0.2">
      <c r="A61" s="3179" t="s">
        <v>7436</v>
      </c>
      <c r="B61" s="1190"/>
      <c r="C61" s="37"/>
      <c r="D61" s="37"/>
      <c r="E61" s="693"/>
      <c r="F61" s="693"/>
      <c r="G61" s="693"/>
      <c r="I61" s="693"/>
    </row>
    <row ht="12.75" r="62" spans="1:18" x14ac:dyDescent="0.2">
      <c r="A62" s="386" t="s">
        <v>2265</v>
      </c>
      <c r="B62" s="1190"/>
      <c r="C62" s="37"/>
      <c r="D62" s="37"/>
      <c r="E62" s="693"/>
      <c r="F62" s="693"/>
      <c r="G62" s="693"/>
      <c r="I62" s="693"/>
    </row>
    <row ht="12.75" r="63" spans="1:18" x14ac:dyDescent="0.2">
      <c r="A63" s="3179" t="s">
        <v>7437</v>
      </c>
      <c r="B63" s="1190"/>
      <c r="C63" s="37"/>
      <c r="D63" s="37"/>
      <c r="E63" s="693"/>
      <c r="F63" s="693"/>
      <c r="G63" s="693"/>
      <c r="I63" s="693"/>
    </row>
    <row ht="12.75" r="64" spans="1:18" x14ac:dyDescent="0.2">
      <c r="A64" s="3179"/>
      <c r="B64" s="1190"/>
      <c r="C64" s="37"/>
      <c r="D64" s="37"/>
      <c r="E64" s="693"/>
      <c r="F64" s="693"/>
      <c r="G64" s="693"/>
      <c r="I64" s="693"/>
    </row>
    <row ht="12.75" r="65" spans="1:9" x14ac:dyDescent="0.2">
      <c r="A65" s="3179"/>
      <c r="B65" s="1190"/>
      <c r="C65" s="37"/>
      <c r="D65" s="37"/>
      <c r="E65" s="693"/>
      <c r="F65" s="693"/>
      <c r="G65" s="693"/>
      <c r="I65" s="693"/>
    </row>
    <row ht="12.75" r="66" spans="1:9" x14ac:dyDescent="0.2">
      <c r="B66" s="1190"/>
      <c r="C66" s="37"/>
      <c r="D66" s="693"/>
      <c r="E66" s="693"/>
      <c r="F66" s="693"/>
      <c r="G66" s="693"/>
      <c r="I66" s="693"/>
    </row>
    <row r="67" spans="1:9" x14ac:dyDescent="0.2">
      <c r="B67" s="709"/>
      <c r="C67" s="37"/>
      <c r="D67" s="693"/>
      <c r="E67" s="693"/>
      <c r="F67" s="693"/>
      <c r="G67" s="693"/>
      <c r="I67" s="693"/>
    </row>
    <row r="68" spans="1:9" x14ac:dyDescent="0.2">
      <c r="B68" s="709"/>
      <c r="C68" s="37"/>
      <c r="D68" s="693"/>
      <c r="E68" s="693"/>
      <c r="F68" s="693"/>
      <c r="G68" s="693"/>
      <c r="I68" s="693"/>
    </row>
    <row r="69" spans="1:9" x14ac:dyDescent="0.2">
      <c r="B69" s="709"/>
      <c r="C69" s="37"/>
      <c r="D69" s="693"/>
      <c r="E69" s="693"/>
      <c r="F69" s="693"/>
      <c r="G69" s="693"/>
      <c r="I69" s="693"/>
    </row>
    <row r="70" spans="1:9" x14ac:dyDescent="0.2">
      <c r="B70" s="709"/>
      <c r="C70" s="37"/>
      <c r="D70" s="693"/>
      <c r="E70" s="693"/>
      <c r="F70" s="693"/>
      <c r="G70" s="693"/>
      <c r="I70" s="693"/>
    </row>
    <row r="71" spans="1:9" x14ac:dyDescent="0.2">
      <c r="B71" s="709"/>
      <c r="C71" s="37"/>
      <c r="D71" s="693"/>
      <c r="E71" s="693"/>
      <c r="F71" s="693"/>
      <c r="G71" s="693"/>
      <c r="I71" s="693"/>
    </row>
    <row r="72" spans="1:9" x14ac:dyDescent="0.2">
      <c r="B72" s="709"/>
      <c r="C72" s="37"/>
      <c r="D72" s="37"/>
      <c r="E72" s="2982"/>
      <c r="F72" s="902"/>
      <c r="G72" s="4416" t="s">
        <v>6393</v>
      </c>
      <c r="I72" s="693"/>
    </row>
    <row r="73" spans="1:9" x14ac:dyDescent="0.2">
      <c r="B73" s="709"/>
      <c r="C73" s="37"/>
      <c r="D73" s="37"/>
      <c r="E73" s="2982"/>
      <c r="F73" s="3193" t="str">
        <f>A16</f>
        <v>c27.8a</v>
      </c>
      <c r="G73" s="2321"/>
      <c r="I73" s="693"/>
    </row>
    <row r="74" spans="1:9" x14ac:dyDescent="0.2">
      <c r="B74" s="709"/>
      <c r="C74" s="37"/>
      <c r="D74" s="37"/>
      <c r="E74" s="2982"/>
      <c r="F74" s="902"/>
      <c r="G74" s="394"/>
      <c r="I74" s="693"/>
    </row>
    <row r="75" spans="1:9" x14ac:dyDescent="0.2">
      <c r="B75" s="709"/>
      <c r="C75" s="37"/>
      <c r="D75" s="37"/>
      <c r="E75" s="2982"/>
      <c r="F75" s="902"/>
      <c r="G75" s="394"/>
      <c r="I75" s="693"/>
    </row>
    <row r="76" spans="1:9" x14ac:dyDescent="0.2">
      <c r="B76" s="709"/>
      <c r="C76" s="37"/>
      <c r="D76" s="37"/>
      <c r="E76" s="2982"/>
      <c r="F76" s="693"/>
      <c r="G76" s="4416" t="s">
        <v>6393</v>
      </c>
      <c r="I76" s="693"/>
    </row>
    <row r="77" spans="1:9" x14ac:dyDescent="0.2">
      <c r="B77" s="4446" t="s">
        <v>2563</v>
      </c>
      <c r="C77" s="37"/>
      <c r="D77" s="37"/>
      <c r="E77" s="2982"/>
      <c r="F77" s="3193" t="str">
        <f>A17</f>
        <v>c27.8b</v>
      </c>
      <c r="G77" s="2321"/>
      <c r="I77" s="693"/>
    </row>
    <row r="78" spans="1:9" x14ac:dyDescent="0.2">
      <c r="B78" s="37"/>
      <c r="F78" s="386"/>
      <c r="I78" s="693"/>
    </row>
    <row r="79" spans="1:9" x14ac:dyDescent="0.2">
      <c r="B79" s="37" t="str">
        <f>"Complete box "&amp;F87&amp;" for each instance of MOR schedule"</f>
        <v>Complete box c27.9c for each instance of MOR schedule</v>
      </c>
      <c r="F79" s="386"/>
      <c r="I79" s="693"/>
    </row>
    <row r="80" spans="1:9" x14ac:dyDescent="0.2">
      <c r="F80" s="386"/>
      <c r="G80" s="703" t="str">
        <f><![CDATA["("&MOR&MOR!C19&" + "&MOR&MOR!G11&")"]]></f>
        <v>(MOR38 + MOR17)</v>
      </c>
      <c r="I80" s="693"/>
    </row>
    <row r="81" spans="2:10" x14ac:dyDescent="0.2">
      <c r="F81" s="757" t="str">
        <f>A18</f>
        <v>c27.9a</v>
      </c>
      <c r="G81" s="752">
        <f>TRUNC(MOR!H12+MOR!D20,0)</f>
        <v>0</v>
      </c>
      <c r="H81" s="929" t="s">
        <v>4949</v>
      </c>
      <c r="I81" s="693"/>
    </row>
    <row r="82" spans="2:10" x14ac:dyDescent="0.2">
      <c r="F82" s="386"/>
      <c r="I82" s="693"/>
    </row>
    <row r="83" spans="2:10" x14ac:dyDescent="0.2">
      <c r="F83" s="386"/>
      <c r="G83" s="703" t="str">
        <f><![CDATA["("&MOR&MOR!C8&" + "&MOR&MOR!G15&")"]]></f>
        <v>(MOR6 + MOR19)</v>
      </c>
      <c r="I83" s="693"/>
    </row>
    <row r="84" spans="2:10" x14ac:dyDescent="0.2">
      <c r="F84" s="757" t="str">
        <f>A19</f>
        <v>c27.9b</v>
      </c>
      <c r="G84" s="752">
        <f>TRUNC(MOR!D9+MOR!H16+0.99,0)</f>
        <v>0</v>
      </c>
      <c r="H84" s="929" t="s">
        <v>7060</v>
      </c>
      <c r="I84" s="693"/>
    </row>
    <row r="85" spans="2:10" x14ac:dyDescent="0.2">
      <c r="F85" s="386"/>
      <c r="I85" s="693"/>
    </row>
    <row r="86" spans="2:10" x14ac:dyDescent="0.2">
      <c r="F86" s="760"/>
      <c r="G86" s="698" t="str">
        <f>F81&amp;" minus "&amp;F84</f>
        <v>c27.9a minus c27.9b</v>
      </c>
      <c r="I86" s="693"/>
    </row>
    <row r="87" spans="2:10" x14ac:dyDescent="0.2">
      <c r="F87" s="757" t="str">
        <f>A20</f>
        <v>c27.9c</v>
      </c>
      <c r="G87" s="752">
        <f>MAX(0,G81-G84)</f>
        <v>0</v>
      </c>
      <c r="I87" s="693"/>
    </row>
    <row r="88" spans="2:10" x14ac:dyDescent="0.2">
      <c r="F88" s="760"/>
      <c r="G88" s="784"/>
      <c r="I88" s="693"/>
    </row>
    <row r="89" spans="2:10" x14ac:dyDescent="0.2">
      <c r="G89" s="93" t="str">
        <f>"Total all instances "&amp;F87</f>
        <v>Total all instances c27.9c</v>
      </c>
    </row>
    <row r="90" spans="2:10" x14ac:dyDescent="0.2">
      <c r="B90" s="759" t="s">
        <v>2564</v>
      </c>
      <c r="C90" s="759"/>
      <c r="D90" s="759"/>
      <c r="F90" s="757" t="str">
        <f>A21</f>
        <v>c27.9</v>
      </c>
      <c r="G90" s="783">
        <f>G87</f>
        <v>0</v>
      </c>
      <c r="H90" s="1803"/>
    </row>
    <row r="92" spans="2:10" x14ac:dyDescent="0.2">
      <c r="G92" s="703" t="str">
        <f>"Total all instances ("&amp;SSE&amp;SE!C8&amp;")"</f>
        <v>Total all instances (SSE31)</v>
      </c>
      <c r="I92" s="693"/>
    </row>
    <row r="93" spans="2:10" x14ac:dyDescent="0.2">
      <c r="B93" s="759" t="s">
        <v>4010</v>
      </c>
      <c r="F93" s="757" t="str">
        <f>A22</f>
        <v>c27.10</v>
      </c>
      <c r="G93" s="783">
        <f>TRUNC(SE!D9,0)</f>
        <v>0</v>
      </c>
      <c r="H93" s="929" t="s">
        <v>4451</v>
      </c>
      <c r="I93" s="693"/>
      <c r="J93" s="753"/>
    </row>
    <row r="95" spans="2:10" x14ac:dyDescent="0.2">
      <c r="G95" s="924" t="str">
        <f>"Total all instances "&amp;FSE&amp;SE!G14</f>
        <v>Total all instances FSE76</v>
      </c>
    </row>
    <row r="96" spans="2:10" x14ac:dyDescent="0.2">
      <c r="B96" s="759"/>
      <c r="F96" s="757" t="str">
        <f>A23</f>
        <v>c27.11</v>
      </c>
      <c r="G96" s="783">
        <f>TRUNC(SE!H15,0)</f>
        <v>14190</v>
      </c>
      <c r="H96" s="929" t="s">
        <v>4452</v>
      </c>
    </row>
    <row r="98" spans="2:12" x14ac:dyDescent="0.2">
      <c r="G98" s="702" t="str">
        <f>"from "&amp;LUN&amp;LUN!K7</f>
        <v>from LUN52</v>
      </c>
    </row>
    <row r="99" spans="2:12" x14ac:dyDescent="0.2">
      <c r="B99" s="759" t="s">
        <v>906</v>
      </c>
      <c r="F99" s="757" t="str">
        <f>A24</f>
        <v>c27.12</v>
      </c>
      <c r="G99" s="783">
        <f>TRUNC(LUN!L8,0)</f>
        <v>0</v>
      </c>
      <c r="H99" s="929" t="s">
        <v>1743</v>
      </c>
    </row>
    <row r="100" spans="2:12" x14ac:dyDescent="0.2">
      <c r="L100" s="386" t="s">
        <v>2083</v>
      </c>
    </row>
    <row r="101" spans="2:12" x14ac:dyDescent="0.2">
      <c r="G101" s="703" t="str">
        <f>"Total all instances "&amp;SPS&amp;PS!C13</f>
        <v>Total all instances SPS20</v>
      </c>
    </row>
    <row r="102" spans="2:12" x14ac:dyDescent="0.2">
      <c r="B102" s="759" t="s">
        <v>907</v>
      </c>
      <c r="F102" s="757" t="str">
        <f>A25</f>
        <v>c27.13</v>
      </c>
      <c r="G102" s="783">
        <f>TRUNC(PS!D14,0)</f>
        <v>0</v>
      </c>
      <c r="H102" s="929" t="s">
        <v>4453</v>
      </c>
    </row>
    <row r="104" spans="2:12" x14ac:dyDescent="0.2">
      <c r="G104" s="703" t="str">
        <f>"Total all instances "&amp;FPS&amp;PS!G43</f>
        <v>Total all instances FPS76</v>
      </c>
    </row>
    <row r="105" spans="2:12" x14ac:dyDescent="0.2">
      <c r="F105" s="757" t="str">
        <f>A26</f>
        <v>c27.14</v>
      </c>
      <c r="G105" s="783">
        <f>TRUNC(PS!H44,0)</f>
        <v>0</v>
      </c>
      <c r="H105" s="929" t="s">
        <v>4454</v>
      </c>
    </row>
    <row r="106" spans="2:12" x14ac:dyDescent="0.2">
      <c r="B106" s="759"/>
      <c r="F106" s="386"/>
      <c r="G106" s="782"/>
    </row>
    <row r="107" spans="2:12" x14ac:dyDescent="0.2">
      <c r="G107" s="703" t="str">
        <f>"Total all instances of "&amp;PRO&amp;PRO!G10</f>
        <v>Total all instances of PRO15</v>
      </c>
      <c r="I107" s="386"/>
    </row>
    <row r="108" spans="2:12" x14ac:dyDescent="0.2">
      <c r="B108" s="759" t="s">
        <v>3902</v>
      </c>
      <c r="F108" s="757" t="str">
        <f>A27</f>
        <v>c27.15</v>
      </c>
      <c r="G108" s="783">
        <f>TRUNC(PRO!H11+PRO!H18,0)</f>
        <v>0</v>
      </c>
      <c r="H108" s="929" t="s">
        <v>4477</v>
      </c>
    </row>
    <row r="110" spans="2:12" x14ac:dyDescent="0.2">
      <c r="B110" s="759"/>
      <c r="G110" s="703" t="str">
        <f><![CDATA[INC&'INC(2)'!C4&" + "&INC&'INC(2)'!C13&" + "&INC&'INC(2)'!G16]]></f>
        <v>INC8 + INC11 + INC16</v>
      </c>
    </row>
    <row r="111" spans="2:12" x14ac:dyDescent="0.2">
      <c r="B111" s="759" t="s">
        <v>2769</v>
      </c>
      <c r="D111" s="386"/>
      <c r="F111" s="757" t="str">
        <f>A28</f>
        <v>c27.16</v>
      </c>
      <c r="G111" s="783">
        <f>TRUNC('INC(2)'!D5+'INC(2)'!D14+'INC(2)'!H17,0)</f>
        <v>0</v>
      </c>
      <c r="H111" s="929" t="s">
        <v>1743</v>
      </c>
    </row>
    <row r="113" spans="2:11" x14ac:dyDescent="0.2">
      <c r="G113" s="703" t="str">
        <f>"AIL"&amp;AIL!C35&amp;" + AIL"&amp;AIL!G35</f>
        <v>AIL21 + AIL22</v>
      </c>
    </row>
    <row r="114" spans="2:11" x14ac:dyDescent="0.2">
      <c r="B114" s="709" t="s">
        <v>6901</v>
      </c>
      <c r="F114" s="757" t="str">
        <f>A29</f>
        <v>c27.16a</v>
      </c>
      <c r="G114" s="783">
        <f>TRUNC(AIL!D36+AIL!H36)</f>
        <v>0</v>
      </c>
      <c r="H114" s="929" t="s">
        <v>1743</v>
      </c>
    </row>
    <row r="116" spans="2:11" x14ac:dyDescent="0.2">
      <c r="C116" s="386"/>
      <c r="D116" s="386"/>
      <c r="F116" s="386"/>
      <c r="I116" s="4447"/>
      <c r="J116" s="3196"/>
      <c r="K116" s="3200" t="str">
        <f><![CDATA[F28&" + "&F90&" + "&F93&" + "&F96&" + "]]></f>
        <v xml:space="preserve">c27.5 + c27.9 + c27.10 + c27.11 + </v>
      </c>
    </row>
    <row r="117" spans="2:11" x14ac:dyDescent="0.2">
      <c r="B117" s="386"/>
      <c r="C117" s="386"/>
      <c r="D117" s="386"/>
      <c r="F117" s="386"/>
      <c r="J117" s="412"/>
      <c r="K117" s="698" t="str">
        <f><![CDATA[F99&" + "&F102&" + "&F105&" + "&F108&" + "&F111&" + "&F114]]></f>
        <v>c27.12 + c27.13 + c27.14 + c27.15 + c27.16 + c27.16a</v>
      </c>
    </row>
    <row r="118" spans="2:11" x14ac:dyDescent="0.2">
      <c r="B118" s="4445" t="s">
        <v>9033</v>
      </c>
      <c r="C118" s="4420"/>
      <c r="D118" s="4420"/>
      <c r="J118" s="757" t="str">
        <f>A30</f>
        <v>c27.17</v>
      </c>
      <c r="K118" s="783">
        <f>G28+G90+G93+G96+G99+G102+G105+G108+G111+G114</f>
        <v>47444</v>
      </c>
    </row>
    <row r="120" spans="2:11" x14ac:dyDescent="0.2">
      <c r="I120" s="386"/>
    </row>
    <row r="121" spans="2:11" x14ac:dyDescent="0.2">
      <c r="I121" s="386"/>
    </row>
    <row r="122" spans="2:11" x14ac:dyDescent="0.2">
      <c r="I122" s="386"/>
    </row>
    <row r="124" spans="2:11" x14ac:dyDescent="0.2">
      <c r="B124" s="716" t="s">
        <v>2664</v>
      </c>
    </row>
    <row r="125" spans="2:11" x14ac:dyDescent="0.2">
      <c r="G125" s="703" t="str">
        <f><![CDATA["Total all instances ("&SPS&PS!C28&" + "&FPS&PS!G16&" + "&FPS&PS!G40&" + "&FPS&PS!J46&")"]]></f>
        <v>Total all instances (SPS28 + FPS35 + FPS70 + FPS73)</v>
      </c>
    </row>
    <row r="126" spans="2:11" x14ac:dyDescent="0.2">
      <c r="B126" s="759" t="s">
        <v>907</v>
      </c>
      <c r="C126" s="386"/>
      <c r="D126" s="386"/>
      <c r="F126" s="757" t="str">
        <f>A31</f>
        <v>c27.18</v>
      </c>
      <c r="G126" s="783">
        <f>TRUNC(PS!D29+PS!H17+PS!H41+PS!K47,0)</f>
        <v>0</v>
      </c>
      <c r="H126" s="929" t="s">
        <v>7061</v>
      </c>
    </row>
    <row r="127" spans="2:11" x14ac:dyDescent="0.2">
      <c r="B127" s="386"/>
      <c r="C127" s="386"/>
      <c r="D127" s="386"/>
      <c r="F127" s="386"/>
      <c r="G127" s="782"/>
    </row>
    <row r="128" spans="2:11" x14ac:dyDescent="0.2">
      <c r="G128" s="703" t="str">
        <f>"From "&amp;PRO&amp;PRO!G33</f>
        <v>From PRO40</v>
      </c>
      <c r="I128" s="386"/>
    </row>
    <row r="129" spans="2:9" x14ac:dyDescent="0.2">
      <c r="B129" s="759" t="s">
        <v>3902</v>
      </c>
      <c r="F129" s="757" t="str">
        <f>A32</f>
        <v>c27.19</v>
      </c>
      <c r="G129" s="783">
        <f>TRUNC(PRO!H34,0)</f>
        <v>0</v>
      </c>
      <c r="H129" s="929" t="s">
        <v>1743</v>
      </c>
    </row>
    <row r="130" spans="2:9" x14ac:dyDescent="0.2">
      <c r="B130" s="386"/>
      <c r="C130" s="386"/>
      <c r="D130" s="386"/>
      <c r="F130" s="386"/>
      <c r="G130" s="782"/>
      <c r="I130" s="386"/>
    </row>
    <row r="131" spans="2:9" x14ac:dyDescent="0.2">
      <c r="B131" s="386"/>
      <c r="C131" s="386"/>
      <c r="D131" s="386"/>
      <c r="F131" s="386"/>
      <c r="G131" s="93" t="str">
        <f><![CDATA['NS income (c1)'!I98&" + "&'NS income (c1)'!E104&" + "&'NS income (c1)'!I124&" + "&'Savings (c2)'!H40&" + "&'Divs (c3)'!G17&" + "&'Divs (c3)'!G52]]></f>
        <v>c1.35 + c1.37 + c1.44 + c2.9 + c3.5 + c3.16</v>
      </c>
      <c r="I131" s="386"/>
    </row>
    <row r="132" spans="2:9" x14ac:dyDescent="0.2">
      <c r="B132" s="759" t="s">
        <v>3903</v>
      </c>
      <c r="C132" s="386"/>
      <c r="D132" s="706"/>
      <c r="F132" s="757" t="str">
        <f>A33</f>
        <v>c27.20</v>
      </c>
      <c r="G132" s="783">
        <f>TRUNC('NS income (c1)'!J98+'NS income (c1)'!F104+'NS income (c1)'!J124+'Savings (c2)'!I40+'Divs (c3)'!H17+'Divs (c3)'!H52,0)</f>
        <v>0</v>
      </c>
      <c r="H132" s="2309"/>
      <c r="I132" s="386"/>
    </row>
    <row r="134" spans="2:9" x14ac:dyDescent="0.2">
      <c r="B134" s="386"/>
      <c r="G134" s="698" t="str">
        <f><![CDATA['NS income (c1)'!I133&" + "&'Savings (c2)'!H53&" + "&'Divs (c3)'!G33&" + "&'Divs (c3)'!G63]]></f>
        <v>c1.51 + c2.13 + c3.9 + c3.19</v>
      </c>
    </row>
    <row r="135" spans="2:9" x14ac:dyDescent="0.2">
      <c r="B135" s="759" t="s">
        <v>628</v>
      </c>
      <c r="F135" s="757" t="str">
        <f>A34</f>
        <v>c27.21</v>
      </c>
      <c r="G135" s="783">
        <f>'NS income (c1)'!J133+'Savings (c2)'!I53+'Divs (c3)'!H33+'Divs (c3)'!H63</f>
        <v>0</v>
      </c>
      <c r="I135" s="386"/>
    </row>
    <row r="136" spans="2:9" x14ac:dyDescent="0.2">
      <c r="F136" s="386"/>
    </row>
    <row r="137" spans="2:9" x14ac:dyDescent="0.2">
      <c r="B137" s="386"/>
      <c r="G137" s="698" t="str">
        <f>'Savings (c2)'!H67&amp;" + "&amp;'Divs (c3)'!G43</f>
        <v>c2.17 + c3.14</v>
      </c>
      <c r="I137" s="386"/>
    </row>
    <row r="138" spans="2:9" x14ac:dyDescent="0.2">
      <c r="B138" s="759" t="s">
        <v>3900</v>
      </c>
      <c r="F138" s="757" t="str">
        <f>A35</f>
        <v>c27.22</v>
      </c>
      <c r="G138" s="783">
        <f>'Savings (c2)'!I67+'Divs (c3)'!H43</f>
        <v>16428</v>
      </c>
      <c r="I138" s="386"/>
    </row>
    <row r="140" spans="2:9" x14ac:dyDescent="0.2">
      <c r="G140" s="703" t="str">
        <f>"From "&amp;INC&amp;'INC(2)'!G13</f>
        <v>From INC15</v>
      </c>
      <c r="I140" s="386"/>
    </row>
    <row r="141" spans="2:9" x14ac:dyDescent="0.2">
      <c r="B141" s="759" t="s">
        <v>2769</v>
      </c>
      <c r="F141" s="757" t="str">
        <f>A36</f>
        <v>c27.23</v>
      </c>
      <c r="G141" s="783">
        <f>TRUNC('INC(2)'!H14,0)</f>
        <v>0</v>
      </c>
      <c r="H141" s="929" t="s">
        <v>1743</v>
      </c>
      <c r="I141" s="386"/>
    </row>
    <row r="143" spans="2:9" x14ac:dyDescent="0.2">
      <c r="G143" s="703" t="str">
        <f><![CDATA[AOI&AOI!C13&" + "&AOI&AOI!C19&" + "&AOI&AOI!G13]]></f>
        <v>AOI4 + AOI6 + AOI8</v>
      </c>
    </row>
    <row r="144" spans="2:9" x14ac:dyDescent="0.2">
      <c r="B144" s="759" t="s">
        <v>1320</v>
      </c>
      <c r="F144" s="757" t="str">
        <f>A37</f>
        <v>c27.24</v>
      </c>
      <c r="G144" s="783">
        <f>TRUNC(AOI!D14+AOI!D20+AOI!H14,0)</f>
        <v>0</v>
      </c>
      <c r="H144" s="929" t="s">
        <v>1743</v>
      </c>
    </row>
    <row r="145" spans="2:11" x14ac:dyDescent="0.2">
      <c r="B145" s="386"/>
      <c r="C145" s="386"/>
      <c r="D145" s="386"/>
      <c r="F145" s="386"/>
    </row>
    <row r="146" spans="2:11" x14ac:dyDescent="0.2">
      <c r="B146" s="759"/>
      <c r="G146" s="390" t="str">
        <f>"from "&amp;'NS income (c1)'!I141</f>
        <v>from c1.56</v>
      </c>
      <c r="I146" s="386"/>
    </row>
    <row r="147" spans="2:11" x14ac:dyDescent="0.2">
      <c r="B147" s="759" t="s">
        <v>3161</v>
      </c>
      <c r="F147" s="757" t="str">
        <f>A38</f>
        <v>c27.25</v>
      </c>
      <c r="G147" s="783">
        <f>'NS income (c1)'!J141</f>
        <v>0</v>
      </c>
    </row>
    <row r="148" spans="2:11" x14ac:dyDescent="0.2">
      <c r="B148" s="386"/>
      <c r="I148" s="386"/>
    </row>
    <row r="149" spans="2:11" x14ac:dyDescent="0.2">
      <c r="B149" s="759"/>
      <c r="F149" s="698"/>
      <c r="G149" s="698" t="str">
        <f><![CDATA[F126&" + "&F129&" + "&F132&" + "&F135&" + "]]></f>
        <v xml:space="preserve">c27.18 + c27.19 + c27.20 + c27.21 + </v>
      </c>
      <c r="I149" s="386"/>
    </row>
    <row r="150" spans="2:11" x14ac:dyDescent="0.2">
      <c r="B150" s="759"/>
      <c r="F150" s="698"/>
      <c r="G150" s="698" t="str">
        <f><![CDATA[F138&" + "&F141&" + "&F144&" + "&F147]]></f>
        <v>c27.22 + c27.23 + c27.24 + c27.25</v>
      </c>
    </row>
    <row r="151" spans="2:11" x14ac:dyDescent="0.2">
      <c r="B151" s="386" t="s">
        <v>2665</v>
      </c>
      <c r="F151" s="757" t="str">
        <f>A39</f>
        <v>c27.26</v>
      </c>
      <c r="G151" s="783">
        <f>G126+G129+G132+G135+G138+G141+G144+G147</f>
        <v>16428</v>
      </c>
      <c r="I151" s="386"/>
    </row>
    <row r="152" spans="2:11" x14ac:dyDescent="0.2">
      <c r="I152" s="386"/>
    </row>
    <row r="153" spans="2:11" x14ac:dyDescent="0.2">
      <c r="G153" s="698" t="str">
        <f>"SL_UIT ("&amp;DOLLAR(SL_UIT,0)&amp;")"</f>
        <v>SL_UIT ($2,000)</v>
      </c>
    </row>
    <row r="154" spans="2:11" x14ac:dyDescent="0.2">
      <c r="B154" s="386" t="s">
        <v>2084</v>
      </c>
      <c r="D154" s="386"/>
      <c r="F154" s="757" t="str">
        <f>A40</f>
        <v>c27.27</v>
      </c>
      <c r="G154" s="1191">
        <f>SL_UIT</f>
        <v>2000</v>
      </c>
    </row>
    <row r="155" spans="2:11" x14ac:dyDescent="0.2">
      <c r="D155" s="386"/>
    </row>
    <row r="156" spans="2:11" x14ac:dyDescent="0.2">
      <c r="D156" s="386"/>
      <c r="J156" s="680" t="str">
        <f>"If "&amp;F151&amp;" is greater than "&amp;F154</f>
        <v>If c27.26 is greater than c27.27</v>
      </c>
      <c r="K156" s="412"/>
    </row>
    <row r="157" spans="2:11" x14ac:dyDescent="0.2">
      <c r="J157" s="680" t="str">
        <f>J161&amp;" = "&amp;F151</f>
        <v>c27.28 = c27.26</v>
      </c>
      <c r="K157" s="412"/>
    </row>
    <row r="158" spans="2:11" x14ac:dyDescent="0.2">
      <c r="J158" s="94" t="s">
        <v>2386</v>
      </c>
      <c r="K158" s="412"/>
    </row>
    <row r="159" spans="2:11" x14ac:dyDescent="0.2">
      <c r="J159" s="386" t="str">
        <f>J161&amp;" = 0 (zero)"</f>
        <v>c27.28 = 0 (zero)</v>
      </c>
      <c r="K159" s="412"/>
    </row>
    <row r="160" spans="2:11" x14ac:dyDescent="0.2">
      <c r="J160" s="121" t="s">
        <v>2495</v>
      </c>
      <c r="K160" s="412"/>
    </row>
    <row r="161" spans="2:11" x14ac:dyDescent="0.2">
      <c r="J161" s="757" t="str">
        <f>A41</f>
        <v>c27.28</v>
      </c>
      <c r="K161" s="783">
        <f>IF(G151&gt;G154,G151,0)</f>
        <v>16428</v>
      </c>
    </row>
    <row r="163" spans="2:11" x14ac:dyDescent="0.2">
      <c r="J163" s="4447"/>
      <c r="K163" s="4448" t="str">
        <f>J118&amp;" + "&amp;J161</f>
        <v>c27.17 + c27.28</v>
      </c>
    </row>
    <row r="164" spans="2:11" x14ac:dyDescent="0.2">
      <c r="B164" s="758" t="s">
        <v>2790</v>
      </c>
      <c r="J164" s="757" t="str">
        <f>A42</f>
        <v>c27.29</v>
      </c>
      <c r="K164" s="783">
        <f>K118+K161</f>
        <v>63872</v>
      </c>
    </row>
    <row r="165" spans="2:11" x14ac:dyDescent="0.2">
      <c r="I165" s="386"/>
    </row>
    <row customHeight="1" ht="12.75" r="166" spans="2:11" x14ac:dyDescent="0.2">
      <c r="B166" s="2982"/>
      <c r="C166" s="37"/>
      <c r="D166" s="37"/>
      <c r="E166" s="711"/>
      <c r="F166" s="1492"/>
      <c r="G166" s="711"/>
      <c r="H166" s="2982"/>
      <c r="I166" s="405"/>
      <c r="J166" s="405"/>
      <c r="K166" s="4448" t="s">
        <v>6393</v>
      </c>
    </row>
    <row customHeight="1" ht="12.75" r="167" spans="2:11" x14ac:dyDescent="0.2">
      <c r="B167" s="4449" t="s">
        <v>8008</v>
      </c>
      <c r="C167" s="4418"/>
      <c r="D167" s="4418"/>
      <c r="E167" s="2982"/>
      <c r="F167" s="405"/>
      <c r="G167" s="2982"/>
      <c r="H167" s="2982"/>
      <c r="I167" s="405"/>
      <c r="J167" s="3193" t="str">
        <f>A43</f>
        <v>c27.29a</v>
      </c>
      <c r="K167" s="3103"/>
    </row>
    <row customHeight="1" ht="12.75" r="168" spans="2:11" x14ac:dyDescent="0.2">
      <c r="I168" s="386"/>
    </row>
    <row customHeight="1" ht="12.75" r="169" spans="2:11" x14ac:dyDescent="0.2">
      <c r="I169" s="386"/>
    </row>
    <row r="170" spans="2:11" x14ac:dyDescent="0.2">
      <c r="B170" s="51" t="s">
        <v>4041</v>
      </c>
      <c r="E170" s="662"/>
      <c r="F170" s="753"/>
      <c r="G170" s="662"/>
    </row>
    <row r="171" spans="2:11" x14ac:dyDescent="0.2">
      <c r="B171" s="389" t="s">
        <v>3906</v>
      </c>
    </row>
    <row r="172" spans="2:11" x14ac:dyDescent="0.2">
      <c r="F172" s="386"/>
      <c r="G172" s="703" t="str">
        <f>"Total all instances "&amp;SSE&amp;SE!C11</f>
        <v>Total all instances SSE33</v>
      </c>
    </row>
    <row r="173" spans="2:11" x14ac:dyDescent="0.2">
      <c r="F173" s="757" t="str">
        <f>A44</f>
        <v>c27.30</v>
      </c>
      <c r="G173" s="783">
        <f>TRUNC(SE!D12+0.99,0)</f>
        <v>0</v>
      </c>
      <c r="H173" s="999" t="s">
        <v>4446</v>
      </c>
    </row>
    <row r="175" spans="2:11" x14ac:dyDescent="0.2">
      <c r="C175" s="756"/>
      <c r="D175" s="756"/>
      <c r="E175" s="703"/>
      <c r="F175" s="760"/>
      <c r="G175" s="703" t="str">
        <f>"Total all instances "&amp;FSE&amp;SE!G17</f>
        <v>Total all instances FSE78</v>
      </c>
    </row>
    <row r="176" spans="2:11" x14ac:dyDescent="0.2">
      <c r="F176" s="757" t="str">
        <f>A45</f>
        <v>c27.31</v>
      </c>
      <c r="G176" s="783">
        <f>TRUNC(SE!H18+0.99,0)</f>
        <v>0</v>
      </c>
      <c r="H176" s="999" t="s">
        <v>4447</v>
      </c>
      <c r="K176" s="121"/>
    </row>
    <row r="178" spans="5:8" x14ac:dyDescent="0.2">
      <c r="G178" s="703" t="str">
        <f>"from "&amp;LUN&amp;LUN!K10</f>
        <v>from LUN56</v>
      </c>
    </row>
    <row r="179" spans="5:8" x14ac:dyDescent="0.2">
      <c r="F179" s="757" t="str">
        <f>A46</f>
        <v>c27.32</v>
      </c>
      <c r="G179" s="783">
        <f>TRUNC(LUN!L11+0.99,0)</f>
        <v>0</v>
      </c>
      <c r="H179" s="929" t="s">
        <v>3701</v>
      </c>
    </row>
    <row r="181" spans="5:8" x14ac:dyDescent="0.2">
      <c r="G181" s="703" t="str">
        <f>"Total all instances "&amp;SPS&amp;PS!C16</f>
        <v>Total all instances SPS22</v>
      </c>
    </row>
    <row r="182" spans="5:8" x14ac:dyDescent="0.2">
      <c r="F182" s="757" t="str">
        <f>A47</f>
        <v>c27.33</v>
      </c>
      <c r="G182" s="783">
        <f>TRUNC(PS!D17+0.99,0)</f>
        <v>0</v>
      </c>
      <c r="H182" s="999" t="s">
        <v>4448</v>
      </c>
    </row>
    <row r="183" spans="5:8" x14ac:dyDescent="0.2">
      <c r="E183" s="703"/>
      <c r="F183" s="760"/>
      <c r="G183" s="782"/>
    </row>
    <row r="184" spans="5:8" x14ac:dyDescent="0.2">
      <c r="G184" s="703" t="str">
        <f><![CDATA["Total all instances ("&FPS&PS!G10&" + "&FPS&PS!J19&")"]]></f>
        <v>Total all instances (FPS22 + FPS39)</v>
      </c>
    </row>
    <row r="185" spans="5:8" x14ac:dyDescent="0.2">
      <c r="F185" s="757" t="str">
        <f>A48</f>
        <v>c27.34</v>
      </c>
      <c r="G185" s="783">
        <f>TRUNC(PS!H11+0.99,0)+TRUNC(PS!K20+0.99,0)</f>
        <v>0</v>
      </c>
      <c r="H185" s="999" t="s">
        <v>4449</v>
      </c>
    </row>
    <row r="187" spans="5:8" x14ac:dyDescent="0.2">
      <c r="E187" s="703"/>
      <c r="F187" s="760"/>
      <c r="G187" s="703" t="str">
        <f>"from "&amp;PRO&amp;PRO!G36</f>
        <v>from PRO42</v>
      </c>
    </row>
    <row r="188" spans="5:8" x14ac:dyDescent="0.2">
      <c r="F188" s="757" t="str">
        <f>A49</f>
        <v>c27.35</v>
      </c>
      <c r="G188" s="783">
        <f>TRUNC(PRO!H37+0.99,0)</f>
        <v>0</v>
      </c>
      <c r="H188" s="929" t="s">
        <v>3701</v>
      </c>
    </row>
    <row r="189" spans="5:8" x14ac:dyDescent="0.2">
      <c r="E189" s="703"/>
      <c r="F189" s="760"/>
      <c r="G189" s="782"/>
    </row>
    <row r="190" spans="5:8" x14ac:dyDescent="0.2">
      <c r="G190" s="703" t="str">
        <f>"from "&amp;FOR&amp;FOR!K19</f>
        <v>from FOR31</v>
      </c>
    </row>
    <row r="191" spans="5:8" x14ac:dyDescent="0.2">
      <c r="F191" s="757" t="str">
        <f>A50</f>
        <v>c27.36</v>
      </c>
      <c r="G191" s="783">
        <f>TRUNC(FOR!L20+0.99,0)</f>
        <v>0</v>
      </c>
      <c r="H191" s="929" t="s">
        <v>3701</v>
      </c>
    </row>
    <row r="193" spans="2:11" x14ac:dyDescent="0.2">
      <c r="E193" s="703"/>
      <c r="F193" s="760"/>
      <c r="G193" s="703" t="str">
        <f>"from "&amp;AOR&amp;AOR!C20</f>
        <v>from AOR6</v>
      </c>
    </row>
    <row r="194" spans="2:11" x14ac:dyDescent="0.2">
      <c r="B194" s="389" t="s">
        <v>1882</v>
      </c>
      <c r="F194" s="757" t="str">
        <f>A51</f>
        <v>c27.37</v>
      </c>
      <c r="G194" s="783">
        <f>TRUNC(AOR!D21+0.99,0)</f>
        <v>0</v>
      </c>
      <c r="H194" s="929" t="s">
        <v>3701</v>
      </c>
    </row>
    <row r="195" spans="2:11" x14ac:dyDescent="0.2">
      <c r="E195" s="703"/>
      <c r="F195" s="760"/>
      <c r="G195" s="782"/>
    </row>
    <row r="196" spans="2:11" x14ac:dyDescent="0.2">
      <c r="G196" s="703" t="str">
        <f><![CDATA[REL&'REL(1)'!C6&" + "&REL&'REL(1)'!C9&" + "&REL&'REL(1)'!H6&" + "&REL&'REL(1)'!H9]]></f>
        <v>REL1 + REL2 + REL3 + REL4</v>
      </c>
    </row>
    <row r="197" spans="2:11" x14ac:dyDescent="0.2">
      <c r="B197" s="389" t="s">
        <v>2417</v>
      </c>
      <c r="F197" s="757" t="str">
        <f>A52</f>
        <v>c27.38</v>
      </c>
      <c r="G197" s="783">
        <f>TRUNC('REL(1)'!D7+0.99,0)+TRUNC('REL(1)'!D10+0.99,0)+TRUNC('REL(1)'!I7+0.99,0)+TRUNC('REL(1)'!I10+0.99,0)</f>
        <v>2200</v>
      </c>
      <c r="H197" s="929" t="s">
        <v>3701</v>
      </c>
    </row>
    <row r="199" spans="2:11" x14ac:dyDescent="0.2">
      <c r="H199" s="412"/>
      <c r="I199" s="386"/>
      <c r="J199" s="412"/>
      <c r="K199" s="698" t="str">
        <f><![CDATA[F173&" + "&F176&" + "&F179&" + "&F182&" + "&F185&" + "]]></f>
        <v xml:space="preserve">c27.30 + c27.31 + c27.32 + c27.33 + c27.34 + </v>
      </c>
    </row>
    <row r="200" spans="2:11" x14ac:dyDescent="0.2">
      <c r="H200" s="412"/>
      <c r="I200" s="386"/>
      <c r="J200" s="412"/>
      <c r="K200" s="698" t="str">
        <f><![CDATA[F188&" + "&F191&" + "&F194&" + "&F197]]></f>
        <v>c27.35 + c27.36 + c27.37 + c27.38</v>
      </c>
    </row>
    <row r="201" spans="2:11" x14ac:dyDescent="0.2">
      <c r="B201" s="756" t="s">
        <v>3007</v>
      </c>
      <c r="H201" s="412"/>
      <c r="I201" s="386"/>
      <c r="J201" s="757" t="str">
        <f>A53</f>
        <v>c27.39</v>
      </c>
      <c r="K201" s="783">
        <f>G173+G176+G179+G182+G185+G188+G191+G194+G197</f>
        <v>2200</v>
      </c>
    </row>
    <row r="202" spans="2:11" x14ac:dyDescent="0.2">
      <c r="H202" s="412"/>
      <c r="I202" s="386"/>
      <c r="K202" s="412"/>
    </row>
    <row r="203" spans="2:11" x14ac:dyDescent="0.2">
      <c r="H203" s="412"/>
      <c r="I203" s="386"/>
      <c r="J203" s="412"/>
      <c r="K203" s="698" t="str">
        <f>J164&amp;" minus "&amp;J201</f>
        <v>c27.29 minus c27.39</v>
      </c>
    </row>
    <row r="204" spans="2:11" x14ac:dyDescent="0.2">
      <c r="B204" s="756" t="s">
        <v>1517</v>
      </c>
      <c r="C204" s="756"/>
      <c r="D204" s="756"/>
      <c r="H204" s="412"/>
      <c r="I204" s="386"/>
      <c r="J204" s="757" t="str">
        <f>A54</f>
        <v>c27.40</v>
      </c>
      <c r="K204" s="783">
        <f>MAX(0,K164-K201)</f>
        <v>61672</v>
      </c>
    </row>
    <row r="205" spans="2:11" x14ac:dyDescent="0.2">
      <c r="B205" s="756"/>
      <c r="C205" s="756"/>
      <c r="D205" s="756"/>
      <c r="H205" s="412"/>
      <c r="I205" s="386"/>
      <c r="J205" s="412"/>
    </row>
    <row r="206" spans="2:11" x14ac:dyDescent="0.2">
      <c r="B206" s="756"/>
      <c r="C206" s="756"/>
      <c r="D206" s="756"/>
      <c r="H206" s="412"/>
      <c r="I206" s="386"/>
      <c r="J206" s="412"/>
    </row>
    <row r="207" spans="2:11" x14ac:dyDescent="0.2">
      <c r="B207" s="51"/>
      <c r="C207" s="51"/>
      <c r="D207" s="51"/>
      <c r="E207" s="2982"/>
      <c r="F207" s="405"/>
      <c r="G207" s="2982"/>
      <c r="H207" s="405"/>
      <c r="I207" s="2982"/>
      <c r="J207" s="405"/>
      <c r="K207" s="4448" t="s">
        <v>6393</v>
      </c>
    </row>
    <row r="208" spans="2:11" x14ac:dyDescent="0.2">
      <c r="B208" s="4450" t="s">
        <v>8007</v>
      </c>
      <c r="C208" s="4450"/>
      <c r="D208" s="4450"/>
      <c r="E208" s="4432"/>
      <c r="F208" s="405"/>
      <c r="G208" s="2982"/>
      <c r="H208" s="405"/>
      <c r="I208" s="2982"/>
      <c r="J208" s="3193" t="str">
        <f>A55</f>
        <v>c27.40a</v>
      </c>
      <c r="K208" s="3103"/>
    </row>
    <row r="209" spans="2:12" x14ac:dyDescent="0.2">
      <c r="B209" s="756"/>
      <c r="C209" s="756"/>
      <c r="D209" s="756"/>
      <c r="H209" s="412"/>
      <c r="I209" s="386"/>
      <c r="J209" s="412"/>
    </row>
    <row r="210" spans="2:12" x14ac:dyDescent="0.2">
      <c r="H210" s="412"/>
      <c r="I210" s="386"/>
      <c r="K210" s="698" t="str">
        <f>"If pseudo box "&amp;SLR&amp;'REL(2)'!C13&amp;" = 01"</f>
        <v>If pseudo box SLRPT = 01</v>
      </c>
    </row>
    <row r="211" spans="2:12" x14ac:dyDescent="0.2">
      <c r="H211" s="412"/>
      <c r="I211" s="386"/>
      <c r="K211" s="3068" t="str">
        <f>J219&amp;" = "&amp;J204&amp;" minus SL_limit1 ("&amp;DOLLAR(SL_limit1,0)&amp;")"</f>
        <v>c27.41 = c27.40 minus SL_limit1 ($18,935)</v>
      </c>
    </row>
    <row r="212" spans="2:12" x14ac:dyDescent="0.2">
      <c r="H212" s="412"/>
      <c r="I212" s="386"/>
      <c r="K212" s="93" t="s">
        <v>2386</v>
      </c>
    </row>
    <row r="213" spans="2:12" x14ac:dyDescent="0.2">
      <c r="H213" s="412"/>
      <c r="I213" s="386"/>
      <c r="K213" s="698" t="str">
        <f>"If pseudo box "&amp;SLR&amp;'REL(2)'!C13&amp;" = 02"</f>
        <v>If pseudo box SLRPT = 02</v>
      </c>
    </row>
    <row r="214" spans="2:12" x14ac:dyDescent="0.2">
      <c r="H214" s="412"/>
      <c r="I214" s="386"/>
      <c r="K214" s="3068" t="str">
        <f>J219&amp;" = "&amp;J204&amp;" minus SL_limit2 ("&amp;DOLLAR(SL_limit2,0)&amp;")"</f>
        <v>c27.41 = c27.40 minus SL_limit2 ($25,725)</v>
      </c>
    </row>
    <row r="215" spans="2:12" x14ac:dyDescent="0.2">
      <c r="H215" s="412"/>
      <c r="I215" s="386"/>
      <c r="K215" s="4448" t="s">
        <v>2386</v>
      </c>
    </row>
    <row r="216" spans="2:12" x14ac:dyDescent="0.2">
      <c r="H216" s="412"/>
      <c r="I216" s="386"/>
      <c r="K216" s="4460" t="str">
        <f>J219&amp;" = 0 (zero)"</f>
        <v>c27.41 = 0 (zero)</v>
      </c>
    </row>
    <row r="217" spans="2:12" x14ac:dyDescent="0.2">
      <c r="H217" s="412"/>
      <c r="I217" s="386"/>
      <c r="K217" s="1078" t="s">
        <v>2495</v>
      </c>
    </row>
    <row r="218" spans="2:12" x14ac:dyDescent="0.2">
      <c r="H218" s="412"/>
      <c r="I218" s="386"/>
      <c r="K218" s="37" t="s">
        <v>2495</v>
      </c>
    </row>
    <row r="219" spans="2:12" x14ac:dyDescent="0.2">
      <c r="H219" s="412"/>
      <c r="I219" s="386"/>
      <c r="J219" s="757" t="str">
        <f>A56</f>
        <v>c27.41</v>
      </c>
      <c r="K219" s="1275">
        <f>IF(SL_type=1,MAX(0,K204-SL_limit1),IF(SL_type=2,MAX(0,K204-SL_limit2),0))</f>
        <v>0</v>
      </c>
    </row>
    <row r="220" spans="2:12" x14ac:dyDescent="0.2">
      <c r="H220" s="412"/>
      <c r="I220" s="386"/>
      <c r="J220" s="412"/>
    </row>
    <row r="221" spans="2:12" x14ac:dyDescent="0.2">
      <c r="B221" s="756"/>
      <c r="C221" s="756"/>
      <c r="D221" s="756"/>
      <c r="H221" s="412"/>
      <c r="I221" s="386"/>
      <c r="J221" s="412"/>
      <c r="K221" s="698" t="str">
        <f>J219&amp;" x Sloan_rate ("&amp;Sloan_rate*100&amp;"%)"</f>
        <v>c27.41 x Sloan_rate (9%)</v>
      </c>
    </row>
    <row r="222" spans="2:12" x14ac:dyDescent="0.2">
      <c r="B222" s="756" t="s">
        <v>2785</v>
      </c>
      <c r="C222" s="756"/>
      <c r="D222" s="756"/>
      <c r="H222" s="412"/>
      <c r="I222" s="386"/>
      <c r="J222" s="757" t="str">
        <f>A57</f>
        <v>c27.42</v>
      </c>
      <c r="K222" s="1040">
        <f>TRUNC(K219*Sloan_rate,0)</f>
        <v>0</v>
      </c>
      <c r="L222" s="929" t="s">
        <v>1743</v>
      </c>
    </row>
    <row r="223" spans="2:12" x14ac:dyDescent="0.2">
      <c r="H223" s="412"/>
      <c r="I223" s="386"/>
      <c r="J223" s="412"/>
    </row>
    <row r="224" spans="2:12" x14ac:dyDescent="0.2">
      <c r="H224" s="412"/>
      <c r="I224" s="386"/>
      <c r="J224" s="412"/>
      <c r="K224" s="761" t="str">
        <f>"from "&amp;SLR&amp;'REL(2)'!G11</f>
        <v>from SLR2</v>
      </c>
    </row>
    <row r="225" spans="2:12" x14ac:dyDescent="0.2">
      <c r="B225" s="709" t="s">
        <v>114</v>
      </c>
      <c r="C225" s="756"/>
      <c r="D225" s="756"/>
      <c r="H225" s="412"/>
      <c r="I225" s="386"/>
      <c r="J225" s="757" t="str">
        <f>A58</f>
        <v>c27.43</v>
      </c>
      <c r="K225" s="783">
        <f>TRUNC('REL(2)'!H12+0.99,0)</f>
        <v>0</v>
      </c>
      <c r="L225" s="929" t="s">
        <v>3701</v>
      </c>
    </row>
    <row r="226" spans="2:12" x14ac:dyDescent="0.2">
      <c r="B226" s="709"/>
      <c r="C226" s="756"/>
      <c r="D226" s="756"/>
      <c r="H226" s="412"/>
      <c r="I226" s="386"/>
      <c r="J226" s="906"/>
      <c r="K226" s="3146"/>
      <c r="L226" s="929"/>
    </row>
    <row r="227" spans="2:12" x14ac:dyDescent="0.2">
      <c r="B227" s="709"/>
      <c r="C227" s="756"/>
      <c r="D227" s="756"/>
      <c r="H227" s="412"/>
      <c r="I227" s="3197"/>
      <c r="J227" s="3196"/>
      <c r="K227" s="3200" t="str">
        <f>"If pseudo box "&amp;PGLR&amp;'REL(2)'!C13&amp;" = 03"</f>
        <v>If pseudo box PGLRPT = 03</v>
      </c>
      <c r="L227" s="929"/>
    </row>
    <row r="228" spans="2:12" x14ac:dyDescent="0.2">
      <c r="H228" s="412"/>
      <c r="I228" s="4445"/>
      <c r="J228" s="3199"/>
      <c r="K228" s="3195" t="str">
        <f>J232&amp;" = "&amp;J204&amp;" minus PGL_limit ("&amp;DOLLAR(PGL_limit,0)&amp;")"</f>
        <v>c27.43a = c27.40 minus PGL_limit ($21,000)</v>
      </c>
    </row>
    <row r="229" spans="2:12" x14ac:dyDescent="0.2">
      <c r="H229" s="412"/>
      <c r="I229" s="386"/>
      <c r="K229" s="3179" t="s">
        <v>2386</v>
      </c>
    </row>
    <row r="230" spans="2:12" x14ac:dyDescent="0.2">
      <c r="B230" s="709"/>
      <c r="C230" s="51"/>
      <c r="D230" s="51"/>
      <c r="E230" s="2982"/>
      <c r="F230" s="405"/>
      <c r="G230" s="2982"/>
      <c r="H230" s="405"/>
      <c r="I230" s="386"/>
      <c r="K230" s="3200" t="str">
        <f>J232&amp;" = 0 (zero)"</f>
        <v>c27.43a = 0 (zero)</v>
      </c>
    </row>
    <row r="231" spans="2:12" x14ac:dyDescent="0.2">
      <c r="B231" s="709"/>
      <c r="C231" s="51"/>
      <c r="D231" s="51"/>
      <c r="E231" s="4336"/>
      <c r="F231" s="405"/>
      <c r="G231" s="4336"/>
      <c r="H231" s="405"/>
      <c r="I231" s="386"/>
      <c r="K231" s="4341" t="s">
        <v>2495</v>
      </c>
    </row>
    <row r="232" spans="2:12" x14ac:dyDescent="0.2">
      <c r="B232" s="709"/>
      <c r="C232" s="51"/>
      <c r="D232" s="51"/>
      <c r="E232" s="2982"/>
      <c r="F232" s="405"/>
      <c r="G232" s="2982"/>
      <c r="H232" s="405"/>
      <c r="I232" s="2982"/>
      <c r="J232" s="3193" t="str">
        <f>A59</f>
        <v>c27.43a</v>
      </c>
      <c r="K232" s="3104">
        <f>IF(PGL_type=3,MAX(0,K204-PGL_limit),0)</f>
        <v>0</v>
      </c>
    </row>
    <row r="233" spans="2:12" x14ac:dyDescent="0.2">
      <c r="B233" s="709"/>
      <c r="C233" s="51"/>
      <c r="D233" s="51"/>
      <c r="E233" s="2982"/>
      <c r="F233" s="405"/>
      <c r="G233" s="2982"/>
      <c r="H233" s="405"/>
      <c r="I233" s="2982"/>
      <c r="J233" s="405"/>
      <c r="K233" s="2982"/>
    </row>
    <row r="234" spans="2:12" x14ac:dyDescent="0.2">
      <c r="B234" s="709"/>
      <c r="C234" s="51"/>
      <c r="D234" s="51"/>
      <c r="E234" s="2982"/>
      <c r="F234" s="405"/>
      <c r="G234" s="2982"/>
      <c r="H234" s="405"/>
      <c r="I234" s="3179"/>
      <c r="J234" s="3194"/>
      <c r="K234" s="3195" t="str">
        <f>J232&amp;" x PGL_rate ("&amp;PGL_rate*100&amp;"%)"</f>
        <v>c27.43a x PGL_rate (6%)</v>
      </c>
    </row>
    <row r="235" spans="2:12" x14ac:dyDescent="0.2">
      <c r="B235" s="3198" t="s">
        <v>8005</v>
      </c>
      <c r="C235" s="3198"/>
      <c r="D235" s="3198"/>
      <c r="E235" s="2982"/>
      <c r="F235" s="405"/>
      <c r="G235" s="2982"/>
      <c r="H235" s="405"/>
      <c r="I235" s="2982"/>
      <c r="J235" s="3193" t="str">
        <f>A60</f>
        <v>c27.43b</v>
      </c>
      <c r="K235" s="3103">
        <f>TRUNC(K232*PGL_rate,0)</f>
        <v>0</v>
      </c>
      <c r="L235" s="3201" t="s">
        <v>1743</v>
      </c>
    </row>
    <row r="236" spans="2:12" x14ac:dyDescent="0.2">
      <c r="B236" s="709"/>
      <c r="C236" s="51"/>
      <c r="D236" s="51"/>
      <c r="E236" s="2982"/>
      <c r="F236" s="405"/>
      <c r="G236" s="2982"/>
      <c r="H236" s="405"/>
      <c r="I236" s="2982"/>
      <c r="J236" s="405"/>
      <c r="K236" s="2982"/>
    </row>
    <row r="237" spans="2:12" x14ac:dyDescent="0.2">
      <c r="B237" s="3203" t="s">
        <v>8006</v>
      </c>
      <c r="C237" s="3198"/>
      <c r="D237" s="3198"/>
      <c r="E237" s="2982"/>
      <c r="F237" s="405"/>
      <c r="G237" s="2982"/>
      <c r="H237" s="405"/>
      <c r="I237" s="2982"/>
      <c r="J237" s="405"/>
      <c r="K237" s="3202" t="str">
        <f>"from "&amp;SLR&amp;'REL(2)'!G15</f>
        <v>from SLR3</v>
      </c>
    </row>
    <row r="238" spans="2:12" x14ac:dyDescent="0.2">
      <c r="B238" s="709"/>
      <c r="C238" s="51"/>
      <c r="D238" s="51"/>
      <c r="E238" s="2982"/>
      <c r="F238" s="405"/>
      <c r="G238" s="2982"/>
      <c r="H238" s="405"/>
      <c r="I238" s="2982"/>
      <c r="J238" s="3193" t="str">
        <f>A61</f>
        <v>c27.43c</v>
      </c>
      <c r="K238" s="3103">
        <f>TRUNC('REL(2)'!H16+0.99,0)</f>
        <v>0</v>
      </c>
      <c r="L238" s="3201" t="s">
        <v>3701</v>
      </c>
    </row>
    <row r="239" spans="2:12" x14ac:dyDescent="0.2">
      <c r="B239" s="709"/>
      <c r="C239" s="51"/>
      <c r="D239" s="51"/>
      <c r="E239" s="3161"/>
      <c r="F239" s="405"/>
      <c r="G239" s="3161"/>
      <c r="H239" s="405"/>
      <c r="I239" s="3161"/>
      <c r="J239" s="3161"/>
      <c r="K239" s="3161"/>
      <c r="L239" s="3161"/>
    </row>
    <row r="240" spans="2:12" x14ac:dyDescent="0.2">
      <c r="B240" s="3204" t="str">
        <f>"if "&amp;SLR&amp;'REL(2)'!C11&amp;" = Y"</f>
        <v>if SLR1 = Y</v>
      </c>
      <c r="C240" s="51"/>
      <c r="D240" s="51"/>
      <c r="E240" s="3161"/>
      <c r="F240" s="405"/>
      <c r="G240" s="3161"/>
      <c r="H240" s="405"/>
      <c r="I240" s="3161"/>
      <c r="J240" s="3161"/>
      <c r="K240" s="3161"/>
      <c r="L240" s="3161"/>
    </row>
    <row r="241" spans="1:12" x14ac:dyDescent="0.2">
      <c r="A241" s="3197"/>
      <c r="B241" s="3195" t="s">
        <v>7467</v>
      </c>
      <c r="H241" s="412"/>
      <c r="I241" s="386"/>
      <c r="J241" s="412"/>
    </row>
    <row r="242" spans="1:12" x14ac:dyDescent="0.2">
      <c r="B242" s="3204" t="str">
        <f>"If pseudo box "&amp;SLR&amp;'REL(2)'!C13&amp;" = 01 or 02"</f>
        <v>If pseudo box SLRPT = 01 or 02</v>
      </c>
    </row>
    <row r="243" spans="1:12" x14ac:dyDescent="0.2">
      <c r="B243" s="3204" t="str">
        <f>"Calculate "&amp;J254</f>
        <v>Calculate c27.44</v>
      </c>
    </row>
    <row r="244" spans="1:12" x14ac:dyDescent="0.2">
      <c r="B244" s="3205" t="s">
        <v>2386</v>
      </c>
    </row>
    <row r="245" spans="1:12" x14ac:dyDescent="0.2">
      <c r="B245" s="3204" t="str">
        <f>J254&amp;" = 0 (zero)"</f>
        <v>c27.44 = 0 (zero)</v>
      </c>
    </row>
    <row r="247" spans="1:12" x14ac:dyDescent="0.2">
      <c r="E247" s="389"/>
      <c r="K247" s="2944"/>
    </row>
    <row r="248" spans="1:12" x14ac:dyDescent="0.2">
      <c r="E248" s="389"/>
    </row>
    <row r="249" spans="1:12" x14ac:dyDescent="0.2">
      <c r="E249" s="389"/>
    </row>
    <row r="250" spans="1:12" x14ac:dyDescent="0.2">
      <c r="E250" s="389"/>
      <c r="K250" s="4374"/>
    </row>
    <row r="251" spans="1:12" x14ac:dyDescent="0.2">
      <c r="E251" s="389"/>
    </row>
    <row r="252" spans="1:12" x14ac:dyDescent="0.2">
      <c r="E252" s="389"/>
      <c r="K252" s="4374"/>
    </row>
    <row r="253" spans="1:12" x14ac:dyDescent="0.2">
      <c r="H253" s="412"/>
      <c r="I253" s="386"/>
      <c r="J253" s="412"/>
      <c r="K253" s="2958" t="str">
        <f>J222&amp;" minus "&amp;J225</f>
        <v>c27.42 minus c27.43</v>
      </c>
    </row>
    <row r="254" spans="1:12" x14ac:dyDescent="0.2">
      <c r="B254" s="756" t="s">
        <v>2554</v>
      </c>
      <c r="C254" s="756"/>
      <c r="D254" s="756"/>
      <c r="H254" s="412"/>
      <c r="I254" s="386"/>
      <c r="J254" s="757" t="str">
        <f>A62</f>
        <v>c27.44</v>
      </c>
      <c r="K254" s="1041">
        <f>IF(AND(SL_case,SL_type=1),MAX(0,TRUNC(K222-K225+0.0099,2)),IF(AND(SL_case,SL_type=2),MAX(0,TRUNC(K222-K225+0.0099,2)),0))</f>
        <v>0</v>
      </c>
      <c r="L254" s="1057" t="s">
        <v>1707</v>
      </c>
    </row>
    <row r="255" spans="1:12" x14ac:dyDescent="0.2">
      <c r="H255" s="412"/>
      <c r="I255" s="386"/>
      <c r="J255" s="412"/>
      <c r="K255" s="698" t="str">
        <f>"Copy to box "&amp;'Tax due (c12)'!F30</f>
        <v>Copy to box c12.7</v>
      </c>
    </row>
    <row r="256" spans="1:12" x14ac:dyDescent="0.2">
      <c r="B256" s="974"/>
    </row>
    <row r="257" spans="1:11" x14ac:dyDescent="0.2">
      <c r="B257" s="37" t="s">
        <v>2495</v>
      </c>
    </row>
    <row r="258" spans="1:11" x14ac:dyDescent="0.2">
      <c r="B258" s="37"/>
    </row>
    <row r="259" spans="1:11" x14ac:dyDescent="0.2">
      <c r="B259" s="37"/>
    </row>
    <row r="260" spans="1:11" x14ac:dyDescent="0.2">
      <c r="B260" s="3204" t="str">
        <f>"if "&amp;SLR&amp;'REL(2)'!C11&amp;" = Y"</f>
        <v>if SLR1 = Y</v>
      </c>
    </row>
    <row r="261" spans="1:11" x14ac:dyDescent="0.2">
      <c r="A261" s="3197"/>
      <c r="B261" s="3195" t="s">
        <v>7467</v>
      </c>
    </row>
    <row r="262" spans="1:11" x14ac:dyDescent="0.2">
      <c r="B262" s="3205" t="str">
        <f>"If pseudo box "&amp;PGLR&amp;'REL(2)'!C13&amp;" = 03"</f>
        <v>If pseudo box PGLRPT = 03</v>
      </c>
      <c r="C262" s="37"/>
      <c r="D262" s="37"/>
      <c r="E262" s="2982"/>
      <c r="F262" s="405"/>
      <c r="G262" s="2982"/>
      <c r="H262" s="2982"/>
      <c r="I262" s="405"/>
      <c r="J262" s="2982"/>
      <c r="K262" s="2982"/>
    </row>
    <row r="263" spans="1:11" x14ac:dyDescent="0.2">
      <c r="B263" s="3205" t="str">
        <f>"Calculate "&amp;J273</f>
        <v>Calculate c27.45</v>
      </c>
      <c r="C263" s="37"/>
      <c r="D263" s="37"/>
      <c r="E263" s="2982"/>
      <c r="F263" s="405"/>
      <c r="G263" s="2982"/>
      <c r="H263" s="2982"/>
      <c r="I263" s="405"/>
      <c r="J263" s="2982"/>
      <c r="K263" s="2982"/>
    </row>
    <row r="264" spans="1:11" x14ac:dyDescent="0.2">
      <c r="B264" s="3205" t="s">
        <v>2386</v>
      </c>
      <c r="C264" s="37"/>
      <c r="D264" s="37"/>
      <c r="E264" s="2982"/>
      <c r="F264" s="405"/>
      <c r="G264" s="2982"/>
      <c r="H264" s="2982"/>
      <c r="I264" s="405"/>
      <c r="J264" s="2982"/>
      <c r="K264" s="2982"/>
    </row>
    <row r="265" spans="1:11" x14ac:dyDescent="0.2">
      <c r="B265" s="3205" t="str">
        <f>J273&amp;" = 0 (zero)"</f>
        <v>c27.45 = 0 (zero)</v>
      </c>
      <c r="C265" s="37"/>
      <c r="E265" s="2982"/>
      <c r="F265" s="405"/>
      <c r="G265" s="2982"/>
      <c r="H265" s="2982"/>
      <c r="I265" s="405"/>
      <c r="J265" s="2982"/>
      <c r="K265" s="2982"/>
    </row>
    <row r="266" spans="1:11" x14ac:dyDescent="0.2">
      <c r="B266" s="37"/>
      <c r="C266" s="37"/>
      <c r="D266" s="37"/>
      <c r="E266" s="2982"/>
      <c r="F266" s="405"/>
      <c r="G266" s="2982"/>
      <c r="H266" s="2982"/>
      <c r="I266" s="405"/>
      <c r="J266" s="2982"/>
      <c r="K266" s="2982"/>
    </row>
    <row r="267" spans="1:11" x14ac:dyDescent="0.2">
      <c r="B267" s="37"/>
      <c r="C267" s="37"/>
      <c r="D267" s="37"/>
      <c r="E267" s="2982"/>
      <c r="F267" s="405"/>
      <c r="G267" s="2982"/>
      <c r="H267" s="2982"/>
      <c r="I267" s="386"/>
    </row>
    <row r="268" spans="1:11" x14ac:dyDescent="0.2">
      <c r="B268" s="37"/>
      <c r="C268" s="37"/>
      <c r="D268" s="37"/>
      <c r="E268" s="2982"/>
      <c r="F268" s="405"/>
      <c r="G268" s="2982"/>
      <c r="H268" s="2982"/>
      <c r="I268" s="386"/>
    </row>
    <row r="269" spans="1:11" x14ac:dyDescent="0.2">
      <c r="B269" s="37"/>
      <c r="C269" s="37"/>
      <c r="D269" s="37"/>
      <c r="E269" s="2982"/>
      <c r="F269" s="405"/>
      <c r="G269" s="2982"/>
      <c r="H269" s="2982"/>
      <c r="I269" s="386"/>
    </row>
    <row r="270" spans="1:11" x14ac:dyDescent="0.2">
      <c r="B270" s="37"/>
      <c r="C270" s="37"/>
      <c r="D270" s="37"/>
      <c r="E270" s="2982"/>
      <c r="F270" s="405"/>
      <c r="G270" s="2982"/>
      <c r="H270" s="2982"/>
      <c r="I270" s="386"/>
    </row>
    <row r="271" spans="1:11" x14ac:dyDescent="0.2">
      <c r="B271" s="37"/>
      <c r="C271" s="37"/>
      <c r="D271" s="37"/>
      <c r="E271" s="2982"/>
      <c r="F271" s="405"/>
      <c r="G271" s="2982"/>
      <c r="H271" s="2982"/>
      <c r="I271" s="386"/>
    </row>
    <row r="272" spans="1:11" x14ac:dyDescent="0.2">
      <c r="B272" s="37"/>
      <c r="C272" s="37"/>
      <c r="D272" s="37"/>
      <c r="E272" s="2982"/>
      <c r="F272" s="405"/>
      <c r="G272" s="2982"/>
      <c r="H272" s="2982"/>
      <c r="I272" s="405"/>
      <c r="J272" s="3179"/>
      <c r="K272" s="4457" t="str">
        <f>J235&amp;" minus "&amp;J238</f>
        <v>c27.43b minus c27.43c</v>
      </c>
    </row>
    <row r="273" spans="2:12" x14ac:dyDescent="0.2">
      <c r="B273" s="3198" t="s">
        <v>8004</v>
      </c>
      <c r="C273" s="3192"/>
      <c r="D273" s="3192"/>
      <c r="E273" s="3179"/>
      <c r="F273" s="405"/>
      <c r="G273" s="2982"/>
      <c r="H273" s="2982"/>
      <c r="I273" s="405"/>
      <c r="J273" s="3193" t="str">
        <f>A63</f>
        <v>c27.45</v>
      </c>
      <c r="K273" s="3105">
        <f>IF(AND(SL_case,PGL_type=3),MAX(0,TRUNC(K235-K238+0.0099,2)),0)</f>
        <v>0</v>
      </c>
      <c r="L273" s="3206" t="s">
        <v>1707</v>
      </c>
    </row>
    <row r="274" spans="2:12" x14ac:dyDescent="0.2">
      <c r="B274" s="37"/>
      <c r="C274" s="37"/>
      <c r="D274" s="37"/>
      <c r="E274" s="2982"/>
      <c r="F274" s="405"/>
      <c r="G274" s="2982"/>
      <c r="H274" s="2982"/>
      <c r="I274" s="405"/>
      <c r="J274" s="2982"/>
      <c r="K274" s="2982"/>
    </row>
    <row r="275" spans="2:12" x14ac:dyDescent="0.2">
      <c r="B275" s="3192" t="s">
        <v>2495</v>
      </c>
      <c r="C275" s="37"/>
      <c r="D275" s="37"/>
      <c r="E275" s="2982"/>
      <c r="F275" s="405"/>
      <c r="G275" s="2982"/>
      <c r="H275" s="2982"/>
      <c r="I275" s="405"/>
      <c r="J275" s="2982"/>
      <c r="K275" s="2982"/>
    </row>
  </sheetData>
  <phoneticPr fontId="67" type="noConversion"/>
  <pageMargins bottom="0.196850393700787" footer="0" header="0" left="0.196850393700787" right="0.196850393700787" top="0.196850393700787"/>
  <pageSetup fitToHeight="2" orientation="portrait" paperSize="9" r:id="rId1"/>
  <headerFooter alignWithMargins="0"/>
</worksheet>
</file>

<file path=xl/worksheets/sheet85.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400-000000000000}">
  <sheetPr codeName="Sheet37"/>
  <dimension ref="A1:L38"/>
  <sheetViews>
    <sheetView showGridLines="0" topLeftCell="B16" workbookViewId="0">
      <selection activeCell="G35" sqref="G35"/>
    </sheetView>
  </sheetViews>
  <sheetFormatPr defaultColWidth="9.140625" defaultRowHeight="12" x14ac:dyDescent="0.2"/>
  <cols>
    <col min="1" max="1" customWidth="true" hidden="true" style="386" width="5.42578125" collapsed="true"/>
    <col min="2" max="2" customWidth="true" style="386" width="22.85546875" collapsed="true"/>
    <col min="3" max="3" customWidth="true" style="386" width="6.85546875" collapsed="true"/>
    <col min="4" max="4" customWidth="true" style="386" width="10.7109375" collapsed="true"/>
    <col min="5" max="5" customWidth="true" style="386" width="6.42578125" collapsed="true"/>
    <col min="6" max="6" customWidth="true" style="386" width="7.0" collapsed="true"/>
    <col min="7" max="7" customWidth="true" style="386" width="12.7109375" collapsed="true"/>
    <col min="8" max="8" customWidth="true" style="386" width="4.28515625" collapsed="true"/>
    <col min="9" max="9" customWidth="true" style="386" width="6.5703125" collapsed="true"/>
    <col min="10" max="10" customWidth="true" style="386" width="10.7109375" collapsed="true"/>
    <col min="11" max="11" customWidth="true" style="386" width="6.42578125" collapsed="true"/>
    <col min="12" max="16384" style="386" width="9.140625" collapsed="true"/>
  </cols>
  <sheetData>
    <row ht="23.25" r="1" spans="1:10" x14ac:dyDescent="0.35">
      <c r="A1" s="386" t="s">
        <v>2460</v>
      </c>
      <c r="B1" s="2736" t="s">
        <v>2262</v>
      </c>
      <c r="C1" s="389"/>
      <c r="D1" s="389"/>
      <c r="F1" s="412"/>
      <c r="I1" s="412"/>
    </row>
    <row r="2" spans="1:10" x14ac:dyDescent="0.2">
      <c r="A2" s="386" t="s">
        <v>2461</v>
      </c>
      <c r="B2" s="389"/>
      <c r="C2" s="389"/>
      <c r="D2" s="389"/>
      <c r="F2" s="412"/>
      <c r="I2" s="412"/>
    </row>
    <row r="3" spans="1:10" x14ac:dyDescent="0.2">
      <c r="A3" s="386" t="s">
        <v>2462</v>
      </c>
      <c r="B3" s="389"/>
      <c r="C3" s="389"/>
      <c r="D3" s="3028" t="s">
        <v>7394</v>
      </c>
      <c r="E3" s="3032"/>
      <c r="F3" s="3032"/>
      <c r="G3" s="3033"/>
      <c r="I3" s="412"/>
    </row>
    <row r="4" spans="1:10" x14ac:dyDescent="0.2">
      <c r="A4" s="386" t="s">
        <v>2463</v>
      </c>
      <c r="B4" s="2674"/>
      <c r="C4" s="2674"/>
      <c r="D4" s="2674"/>
    </row>
    <row r="5" spans="1:10" x14ac:dyDescent="0.2">
      <c r="A5" s="386" t="s">
        <v>2464</v>
      </c>
      <c r="B5" s="2812" t="str">
        <f>" Boxes "&amp;A1&amp;" to "&amp;A6&amp;" not used"</f>
        <v xml:space="preserve"> Boxes c28.1 to c28.6 not used</v>
      </c>
      <c r="C5" s="2813"/>
      <c r="D5" s="2674"/>
      <c r="I5" s="389"/>
      <c r="J5" s="2809" t="s">
        <v>6393</v>
      </c>
    </row>
    <row r="6" spans="1:10" x14ac:dyDescent="0.2">
      <c r="A6" s="386" t="s">
        <v>2465</v>
      </c>
      <c r="I6" s="757" t="str">
        <f>A1</f>
        <v>c28.1</v>
      </c>
      <c r="J6" s="752">
        <v>0</v>
      </c>
    </row>
    <row r="7" spans="1:10" x14ac:dyDescent="0.2">
      <c r="A7" s="386" t="s">
        <v>2466</v>
      </c>
      <c r="J7" s="2809" t="s">
        <v>6393</v>
      </c>
    </row>
    <row r="8" spans="1:10" x14ac:dyDescent="0.2">
      <c r="A8" s="386" t="s">
        <v>2467</v>
      </c>
      <c r="I8" s="757" t="str">
        <f>A2</f>
        <v>c28.2</v>
      </c>
      <c r="J8" s="752">
        <v>0</v>
      </c>
    </row>
    <row r="9" spans="1:10" x14ac:dyDescent="0.2">
      <c r="A9" s="386" t="s">
        <v>2468</v>
      </c>
      <c r="J9" s="2809" t="s">
        <v>6393</v>
      </c>
    </row>
    <row r="10" spans="1:10" x14ac:dyDescent="0.2">
      <c r="A10" s="386" t="s">
        <v>3045</v>
      </c>
      <c r="I10" s="757" t="str">
        <f>A3</f>
        <v>c28.3</v>
      </c>
      <c r="J10" s="752">
        <v>0</v>
      </c>
    </row>
    <row r="11" spans="1:10" x14ac:dyDescent="0.2">
      <c r="A11" s="386" t="s">
        <v>3046</v>
      </c>
      <c r="J11" s="2809" t="s">
        <v>6393</v>
      </c>
    </row>
    <row r="12" spans="1:10" x14ac:dyDescent="0.2">
      <c r="A12" s="386" t="s">
        <v>3047</v>
      </c>
      <c r="I12" s="757" t="str">
        <f>A4</f>
        <v>c28.4</v>
      </c>
      <c r="J12" s="752">
        <v>0</v>
      </c>
    </row>
    <row r="13" spans="1:10" x14ac:dyDescent="0.2">
      <c r="A13" s="386" t="s">
        <v>3048</v>
      </c>
      <c r="J13" s="2809" t="s">
        <v>6393</v>
      </c>
    </row>
    <row r="14" spans="1:10" x14ac:dyDescent="0.2">
      <c r="A14" s="386" t="s">
        <v>3049</v>
      </c>
      <c r="I14" s="757" t="str">
        <f>A5</f>
        <v>c28.5</v>
      </c>
      <c r="J14" s="752">
        <v>0</v>
      </c>
    </row>
    <row r="15" spans="1:10" x14ac:dyDescent="0.2">
      <c r="J15" s="2809" t="s">
        <v>6393</v>
      </c>
    </row>
    <row r="16" spans="1:10" x14ac:dyDescent="0.2">
      <c r="I16" s="757" t="str">
        <f>A6</f>
        <v>c28.6</v>
      </c>
      <c r="J16" s="752">
        <v>0</v>
      </c>
    </row>
    <row r="18" spans="2:11" x14ac:dyDescent="0.2">
      <c r="B18" s="389"/>
      <c r="C18" s="389"/>
      <c r="D18" s="389"/>
      <c r="E18" s="389"/>
      <c r="F18" s="389"/>
      <c r="G18" s="389"/>
      <c r="H18" s="389"/>
      <c r="I18" s="389"/>
      <c r="J18" s="696" t="str">
        <f>"from "&amp;'Deductions (c4)'!H219</f>
        <v>from c4.63</v>
      </c>
    </row>
    <row r="19" spans="2:11" x14ac:dyDescent="0.2">
      <c r="B19" s="717" t="s">
        <v>1749</v>
      </c>
      <c r="C19" s="389"/>
      <c r="D19" s="389"/>
      <c r="E19" s="389"/>
      <c r="F19" s="389"/>
      <c r="G19" s="389"/>
      <c r="H19" s="389"/>
      <c r="I19" s="757" t="str">
        <f>A7</f>
        <v>c28.7</v>
      </c>
      <c r="J19" s="752">
        <f>TRUNC(MAX(0,'Deductions (c4)'!I219),0)</f>
        <v>61047</v>
      </c>
    </row>
    <row r="20" spans="2:11" x14ac:dyDescent="0.2">
      <c r="B20" s="389"/>
      <c r="C20" s="389"/>
      <c r="D20" s="389"/>
      <c r="F20" s="412"/>
    </row>
    <row r="21" spans="2:11" x14ac:dyDescent="0.2">
      <c r="J21" s="93" t="str">
        <f>"CBC_HR_threshold ("&amp;DOLLAR(CBC_HR_threshold,0)&amp;")"</f>
        <v>CBC_HR_threshold ($50,000)</v>
      </c>
    </row>
    <row r="22" spans="2:11" x14ac:dyDescent="0.2">
      <c r="B22" s="386" t="s">
        <v>3050</v>
      </c>
      <c r="I22" s="757" t="str">
        <f>A8</f>
        <v>c28.8</v>
      </c>
      <c r="J22" s="1010">
        <f>CBC_HR_threshold</f>
        <v>50000</v>
      </c>
    </row>
    <row r="24" spans="2:11" x14ac:dyDescent="0.2">
      <c r="J24" s="696" t="str">
        <f>I19&amp;" minus "&amp;I22</f>
        <v>c28.7 minus c28.8</v>
      </c>
    </row>
    <row r="25" spans="2:11" x14ac:dyDescent="0.2">
      <c r="B25" s="717" t="s">
        <v>3051</v>
      </c>
      <c r="I25" s="757" t="str">
        <f>A9</f>
        <v>c28.9</v>
      </c>
      <c r="J25" s="752">
        <f>TRUNC(MAX(0,J19-J22),0)</f>
        <v>11047</v>
      </c>
    </row>
    <row r="27" spans="2:11" x14ac:dyDescent="0.2">
      <c r="J27" s="698" t="str">
        <f>I25&amp;" x CBC_taper ("&amp;CBC_taper*100&amp;"%)"</f>
        <v>c28.9 x CBC_taper (1%)</v>
      </c>
    </row>
    <row r="28" spans="2:11" x14ac:dyDescent="0.2">
      <c r="I28" s="757" t="str">
        <f>A10</f>
        <v>c28.10</v>
      </c>
      <c r="J28" s="905">
        <f>TRUNC(J25*CBC_taper,0)</f>
        <v>110</v>
      </c>
      <c r="K28" s="929" t="s">
        <v>1743</v>
      </c>
    </row>
    <row r="29" spans="2:11" x14ac:dyDescent="0.2">
      <c r="I29" s="906"/>
      <c r="J29" s="907"/>
    </row>
    <row r="30" spans="2:11" x14ac:dyDescent="0.2">
      <c r="D30" s="703" t="str">
        <f>"from box "&amp;'REL(2)'!K23&amp;'REL(2)'!C25</f>
        <v>from box CBC1</v>
      </c>
      <c r="I30" s="906"/>
      <c r="J30" s="698" t="str">
        <f>C31&amp;" x CBC_taper ("&amp;CBC_taper*100&amp;"%)"</f>
        <v>c28.11 x CBC_taper (1%)</v>
      </c>
    </row>
    <row r="31" spans="2:11" x14ac:dyDescent="0.2">
      <c r="C31" s="757" t="str">
        <f>A11</f>
        <v>c28.11</v>
      </c>
      <c r="D31" s="730">
        <f>TRUNC('REL(2)'!D26,0)</f>
        <v>0</v>
      </c>
      <c r="E31" s="929" t="s">
        <v>1743</v>
      </c>
      <c r="I31" s="757" t="str">
        <f>A12</f>
        <v>c28.12</v>
      </c>
      <c r="J31" s="908">
        <f>TRUNC(D31*CBC_taper,2)</f>
        <v>0</v>
      </c>
      <c r="K31" s="929" t="s">
        <v>2694</v>
      </c>
    </row>
    <row r="32" spans="2:11" x14ac:dyDescent="0.2">
      <c r="J32" s="907"/>
    </row>
    <row r="33" spans="9:11" x14ac:dyDescent="0.2">
      <c r="J33" s="698" t="str">
        <f>I28&amp;" x "&amp;I31</f>
        <v>c28.10 x c28.12</v>
      </c>
    </row>
    <row r="34" spans="9:11" x14ac:dyDescent="0.2">
      <c r="I34" s="757" t="str">
        <f>A13</f>
        <v>c28.13</v>
      </c>
      <c r="J34" s="908">
        <f>TRUNC(J28*J31,0)</f>
        <v>0</v>
      </c>
    </row>
    <row r="35" spans="9:11" x14ac:dyDescent="0.2">
      <c r="I35" s="906"/>
      <c r="J35" s="907"/>
    </row>
    <row r="36" spans="9:11" x14ac:dyDescent="0.2">
      <c r="J36" s="698" t="str">
        <f>"lower of "&amp;C31&amp;" and "&amp;I34</f>
        <v>lower of c28.11 and c28.13</v>
      </c>
    </row>
    <row r="37" spans="9:11" x14ac:dyDescent="0.2">
      <c r="I37" s="757" t="str">
        <f>A14</f>
        <v>c28.14</v>
      </c>
      <c r="J37" s="730">
        <f>TRUNC(MIN(D31,J34),0)</f>
        <v>0</v>
      </c>
      <c r="K37" s="929" t="s">
        <v>1743</v>
      </c>
    </row>
    <row r="38" spans="9:11" x14ac:dyDescent="0.2">
      <c r="J38" s="698" t="str">
        <f>"copy to box "&amp;'Tax adj (c9)'!F134&amp;" and "&amp;'Tax due (c12)'!F36</f>
        <v>copy to box c9.37 and c12.8</v>
      </c>
    </row>
  </sheetData>
  <phoneticPr fontId="67" type="noConversion"/>
  <pageMargins bottom="0.196850393700787" footer="0" header="0" left="0.196850393700787" right="0.196850393700787" top="0.196850393700787"/>
  <pageSetup orientation="portrait" paperSize="9" r:id="rId1"/>
  <headerFooter alignWithMargins="0"/>
</worksheet>
</file>

<file path=xl/worksheets/sheet86.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500-000000000000}">
  <sheetPr codeName="Sheet12">
    <pageSetUpPr fitToPage="1"/>
  </sheetPr>
  <dimension ref="A1:AD119"/>
  <sheetViews>
    <sheetView showGridLines="0" topLeftCell="B76" workbookViewId="0" zoomScaleNormal="100">
      <selection activeCell="J129" sqref="J129"/>
    </sheetView>
  </sheetViews>
  <sheetFormatPr defaultColWidth="9.140625" defaultRowHeight="12" x14ac:dyDescent="0.2"/>
  <cols>
    <col min="1" max="1" customWidth="true" hidden="true" style="94" width="7.85546875" collapsed="true"/>
    <col min="2" max="2" customWidth="true" style="94" width="36.42578125" collapsed="true"/>
    <col min="3" max="3" customWidth="true" style="94" width="7.140625" collapsed="true"/>
    <col min="4" max="4" customWidth="true" style="94" width="16.140625" collapsed="true"/>
    <col min="5" max="6" customWidth="true" style="94" width="6.42578125" collapsed="true"/>
    <col min="7" max="7" customWidth="true" style="94" width="34.42578125" collapsed="true"/>
    <col min="8" max="8" customWidth="true" style="94" width="7.140625" collapsed="true"/>
    <col min="9" max="9" customWidth="true" style="94" width="16.140625" collapsed="true"/>
    <col min="10" max="11" customWidth="true" style="94" width="6.42578125" collapsed="true"/>
    <col min="12" max="12" customWidth="true" style="94" width="26.5703125" collapsed="true"/>
    <col min="13" max="13" customWidth="true" style="94" width="7.140625" collapsed="true"/>
    <col min="14" max="14" customWidth="true" style="94" width="16.140625" collapsed="true"/>
    <col min="15" max="16" customWidth="true" style="94" width="6.42578125" collapsed="true"/>
    <col min="17" max="17" customWidth="true" style="94" width="34.42578125" collapsed="true"/>
    <col min="18" max="18" customWidth="true" style="94" width="7.140625" collapsed="true"/>
    <col min="19" max="19" customWidth="true" style="94" width="16.140625" collapsed="true"/>
    <col min="20" max="20" customWidth="true" style="94" width="6.42578125" collapsed="true"/>
    <col min="21" max="21" customWidth="true" style="94" width="6.28515625" collapsed="true"/>
    <col min="22" max="22" customWidth="true" style="94" width="14.0" collapsed="true"/>
    <col min="23" max="23" customWidth="true" style="94" width="6.42578125" collapsed="true"/>
    <col min="24" max="24" customWidth="true" style="94" width="6.140625" collapsed="true"/>
    <col min="25" max="25" customWidth="true" style="94" width="13.0" collapsed="true"/>
    <col min="26" max="26" customWidth="true" style="94" width="6.42578125" collapsed="true"/>
    <col min="27" max="27" customWidth="true" style="94" width="6.28515625" collapsed="true"/>
    <col min="28" max="28" customWidth="true" style="94" width="6.140625" collapsed="true"/>
    <col min="29" max="29" customWidth="true" style="94" width="14.0" collapsed="true"/>
    <col min="30" max="16384" style="94" width="9.140625" collapsed="true"/>
  </cols>
  <sheetData>
    <row ht="18" r="1" spans="1:26" x14ac:dyDescent="0.25">
      <c r="A1" s="94" t="s">
        <v>2503</v>
      </c>
      <c r="B1" s="2732" t="s">
        <v>1658</v>
      </c>
      <c r="D1" s="3363" t="s">
        <v>7394</v>
      </c>
      <c r="E1" s="3364"/>
      <c r="F1" s="3364"/>
      <c r="G1" s="3365"/>
    </row>
    <row r="2" spans="1:26" x14ac:dyDescent="0.2">
      <c r="A2" s="94" t="s">
        <v>2504</v>
      </c>
      <c r="B2" s="94" t="str">
        <f>"1) Complete boxes "&amp;C15&amp;" to "&amp;R116&amp;" below"</f>
        <v>1) Complete boxes c91.1 to c91.35 below</v>
      </c>
    </row>
    <row r="3" spans="1:26" x14ac:dyDescent="0.2">
      <c r="A3" s="94" t="s">
        <v>2505</v>
      </c>
      <c r="B3" s="94" t="str">
        <f>"2) Recalculate boxes "&amp;'Taxable (c5)'!E8&amp;" to "&amp;'Tax due (c12)'!I79&amp;" using the adjusted figures calculated below"</f>
        <v>2) Recalculate boxes c5.1 to c12.21 using the adjusted figures calculated below</v>
      </c>
    </row>
    <row r="4" spans="1:26" x14ac:dyDescent="0.2">
      <c r="A4" s="94" t="s">
        <v>6456</v>
      </c>
      <c r="B4" s="94" t="str">
        <f><![CDATA["3) Retain the lower of 1) box "&'Tax due (c12)'!I67&" calculated using the original figures, or 2) box "&'Tax due (c12)'!I67&" calculated using the adjusted figures and retain the calculation from 1) at "&'Tax due (c12)'!I88&" and the calculation from 2) at "&'Tax due (c12)'!I92]]></f>
        <v>3) Retain the lower of 1) box c12.18 calculated using the original figures, or 2) box c12.18 calculated using the adjusted figures and retain the calculation from 1) at c12.22 and the calculation from 2) at c12.23</v>
      </c>
    </row>
    <row r="5" spans="1:26" x14ac:dyDescent="0.2">
      <c r="A5" s="94" t="s">
        <v>2506</v>
      </c>
    </row>
    <row r="6" spans="1:26" x14ac:dyDescent="0.2">
      <c r="A6" s="94" t="s">
        <v>2507</v>
      </c>
      <c r="B6" s="94" t="str">
        <f>"If "&amp;NRD&amp;NRD!C5&amp;" = N"</f>
        <v>If NRD1 = N</v>
      </c>
    </row>
    <row r="7" spans="1:26" x14ac:dyDescent="0.2">
      <c r="A7" s="94" t="s">
        <v>1550</v>
      </c>
      <c r="B7" s="94" t="str">
        <f>"set boxes "&amp;C15&amp;" to "&amp;R116&amp;" to 0 (zero)"</f>
        <v>set boxes c91.1 to c91.35 to 0 (zero)</v>
      </c>
    </row>
    <row r="8" spans="1:26" x14ac:dyDescent="0.2">
      <c r="A8" s="94" t="s">
        <v>1551</v>
      </c>
      <c r="B8" s="94" t="s">
        <v>2386</v>
      </c>
    </row>
    <row r="9" spans="1:26" x14ac:dyDescent="0.2">
      <c r="A9" s="94" t="s">
        <v>1552</v>
      </c>
    </row>
    <row r="10" spans="1:26" x14ac:dyDescent="0.2">
      <c r="A10" s="94" t="s">
        <v>1553</v>
      </c>
      <c r="B10" s="36" t="s">
        <v>2632</v>
      </c>
      <c r="C10" s="36"/>
    </row>
    <row r="11" spans="1:26" x14ac:dyDescent="0.2">
      <c r="A11" s="94" t="s">
        <v>1554</v>
      </c>
      <c r="C11" s="36"/>
      <c r="D11" s="36"/>
      <c r="E11" s="36"/>
      <c r="F11" s="36"/>
      <c r="L11" s="36"/>
      <c r="M11" s="36"/>
      <c r="N11" s="36"/>
      <c r="O11" s="36"/>
      <c r="P11" s="36"/>
    </row>
    <row r="12" spans="1:26" x14ac:dyDescent="0.2">
      <c r="A12" s="94" t="s">
        <v>1555</v>
      </c>
      <c r="B12" s="94" t="s">
        <v>3904</v>
      </c>
      <c r="H12" s="36" t="s">
        <v>5124</v>
      </c>
      <c r="M12" s="94" t="s">
        <v>647</v>
      </c>
      <c r="R12" s="36" t="s">
        <v>6457</v>
      </c>
    </row>
    <row r="13" spans="1:26" x14ac:dyDescent="0.2">
      <c r="A13" s="94" t="s">
        <v>1556</v>
      </c>
      <c r="O13" s="972"/>
    </row>
    <row r="14" spans="1:26" x14ac:dyDescent="0.2">
      <c r="A14" s="94" t="s">
        <v>1557</v>
      </c>
      <c r="D14" s="38" t="str">
        <f>"from "&amp;'NS income (c1)'!I149</f>
        <v>from c1.57</v>
      </c>
      <c r="E14" s="36"/>
      <c r="F14" s="36"/>
      <c r="H14" s="36"/>
      <c r="K14" s="36"/>
      <c r="N14" s="36"/>
      <c r="Q14" s="36"/>
      <c r="R14" s="2772" t="s">
        <v>1774</v>
      </c>
      <c r="Z14" s="36"/>
    </row>
    <row r="15" spans="1:26" x14ac:dyDescent="0.2">
      <c r="A15" s="94" t="s">
        <v>991</v>
      </c>
      <c r="B15" s="94" t="s">
        <v>1774</v>
      </c>
      <c r="C15" s="663" t="str">
        <f>A1</f>
        <v>c91.1</v>
      </c>
      <c r="D15" s="1961">
        <f>'NS income (c1)'!J149</f>
        <v>47444</v>
      </c>
      <c r="E15" s="664"/>
      <c r="H15" s="665"/>
      <c r="Q15" s="1803"/>
    </row>
    <row r="16" spans="1:26" x14ac:dyDescent="0.2">
      <c r="A16" s="94" t="s">
        <v>992</v>
      </c>
      <c r="G16" s="36"/>
      <c r="H16" s="36" t="s">
        <v>5125</v>
      </c>
      <c r="L16" s="972"/>
      <c r="M16" s="972"/>
      <c r="O16" s="972"/>
      <c r="P16" s="972"/>
    </row>
    <row r="17" spans="1:26" x14ac:dyDescent="0.2">
      <c r="A17" s="94" t="s">
        <v>993</v>
      </c>
      <c r="L17" s="972"/>
      <c r="M17" s="972"/>
      <c r="O17" s="972"/>
      <c r="P17" s="972"/>
      <c r="Z17" s="36"/>
    </row>
    <row r="18" spans="1:26" x14ac:dyDescent="0.2">
      <c r="A18" s="94" t="s">
        <v>994</v>
      </c>
      <c r="I18" s="703" t="str">
        <f><![CDATA[INC&'INC(2)'!C4&" + "&INC&'INC(2)'!G7&" + "&INC&'INC(2)'!G13&" + "&INC&'INC(2)'!G16]]></f>
        <v>INC8 + INC13 + INC15 + INC16</v>
      </c>
      <c r="L18" s="972"/>
      <c r="M18" s="972"/>
      <c r="O18" s="972"/>
      <c r="P18" s="972"/>
      <c r="S18" s="703" t="str">
        <f>"from "&amp;INC&amp;'INC(2)'!G10</f>
        <v>from INC14</v>
      </c>
    </row>
    <row r="19" spans="1:26" x14ac:dyDescent="0.2">
      <c r="A19" s="94" t="s">
        <v>995</v>
      </c>
      <c r="B19" s="715" t="s">
        <v>5115</v>
      </c>
      <c r="H19" s="663" t="str">
        <f>A2</f>
        <v>c91.2</v>
      </c>
      <c r="I19" s="755">
        <f>TRUNC('INC(2)'!D5,0)+TRUNC('INC(2)'!H8,0)+TRUNC('INC(2)'!H14,0)+TRUNC('INC(2)'!H17,0)</f>
        <v>0</v>
      </c>
      <c r="J19" s="933" t="s">
        <v>1743</v>
      </c>
      <c r="L19" s="972"/>
      <c r="M19" s="972"/>
      <c r="O19" s="972"/>
      <c r="Q19" s="682" t="s">
        <v>5116</v>
      </c>
      <c r="R19" s="663" t="str">
        <f>A31</f>
        <v>c91.29</v>
      </c>
      <c r="S19" s="668">
        <f>TRUNC('INC(2)'!H11+0.99)</f>
        <v>0</v>
      </c>
      <c r="T19" s="929" t="s">
        <v>3701</v>
      </c>
    </row>
    <row r="20" spans="1:26" x14ac:dyDescent="0.2">
      <c r="A20" s="94" t="s">
        <v>996</v>
      </c>
      <c r="L20" s="972"/>
      <c r="M20" s="972"/>
      <c r="O20" s="972"/>
      <c r="Q20" s="93"/>
      <c r="X20" s="36"/>
      <c r="Y20" s="1960"/>
    </row>
    <row r="21" spans="1:26" x14ac:dyDescent="0.2">
      <c r="A21" s="94" t="s">
        <v>997</v>
      </c>
      <c r="B21" s="715" t="s">
        <v>5117</v>
      </c>
      <c r="I21" s="2769" t="str">
        <f>"from "&amp;'NS income (c1)'!E129</f>
        <v>from c1.46</v>
      </c>
      <c r="L21" s="972"/>
      <c r="M21" s="972"/>
      <c r="O21" s="972"/>
      <c r="S21" s="93" t="str">
        <f>"from "&amp;'Tax paid (c11)'!F60</f>
        <v>from c11.17</v>
      </c>
      <c r="X21" s="36"/>
      <c r="Y21" s="1960"/>
    </row>
    <row r="22" spans="1:26" x14ac:dyDescent="0.2">
      <c r="A22" s="94" t="s">
        <v>998</v>
      </c>
      <c r="G22" s="682" t="str">
        <f>TRU&amp;TRU!C6&amp;" x Trust_gross ("&amp;trust_gross_F&amp;")"</f>
        <v>TRU1 x Trust_gross (100/55)</v>
      </c>
      <c r="H22" s="663" t="str">
        <f>A3</f>
        <v>c91.3</v>
      </c>
      <c r="I22" s="1961">
        <f>TRUNC('NS income (c1)'!F129,0)</f>
        <v>0</v>
      </c>
      <c r="J22" s="1803"/>
      <c r="L22" s="972"/>
      <c r="M22" s="972"/>
      <c r="O22" s="972"/>
      <c r="Q22" s="682" t="s">
        <v>6509</v>
      </c>
      <c r="R22" s="663" t="str">
        <f>A32</f>
        <v>c91.30</v>
      </c>
      <c r="S22" s="668">
        <f>'Tax paid (c11)'!G60</f>
        <v>0</v>
      </c>
      <c r="T22" s="1803"/>
      <c r="X22" s="36"/>
      <c r="Y22" s="1960"/>
    </row>
    <row r="23" spans="1:26" x14ac:dyDescent="0.2">
      <c r="A23" s="94" t="s">
        <v>999</v>
      </c>
      <c r="B23" s="715"/>
      <c r="J23" s="2984"/>
      <c r="L23" s="972"/>
      <c r="M23" s="972"/>
      <c r="O23" s="972"/>
      <c r="Q23" s="682"/>
      <c r="X23" s="36"/>
      <c r="Y23" s="1960"/>
    </row>
    <row r="24" spans="1:26" x14ac:dyDescent="0.2">
      <c r="A24" s="94" t="s">
        <v>6503</v>
      </c>
      <c r="H24" s="36"/>
      <c r="I24" s="2769" t="str">
        <f>"from "&amp;'NS income (c1)'!E130</f>
        <v>from c1.47</v>
      </c>
      <c r="J24" s="999"/>
      <c r="L24" s="972"/>
      <c r="M24" s="972"/>
      <c r="O24" s="972"/>
      <c r="Q24" s="682"/>
      <c r="R24" s="36"/>
      <c r="S24" s="93" t="str">
        <f>"from "&amp;'Tax paid (c11)'!F61</f>
        <v>from c11.18</v>
      </c>
      <c r="T24" s="999"/>
      <c r="X24" s="36"/>
      <c r="Y24" s="1960"/>
    </row>
    <row r="25" spans="1:26" x14ac:dyDescent="0.2">
      <c r="A25" s="94" t="s">
        <v>1000</v>
      </c>
      <c r="G25" s="682" t="str">
        <f>TRU&amp;TRU!C32&amp;" x Trust_gross ("&amp;trust_gross_F&amp;")"</f>
        <v>TRU10 x Trust_gross (100/55)</v>
      </c>
      <c r="H25" s="2151" t="str">
        <f>A4</f>
        <v>c91.3a</v>
      </c>
      <c r="I25" s="1961">
        <f>TRUNC('NS income (c1)'!F130,0)</f>
        <v>0</v>
      </c>
      <c r="J25" s="1803"/>
      <c r="L25" s="972"/>
      <c r="M25" s="972"/>
      <c r="O25" s="972"/>
      <c r="Q25" s="682" t="s">
        <v>6510</v>
      </c>
      <c r="R25" s="2151" t="str">
        <f>A33</f>
        <v>c91.30a</v>
      </c>
      <c r="S25" s="1962">
        <f>'Tax paid (c11)'!G61</f>
        <v>0</v>
      </c>
      <c r="T25" s="1803"/>
      <c r="X25" s="36"/>
      <c r="Y25" s="1960"/>
    </row>
    <row r="26" spans="1:26" x14ac:dyDescent="0.2">
      <c r="A26" s="94" t="s">
        <v>1001</v>
      </c>
      <c r="L26" s="972"/>
      <c r="M26" s="972"/>
      <c r="O26" s="972"/>
      <c r="Q26" s="93"/>
      <c r="X26" s="36"/>
      <c r="Y26" s="1960"/>
    </row>
    <row r="27" spans="1:26" x14ac:dyDescent="0.2">
      <c r="A27" s="94" t="s">
        <v>1002</v>
      </c>
      <c r="I27" s="2769" t="str">
        <f>"from "&amp;'NS income (c1)'!E132</f>
        <v>from c1.49</v>
      </c>
      <c r="J27" s="933"/>
      <c r="L27" s="972"/>
      <c r="M27" s="972"/>
      <c r="O27" s="972"/>
      <c r="Q27" s="93"/>
      <c r="S27" s="93" t="str">
        <f>H28&amp;" x OLD_BR ("&amp;OLD_BR*100&amp;"%)"</f>
        <v>c91.4 x OLD_BR (22%)</v>
      </c>
      <c r="X27" s="36"/>
      <c r="Y27" s="1960"/>
    </row>
    <row r="28" spans="1:26" x14ac:dyDescent="0.2">
      <c r="A28" s="94" t="s">
        <v>1003</v>
      </c>
      <c r="G28" s="682" t="str">
        <f>TRU&amp;TRU!O11&amp;" x Gross_By_22 ("&amp;Gross_By_22_F&amp;")"</f>
        <v>TRU20 x Gross_By_22 (100/78)</v>
      </c>
      <c r="H28" s="663" t="str">
        <f>A5</f>
        <v>c91.4</v>
      </c>
      <c r="I28" s="754">
        <f>'NS income (c1)'!F132</f>
        <v>0</v>
      </c>
      <c r="L28" s="972"/>
      <c r="M28" s="972"/>
      <c r="O28" s="972"/>
      <c r="Q28" s="682" t="s">
        <v>5118</v>
      </c>
      <c r="R28" s="663" t="str">
        <f>A34</f>
        <v>c91.31</v>
      </c>
      <c r="S28" s="668">
        <f>TRUNC((I28*OLD_BR)+0.0099,2)</f>
        <v>0</v>
      </c>
      <c r="T28" s="933" t="s">
        <v>1707</v>
      </c>
      <c r="X28" s="36"/>
      <c r="Y28" s="1960"/>
    </row>
    <row customFormat="1" r="29" s="2597" spans="1:26" x14ac:dyDescent="0.2">
      <c r="A29" s="94" t="s">
        <v>1004</v>
      </c>
      <c r="G29" s="682"/>
      <c r="H29" s="2594"/>
      <c r="I29" s="1960"/>
      <c r="L29" s="972"/>
      <c r="M29" s="972"/>
      <c r="O29" s="972"/>
      <c r="Q29" s="682"/>
      <c r="R29" s="2594"/>
      <c r="S29" s="391"/>
      <c r="T29" s="933"/>
      <c r="X29" s="2594"/>
      <c r="Y29" s="1960"/>
    </row>
    <row customFormat="1" r="30" s="2597" spans="1:26" x14ac:dyDescent="0.2">
      <c r="A30" s="94" t="s">
        <v>1005</v>
      </c>
      <c r="G30" s="682"/>
      <c r="H30" s="2594"/>
      <c r="L30" s="972"/>
      <c r="M30" s="972"/>
      <c r="O30" s="972"/>
      <c r="Q30" s="682"/>
      <c r="R30" s="2594"/>
      <c r="S30" s="391"/>
      <c r="T30" s="933"/>
      <c r="X30" s="2594"/>
      <c r="Y30" s="1960"/>
    </row>
    <row r="31" spans="1:26" x14ac:dyDescent="0.2">
      <c r="A31" s="94" t="s">
        <v>1006</v>
      </c>
      <c r="L31" s="972"/>
      <c r="M31" s="972"/>
      <c r="O31" s="972"/>
      <c r="P31" s="972"/>
      <c r="X31" s="36"/>
      <c r="Y31" s="1960"/>
    </row>
    <row r="32" spans="1:26" x14ac:dyDescent="0.2">
      <c r="A32" s="94" t="s">
        <v>1007</v>
      </c>
      <c r="I32" s="38" t="str">
        <f><![CDATA[H19&" + "&H22&" + "&H25&" + "&H28]]></f>
        <v>c91.2 + c91.3 + c91.3a + c91.4</v>
      </c>
      <c r="L32" s="972"/>
      <c r="N32" s="38" t="str">
        <f>C15&amp;" minus "&amp;H33</f>
        <v>c91.1 minus c91.5</v>
      </c>
      <c r="O32" s="972"/>
      <c r="P32" s="972"/>
      <c r="S32" s="128" t="str">
        <f>R22&amp;" + "&amp;R25&amp;" + "&amp;R28</f>
        <v>c91.30 + c91.30a + c91.31</v>
      </c>
      <c r="X32" s="36"/>
      <c r="Y32" s="1960"/>
    </row>
    <row r="33" spans="1:25" x14ac:dyDescent="0.2">
      <c r="A33" s="94" t="s">
        <v>6454</v>
      </c>
      <c r="B33" s="715" t="s">
        <v>7062</v>
      </c>
      <c r="H33" s="663" t="str">
        <f>A6</f>
        <v>c91.5</v>
      </c>
      <c r="I33" s="1961">
        <f>I19+I22+I25+I28</f>
        <v>0</v>
      </c>
      <c r="J33" s="36"/>
      <c r="L33" s="972"/>
      <c r="M33" s="663" t="str">
        <f>A7</f>
        <v>c91.6</v>
      </c>
      <c r="N33" s="754">
        <f>MAX(0,D15-I33)</f>
        <v>47444</v>
      </c>
      <c r="O33" s="972"/>
      <c r="P33" s="972"/>
      <c r="R33" s="663" t="str">
        <f>A35</f>
        <v>c91.31a</v>
      </c>
      <c r="S33" s="668">
        <f>S22+S25+S28</f>
        <v>0</v>
      </c>
      <c r="X33" s="36"/>
      <c r="Y33" s="1960"/>
    </row>
    <row r="34" spans="1:25" x14ac:dyDescent="0.2">
      <c r="A34" s="94" t="s">
        <v>1008</v>
      </c>
      <c r="L34" s="972"/>
      <c r="M34" s="36"/>
      <c r="N34" s="38" t="str">
        <f>"copy to "&amp;'Taxable (c5)'!E17</f>
        <v>copy to c5.3</v>
      </c>
      <c r="O34" s="972"/>
      <c r="P34" s="972"/>
      <c r="Y34" s="982"/>
    </row>
    <row r="35" spans="1:25" x14ac:dyDescent="0.2">
      <c r="A35" s="94" t="s">
        <v>6511</v>
      </c>
      <c r="B35" s="1268"/>
      <c r="C35" s="1268"/>
      <c r="D35" s="1268"/>
      <c r="E35" s="1268"/>
      <c r="F35" s="1268"/>
      <c r="G35" s="1268"/>
      <c r="H35" s="1268"/>
      <c r="I35" s="1268"/>
      <c r="J35" s="1268"/>
      <c r="K35" s="1268"/>
      <c r="L35" s="1268"/>
      <c r="M35" s="1268"/>
      <c r="N35" s="1268"/>
      <c r="O35" s="1575"/>
      <c r="P35" s="1575"/>
      <c r="Q35" s="1268"/>
      <c r="R35" s="1268"/>
      <c r="S35" s="1268"/>
      <c r="T35" s="1268"/>
      <c r="U35" s="1268"/>
    </row>
    <row r="36" spans="1:25" x14ac:dyDescent="0.2">
      <c r="A36" s="94" t="s">
        <v>1009</v>
      </c>
      <c r="B36" s="1269"/>
      <c r="C36" s="1269"/>
      <c r="D36" s="1269"/>
      <c r="E36" s="1269"/>
      <c r="F36" s="1269"/>
      <c r="G36" s="1269"/>
      <c r="H36" s="1269"/>
      <c r="I36" s="1269"/>
      <c r="J36" s="1269"/>
      <c r="K36" s="1269"/>
      <c r="L36" s="1269"/>
      <c r="M36" s="1269"/>
      <c r="N36" s="1269"/>
      <c r="O36" s="1576"/>
      <c r="P36" s="1576"/>
      <c r="Q36" s="1269"/>
      <c r="R36" s="1269"/>
      <c r="S36" s="1269"/>
      <c r="T36" s="1269"/>
      <c r="U36" s="1269"/>
    </row>
    <row r="37" spans="1:25" x14ac:dyDescent="0.2">
      <c r="A37" s="94" t="s">
        <v>1010</v>
      </c>
      <c r="B37" s="2772" t="s">
        <v>3904</v>
      </c>
      <c r="H37" s="36"/>
      <c r="O37" s="972"/>
      <c r="P37" s="972"/>
    </row>
    <row r="38" spans="1:25" x14ac:dyDescent="0.2">
      <c r="A38" s="94" t="s">
        <v>958</v>
      </c>
      <c r="C38" s="972"/>
      <c r="D38" s="38" t="str">
        <f>"from "&amp;'NS income (c1)'!I153</f>
        <v>from c1.58</v>
      </c>
      <c r="L38" s="972"/>
      <c r="M38" s="972"/>
      <c r="O38" s="972"/>
      <c r="P38" s="972"/>
      <c r="R38" s="36"/>
    </row>
    <row r="39" spans="1:25" x14ac:dyDescent="0.2">
      <c r="A39" s="94" t="s">
        <v>6455</v>
      </c>
      <c r="B39" s="94" t="s">
        <v>6505</v>
      </c>
      <c r="C39" s="663" t="str">
        <f>A8</f>
        <v>c91.7</v>
      </c>
      <c r="D39" s="754">
        <f>'NS income (c1)'!J153</f>
        <v>0</v>
      </c>
      <c r="L39" s="972"/>
      <c r="M39" s="972"/>
      <c r="O39" s="972"/>
      <c r="P39" s="972"/>
    </row>
    <row r="40" spans="1:25" x14ac:dyDescent="0.2">
      <c r="A40" s="94" t="s">
        <v>6506</v>
      </c>
      <c r="B40" s="1268"/>
      <c r="C40" s="1268"/>
      <c r="D40" s="1268"/>
      <c r="E40" s="1268"/>
      <c r="F40" s="1268"/>
      <c r="G40" s="1268"/>
      <c r="H40" s="1268"/>
      <c r="I40" s="1268"/>
      <c r="J40" s="1268"/>
      <c r="K40" s="1268"/>
      <c r="L40" s="1268"/>
      <c r="M40" s="1268"/>
      <c r="N40" s="1268"/>
      <c r="O40" s="1575"/>
      <c r="P40" s="1575"/>
      <c r="Q40" s="1268"/>
      <c r="R40" s="1268"/>
      <c r="S40" s="1268"/>
      <c r="T40" s="1268"/>
      <c r="U40" s="1268"/>
    </row>
    <row r="41" spans="1:25" x14ac:dyDescent="0.2">
      <c r="A41" s="94" t="s">
        <v>6507</v>
      </c>
      <c r="B41" s="1269"/>
      <c r="C41" s="1269"/>
      <c r="D41" s="1269"/>
      <c r="E41" s="1269"/>
      <c r="F41" s="1269"/>
      <c r="G41" s="1269"/>
      <c r="H41" s="1269"/>
      <c r="I41" s="1269"/>
      <c r="J41" s="1269"/>
      <c r="K41" s="1269"/>
      <c r="L41" s="1269"/>
      <c r="M41" s="1269"/>
      <c r="N41" s="1269"/>
      <c r="O41" s="1576"/>
      <c r="P41" s="1576"/>
      <c r="Q41" s="1269"/>
      <c r="R41" s="1269"/>
      <c r="S41" s="1269"/>
      <c r="T41" s="1269"/>
      <c r="U41" s="1269"/>
    </row>
    <row r="42" spans="1:25" x14ac:dyDescent="0.2">
      <c r="A42" s="94" t="s">
        <v>6508</v>
      </c>
      <c r="B42" s="2772" t="s">
        <v>3904</v>
      </c>
      <c r="H42" s="36" t="s">
        <v>5124</v>
      </c>
      <c r="M42" s="94" t="s">
        <v>647</v>
      </c>
      <c r="R42" s="36" t="s">
        <v>6457</v>
      </c>
      <c r="U42" s="36"/>
    </row>
    <row r="43" spans="1:25" x14ac:dyDescent="0.2">
      <c r="A43" s="94" t="s">
        <v>959</v>
      </c>
      <c r="B43" s="36"/>
      <c r="C43" s="36"/>
      <c r="D43" s="38" t="str">
        <f>"from "&amp;'Savings (c2)'!H77</f>
        <v>from c2.19</v>
      </c>
      <c r="E43" s="36"/>
      <c r="F43" s="36"/>
      <c r="G43" s="36"/>
      <c r="H43" s="36"/>
      <c r="I43" s="36"/>
      <c r="J43" s="36"/>
      <c r="K43" s="36"/>
      <c r="L43" s="36"/>
      <c r="M43" s="36"/>
      <c r="N43" s="36"/>
      <c r="O43" s="973"/>
      <c r="P43" s="973"/>
      <c r="Q43" s="36"/>
      <c r="R43" s="36"/>
      <c r="S43" s="36"/>
      <c r="T43" s="36"/>
      <c r="U43" s="36"/>
    </row>
    <row r="44" spans="1:25" x14ac:dyDescent="0.2">
      <c r="A44" s="2811"/>
      <c r="B44" s="94" t="s">
        <v>691</v>
      </c>
      <c r="C44" s="663" t="str">
        <f>A9</f>
        <v>c91.8</v>
      </c>
      <c r="D44" s="755">
        <f>'Savings (c2)'!I77</f>
        <v>3678</v>
      </c>
      <c r="L44" s="972"/>
      <c r="M44" s="972"/>
      <c r="O44" s="972"/>
      <c r="P44" s="972"/>
      <c r="R44" s="2772" t="s">
        <v>691</v>
      </c>
    </row>
    <row r="45" spans="1:25" x14ac:dyDescent="0.2">
      <c r="A45" s="2811"/>
      <c r="L45" s="972"/>
      <c r="M45" s="972"/>
      <c r="O45" s="972"/>
      <c r="P45" s="972"/>
    </row>
    <row r="46" spans="1:25" x14ac:dyDescent="0.2">
      <c r="A46" s="2811"/>
      <c r="I46" s="2769" t="str">
        <f>"from "&amp;'Savings (c2)'!E58</f>
        <v>from c2.14</v>
      </c>
      <c r="L46" s="972"/>
      <c r="M46" s="972"/>
      <c r="O46" s="972"/>
      <c r="P46" s="715" t="s">
        <v>5119</v>
      </c>
      <c r="S46" s="93" t="str">
        <f>"from "&amp;'Tax paid (c11)'!I76</f>
        <v>from c11.27</v>
      </c>
    </row>
    <row r="47" spans="1:25" x14ac:dyDescent="0.2">
      <c r="A47" s="2811"/>
      <c r="B47" s="715" t="s">
        <v>4026</v>
      </c>
      <c r="G47" s="93" t="str">
        <f>'Savings (c2)'!F57</f>
        <v>INC1 x savings_gross (100/80)</v>
      </c>
      <c r="H47" s="663" t="str">
        <f>A10</f>
        <v>c91.9</v>
      </c>
      <c r="I47" s="754">
        <f>'Savings (c2)'!F58</f>
        <v>0</v>
      </c>
      <c r="J47" s="933"/>
      <c r="L47" s="972"/>
      <c r="M47" s="972"/>
      <c r="O47" s="972"/>
      <c r="Q47" s="93" t="str">
        <f>'Tax paid (c11)'!J75</f>
        <v>INC1 x savings_gross (100/80) x BR_rate (20%)</v>
      </c>
      <c r="R47" s="663" t="str">
        <f>A36</f>
        <v>c91.32</v>
      </c>
      <c r="S47" s="668">
        <f>'Tax paid (c11)'!J76</f>
        <v>0</v>
      </c>
    </row>
    <row r="48" spans="1:25" x14ac:dyDescent="0.2">
      <c r="A48" s="2811"/>
      <c r="L48" s="972"/>
      <c r="M48" s="972"/>
      <c r="O48" s="972"/>
    </row>
    <row r="49" spans="1:29" x14ac:dyDescent="0.2">
      <c r="A49" s="2811"/>
      <c r="I49" s="703" t="str">
        <f>"from "&amp;INC&amp;'INC(1)'!C18</f>
        <v>from INC2</v>
      </c>
      <c r="L49" s="972"/>
      <c r="M49" s="972"/>
      <c r="O49" s="972"/>
    </row>
    <row r="50" spans="1:29" x14ac:dyDescent="0.2">
      <c r="B50" s="715" t="s">
        <v>4134</v>
      </c>
      <c r="H50" s="663" t="str">
        <f>A11</f>
        <v>c91.10</v>
      </c>
      <c r="I50" s="755">
        <f>TRUNC('INC(1)'!D19,0)</f>
        <v>3678</v>
      </c>
      <c r="J50" s="933" t="s">
        <v>1743</v>
      </c>
      <c r="L50" s="972"/>
      <c r="M50" s="972"/>
      <c r="O50" s="972"/>
    </row>
    <row r="51" spans="1:29" x14ac:dyDescent="0.2">
      <c r="A51" s="2701" t="s">
        <v>2756</v>
      </c>
      <c r="L51" s="972"/>
      <c r="M51" s="972"/>
      <c r="O51" s="972"/>
    </row>
    <row r="52" spans="1:29" x14ac:dyDescent="0.2">
      <c r="A52" s="2806">
        <f>TRU!H25</f>
        <v>0</v>
      </c>
      <c r="B52" s="715"/>
      <c r="I52" s="703" t="str">
        <f>"from "&amp;AOI&amp;AOI!G7</f>
        <v>from AOI3</v>
      </c>
      <c r="O52" s="972"/>
      <c r="P52" s="715" t="s">
        <v>5120</v>
      </c>
      <c r="S52" s="93" t="str">
        <f>"from "&amp;'Tax paid (c11)'!I79</f>
        <v>from c11.28</v>
      </c>
    </row>
    <row r="53" spans="1:29" x14ac:dyDescent="0.2">
      <c r="B53" s="715" t="s">
        <v>7063</v>
      </c>
      <c r="H53" s="663" t="str">
        <f>A12</f>
        <v>c91.11</v>
      </c>
      <c r="I53" s="755">
        <f>TRUNC(AOI!H8,0)</f>
        <v>0</v>
      </c>
      <c r="J53" s="933" t="s">
        <v>1743</v>
      </c>
      <c r="L53" s="972"/>
      <c r="M53" s="972"/>
      <c r="O53" s="972"/>
      <c r="R53" s="663" t="str">
        <f>A37</f>
        <v>c91.33</v>
      </c>
      <c r="S53" s="668">
        <f>TRUNC('Tax paid (c11)'!J79+0.99)</f>
        <v>0</v>
      </c>
      <c r="T53" s="929" t="s">
        <v>3701</v>
      </c>
    </row>
    <row r="54" spans="1:29" x14ac:dyDescent="0.2">
      <c r="L54" s="972"/>
      <c r="M54" s="972"/>
      <c r="O54" s="972"/>
      <c r="AA54" s="36"/>
    </row>
    <row r="55" spans="1:29" x14ac:dyDescent="0.2">
      <c r="I55" s="2769" t="str">
        <f>"from "&amp;'Savings (c2)'!E47</f>
        <v>from c2.10</v>
      </c>
      <c r="L55" s="972"/>
      <c r="M55" s="972"/>
      <c r="O55" s="972"/>
      <c r="P55" s="715" t="s">
        <v>5122</v>
      </c>
      <c r="S55" s="93" t="str">
        <f>H56&amp;" x BR_rate ("&amp;BR_rate*100&amp;"%)"</f>
        <v>c91.12 x BR_rate (20%)</v>
      </c>
    </row>
    <row r="56" spans="1:29" x14ac:dyDescent="0.2">
      <c r="B56" s="715" t="s">
        <v>5121</v>
      </c>
      <c r="G56" s="93" t="str">
        <f>'Savings (c2)'!F46</f>
        <v>savings_gross (100/80)</v>
      </c>
      <c r="H56" s="663" t="str">
        <f>A13</f>
        <v>c91.12</v>
      </c>
      <c r="I56" s="754">
        <f>'Savings (c2)'!F47</f>
        <v>0</v>
      </c>
      <c r="J56" s="933"/>
      <c r="R56" s="663" t="str">
        <f>A38</f>
        <v>c91.34</v>
      </c>
      <c r="S56" s="668">
        <f>TRUNC((I56)*BR_rate,2)</f>
        <v>0</v>
      </c>
      <c r="T56" s="933" t="s">
        <v>2694</v>
      </c>
    </row>
    <row r="57" spans="1:29" x14ac:dyDescent="0.2">
      <c r="F57" s="36"/>
    </row>
    <row r="58" spans="1:29" x14ac:dyDescent="0.2">
      <c r="F58" s="36"/>
      <c r="I58" s="38" t="str">
        <f><![CDATA[H47&" + "&H50&" + "&H53&" + "&H56]]></f>
        <v>c91.9 + c91.10 + c91.11 + c91.12</v>
      </c>
      <c r="L58" s="973"/>
      <c r="N58" s="38" t="str">
        <f>C44&amp;" minus "&amp;H59</f>
        <v>c91.8 minus c91.13</v>
      </c>
      <c r="O58" s="973"/>
      <c r="P58" s="1964"/>
      <c r="R58" s="36"/>
      <c r="S58" s="128" t="str">
        <f>R47&amp;" + "&amp;R53&amp;" + "&amp;R56</f>
        <v>c91.32 + c91.33 + c91.34</v>
      </c>
      <c r="T58" s="933"/>
      <c r="AB58" s="36"/>
      <c r="AC58" s="1960"/>
    </row>
    <row r="59" spans="1:29" x14ac:dyDescent="0.2">
      <c r="B59" s="715" t="s">
        <v>7064</v>
      </c>
      <c r="F59" s="36"/>
      <c r="H59" s="663" t="str">
        <f>A14</f>
        <v>c91.13</v>
      </c>
      <c r="I59" s="755">
        <f>I47+I50+I53+I56</f>
        <v>3678</v>
      </c>
      <c r="L59" s="2772" t="s">
        <v>691</v>
      </c>
      <c r="M59" s="663" t="str">
        <f>A15</f>
        <v>c91.14</v>
      </c>
      <c r="N59" s="754">
        <f>MAX(0,D44-I59)</f>
        <v>0</v>
      </c>
      <c r="O59" s="973"/>
      <c r="P59" s="1964"/>
      <c r="R59" s="663" t="str">
        <f>A39</f>
        <v>c91.34a</v>
      </c>
      <c r="S59" s="668">
        <f>S47+S53+S56</f>
        <v>0</v>
      </c>
      <c r="T59" s="933"/>
      <c r="AB59" s="36"/>
      <c r="AC59" s="1960"/>
    </row>
    <row r="60" spans="1:29" x14ac:dyDescent="0.2">
      <c r="F60" s="36"/>
      <c r="I60" s="36"/>
      <c r="J60" s="86"/>
      <c r="L60" s="973"/>
      <c r="N60" s="1995" t="str">
        <f>"copy to "&amp;'Taxable (c5)'!E176</f>
        <v>copy to c5.37</v>
      </c>
      <c r="P60" s="1964"/>
      <c r="R60" s="36"/>
      <c r="S60" s="1960"/>
      <c r="T60" s="933"/>
      <c r="AB60" s="36"/>
      <c r="AC60" s="1960"/>
    </row>
    <row r="61" spans="1:29" x14ac:dyDescent="0.2">
      <c r="B61" s="1268"/>
      <c r="C61" s="1268"/>
      <c r="D61" s="1268"/>
      <c r="E61" s="1268"/>
      <c r="F61" s="1268"/>
      <c r="G61" s="1268"/>
      <c r="H61" s="1268"/>
      <c r="I61" s="1268"/>
      <c r="J61" s="1268"/>
      <c r="K61" s="1268"/>
      <c r="L61" s="1268"/>
      <c r="M61" s="1268"/>
      <c r="O61" s="1575"/>
      <c r="P61" s="1575"/>
      <c r="Q61" s="1268"/>
      <c r="R61" s="1268"/>
      <c r="S61" s="1268"/>
      <c r="T61" s="1268"/>
      <c r="U61" s="1268"/>
    </row>
    <row r="62" spans="1:29" x14ac:dyDescent="0.2">
      <c r="B62" s="1269"/>
      <c r="C62" s="1269"/>
      <c r="D62" s="1269"/>
      <c r="E62" s="1269"/>
      <c r="F62" s="1269"/>
      <c r="G62" s="1269"/>
      <c r="H62" s="1269"/>
      <c r="I62" s="1269"/>
      <c r="J62" s="1269"/>
      <c r="K62" s="1269"/>
      <c r="L62" s="1269"/>
      <c r="M62" s="1269"/>
      <c r="N62" s="1269"/>
      <c r="O62" s="1576"/>
      <c r="P62" s="1576"/>
      <c r="Q62" s="1269"/>
      <c r="R62" s="1269"/>
      <c r="S62" s="1269"/>
      <c r="T62" s="1269"/>
      <c r="U62" s="1269"/>
    </row>
    <row r="63" spans="1:29" x14ac:dyDescent="0.2">
      <c r="B63" s="2772" t="s">
        <v>3904</v>
      </c>
      <c r="C63" s="36"/>
      <c r="D63" s="36"/>
      <c r="E63" s="36"/>
      <c r="F63" s="36"/>
      <c r="H63" s="36" t="s">
        <v>5124</v>
      </c>
      <c r="M63" s="94" t="s">
        <v>647</v>
      </c>
      <c r="R63" s="36" t="s">
        <v>6457</v>
      </c>
      <c r="U63" s="36"/>
    </row>
    <row r="64" spans="1:29" x14ac:dyDescent="0.2">
      <c r="B64" s="36"/>
      <c r="C64" s="36"/>
      <c r="D64" s="93" t="str">
        <f>"from "&amp;'Divs (c3)'!G47</f>
        <v>from c3.15</v>
      </c>
      <c r="E64" s="36"/>
      <c r="F64" s="36"/>
      <c r="I64" s="36"/>
      <c r="S64" s="36"/>
      <c r="U64" s="36"/>
    </row>
    <row r="65" spans="2:29" x14ac:dyDescent="0.2">
      <c r="B65" s="36" t="s">
        <v>6504</v>
      </c>
      <c r="C65" s="663" t="str">
        <f>A16</f>
        <v>c91.15</v>
      </c>
      <c r="D65" s="754">
        <f>'Divs (c3)'!H47</f>
        <v>12750</v>
      </c>
      <c r="F65" s="36"/>
      <c r="R65" s="2770" t="s">
        <v>6504</v>
      </c>
      <c r="T65" s="36"/>
      <c r="W65" s="36"/>
    </row>
    <row r="66" spans="2:29" x14ac:dyDescent="0.2">
      <c r="E66" s="36"/>
      <c r="F66" s="36"/>
      <c r="T66" s="36"/>
      <c r="W66" s="36"/>
    </row>
    <row r="67" spans="2:29" x14ac:dyDescent="0.2">
      <c r="B67" s="687" t="s">
        <v>3410</v>
      </c>
      <c r="E67" s="36"/>
      <c r="H67" s="36"/>
      <c r="I67" s="38" t="str">
        <f>"from "&amp;'Divs (c3)'!G17</f>
        <v>from c3.5</v>
      </c>
      <c r="W67" s="36"/>
    </row>
    <row r="68" spans="2:29" x14ac:dyDescent="0.2">
      <c r="B68" s="36"/>
      <c r="H68" s="663" t="str">
        <f>A17</f>
        <v>c91.16</v>
      </c>
      <c r="I68" s="754">
        <f>'Divs (c3)'!H17</f>
        <v>0</v>
      </c>
      <c r="K68" s="36"/>
      <c r="L68" s="36"/>
      <c r="P68" s="1802"/>
      <c r="W68" s="36"/>
    </row>
    <row r="69" spans="2:29" x14ac:dyDescent="0.2">
      <c r="B69" s="36"/>
      <c r="F69" s="36"/>
      <c r="H69" s="36"/>
      <c r="I69" s="1960"/>
      <c r="K69" s="36"/>
      <c r="L69" s="36"/>
      <c r="P69" s="1802"/>
      <c r="S69" s="38"/>
      <c r="W69" s="36"/>
      <c r="AC69" s="38"/>
    </row>
    <row r="70" spans="2:29" x14ac:dyDescent="0.2">
      <c r="B70" s="36"/>
      <c r="F70" s="36"/>
      <c r="G70" s="1960"/>
      <c r="K70" s="36"/>
      <c r="L70" s="36"/>
      <c r="O70" s="973"/>
      <c r="P70" s="1802"/>
      <c r="S70" s="38"/>
      <c r="W70" s="36"/>
      <c r="AC70" s="38"/>
    </row>
    <row r="71" spans="2:29" x14ac:dyDescent="0.2">
      <c r="B71" s="687" t="s">
        <v>5123</v>
      </c>
      <c r="F71" s="36"/>
      <c r="G71" s="1960"/>
      <c r="H71" s="1787"/>
      <c r="I71" s="2325" t="str">
        <f>'Divs (c3)'!D39&amp;" + "&amp;'Divs (c3)'!D40&amp;" + "&amp;'Divs (c3)'!D41</f>
        <v>c3.12 + c3.13 + c3.13a</v>
      </c>
      <c r="K71" s="36"/>
      <c r="L71" s="36"/>
      <c r="O71" s="973"/>
      <c r="P71" s="1802"/>
      <c r="S71" s="38"/>
      <c r="W71" s="36"/>
      <c r="AC71" s="38"/>
    </row>
    <row r="72" spans="2:29" x14ac:dyDescent="0.2">
      <c r="F72" s="36"/>
      <c r="G72" s="4078" t="str">
        <f><![CDATA[AOI&AOI!C28&" + "&AOI&AOI!G28&" + "&AOI&AOI!G31]]></f>
        <v>AOI12 + AOI13 + AOI13.1</v>
      </c>
      <c r="H72" s="663" t="str">
        <f>A18</f>
        <v>c91.17</v>
      </c>
      <c r="I72" s="754">
        <f>'Divs (c3)'!E39+'Divs (c3)'!E40+'Divs (c3)'!E41</f>
        <v>0</v>
      </c>
      <c r="K72" s="36"/>
      <c r="L72" s="36"/>
      <c r="O72" s="973"/>
      <c r="P72" s="1802"/>
      <c r="S72" s="38"/>
      <c r="W72" s="36"/>
      <c r="AC72" s="38"/>
    </row>
    <row r="73" spans="2:29" x14ac:dyDescent="0.2">
      <c r="C73" s="973"/>
      <c r="D73" s="1963"/>
      <c r="F73" s="973"/>
      <c r="G73" s="1963"/>
      <c r="K73" s="36"/>
      <c r="L73" s="973"/>
      <c r="M73" s="36"/>
      <c r="O73" s="973"/>
      <c r="P73" s="1802"/>
      <c r="S73" s="38"/>
      <c r="W73" s="36"/>
      <c r="AC73" s="38"/>
    </row>
    <row r="74" spans="2:29" x14ac:dyDescent="0.2">
      <c r="B74" s="36"/>
      <c r="C74" s="973"/>
      <c r="D74" s="1963"/>
      <c r="F74" s="50"/>
      <c r="G74" s="1963"/>
      <c r="W74" s="36"/>
      <c r="AC74" s="38"/>
    </row>
    <row r="75" spans="2:29" x14ac:dyDescent="0.2">
      <c r="B75" s="687" t="s">
        <v>656</v>
      </c>
      <c r="F75" s="973"/>
      <c r="G75" s="1963"/>
      <c r="I75" s="93" t="str">
        <f>"from "&amp;'Divs (c3)'!D24</f>
        <v>from c3.6</v>
      </c>
      <c r="K75" s="36"/>
      <c r="L75" s="973"/>
      <c r="W75" s="36"/>
      <c r="AC75" s="38"/>
    </row>
    <row r="76" spans="2:29" x14ac:dyDescent="0.2">
      <c r="G76" s="691" t="str">
        <f><![CDATA["("&TRU&TRU!G11&" + "&TRU&TRU!C28&") x divs_gross ("&divs_gross_F&")"]]></f>
        <v>(TRU5 + TRU9) x divs_gross (100/92.5)</v>
      </c>
      <c r="H76" s="663" t="str">
        <f>A19</f>
        <v>c91.18</v>
      </c>
      <c r="I76" s="754">
        <f>'Divs (c3)'!E24</f>
        <v>0</v>
      </c>
      <c r="W76" s="36"/>
      <c r="AC76" s="38"/>
    </row>
    <row r="77" spans="2:29" x14ac:dyDescent="0.2">
      <c r="B77" s="687"/>
      <c r="D77" s="1963"/>
      <c r="L77" s="973"/>
      <c r="P77" s="4334"/>
      <c r="Q77" s="4334"/>
      <c r="R77" s="4334"/>
      <c r="S77" s="4334"/>
      <c r="T77" s="4334"/>
      <c r="W77" s="36"/>
      <c r="AC77" s="38"/>
    </row>
    <row r="78" spans="2:29" x14ac:dyDescent="0.2">
      <c r="B78" s="687"/>
      <c r="F78" s="36"/>
      <c r="I78" s="93" t="str">
        <f>"from "&amp;'Divs (c3)'!D27</f>
        <v>from c3.7</v>
      </c>
      <c r="K78" s="36"/>
      <c r="L78" s="973"/>
      <c r="P78" s="4334"/>
      <c r="Q78" s="4334"/>
      <c r="R78" s="4334"/>
      <c r="S78" s="4333" t="str">
        <f>"from "&amp;'Tax paid (c11)'!F66</f>
        <v>from c11.23</v>
      </c>
      <c r="T78" s="4334"/>
      <c r="W78" s="36"/>
      <c r="AC78" s="38"/>
    </row>
    <row r="79" spans="2:29" x14ac:dyDescent="0.2">
      <c r="F79" s="36"/>
      <c r="G79" s="691" t="str">
        <f>TRU&amp;TRU!K15&amp;" x divs_gross ("&amp;divs_gross_F&amp;")"</f>
        <v>TRU18 x divs_gross (100/92.5)</v>
      </c>
      <c r="H79" s="663" t="str">
        <f>A20</f>
        <v>c91.19</v>
      </c>
      <c r="I79" s="754">
        <f>'Divs (c3)'!E27</f>
        <v>0</v>
      </c>
      <c r="J79" s="933"/>
      <c r="K79" s="36"/>
      <c r="L79" s="973"/>
      <c r="O79" s="973"/>
      <c r="P79" s="1802"/>
      <c r="Q79" s="691" t="str">
        <f><![CDATA["(TRU"&TRU!G11&" + TRU"&TRU!C28&" + TRU"&TRU!K15&") x divs_gross ("&divs_gross_F&") x DivBR_rate ("&divs_gross_P*100&"%)"]]></f>
        <v>(TRU5 + TRU9 + TRU18) x divs_gross (100/92.5) x DivBR_rate (7.5%)</v>
      </c>
      <c r="R79" s="4330" t="str">
        <f>A40</f>
        <v>c91.34b</v>
      </c>
      <c r="S79" s="4331">
        <f>'Tax paid (c11)'!G66</f>
        <v>0</v>
      </c>
      <c r="T79" s="999"/>
      <c r="W79" s="36"/>
      <c r="AC79" s="38"/>
    </row>
    <row r="80" spans="2:29" x14ac:dyDescent="0.2">
      <c r="B80" s="687"/>
      <c r="J80" s="933"/>
      <c r="K80" s="36"/>
      <c r="L80" s="973"/>
      <c r="M80" s="36"/>
      <c r="N80" s="1960"/>
      <c r="O80" s="973"/>
      <c r="P80" s="1802"/>
      <c r="Q80" s="36"/>
      <c r="W80" s="36"/>
      <c r="AC80" s="38"/>
    </row>
    <row r="81" spans="2:29" x14ac:dyDescent="0.2">
      <c r="B81" s="687"/>
      <c r="H81" s="36"/>
      <c r="I81" s="93" t="str">
        <f>"from "&amp;'Divs (c3)'!D30</f>
        <v>from c3.8</v>
      </c>
      <c r="J81" s="933"/>
      <c r="K81" s="36"/>
      <c r="L81" s="973"/>
      <c r="M81" s="36"/>
      <c r="N81" s="1960"/>
      <c r="S81" s="38" t="str">
        <f>"from "&amp;'Tax paid (c11)'!F65</f>
        <v>from c11.22</v>
      </c>
      <c r="T81" s="999"/>
      <c r="W81" s="36"/>
      <c r="AC81" s="38"/>
    </row>
    <row r="82" spans="2:29" x14ac:dyDescent="0.2">
      <c r="F82" s="973"/>
      <c r="G82" s="691" t="str">
        <f>TRU&amp;TRU!G24&amp;" x trust_div_gross ("&amp;trust_div_gross_F&amp;")"</f>
        <v>TRU12 x trust_div_gross (100/61.9)</v>
      </c>
      <c r="H82" s="663" t="str">
        <f>A21</f>
        <v>c91.20</v>
      </c>
      <c r="I82" s="754">
        <f>'Divs (c3)'!E30</f>
        <v>0</v>
      </c>
      <c r="J82" s="933"/>
      <c r="K82" s="36"/>
      <c r="L82" s="973"/>
      <c r="M82" s="36"/>
      <c r="N82" s="1960"/>
      <c r="O82" s="973"/>
      <c r="P82" s="1802"/>
      <c r="Q82" s="691" t="str">
        <f>'Divs (c3)'!E29&amp;" x DivAR_rate ("&amp;(trust_div_gross_P*100)&amp;"%)"</f>
        <v>TRU12 x trust_div_gross (100/61.9) x DivAR_rate (38.1%)</v>
      </c>
      <c r="R82" s="663" t="str">
        <f>A41</f>
        <v>c91.34c</v>
      </c>
      <c r="S82" s="668">
        <f>'Tax paid (c11)'!G65</f>
        <v>0</v>
      </c>
      <c r="T82" s="999"/>
      <c r="W82" s="36"/>
      <c r="AC82" s="38"/>
    </row>
    <row r="83" spans="2:29" x14ac:dyDescent="0.2">
      <c r="F83" s="973"/>
      <c r="G83" s="1963"/>
      <c r="J83" s="933"/>
      <c r="L83" s="973"/>
      <c r="M83" s="36"/>
      <c r="N83" s="1960"/>
      <c r="O83" s="973"/>
      <c r="P83" s="1802"/>
      <c r="Q83" s="36"/>
      <c r="T83" s="999"/>
      <c r="W83" s="36"/>
      <c r="AC83" s="38"/>
    </row>
    <row r="84" spans="2:29" x14ac:dyDescent="0.2">
      <c r="F84" s="973"/>
      <c r="G84" s="1963"/>
      <c r="J84" s="933"/>
      <c r="L84" s="973"/>
      <c r="M84" s="36"/>
      <c r="N84" s="1960"/>
      <c r="O84" s="973"/>
      <c r="P84" s="1802"/>
      <c r="Q84" s="36"/>
      <c r="T84" s="999"/>
      <c r="W84" s="36"/>
      <c r="AC84" s="38"/>
    </row>
    <row r="85" spans="2:29" x14ac:dyDescent="0.2">
      <c r="B85" s="687" t="s">
        <v>3004</v>
      </c>
      <c r="I85" s="93" t="str">
        <f>"from "&amp;'Divs (c3)'!D37</f>
        <v>from c3.10</v>
      </c>
      <c r="J85" s="933"/>
      <c r="L85" s="973"/>
      <c r="M85" s="36"/>
      <c r="N85" s="1960"/>
      <c r="O85" s="973"/>
      <c r="P85" s="1802"/>
      <c r="Q85" s="36"/>
      <c r="T85" s="999"/>
      <c r="W85" s="36"/>
      <c r="AC85" s="38"/>
    </row>
    <row r="86" spans="2:29" x14ac:dyDescent="0.2">
      <c r="G86" s="691" t="str">
        <f>"from "&amp;INC&amp;'INC(1)'!I15</f>
        <v>from INC4</v>
      </c>
      <c r="H86" s="663" t="str">
        <f>A22</f>
        <v>c91.21</v>
      </c>
      <c r="I86" s="754">
        <f>'Divs (c3)'!E37</f>
        <v>0</v>
      </c>
      <c r="J86" s="933"/>
      <c r="K86" s="36"/>
      <c r="L86" s="973"/>
      <c r="M86" s="36"/>
      <c r="N86" s="1960"/>
      <c r="O86" s="973"/>
      <c r="P86" s="1802"/>
      <c r="Q86" s="36"/>
      <c r="T86" s="999"/>
      <c r="W86" s="36"/>
      <c r="AC86" s="38"/>
    </row>
    <row r="87" spans="2:29" x14ac:dyDescent="0.2">
      <c r="G87" s="93"/>
      <c r="J87" s="933"/>
      <c r="K87" s="36"/>
      <c r="L87" s="973"/>
      <c r="O87" s="973"/>
      <c r="P87" s="1802"/>
      <c r="Q87" s="36"/>
      <c r="T87" s="999"/>
      <c r="W87" s="36"/>
      <c r="AC87" s="38"/>
    </row>
    <row r="88" spans="2:29" x14ac:dyDescent="0.2">
      <c r="C88" s="36"/>
      <c r="D88" s="1960"/>
      <c r="F88" s="973"/>
      <c r="G88" s="691"/>
      <c r="I88" s="93" t="str">
        <f>"from "&amp;'Divs (c3)'!D38</f>
        <v>from c3.11</v>
      </c>
      <c r="J88" s="933"/>
      <c r="K88" s="36"/>
      <c r="L88" s="973"/>
      <c r="O88" s="973"/>
      <c r="P88" s="1802"/>
      <c r="T88" s="36"/>
      <c r="W88" s="36"/>
      <c r="AC88" s="38"/>
    </row>
    <row r="89" spans="2:29" x14ac:dyDescent="0.2">
      <c r="C89" s="36"/>
      <c r="D89" s="1960"/>
      <c r="F89" s="973"/>
      <c r="G89" s="691" t="str">
        <f>"from "&amp;INC&amp;'INC(1)'!I18</f>
        <v>from INC5</v>
      </c>
      <c r="H89" s="663" t="str">
        <f>A23</f>
        <v>c91.22</v>
      </c>
      <c r="I89" s="754">
        <f>'Divs (c3)'!E38</f>
        <v>12750</v>
      </c>
      <c r="J89" s="1803"/>
      <c r="S89" s="2681" t="str">
        <f><![CDATA["s399 ITA 2007 if non-UK resident ("&INC&'INC(1)'!C18&" + "&INC&'INC(1)'!I15&" + "&TRU&TRU!G11&" + "&TRU&TRU!C28&" + "&TRU&TRU!G24&" + "&AOI&AOI!G28&") x DivBR_rate ("&DivBR_rate*100&"%)"]]></f>
        <v>s399 ITA 2007 if non-UK resident (INC2 + INC4 + TRU5 + TRU9 + TRU12 + AOI13) x DivBR_rate (7.5%)</v>
      </c>
      <c r="T89" s="36"/>
      <c r="W89" s="36"/>
      <c r="AC89" s="38"/>
    </row>
    <row r="90" spans="2:29" x14ac:dyDescent="0.2">
      <c r="B90" s="687"/>
      <c r="C90" s="36"/>
      <c r="D90" s="1960"/>
      <c r="F90" s="973"/>
      <c r="G90" s="1963"/>
      <c r="J90" s="933"/>
      <c r="K90" s="36"/>
      <c r="L90" s="973"/>
      <c r="O90" s="973"/>
      <c r="P90" s="1802"/>
      <c r="T90" s="36"/>
      <c r="W90" s="36"/>
      <c r="AC90" s="38"/>
    </row>
    <row r="91" spans="2:29" x14ac:dyDescent="0.2">
      <c r="B91" s="687"/>
      <c r="C91" s="36"/>
      <c r="D91" s="1960"/>
      <c r="F91" s="973"/>
      <c r="K91" s="36"/>
      <c r="L91" s="973"/>
      <c r="Q91" s="1787"/>
      <c r="R91" s="1801"/>
      <c r="S91" s="1220"/>
      <c r="W91" s="36"/>
      <c r="AC91" s="38"/>
    </row>
    <row r="92" spans="2:29" x14ac:dyDescent="0.2">
      <c r="B92" s="687"/>
      <c r="C92" s="36"/>
      <c r="D92" s="1960"/>
      <c r="F92" s="973"/>
      <c r="G92" s="1963"/>
      <c r="H92" s="36"/>
      <c r="I92" s="38" t="str">
        <f><![CDATA[H68&" + "&H72&" + "&H76&" + "&H79&" + "&H82&" + "&H86&" + "&H89]]></f>
        <v>c91.16 + c91.17 + c91.18 + c91.19 + c91.20 + c91.21 + c91.22</v>
      </c>
      <c r="J92" s="933"/>
      <c r="K92" s="36"/>
      <c r="L92" s="973"/>
      <c r="M92" s="36"/>
      <c r="N92" s="38" t="str">
        <f>C65&amp;" minus "&amp;H93</f>
        <v>c91.15 minus c91.22a</v>
      </c>
      <c r="O92" s="973"/>
      <c r="P92" s="1802"/>
      <c r="Q92" s="3356"/>
      <c r="R92" s="3357"/>
      <c r="S92" s="2325" t="str">
        <f><![CDATA["("&'Divs (c3)'!D37&" + "&'Divs (c3)'!D38&" + "&'Divs (c3)'!D40&") x DivBR_rate ("&DivBR_rate*100&"%)"]]></f>
        <v>(c3.10 + c3.11 + c3.13) x DivBR_rate (7.5%)</v>
      </c>
      <c r="W92" s="36"/>
      <c r="AC92" s="38"/>
    </row>
    <row r="93" spans="2:29" x14ac:dyDescent="0.2">
      <c r="B93" s="715" t="s">
        <v>905</v>
      </c>
      <c r="C93" s="36"/>
      <c r="D93" s="1960"/>
      <c r="F93" s="973"/>
      <c r="G93" s="1963"/>
      <c r="H93" s="663" t="str">
        <f>A24</f>
        <v>c91.22a</v>
      </c>
      <c r="I93" s="755">
        <f>I68+I72+I76+I79+I82+I86+I89</f>
        <v>12750</v>
      </c>
      <c r="J93" s="933"/>
      <c r="K93" s="36"/>
      <c r="L93" s="2769" t="s">
        <v>6504</v>
      </c>
      <c r="M93" s="663" t="str">
        <f>A25</f>
        <v>c91.23</v>
      </c>
      <c r="N93" s="754">
        <f>MAX(0,D65-I93)</f>
        <v>0</v>
      </c>
      <c r="O93" s="973"/>
      <c r="P93" s="1802"/>
      <c r="Q93" s="691" t="s">
        <v>6512</v>
      </c>
      <c r="R93" s="2151" t="str">
        <f>A42</f>
        <v>c91.34d</v>
      </c>
      <c r="S93" s="1962">
        <f>IF(Resident,0,TRUNC(('Divs (c3)'!E37+'Divs (c3)'!E38+'Divs (c3)'!E40)*DivBR_rate,2))</f>
        <v>0</v>
      </c>
      <c r="T93" s="999" t="s">
        <v>2694</v>
      </c>
      <c r="W93" s="36"/>
      <c r="AC93" s="38"/>
    </row>
    <row r="94" spans="2:29" x14ac:dyDescent="0.2">
      <c r="B94" s="687"/>
      <c r="C94" s="36"/>
      <c r="D94" s="1960"/>
      <c r="F94" s="973"/>
      <c r="G94" s="1963"/>
      <c r="H94" s="36"/>
      <c r="I94" s="1960"/>
      <c r="J94" s="933"/>
      <c r="K94" s="36"/>
      <c r="L94" s="973"/>
      <c r="M94" s="36"/>
      <c r="N94" s="1960"/>
      <c r="O94" s="973"/>
      <c r="P94" s="1802"/>
      <c r="Q94" s="36"/>
      <c r="R94" s="36"/>
      <c r="S94" s="1995"/>
      <c r="T94" s="999"/>
      <c r="W94" s="36"/>
      <c r="AC94" s="38"/>
    </row>
    <row r="95" spans="2:29" x14ac:dyDescent="0.2">
      <c r="B95" s="1268"/>
      <c r="C95" s="1268"/>
      <c r="D95" s="1268"/>
      <c r="E95" s="1268"/>
      <c r="F95" s="1268"/>
      <c r="G95" s="1268"/>
      <c r="H95" s="1268"/>
      <c r="I95" s="1268"/>
      <c r="J95" s="1268"/>
      <c r="K95" s="1268"/>
      <c r="L95" s="1268"/>
      <c r="M95" s="1268"/>
      <c r="N95" s="1268"/>
      <c r="O95" s="1268"/>
      <c r="P95" s="1268"/>
      <c r="Q95" s="1268"/>
      <c r="U95" s="1268"/>
    </row>
    <row r="96" spans="2:29" x14ac:dyDescent="0.2">
      <c r="B96" s="1269"/>
      <c r="C96" s="1269"/>
      <c r="D96" s="1269"/>
      <c r="E96" s="1269"/>
      <c r="F96" s="1269"/>
      <c r="G96" s="1269"/>
      <c r="H96" s="1269"/>
      <c r="I96" s="1269"/>
      <c r="J96" s="1269"/>
      <c r="K96" s="1269"/>
      <c r="L96" s="1269"/>
      <c r="M96" s="1269"/>
      <c r="N96" s="1269"/>
      <c r="O96" s="1269"/>
      <c r="P96" s="1269"/>
      <c r="Q96" s="1269"/>
      <c r="R96" s="1269"/>
      <c r="S96" s="1269"/>
      <c r="T96" s="1269"/>
      <c r="U96" s="1269"/>
    </row>
    <row r="97" spans="2:21" x14ac:dyDescent="0.2">
      <c r="B97" s="2772" t="s">
        <v>3904</v>
      </c>
      <c r="C97" s="36"/>
      <c r="D97" s="36"/>
      <c r="E97" s="36"/>
      <c r="F97" s="36"/>
      <c r="I97" s="36"/>
      <c r="S97" s="36"/>
    </row>
    <row r="98" spans="2:21" x14ac:dyDescent="0.2">
      <c r="B98" s="36"/>
      <c r="C98" s="36"/>
      <c r="D98" s="38" t="str">
        <f>"from "&amp;'Divs (c3)'!G58</f>
        <v>from c3.18</v>
      </c>
      <c r="O98" s="1801"/>
      <c r="P98" s="1801"/>
      <c r="Q98" s="1801"/>
      <c r="R98" s="1801"/>
      <c r="S98" s="1801"/>
      <c r="T98" s="1801"/>
    </row>
    <row r="99" spans="2:21" x14ac:dyDescent="0.2">
      <c r="B99" s="36" t="s">
        <v>7065</v>
      </c>
      <c r="C99" s="663" t="str">
        <f>A26</f>
        <v>c91.24</v>
      </c>
      <c r="D99" s="754">
        <f>'Divs (c3)'!H58</f>
        <v>0</v>
      </c>
      <c r="M99" s="36"/>
      <c r="P99" s="1801"/>
      <c r="Q99" s="1801"/>
      <c r="R99" s="1801"/>
      <c r="S99" s="1801"/>
      <c r="T99" s="1801"/>
    </row>
    <row r="100" spans="2:21" x14ac:dyDescent="0.2">
      <c r="P100" s="1801"/>
      <c r="Q100" s="1801"/>
      <c r="R100" s="1801"/>
      <c r="S100" s="1801"/>
      <c r="T100" s="1801"/>
    </row>
    <row r="101" spans="2:21" x14ac:dyDescent="0.2">
      <c r="B101" s="1268"/>
      <c r="C101" s="1268"/>
      <c r="D101" s="1268"/>
      <c r="E101" s="1268"/>
      <c r="F101" s="1268"/>
      <c r="G101" s="1268"/>
      <c r="H101" s="1268"/>
      <c r="I101" s="1268"/>
      <c r="J101" s="1268"/>
      <c r="K101" s="1268"/>
      <c r="L101" s="1268"/>
      <c r="M101" s="1268"/>
      <c r="N101" s="1268"/>
      <c r="O101" s="1575"/>
      <c r="P101" s="1575"/>
      <c r="Q101" s="1268"/>
      <c r="R101" s="1268"/>
      <c r="S101" s="1268"/>
      <c r="T101" s="1268"/>
      <c r="U101" s="1268"/>
    </row>
    <row r="102" spans="2:21" x14ac:dyDescent="0.2">
      <c r="B102" s="1269"/>
      <c r="C102" s="1269"/>
      <c r="D102" s="1269"/>
      <c r="E102" s="1269"/>
      <c r="F102" s="1269"/>
      <c r="G102" s="1269"/>
      <c r="H102" s="1269"/>
      <c r="I102" s="1269"/>
      <c r="J102" s="1269"/>
      <c r="K102" s="1269"/>
      <c r="L102" s="1269"/>
      <c r="M102" s="1269"/>
      <c r="N102" s="1269"/>
      <c r="O102" s="1576"/>
      <c r="P102" s="1576"/>
      <c r="Q102" s="1269"/>
      <c r="R102" s="1269"/>
      <c r="S102" s="1269"/>
      <c r="T102" s="1269"/>
      <c r="U102" s="1269"/>
    </row>
    <row r="103" spans="2:21" x14ac:dyDescent="0.2">
      <c r="B103" s="2772" t="s">
        <v>3904</v>
      </c>
      <c r="C103" s="36"/>
      <c r="D103" s="36"/>
      <c r="E103" s="36"/>
      <c r="F103" s="36"/>
    </row>
    <row r="104" spans="2:21" x14ac:dyDescent="0.2">
      <c r="B104" s="36"/>
      <c r="C104" s="36"/>
      <c r="D104" s="38" t="str">
        <f>"from "&amp;'Divs (c3)'!G63</f>
        <v>from c3.19</v>
      </c>
      <c r="E104" s="36"/>
      <c r="F104" s="36"/>
      <c r="G104" s="36"/>
      <c r="J104" s="36"/>
      <c r="K104" s="36"/>
      <c r="L104" s="36"/>
      <c r="M104" s="36"/>
      <c r="N104" s="36"/>
      <c r="O104" s="973"/>
      <c r="P104" s="973"/>
      <c r="Q104" s="36"/>
      <c r="R104" s="36"/>
      <c r="S104" s="36"/>
      <c r="T104" s="36"/>
    </row>
    <row r="105" spans="2:21" x14ac:dyDescent="0.2">
      <c r="B105" s="36" t="s">
        <v>7066</v>
      </c>
      <c r="C105" s="663" t="str">
        <f>A27</f>
        <v>c91.25</v>
      </c>
      <c r="D105" s="754">
        <f>'Divs (c3)'!H63</f>
        <v>0</v>
      </c>
      <c r="O105" s="1801"/>
      <c r="P105" s="1801"/>
      <c r="S105" s="1801"/>
      <c r="T105" s="1801"/>
    </row>
    <row r="106" spans="2:21" x14ac:dyDescent="0.2">
      <c r="D106" s="982"/>
      <c r="O106" s="1801"/>
      <c r="P106" s="1801"/>
      <c r="S106" s="1801"/>
      <c r="T106" s="1801"/>
    </row>
    <row r="107" spans="2:21" x14ac:dyDescent="0.2">
      <c r="B107" s="972"/>
    </row>
    <row r="108" spans="2:21" x14ac:dyDescent="0.2">
      <c r="D108" s="38" t="str">
        <f>"from "&amp;'Divs (c3)'!G66</f>
        <v>from c3.20</v>
      </c>
    </row>
    <row r="109" spans="2:21" x14ac:dyDescent="0.2">
      <c r="C109" s="663" t="str">
        <f>A28</f>
        <v>c91.26</v>
      </c>
      <c r="D109" s="754">
        <f>'Divs (c3)'!H66</f>
        <v>0</v>
      </c>
    </row>
    <row r="110" spans="2:21" x14ac:dyDescent="0.2">
      <c r="B110" s="1268"/>
      <c r="C110" s="1268"/>
      <c r="D110" s="1268"/>
      <c r="E110" s="1268"/>
      <c r="F110" s="1268"/>
      <c r="G110" s="1268"/>
      <c r="H110" s="1268"/>
      <c r="I110" s="1268"/>
      <c r="J110" s="1268"/>
      <c r="K110" s="1268"/>
      <c r="L110" s="1268"/>
      <c r="M110" s="1268"/>
      <c r="N110" s="1268"/>
      <c r="O110" s="1268"/>
      <c r="P110" s="1268"/>
      <c r="Q110" s="1268"/>
      <c r="R110" s="1268"/>
      <c r="S110" s="1268"/>
      <c r="T110" s="1268"/>
      <c r="U110" s="1268"/>
    </row>
    <row r="111" spans="2:21" x14ac:dyDescent="0.2">
      <c r="B111" s="1269"/>
      <c r="C111" s="1269"/>
      <c r="D111" s="1269"/>
      <c r="E111" s="1269"/>
      <c r="F111" s="1269"/>
      <c r="G111" s="1269"/>
      <c r="H111" s="1269"/>
      <c r="I111" s="1269"/>
      <c r="J111" s="1269"/>
      <c r="K111" s="1269"/>
      <c r="L111" s="1269"/>
      <c r="M111" s="1269"/>
      <c r="N111" s="1269"/>
      <c r="O111" s="1269"/>
      <c r="P111" s="1269"/>
      <c r="Q111" s="1269"/>
      <c r="R111" s="1269"/>
      <c r="S111" s="1269"/>
      <c r="T111" s="1269"/>
      <c r="U111" s="1269"/>
    </row>
    <row r="112" spans="2:21" x14ac:dyDescent="0.2">
      <c r="H112" s="36" t="s">
        <v>7067</v>
      </c>
      <c r="M112" s="94" t="s">
        <v>7068</v>
      </c>
      <c r="R112" s="36" t="s">
        <v>7069</v>
      </c>
    </row>
    <row r="114" spans="8:19" x14ac:dyDescent="0.2">
      <c r="N114" s="93" t="str">
        <f>M33&amp;" + "&amp;C39&amp;" + "&amp;M59&amp;" + "</f>
        <v xml:space="preserve">c91.6 + c91.7 + c91.14 + </v>
      </c>
    </row>
    <row r="115" spans="8:19" x14ac:dyDescent="0.2">
      <c r="I115" s="38" t="str">
        <f>H33&amp;" + "&amp;H59&amp;" + "&amp;H93</f>
        <v>c91.5 + c91.13 + c91.22a</v>
      </c>
      <c r="N115" s="38" t="str">
        <f><![CDATA[M93&" + "&C99&" + "&C105&" + "&C109]]></f>
        <v>c91.23 + c91.24 + c91.25 + c91.26</v>
      </c>
      <c r="S115" s="38" t="str">
        <f><![CDATA[R33&" + "&R59&" + "&R79&" + "&R82&" + "&R93]]></f>
        <v>c91.31a + c91.34a + c91.34b + c91.34c + c91.34d</v>
      </c>
    </row>
    <row r="116" spans="8:19" x14ac:dyDescent="0.2">
      <c r="H116" s="663" t="str">
        <f>A29</f>
        <v>c91.27</v>
      </c>
      <c r="I116" s="754">
        <f>I33+I59+I93</f>
        <v>16428</v>
      </c>
      <c r="M116" s="663" t="str">
        <f>A30</f>
        <v>c91.28</v>
      </c>
      <c r="N116" s="754">
        <f>N33+D39+N59+N93+D99+D105+D109</f>
        <v>47444</v>
      </c>
      <c r="R116" s="663" t="str">
        <f>A43</f>
        <v>c91.35</v>
      </c>
      <c r="S116" s="668">
        <f>S33+S59+S79+S82+S93</f>
        <v>0</v>
      </c>
    </row>
    <row r="117" spans="8:19" x14ac:dyDescent="0.2">
      <c r="N117" s="1995" t="str">
        <f>"copy to "&amp;'Taxable (c5)'!E309</f>
        <v>copy to c5.85</v>
      </c>
      <c r="S117" s="2780" t="str">
        <f>"Add to figure in box "&amp;'tax it (c8)'!G62</f>
        <v>Add to figure in box c8.25</v>
      </c>
    </row>
    <row ht="12.75" r="119" spans="8:19" x14ac:dyDescent="0.2">
      <c r="S119" s="1189" t="s">
        <v>2495</v>
      </c>
    </row>
  </sheetData>
  <phoneticPr fontId="67" type="noConversion"/>
  <pageMargins bottom="0.19685039370078741" footer="0" header="0" left="0.15748031496062992" right="0.15748031496062992" top="0.19685039370078741"/>
  <pageSetup orientation="landscape" paperSize="9" r:id="rId1" scale="40"/>
  <headerFooter alignWithMargins="0"/>
</worksheet>
</file>

<file path=xl/worksheets/sheet87.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600-000000000000}">
  <sheetPr codeName="Sheet84">
    <tabColor theme="9" tint="0.39997558519241921"/>
  </sheetPr>
  <dimension ref="A1:E100"/>
  <sheetViews>
    <sheetView showGridLines="0" topLeftCell="B81" workbookViewId="0">
      <selection activeCell="I41" sqref="I41"/>
    </sheetView>
  </sheetViews>
  <sheetFormatPr defaultRowHeight="12.75" x14ac:dyDescent="0.2"/>
  <cols>
    <col min="1" max="1" customWidth="true" hidden="true" width="6.5703125" collapsed="true"/>
    <col min="2" max="2" customWidth="true" style="7" width="7.7109375" collapsed="true"/>
    <col min="3" max="3" customWidth="true" style="7" width="36.85546875" collapsed="true"/>
    <col min="4" max="4" bestFit="true" customWidth="true" style="7" width="38.0" collapsed="true"/>
    <col min="5" max="5" customWidth="true" width="14.42578125" collapsed="true"/>
  </cols>
  <sheetData>
    <row r="1" spans="1:2" x14ac:dyDescent="0.2">
      <c r="A1" t="s">
        <v>3440</v>
      </c>
      <c r="B1" s="1398" t="s">
        <v>4522</v>
      </c>
    </row>
    <row r="2" spans="1:2" x14ac:dyDescent="0.2">
      <c r="A2" t="s">
        <v>3442</v>
      </c>
    </row>
    <row r="3" spans="1:2" x14ac:dyDescent="0.2">
      <c r="A3" t="s">
        <v>3444</v>
      </c>
      <c r="B3" s="979" t="s">
        <v>4523</v>
      </c>
    </row>
    <row r="4" spans="1:2" x14ac:dyDescent="0.2">
      <c r="A4" s="3177" t="s">
        <v>8415</v>
      </c>
      <c r="B4" s="979" t="s">
        <v>4524</v>
      </c>
    </row>
    <row r="5" spans="1:2" x14ac:dyDescent="0.2">
      <c r="A5" t="s">
        <v>3446</v>
      </c>
      <c r="B5" s="979" t="s">
        <v>4525</v>
      </c>
    </row>
    <row r="6" spans="1:2" x14ac:dyDescent="0.2">
      <c r="A6" t="s">
        <v>3448</v>
      </c>
      <c r="B6" s="979" t="s">
        <v>4526</v>
      </c>
    </row>
    <row r="7" spans="1:2" x14ac:dyDescent="0.2">
      <c r="A7" t="s">
        <v>3450</v>
      </c>
    </row>
    <row r="8" spans="1:2" x14ac:dyDescent="0.2">
      <c r="A8" t="s">
        <v>2958</v>
      </c>
      <c r="B8" s="979" t="s">
        <v>4527</v>
      </c>
    </row>
    <row r="9" spans="1:2" x14ac:dyDescent="0.2">
      <c r="A9" t="s">
        <v>2961</v>
      </c>
      <c r="B9" s="979" t="s">
        <v>4528</v>
      </c>
    </row>
    <row r="10" spans="1:2" x14ac:dyDescent="0.2">
      <c r="A10" t="s">
        <v>2963</v>
      </c>
      <c r="B10" s="979" t="s">
        <v>4529</v>
      </c>
    </row>
    <row r="11" spans="1:2" x14ac:dyDescent="0.2">
      <c r="A11" s="3177" t="s">
        <v>8416</v>
      </c>
      <c r="B11" s="979" t="s">
        <v>4530</v>
      </c>
    </row>
    <row r="12" spans="1:2" x14ac:dyDescent="0.2">
      <c r="A12" t="s">
        <v>2965</v>
      </c>
    </row>
    <row r="13" spans="1:2" x14ac:dyDescent="0.2">
      <c r="A13" t="s">
        <v>2967</v>
      </c>
      <c r="B13" s="979" t="s">
        <v>4531</v>
      </c>
    </row>
    <row r="14" spans="1:2" x14ac:dyDescent="0.2">
      <c r="A14" t="s">
        <v>2971</v>
      </c>
      <c r="B14" s="979" t="s">
        <v>4532</v>
      </c>
    </row>
    <row r="15" spans="1:2" x14ac:dyDescent="0.2">
      <c r="A15" t="s">
        <v>2973</v>
      </c>
      <c r="B15" s="979" t="s">
        <v>4533</v>
      </c>
    </row>
    <row r="16" spans="1:2" x14ac:dyDescent="0.2">
      <c r="A16" t="s">
        <v>3764</v>
      </c>
    </row>
    <row r="17" spans="1:4" x14ac:dyDescent="0.2">
      <c r="A17" t="s">
        <v>2977</v>
      </c>
      <c r="B17" s="979" t="s">
        <v>4534</v>
      </c>
    </row>
    <row r="18" spans="1:4" x14ac:dyDescent="0.2">
      <c r="A18" t="s">
        <v>2978</v>
      </c>
      <c r="B18" s="1399" t="str">
        <f>"If CAL1 + (CAL2 x -1) not equal to ("&amp;'Tax due (c12)'!I67&amp;")"</f>
        <v>If CAL1 + (CAL2 x -1) not equal to (c12.18)</v>
      </c>
      <c r="C18" s="993"/>
    </row>
    <row r="19" spans="1:4" x14ac:dyDescent="0.2">
      <c r="A19" t="s">
        <v>2979</v>
      </c>
      <c r="B19" s="1400" t="str">
        <f>"If CAL1 + (CAL2 x -1) in range ("&amp;'Tax due (c12)'!I67&amp;") minus £25 to("&amp;'Tax due (c12)'!I67&amp;") + £5"</f>
        <v>If CAL1 + (CAL2 x -1) in range (c12.18) minus £25 to(c12.18) + £5</v>
      </c>
      <c r="C19" s="993"/>
      <c r="D19" s="993"/>
    </row>
    <row r="20" spans="1:4" x14ac:dyDescent="0.2">
      <c r="A20" t="s">
        <v>2982</v>
      </c>
      <c r="B20" s="1401" t="s">
        <v>4535</v>
      </c>
    </row>
    <row r="21" spans="1:4" x14ac:dyDescent="0.2">
      <c r="A21" t="s">
        <v>3753</v>
      </c>
      <c r="B21" s="1401" t="s">
        <v>4536</v>
      </c>
      <c r="C21" s="1402"/>
    </row>
    <row r="22" spans="1:4" x14ac:dyDescent="0.2">
      <c r="A22" t="s">
        <v>3756</v>
      </c>
      <c r="B22" s="1400" t="s">
        <v>2386</v>
      </c>
    </row>
    <row r="23" spans="1:4" x14ac:dyDescent="0.2">
      <c r="A23" t="s">
        <v>3759</v>
      </c>
      <c r="B23" s="1401" t="s">
        <v>4537</v>
      </c>
    </row>
    <row r="24" spans="1:4" x14ac:dyDescent="0.2">
      <c r="A24" t="s">
        <v>3760</v>
      </c>
      <c r="B24" s="1403" t="s">
        <v>4535</v>
      </c>
    </row>
    <row r="25" spans="1:4" x14ac:dyDescent="0.2">
      <c r="A25" t="s">
        <v>3761</v>
      </c>
      <c r="B25" s="1403" t="s">
        <v>4536</v>
      </c>
    </row>
    <row r="26" spans="1:4" x14ac:dyDescent="0.2">
      <c r="A26" t="s">
        <v>3762</v>
      </c>
      <c r="B26" s="1400" t="s">
        <v>2386</v>
      </c>
    </row>
    <row r="27" spans="1:4" x14ac:dyDescent="0.2">
      <c r="A27" t="s">
        <v>4360</v>
      </c>
      <c r="B27" s="1403" t="s">
        <v>4538</v>
      </c>
    </row>
    <row r="28" spans="1:4" x14ac:dyDescent="0.2">
      <c r="A28" t="s">
        <v>4361</v>
      </c>
      <c r="B28" s="1403" t="s">
        <v>4539</v>
      </c>
    </row>
    <row r="29" spans="1:4" x14ac:dyDescent="0.2">
      <c r="A29" t="s">
        <v>4362</v>
      </c>
      <c r="B29" s="1403" t="s">
        <v>4540</v>
      </c>
    </row>
    <row r="30" spans="1:4" x14ac:dyDescent="0.2">
      <c r="A30" t="s">
        <v>4363</v>
      </c>
      <c r="B30" s="1404" t="s">
        <v>2495</v>
      </c>
    </row>
    <row r="31" spans="1:4" x14ac:dyDescent="0.2">
      <c r="A31" t="s">
        <v>4364</v>
      </c>
      <c r="B31" s="1400" t="s">
        <v>2495</v>
      </c>
    </row>
    <row r="32" spans="1:4" x14ac:dyDescent="0.2">
      <c r="A32" t="s">
        <v>4365</v>
      </c>
      <c r="B32" s="1399" t="s">
        <v>2386</v>
      </c>
    </row>
    <row r="33" spans="2:4" x14ac:dyDescent="0.2">
      <c r="B33" s="1400" t="s">
        <v>4541</v>
      </c>
    </row>
    <row r="34" spans="2:4" x14ac:dyDescent="0.2">
      <c r="B34" s="1399" t="s">
        <v>2495</v>
      </c>
    </row>
    <row r="35" spans="2:4" x14ac:dyDescent="0.2">
      <c r="B35" s="1405" t="s">
        <v>2386</v>
      </c>
    </row>
    <row r="36" spans="2:4" x14ac:dyDescent="0.2">
      <c r="B36" s="1400" t="s">
        <v>4541</v>
      </c>
    </row>
    <row r="37" spans="2:4" x14ac:dyDescent="0.2">
      <c r="B37" s="1406" t="s">
        <v>4542</v>
      </c>
    </row>
    <row r="38" spans="2:4" x14ac:dyDescent="0.2">
      <c r="B38" s="1405" t="s">
        <v>2495</v>
      </c>
    </row>
    <row r="40" spans="2:4" x14ac:dyDescent="0.2">
      <c r="B40" s="1407" t="s">
        <v>3437</v>
      </c>
    </row>
    <row r="41" spans="2:4" x14ac:dyDescent="0.2">
      <c r="B41" s="16" t="s">
        <v>3438</v>
      </c>
    </row>
    <row r="42" spans="2:4" x14ac:dyDescent="0.2">
      <c r="B42" s="16" t="s">
        <v>3439</v>
      </c>
    </row>
    <row r="43" spans="2:4" x14ac:dyDescent="0.2">
      <c r="B43" s="1408" t="str">
        <f ref="B43:B50" si="0" t="shared">A1</f>
        <v>c99.1</v>
      </c>
      <c r="C43" s="1408" t="str">
        <f>"from "&amp;'Tax due (c12)'!I67</f>
        <v>from c12.18</v>
      </c>
      <c r="D43" s="1409" t="s">
        <v>3441</v>
      </c>
    </row>
    <row r="44" spans="2:4" x14ac:dyDescent="0.2">
      <c r="B44" s="1408" t="str">
        <f si="0" t="shared"/>
        <v>c99.2</v>
      </c>
      <c r="C44" s="1408" t="str">
        <f>"from "&amp;'Tax due (c12)'!I5</f>
        <v>from c12.1</v>
      </c>
      <c r="D44" s="1409" t="s">
        <v>3443</v>
      </c>
    </row>
    <row r="45" spans="2:4" x14ac:dyDescent="0.2">
      <c r="B45" s="1408" t="str">
        <f si="0" t="shared"/>
        <v>c99.3</v>
      </c>
      <c r="C45" s="1408" t="str">
        <f>"from "&amp;'Tax due (c12)'!F30</f>
        <v>from c12.7</v>
      </c>
      <c r="D45" s="1409" t="s">
        <v>3445</v>
      </c>
    </row>
    <row r="46" spans="2:4" x14ac:dyDescent="0.2">
      <c r="B46" s="3857" t="str">
        <f si="0" t="shared"/>
        <v>c99.3a</v>
      </c>
      <c r="C46" s="3857" t="str">
        <f>"from "&amp;'Tax due (c12)'!F33</f>
        <v>from c12.7b</v>
      </c>
      <c r="D46" s="3858" t="s">
        <v>8414</v>
      </c>
    </row>
    <row r="47" spans="2:4" x14ac:dyDescent="0.2">
      <c r="B47" s="1408" t="str">
        <f si="0" t="shared"/>
        <v>c99.4</v>
      </c>
      <c r="C47" s="1408" t="str">
        <f>"from "&amp;'Tax due (c12)'!F8</f>
        <v>from c12.2</v>
      </c>
      <c r="D47" s="1409" t="s">
        <v>3447</v>
      </c>
    </row>
    <row r="48" spans="2:4" x14ac:dyDescent="0.2">
      <c r="B48" s="1408" t="str">
        <f si="0" t="shared"/>
        <v>c99.5</v>
      </c>
      <c r="C48" s="1408" t="str">
        <f>"from "&amp;'Tax due (c12)'!F16</f>
        <v>from c12.3</v>
      </c>
      <c r="D48" s="1409" t="s">
        <v>4359</v>
      </c>
    </row>
    <row r="49" spans="2:4" x14ac:dyDescent="0.2">
      <c r="B49" s="1408" t="str">
        <f si="0" t="shared"/>
        <v>c99.6</v>
      </c>
      <c r="C49" s="1408" t="str">
        <f>"from "&amp;'Tax due (c12)'!F64</f>
        <v>from c12.17</v>
      </c>
      <c r="D49" s="1409" t="s">
        <v>3449</v>
      </c>
    </row>
    <row r="50" spans="2:4" x14ac:dyDescent="0.2">
      <c r="B50" s="1408" t="str">
        <f si="0" t="shared"/>
        <v>c99.7</v>
      </c>
      <c r="C50" s="1408" t="str">
        <f>"from "&amp;'Tax due (c12)'!F39</f>
        <v>from c12.9</v>
      </c>
      <c r="D50" s="1409" t="s">
        <v>3451</v>
      </c>
    </row>
    <row r="51" spans="2:4" x14ac:dyDescent="0.2">
      <c r="B51" s="1049" t="s">
        <v>2957</v>
      </c>
    </row>
    <row r="52" spans="2:4" x14ac:dyDescent="0.2">
      <c r="B52" s="4546" t="str">
        <f>A9</f>
        <v>c99.8</v>
      </c>
      <c r="C52" s="1410" t="s">
        <v>3763</v>
      </c>
      <c r="D52" s="1411" t="str">
        <f>"copy to "&amp;'Tax due (c12)'!I67</f>
        <v>copy to c12.18</v>
      </c>
    </row>
    <row r="53" spans="2:4" x14ac:dyDescent="0.2">
      <c r="B53" s="4547"/>
      <c r="C53" s="1412" t="str">
        <f>B52&amp;"= CAL1"</f>
        <v>c99.8= CAL1</v>
      </c>
      <c r="D53" s="1413"/>
    </row>
    <row r="54" spans="2:4" x14ac:dyDescent="0.2">
      <c r="B54" s="4547"/>
      <c r="C54" s="1414" t="s">
        <v>2959</v>
      </c>
      <c r="D54" s="1413"/>
    </row>
    <row r="55" spans="2:4" x14ac:dyDescent="0.2">
      <c r="B55" s="4547"/>
      <c r="C55" s="1412" t="str">
        <f>B52&amp;" = -1 x CAL2"</f>
        <v>c99.8 = -1 x CAL2</v>
      </c>
      <c r="D55" s="1413"/>
    </row>
    <row customHeight="1" ht="13.5" r="56" spans="2:4" x14ac:dyDescent="0.2">
      <c r="B56" s="4548"/>
      <c r="C56" s="1415" t="s">
        <v>2960</v>
      </c>
      <c r="D56" s="1416"/>
    </row>
    <row r="57" spans="2:4" x14ac:dyDescent="0.2">
      <c r="B57" s="1408" t="str">
        <f ref="B57:B62" si="1" t="shared">A10</f>
        <v>c99.9</v>
      </c>
      <c r="C57" s="1408" t="s">
        <v>2962</v>
      </c>
      <c r="D57" s="1417" t="str">
        <f>"copy to "&amp;'Tax due (c12)'!F30</f>
        <v>copy to c12.7</v>
      </c>
    </row>
    <row r="58" spans="2:4" x14ac:dyDescent="0.2">
      <c r="B58" s="3857" t="str">
        <f si="1" t="shared"/>
        <v>c99.9a</v>
      </c>
      <c r="C58" s="3857" t="s">
        <v>8417</v>
      </c>
      <c r="D58" s="3858" t="str">
        <f>"copy to "&amp;'Tax due (c12)'!F33</f>
        <v>copy to c12.7b</v>
      </c>
    </row>
    <row r="59" spans="2:4" x14ac:dyDescent="0.2">
      <c r="B59" s="1408" t="str">
        <f si="1" t="shared"/>
        <v>c99.10</v>
      </c>
      <c r="C59" s="1408" t="s">
        <v>2964</v>
      </c>
      <c r="D59" s="1417" t="str">
        <f>"copy to "&amp;'Tax due (c12)'!F8</f>
        <v>copy to c12.2</v>
      </c>
    </row>
    <row r="60" spans="2:4" x14ac:dyDescent="0.2">
      <c r="B60" s="1408" t="str">
        <f si="1" t="shared"/>
        <v>c99.11</v>
      </c>
      <c r="C60" s="1408" t="s">
        <v>4366</v>
      </c>
      <c r="D60" s="1409" t="s">
        <v>4367</v>
      </c>
    </row>
    <row r="61" spans="2:4" x14ac:dyDescent="0.2">
      <c r="B61" s="1408" t="str">
        <f si="1" t="shared"/>
        <v>c99.12</v>
      </c>
      <c r="C61" s="1408" t="s">
        <v>2966</v>
      </c>
      <c r="D61" s="1417" t="str">
        <f>"copy to "&amp;'Tax due (c12)'!F64</f>
        <v>copy to c12.17</v>
      </c>
    </row>
    <row r="62" spans="2:4" x14ac:dyDescent="0.2">
      <c r="B62" s="1408" t="str">
        <f si="1" t="shared"/>
        <v>c99.13</v>
      </c>
      <c r="C62" s="1408" t="s">
        <v>2968</v>
      </c>
      <c r="D62" s="1417" t="str">
        <f>"copy to "&amp;'Tax due (c12)'!F39</f>
        <v>copy to c12.9</v>
      </c>
    </row>
    <row r="63" spans="2:4" x14ac:dyDescent="0.2">
      <c r="B63" s="16"/>
    </row>
    <row r="64" spans="2:4" x14ac:dyDescent="0.2">
      <c r="B64" s="16" t="s">
        <v>2969</v>
      </c>
    </row>
    <row r="65" spans="2:4" x14ac:dyDescent="0.2">
      <c r="B65" s="779" t="s">
        <v>2970</v>
      </c>
    </row>
    <row ht="25.5" r="66" spans="2:4" x14ac:dyDescent="0.2">
      <c r="B66" s="1408" t="str">
        <f>A16</f>
        <v>c99.14</v>
      </c>
      <c r="C66" s="3857" t="str">
        <f><![CDATA[B57&" + "&B58&" + "&B59&" + "&B60&" + "&B61&" + "&B62]]></f>
        <v>c99.9 + c99.9a + c99.10 + c99.11 + c99.12 + c99.13</v>
      </c>
      <c r="D66" s="1408"/>
    </row>
    <row r="67" spans="2:4" x14ac:dyDescent="0.2">
      <c r="B67" s="1049" t="s">
        <v>2972</v>
      </c>
    </row>
    <row ht="25.5" r="68" spans="2:4" x14ac:dyDescent="0.2">
      <c r="B68" s="1408" t="str">
        <f>A17</f>
        <v>c99.15</v>
      </c>
      <c r="C68" s="3857" t="str">
        <f><![CDATA[B45&" + "&B46&" + "&B47&" + "&B48&" + "&B49&" + "&B50]]></f>
        <v>c99.3 + c99.3a + c99.4 + c99.5 + c99.6 + c99.7</v>
      </c>
      <c r="D68" s="1408"/>
    </row>
    <row r="69" spans="2:4" x14ac:dyDescent="0.2">
      <c r="B69" s="1049" t="s">
        <v>2974</v>
      </c>
    </row>
    <row r="70" spans="2:4" x14ac:dyDescent="0.2">
      <c r="B70" s="1408" t="str">
        <f>A18</f>
        <v>c99.16</v>
      </c>
      <c r="C70" s="1408" t="str">
        <f>"Absolute value ("&amp;B66&amp;" minus "&amp;B68&amp;")"</f>
        <v>Absolute value (c99.14 minus c99.15)</v>
      </c>
      <c r="D70" s="1408"/>
    </row>
    <row r="71" spans="2:4" x14ac:dyDescent="0.2">
      <c r="B71" s="16"/>
    </row>
    <row r="72" spans="2:4" x14ac:dyDescent="0.2">
      <c r="B72" s="16" t="s">
        <v>2975</v>
      </c>
    </row>
    <row r="73" spans="2:4" x14ac:dyDescent="0.2">
      <c r="B73" s="16" t="s">
        <v>2976</v>
      </c>
    </row>
    <row r="74" spans="2:4" x14ac:dyDescent="0.2">
      <c r="B74" s="1408" t="str">
        <f>A19</f>
        <v>c99.17</v>
      </c>
      <c r="C74" s="1408" t="str">
        <f>"Absolute value ("&amp;B52&amp;" minus "&amp;B43&amp;")"</f>
        <v>Absolute value (c99.8 minus c99.1)</v>
      </c>
      <c r="D74" s="1408"/>
    </row>
    <row r="75" spans="2:4" x14ac:dyDescent="0.2">
      <c r="B75" s="1408" t="str">
        <f>A20</f>
        <v>c99.18</v>
      </c>
      <c r="C75" s="1408" t="str">
        <f>"Absolute value ("&amp;B70&amp;" minus "&amp;B74&amp;")"</f>
        <v>Absolute value (c99.16 minus c99.17)</v>
      </c>
      <c r="D75" s="1408"/>
    </row>
    <row r="77" spans="2:4" x14ac:dyDescent="0.2">
      <c r="B77" s="16" t="str">
        <f>"if "&amp;B52&amp;" is less than "&amp;B43&amp;" (Revenue figure higher than customers figure)"</f>
        <v>if c99.8 is less than c99.1 (Revenue figure higher than customers figure)</v>
      </c>
    </row>
    <row r="78" spans="2:4" x14ac:dyDescent="0.2">
      <c r="B78" s="1418" t="str">
        <f>A21</f>
        <v>c99.19</v>
      </c>
      <c r="C78" s="1419" t="str">
        <f>"If "&amp;B44&amp;" is greater than "&amp;B75</f>
        <v>If c99.2 is greater than c99.18</v>
      </c>
      <c r="D78" s="1420" t="s">
        <v>2981</v>
      </c>
    </row>
    <row r="79" spans="2:4" x14ac:dyDescent="0.2">
      <c r="B79" s="1413"/>
      <c r="C79" s="1421" t="str">
        <f>B78&amp;" = "&amp;B44&amp;" minus "&amp;B75</f>
        <v>c99.19 = c99.2 minus c99.18</v>
      </c>
      <c r="D79" s="1422" t="str">
        <f>"copy to "&amp;'Tax due (c12)'!I5</f>
        <v>copy to c12.1</v>
      </c>
    </row>
    <row r="80" spans="2:4" x14ac:dyDescent="0.2">
      <c r="B80" s="1413"/>
      <c r="C80" s="1423" t="s">
        <v>2386</v>
      </c>
      <c r="D80" s="1424"/>
    </row>
    <row r="81" spans="2:4" x14ac:dyDescent="0.2">
      <c r="B81" s="1413"/>
      <c r="C81" s="1421" t="str">
        <f>B78&amp;" = 0"</f>
        <v>c99.19 = 0</v>
      </c>
      <c r="D81" s="1425"/>
    </row>
    <row r="82" spans="2:4" x14ac:dyDescent="0.2">
      <c r="B82" s="1416"/>
      <c r="C82" s="1426" t="s">
        <v>2980</v>
      </c>
      <c r="D82" s="1427"/>
    </row>
    <row r="83" spans="2:4" x14ac:dyDescent="0.2">
      <c r="B83" s="1418" t="str">
        <f>A22</f>
        <v>c99.20</v>
      </c>
      <c r="C83" s="1419" t="str">
        <f>"If "&amp;B75&amp;" is greater than "&amp;B44</f>
        <v>If c99.18 is greater than c99.2</v>
      </c>
      <c r="D83" s="4543" t="s">
        <v>2983</v>
      </c>
    </row>
    <row r="84" spans="2:4" x14ac:dyDescent="0.2">
      <c r="B84" s="1413"/>
      <c r="C84" s="1421" t="str">
        <f>B83&amp;" = "&amp;B75&amp;" minus "&amp;B44</f>
        <v>c99.20 = c99.18 minus c99.2</v>
      </c>
      <c r="D84" s="4544"/>
    </row>
    <row r="85" spans="2:4" x14ac:dyDescent="0.2">
      <c r="B85" s="1413"/>
      <c r="C85" s="1423" t="s">
        <v>2386</v>
      </c>
      <c r="D85" s="4544"/>
    </row>
    <row r="86" spans="2:4" x14ac:dyDescent="0.2">
      <c r="B86" s="1413"/>
      <c r="C86" s="1421" t="str">
        <f>B83&amp;" = 0"</f>
        <v>c99.20 = 0</v>
      </c>
      <c r="D86" s="4544"/>
    </row>
    <row r="87" spans="2:4" x14ac:dyDescent="0.2">
      <c r="B87" s="1416"/>
      <c r="C87" s="1423" t="s">
        <v>2980</v>
      </c>
      <c r="D87" s="4545"/>
    </row>
    <row r="88" spans="2:4" x14ac:dyDescent="0.2">
      <c r="B88" s="1418" t="str">
        <f>A23</f>
        <v>c99.21</v>
      </c>
      <c r="C88" s="1410" t="str">
        <f>'Tax due (c12)'!F51&amp;" + "&amp;B83</f>
        <v>c12.13 + c99.20</v>
      </c>
      <c r="D88" s="1428" t="s">
        <v>3754</v>
      </c>
    </row>
    <row r="89" spans="2:4" x14ac:dyDescent="0.2">
      <c r="B89" s="1416"/>
      <c r="C89" s="1415"/>
      <c r="D89" s="1429" t="str">
        <f>"copy to "&amp;'Tax due (c12)'!F51</f>
        <v>copy to c12.13</v>
      </c>
    </row>
    <row r="90" spans="2:4" x14ac:dyDescent="0.2">
      <c r="B90" s="16" t="s">
        <v>3755</v>
      </c>
    </row>
    <row r="91" spans="2:4" x14ac:dyDescent="0.2">
      <c r="B91" s="1419" t="str">
        <f>A24</f>
        <v>c99.22</v>
      </c>
      <c r="C91" s="1410" t="str">
        <f>B44&amp;" + "&amp;B75</f>
        <v>c99.2 + c99.18</v>
      </c>
      <c r="D91" s="1428" t="s">
        <v>3757</v>
      </c>
    </row>
    <row r="92" spans="2:4" x14ac:dyDescent="0.2">
      <c r="B92" s="1426"/>
      <c r="C92" s="1415"/>
      <c r="D92" s="1429" t="str">
        <f>"copy to "&amp;'Tax due (c12)'!I5</f>
        <v>copy to c12.1</v>
      </c>
    </row>
    <row r="93" spans="2:4" x14ac:dyDescent="0.2">
      <c r="B93" s="16" t="s">
        <v>2495</v>
      </c>
    </row>
    <row r="94" spans="2:4" x14ac:dyDescent="0.2">
      <c r="B94" s="16"/>
    </row>
    <row r="95" spans="2:4" x14ac:dyDescent="0.2">
      <c r="B95" s="16" t="s">
        <v>3758</v>
      </c>
    </row>
    <row r="96" spans="2:4" x14ac:dyDescent="0.2">
      <c r="B96" s="16" t="str">
        <f>"Use the c12 boxes after they have been updated by "&amp;B52&amp;" through "&amp;B91</f>
        <v>Use the c12 boxes after they have been updated by c99.8 through c99.22</v>
      </c>
    </row>
    <row ht="38.25" r="97" spans="2:4" x14ac:dyDescent="0.2">
      <c r="B97" s="1408" t="str">
        <f>A25</f>
        <v>c99.23</v>
      </c>
      <c r="C97" s="3857" t="str">
        <f><![CDATA['Tax due (c12)'!I24&" + "&'Tax due (c12)'!F27&" + "&'Tax due (c12)'!F30&" + "&'Tax due (c12)'!F33&" + "&'Tax due (c12)'!F36&" + "&'Tax due (c12)'!F39&" + "&'Tax due (c12)'!F42&" + "&'Tax due (c12)'!F45&" + ("&'Pensions (c25c26)'!J149&" minus "&'Pensions (c25c26)'!J152&")"]]></f>
        <v>c12.5 + c12.6 + c12.7 + c12.7b + c12.8 + c12.9 + c12.10 + c12.11 + (c25.56 minus c25.57)</v>
      </c>
      <c r="D97" s="1417" t="str">
        <f>"copy to "&amp;'Tax due (c12)'!I48</f>
        <v>copy to c12.12</v>
      </c>
    </row>
    <row r="98" spans="2:4" x14ac:dyDescent="0.2">
      <c r="B98" s="1408" t="str">
        <f>A26</f>
        <v>c99.24</v>
      </c>
      <c r="C98" s="1408" t="str">
        <f>'Tax due (c12)'!F51&amp;" + "&amp;'Tax due (c12)'!F54</f>
        <v>c12.13 + c12.14</v>
      </c>
      <c r="D98" s="1417" t="str">
        <f>"copy to "&amp;'Tax due (c12)'!I57</f>
        <v>copy to c12.15</v>
      </c>
    </row>
    <row r="99" spans="2:4" x14ac:dyDescent="0.2">
      <c r="B99" s="1408" t="str">
        <f>A27</f>
        <v>c99.25</v>
      </c>
      <c r="C99" s="1410" t="str">
        <f>B97&amp;" minus "&amp;B98</f>
        <v>c99.23 minus c99.24</v>
      </c>
      <c r="D99" s="1417" t="str">
        <f>"copy to "&amp;'Tax due (c12)'!I60</f>
        <v>copy to c12.16</v>
      </c>
    </row>
    <row r="100" spans="2:4" x14ac:dyDescent="0.2">
      <c r="B100" s="1408" t="str">
        <f>A28</f>
        <v>c99.26</v>
      </c>
      <c r="C100" s="1408" t="str">
        <f>'Tax due (c12)'!I67&amp;" + "&amp;'Tax due (c12)'!F73&amp;" + "&amp;'Tax due (c12)'!F76</f>
        <v>c12.18 + c12.19 + c12.20</v>
      </c>
      <c r="D100" s="1417" t="str">
        <f>"copy to "&amp;'Tax due (c12)'!I79</f>
        <v>copy to c12.21</v>
      </c>
    </row>
  </sheetData>
  <mergeCells count="2">
    <mergeCell ref="D83:D87"/>
    <mergeCell ref="B52:B56"/>
  </mergeCells>
  <phoneticPr fontId="67" type="noConversion"/>
  <pageMargins bottom="0.19685" footer="0" header="0" left="0.19685" right="0.19685" top="0.19685"/>
  <pageSetup orientation="portrait" paperSize="9" r:id="rId1"/>
  <headerFooter alignWithMargins="0"/>
</worksheet>
</file>

<file path=xl/worksheets/sheet8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700-000000000000}">
  <sheetPr codeName="Sheet57"/>
  <dimension ref="A1:Q77"/>
  <sheetViews>
    <sheetView showGridLines="0" topLeftCell="B22" workbookViewId="0">
      <selection activeCell="H32" sqref="H32"/>
    </sheetView>
  </sheetViews>
  <sheetFormatPr defaultRowHeight="12.75" x14ac:dyDescent="0.2"/>
  <cols>
    <col min="1" max="1" customWidth="true" hidden="true" width="5.42578125" collapsed="true"/>
    <col min="2" max="2" customWidth="true" width="2.28515625" collapsed="true"/>
    <col min="6" max="6" customWidth="true" width="5.5703125" collapsed="true"/>
    <col min="7" max="7" customWidth="true" width="10.42578125" collapsed="true"/>
    <col min="9" max="9" customWidth="true" width="4.85546875" collapsed="true"/>
    <col min="10" max="10" customWidth="true" width="10.42578125" collapsed="true"/>
    <col min="11" max="11" customWidth="true" width="3.85546875" collapsed="true"/>
    <col min="12" max="12" customWidth="true" width="5.140625" collapsed="true"/>
    <col min="13" max="13" customWidth="true" width="10.85546875" collapsed="true"/>
    <col min="14" max="14" customWidth="true" width="2.7109375" collapsed="true"/>
  </cols>
  <sheetData>
    <row r="1" spans="1:16" x14ac:dyDescent="0.2">
      <c r="B1" s="117"/>
      <c r="C1" s="115" t="s">
        <v>3175</v>
      </c>
      <c r="D1" s="117"/>
      <c r="E1" s="117"/>
      <c r="F1" s="117"/>
      <c r="G1" s="117"/>
      <c r="H1" s="117"/>
      <c r="I1" s="117"/>
      <c r="J1" s="117"/>
      <c r="K1" s="117"/>
      <c r="L1" s="117"/>
      <c r="M1" s="117"/>
      <c r="N1" s="117"/>
      <c r="O1" s="117"/>
      <c r="P1" s="117"/>
    </row>
    <row r="2" spans="1:16" x14ac:dyDescent="0.2">
      <c r="B2" s="117"/>
      <c r="C2" s="117"/>
      <c r="D2" s="117"/>
      <c r="E2" s="117"/>
      <c r="F2" s="117"/>
      <c r="G2" s="117"/>
      <c r="H2" s="117"/>
      <c r="I2" s="117"/>
      <c r="J2" s="117"/>
      <c r="K2" s="117"/>
      <c r="L2" s="117"/>
      <c r="M2" s="117"/>
      <c r="N2" s="117"/>
      <c r="O2" s="117"/>
      <c r="P2" s="117"/>
    </row>
    <row r="3" spans="1:16" x14ac:dyDescent="0.2">
      <c r="B3" s="117"/>
      <c r="C3" s="117"/>
      <c r="D3" s="117"/>
      <c r="E3" s="828" t="s">
        <v>3176</v>
      </c>
      <c r="F3" s="119" t="str">
        <f>A12</f>
        <v>sw1</v>
      </c>
      <c r="G3" s="107">
        <f>TRUNC('Swiss Tax'!J16*divs_gross,0)</f>
        <v>0</v>
      </c>
      <c r="H3" s="117"/>
      <c r="I3" s="117"/>
      <c r="J3" s="117"/>
      <c r="K3" s="117"/>
      <c r="L3" s="117"/>
      <c r="M3" s="117"/>
      <c r="N3" s="117"/>
      <c r="O3" s="117"/>
      <c r="P3" s="83"/>
    </row>
    <row r="4" spans="1:16" x14ac:dyDescent="0.2">
      <c r="B4" s="117"/>
      <c r="C4" s="117"/>
      <c r="D4" s="117"/>
      <c r="E4" s="117"/>
      <c r="F4" s="117"/>
      <c r="G4" s="117"/>
      <c r="H4" s="117"/>
      <c r="I4" s="117"/>
      <c r="J4" s="117"/>
      <c r="K4" s="117"/>
      <c r="L4" s="117"/>
      <c r="M4" s="117"/>
      <c r="N4" s="117"/>
      <c r="O4" s="117"/>
      <c r="P4" s="83"/>
    </row>
    <row r="5" spans="1:16" x14ac:dyDescent="0.2">
      <c r="B5" s="117"/>
      <c r="C5" s="117"/>
      <c r="D5" s="117"/>
      <c r="E5" s="117"/>
      <c r="F5" s="117"/>
      <c r="G5" s="118" t="str">
        <f>"from "&amp;'tax it (c6)'!Q96</f>
        <v>from c6.34</v>
      </c>
      <c r="H5" s="117"/>
      <c r="I5" s="117"/>
      <c r="J5" s="118" t="str">
        <f>"lower of "&amp;F3&amp;" and "&amp;F6</f>
        <v>lower of sw1 and sw2</v>
      </c>
      <c r="K5" s="116"/>
      <c r="L5" s="117"/>
      <c r="M5" s="834" t="str">
        <f>I6&amp;" @ "&amp;DivHR_rate*100&amp;"%"</f>
        <v>sw3 @ 32.5%</v>
      </c>
      <c r="N5" s="117"/>
      <c r="O5" s="117"/>
      <c r="P5" s="83"/>
    </row>
    <row r="6" spans="1:16" x14ac:dyDescent="0.2">
      <c r="B6" s="117"/>
      <c r="C6" s="117"/>
      <c r="D6" s="117"/>
      <c r="E6" s="410" t="s">
        <v>3177</v>
      </c>
      <c r="F6" s="119" t="str">
        <f>A13</f>
        <v>sw2</v>
      </c>
      <c r="G6" s="392">
        <f>'tax it (c6)'!R96</f>
        <v>0</v>
      </c>
      <c r="H6" s="117"/>
      <c r="I6" s="119" t="str">
        <f>A14</f>
        <v>sw3</v>
      </c>
      <c r="J6" s="830">
        <f>MIN(G3,G6)</f>
        <v>0</v>
      </c>
      <c r="K6" s="117"/>
      <c r="L6" s="119" t="str">
        <f>A15</f>
        <v>sw4</v>
      </c>
      <c r="M6" s="730">
        <f>TRUNC(J6*DivHR_rate,2)</f>
        <v>0</v>
      </c>
      <c r="N6" s="117"/>
      <c r="O6" s="117"/>
    </row>
    <row r="7" spans="1:16" x14ac:dyDescent="0.2">
      <c r="B7" s="117"/>
      <c r="C7" s="117"/>
      <c r="D7" s="117"/>
      <c r="E7" s="117"/>
      <c r="F7" s="117"/>
      <c r="G7" s="117"/>
      <c r="H7" s="117"/>
      <c r="I7" s="117"/>
      <c r="J7" s="117"/>
      <c r="K7" s="117"/>
      <c r="L7" s="117"/>
      <c r="M7" s="117"/>
      <c r="N7" s="117"/>
      <c r="O7" s="117"/>
    </row>
    <row r="8" spans="1:16" x14ac:dyDescent="0.2">
      <c r="B8" s="117"/>
      <c r="C8" s="117"/>
      <c r="D8" s="117"/>
      <c r="E8" s="117"/>
      <c r="F8" s="117"/>
      <c r="G8" s="118" t="str">
        <f>F3&amp;" minus "&amp;I6</f>
        <v>sw1 minus sw3</v>
      </c>
      <c r="H8" s="117"/>
      <c r="I8" s="117"/>
      <c r="J8" s="117"/>
      <c r="K8" s="117"/>
      <c r="L8" s="117"/>
      <c r="M8" s="117"/>
      <c r="N8" s="117"/>
      <c r="O8" s="117"/>
    </row>
    <row r="9" spans="1:16" x14ac:dyDescent="0.2">
      <c r="B9" s="117"/>
      <c r="C9" s="117"/>
      <c r="D9" s="117"/>
      <c r="E9" s="410" t="s">
        <v>3178</v>
      </c>
      <c r="F9" s="119" t="str">
        <f>A16</f>
        <v>sw5</v>
      </c>
      <c r="G9" s="830">
        <f>MAX(G3-J6,0)</f>
        <v>0</v>
      </c>
      <c r="H9" s="117"/>
      <c r="I9" s="117"/>
      <c r="J9" s="117"/>
      <c r="K9" s="117"/>
      <c r="L9" s="117"/>
      <c r="M9" s="117"/>
      <c r="N9" s="117"/>
      <c r="O9" s="117"/>
      <c r="P9" s="83"/>
    </row>
    <row r="10" spans="1:16" x14ac:dyDescent="0.2">
      <c r="B10" s="117"/>
      <c r="C10" s="117"/>
      <c r="D10" s="117"/>
      <c r="E10" s="117"/>
      <c r="F10" s="117"/>
      <c r="G10" s="117"/>
      <c r="H10" s="117"/>
      <c r="I10" s="117"/>
      <c r="J10" s="117"/>
      <c r="K10" s="117"/>
      <c r="L10" s="117"/>
      <c r="M10" s="117"/>
      <c r="N10" s="117"/>
      <c r="O10" s="117"/>
      <c r="P10" s="83"/>
    </row>
    <row r="11" spans="1:16" x14ac:dyDescent="0.2">
      <c r="B11" s="117"/>
      <c r="C11" s="117"/>
      <c r="D11" s="117"/>
      <c r="E11" s="117"/>
      <c r="F11" s="117"/>
      <c r="G11" s="118" t="str">
        <f>'CDR (c7)'!E9&amp;" minus "&amp;'CDR (c7)'!E13</f>
        <v>c7.2 minus c7.3</v>
      </c>
      <c r="H11" s="117"/>
      <c r="I11" s="117"/>
      <c r="J11" s="118" t="str">
        <f>"lower of "&amp;F9&amp;" and "&amp;F12</f>
        <v>lower of sw5 and sw6</v>
      </c>
      <c r="K11" s="117"/>
      <c r="L11" s="117"/>
      <c r="M11" s="834" t="str">
        <f>I12&amp;" @ "&amp;(DivHR_rate-SR_rate)*100&amp;"%"</f>
        <v>sw7 @ 32.5%</v>
      </c>
      <c r="N11" s="117"/>
      <c r="O11" s="117"/>
    </row>
    <row r="12" spans="1:16" x14ac:dyDescent="0.2">
      <c r="A12" s="117" t="s">
        <v>3179</v>
      </c>
      <c r="B12" s="117"/>
      <c r="C12" s="117"/>
      <c r="D12" s="117"/>
      <c r="E12" s="410" t="s">
        <v>3180</v>
      </c>
      <c r="F12" s="119" t="str">
        <f>A17</f>
        <v>sw6</v>
      </c>
      <c r="G12" s="830">
        <f>MAX('CDR (c7)'!F9-'CDR (c7)'!F13,0)</f>
        <v>10750</v>
      </c>
      <c r="H12" s="117"/>
      <c r="I12" s="119" t="str">
        <f>A18</f>
        <v>sw7</v>
      </c>
      <c r="J12" s="830">
        <f>MIN(G9,G12)</f>
        <v>0</v>
      </c>
      <c r="K12" s="117"/>
      <c r="L12" s="119" t="str">
        <f>A19</f>
        <v>sw8</v>
      </c>
      <c r="M12" s="730">
        <f>TRUNC(J12*(DivHR_rate-SR_rate),2)</f>
        <v>0</v>
      </c>
      <c r="N12" s="117"/>
      <c r="O12" s="117"/>
    </row>
    <row r="13" spans="1:16" x14ac:dyDescent="0.2">
      <c r="A13" s="117" t="s">
        <v>3181</v>
      </c>
      <c r="B13" s="117"/>
      <c r="C13" s="117"/>
      <c r="D13" s="117"/>
      <c r="E13" s="117"/>
      <c r="F13" s="117"/>
      <c r="G13" s="117"/>
      <c r="H13" s="117"/>
      <c r="I13" s="117"/>
      <c r="J13" s="117"/>
      <c r="K13" s="117"/>
      <c r="M13" s="117"/>
      <c r="N13" s="117"/>
      <c r="O13" s="117"/>
      <c r="P13" s="117"/>
    </row>
    <row r="14" spans="1:16" x14ac:dyDescent="0.2">
      <c r="A14" s="117" t="s">
        <v>3182</v>
      </c>
      <c r="B14" s="117"/>
      <c r="C14" s="117"/>
      <c r="D14" s="117"/>
      <c r="E14" s="117"/>
      <c r="F14" s="117"/>
      <c r="G14" s="117"/>
      <c r="H14" s="117"/>
      <c r="I14" s="117"/>
      <c r="K14" s="117"/>
      <c r="L14" s="117"/>
      <c r="M14" s="118" t="str">
        <f>L6&amp;" + "&amp;L12</f>
        <v>sw4 + sw8</v>
      </c>
      <c r="N14" s="117"/>
      <c r="O14" s="117"/>
      <c r="P14" s="117"/>
    </row>
    <row r="15" spans="1:16" x14ac:dyDescent="0.2">
      <c r="A15" s="117" t="s">
        <v>3183</v>
      </c>
      <c r="B15" s="117"/>
      <c r="C15" s="117"/>
      <c r="D15" s="117"/>
      <c r="E15" s="117"/>
      <c r="F15" s="117"/>
      <c r="G15" s="117"/>
      <c r="H15" s="117"/>
      <c r="I15" s="117"/>
      <c r="J15" s="410" t="s">
        <v>3184</v>
      </c>
      <c r="K15" s="117"/>
      <c r="L15" s="119" t="str">
        <f>A20</f>
        <v>sw9</v>
      </c>
      <c r="M15" s="735">
        <f>M6+M12</f>
        <v>0</v>
      </c>
      <c r="N15" s="117"/>
      <c r="O15" s="117"/>
      <c r="P15" s="117"/>
    </row>
    <row r="16" spans="1:16" x14ac:dyDescent="0.2">
      <c r="A16" s="117" t="s">
        <v>3185</v>
      </c>
      <c r="B16" s="117"/>
      <c r="C16" s="117"/>
      <c r="D16" s="117"/>
      <c r="N16" s="117"/>
      <c r="O16" s="117"/>
      <c r="P16" s="117"/>
    </row>
    <row r="17" spans="1:16" x14ac:dyDescent="0.2">
      <c r="A17" s="117" t="s">
        <v>1675</v>
      </c>
      <c r="B17" s="117"/>
      <c r="E17" s="828" t="s">
        <v>1676</v>
      </c>
      <c r="F17" s="119" t="str">
        <f>A21</f>
        <v>sw10</v>
      </c>
      <c r="G17" s="107">
        <f>TRUNC('Swiss Tax'!J23,0)</f>
        <v>0</v>
      </c>
      <c r="N17" s="117"/>
    </row>
    <row r="18" spans="1:16" x14ac:dyDescent="0.2">
      <c r="A18" s="117" t="s">
        <v>1677</v>
      </c>
      <c r="B18" s="117"/>
      <c r="N18" s="117"/>
    </row>
    <row r="19" spans="1:16" x14ac:dyDescent="0.2">
      <c r="A19" s="117" t="s">
        <v>1678</v>
      </c>
      <c r="B19" s="117"/>
      <c r="G19" s="118" t="str">
        <f>F6&amp;" minus "&amp;I6</f>
        <v>sw2 minus sw3</v>
      </c>
      <c r="J19" s="118" t="str">
        <f>"lower of "&amp;F17&amp;" and "&amp;F20</f>
        <v>lower of sw10 and sw11</v>
      </c>
      <c r="M19" s="728" t="str">
        <f>I20&amp;" @ "&amp;DivAR_rate*100&amp;"%"</f>
        <v>sw12 @ 38.1%</v>
      </c>
      <c r="N19" s="117"/>
      <c r="O19" s="117"/>
    </row>
    <row r="20" spans="1:16" x14ac:dyDescent="0.2">
      <c r="A20" s="117" t="s">
        <v>1679</v>
      </c>
      <c r="B20" s="117"/>
      <c r="E20" s="410" t="s">
        <v>3177</v>
      </c>
      <c r="F20" s="119" t="str">
        <f>A22</f>
        <v>sw11</v>
      </c>
      <c r="G20" s="830">
        <f>MAX(G6-J6,0)</f>
        <v>0</v>
      </c>
      <c r="I20" s="119" t="str">
        <f>A23</f>
        <v>sw12</v>
      </c>
      <c r="J20" s="830">
        <f>MIN(G3,G20)</f>
        <v>0</v>
      </c>
      <c r="L20" s="119" t="str">
        <f>A24</f>
        <v>sw13</v>
      </c>
      <c r="M20" s="730">
        <f>TRUNC(J20*DivAR_rate,2)</f>
        <v>0</v>
      </c>
      <c r="N20" s="117"/>
      <c r="O20" s="117"/>
    </row>
    <row r="21" spans="1:16" x14ac:dyDescent="0.2">
      <c r="A21" s="117" t="s">
        <v>1680</v>
      </c>
      <c r="B21" s="117"/>
      <c r="N21" s="117"/>
      <c r="O21" s="117"/>
      <c r="P21" s="117"/>
    </row>
    <row r="22" spans="1:16" x14ac:dyDescent="0.2">
      <c r="A22" s="117" t="s">
        <v>1681</v>
      </c>
      <c r="B22" s="117"/>
      <c r="G22" s="118" t="str">
        <f>F17&amp;" minus "&amp;I20</f>
        <v>sw10 minus sw12</v>
      </c>
      <c r="O22" s="117"/>
      <c r="P22" s="117"/>
    </row>
    <row r="23" spans="1:16" x14ac:dyDescent="0.2">
      <c r="A23" s="117" t="s">
        <v>1682</v>
      </c>
      <c r="B23" s="117"/>
      <c r="E23" s="410" t="s">
        <v>3178</v>
      </c>
      <c r="F23" s="119" t="str">
        <f>A25</f>
        <v>sw14</v>
      </c>
      <c r="G23" s="830">
        <f>MAX(G17-J20,0)</f>
        <v>0</v>
      </c>
      <c r="O23" s="117"/>
      <c r="P23" s="117"/>
    </row>
    <row r="24" spans="1:16" x14ac:dyDescent="0.2">
      <c r="A24" s="117" t="s">
        <v>1683</v>
      </c>
      <c r="B24" s="117"/>
      <c r="O24" s="117"/>
      <c r="P24" s="117"/>
    </row>
    <row r="25" spans="1:16" x14ac:dyDescent="0.2">
      <c r="A25" s="117" t="s">
        <v>1684</v>
      </c>
      <c r="B25" s="117"/>
      <c r="G25" s="118" t="str">
        <f>F12&amp;" minus "&amp;I12</f>
        <v>sw6 minus sw7</v>
      </c>
      <c r="J25" s="118" t="str">
        <f>"lower of "&amp;F23&amp;" and "&amp;F26</f>
        <v>lower of sw14 and sw15</v>
      </c>
      <c r="M25" s="728" t="str">
        <f>I26&amp;" @ "&amp;DivHR_rate*100&amp;"%"</f>
        <v>sw16 @ 32.5%</v>
      </c>
      <c r="O25" s="117"/>
      <c r="P25" s="117"/>
    </row>
    <row r="26" spans="1:16" x14ac:dyDescent="0.2">
      <c r="A26" s="117" t="s">
        <v>1685</v>
      </c>
      <c r="B26" s="117"/>
      <c r="F26" s="119" t="str">
        <f>A26</f>
        <v>sw15</v>
      </c>
      <c r="G26" s="830">
        <f>MAX(G12-J12,0)</f>
        <v>10750</v>
      </c>
      <c r="I26" s="119" t="str">
        <f>A27</f>
        <v>sw16</v>
      </c>
      <c r="J26" s="830">
        <f>MIN(G23,G26)</f>
        <v>0</v>
      </c>
      <c r="L26" s="119" t="str">
        <f>A28</f>
        <v>sw17</v>
      </c>
      <c r="M26" s="730">
        <f>TRUNC(J26*DivHR_rate,2)</f>
        <v>0</v>
      </c>
      <c r="O26" s="117"/>
      <c r="P26" s="117"/>
    </row>
    <row r="27" spans="1:16" x14ac:dyDescent="0.2">
      <c r="A27" s="117" t="s">
        <v>1686</v>
      </c>
      <c r="B27" s="117"/>
      <c r="O27" s="117"/>
      <c r="P27" s="117"/>
    </row>
    <row r="28" spans="1:16" x14ac:dyDescent="0.2">
      <c r="A28" s="117" t="s">
        <v>1687</v>
      </c>
      <c r="B28" s="117"/>
      <c r="E28" s="117"/>
      <c r="F28" s="117"/>
      <c r="G28" s="118" t="str">
        <f>F23&amp;" minus "&amp;I26</f>
        <v>sw14 minus sw16</v>
      </c>
      <c r="O28" s="117"/>
      <c r="P28" s="117"/>
    </row>
    <row r="29" spans="1:16" x14ac:dyDescent="0.2">
      <c r="A29" s="117" t="s">
        <v>1688</v>
      </c>
      <c r="B29" s="117"/>
      <c r="E29" s="410" t="s">
        <v>3178</v>
      </c>
      <c r="F29" s="119" t="str">
        <f>A29</f>
        <v>sw18</v>
      </c>
      <c r="G29" s="830">
        <f>MAX(G23-J26,0)</f>
        <v>0</v>
      </c>
      <c r="O29" s="117"/>
      <c r="P29" s="117"/>
    </row>
    <row r="30" spans="1:16" x14ac:dyDescent="0.2">
      <c r="A30" s="117" t="s">
        <v>1689</v>
      </c>
      <c r="B30" s="117"/>
      <c r="O30" s="117"/>
      <c r="P30" s="117"/>
    </row>
    <row r="31" spans="1:16" x14ac:dyDescent="0.2">
      <c r="A31" s="117" t="s">
        <v>1690</v>
      </c>
      <c r="B31" s="117"/>
      <c r="E31" s="117"/>
      <c r="F31" s="117"/>
      <c r="G31" s="118" t="str">
        <f>"from "&amp;'tax it (c6)'!Q64</f>
        <v>from c6.28</v>
      </c>
      <c r="H31" s="117"/>
      <c r="I31" s="117"/>
      <c r="J31" s="118" t="str">
        <f>"lower of "&amp;F29&amp;" and "&amp;F32</f>
        <v>lower of sw18 and sw19</v>
      </c>
      <c r="K31" s="117"/>
      <c r="L31" s="117"/>
      <c r="M31" s="728" t="str">
        <f>I32&amp;" @ "&amp;SR_rate*100&amp;"%"</f>
        <v>sw20 @ 0%</v>
      </c>
      <c r="O31" s="117"/>
      <c r="P31" s="117"/>
    </row>
    <row r="32" spans="1:16" x14ac:dyDescent="0.2">
      <c r="A32" s="117" t="s">
        <v>1691</v>
      </c>
      <c r="B32" s="117"/>
      <c r="E32" s="410" t="s">
        <v>1692</v>
      </c>
      <c r="F32" s="119" t="str">
        <f>A30</f>
        <v>sw19</v>
      </c>
      <c r="G32" s="830">
        <f>'tax it (c6)'!R64</f>
        <v>0</v>
      </c>
      <c r="H32" s="117"/>
      <c r="I32" s="119" t="str">
        <f>A31</f>
        <v>sw20</v>
      </c>
      <c r="J32" s="830">
        <f>MIN(G29,G32)</f>
        <v>0</v>
      </c>
      <c r="K32" s="117"/>
      <c r="L32" s="119" t="str">
        <f>A32</f>
        <v>sw21</v>
      </c>
      <c r="M32" s="730">
        <f>TRUNC(J32*SR_rate,2)</f>
        <v>0</v>
      </c>
      <c r="O32" s="117"/>
      <c r="P32" s="117"/>
    </row>
    <row r="33" spans="1:16" x14ac:dyDescent="0.2">
      <c r="A33" s="117" t="s">
        <v>1693</v>
      </c>
      <c r="B33" s="117"/>
      <c r="O33" s="117"/>
      <c r="P33" s="117"/>
    </row>
    <row r="34" spans="1:16" x14ac:dyDescent="0.2">
      <c r="A34" s="117" t="s">
        <v>1694</v>
      </c>
      <c r="B34" s="117"/>
      <c r="M34" s="118" t="str">
        <f>L20&amp;" + "&amp;L26&amp;" + "&amp;L32</f>
        <v>sw13 + sw17 + sw21</v>
      </c>
      <c r="O34" s="117"/>
      <c r="P34" s="117"/>
    </row>
    <row r="35" spans="1:16" x14ac:dyDescent="0.2">
      <c r="A35" s="117" t="s">
        <v>1695</v>
      </c>
      <c r="B35" s="117"/>
      <c r="J35" s="410" t="s">
        <v>1696</v>
      </c>
      <c r="L35" s="119" t="str">
        <f>A33</f>
        <v>sw22</v>
      </c>
      <c r="M35" s="735">
        <f>M20+M26+M32</f>
        <v>0</v>
      </c>
      <c r="O35" s="117"/>
      <c r="P35" s="117"/>
    </row>
    <row r="36" spans="1:16" x14ac:dyDescent="0.2">
      <c r="A36" s="117" t="s">
        <v>1697</v>
      </c>
      <c r="B36" s="117"/>
      <c r="C36" s="117"/>
      <c r="D36" s="117"/>
      <c r="E36" s="117"/>
      <c r="F36" s="117"/>
      <c r="G36" s="117"/>
      <c r="H36" s="117"/>
      <c r="I36" s="117"/>
      <c r="J36" s="117"/>
      <c r="K36" s="117"/>
      <c r="L36" s="117"/>
      <c r="M36" s="117"/>
      <c r="N36" s="117"/>
      <c r="O36" s="117"/>
      <c r="P36" s="117"/>
    </row>
    <row r="37" spans="1:16" x14ac:dyDescent="0.2">
      <c r="A37" s="117" t="s">
        <v>1698</v>
      </c>
      <c r="B37" s="117"/>
      <c r="C37" s="117"/>
      <c r="D37" s="117"/>
      <c r="E37" s="828" t="s">
        <v>1699</v>
      </c>
      <c r="F37" s="119" t="str">
        <f>A34</f>
        <v>sw23</v>
      </c>
      <c r="G37" s="107">
        <f>TRUNC('Swiss Tax'!J9,0)</f>
        <v>0</v>
      </c>
      <c r="H37" s="117"/>
      <c r="I37" s="117"/>
      <c r="J37" s="117"/>
      <c r="K37" s="117"/>
      <c r="L37" s="117"/>
      <c r="M37" s="117"/>
      <c r="N37" s="117"/>
      <c r="O37" s="117"/>
      <c r="P37" s="117"/>
    </row>
    <row r="38" spans="1:16" x14ac:dyDescent="0.2">
      <c r="A38" s="117" t="s">
        <v>1700</v>
      </c>
      <c r="B38" s="117"/>
      <c r="C38" s="117"/>
      <c r="D38" s="117"/>
      <c r="E38" s="117"/>
      <c r="F38" s="117"/>
      <c r="G38" s="117"/>
      <c r="H38" s="117"/>
      <c r="I38" s="117"/>
      <c r="J38" s="117"/>
      <c r="K38" s="117"/>
      <c r="L38" s="117"/>
      <c r="M38" s="117"/>
      <c r="N38" s="117"/>
      <c r="O38" s="117"/>
      <c r="P38" s="117"/>
    </row>
    <row r="39" spans="1:16" x14ac:dyDescent="0.2">
      <c r="A39" s="117" t="s">
        <v>1701</v>
      </c>
      <c r="B39" s="117"/>
      <c r="C39" s="117"/>
      <c r="D39" s="117"/>
      <c r="E39" s="117"/>
      <c r="F39" s="117"/>
      <c r="G39" s="118" t="str">
        <f>"from "&amp;'tax it (c6)'!L96</f>
        <v>from c6.22</v>
      </c>
      <c r="H39" s="117"/>
      <c r="I39" s="117"/>
      <c r="J39" s="118" t="str">
        <f>"lower of "&amp;F37&amp;" and "&amp;F40</f>
        <v>lower of sw23 and sw24</v>
      </c>
      <c r="K39" s="117"/>
      <c r="L39" s="117"/>
      <c r="M39" s="728" t="str">
        <f>I40&amp;" @ "&amp;AHR_rate*100&amp;"%"</f>
        <v>sw25 @ 45%</v>
      </c>
      <c r="N39" s="117"/>
      <c r="O39" s="117"/>
      <c r="P39" s="117"/>
    </row>
    <row r="40" spans="1:16" x14ac:dyDescent="0.2">
      <c r="A40" s="117" t="s">
        <v>1702</v>
      </c>
      <c r="B40" s="117"/>
      <c r="C40" s="117"/>
      <c r="D40" s="117"/>
      <c r="E40" s="410" t="s">
        <v>1703</v>
      </c>
      <c r="F40" s="119" t="str">
        <f>A35</f>
        <v>sw24</v>
      </c>
      <c r="G40" s="392">
        <f>'tax it (c6)'!M96</f>
        <v>0</v>
      </c>
      <c r="H40" s="117"/>
      <c r="I40" s="119" t="str">
        <f>A36</f>
        <v>sw25</v>
      </c>
      <c r="J40" s="830">
        <f>MIN(G37,G40)</f>
        <v>0</v>
      </c>
      <c r="K40" s="117"/>
      <c r="L40" s="119" t="str">
        <f>A37</f>
        <v>sw26</v>
      </c>
      <c r="M40" s="730">
        <f>TRUNC(J40*AHR_rate,2)</f>
        <v>0</v>
      </c>
      <c r="N40" s="117"/>
      <c r="O40" s="117"/>
      <c r="P40" s="117"/>
    </row>
    <row r="41" spans="1:16" x14ac:dyDescent="0.2">
      <c r="A41" s="117" t="s">
        <v>1704</v>
      </c>
      <c r="B41" s="117"/>
      <c r="C41" s="117"/>
      <c r="D41" s="117"/>
      <c r="E41" s="117"/>
      <c r="F41" s="117"/>
      <c r="G41" s="117"/>
      <c r="H41" s="117"/>
      <c r="I41" s="117"/>
      <c r="J41" s="117"/>
      <c r="K41" s="117"/>
      <c r="L41" s="117"/>
      <c r="M41" s="117"/>
      <c r="N41" s="117"/>
      <c r="O41" s="117"/>
      <c r="P41" s="117"/>
    </row>
    <row r="42" spans="1:16" x14ac:dyDescent="0.2">
      <c r="A42" s="117" t="s">
        <v>1705</v>
      </c>
      <c r="B42" s="117"/>
      <c r="C42" s="117"/>
      <c r="D42" s="117"/>
      <c r="E42" s="117"/>
      <c r="F42" s="117"/>
      <c r="G42" s="118" t="str">
        <f>F37&amp;" minus "&amp;I40</f>
        <v>sw23 minus sw25</v>
      </c>
      <c r="H42" s="117"/>
      <c r="I42" s="117"/>
      <c r="J42" s="117"/>
      <c r="K42" s="117"/>
      <c r="L42" s="117"/>
      <c r="M42" s="117"/>
      <c r="N42" s="117"/>
      <c r="O42" s="117"/>
      <c r="P42" s="117"/>
    </row>
    <row r="43" spans="1:16" x14ac:dyDescent="0.2">
      <c r="A43" s="117" t="s">
        <v>1706</v>
      </c>
      <c r="B43" s="117"/>
      <c r="C43" s="117"/>
      <c r="D43" s="117"/>
      <c r="E43" s="410" t="s">
        <v>2131</v>
      </c>
      <c r="F43" s="119" t="str">
        <f>A38</f>
        <v>sw27</v>
      </c>
      <c r="G43" s="830">
        <f>MAX(G37-J40,0)</f>
        <v>0</v>
      </c>
      <c r="H43" s="117"/>
      <c r="I43" s="117"/>
      <c r="J43" s="117"/>
      <c r="K43" s="117"/>
      <c r="L43" s="117"/>
      <c r="M43" s="117"/>
      <c r="N43" s="117"/>
      <c r="O43" s="117"/>
      <c r="P43" s="117"/>
    </row>
    <row r="44" spans="1:16" x14ac:dyDescent="0.2">
      <c r="A44" s="117" t="s">
        <v>2132</v>
      </c>
      <c r="B44" s="117"/>
      <c r="C44" s="117"/>
      <c r="D44" s="117"/>
      <c r="E44" s="117"/>
      <c r="F44" s="117"/>
      <c r="G44" s="117"/>
      <c r="H44" s="117"/>
      <c r="I44" s="117"/>
      <c r="J44" s="117"/>
      <c r="K44" s="117"/>
      <c r="L44" s="117"/>
      <c r="M44" s="117"/>
      <c r="N44" s="117"/>
      <c r="O44" s="117"/>
      <c r="P44" s="117"/>
    </row>
    <row r="45" spans="1:16" x14ac:dyDescent="0.2">
      <c r="A45" s="117" t="s">
        <v>2133</v>
      </c>
      <c r="B45" s="117"/>
      <c r="C45" s="117"/>
      <c r="D45" s="117"/>
      <c r="E45" s="117"/>
      <c r="F45" s="117"/>
      <c r="G45" s="118" t="str">
        <f>"from "&amp;'tax it (c6)'!L92</f>
        <v>from c6.21</v>
      </c>
      <c r="H45" s="117"/>
      <c r="I45" s="117"/>
      <c r="J45" s="117"/>
      <c r="K45" s="117"/>
      <c r="L45" s="117"/>
      <c r="M45" s="117"/>
      <c r="N45" s="117"/>
      <c r="O45" s="117"/>
      <c r="P45" s="117"/>
    </row>
    <row r="46" spans="1:16" x14ac:dyDescent="0.2">
      <c r="A46" s="117" t="s">
        <v>2134</v>
      </c>
      <c r="B46" s="117"/>
      <c r="C46" s="117"/>
      <c r="D46" s="117"/>
      <c r="F46" s="119" t="str">
        <f>A39</f>
        <v>sw28</v>
      </c>
      <c r="G46" s="392">
        <f>'tax it (c6)'!M92</f>
        <v>0</v>
      </c>
      <c r="H46" s="117"/>
      <c r="I46" s="117"/>
      <c r="J46" s="117"/>
      <c r="K46" s="117"/>
      <c r="L46" s="117"/>
      <c r="M46" s="117"/>
      <c r="N46" s="117"/>
      <c r="O46" s="117"/>
      <c r="P46" s="117"/>
    </row>
    <row r="47" spans="1:16" x14ac:dyDescent="0.2">
      <c r="A47" s="117" t="s">
        <v>2135</v>
      </c>
      <c r="B47" s="117"/>
      <c r="C47" s="117"/>
      <c r="D47" s="117"/>
      <c r="E47" s="117"/>
      <c r="F47" s="117"/>
      <c r="G47" s="117"/>
      <c r="H47" s="117"/>
      <c r="I47" s="117"/>
      <c r="J47" s="117"/>
      <c r="K47" s="117"/>
      <c r="L47" s="117"/>
      <c r="M47" s="117"/>
      <c r="N47" s="117"/>
      <c r="O47" s="117"/>
      <c r="P47" s="117"/>
    </row>
    <row r="48" spans="1:16" x14ac:dyDescent="0.2">
      <c r="A48" s="117" t="s">
        <v>2136</v>
      </c>
      <c r="B48" s="117"/>
      <c r="C48" s="117"/>
      <c r="D48" s="117"/>
      <c r="E48" s="117"/>
      <c r="F48" s="117"/>
      <c r="G48" s="410" t="str">
        <f><![CDATA['CDR (c7)'!E29&" minus ("&'tax it (c6)'!AA92&" + "&'tax it (c6)'!V92&" + "&'tax it (c6)'!G92&")"]]></f>
        <v>c7.7 minus (c6.55 + c6.43 + c6.9)</v>
      </c>
      <c r="H48" s="117"/>
      <c r="I48" s="117"/>
      <c r="J48" s="117"/>
      <c r="K48" s="117"/>
      <c r="L48" s="117"/>
      <c r="M48" s="117"/>
      <c r="N48" s="117"/>
      <c r="O48" s="117"/>
      <c r="P48" s="117"/>
    </row>
    <row r="49" spans="1:16" x14ac:dyDescent="0.2">
      <c r="A49" s="117" t="s">
        <v>2137</v>
      </c>
      <c r="B49" s="117"/>
      <c r="C49" s="117"/>
      <c r="D49" s="117"/>
      <c r="F49" s="119" t="str">
        <f>A40</f>
        <v>sw29</v>
      </c>
      <c r="G49" s="830">
        <f>MAX('CDR (c7)'!F29-('tax it (c6)'!AB92+'tax it (c6)'!W92+'tax it (c6)'!H92),0)</f>
        <v>0</v>
      </c>
      <c r="H49" s="117"/>
      <c r="I49" s="117"/>
      <c r="J49" s="117"/>
      <c r="K49" s="117"/>
      <c r="L49" s="117"/>
      <c r="M49" s="117"/>
      <c r="N49" s="117"/>
      <c r="O49" s="117"/>
      <c r="P49" s="117"/>
    </row>
    <row r="50" spans="1:16" x14ac:dyDescent="0.2">
      <c r="A50" s="117" t="s">
        <v>2138</v>
      </c>
      <c r="B50" s="117"/>
      <c r="C50" s="117"/>
      <c r="D50" s="117"/>
      <c r="E50" s="117"/>
      <c r="G50" s="117"/>
      <c r="H50" s="117"/>
      <c r="I50" s="117"/>
      <c r="J50" s="117"/>
      <c r="K50" s="117"/>
      <c r="L50" s="117"/>
      <c r="M50" s="117"/>
      <c r="N50" s="117"/>
      <c r="O50" s="117"/>
      <c r="P50" s="117"/>
    </row>
    <row r="51" spans="1:16" x14ac:dyDescent="0.2">
      <c r="A51" s="117" t="s">
        <v>2139</v>
      </c>
      <c r="B51" s="117"/>
      <c r="C51" s="117"/>
      <c r="D51" s="117"/>
      <c r="E51" s="117"/>
      <c r="F51" s="117"/>
      <c r="G51" s="118" t="str">
        <f>F46&amp;" minus "&amp;F49</f>
        <v>sw28 minus sw29</v>
      </c>
      <c r="H51" s="117"/>
      <c r="I51" s="117"/>
      <c r="J51" s="117"/>
      <c r="K51" s="117"/>
      <c r="L51" s="117"/>
      <c r="M51" s="117"/>
      <c r="N51" s="117"/>
      <c r="O51" s="117"/>
      <c r="P51" s="117"/>
    </row>
    <row r="52" spans="1:16" x14ac:dyDescent="0.2">
      <c r="A52" s="117" t="s">
        <v>2140</v>
      </c>
      <c r="B52" s="117"/>
      <c r="C52" s="117"/>
      <c r="D52" s="117"/>
      <c r="E52" s="410" t="s">
        <v>2141</v>
      </c>
      <c r="F52" s="119" t="str">
        <f>A41</f>
        <v>sw30</v>
      </c>
      <c r="G52" s="119">
        <f>MAX(0,G46-G49)</f>
        <v>0</v>
      </c>
      <c r="H52" s="117"/>
      <c r="I52" s="117"/>
      <c r="J52" s="117"/>
      <c r="K52" s="117"/>
      <c r="L52" s="117"/>
      <c r="M52" s="117"/>
      <c r="N52" s="117"/>
      <c r="O52" s="117"/>
      <c r="P52" s="117"/>
    </row>
    <row r="53" spans="1:16" x14ac:dyDescent="0.2">
      <c r="A53" s="117" t="s">
        <v>2142</v>
      </c>
      <c r="B53" s="117"/>
      <c r="C53" s="117"/>
      <c r="D53" s="117"/>
      <c r="E53" s="117"/>
      <c r="F53" s="117"/>
      <c r="G53" s="117"/>
      <c r="H53" s="117"/>
      <c r="I53" s="117"/>
      <c r="J53" s="117"/>
      <c r="K53" s="117"/>
      <c r="L53" s="117"/>
      <c r="M53" s="117"/>
      <c r="N53" s="117"/>
      <c r="O53" s="117"/>
      <c r="P53" s="117"/>
    </row>
    <row r="54" spans="1:16" x14ac:dyDescent="0.2">
      <c r="A54" s="117" t="s">
        <v>2143</v>
      </c>
      <c r="B54" s="117"/>
      <c r="C54" s="117"/>
      <c r="D54" s="117"/>
      <c r="E54" s="117"/>
      <c r="F54" s="117"/>
      <c r="G54" s="118" t="str">
        <f>F43&amp;" minus "&amp;F49</f>
        <v>sw27 minus sw29</v>
      </c>
      <c r="H54" s="117"/>
      <c r="I54" s="117"/>
      <c r="J54" s="118" t="str">
        <f>"lower of "&amp;F52&amp;" and "&amp;F55</f>
        <v>lower of sw30 and sw31</v>
      </c>
      <c r="K54" s="117"/>
      <c r="L54" s="117"/>
      <c r="M54" s="728" t="str">
        <f>I55&amp;" @ "&amp;HR_rate*100&amp;"%"</f>
        <v>sw32 @ 40%</v>
      </c>
      <c r="N54" s="117"/>
      <c r="O54" s="117"/>
      <c r="P54" s="117"/>
    </row>
    <row r="55" spans="1:16" x14ac:dyDescent="0.2">
      <c r="B55" s="117"/>
      <c r="C55" s="117"/>
      <c r="D55" s="117"/>
      <c r="E55" s="117"/>
      <c r="F55" s="119" t="str">
        <f>A42</f>
        <v>sw31</v>
      </c>
      <c r="G55" s="830">
        <f>MAX(G43-G49,0)</f>
        <v>0</v>
      </c>
      <c r="H55" s="117"/>
      <c r="I55" s="119" t="str">
        <f>A43</f>
        <v>sw32</v>
      </c>
      <c r="J55" s="830">
        <f>MIN(G52,G55)</f>
        <v>0</v>
      </c>
      <c r="K55" s="117"/>
      <c r="L55" s="119" t="str">
        <f>A44</f>
        <v>sw33</v>
      </c>
      <c r="M55" s="730">
        <f>TRUNC(J55*HR_rate,2)</f>
        <v>0</v>
      </c>
      <c r="N55" s="117"/>
      <c r="O55" s="117"/>
      <c r="P55" s="117"/>
    </row>
    <row r="56" spans="1:16" x14ac:dyDescent="0.2">
      <c r="A56" s="117"/>
      <c r="B56" s="117"/>
      <c r="C56" s="117"/>
      <c r="D56" s="117"/>
      <c r="E56" s="117"/>
      <c r="F56" s="117"/>
      <c r="G56" s="117"/>
      <c r="H56" s="117"/>
      <c r="I56" s="117"/>
      <c r="J56" s="117"/>
      <c r="K56" s="117"/>
      <c r="L56" s="117"/>
      <c r="M56" s="117"/>
      <c r="N56" s="117"/>
      <c r="O56" s="117"/>
      <c r="P56" s="117"/>
    </row>
    <row r="57" spans="1:16" x14ac:dyDescent="0.2">
      <c r="B57" s="117"/>
      <c r="C57" s="117"/>
      <c r="D57" s="117"/>
      <c r="E57" s="117"/>
      <c r="F57" s="117"/>
      <c r="G57" s="118" t="str">
        <f>F43&amp;" minus "&amp;I55</f>
        <v>sw27 minus sw32</v>
      </c>
      <c r="H57" s="117"/>
      <c r="I57" s="117"/>
      <c r="J57" s="117"/>
      <c r="K57" s="117"/>
      <c r="L57" s="117"/>
      <c r="M57" s="117"/>
      <c r="N57" s="117"/>
      <c r="O57" s="117"/>
      <c r="P57" s="117"/>
    </row>
    <row r="58" spans="1:16" x14ac:dyDescent="0.2">
      <c r="B58" s="117"/>
      <c r="C58" s="117"/>
      <c r="D58" s="117"/>
      <c r="E58" s="410" t="s">
        <v>2131</v>
      </c>
      <c r="F58" s="119" t="str">
        <f>A45</f>
        <v>sw34</v>
      </c>
      <c r="G58" s="830">
        <f>MAX(G43-J55,0)</f>
        <v>0</v>
      </c>
      <c r="H58" s="117"/>
      <c r="I58" s="117"/>
      <c r="J58" s="117"/>
      <c r="K58" s="117"/>
      <c r="L58" s="117"/>
      <c r="M58" s="117"/>
      <c r="N58" s="117"/>
      <c r="O58" s="117"/>
      <c r="P58" s="117"/>
    </row>
    <row r="59" spans="1:16" x14ac:dyDescent="0.2">
      <c r="B59" s="117"/>
      <c r="C59" s="117"/>
      <c r="D59" s="117"/>
      <c r="E59" s="117"/>
      <c r="F59" s="117"/>
      <c r="G59" s="117"/>
      <c r="H59" s="117"/>
      <c r="I59" s="117"/>
      <c r="J59" s="117"/>
      <c r="K59" s="117"/>
      <c r="L59" s="117"/>
      <c r="M59" s="117"/>
      <c r="N59" s="117"/>
      <c r="O59" s="117"/>
      <c r="P59" s="117"/>
    </row>
    <row r="60" spans="1:16" x14ac:dyDescent="0.2">
      <c r="B60" s="117"/>
      <c r="C60" s="117"/>
      <c r="D60" s="117"/>
      <c r="E60" s="117"/>
      <c r="F60" s="117"/>
      <c r="G60" s="118" t="str">
        <f>'tax it (c6)'!L64&amp;" + "&amp;F49</f>
        <v>c6.18 + sw29</v>
      </c>
      <c r="H60" s="117"/>
      <c r="I60" s="117"/>
      <c r="J60" s="118" t="str">
        <f>"lower of "&amp;F58&amp;" and "&amp;F61</f>
        <v>lower of sw34 and sw35</v>
      </c>
      <c r="K60" s="117"/>
      <c r="L60" s="117"/>
      <c r="M60" s="728" t="str">
        <f>I61&amp;" @ "&amp;BR_rate*100&amp;"%"</f>
        <v>sw36 @ 20%</v>
      </c>
      <c r="N60" s="117"/>
      <c r="O60" s="117"/>
      <c r="P60" s="117"/>
    </row>
    <row r="61" spans="1:16" x14ac:dyDescent="0.2">
      <c r="C61" s="117"/>
      <c r="D61" s="117"/>
      <c r="E61" s="410" t="s">
        <v>2144</v>
      </c>
      <c r="F61" s="119" t="str">
        <f>A46</f>
        <v>sw35</v>
      </c>
      <c r="G61" s="392">
        <f>'tax it (c6)'!M64+G49</f>
        <v>3178</v>
      </c>
      <c r="H61" s="117"/>
      <c r="I61" s="119" t="str">
        <f>A47</f>
        <v>sw36</v>
      </c>
      <c r="J61" s="830">
        <f>MIN(G58,G61)</f>
        <v>0</v>
      </c>
      <c r="K61" s="117"/>
      <c r="L61" s="119" t="str">
        <f>A48</f>
        <v>sw37</v>
      </c>
      <c r="M61" s="730">
        <f>TRUNC(J61*BR_rate,2)</f>
        <v>0</v>
      </c>
      <c r="N61" s="117"/>
    </row>
    <row r="62" spans="1:16" x14ac:dyDescent="0.2">
      <c r="C62" s="117"/>
      <c r="D62" s="117"/>
      <c r="E62" s="117"/>
      <c r="F62" s="117"/>
      <c r="G62" s="117"/>
      <c r="H62" s="117"/>
      <c r="I62" s="117"/>
      <c r="J62" s="117"/>
      <c r="K62" s="117"/>
      <c r="L62" s="117"/>
      <c r="M62" s="117"/>
      <c r="N62" s="117"/>
    </row>
    <row r="63" spans="1:16" x14ac:dyDescent="0.2">
      <c r="C63" s="117"/>
      <c r="D63" s="117"/>
      <c r="E63" s="117"/>
      <c r="F63" s="117"/>
      <c r="G63" s="118" t="str">
        <f>F58&amp;" minus "&amp;I61</f>
        <v>sw34 minus sw36</v>
      </c>
      <c r="H63" s="117"/>
      <c r="I63" s="117"/>
      <c r="J63" s="117"/>
      <c r="K63" s="117"/>
      <c r="L63" s="117"/>
      <c r="M63" s="117"/>
      <c r="N63" s="117"/>
    </row>
    <row r="64" spans="1:16" x14ac:dyDescent="0.2">
      <c r="C64" s="117"/>
      <c r="D64" s="117"/>
      <c r="E64" s="410" t="s">
        <v>2131</v>
      </c>
      <c r="F64" s="119" t="str">
        <f>A49</f>
        <v>sw38</v>
      </c>
      <c r="G64" s="830">
        <f>MAX(G58-J61,0)</f>
        <v>0</v>
      </c>
      <c r="H64" s="117"/>
      <c r="I64" s="117"/>
      <c r="J64" s="117"/>
      <c r="K64" s="117"/>
      <c r="L64" s="117"/>
      <c r="M64" s="117"/>
      <c r="N64" s="117"/>
    </row>
    <row r="65" spans="3:14" x14ac:dyDescent="0.2">
      <c r="C65" s="117"/>
      <c r="D65" s="117"/>
      <c r="E65" s="117"/>
      <c r="F65" s="117"/>
      <c r="G65" s="117"/>
      <c r="H65" s="117"/>
      <c r="I65" s="117"/>
      <c r="J65" s="117"/>
      <c r="K65" s="117"/>
      <c r="L65" s="117"/>
      <c r="M65" s="117"/>
      <c r="N65" s="117"/>
    </row>
    <row r="66" spans="3:14" x14ac:dyDescent="0.2">
      <c r="C66" s="117"/>
      <c r="D66" s="117"/>
      <c r="E66" s="117"/>
      <c r="F66" s="117"/>
      <c r="G66" s="118" t="str">
        <f>"from "&amp;'tax it (c6)'!L35</f>
        <v>from c6.14</v>
      </c>
      <c r="H66" s="117"/>
      <c r="I66" s="117"/>
      <c r="J66" s="118" t="str">
        <f>"lower of "&amp;F64&amp;" and "&amp;F67</f>
        <v>lower of sw38 and sw39</v>
      </c>
      <c r="K66" s="117"/>
      <c r="L66" s="117"/>
      <c r="M66" s="728" t="str">
        <f>I67&amp;" @ "&amp;SR_rate*100&amp;"%"</f>
        <v>sw40 @ 0%</v>
      </c>
      <c r="N66" s="117"/>
    </row>
    <row r="67" spans="3:14" x14ac:dyDescent="0.2">
      <c r="C67" s="117"/>
      <c r="D67" s="117"/>
      <c r="E67" s="410" t="s">
        <v>2145</v>
      </c>
      <c r="F67" s="119" t="str">
        <f>A50</f>
        <v>sw39</v>
      </c>
      <c r="G67" s="392">
        <f>'tax it (c6)'!M35</f>
        <v>0</v>
      </c>
      <c r="H67" s="117"/>
      <c r="I67" s="119" t="str">
        <f>A51</f>
        <v>sw40</v>
      </c>
      <c r="J67" s="830">
        <f>MIN(G64,G67)</f>
        <v>0</v>
      </c>
      <c r="K67" s="117"/>
      <c r="L67" s="119" t="str">
        <f>A52</f>
        <v>sw41</v>
      </c>
      <c r="M67" s="730">
        <f>TRUNC(J67*SR_rate,2)</f>
        <v>0</v>
      </c>
      <c r="N67" s="117"/>
    </row>
    <row r="68" spans="3:14" x14ac:dyDescent="0.2">
      <c r="C68" s="117"/>
      <c r="D68" s="117"/>
      <c r="E68" s="117"/>
      <c r="F68" s="117"/>
      <c r="G68" s="117"/>
      <c r="H68" s="117"/>
      <c r="I68" s="117"/>
      <c r="J68" s="117"/>
      <c r="K68" s="117"/>
      <c r="L68" s="117"/>
      <c r="M68" s="117"/>
      <c r="N68" s="117"/>
    </row>
    <row r="69" spans="3:14" x14ac:dyDescent="0.2">
      <c r="C69" s="117"/>
      <c r="D69" s="117"/>
      <c r="E69" s="117"/>
      <c r="F69" s="117"/>
      <c r="G69" s="117"/>
      <c r="H69" s="117"/>
      <c r="I69" s="117"/>
      <c r="J69" s="117"/>
      <c r="K69" s="117"/>
      <c r="L69" s="117"/>
      <c r="M69" s="118" t="str">
        <f><![CDATA[L40&" + "&L55&" + "&L61&" + "&L67]]></f>
        <v>sw26 + sw33 + sw37 + sw41</v>
      </c>
      <c r="N69" s="117"/>
    </row>
    <row r="70" spans="3:14" x14ac:dyDescent="0.2">
      <c r="C70" s="117"/>
      <c r="D70" s="117"/>
      <c r="E70" s="117"/>
      <c r="F70" s="117"/>
      <c r="G70" s="117"/>
      <c r="H70" s="117"/>
      <c r="I70" s="117"/>
      <c r="J70" s="410" t="s">
        <v>2146</v>
      </c>
      <c r="K70" s="117"/>
      <c r="L70" s="119" t="str">
        <f>A53</f>
        <v>sw42</v>
      </c>
      <c r="M70" s="735">
        <f>M40+M55+M61+M67</f>
        <v>0</v>
      </c>
      <c r="N70" s="117"/>
    </row>
    <row r="71" spans="3:14" x14ac:dyDescent="0.2">
      <c r="C71" s="117"/>
      <c r="D71" s="117"/>
      <c r="E71" s="117"/>
      <c r="F71" s="117"/>
      <c r="G71" s="117"/>
      <c r="H71" s="117"/>
      <c r="I71" s="117"/>
      <c r="J71" s="117"/>
      <c r="K71" s="117"/>
      <c r="L71" s="117"/>
      <c r="M71" s="117"/>
      <c r="N71" s="117"/>
    </row>
    <row r="72" spans="3:14" x14ac:dyDescent="0.2">
      <c r="C72" s="117"/>
      <c r="D72" s="117"/>
      <c r="E72" s="117"/>
      <c r="F72" s="117"/>
      <c r="G72" s="117"/>
      <c r="H72" s="117"/>
      <c r="I72" s="117"/>
      <c r="J72" s="117"/>
      <c r="K72" s="117"/>
      <c r="L72" s="117"/>
      <c r="M72" s="118" t="str">
        <f>L15&amp;" + "&amp;L35&amp;" + "&amp;L70</f>
        <v>sw9 + sw22 + sw42</v>
      </c>
      <c r="N72" s="117"/>
    </row>
    <row r="73" spans="3:14" x14ac:dyDescent="0.2">
      <c r="C73" s="117"/>
      <c r="D73" s="117"/>
      <c r="E73" s="117"/>
      <c r="F73" s="117"/>
      <c r="G73" s="117"/>
      <c r="H73" s="117"/>
      <c r="I73" s="117"/>
      <c r="J73" s="410" t="s">
        <v>2147</v>
      </c>
      <c r="K73" s="117"/>
      <c r="L73" s="119" t="str">
        <f>A54</f>
        <v>sw43</v>
      </c>
      <c r="M73" s="119">
        <f>M15+M35+M70</f>
        <v>0</v>
      </c>
      <c r="N73" s="117"/>
    </row>
    <row r="74" spans="3:14" x14ac:dyDescent="0.2">
      <c r="C74" s="117"/>
      <c r="D74" s="117"/>
      <c r="E74" s="117"/>
      <c r="F74" s="117"/>
      <c r="G74" s="117"/>
      <c r="H74" s="117"/>
      <c r="I74" s="117"/>
      <c r="J74" s="117"/>
      <c r="K74" s="117"/>
      <c r="L74" s="117"/>
      <c r="M74" s="117" t="str">
        <f>"Add to "&amp;'Tax adj (c9)'!L94</f>
        <v xml:space="preserve">Add to </v>
      </c>
      <c r="N74" s="117"/>
    </row>
    <row r="75" spans="3:14" x14ac:dyDescent="0.2">
      <c r="C75" s="117"/>
      <c r="D75" s="117"/>
      <c r="E75" s="117"/>
      <c r="F75" s="117"/>
      <c r="G75" s="117"/>
      <c r="H75" s="117"/>
      <c r="I75" s="117"/>
      <c r="J75" s="117"/>
      <c r="K75" s="117"/>
      <c r="L75" s="117"/>
      <c r="M75" s="117"/>
      <c r="N75" s="117"/>
    </row>
    <row r="76" spans="3:14" x14ac:dyDescent="0.2">
      <c r="C76" s="117"/>
      <c r="D76" s="117"/>
      <c r="E76" s="117"/>
      <c r="F76" s="117"/>
      <c r="G76" s="117"/>
      <c r="H76" s="117"/>
      <c r="I76" s="117"/>
      <c r="J76" s="117"/>
      <c r="K76" s="117"/>
      <c r="L76" s="117"/>
      <c r="M76" s="117"/>
      <c r="N76" s="117"/>
    </row>
    <row r="77" spans="3:14" x14ac:dyDescent="0.2">
      <c r="C77" s="117"/>
      <c r="D77" s="117"/>
      <c r="E77" s="117"/>
      <c r="F77" s="117"/>
      <c r="G77" s="117"/>
      <c r="H77" s="117"/>
      <c r="I77" s="117"/>
      <c r="J77" s="117"/>
      <c r="K77" s="117"/>
      <c r="L77" s="117"/>
      <c r="M77" s="117"/>
      <c r="N77" s="117"/>
    </row>
  </sheetData>
  <phoneticPr fontId="67" type="noConversion"/>
  <pageMargins bottom="0.19685" footer="0" header="0" left="0.19685" right="0.19685" top="0.19685"/>
  <pageSetup orientation="portrait" paperSize="9" r:id="rId1"/>
  <headerFooter alignWithMargins="0"/>
</worksheet>
</file>

<file path=xl/worksheets/sheet496.xml><?xml version="1.0" encoding="utf-8"?>
<worksheet xmlns="http://schemas.openxmlformats.org/spreadsheetml/2006/main">
  <dimension ref="A1:D935"/>
  <sheetViews>
    <sheetView workbookViewId="0"/>
  </sheetViews>
  <sheetFormatPr defaultRowHeight="15.0"/>
  <sheetData>
    <row r="1">
      <c r="A1" t="s">
        <v>4592</v>
      </c>
      <c r="B1" t="s">
        <v>1881</v>
      </c>
      <c r="C1">
        <f>IF(ISBLANK('Test case'!B4),"",'Test case'!B4)</f>
      </c>
    </row>
    <row r="2">
      <c r="A2" t="s">
        <v>4593</v>
      </c>
      <c r="B2" t="s">
        <v>1881</v>
      </c>
      <c r="C2">
        <f>IF(ISBLANK('Test case'!B5),"",'Test case'!B5)</f>
      </c>
    </row>
    <row r="3">
      <c r="A3" t="s">
        <v>4594</v>
      </c>
      <c r="B3" t="s">
        <v>1881</v>
      </c>
      <c r="C3">
        <f>IF(ISBLANK('Test case'!B6),"",'Test case'!B6)</f>
      </c>
    </row>
    <row r="4">
      <c r="A4" t="s">
        <v>4595</v>
      </c>
      <c r="B4" t="s">
        <v>1881</v>
      </c>
      <c r="C4">
        <f>IF(ISBLANK('Test case'!B7),"",'Test case'!B7)</f>
      </c>
    </row>
    <row r="5">
      <c r="A5" t="s">
        <v>6117</v>
      </c>
      <c r="B5" t="s">
        <v>1881</v>
      </c>
      <c r="C5">
        <f>IF(ISBLANK('Test case'!B8),"",'Test case'!B8)</f>
      </c>
    </row>
    <row r="6">
      <c r="A6" t="s">
        <v>573</v>
      </c>
      <c r="B6" t="s">
        <v>1881</v>
      </c>
      <c r="C6">
        <f>IF(ISBLANK('Test case'!B11),"",'Test case'!B11)</f>
      </c>
    </row>
    <row r="7">
      <c r="A7" t="s">
        <v>574</v>
      </c>
      <c r="B7" t="s">
        <v>1881</v>
      </c>
      <c r="C7">
        <f>IF(ISBLANK('Test case'!B12),"",'Test case'!B12)</f>
      </c>
    </row>
    <row r="8">
      <c r="A8" t="s">
        <v>589</v>
      </c>
      <c r="B8" t="s">
        <v>1881</v>
      </c>
      <c r="C8">
        <f>IF(ISBLANK('Test case'!B13),"",'Test case'!B13)</f>
      </c>
    </row>
    <row r="9">
      <c r="A9" t="s">
        <v>590</v>
      </c>
      <c r="B9" t="s">
        <v>1881</v>
      </c>
      <c r="C9">
        <f>IF(ISBLANK('Test case'!B14),"",'Test case'!B14)</f>
      </c>
    </row>
    <row r="10">
      <c r="A10" t="s">
        <v>591</v>
      </c>
      <c r="B10" t="s">
        <v>1881</v>
      </c>
      <c r="C10">
        <f>IF(ISBLANK('Test case'!B15),"",'Test case'!B15)</f>
      </c>
    </row>
    <row r="11">
      <c r="A11" t="s">
        <v>592</v>
      </c>
      <c r="B11" t="s">
        <v>1881</v>
      </c>
      <c r="C11">
        <f>IF(ISBLANK('Test case'!B16),"",'Test case'!B16)</f>
      </c>
    </row>
    <row r="12">
      <c r="A12" t="s">
        <v>593</v>
      </c>
      <c r="B12" t="s">
        <v>1881</v>
      </c>
      <c r="C12">
        <f>IF(ISBLANK('Test case'!B17),"",'Test case'!B17)</f>
      </c>
    </row>
    <row r="13">
      <c r="A13" t="s">
        <v>594</v>
      </c>
      <c r="B13" t="s">
        <v>1881</v>
      </c>
      <c r="C13">
        <f>IF(ISBLANK('Test case'!B18),"",'Test case'!B18)</f>
      </c>
    </row>
    <row r="14">
      <c r="A14" t="s">
        <v>595</v>
      </c>
      <c r="B14" t="s">
        <v>1881</v>
      </c>
      <c r="C14">
        <f>IF(ISBLANK('Test case'!B19),"",'Test case'!B19)</f>
      </c>
    </row>
    <row r="15">
      <c r="A15" t="s">
        <v>596</v>
      </c>
      <c r="B15" t="s">
        <v>1881</v>
      </c>
      <c r="C15">
        <f>IF(ISBLANK('Test case'!B20),"",'Test case'!B20)</f>
      </c>
    </row>
    <row r="16">
      <c r="A16" t="s">
        <v>597</v>
      </c>
      <c r="B16" t="s">
        <v>1881</v>
      </c>
      <c r="C16">
        <f>IF(ISBLANK('Test case'!B21),"",'Test case'!B21)</f>
      </c>
    </row>
    <row r="17">
      <c r="A17" t="s">
        <v>598</v>
      </c>
      <c r="B17" t="s">
        <v>1881</v>
      </c>
      <c r="C17">
        <f>IF(ISBLANK('Test case'!B22),"",'Test case'!B22)</f>
      </c>
    </row>
    <row r="18">
      <c r="A18" t="s">
        <v>599</v>
      </c>
      <c r="B18" t="s">
        <v>1881</v>
      </c>
      <c r="C18">
        <f>IF(ISBLANK('Test case'!B23),"",'Test case'!B23)</f>
      </c>
    </row>
    <row r="19">
      <c r="A19" t="s">
        <v>600</v>
      </c>
      <c r="B19" t="s">
        <v>1881</v>
      </c>
      <c r="C19">
        <f>IF(ISBLANK('Test case'!B24),"",'Test case'!B24)</f>
      </c>
    </row>
    <row r="20">
      <c r="A20" t="s">
        <v>3303</v>
      </c>
      <c r="B20" t="s">
        <v>1881</v>
      </c>
      <c r="C20">
        <f>IF(ISBLANK('Test case'!B25),"",'Test case'!B25)</f>
      </c>
    </row>
    <row r="21">
      <c r="A21" t="s">
        <v>3302</v>
      </c>
      <c r="B21" t="s">
        <v>1881</v>
      </c>
      <c r="C21">
        <f>IF(ISBLANK('Test case'!B26),"",'Test case'!B26)</f>
      </c>
    </row>
    <row r="22">
      <c r="A22" t="s">
        <v>2889</v>
      </c>
      <c r="B22" t="s">
        <v>1881</v>
      </c>
      <c r="C22">
        <f>IF(ISBLANK('Test case'!B27),"",'Test case'!B27)</f>
      </c>
    </row>
    <row r="23">
      <c r="A23" t="s">
        <v>2888</v>
      </c>
      <c r="B23" t="s">
        <v>1881</v>
      </c>
      <c r="C23">
        <f>IF(ISBLANK('Test case'!B28),"",'Test case'!B28)</f>
      </c>
    </row>
    <row r="24">
      <c r="A24" t="s">
        <v>2887</v>
      </c>
      <c r="B24" t="s">
        <v>1881</v>
      </c>
      <c r="C24">
        <f>IF(ISBLANK('Test case'!B29),"",'Test case'!B29)</f>
      </c>
    </row>
    <row r="25">
      <c r="A25" t="s">
        <v>923</v>
      </c>
      <c r="B25" t="s">
        <v>1881</v>
      </c>
      <c r="C25">
        <f>IF(ISBLANK('Test case'!B30),"",'Test case'!B30)</f>
      </c>
    </row>
    <row r="26">
      <c r="A26" t="s">
        <v>4304</v>
      </c>
      <c r="B26" t="s">
        <v>1881</v>
      </c>
      <c r="C26">
        <f>IF(ISBLANK('Test case'!B31),"",'Test case'!B31)</f>
      </c>
    </row>
    <row r="27">
      <c r="A27" t="s">
        <v>570</v>
      </c>
      <c r="B27" t="s">
        <v>1881</v>
      </c>
      <c r="C27">
        <f>IF(ISBLANK('Test case'!B34),"",'Test case'!B34)</f>
      </c>
    </row>
    <row r="28">
      <c r="A28" t="s">
        <v>6131</v>
      </c>
      <c r="B28" t="s">
        <v>1881</v>
      </c>
      <c r="C28">
        <f>IF(ISBLANK('Test case'!B35),"",'Test case'!B35)</f>
      </c>
    </row>
    <row r="29">
      <c r="A29" t="s">
        <v>6131</v>
      </c>
      <c r="B29" t="s">
        <v>1881</v>
      </c>
      <c r="C29">
        <f>IF(ISBLANK('Test case'!B36),"",'Test case'!B36)</f>
      </c>
    </row>
    <row r="30">
      <c r="A30" t="s">
        <v>571</v>
      </c>
      <c r="B30" t="s">
        <v>1881</v>
      </c>
      <c r="C30">
        <f>IF(ISBLANK('Test case'!B37),"",'Test case'!B37)</f>
      </c>
    </row>
    <row r="31">
      <c r="A31" t="s">
        <v>5107</v>
      </c>
      <c r="B31" t="s">
        <v>1881</v>
      </c>
      <c r="C31">
        <f>IF(ISBLANK('Test case'!B38),"",'Test case'!B38)</f>
      </c>
    </row>
    <row r="32">
      <c r="A32" t="s">
        <v>2274</v>
      </c>
      <c r="B32" t="s">
        <v>1881</v>
      </c>
      <c r="C32">
        <f>IF(ISBLANK('Test case'!B41),"",'Test case'!B41)</f>
      </c>
    </row>
    <row r="33">
      <c r="A33" t="s">
        <v>564</v>
      </c>
      <c r="B33" t="s">
        <v>1881</v>
      </c>
      <c r="C33">
        <f>IF(ISBLANK('Test case'!B42),"",'Test case'!B42)</f>
      </c>
    </row>
    <row r="34">
      <c r="A34" t="s">
        <v>2411</v>
      </c>
      <c r="B34" t="s">
        <v>1881</v>
      </c>
      <c r="C34">
        <f>IF(ISBLANK('Test case'!B43),"",'Test case'!B43)</f>
      </c>
    </row>
    <row r="35">
      <c r="A35" t="s">
        <v>9113</v>
      </c>
      <c r="B35" t="s">
        <v>1881</v>
      </c>
      <c r="C35">
        <f>IF(ISBLANK('Test case'!B46),"",'Test case'!B46)</f>
      </c>
    </row>
    <row r="36">
      <c r="A36" t="s">
        <v>4228</v>
      </c>
      <c r="B36" t="s">
        <v>1881</v>
      </c>
      <c r="C36">
        <f>IF(ISBLANK('Test case'!B47),"",'Test case'!B47)</f>
      </c>
    </row>
    <row r="37">
      <c r="A37" t="s">
        <v>4229</v>
      </c>
      <c r="B37" t="s">
        <v>1881</v>
      </c>
      <c r="C37">
        <f>IF(ISBLANK('Test case'!B48),"",'Test case'!B48)</f>
      </c>
    </row>
    <row r="38">
      <c r="A38" t="s">
        <v>4230</v>
      </c>
      <c r="B38" t="s">
        <v>1881</v>
      </c>
      <c r="C38">
        <f>IF(ISBLANK('Test case'!B49),"",'Test case'!B49)</f>
      </c>
    </row>
    <row r="39">
      <c r="A39" t="s">
        <v>4231</v>
      </c>
      <c r="B39" t="s">
        <v>1881</v>
      </c>
      <c r="C39">
        <f>IF(ISBLANK('Test case'!B50),"",'Test case'!B50)</f>
      </c>
    </row>
    <row r="40">
      <c r="A40" t="s">
        <v>4232</v>
      </c>
      <c r="B40" t="s">
        <v>1881</v>
      </c>
      <c r="C40">
        <f>IF(ISBLANK('Test case'!B51),"",'Test case'!B51)</f>
      </c>
    </row>
    <row r="41">
      <c r="A41" t="s">
        <v>9114</v>
      </c>
      <c r="B41" t="s">
        <v>1881</v>
      </c>
      <c r="C41">
        <f>IF(LEN('Test case'!B52)=0,"N",'Test case'!B52)</f>
      </c>
    </row>
    <row r="42">
      <c r="A42" t="s">
        <v>9115</v>
      </c>
      <c r="B42" t="s">
        <v>1881</v>
      </c>
      <c r="C42">
        <f>IF(LEN('Test case'!B53)=0,"N",'Test case'!B53)</f>
      </c>
    </row>
    <row r="43">
      <c r="A43" t="s">
        <v>2116</v>
      </c>
      <c r="B43" t="s">
        <v>1881</v>
      </c>
      <c r="C43">
        <f>IF(ISBLANK('Test case'!E4),"",'Test case'!E4)</f>
      </c>
    </row>
    <row r="44">
      <c r="A44" t="s">
        <v>2117</v>
      </c>
      <c r="B44" t="s">
        <v>1881</v>
      </c>
      <c r="C44">
        <f>IF(ISBLANK('Test case'!E5),"",'Test case'!E5)</f>
      </c>
    </row>
    <row r="45">
      <c r="A45" t="s">
        <v>2118</v>
      </c>
      <c r="B45" t="s">
        <v>1881</v>
      </c>
      <c r="C45">
        <f>IF(ISBLANK('Test case'!E6),"",'Test case'!E6)</f>
      </c>
    </row>
    <row r="46">
      <c r="A46" t="s">
        <v>2119</v>
      </c>
      <c r="B46" t="s">
        <v>1881</v>
      </c>
      <c r="C46">
        <f>IF(ISBLANK('Test case'!E7),"",'Test case'!E7)</f>
      </c>
    </row>
    <row r="47">
      <c r="A47" t="s">
        <v>2120</v>
      </c>
      <c r="B47" t="s">
        <v>1881</v>
      </c>
      <c r="C47">
        <f>IF(ISBLANK('Test case'!E8),"",'Test case'!E8)</f>
      </c>
    </row>
    <row r="48">
      <c r="A48" t="s">
        <v>1632</v>
      </c>
      <c r="B48" t="s">
        <v>1881</v>
      </c>
      <c r="C48">
        <f>IF(ISBLANK('Test case'!E9),"",'Test case'!E9)</f>
      </c>
    </row>
    <row r="49">
      <c r="A49" t="s">
        <v>1633</v>
      </c>
      <c r="B49" t="s">
        <v>1881</v>
      </c>
      <c r="C49">
        <f>IF(ISBLANK('Test case'!E10),"",'Test case'!E10)</f>
      </c>
    </row>
    <row r="50">
      <c r="A50" t="s">
        <v>1634</v>
      </c>
      <c r="B50" t="s">
        <v>1881</v>
      </c>
      <c r="C50">
        <f>IF(ISBLANK('Test case'!E11),"",'Test case'!E11)</f>
      </c>
    </row>
    <row r="51">
      <c r="A51" t="s">
        <v>1635</v>
      </c>
      <c r="B51" t="s">
        <v>1881</v>
      </c>
      <c r="C51">
        <f>IF(ISBLANK('Test case'!E12),"",'Test case'!E12)</f>
      </c>
    </row>
    <row r="52">
      <c r="A52" t="s">
        <v>1636</v>
      </c>
      <c r="B52" t="s">
        <v>1881</v>
      </c>
      <c r="C52">
        <f>IF(ISBLANK('Test case'!E13),"",'Test case'!E13)</f>
      </c>
    </row>
    <row r="53">
      <c r="A53" t="s">
        <v>1637</v>
      </c>
      <c r="B53" t="s">
        <v>1881</v>
      </c>
      <c r="C53">
        <f>IF(ISBLANK('Test case'!E14),"",'Test case'!E14)</f>
      </c>
    </row>
    <row r="54">
      <c r="A54" t="s">
        <v>1638</v>
      </c>
      <c r="B54" t="s">
        <v>1881</v>
      </c>
      <c r="C54">
        <f>IF(ISBLANK('Test case'!E15),"",'Test case'!E15)</f>
      </c>
    </row>
    <row r="55">
      <c r="A55" t="s">
        <v>1028</v>
      </c>
      <c r="B55" t="s">
        <v>1881</v>
      </c>
      <c r="C55">
        <f>IF(ISBLANK('Test case'!E16),"",'Test case'!E16)</f>
      </c>
    </row>
    <row r="56">
      <c r="A56" t="s">
        <v>1029</v>
      </c>
      <c r="B56" t="s">
        <v>1881</v>
      </c>
      <c r="C56">
        <f>IF(ISBLANK('Test case'!E17),"",'Test case'!E17)</f>
      </c>
    </row>
    <row r="57">
      <c r="A57" t="s">
        <v>3043</v>
      </c>
      <c r="B57" t="s">
        <v>1881</v>
      </c>
      <c r="C57">
        <f>IF(ISBLANK('Test case'!E18),"",'Test case'!E18)</f>
      </c>
    </row>
    <row r="58">
      <c r="A58" t="s">
        <v>3044</v>
      </c>
      <c r="B58" t="s">
        <v>1881</v>
      </c>
      <c r="C58">
        <f>IF(ISBLANK('Test case'!E19),"",'Test case'!E19)</f>
      </c>
    </row>
    <row r="59">
      <c r="A59" t="s">
        <v>652</v>
      </c>
      <c r="B59" t="s">
        <v>1881</v>
      </c>
      <c r="C59">
        <f>IF(ISBLANK('Test case'!E22),"",'Test case'!E22)</f>
      </c>
    </row>
    <row r="60">
      <c r="A60" t="s">
        <v>9116</v>
      </c>
      <c r="B60" t="s">
        <v>1881</v>
      </c>
      <c r="C60">
        <f>IF(ISBLANK('Test case'!E23),"",'Test case'!E23)</f>
      </c>
    </row>
    <row r="61">
      <c r="A61" t="s">
        <v>9117</v>
      </c>
      <c r="B61" t="s">
        <v>1881</v>
      </c>
      <c r="C61">
        <f>IF(ISBLANK('Test case'!E24),"",'Test case'!E24)</f>
      </c>
    </row>
    <row r="62">
      <c r="A62" t="s">
        <v>9118</v>
      </c>
      <c r="B62" t="s">
        <v>1881</v>
      </c>
      <c r="C62">
        <f>IF(ISBLANK('Test case'!E25),"",'Test case'!E25)</f>
      </c>
    </row>
    <row r="63">
      <c r="A63" t="s">
        <v>9119</v>
      </c>
      <c r="B63" t="s">
        <v>1881</v>
      </c>
      <c r="C63">
        <f>IF(ISBLANK('Test case'!E26),"",'Test case'!E26)</f>
      </c>
    </row>
    <row r="64">
      <c r="A64" t="s">
        <v>9120</v>
      </c>
      <c r="B64" t="s">
        <v>1881</v>
      </c>
      <c r="C64">
        <f>IF(ISBLANK('Test case'!E27),"",'Test case'!E27)</f>
      </c>
    </row>
    <row r="65">
      <c r="A65" t="s">
        <v>9121</v>
      </c>
      <c r="B65" t="s">
        <v>1881</v>
      </c>
      <c r="C65">
        <f>IF(ISBLANK('Test case'!E28),"",'Test case'!E28)</f>
      </c>
    </row>
    <row r="66">
      <c r="A66" t="s">
        <v>9122</v>
      </c>
      <c r="B66" t="s">
        <v>1881</v>
      </c>
      <c r="C66">
        <f>IF(ISBLANK('Test case'!E29),"",'Test case'!E29)</f>
      </c>
    </row>
    <row r="67">
      <c r="A67" t="s">
        <v>9123</v>
      </c>
      <c r="B67" t="s">
        <v>1881</v>
      </c>
      <c r="C67">
        <f>IF(ISBLANK('Test case'!E30),"",'Test case'!E30)</f>
      </c>
    </row>
    <row r="68">
      <c r="A68" t="s">
        <v>9124</v>
      </c>
      <c r="B68" t="s">
        <v>1881</v>
      </c>
      <c r="C68">
        <f>IF(ISBLANK('Test case'!E31),"",'Test case'!E31)</f>
      </c>
    </row>
    <row r="69">
      <c r="A69" t="s">
        <v>9125</v>
      </c>
      <c r="B69" t="s">
        <v>1881</v>
      </c>
      <c r="C69">
        <f>IF(ISBLANK('Test case'!E32),"",'Test case'!E32)</f>
      </c>
    </row>
    <row r="70">
      <c r="A70" t="s">
        <v>9126</v>
      </c>
      <c r="B70" t="s">
        <v>1881</v>
      </c>
      <c r="C70">
        <f>IF(ISBLANK('Test case'!E33),"",'Test case'!E33)</f>
      </c>
    </row>
    <row r="71">
      <c r="A71" t="s">
        <v>9127</v>
      </c>
      <c r="B71" t="s">
        <v>1881</v>
      </c>
      <c r="C71">
        <f>IF(ISBLANK('Test case'!E34),"",'Test case'!E34)</f>
      </c>
    </row>
    <row r="72">
      <c r="A72" t="s">
        <v>9128</v>
      </c>
      <c r="B72" t="s">
        <v>1881</v>
      </c>
      <c r="C72">
        <f>IF(ISBLANK('Test case'!E35),"",'Test case'!E35)</f>
      </c>
    </row>
    <row r="73">
      <c r="A73" t="s">
        <v>9129</v>
      </c>
      <c r="B73" t="s">
        <v>1881</v>
      </c>
      <c r="C73">
        <f>IF(ISBLANK('Test case'!E36),"",'Test case'!E36)</f>
      </c>
    </row>
    <row r="74">
      <c r="A74" t="s">
        <v>9130</v>
      </c>
      <c r="B74" t="s">
        <v>1881</v>
      </c>
      <c r="C74">
        <f>IF(ISBLANK('Test case'!E37),"",'Test case'!E37)</f>
      </c>
    </row>
    <row r="75">
      <c r="A75" t="s">
        <v>9131</v>
      </c>
      <c r="B75" t="s">
        <v>1881</v>
      </c>
      <c r="C75">
        <f>IF(ISBLANK('Test case'!E38),"",'Test case'!E38)</f>
      </c>
    </row>
    <row r="76">
      <c r="A76" t="s">
        <v>9132</v>
      </c>
      <c r="B76" t="s">
        <v>1881</v>
      </c>
      <c r="C76">
        <f>IF(ISBLANK('Test case'!E39),"",'Test case'!E39)</f>
      </c>
    </row>
    <row r="77">
      <c r="A77" t="s">
        <v>9133</v>
      </c>
      <c r="B77" t="s">
        <v>1881</v>
      </c>
      <c r="C77">
        <f>IF(ISBLANK('Test case'!E40),"",'Test case'!E40)</f>
      </c>
    </row>
    <row r="78">
      <c r="A78" t="s">
        <v>9134</v>
      </c>
      <c r="B78" t="s">
        <v>1881</v>
      </c>
      <c r="C78">
        <f>IF(ISBLANK('Test case'!E41),"",'Test case'!E41)</f>
      </c>
    </row>
    <row r="79">
      <c r="A79" t="s">
        <v>9135</v>
      </c>
      <c r="B79" t="s">
        <v>1881</v>
      </c>
      <c r="C79">
        <f>IF(ISBLANK('Test case'!E42),"",'Test case'!E42)</f>
      </c>
    </row>
    <row r="80">
      <c r="A80" t="s">
        <v>9136</v>
      </c>
      <c r="B80" t="s">
        <v>1881</v>
      </c>
      <c r="C80">
        <f>IF(ISBLANK('Test case'!E43),"",'Test case'!E43)</f>
      </c>
    </row>
    <row r="81">
      <c r="A81" t="s">
        <v>9137</v>
      </c>
      <c r="B81" t="s">
        <v>1881</v>
      </c>
      <c r="C81">
        <f>IF(ISBLANK('Test case'!E44),"",'Test case'!E44)</f>
      </c>
    </row>
    <row r="82">
      <c r="A82" t="s">
        <v>9138</v>
      </c>
      <c r="B82" t="s">
        <v>1881</v>
      </c>
      <c r="C82">
        <f>IF(ISBLANK('Test case'!E45),"",'Test case'!E45)</f>
      </c>
    </row>
    <row r="83">
      <c r="A83" t="s">
        <v>9139</v>
      </c>
      <c r="B83" t="s">
        <v>1881</v>
      </c>
      <c r="C83">
        <f>IF(ISBLANK('Test case'!E46),"",'Test case'!E46)</f>
      </c>
    </row>
    <row r="84">
      <c r="A84" t="s">
        <v>9140</v>
      </c>
      <c r="B84" t="s">
        <v>1881</v>
      </c>
      <c r="C84">
        <f>IF(ISBLANK('Test case'!E47),"",'Test case'!E47)</f>
      </c>
    </row>
    <row r="85">
      <c r="A85" t="s">
        <v>1030</v>
      </c>
      <c r="B85" t="s">
        <v>1881</v>
      </c>
      <c r="C85">
        <f>IF(ISBLANK('Test case'!H4),"",'Test case'!H4)</f>
      </c>
    </row>
    <row r="86">
      <c r="A86" t="s">
        <v>1031</v>
      </c>
      <c r="B86" t="s">
        <v>1881</v>
      </c>
      <c r="C86">
        <f>IF(ISBLANK('Test case'!H5),"",'Test case'!H5)</f>
      </c>
    </row>
    <row r="87">
      <c r="A87" t="s">
        <v>3923</v>
      </c>
      <c r="B87" t="s">
        <v>1881</v>
      </c>
      <c r="C87">
        <f>IF(ISBLANK('Test case'!H6),"",'Test case'!H6)</f>
      </c>
    </row>
    <row r="88">
      <c r="A88" t="s">
        <v>3925</v>
      </c>
      <c r="B88" t="s">
        <v>1881</v>
      </c>
      <c r="C88">
        <f>IF(ISBLANK('Test case'!H7),"",'Test case'!H7)</f>
      </c>
    </row>
    <row r="89">
      <c r="A89" t="s">
        <v>3926</v>
      </c>
      <c r="B89" t="s">
        <v>1881</v>
      </c>
      <c r="C89">
        <f>IF(ISBLANK('Test case'!H8),"",'Test case'!H8)</f>
      </c>
    </row>
    <row r="90">
      <c r="A90" t="s">
        <v>3927</v>
      </c>
      <c r="B90" t="s">
        <v>1881</v>
      </c>
      <c r="C90">
        <f>IF(ISBLANK('Test case'!H9),"",'Test case'!H9)</f>
      </c>
    </row>
    <row r="91">
      <c r="A91" t="s">
        <v>3928</v>
      </c>
      <c r="B91" t="s">
        <v>1881</v>
      </c>
      <c r="C91">
        <f>IF(ISBLANK('Test case'!H10),"",'Test case'!H10)</f>
      </c>
    </row>
    <row r="92">
      <c r="A92" t="s">
        <v>3929</v>
      </c>
      <c r="B92" t="s">
        <v>1881</v>
      </c>
      <c r="C92">
        <f>IF(ISBLANK('Test case'!H11),"",'Test case'!H11)</f>
      </c>
    </row>
    <row r="93">
      <c r="A93" t="s">
        <v>3930</v>
      </c>
      <c r="B93" t="s">
        <v>1881</v>
      </c>
      <c r="C93">
        <f>IF(ISBLANK('Test case'!H12),"",'Test case'!H12)</f>
      </c>
    </row>
    <row r="94">
      <c r="A94" t="s">
        <v>3931</v>
      </c>
      <c r="B94" t="s">
        <v>1881</v>
      </c>
      <c r="C94">
        <f>IF(ISBLANK('Test case'!H13),"",'Test case'!H13)</f>
      </c>
    </row>
    <row r="95">
      <c r="A95" t="s">
        <v>1184</v>
      </c>
      <c r="B95" t="s">
        <v>1881</v>
      </c>
      <c r="C95">
        <f>IF(ISBLANK('Test case'!H14),"",'Test case'!H14)</f>
      </c>
    </row>
    <row r="96">
      <c r="A96" t="s">
        <v>3674</v>
      </c>
      <c r="B96" t="s">
        <v>1881</v>
      </c>
      <c r="C96">
        <f>IF(ISBLANK('Test case'!H15),"",'Test case'!H15)</f>
      </c>
    </row>
    <row r="97">
      <c r="A97" t="s">
        <v>3675</v>
      </c>
      <c r="B97" t="s">
        <v>1881</v>
      </c>
      <c r="C97">
        <f>IF(ISBLANK('Test case'!H16),"",'Test case'!H16)</f>
      </c>
    </row>
    <row r="98">
      <c r="A98" t="s">
        <v>8489</v>
      </c>
      <c r="B98" t="s">
        <v>1881</v>
      </c>
      <c r="C98">
        <f>IF(ISBLANK('Test case'!H17),"",'Test case'!H17)</f>
      </c>
    </row>
    <row r="99">
      <c r="A99" t="s">
        <v>3676</v>
      </c>
      <c r="B99" t="s">
        <v>1881</v>
      </c>
      <c r="C99">
        <f>IF(ISBLANK('Test case'!H18),"",'Test case'!H18)</f>
      </c>
    </row>
    <row r="100">
      <c r="A100" t="s">
        <v>3677</v>
      </c>
      <c r="B100" t="s">
        <v>1881</v>
      </c>
      <c r="C100">
        <f>IF(ISBLANK('Test case'!H19),"",'Test case'!H19)</f>
      </c>
    </row>
    <row r="101">
      <c r="A101" t="s">
        <v>3997</v>
      </c>
      <c r="B101" t="s">
        <v>1881</v>
      </c>
      <c r="C101">
        <f>IF(ISBLANK('Test case'!H22),"",'Test case'!H22)</f>
      </c>
    </row>
    <row r="102">
      <c r="A102" t="s">
        <v>4881</v>
      </c>
      <c r="B102" t="s">
        <v>1881</v>
      </c>
      <c r="C102">
        <f>IF(ISBLANK(NA()),"",NA())</f>
      </c>
    </row>
    <row r="103">
      <c r="A103" t="s">
        <v>1440</v>
      </c>
      <c r="B103" t="s">
        <v>1881</v>
      </c>
      <c r="C103">
        <f>IF(ISBLANK('Test case'!H24),"",'Test case'!H24)</f>
      </c>
    </row>
    <row r="104">
      <c r="A104" t="s">
        <v>1441</v>
      </c>
      <c r="B104" t="s">
        <v>1881</v>
      </c>
      <c r="C104">
        <f>IF(ISBLANK('Test case'!H25),"",'Test case'!H25)</f>
      </c>
    </row>
    <row r="105">
      <c r="A105" t="s">
        <v>1442</v>
      </c>
      <c r="B105" t="s">
        <v>1881</v>
      </c>
      <c r="C105">
        <f>IF(ISBLANK('Test case'!H26),"",'Test case'!H26)</f>
      </c>
    </row>
    <row r="106">
      <c r="A106" t="s">
        <v>1443</v>
      </c>
      <c r="B106" t="s">
        <v>1881</v>
      </c>
      <c r="C106">
        <f>IF(ISBLANK('Test case'!H27),"",'Test case'!H27)</f>
      </c>
    </row>
    <row r="107">
      <c r="A107" t="s">
        <v>1444</v>
      </c>
      <c r="B107" t="s">
        <v>1881</v>
      </c>
      <c r="C107">
        <f>IF(ISBLANK('Test case'!H28),"",'Test case'!H28)</f>
      </c>
    </row>
    <row r="108">
      <c r="A108" t="s">
        <v>1445</v>
      </c>
      <c r="B108" t="s">
        <v>1881</v>
      </c>
      <c r="C108">
        <f>IF(ISBLANK('Test case'!H29),"",'Test case'!H29)</f>
      </c>
    </row>
    <row r="109">
      <c r="A109" t="s">
        <v>1446</v>
      </c>
      <c r="B109" t="s">
        <v>1881</v>
      </c>
      <c r="C109">
        <f>IF(ISBLANK('Test case'!H30),"",'Test case'!H30)</f>
      </c>
    </row>
    <row r="110">
      <c r="A110" t="s">
        <v>2085</v>
      </c>
      <c r="B110" t="s">
        <v>1881</v>
      </c>
      <c r="C110">
        <f>IF(ISBLANK('Test case'!H31),"",'Test case'!H31)</f>
      </c>
    </row>
    <row r="111">
      <c r="A111" t="s">
        <v>2086</v>
      </c>
      <c r="B111" t="s">
        <v>1881</v>
      </c>
      <c r="C111">
        <f>IF(ISBLANK('Test case'!H32),"",'Test case'!H32)</f>
      </c>
    </row>
    <row r="112">
      <c r="A112" t="s">
        <v>2087</v>
      </c>
      <c r="B112" t="s">
        <v>1881</v>
      </c>
      <c r="C112">
        <f>IF(ISBLANK('Test case'!H33),"",'Test case'!H33)</f>
      </c>
    </row>
    <row r="113">
      <c r="A113" t="s">
        <v>2088</v>
      </c>
      <c r="B113" t="s">
        <v>1881</v>
      </c>
      <c r="C113">
        <f>IF(ISBLANK('Test case'!H34),"",'Test case'!H34)</f>
      </c>
    </row>
    <row r="114">
      <c r="A114" t="s">
        <v>2089</v>
      </c>
      <c r="B114" t="s">
        <v>1881</v>
      </c>
      <c r="C114">
        <f>IF(ISBLANK('Test case'!H35),"",'Test case'!H35)</f>
      </c>
    </row>
    <row r="115">
      <c r="A115" t="s">
        <v>712</v>
      </c>
      <c r="B115" t="s">
        <v>1881</v>
      </c>
      <c r="C115">
        <f>IF(ISBLANK('Test case'!H36),"",'Test case'!H36)</f>
      </c>
    </row>
    <row r="116">
      <c r="A116" t="s">
        <v>2093</v>
      </c>
      <c r="B116" t="s">
        <v>1881</v>
      </c>
      <c r="C116">
        <f>IF(ISBLANK('Test case'!H39),"",'Test case'!H39)</f>
      </c>
    </row>
    <row r="117">
      <c r="A117" t="s">
        <v>2094</v>
      </c>
      <c r="B117" t="s">
        <v>1881</v>
      </c>
      <c r="C117">
        <f>IF(ISBLANK('Test case'!H40),"",'Test case'!H40)</f>
      </c>
    </row>
    <row r="118">
      <c r="A118" t="s">
        <v>2095</v>
      </c>
      <c r="B118" t="s">
        <v>1881</v>
      </c>
      <c r="C118">
        <f>IF(ISBLANK('Test case'!H41),"",'Test case'!H41)</f>
      </c>
    </row>
    <row r="119">
      <c r="A119" t="s">
        <v>2096</v>
      </c>
      <c r="B119" t="s">
        <v>1881</v>
      </c>
      <c r="C119">
        <f>IF(ISBLANK('Test case'!H42),"",'Test case'!H42)</f>
      </c>
    </row>
    <row r="120">
      <c r="A120" t="s">
        <v>2097</v>
      </c>
      <c r="B120" t="s">
        <v>1881</v>
      </c>
      <c r="C120">
        <f>IF(ISBLANK('Test case'!H43),"",'Test case'!H43)</f>
      </c>
    </row>
    <row r="121">
      <c r="A121" t="s">
        <v>2098</v>
      </c>
      <c r="B121" t="s">
        <v>1881</v>
      </c>
      <c r="C121">
        <f>IF(ISBLANK('Test case'!H44),"",'Test case'!H44)</f>
      </c>
    </row>
    <row r="122">
      <c r="A122" t="s">
        <v>2099</v>
      </c>
      <c r="B122" t="s">
        <v>1881</v>
      </c>
      <c r="C122">
        <f>IF(ISBLANK('Test case'!H45),"",'Test case'!H45)</f>
      </c>
    </row>
    <row r="123">
      <c r="A123" t="s">
        <v>2100</v>
      </c>
      <c r="B123" t="s">
        <v>1881</v>
      </c>
      <c r="C123">
        <f>IF(ISBLANK('Test case'!H46),"",'Test case'!H46)</f>
      </c>
    </row>
    <row r="124">
      <c r="A124" t="s">
        <v>2101</v>
      </c>
      <c r="B124" t="s">
        <v>1881</v>
      </c>
      <c r="C124">
        <f>IF(ISBLANK('Test case'!H47),"",'Test case'!H47)</f>
      </c>
    </row>
    <row r="125">
      <c r="A125" t="s">
        <v>2102</v>
      </c>
      <c r="B125" t="s">
        <v>1881</v>
      </c>
      <c r="C125">
        <f>IF(ISBLANK('Test case'!H48),"",'Test case'!H48)</f>
      </c>
    </row>
    <row r="126">
      <c r="A126" t="s">
        <v>1494</v>
      </c>
      <c r="B126" t="s">
        <v>1881</v>
      </c>
      <c r="C126">
        <f>IF(ISBLANK('Test case'!H49),"",'Test case'!H49)</f>
      </c>
    </row>
    <row r="127">
      <c r="A127" t="s">
        <v>6853</v>
      </c>
      <c r="B127" t="s">
        <v>1881</v>
      </c>
      <c r="C127">
        <f>IF(ISBLANK('Test case'!H50),"",'Test case'!H50)</f>
      </c>
    </row>
    <row r="128">
      <c r="A128" t="s">
        <v>2103</v>
      </c>
      <c r="B128" t="s">
        <v>1881</v>
      </c>
      <c r="C128">
        <f>IF(ISBLANK('Test case'!K4),"",'Test case'!K4)</f>
      </c>
    </row>
    <row r="129">
      <c r="A129" t="s">
        <v>3118</v>
      </c>
      <c r="B129" t="s">
        <v>1881</v>
      </c>
      <c r="C129">
        <f>IF(ISBLANK('Test case'!K5),"",'Test case'!K5)</f>
      </c>
    </row>
    <row r="130">
      <c r="A130" t="s">
        <v>3119</v>
      </c>
      <c r="B130" t="s">
        <v>1881</v>
      </c>
      <c r="C130">
        <f>IF(ISBLANK('Test case'!K6),"",'Test case'!K6)</f>
      </c>
    </row>
    <row r="131">
      <c r="A131" t="s">
        <v>3120</v>
      </c>
      <c r="B131" t="s">
        <v>1881</v>
      </c>
      <c r="C131">
        <f>IF(ISBLANK('Test case'!K7),"",'Test case'!K7)</f>
      </c>
    </row>
    <row r="132">
      <c r="A132" t="s">
        <v>3121</v>
      </c>
      <c r="B132" t="s">
        <v>1881</v>
      </c>
      <c r="C132">
        <f>IF(ISBLANK('Test case'!K8),"",'Test case'!K8)</f>
      </c>
    </row>
    <row r="133">
      <c r="A133" t="s">
        <v>3122</v>
      </c>
      <c r="B133" t="s">
        <v>1881</v>
      </c>
      <c r="C133">
        <f>IF(ISBLANK('Test case'!K9),"",'Test case'!K9)</f>
      </c>
    </row>
    <row r="134">
      <c r="A134" t="s">
        <v>3123</v>
      </c>
      <c r="B134" t="s">
        <v>1881</v>
      </c>
      <c r="C134">
        <f>IF(ISBLANK('Test case'!K10),"",'Test case'!K10)</f>
      </c>
    </row>
    <row r="135">
      <c r="A135" t="s">
        <v>3124</v>
      </c>
      <c r="B135" t="s">
        <v>1881</v>
      </c>
      <c r="C135">
        <f>IF(ISBLANK('Test case'!K11),"",'Test case'!K11)</f>
      </c>
    </row>
    <row r="136">
      <c r="A136" t="s">
        <v>3126</v>
      </c>
      <c r="B136" t="s">
        <v>1881</v>
      </c>
      <c r="C136">
        <f>IF(ISBLANK('Test case'!K12),"",'Test case'!K12)</f>
      </c>
    </row>
    <row r="137">
      <c r="A137" t="s">
        <v>3127</v>
      </c>
      <c r="B137" t="s">
        <v>1881</v>
      </c>
      <c r="C137">
        <f>IF(ISBLANK('Test case'!K13),"",'Test case'!K13)</f>
      </c>
    </row>
    <row r="138">
      <c r="A138" t="s">
        <v>3128</v>
      </c>
      <c r="B138" t="s">
        <v>1881</v>
      </c>
      <c r="C138">
        <f>IF(ISBLANK('Test case'!K14),"",'Test case'!K14)</f>
      </c>
    </row>
    <row r="139">
      <c r="A139" t="s">
        <v>3129</v>
      </c>
      <c r="B139" t="s">
        <v>1881</v>
      </c>
      <c r="C139">
        <f>IF(ISBLANK('Test case'!K17),"",'Test case'!K17)</f>
      </c>
    </row>
    <row r="140">
      <c r="A140" t="s">
        <v>3130</v>
      </c>
      <c r="B140" t="s">
        <v>1881</v>
      </c>
      <c r="C140">
        <f>IF(ISBLANK('Test case'!K18),"",'Test case'!K18)</f>
      </c>
    </row>
    <row r="141">
      <c r="A141" t="s">
        <v>3131</v>
      </c>
      <c r="B141" t="s">
        <v>1881</v>
      </c>
      <c r="C141">
        <f>IF(ISBLANK('Test case'!K19),"",'Test case'!K19)</f>
      </c>
    </row>
    <row r="142">
      <c r="A142" t="s">
        <v>3132</v>
      </c>
      <c r="B142" t="s">
        <v>1881</v>
      </c>
      <c r="C142">
        <f>IF(ISBLANK('Test case'!K20),"",'Test case'!K20)</f>
      </c>
    </row>
    <row r="143">
      <c r="A143" t="s">
        <v>3133</v>
      </c>
      <c r="B143" t="s">
        <v>1881</v>
      </c>
      <c r="C143">
        <f>IF(ISBLANK('Test case'!K21),"",'Test case'!K21)</f>
      </c>
    </row>
    <row r="144">
      <c r="A144" t="s">
        <v>3134</v>
      </c>
      <c r="B144" t="s">
        <v>1881</v>
      </c>
      <c r="C144">
        <f>IF(ISBLANK('Test case'!K22),"",'Test case'!K22)</f>
      </c>
    </row>
    <row r="145">
      <c r="A145" t="s">
        <v>3135</v>
      </c>
      <c r="B145" t="s">
        <v>1881</v>
      </c>
      <c r="C145">
        <f>IF(ISBLANK('Test case'!K23),"",'Test case'!K23)</f>
      </c>
    </row>
    <row r="146">
      <c r="A146" t="s">
        <v>1447</v>
      </c>
      <c r="B146" t="s">
        <v>1881</v>
      </c>
      <c r="C146">
        <f>IF(ISBLANK('Test case'!K24),"",'Test case'!K24)</f>
      </c>
    </row>
    <row r="147">
      <c r="A147" t="s">
        <v>1448</v>
      </c>
      <c r="B147" t="s">
        <v>1881</v>
      </c>
      <c r="C147">
        <f>IF(ISBLANK('Test case'!K25),"",'Test case'!K25)</f>
      </c>
    </row>
    <row r="148">
      <c r="A148" t="s">
        <v>1449</v>
      </c>
      <c r="B148" t="s">
        <v>1881</v>
      </c>
      <c r="C148">
        <f>IF(ISBLANK('Test case'!K26),"",'Test case'!K26)</f>
      </c>
    </row>
    <row r="149">
      <c r="A149" t="s">
        <v>1450</v>
      </c>
      <c r="B149" t="s">
        <v>1881</v>
      </c>
      <c r="C149">
        <f>IF(ISBLANK('Test case'!K27),"",'Test case'!K27)</f>
      </c>
    </row>
    <row r="150">
      <c r="A150" t="s">
        <v>6488</v>
      </c>
      <c r="B150" t="s">
        <v>1881</v>
      </c>
      <c r="C150">
        <f>IF(ISBLANK('Test case'!K28),"",'Test case'!K28)</f>
      </c>
    </row>
    <row r="151">
      <c r="A151" t="s">
        <v>6489</v>
      </c>
      <c r="B151" t="s">
        <v>1881</v>
      </c>
      <c r="C151">
        <f>IF(ISBLANK('Test case'!K29),"",'Test case'!K29)</f>
      </c>
    </row>
    <row r="152">
      <c r="A152" t="s">
        <v>1451</v>
      </c>
      <c r="B152" t="s">
        <v>1881</v>
      </c>
      <c r="C152">
        <f>IF(ISBLANK('Test case'!K30),"",'Test case'!K30)</f>
      </c>
    </row>
    <row r="153">
      <c r="A153" t="s">
        <v>1452</v>
      </c>
      <c r="B153" t="s">
        <v>1881</v>
      </c>
      <c r="C153">
        <f>IF(ISBLANK('Test case'!K31),"",'Test case'!K31)</f>
      </c>
    </row>
    <row r="154">
      <c r="A154" t="s">
        <v>1453</v>
      </c>
      <c r="B154" t="s">
        <v>1881</v>
      </c>
      <c r="C154">
        <f>IF(ISBLANK('Test case'!K32),"",'Test case'!K32)</f>
      </c>
    </row>
    <row r="155">
      <c r="A155" t="s">
        <v>1454</v>
      </c>
      <c r="B155" t="s">
        <v>1881</v>
      </c>
      <c r="C155">
        <f>IF(ISBLANK('Test case'!K33),"",'Test case'!K33)</f>
      </c>
    </row>
    <row r="156">
      <c r="A156" t="s">
        <v>1455</v>
      </c>
      <c r="B156" t="s">
        <v>1881</v>
      </c>
      <c r="C156">
        <f>IF(ISBLANK('Test case'!K34),"",'Test case'!K34)</f>
      </c>
    </row>
    <row r="157">
      <c r="A157" t="s">
        <v>1456</v>
      </c>
      <c r="B157" t="s">
        <v>1881</v>
      </c>
      <c r="C157">
        <f>IF(ISBLANK('Test case'!K35),"",'Test case'!K35)</f>
      </c>
    </row>
    <row r="158">
      <c r="A158" t="s">
        <v>3212</v>
      </c>
      <c r="B158" t="s">
        <v>1881</v>
      </c>
      <c r="C158">
        <f>IF(ISBLANK('Test case'!K36),"",'Test case'!K36)</f>
      </c>
    </row>
    <row r="159">
      <c r="A159" t="s">
        <v>3213</v>
      </c>
      <c r="B159" t="s">
        <v>1881</v>
      </c>
      <c r="C159">
        <f>IF(ISBLANK('Test case'!K37),"",'Test case'!K37)</f>
      </c>
    </row>
    <row r="160">
      <c r="A160" t="s">
        <v>2041</v>
      </c>
      <c r="B160" t="s">
        <v>1881</v>
      </c>
      <c r="C160">
        <f>IF(ISBLANK('Test case'!K38),"",'Test case'!K38)</f>
      </c>
    </row>
    <row r="161">
      <c r="A161" t="s">
        <v>2042</v>
      </c>
      <c r="B161" t="s">
        <v>1881</v>
      </c>
      <c r="C161">
        <f>IF(ISBLANK('Test case'!K39),"",'Test case'!K39)</f>
      </c>
    </row>
    <row r="162">
      <c r="A162" t="s">
        <v>3680</v>
      </c>
      <c r="B162" t="s">
        <v>1881</v>
      </c>
      <c r="C162">
        <f>IF(ISBLANK('Test case'!K40),"",'Test case'!K40)</f>
      </c>
    </row>
    <row r="163">
      <c r="A163" t="s">
        <v>3681</v>
      </c>
      <c r="B163" t="s">
        <v>1881</v>
      </c>
      <c r="C163">
        <f>IF(ISBLANK('Test case'!K41),"",'Test case'!K41)</f>
      </c>
    </row>
    <row r="164">
      <c r="A164" t="s">
        <v>7286</v>
      </c>
      <c r="B164" t="s">
        <v>1881</v>
      </c>
      <c r="C164">
        <f>IF(ISBLANK('Test case'!K42),"",'Test case'!K42)</f>
      </c>
    </row>
    <row r="165">
      <c r="A165" t="s">
        <v>9</v>
      </c>
      <c r="B165" t="s">
        <v>952</v>
      </c>
      <c r="C165">
        <f>IF(ISBLANK('Test case'!N4),"",'Test case'!N4)</f>
      </c>
    </row>
    <row r="166">
      <c r="A166" t="s">
        <v>10</v>
      </c>
      <c r="B166" t="s">
        <v>952</v>
      </c>
      <c r="C166">
        <f>IF(ISBLANK('Test case'!N5),"",'Test case'!N5)</f>
      </c>
    </row>
    <row r="167">
      <c r="A167" t="s">
        <v>11</v>
      </c>
      <c r="B167" t="s">
        <v>952</v>
      </c>
      <c r="C167">
        <f>IF(ISBLANK('Test case'!N6),"",'Test case'!N6)</f>
      </c>
    </row>
    <row r="168">
      <c r="A168" t="s">
        <v>12</v>
      </c>
      <c r="B168" t="s">
        <v>952</v>
      </c>
      <c r="C168">
        <f>IF(ISBLANK('Test case'!N7),"",'Test case'!N7)</f>
      </c>
    </row>
    <row r="169">
      <c r="A169" t="s">
        <v>13</v>
      </c>
      <c r="B169" t="s">
        <v>952</v>
      </c>
      <c r="C169">
        <f>IF(ISBLANK('Test case'!N8),"",'Test case'!N8)</f>
      </c>
    </row>
    <row r="170">
      <c r="A170" t="s">
        <v>14</v>
      </c>
      <c r="B170" t="s">
        <v>952</v>
      </c>
      <c r="C170">
        <f>IF(ISBLANK('Test case'!N9),"",'Test case'!N9)</f>
      </c>
    </row>
    <row r="171">
      <c r="A171" t="s">
        <v>1714</v>
      </c>
      <c r="B171" t="s">
        <v>952</v>
      </c>
      <c r="C171">
        <f>IF(ISBLANK('Test case'!N10),"",'Test case'!N10)</f>
      </c>
    </row>
    <row r="172">
      <c r="A172" t="s">
        <v>1390</v>
      </c>
      <c r="B172" t="s">
        <v>952</v>
      </c>
      <c r="C172">
        <f>IF(ISBLANK('Test case'!N11),"",'Test case'!N11)</f>
      </c>
    </row>
    <row r="173">
      <c r="A173" t="s">
        <v>1391</v>
      </c>
      <c r="B173" t="s">
        <v>952</v>
      </c>
      <c r="C173">
        <f>IF(ISBLANK('Test case'!N12),"",'Test case'!N12)</f>
      </c>
    </row>
    <row r="174">
      <c r="A174" t="s">
        <v>7288</v>
      </c>
      <c r="B174" t="s">
        <v>952</v>
      </c>
      <c r="C174">
        <f>IF(ISBLANK('Test case'!N13),"",'Test case'!N13)</f>
      </c>
    </row>
    <row r="175">
      <c r="A175" t="s">
        <v>1392</v>
      </c>
      <c r="B175" t="s">
        <v>952</v>
      </c>
      <c r="C175">
        <f>IF(ISBLANK('Test case'!N14),"",'Test case'!N14)</f>
      </c>
    </row>
    <row r="176">
      <c r="A176" t="s">
        <v>1393</v>
      </c>
      <c r="B176" t="s">
        <v>952</v>
      </c>
      <c r="C176">
        <f>IF(ISBLANK('Test case'!N15),"",'Test case'!N15)</f>
      </c>
    </row>
    <row r="177">
      <c r="A177" t="s">
        <v>1394</v>
      </c>
      <c r="B177" t="s">
        <v>952</v>
      </c>
      <c r="C177">
        <f>IF(ISBLANK('Test case'!N16),"",'Test case'!N16)</f>
      </c>
    </row>
    <row r="178">
      <c r="A178" t="s">
        <v>1846</v>
      </c>
      <c r="B178" t="s">
        <v>952</v>
      </c>
      <c r="C178">
        <f>IF(ISBLANK('Test case'!N17),"",'Test case'!N17)</f>
      </c>
    </row>
    <row r="179">
      <c r="A179" t="s">
        <v>1847</v>
      </c>
      <c r="B179" t="s">
        <v>952</v>
      </c>
      <c r="C179">
        <f>IF(ISBLANK('Test case'!N18),"",'Test case'!N18)</f>
      </c>
    </row>
    <row r="180">
      <c r="A180" t="s">
        <v>3164</v>
      </c>
      <c r="B180" t="s">
        <v>952</v>
      </c>
      <c r="C180">
        <f>IF(ISBLANK('Test case'!N19),"",'Test case'!N19)</f>
      </c>
    </row>
    <row r="181">
      <c r="A181" t="s">
        <v>3138</v>
      </c>
      <c r="B181" t="s">
        <v>952</v>
      </c>
      <c r="C181">
        <f>IF(ISBLANK('Test case'!N20),"",'Test case'!N20)</f>
      </c>
    </row>
    <row r="182">
      <c r="A182" t="s">
        <v>3139</v>
      </c>
      <c r="B182" t="s">
        <v>952</v>
      </c>
      <c r="C182">
        <f>IF(ISBLANK('Test case'!N21),"",'Test case'!N21)</f>
      </c>
    </row>
    <row r="183">
      <c r="A183" t="s">
        <v>3140</v>
      </c>
      <c r="B183" t="s">
        <v>952</v>
      </c>
      <c r="C183">
        <f>IF(ISBLANK('Test case'!N22),"",'Test case'!N22)</f>
      </c>
    </row>
    <row r="184">
      <c r="A184" t="s">
        <v>1539</v>
      </c>
      <c r="B184" t="s">
        <v>952</v>
      </c>
      <c r="C184">
        <f>IF(ISBLANK('Test case'!N23),"",'Test case'!N23)</f>
      </c>
    </row>
    <row r="185">
      <c r="A185" t="s">
        <v>1540</v>
      </c>
      <c r="B185" t="s">
        <v>952</v>
      </c>
      <c r="C185">
        <f>IF(ISBLANK('Test case'!N24),"",'Test case'!N24)</f>
      </c>
    </row>
    <row r="186">
      <c r="A186" t="s">
        <v>1541</v>
      </c>
      <c r="B186" t="s">
        <v>952</v>
      </c>
      <c r="C186">
        <f>IF(ISBLANK('Test case'!N25),"",'Test case'!N25)</f>
      </c>
    </row>
    <row r="187">
      <c r="A187" t="s">
        <v>9</v>
      </c>
      <c r="B187" t="s">
        <v>2247</v>
      </c>
      <c r="C187">
        <f>IF(ISBLANK('Test case'!N29),"",'Test case'!N29)</f>
      </c>
    </row>
    <row r="188">
      <c r="A188" t="s">
        <v>10</v>
      </c>
      <c r="B188" t="s">
        <v>2247</v>
      </c>
      <c r="C188">
        <f>IF(ISBLANK('Test case'!N30),"",'Test case'!N30)</f>
      </c>
    </row>
    <row r="189">
      <c r="A189" t="s">
        <v>11</v>
      </c>
      <c r="B189" t="s">
        <v>2247</v>
      </c>
      <c r="C189">
        <f>IF(ISBLANK('Test case'!N31),"",'Test case'!N31)</f>
      </c>
    </row>
    <row r="190">
      <c r="A190" t="s">
        <v>12</v>
      </c>
      <c r="B190" t="s">
        <v>2247</v>
      </c>
      <c r="C190">
        <f>IF(ISBLANK('Test case'!N32),"",'Test case'!N32)</f>
      </c>
    </row>
    <row r="191">
      <c r="A191" t="s">
        <v>13</v>
      </c>
      <c r="B191" t="s">
        <v>2247</v>
      </c>
      <c r="C191">
        <f>IF(ISBLANK('Test case'!N33),"",'Test case'!N33)</f>
      </c>
    </row>
    <row r="192">
      <c r="A192" t="s">
        <v>14</v>
      </c>
      <c r="B192" t="s">
        <v>2247</v>
      </c>
      <c r="C192">
        <f>IF(ISBLANK('Test case'!N34),"",'Test case'!N34)</f>
      </c>
    </row>
    <row r="193">
      <c r="A193" t="s">
        <v>1714</v>
      </c>
      <c r="B193" t="s">
        <v>2247</v>
      </c>
      <c r="C193">
        <f>IF(ISBLANK('Test case'!N35),"",'Test case'!N35)</f>
      </c>
    </row>
    <row r="194">
      <c r="A194" t="s">
        <v>1390</v>
      </c>
      <c r="B194" t="s">
        <v>2247</v>
      </c>
      <c r="C194">
        <f>IF(ISBLANK('Test case'!N36),"",'Test case'!N36)</f>
      </c>
    </row>
    <row r="195">
      <c r="A195" t="s">
        <v>1391</v>
      </c>
      <c r="B195" t="s">
        <v>2247</v>
      </c>
      <c r="C195">
        <f>IF(ISBLANK('Test case'!N37),"",'Test case'!N37)</f>
      </c>
    </row>
    <row r="196">
      <c r="A196" t="s">
        <v>7288</v>
      </c>
      <c r="B196" t="s">
        <v>2247</v>
      </c>
      <c r="C196">
        <f>IF(ISBLANK('Test case'!N38),"",'Test case'!N38)</f>
      </c>
    </row>
    <row r="197">
      <c r="A197" t="s">
        <v>1392</v>
      </c>
      <c r="B197" t="s">
        <v>2247</v>
      </c>
      <c r="C197">
        <f>IF(ISBLANK('Test case'!N39),"",'Test case'!N39)</f>
      </c>
    </row>
    <row r="198">
      <c r="A198" t="s">
        <v>1393</v>
      </c>
      <c r="B198" t="s">
        <v>2247</v>
      </c>
      <c r="C198">
        <f>IF(ISBLANK('Test case'!N40),"",'Test case'!N40)</f>
      </c>
    </row>
    <row r="199">
      <c r="A199" t="s">
        <v>1394</v>
      </c>
      <c r="B199" t="s">
        <v>2247</v>
      </c>
      <c r="C199">
        <f>IF(ISBLANK('Test case'!N41),"",'Test case'!N41)</f>
      </c>
    </row>
    <row r="200">
      <c r="A200" t="s">
        <v>1846</v>
      </c>
      <c r="B200" t="s">
        <v>2247</v>
      </c>
      <c r="C200">
        <f>IF(ISBLANK('Test case'!N42),"",'Test case'!N42)</f>
      </c>
    </row>
    <row r="201">
      <c r="A201" t="s">
        <v>1847</v>
      </c>
      <c r="B201" t="s">
        <v>2247</v>
      </c>
      <c r="C201">
        <f>IF(ISBLANK('Test case'!N43),"",'Test case'!N43)</f>
      </c>
    </row>
    <row r="202">
      <c r="A202" t="s">
        <v>3164</v>
      </c>
      <c r="B202" t="s">
        <v>2247</v>
      </c>
      <c r="C202">
        <f>IF(ISBLANK('Test case'!N44),"",'Test case'!N44)</f>
      </c>
    </row>
    <row r="203">
      <c r="A203" t="s">
        <v>3138</v>
      </c>
      <c r="B203" t="s">
        <v>2247</v>
      </c>
      <c r="C203">
        <f>IF(ISBLANK('Test case'!N45),"",'Test case'!N45)</f>
      </c>
    </row>
    <row r="204">
      <c r="A204" t="s">
        <v>3139</v>
      </c>
      <c r="B204" t="s">
        <v>2247</v>
      </c>
      <c r="C204">
        <f>IF(ISBLANK('Test case'!N46),"",'Test case'!N46)</f>
      </c>
    </row>
    <row r="205">
      <c r="A205" t="s">
        <v>3140</v>
      </c>
      <c r="B205" t="s">
        <v>2247</v>
      </c>
      <c r="C205">
        <f>IF(ISBLANK('Test case'!N47),"",'Test case'!N47)</f>
      </c>
    </row>
    <row r="206">
      <c r="A206" t="s">
        <v>1539</v>
      </c>
      <c r="B206" t="s">
        <v>2247</v>
      </c>
      <c r="C206">
        <f>IF(ISBLANK('Test case'!N48),"",'Test case'!N48)</f>
      </c>
    </row>
    <row r="207">
      <c r="A207" t="s">
        <v>1540</v>
      </c>
      <c r="B207" t="s">
        <v>2247</v>
      </c>
      <c r="C207">
        <f>IF(ISBLANK('Test case'!N49),"",'Test case'!N49)</f>
      </c>
    </row>
    <row r="208">
      <c r="A208" t="s">
        <v>1541</v>
      </c>
      <c r="B208" t="s">
        <v>2247</v>
      </c>
      <c r="C208">
        <f>IF(ISBLANK('Test case'!N50),"",'Test case'!N50)</f>
      </c>
    </row>
    <row r="209">
      <c r="A209" t="s">
        <v>5880</v>
      </c>
      <c r="B209" t="s">
        <v>2247</v>
      </c>
      <c r="C209">
        <f>IF(ISBLANK('Test case'!N51),"",'Test case'!N51)</f>
      </c>
    </row>
    <row r="210">
      <c r="A210" t="s">
        <v>1542</v>
      </c>
      <c r="B210" t="s">
        <v>1881</v>
      </c>
      <c r="C210">
        <f>IF(ISBLANK('Test case'!Q4),"",'Test case'!Q4)</f>
      </c>
    </row>
    <row r="211">
      <c r="A211" t="s">
        <v>1543</v>
      </c>
      <c r="B211" t="s">
        <v>1881</v>
      </c>
      <c r="C211">
        <f>IF(ISBLANK('Test case'!Q5),"",'Test case'!Q5)</f>
      </c>
    </row>
    <row r="212">
      <c r="A212" t="s">
        <v>1544</v>
      </c>
      <c r="B212" t="s">
        <v>1881</v>
      </c>
      <c r="C212">
        <f>IF(ISBLANK('Test case'!Q6),"",'Test case'!Q6)</f>
      </c>
    </row>
    <row r="213">
      <c r="A213" t="s">
        <v>1545</v>
      </c>
      <c r="B213" t="s">
        <v>1881</v>
      </c>
      <c r="C213">
        <f>IF(ISBLANK('Test case'!Q7),"",'Test case'!Q7)</f>
      </c>
    </row>
    <row r="214">
      <c r="A214" t="s">
        <v>1546</v>
      </c>
      <c r="B214" t="s">
        <v>1881</v>
      </c>
      <c r="C214">
        <f>IF(ISBLANK('Test case'!Q8),"",'Test case'!Q8)</f>
      </c>
    </row>
    <row r="215">
      <c r="A215" t="s">
        <v>1547</v>
      </c>
      <c r="B215" t="s">
        <v>1881</v>
      </c>
      <c r="C215">
        <f>IF(ISBLANK('Test case'!Q9),"",'Test case'!Q9)</f>
      </c>
    </row>
    <row r="216">
      <c r="A216" t="s">
        <v>1548</v>
      </c>
      <c r="B216" t="s">
        <v>1881</v>
      </c>
      <c r="C216">
        <f>IF(ISBLANK('Test case'!Q10),"",'Test case'!Q10)</f>
      </c>
    </row>
    <row r="217">
      <c r="A217" t="s">
        <v>1549</v>
      </c>
      <c r="B217" t="s">
        <v>1881</v>
      </c>
      <c r="C217">
        <f>IF(ISBLANK('Test case'!Q11),"",'Test case'!Q11)</f>
      </c>
    </row>
    <row r="218">
      <c r="A218" t="s">
        <v>1600</v>
      </c>
      <c r="B218" t="s">
        <v>1881</v>
      </c>
      <c r="C218">
        <f>IF(ISBLANK('Test case'!Q12),"",'Test case'!Q12)</f>
      </c>
    </row>
    <row r="219">
      <c r="A219" t="s">
        <v>1601</v>
      </c>
      <c r="B219" t="s">
        <v>1881</v>
      </c>
      <c r="C219">
        <f>IF(ISBLANK('Test case'!Q13),"",'Test case'!Q13)</f>
      </c>
    </row>
    <row r="220">
      <c r="A220" t="s">
        <v>3452</v>
      </c>
      <c r="B220" t="s">
        <v>1881</v>
      </c>
      <c r="C220">
        <f>IF(ISBLANK('Test case'!Q14),"",'Test case'!Q14)</f>
      </c>
    </row>
    <row r="221">
      <c r="A221" t="s">
        <v>3453</v>
      </c>
      <c r="B221" t="s">
        <v>1881</v>
      </c>
      <c r="C221">
        <f>IF(ISBLANK('Test case'!Q15),"",'Test case'!Q15)</f>
      </c>
    </row>
    <row r="222">
      <c r="A222" t="s">
        <v>3454</v>
      </c>
      <c r="B222" t="s">
        <v>1881</v>
      </c>
      <c r="C222">
        <f>IF(ISBLANK('Test case'!Q16),"",'Test case'!Q16)</f>
      </c>
    </row>
    <row r="223">
      <c r="A223" t="s">
        <v>3455</v>
      </c>
      <c r="B223" t="s">
        <v>1881</v>
      </c>
      <c r="C223">
        <f>IF(ISBLANK('Test case'!Q17),"",'Test case'!Q17)</f>
      </c>
    </row>
    <row r="224">
      <c r="A224" t="s">
        <v>3456</v>
      </c>
      <c r="B224" t="s">
        <v>1881</v>
      </c>
      <c r="C224">
        <f>IF(ISBLANK('Test case'!Q18),"",'Test case'!Q18)</f>
      </c>
    </row>
    <row r="225">
      <c r="A225" t="s">
        <v>3457</v>
      </c>
      <c r="B225" t="s">
        <v>1881</v>
      </c>
      <c r="C225">
        <f>IF(ISBLANK('Test case'!Q19),"",'Test case'!Q19)</f>
      </c>
    </row>
    <row r="226">
      <c r="A226" t="s">
        <v>2424</v>
      </c>
      <c r="B226" t="s">
        <v>1881</v>
      </c>
      <c r="C226">
        <f>IF(ISBLANK('Test case'!Q20),"",'Test case'!Q20)</f>
      </c>
    </row>
    <row r="227">
      <c r="A227" t="s">
        <v>2425</v>
      </c>
      <c r="B227" t="s">
        <v>1881</v>
      </c>
      <c r="C227">
        <f>IF(ISBLANK('Test case'!Q21),"",'Test case'!Q21)</f>
      </c>
    </row>
    <row r="228">
      <c r="A228" t="s">
        <v>2426</v>
      </c>
      <c r="B228" t="s">
        <v>1881</v>
      </c>
      <c r="C228">
        <f>IF(ISBLANK('Test case'!Q22),"",'Test case'!Q22)</f>
      </c>
    </row>
    <row r="229">
      <c r="A229" t="s">
        <v>2427</v>
      </c>
      <c r="B229" t="s">
        <v>1881</v>
      </c>
      <c r="C229">
        <f>IF(ISBLANK('Test case'!Q23),"",'Test case'!Q23)</f>
      </c>
    </row>
    <row r="230">
      <c r="A230" t="s">
        <v>2428</v>
      </c>
      <c r="B230" t="s">
        <v>1881</v>
      </c>
      <c r="C230">
        <f>IF(ISBLANK('Test case'!Q24),"",'Test case'!Q24)</f>
      </c>
    </row>
    <row r="231">
      <c r="A231" t="s">
        <v>2429</v>
      </c>
      <c r="B231" t="s">
        <v>1881</v>
      </c>
      <c r="C231">
        <f>IF(ISBLANK('Test case'!Q25),"",'Test case'!Q25)</f>
      </c>
    </row>
    <row r="232">
      <c r="A232" t="s">
        <v>2430</v>
      </c>
      <c r="B232" t="s">
        <v>1881</v>
      </c>
      <c r="C232">
        <f>IF(ISBLANK('Test case'!Q26),"",'Test case'!Q26)</f>
      </c>
    </row>
    <row r="233">
      <c r="A233" t="s">
        <v>2431</v>
      </c>
      <c r="B233" t="s">
        <v>1881</v>
      </c>
      <c r="C233">
        <f>IF(ISBLANK('Test case'!Q27),"",'Test case'!Q27)</f>
      </c>
    </row>
    <row r="234">
      <c r="A234" t="s">
        <v>2432</v>
      </c>
      <c r="B234" t="s">
        <v>1881</v>
      </c>
      <c r="C234">
        <f>IF(ISBLANK('Test case'!Q28),"",'Test case'!Q28)</f>
      </c>
    </row>
    <row r="235">
      <c r="A235" t="s">
        <v>2433</v>
      </c>
      <c r="B235" t="s">
        <v>1881</v>
      </c>
      <c r="C235">
        <f>IF(ISBLANK('Test case'!Q29),"",'Test case'!Q29)</f>
      </c>
    </row>
    <row r="236">
      <c r="A236" t="s">
        <v>2434</v>
      </c>
      <c r="B236" t="s">
        <v>1881</v>
      </c>
      <c r="C236">
        <f>IF(ISBLANK('Test case'!Q30),"",'Test case'!Q30)</f>
      </c>
    </row>
    <row r="237">
      <c r="A237" t="s">
        <v>2435</v>
      </c>
      <c r="B237" t="s">
        <v>1881</v>
      </c>
      <c r="C237">
        <f>IF(ISBLANK('Test case'!Q31),"",'Test case'!Q31)</f>
      </c>
    </row>
    <row r="238">
      <c r="A238" t="s">
        <v>927</v>
      </c>
      <c r="B238" t="s">
        <v>1881</v>
      </c>
      <c r="C238">
        <f>IF(ISBLANK('Test case'!Q32),"",'Test case'!Q32)</f>
      </c>
    </row>
    <row r="239">
      <c r="A239" t="s">
        <v>928</v>
      </c>
      <c r="B239" t="s">
        <v>1881</v>
      </c>
      <c r="C239">
        <f>IF(ISBLANK('Test case'!Q33),"",'Test case'!Q33)</f>
      </c>
    </row>
    <row r="240">
      <c r="A240" t="s">
        <v>979</v>
      </c>
      <c r="B240" t="s">
        <v>1881</v>
      </c>
      <c r="C240">
        <f>IF(ISBLANK('Test case'!Q34),"",'Test case'!Q34)</f>
      </c>
    </row>
    <row r="241">
      <c r="A241" t="s">
        <v>980</v>
      </c>
      <c r="B241" t="s">
        <v>1881</v>
      </c>
      <c r="C241">
        <f>IF(ISBLANK('Test case'!Q35),"",'Test case'!Q35)</f>
      </c>
    </row>
    <row r="242">
      <c r="A242" t="s">
        <v>981</v>
      </c>
      <c r="B242" t="s">
        <v>1881</v>
      </c>
      <c r="C242">
        <f>IF(ISBLANK('Test case'!Q36),"",'Test case'!Q36)</f>
      </c>
    </row>
    <row r="243">
      <c r="A243" t="s">
        <v>982</v>
      </c>
      <c r="B243" t="s">
        <v>1881</v>
      </c>
      <c r="C243">
        <f>IF(ISBLANK('Test case'!Q37),"",'Test case'!Q37)</f>
      </c>
    </row>
    <row r="244">
      <c r="A244" t="s">
        <v>983</v>
      </c>
      <c r="B244" t="s">
        <v>1881</v>
      </c>
      <c r="C244">
        <f>IF(ISBLANK('Test case'!Q38),"",'Test case'!Q38)</f>
      </c>
    </row>
    <row r="245">
      <c r="A245" t="s">
        <v>984</v>
      </c>
      <c r="B245" t="s">
        <v>1881</v>
      </c>
      <c r="C245">
        <f>IF(ISBLANK('Test case'!Q39),"",'Test case'!Q39)</f>
      </c>
    </row>
    <row r="246">
      <c r="A246" t="s">
        <v>985</v>
      </c>
      <c r="B246" t="s">
        <v>1881</v>
      </c>
      <c r="C246">
        <f>IF(ISBLANK('Test case'!Q40),"",'Test case'!Q40)</f>
      </c>
    </row>
    <row r="247">
      <c r="A247" t="s">
        <v>2565</v>
      </c>
      <c r="B247" t="s">
        <v>1881</v>
      </c>
      <c r="C247">
        <f>IF(ISBLANK('Test case'!Q41),"",'Test case'!Q41)</f>
      </c>
    </row>
    <row r="248">
      <c r="A248" t="s">
        <v>2451</v>
      </c>
      <c r="B248" t="s">
        <v>1881</v>
      </c>
      <c r="C248">
        <f>IF(ISBLANK('Test case'!Q42),"",'Test case'!Q42)</f>
      </c>
    </row>
    <row r="249">
      <c r="A249" t="s">
        <v>5881</v>
      </c>
      <c r="B249" t="s">
        <v>1881</v>
      </c>
      <c r="C249">
        <f>IF(ISBLANK('Test case'!Q43),"",'Test case'!Q43)</f>
      </c>
    </row>
    <row r="250">
      <c r="A250" t="s">
        <v>684</v>
      </c>
      <c r="B250" t="s">
        <v>952</v>
      </c>
      <c r="C250">
        <f>IF(ISBLANK('Test case'!T4),"",'Test case'!T4)</f>
      </c>
    </row>
    <row r="251">
      <c r="A251" t="s">
        <v>685</v>
      </c>
      <c r="B251" t="s">
        <v>952</v>
      </c>
      <c r="C251">
        <f>IF(ISBLANK('Test case'!T5),"",'Test case'!T5)</f>
      </c>
    </row>
    <row r="252">
      <c r="A252" t="s">
        <v>686</v>
      </c>
      <c r="B252" t="s">
        <v>952</v>
      </c>
      <c r="C252">
        <f>IF(ISBLANK('Test case'!T6),"",'Test case'!T6)</f>
      </c>
    </row>
    <row r="253">
      <c r="A253" t="s">
        <v>687</v>
      </c>
      <c r="B253" t="s">
        <v>952</v>
      </c>
      <c r="C253">
        <f>IF(ISBLANK('Test case'!T7),"",'Test case'!T7)</f>
      </c>
    </row>
    <row r="254">
      <c r="A254" t="s">
        <v>688</v>
      </c>
      <c r="B254" t="s">
        <v>952</v>
      </c>
      <c r="C254">
        <f>IF(ISBLANK('Test case'!T8),"",'Test case'!T8)</f>
      </c>
    </row>
    <row r="255">
      <c r="A255" t="s">
        <v>3838</v>
      </c>
      <c r="B255" t="s">
        <v>952</v>
      </c>
      <c r="C255">
        <f>IF(ISBLANK('Test case'!T9),"",'Test case'!T9)</f>
      </c>
    </row>
    <row r="256">
      <c r="A256" t="s">
        <v>3556</v>
      </c>
      <c r="B256" t="s">
        <v>952</v>
      </c>
      <c r="C256">
        <f>IF(ISBLANK('Test case'!T10),"",'Test case'!T10)</f>
      </c>
    </row>
    <row r="257">
      <c r="A257" t="s">
        <v>3557</v>
      </c>
      <c r="B257" t="s">
        <v>952</v>
      </c>
      <c r="C257">
        <f>IF(ISBLANK('Test case'!T11),"",'Test case'!T11)</f>
      </c>
    </row>
    <row r="258">
      <c r="A258" t="s">
        <v>3834</v>
      </c>
      <c r="B258" t="s">
        <v>952</v>
      </c>
      <c r="C258">
        <f>IF(ISBLANK('Test case'!T12),"",'Test case'!T12)</f>
      </c>
    </row>
    <row r="259">
      <c r="A259" t="s">
        <v>3835</v>
      </c>
      <c r="B259" t="s">
        <v>952</v>
      </c>
      <c r="C259">
        <f>IF(ISBLANK('Test case'!T13),"",'Test case'!T13)</f>
      </c>
    </row>
    <row r="260">
      <c r="A260" t="s">
        <v>6594</v>
      </c>
      <c r="B260" t="s">
        <v>952</v>
      </c>
      <c r="C260">
        <f>IF(ISBLANK('Test case'!T14),"",'Test case'!T14)</f>
      </c>
    </row>
    <row r="261">
      <c r="A261" t="s">
        <v>3836</v>
      </c>
      <c r="B261" t="s">
        <v>952</v>
      </c>
      <c r="C261">
        <f>IF(ISBLANK('Test case'!T15),"",'Test case'!T15)</f>
      </c>
    </row>
    <row r="262">
      <c r="A262" t="s">
        <v>3837</v>
      </c>
      <c r="B262" t="s">
        <v>952</v>
      </c>
      <c r="C262">
        <f>IF(ISBLANK('Test case'!T16),"",'Test case'!T16)</f>
      </c>
    </row>
    <row r="263">
      <c r="A263" t="s">
        <v>4021</v>
      </c>
      <c r="B263" t="s">
        <v>952</v>
      </c>
      <c r="C263">
        <f>IF(ISBLANK('Test case'!T17),"",'Test case'!T17)</f>
      </c>
    </row>
    <row r="264">
      <c r="A264" t="s">
        <v>4022</v>
      </c>
      <c r="B264" t="s">
        <v>952</v>
      </c>
      <c r="C264">
        <f>IF(ISBLANK('Test case'!T18),"",'Test case'!T18)</f>
      </c>
    </row>
    <row r="265">
      <c r="A265" t="s">
        <v>4023</v>
      </c>
      <c r="B265" t="s">
        <v>952</v>
      </c>
      <c r="C265">
        <f>IF(ISBLANK('Test case'!T19),"",'Test case'!T19)</f>
      </c>
    </row>
    <row r="266">
      <c r="A266" t="s">
        <v>3645</v>
      </c>
      <c r="B266" t="s">
        <v>952</v>
      </c>
      <c r="C266">
        <f>IF(ISBLANK('Test case'!T20),"",'Test case'!T20)</f>
      </c>
    </row>
    <row r="267">
      <c r="A267" t="s">
        <v>3646</v>
      </c>
      <c r="B267" t="s">
        <v>952</v>
      </c>
      <c r="C267">
        <f>IF(ISBLANK('Test case'!T21),"",'Test case'!T21)</f>
      </c>
    </row>
    <row r="268">
      <c r="A268" t="s">
        <v>1413</v>
      </c>
      <c r="B268" t="s">
        <v>952</v>
      </c>
      <c r="C268">
        <f>IF(ISBLANK('Test case'!T22),"",'Test case'!T22)</f>
      </c>
    </row>
    <row r="269">
      <c r="A269" t="s">
        <v>1735</v>
      </c>
      <c r="B269" t="s">
        <v>952</v>
      </c>
      <c r="C269">
        <f>IF(ISBLANK('Test case'!T23),"",'Test case'!T23)</f>
      </c>
    </row>
    <row r="270">
      <c r="A270" t="s">
        <v>1736</v>
      </c>
      <c r="B270" t="s">
        <v>952</v>
      </c>
      <c r="C270">
        <f>IF(ISBLANK('Test case'!T24),"",'Test case'!T24)</f>
      </c>
    </row>
    <row r="271">
      <c r="A271" t="s">
        <v>3998</v>
      </c>
      <c r="B271" t="s">
        <v>952</v>
      </c>
      <c r="C271">
        <f>IF(ISBLANK('Test case'!T25),"",'Test case'!T25)</f>
      </c>
    </row>
    <row r="272">
      <c r="A272" t="s">
        <v>3999</v>
      </c>
      <c r="B272" t="s">
        <v>952</v>
      </c>
      <c r="C272">
        <f>IF(ISBLANK('Test case'!T26),"",'Test case'!T26)</f>
      </c>
    </row>
    <row r="273">
      <c r="A273" t="s">
        <v>4000</v>
      </c>
      <c r="B273" t="s">
        <v>952</v>
      </c>
      <c r="C273">
        <f>IF(ISBLANK('Test case'!T27),"",'Test case'!T27)</f>
      </c>
    </row>
    <row r="274">
      <c r="A274" t="s">
        <v>4001</v>
      </c>
      <c r="B274" t="s">
        <v>952</v>
      </c>
      <c r="C274">
        <f>IF(ISBLANK('Test case'!T28),"",'Test case'!T28)</f>
      </c>
    </row>
    <row r="275">
      <c r="A275" t="s">
        <v>4002</v>
      </c>
      <c r="B275" t="s">
        <v>952</v>
      </c>
      <c r="C275">
        <f>IF(ISBLANK('Test case'!T29),"",'Test case'!T29)</f>
      </c>
    </row>
    <row r="276">
      <c r="A276" t="s">
        <v>8496</v>
      </c>
      <c r="B276" t="s">
        <v>952</v>
      </c>
      <c r="C276">
        <f>IF(ISBLANK('Test case'!T30),"",'Test case'!T30)</f>
      </c>
    </row>
    <row r="277">
      <c r="A277" t="s">
        <v>4003</v>
      </c>
      <c r="B277" t="s">
        <v>952</v>
      </c>
      <c r="C277">
        <f>IF(ISBLANK('Test case'!T31),"",'Test case'!T31)</f>
      </c>
    </row>
    <row r="278">
      <c r="A278" t="s">
        <v>4004</v>
      </c>
      <c r="B278" t="s">
        <v>952</v>
      </c>
      <c r="C278">
        <f>IF(ISBLANK('Test case'!T32),"",'Test case'!T32)</f>
      </c>
    </row>
    <row r="279">
      <c r="A279" t="s">
        <v>4005</v>
      </c>
      <c r="B279" t="s">
        <v>952</v>
      </c>
      <c r="C279">
        <f>IF(ISBLANK('Test case'!T33),"",'Test case'!T33)</f>
      </c>
    </row>
    <row r="280">
      <c r="A280" t="s">
        <v>4006</v>
      </c>
      <c r="B280" t="s">
        <v>952</v>
      </c>
      <c r="C280">
        <f>IF(ISBLANK('Test case'!T34),"",'Test case'!T34)</f>
      </c>
    </row>
    <row r="281">
      <c r="A281" t="s">
        <v>4007</v>
      </c>
      <c r="B281" t="s">
        <v>952</v>
      </c>
      <c r="C281">
        <f>IF(ISBLANK('Test case'!T35),"",'Test case'!T35)</f>
      </c>
    </row>
    <row r="282">
      <c r="A282" t="s">
        <v>1327</v>
      </c>
      <c r="B282" t="s">
        <v>952</v>
      </c>
      <c r="C282">
        <f>IF(ISBLANK('Test case'!T36),"",'Test case'!T36)</f>
      </c>
    </row>
    <row r="283">
      <c r="A283" t="s">
        <v>1328</v>
      </c>
      <c r="B283" t="s">
        <v>952</v>
      </c>
      <c r="C283">
        <f>IF(ISBLANK('Test case'!T37),"",'Test case'!T37)</f>
      </c>
    </row>
    <row r="284">
      <c r="A284" t="s">
        <v>1329</v>
      </c>
      <c r="B284" t="s">
        <v>952</v>
      </c>
      <c r="C284">
        <f>IF(ISBLANK('Test case'!T38),"",'Test case'!T38)</f>
      </c>
    </row>
    <row r="285">
      <c r="A285" t="s">
        <v>1330</v>
      </c>
      <c r="B285" t="s">
        <v>952</v>
      </c>
      <c r="C285">
        <f>IF(ISBLANK('Test case'!T39),"",'Test case'!T39)</f>
      </c>
    </row>
    <row r="286">
      <c r="A286" t="s">
        <v>1331</v>
      </c>
      <c r="B286" t="s">
        <v>952</v>
      </c>
      <c r="C286">
        <f>IF(ISBLANK('Test case'!T40),"",'Test case'!T40)</f>
      </c>
    </row>
    <row r="287">
      <c r="A287" t="s">
        <v>780</v>
      </c>
      <c r="B287" t="s">
        <v>952</v>
      </c>
      <c r="C287">
        <f>IF(ISBLANK('Test case'!T41),"",'Test case'!T41)</f>
      </c>
    </row>
    <row r="288">
      <c r="A288" t="s">
        <v>781</v>
      </c>
      <c r="B288" t="s">
        <v>952</v>
      </c>
      <c r="C288">
        <f>IF(ISBLANK('Test case'!T42),"",'Test case'!T42)</f>
      </c>
    </row>
    <row r="289">
      <c r="A289" t="s">
        <v>764</v>
      </c>
      <c r="B289" t="s">
        <v>952</v>
      </c>
      <c r="C289">
        <f>IF(ISBLANK('Test case'!T43),"",'Test case'!T43)</f>
      </c>
    </row>
    <row r="290">
      <c r="A290" t="s">
        <v>1103</v>
      </c>
      <c r="B290" t="s">
        <v>952</v>
      </c>
      <c r="C290">
        <f>IF(ISBLANK('Test case'!W4),"",'Test case'!W4)</f>
      </c>
    </row>
    <row r="291">
      <c r="A291" t="s">
        <v>1104</v>
      </c>
      <c r="B291" t="s">
        <v>952</v>
      </c>
      <c r="C291">
        <f>IF(ISBLANK('Test case'!W5),"",'Test case'!W5)</f>
      </c>
    </row>
    <row r="292">
      <c r="A292" t="s">
        <v>1105</v>
      </c>
      <c r="B292" t="s">
        <v>952</v>
      </c>
      <c r="C292">
        <f>IF(ISBLANK('Test case'!W6),"",'Test case'!W6)</f>
      </c>
    </row>
    <row r="293">
      <c r="A293" t="s">
        <v>1106</v>
      </c>
      <c r="B293" t="s">
        <v>952</v>
      </c>
      <c r="C293">
        <f>IF(ISBLANK('Test case'!W7),"",'Test case'!W7)</f>
      </c>
    </row>
    <row r="294">
      <c r="A294" t="s">
        <v>1107</v>
      </c>
      <c r="B294" t="s">
        <v>952</v>
      </c>
      <c r="C294">
        <f>IF(ISBLANK('Test case'!W8),"",'Test case'!W8)</f>
      </c>
    </row>
    <row r="295">
      <c r="A295" t="s">
        <v>1108</v>
      </c>
      <c r="B295" t="s">
        <v>952</v>
      </c>
      <c r="C295">
        <f>IF(ISBLANK('Test case'!W9),"",'Test case'!W9)</f>
      </c>
    </row>
    <row r="296">
      <c r="A296" t="s">
        <v>1109</v>
      </c>
      <c r="B296" t="s">
        <v>952</v>
      </c>
      <c r="C296">
        <f>IF(ISBLANK('Test case'!W10),"",'Test case'!W10)</f>
      </c>
    </row>
    <row r="297">
      <c r="A297" t="s">
        <v>1110</v>
      </c>
      <c r="B297" t="s">
        <v>952</v>
      </c>
      <c r="C297">
        <f>IF(ISBLANK('Test case'!W11),"",'Test case'!W11)</f>
      </c>
    </row>
    <row r="298">
      <c r="A298" t="s">
        <v>1111</v>
      </c>
      <c r="B298" t="s">
        <v>952</v>
      </c>
      <c r="C298">
        <f>IF(ISBLANK('Test case'!W12),"",'Test case'!W12)</f>
      </c>
    </row>
    <row r="299">
      <c r="A299" t="s">
        <v>1112</v>
      </c>
      <c r="B299" t="s">
        <v>952</v>
      </c>
      <c r="C299">
        <f>IF(ISBLANK('Test case'!W13),"",'Test case'!W13)</f>
      </c>
    </row>
    <row r="300">
      <c r="A300" t="s">
        <v>1113</v>
      </c>
      <c r="B300" t="s">
        <v>952</v>
      </c>
      <c r="C300">
        <f>IF(ISBLANK('Test case'!W14),"",'Test case'!W14)</f>
      </c>
    </row>
    <row r="301">
      <c r="A301" t="s">
        <v>1114</v>
      </c>
      <c r="B301" t="s">
        <v>952</v>
      </c>
      <c r="C301">
        <f>IF(ISBLANK('Test case'!W15),"",'Test case'!W15)</f>
      </c>
    </row>
    <row r="302">
      <c r="A302" t="s">
        <v>1115</v>
      </c>
      <c r="B302" t="s">
        <v>952</v>
      </c>
      <c r="C302">
        <f>IF(ISBLANK('Test case'!W16),"",'Test case'!W16)</f>
      </c>
    </row>
    <row r="303">
      <c r="A303" t="s">
        <v>1118</v>
      </c>
      <c r="B303" t="s">
        <v>952</v>
      </c>
      <c r="C303">
        <f>IF(ISBLANK('Test case'!W17),"",'Test case'!W17)</f>
      </c>
    </row>
    <row r="304">
      <c r="A304" t="s">
        <v>1119</v>
      </c>
      <c r="B304" t="s">
        <v>952</v>
      </c>
      <c r="C304">
        <f>IF(ISBLANK('Test case'!W18),"",'Test case'!W18)</f>
      </c>
    </row>
    <row r="305">
      <c r="A305" t="s">
        <v>1120</v>
      </c>
      <c r="B305" t="s">
        <v>952</v>
      </c>
      <c r="C305">
        <f>IF(ISBLANK('Test case'!W19),"",'Test case'!W19)</f>
      </c>
    </row>
    <row r="306">
      <c r="A306" t="s">
        <v>6596</v>
      </c>
      <c r="B306" t="s">
        <v>952</v>
      </c>
      <c r="C306">
        <f>IF(ISBLANK('Test case'!W20),"",'Test case'!W20)</f>
      </c>
    </row>
    <row r="307">
      <c r="A307" t="s">
        <v>1121</v>
      </c>
      <c r="B307" t="s">
        <v>952</v>
      </c>
      <c r="C307">
        <f>IF(ISBLANK('Test case'!W21),"",'Test case'!W21)</f>
      </c>
    </row>
    <row r="308">
      <c r="A308" t="s">
        <v>1122</v>
      </c>
      <c r="B308" t="s">
        <v>952</v>
      </c>
      <c r="C308">
        <f>IF(ISBLANK('Test case'!W22),"",'Test case'!W22)</f>
      </c>
    </row>
    <row r="309">
      <c r="A309" t="s">
        <v>2814</v>
      </c>
      <c r="B309" t="s">
        <v>952</v>
      </c>
      <c r="C309">
        <f>IF(ISBLANK('Test case'!W23),"",'Test case'!W23)</f>
      </c>
    </row>
    <row r="310">
      <c r="A310" t="s">
        <v>2815</v>
      </c>
      <c r="B310" t="s">
        <v>952</v>
      </c>
      <c r="C310">
        <f>IF(ISBLANK('Test case'!W24),"",'Test case'!W24)</f>
      </c>
    </row>
    <row r="311">
      <c r="A311" t="s">
        <v>2816</v>
      </c>
      <c r="B311" t="s">
        <v>952</v>
      </c>
      <c r="C311">
        <f>IF(ISBLANK('Test case'!W25),"",'Test case'!W25)</f>
      </c>
    </row>
    <row r="312">
      <c r="A312" t="s">
        <v>2817</v>
      </c>
      <c r="B312" t="s">
        <v>952</v>
      </c>
      <c r="C312">
        <f>IF(ISBLANK('Test case'!W26),"",'Test case'!W26)</f>
      </c>
    </row>
    <row r="313">
      <c r="A313" t="s">
        <v>2818</v>
      </c>
      <c r="B313" t="s">
        <v>952</v>
      </c>
      <c r="C313">
        <f>IF(ISBLANK('Test case'!W27),"",'Test case'!W27)</f>
      </c>
    </row>
    <row r="314">
      <c r="A314" t="s">
        <v>2819</v>
      </c>
      <c r="B314" t="s">
        <v>952</v>
      </c>
      <c r="C314">
        <f>IF(ISBLANK('Test case'!W28),"",'Test case'!W28)</f>
      </c>
    </row>
    <row r="315">
      <c r="A315" t="s">
        <v>2820</v>
      </c>
      <c r="B315" t="s">
        <v>952</v>
      </c>
      <c r="C315">
        <f>IF(ISBLANK('Test case'!W29),"",'Test case'!W29)</f>
      </c>
    </row>
    <row r="316">
      <c r="A316" t="s">
        <v>2821</v>
      </c>
      <c r="B316" t="s">
        <v>952</v>
      </c>
      <c r="C316">
        <f>IF(ISBLANK('Test case'!W30),"",'Test case'!W30)</f>
      </c>
    </row>
    <row r="317">
      <c r="A317" t="s">
        <v>2822</v>
      </c>
      <c r="B317" t="s">
        <v>952</v>
      </c>
      <c r="C317">
        <f>IF(ISBLANK('Test case'!W31),"",'Test case'!W31)</f>
      </c>
    </row>
    <row r="318">
      <c r="A318" t="s">
        <v>2823</v>
      </c>
      <c r="B318" t="s">
        <v>952</v>
      </c>
      <c r="C318">
        <f>IF(ISBLANK('Test case'!W32),"",'Test case'!W32)</f>
      </c>
    </row>
    <row r="319">
      <c r="A319" t="s">
        <v>2824</v>
      </c>
      <c r="B319" t="s">
        <v>952</v>
      </c>
      <c r="C319">
        <f>IF(ISBLANK('Test case'!W33),"",'Test case'!W33)</f>
      </c>
    </row>
    <row r="320">
      <c r="A320" t="s">
        <v>2825</v>
      </c>
      <c r="B320" t="s">
        <v>952</v>
      </c>
      <c r="C320">
        <f>IF(ISBLANK('Test case'!W34),"",'Test case'!W34)</f>
      </c>
    </row>
    <row r="321">
      <c r="A321" t="s">
        <v>2826</v>
      </c>
      <c r="B321" t="s">
        <v>952</v>
      </c>
      <c r="C321">
        <f>IF(ISBLANK('Test case'!W35),"",'Test case'!W35)</f>
      </c>
    </row>
    <row r="322">
      <c r="A322" t="s">
        <v>2827</v>
      </c>
      <c r="B322" t="s">
        <v>952</v>
      </c>
      <c r="C322">
        <f>IF(ISBLANK('Test case'!W36),"",'Test case'!W36)</f>
      </c>
    </row>
    <row r="323">
      <c r="A323" t="s">
        <v>2828</v>
      </c>
      <c r="B323" t="s">
        <v>952</v>
      </c>
      <c r="C323">
        <f>IF(ISBLANK('Test case'!W37),"",'Test case'!W37)</f>
      </c>
    </row>
    <row r="324">
      <c r="A324" t="s">
        <v>2159</v>
      </c>
      <c r="B324" t="s">
        <v>952</v>
      </c>
      <c r="C324">
        <f>IF(ISBLANK('Test case'!W38),"",'Test case'!W38)</f>
      </c>
    </row>
    <row r="325">
      <c r="A325" t="s">
        <v>2160</v>
      </c>
      <c r="B325" t="s">
        <v>952</v>
      </c>
      <c r="C325">
        <f>IF(ISBLANK('Test case'!W39),"",'Test case'!W39)</f>
      </c>
    </row>
    <row r="326">
      <c r="A326" t="s">
        <v>3524</v>
      </c>
      <c r="B326" t="s">
        <v>952</v>
      </c>
      <c r="C326">
        <f>IF(ISBLANK('Test case'!W40),"",'Test case'!W40)</f>
      </c>
    </row>
    <row r="327">
      <c r="A327" t="s">
        <v>3525</v>
      </c>
      <c r="B327" t="s">
        <v>952</v>
      </c>
      <c r="C327">
        <f>IF(ISBLANK('Test case'!W41),"",'Test case'!W41)</f>
      </c>
    </row>
    <row r="328">
      <c r="A328" t="s">
        <v>3526</v>
      </c>
      <c r="B328" t="s">
        <v>952</v>
      </c>
      <c r="C328">
        <f>IF(ISBLANK('Test case'!W42),"",'Test case'!W42)</f>
      </c>
    </row>
    <row r="329">
      <c r="A329" t="s">
        <v>2671</v>
      </c>
      <c r="B329" t="s">
        <v>952</v>
      </c>
      <c r="C329">
        <f>IF(ISBLANK('Test case'!W43),"",'Test case'!W43)</f>
      </c>
    </row>
    <row r="330">
      <c r="A330" t="s">
        <v>2672</v>
      </c>
      <c r="B330" t="s">
        <v>952</v>
      </c>
      <c r="C330">
        <f>IF(ISBLANK('Test case'!W44),"",'Test case'!W44)</f>
      </c>
    </row>
    <row r="331">
      <c r="A331" t="s">
        <v>2673</v>
      </c>
      <c r="B331" t="s">
        <v>952</v>
      </c>
      <c r="C331">
        <f>IF(ISBLANK('Test case'!W45),"",'Test case'!W45)</f>
      </c>
    </row>
    <row r="332">
      <c r="A332" t="s">
        <v>2674</v>
      </c>
      <c r="B332" t="s">
        <v>952</v>
      </c>
      <c r="C332">
        <f>IF(ISBLANK('Test case'!W46),"",'Test case'!W46)</f>
      </c>
    </row>
    <row r="333">
      <c r="A333" t="s">
        <v>2675</v>
      </c>
      <c r="B333" t="s">
        <v>952</v>
      </c>
      <c r="C333">
        <f>IF(ISBLANK('Test case'!W47),"",'Test case'!W47)</f>
      </c>
    </row>
    <row r="334">
      <c r="A334" t="s">
        <v>2676</v>
      </c>
      <c r="B334" t="s">
        <v>952</v>
      </c>
      <c r="C334">
        <f>IF(ISBLANK('Test case'!W48),"",'Test case'!W48)</f>
      </c>
    </row>
    <row r="335">
      <c r="A335" t="s">
        <v>2677</v>
      </c>
      <c r="B335" t="s">
        <v>952</v>
      </c>
      <c r="C335">
        <f>IF(ISBLANK('Test case'!W49),"",'Test case'!W49)</f>
      </c>
    </row>
    <row r="336">
      <c r="A336" t="s">
        <v>2678</v>
      </c>
      <c r="B336" t="s">
        <v>952</v>
      </c>
      <c r="C336">
        <f>IF(ISBLANK('Test case'!W50),"",'Test case'!W50)</f>
      </c>
    </row>
    <row r="337">
      <c r="A337" t="s">
        <v>2679</v>
      </c>
      <c r="B337" t="s">
        <v>952</v>
      </c>
      <c r="C337">
        <f>IF(ISBLANK('Test case'!W51),"",'Test case'!W51)</f>
      </c>
    </row>
    <row r="338">
      <c r="A338" t="s">
        <v>2680</v>
      </c>
      <c r="B338" t="s">
        <v>952</v>
      </c>
      <c r="C338">
        <f>IF(ISBLANK('Test case'!W52),"",'Test case'!W52)</f>
      </c>
    </row>
    <row r="339">
      <c r="A339" t="s">
        <v>2681</v>
      </c>
      <c r="B339" t="s">
        <v>952</v>
      </c>
      <c r="C339">
        <f>IF(ISBLANK('Test case'!W53),"",'Test case'!W53)</f>
      </c>
    </row>
    <row r="340">
      <c r="A340" t="s">
        <v>2682</v>
      </c>
      <c r="B340" t="s">
        <v>952</v>
      </c>
      <c r="C340">
        <f>IF(ISBLANK('Test case'!W54),"",'Test case'!W54)</f>
      </c>
    </row>
    <row r="341">
      <c r="A341" t="s">
        <v>2683</v>
      </c>
      <c r="B341" t="s">
        <v>952</v>
      </c>
      <c r="C341">
        <f>IF(ISBLANK('Test case'!W55),"",'Test case'!W55)</f>
      </c>
    </row>
    <row r="342">
      <c r="A342" t="s">
        <v>2684</v>
      </c>
      <c r="B342" t="s">
        <v>952</v>
      </c>
      <c r="C342">
        <f>IF(ISBLANK('Test case'!W56),"",'Test case'!W56)</f>
      </c>
    </row>
    <row r="343">
      <c r="A343" t="s">
        <v>2685</v>
      </c>
      <c r="B343" t="s">
        <v>952</v>
      </c>
      <c r="C343">
        <f>IF(ISBLANK('Test case'!Z4),"",'Test case'!Z4)</f>
      </c>
    </row>
    <row r="344">
      <c r="A344" t="s">
        <v>2686</v>
      </c>
      <c r="B344" t="s">
        <v>952</v>
      </c>
      <c r="C344">
        <f>IF(ISBLANK('Test case'!Z5),"",'Test case'!Z5)</f>
      </c>
    </row>
    <row r="345">
      <c r="A345" t="s">
        <v>2687</v>
      </c>
      <c r="B345" t="s">
        <v>952</v>
      </c>
      <c r="C345">
        <f>IF(ISBLANK('Test case'!Z6),"",'Test case'!Z6)</f>
      </c>
    </row>
    <row r="346">
      <c r="A346" t="s">
        <v>2688</v>
      </c>
      <c r="B346" t="s">
        <v>952</v>
      </c>
      <c r="C346">
        <f>IF(ISBLANK('Test case'!Z7),"",'Test case'!Z7)</f>
      </c>
    </row>
    <row r="347">
      <c r="A347" t="s">
        <v>2689</v>
      </c>
      <c r="B347" t="s">
        <v>952</v>
      </c>
      <c r="C347">
        <f>IF(ISBLANK('Test case'!Z8),"",'Test case'!Z8)</f>
      </c>
    </row>
    <row r="348">
      <c r="A348" t="s">
        <v>2690</v>
      </c>
      <c r="B348" t="s">
        <v>952</v>
      </c>
      <c r="C348">
        <f>IF(ISBLANK('Test case'!Z9),"",'Test case'!Z9)</f>
      </c>
    </row>
    <row r="349">
      <c r="A349" t="s">
        <v>1759</v>
      </c>
      <c r="B349" t="s">
        <v>952</v>
      </c>
      <c r="C349">
        <f>IF(ISBLANK('Test case'!Z10),"",'Test case'!Z10)</f>
      </c>
    </row>
    <row r="350">
      <c r="A350" t="s">
        <v>2701</v>
      </c>
      <c r="B350" t="s">
        <v>952</v>
      </c>
      <c r="C350">
        <f>IF(ISBLANK('Test case'!Z11),"",'Test case'!Z11)</f>
      </c>
    </row>
    <row r="351">
      <c r="A351" t="s">
        <v>2702</v>
      </c>
      <c r="B351" t="s">
        <v>952</v>
      </c>
      <c r="C351">
        <f>IF(ISBLANK('Test case'!Z12),"",'Test case'!Z12)</f>
      </c>
    </row>
    <row r="352">
      <c r="A352" t="s">
        <v>2703</v>
      </c>
      <c r="B352" t="s">
        <v>952</v>
      </c>
      <c r="C352">
        <f>IF(ISBLANK('Test case'!Z13),"",'Test case'!Z13)</f>
      </c>
    </row>
    <row r="353">
      <c r="A353" t="s">
        <v>1314</v>
      </c>
      <c r="B353" t="s">
        <v>952</v>
      </c>
      <c r="C353">
        <f>IF(ISBLANK('Test case'!Z14),"",'Test case'!Z14)</f>
      </c>
    </row>
    <row r="354">
      <c r="A354" t="s">
        <v>3498</v>
      </c>
      <c r="B354" t="s">
        <v>952</v>
      </c>
      <c r="C354">
        <f>IF(ISBLANK('Test case'!Z15),"",'Test case'!Z15)</f>
      </c>
    </row>
    <row r="355">
      <c r="A355" t="s">
        <v>3499</v>
      </c>
      <c r="B355" t="s">
        <v>952</v>
      </c>
      <c r="C355">
        <f>IF(ISBLANK('Test case'!Z16),"",'Test case'!Z16)</f>
      </c>
    </row>
    <row r="356">
      <c r="A356" t="s">
        <v>3500</v>
      </c>
      <c r="B356" t="s">
        <v>952</v>
      </c>
      <c r="C356">
        <f>IF(ISBLANK('Test case'!Z17),"",'Test case'!Z17)</f>
      </c>
    </row>
    <row r="357">
      <c r="A357" t="s">
        <v>3501</v>
      </c>
      <c r="B357" t="s">
        <v>952</v>
      </c>
      <c r="C357">
        <f>IF(ISBLANK('Test case'!Z18),"",'Test case'!Z18)</f>
      </c>
    </row>
    <row r="358">
      <c r="A358" t="s">
        <v>3502</v>
      </c>
      <c r="B358" t="s">
        <v>952</v>
      </c>
      <c r="C358">
        <f>IF(ISBLANK('Test case'!Z19),"",'Test case'!Z19)</f>
      </c>
    </row>
    <row r="359">
      <c r="A359" t="s">
        <v>3503</v>
      </c>
      <c r="B359" t="s">
        <v>952</v>
      </c>
      <c r="C359">
        <f>IF(ISBLANK('Test case'!Z20),"",'Test case'!Z20)</f>
      </c>
    </row>
    <row r="360">
      <c r="A360" t="s">
        <v>3504</v>
      </c>
      <c r="B360" t="s">
        <v>952</v>
      </c>
      <c r="C360">
        <f>IF(ISBLANK('Test case'!Z21),"",'Test case'!Z21)</f>
      </c>
    </row>
    <row r="361">
      <c r="A361" t="s">
        <v>3475</v>
      </c>
      <c r="B361" t="s">
        <v>952</v>
      </c>
      <c r="C361">
        <f>IF(ISBLANK('Test case'!Z22),"",'Test case'!Z22)</f>
      </c>
    </row>
    <row r="362">
      <c r="A362" t="s">
        <v>3274</v>
      </c>
      <c r="B362" t="s">
        <v>952</v>
      </c>
      <c r="C362">
        <f>IF(ISBLANK('Test case'!Z23),"",'Test case'!Z23)</f>
      </c>
    </row>
    <row r="363">
      <c r="A363" t="s">
        <v>3275</v>
      </c>
      <c r="B363" t="s">
        <v>952</v>
      </c>
      <c r="C363">
        <f>IF(ISBLANK('Test case'!Z24),"",'Test case'!Z24)</f>
      </c>
    </row>
    <row r="364">
      <c r="A364" t="s">
        <v>3276</v>
      </c>
      <c r="B364" t="s">
        <v>952</v>
      </c>
      <c r="C364">
        <f>IF(ISBLANK('Test case'!Z25),"",'Test case'!Z25)</f>
      </c>
    </row>
    <row r="365">
      <c r="A365" t="s">
        <v>3277</v>
      </c>
      <c r="B365" t="s">
        <v>952</v>
      </c>
      <c r="C365">
        <f>IF(ISBLANK('Test case'!Z26),"",'Test case'!Z26)</f>
      </c>
    </row>
    <row r="366">
      <c r="A366" t="s">
        <v>7290</v>
      </c>
      <c r="B366" t="s">
        <v>952</v>
      </c>
      <c r="C366">
        <f>IF(ISBLANK('Test case'!Z27),"",'Test case'!Z27)</f>
      </c>
    </row>
    <row r="367">
      <c r="A367" t="s">
        <v>3278</v>
      </c>
      <c r="B367" t="s">
        <v>952</v>
      </c>
      <c r="C367">
        <f>IF(ISBLANK('Test case'!Z28),"",'Test case'!Z28)</f>
      </c>
    </row>
    <row r="368">
      <c r="A368" t="s">
        <v>3279</v>
      </c>
      <c r="B368" t="s">
        <v>952</v>
      </c>
      <c r="C368">
        <f>IF(ISBLANK('Test case'!Z29),"",'Test case'!Z29)</f>
      </c>
    </row>
    <row r="369">
      <c r="A369" t="s">
        <v>3280</v>
      </c>
      <c r="B369" t="s">
        <v>952</v>
      </c>
      <c r="C369">
        <f>IF(ISBLANK('Test case'!Z30),"",'Test case'!Z30)</f>
      </c>
    </row>
    <row r="370">
      <c r="A370" t="s">
        <v>3281</v>
      </c>
      <c r="B370" t="s">
        <v>952</v>
      </c>
      <c r="C370">
        <f>IF(ISBLANK('Test case'!Z31),"",'Test case'!Z31)</f>
      </c>
    </row>
    <row r="371">
      <c r="A371" t="s">
        <v>3282</v>
      </c>
      <c r="B371" t="s">
        <v>952</v>
      </c>
      <c r="C371">
        <f>IF(ISBLANK('Test case'!Z32),"",'Test case'!Z32)</f>
      </c>
    </row>
    <row r="372">
      <c r="A372" t="s">
        <v>1615</v>
      </c>
      <c r="B372" t="s">
        <v>952</v>
      </c>
      <c r="C372">
        <f>IF(ISBLANK('Test case'!Z33),"",'Test case'!Z33)</f>
      </c>
    </row>
    <row r="373">
      <c r="A373" t="s">
        <v>1616</v>
      </c>
      <c r="B373" t="s">
        <v>952</v>
      </c>
      <c r="C373">
        <f>IF(ISBLANK('Test case'!Z34),"",'Test case'!Z34)</f>
      </c>
    </row>
    <row r="374">
      <c r="A374" t="s">
        <v>1867</v>
      </c>
      <c r="B374" t="s">
        <v>952</v>
      </c>
      <c r="C374">
        <f>IF(ISBLANK('Test case'!Z35),"",'Test case'!Z35)</f>
      </c>
    </row>
    <row r="375">
      <c r="A375" t="s">
        <v>1868</v>
      </c>
      <c r="B375" t="s">
        <v>952</v>
      </c>
      <c r="C375">
        <f>IF(ISBLANK('Test case'!Z36),"",'Test case'!Z36)</f>
      </c>
    </row>
    <row r="376">
      <c r="A376" t="s">
        <v>1869</v>
      </c>
      <c r="B376" t="s">
        <v>952</v>
      </c>
      <c r="C376">
        <f>IF(ISBLANK('Test case'!Z37),"",'Test case'!Z37)</f>
      </c>
    </row>
    <row r="377">
      <c r="A377" t="s">
        <v>1870</v>
      </c>
      <c r="B377" t="s">
        <v>952</v>
      </c>
      <c r="C377">
        <f>IF(ISBLANK('Test case'!Z38),"",'Test case'!Z38)</f>
      </c>
    </row>
    <row r="378">
      <c r="A378" t="s">
        <v>1871</v>
      </c>
      <c r="B378" t="s">
        <v>952</v>
      </c>
      <c r="C378">
        <f>IF(ISBLANK('Test case'!Z39),"",'Test case'!Z39)</f>
      </c>
    </row>
    <row r="379">
      <c r="A379" t="s">
        <v>1872</v>
      </c>
      <c r="B379" t="s">
        <v>952</v>
      </c>
      <c r="C379">
        <f>IF(ISBLANK('Test case'!Z40),"",'Test case'!Z40)</f>
      </c>
    </row>
    <row r="380">
      <c r="A380" t="s">
        <v>1873</v>
      </c>
      <c r="B380" t="s">
        <v>952</v>
      </c>
      <c r="C380">
        <f>IF(ISBLANK('Test case'!Z41),"",'Test case'!Z41)</f>
      </c>
    </row>
    <row r="381">
      <c r="A381" t="s">
        <v>2393</v>
      </c>
      <c r="B381" t="s">
        <v>952</v>
      </c>
      <c r="C381">
        <f>IF(ISBLANK('Test case'!Z42),"",'Test case'!Z42)</f>
      </c>
    </row>
    <row r="382">
      <c r="A382" t="s">
        <v>2394</v>
      </c>
      <c r="B382" t="s">
        <v>952</v>
      </c>
      <c r="C382">
        <f>IF(ISBLANK('Test case'!Z43),"",'Test case'!Z43)</f>
      </c>
    </row>
    <row r="383">
      <c r="A383" t="s">
        <v>2395</v>
      </c>
      <c r="B383" t="s">
        <v>952</v>
      </c>
      <c r="C383">
        <f>IF(ISBLANK('Test case'!Z44),"",'Test case'!Z44)</f>
      </c>
    </row>
    <row r="384">
      <c r="A384" t="s">
        <v>2396</v>
      </c>
      <c r="B384" t="s">
        <v>952</v>
      </c>
      <c r="C384">
        <f>IF(ISBLANK('Test case'!Z45),"",'Test case'!Z45)</f>
      </c>
    </row>
    <row r="385">
      <c r="A385" t="s">
        <v>2397</v>
      </c>
      <c r="B385" t="s">
        <v>952</v>
      </c>
      <c r="C385">
        <f>IF(ISBLANK('Test case'!Z46),"",'Test case'!Z46)</f>
      </c>
    </row>
    <row r="386">
      <c r="A386" t="s">
        <v>2398</v>
      </c>
      <c r="B386" t="s">
        <v>952</v>
      </c>
      <c r="C386">
        <f>IF(ISBLANK('Test case'!Z47),"",'Test case'!Z47)</f>
      </c>
    </row>
    <row r="387">
      <c r="A387" t="s">
        <v>2399</v>
      </c>
      <c r="B387" t="s">
        <v>952</v>
      </c>
      <c r="C387">
        <f>IF(ISBLANK('Test case'!Z48),"",'Test case'!Z48)</f>
      </c>
    </row>
    <row r="388">
      <c r="A388" t="s">
        <v>2400</v>
      </c>
      <c r="B388" t="s">
        <v>952</v>
      </c>
      <c r="C388">
        <f>IF(ISBLANK('Test case'!Z49),"",'Test case'!Z49)</f>
      </c>
    </row>
    <row r="389">
      <c r="A389" t="s">
        <v>2401</v>
      </c>
      <c r="B389" t="s">
        <v>952</v>
      </c>
      <c r="C389">
        <f>IF(ISBLANK('Test case'!Z50),"",'Test case'!Z50)</f>
      </c>
    </row>
    <row r="390">
      <c r="A390" t="s">
        <v>2402</v>
      </c>
      <c r="B390" t="s">
        <v>952</v>
      </c>
      <c r="C390">
        <f>IF(ISBLANK('Test case'!Z51),"",'Test case'!Z51)</f>
      </c>
    </row>
    <row r="391">
      <c r="A391" t="s">
        <v>2403</v>
      </c>
      <c r="B391" t="s">
        <v>952</v>
      </c>
      <c r="C391">
        <f>IF(ISBLANK('Test case'!Z52),"",'Test case'!Z52)</f>
      </c>
    </row>
    <row r="392">
      <c r="A392" t="s">
        <v>3798</v>
      </c>
      <c r="B392" t="s">
        <v>952</v>
      </c>
      <c r="C392">
        <f>IF(ISBLANK('Test case'!Z53),"",'Test case'!Z53)</f>
      </c>
    </row>
    <row r="393">
      <c r="A393" t="s">
        <v>782</v>
      </c>
      <c r="B393" t="s">
        <v>952</v>
      </c>
      <c r="C393">
        <f>IF(ISBLANK('Test case'!Z54),"",'Test case'!Z54)</f>
      </c>
    </row>
    <row r="394">
      <c r="A394" t="s">
        <v>765</v>
      </c>
      <c r="B394" t="s">
        <v>952</v>
      </c>
      <c r="C394">
        <f>IF(ISBLANK('Test case'!Z55),"",'Test case'!Z55)</f>
      </c>
    </row>
    <row r="395">
      <c r="A395" t="s">
        <v>3174</v>
      </c>
      <c r="B395" t="s">
        <v>1881</v>
      </c>
      <c r="C395">
        <f>IF(ISBLANK('Test case'!AC4),"",'Test case'!AC4)</f>
      </c>
    </row>
    <row r="396">
      <c r="A396" t="s">
        <v>3920</v>
      </c>
      <c r="B396" t="s">
        <v>1881</v>
      </c>
      <c r="C396">
        <f>IF(ISBLANK('Test case'!AC5),"",'Test case'!AC5)</f>
      </c>
    </row>
    <row r="397">
      <c r="A397" t="s">
        <v>1185</v>
      </c>
      <c r="B397" t="s">
        <v>1881</v>
      </c>
      <c r="C397">
        <f>IF(ISBLANK('Test case'!AC6),"",'Test case'!AC6)</f>
      </c>
    </row>
    <row r="398">
      <c r="A398" t="s">
        <v>1186</v>
      </c>
      <c r="B398" t="s">
        <v>1881</v>
      </c>
      <c r="C398">
        <f>IF(ISBLANK('Test case'!AC7),"",'Test case'!AC7)</f>
      </c>
    </row>
    <row r="399">
      <c r="A399" t="s">
        <v>1187</v>
      </c>
      <c r="B399" t="s">
        <v>1881</v>
      </c>
      <c r="C399">
        <f>IF(ISBLANK('Test case'!AC8),"",'Test case'!AC8)</f>
      </c>
    </row>
    <row r="400">
      <c r="A400" t="s">
        <v>3494</v>
      </c>
      <c r="B400" t="s">
        <v>1881</v>
      </c>
      <c r="C400">
        <f>IF(ISBLANK('Test case'!AC9),"",'Test case'!AC9)</f>
      </c>
    </row>
    <row r="401">
      <c r="A401" t="s">
        <v>3495</v>
      </c>
      <c r="B401" t="s">
        <v>1881</v>
      </c>
      <c r="C401">
        <f>IF(ISBLANK('Test case'!AC10),"",'Test case'!AC10)</f>
      </c>
    </row>
    <row r="402">
      <c r="A402" t="s">
        <v>3283</v>
      </c>
      <c r="B402" t="s">
        <v>1881</v>
      </c>
      <c r="C402">
        <f>IF(ISBLANK('Test case'!AC11),"",'Test case'!AC11)</f>
      </c>
    </row>
    <row r="403">
      <c r="A403" t="s">
        <v>3284</v>
      </c>
      <c r="B403" t="s">
        <v>1881</v>
      </c>
      <c r="C403">
        <f>IF(ISBLANK('Test case'!AC12),"",'Test case'!AC12)</f>
      </c>
    </row>
    <row r="404">
      <c r="A404" t="s">
        <v>3285</v>
      </c>
      <c r="B404" t="s">
        <v>1881</v>
      </c>
      <c r="C404">
        <f>IF(ISBLANK('Test case'!AC13),"",'Test case'!AC13)</f>
      </c>
    </row>
    <row r="405">
      <c r="A405" t="s">
        <v>3286</v>
      </c>
      <c r="B405" t="s">
        <v>1881</v>
      </c>
      <c r="C405">
        <f>IF(ISBLANK('Test case'!AC14),"",'Test case'!AC14)</f>
      </c>
    </row>
    <row r="406">
      <c r="A406" t="s">
        <v>3287</v>
      </c>
      <c r="B406" t="s">
        <v>1881</v>
      </c>
      <c r="C406">
        <f>IF(ISBLANK('Test case'!AC15),"",'Test case'!AC15)</f>
      </c>
    </row>
    <row r="407">
      <c r="A407" t="s">
        <v>1467</v>
      </c>
      <c r="B407" t="s">
        <v>1881</v>
      </c>
      <c r="C407">
        <f>IF(ISBLANK('Test case'!AC16),"",'Test case'!AC16)</f>
      </c>
    </row>
    <row r="408">
      <c r="A408" t="s">
        <v>1468</v>
      </c>
      <c r="B408" t="s">
        <v>1881</v>
      </c>
      <c r="C408">
        <f>IF(ISBLANK('Test case'!AC17),"",'Test case'!AC17)</f>
      </c>
    </row>
    <row r="409">
      <c r="A409" t="s">
        <v>1469</v>
      </c>
      <c r="B409" t="s">
        <v>1881</v>
      </c>
      <c r="C409">
        <f>IF(ISBLANK('Test case'!AC18),"",'Test case'!AC18)</f>
      </c>
    </row>
    <row r="410">
      <c r="A410" t="s">
        <v>1470</v>
      </c>
      <c r="B410" t="s">
        <v>1881</v>
      </c>
      <c r="C410">
        <f>IF(ISBLANK('Test case'!AC19),"",'Test case'!AC19)</f>
      </c>
    </row>
    <row r="411">
      <c r="A411" t="s">
        <v>1471</v>
      </c>
      <c r="B411" t="s">
        <v>1881</v>
      </c>
      <c r="C411">
        <f>IF(ISBLANK('Test case'!AC20),"",'Test case'!AC20)</f>
      </c>
    </row>
    <row r="412">
      <c r="A412" t="s">
        <v>1472</v>
      </c>
      <c r="B412" t="s">
        <v>1881</v>
      </c>
      <c r="C412">
        <f>IF(ISBLANK('Test case'!AC21),"",'Test case'!AC21)</f>
      </c>
    </row>
    <row r="413">
      <c r="A413" t="s">
        <v>3196</v>
      </c>
      <c r="B413" t="s">
        <v>1881</v>
      </c>
      <c r="C413">
        <f>IF(ISBLANK('Test case'!AC22),"",'Test case'!AC22)</f>
      </c>
    </row>
    <row r="414">
      <c r="A414" t="s">
        <v>3197</v>
      </c>
      <c r="B414" t="s">
        <v>1881</v>
      </c>
      <c r="C414">
        <f>IF(ISBLANK('Test case'!AC23),"",'Test case'!AC23)</f>
      </c>
    </row>
    <row r="415">
      <c r="A415" t="s">
        <v>3198</v>
      </c>
      <c r="B415" t="s">
        <v>1881</v>
      </c>
      <c r="C415">
        <f>IF(ISBLANK('Test case'!AC24),"",'Test case'!AC24)</f>
      </c>
    </row>
    <row r="416">
      <c r="A416" t="s">
        <v>3199</v>
      </c>
      <c r="B416" t="s">
        <v>1881</v>
      </c>
      <c r="C416">
        <f>IF(ISBLANK('Test case'!AC25),"",'Test case'!AC25)</f>
      </c>
    </row>
    <row r="417">
      <c r="A417" t="s">
        <v>3200</v>
      </c>
      <c r="B417" t="s">
        <v>1881</v>
      </c>
      <c r="C417">
        <f>IF(ISBLANK('Test case'!AC26),"",'Test case'!AC26)</f>
      </c>
    </row>
    <row r="418">
      <c r="A418" t="s">
        <v>3201</v>
      </c>
      <c r="B418" t="s">
        <v>1881</v>
      </c>
      <c r="C418">
        <f>IF(ISBLANK('Test case'!AC27),"",'Test case'!AC27)</f>
      </c>
    </row>
    <row r="419">
      <c r="A419" t="s">
        <v>3202</v>
      </c>
      <c r="B419" t="s">
        <v>1881</v>
      </c>
      <c r="C419">
        <f>IF(ISBLANK('Test case'!AC28),"",'Test case'!AC28)</f>
      </c>
    </row>
    <row r="420">
      <c r="A420" t="s">
        <v>3203</v>
      </c>
      <c r="B420" t="s">
        <v>1881</v>
      </c>
      <c r="C420">
        <f>IF(ISBLANK('Test case'!AC29),"",'Test case'!AC29)</f>
      </c>
    </row>
    <row r="421">
      <c r="A421" t="s">
        <v>3204</v>
      </c>
      <c r="B421" t="s">
        <v>1881</v>
      </c>
      <c r="C421">
        <f>IF(ISBLANK('Test case'!AC30),"",'Test case'!AC30)</f>
      </c>
    </row>
    <row r="422">
      <c r="A422" t="s">
        <v>3205</v>
      </c>
      <c r="B422" t="s">
        <v>1881</v>
      </c>
      <c r="C422">
        <f>IF(ISBLANK('Test case'!AC31),"",'Test case'!AC31)</f>
      </c>
    </row>
    <row r="423">
      <c r="A423" t="s">
        <v>3206</v>
      </c>
      <c r="B423" t="s">
        <v>1881</v>
      </c>
      <c r="C423">
        <f>IF(ISBLANK('Test case'!AC32),"",'Test case'!AC32)</f>
      </c>
    </row>
    <row r="424">
      <c r="A424" t="s">
        <v>3207</v>
      </c>
      <c r="B424" t="s">
        <v>1881</v>
      </c>
      <c r="C424">
        <f>IF(ISBLANK('Test case'!AC33),"",'Test case'!AC33)</f>
      </c>
    </row>
    <row r="425">
      <c r="A425" t="s">
        <v>3208</v>
      </c>
      <c r="B425" t="s">
        <v>1881</v>
      </c>
      <c r="C425">
        <f>IF(ISBLANK('Test case'!AC34),"",'Test case'!AC34)</f>
      </c>
    </row>
    <row r="426">
      <c r="A426" t="s">
        <v>3209</v>
      </c>
      <c r="B426" t="s">
        <v>1881</v>
      </c>
      <c r="C426">
        <f>IF(ISBLANK('Test case'!AC35),"",'Test case'!AC35)</f>
      </c>
    </row>
    <row r="427">
      <c r="A427" t="s">
        <v>3210</v>
      </c>
      <c r="B427" t="s">
        <v>1881</v>
      </c>
      <c r="C427">
        <f>IF(ISBLANK('Test case'!AC36),"",'Test case'!AC36)</f>
      </c>
    </row>
    <row r="428">
      <c r="A428" t="s">
        <v>2039</v>
      </c>
      <c r="B428" t="s">
        <v>1881</v>
      </c>
      <c r="C428">
        <f>IF(ISBLANK('Test case'!AC37),"",'Test case'!AC37)</f>
      </c>
    </row>
    <row r="429">
      <c r="A429" t="s">
        <v>2040</v>
      </c>
      <c r="B429" t="s">
        <v>1881</v>
      </c>
      <c r="C429">
        <f>IF(ISBLANK('Test case'!AC38),"",'Test case'!AC38)</f>
      </c>
    </row>
    <row r="430">
      <c r="A430" t="s">
        <v>644</v>
      </c>
      <c r="B430" t="s">
        <v>1881</v>
      </c>
      <c r="C430">
        <f>IF(ISBLANK('Test case'!AC39),"",'Test case'!AC39)</f>
      </c>
    </row>
    <row r="431">
      <c r="A431" t="s">
        <v>645</v>
      </c>
      <c r="B431" t="s">
        <v>1881</v>
      </c>
      <c r="C431">
        <f>IF(ISBLANK('Test case'!AC40),"",'Test case'!AC40)</f>
      </c>
    </row>
    <row r="432">
      <c r="A432" t="s">
        <v>646</v>
      </c>
      <c r="B432" t="s">
        <v>1881</v>
      </c>
      <c r="C432">
        <f>IF(ISBLANK('Test case'!AC41),"",'Test case'!AC41)</f>
      </c>
    </row>
    <row r="433">
      <c r="A433" t="s">
        <v>3911</v>
      </c>
      <c r="B433" t="s">
        <v>1881</v>
      </c>
      <c r="C433">
        <f>IF(ISBLANK('Test case'!AC42),"",'Test case'!AC42)</f>
      </c>
    </row>
    <row r="434">
      <c r="A434" t="s">
        <v>3912</v>
      </c>
      <c r="B434" t="s">
        <v>1881</v>
      </c>
      <c r="C434">
        <f>IF(ISBLANK('Test case'!AC43),"",'Test case'!AC43)</f>
      </c>
    </row>
    <row r="435">
      <c r="A435" t="s">
        <v>3913</v>
      </c>
      <c r="B435" t="s">
        <v>1881</v>
      </c>
      <c r="C435">
        <f>IF(ISBLANK('Test case'!AC44),"",'Test case'!AC44)</f>
      </c>
    </row>
    <row r="436">
      <c r="A436" t="s">
        <v>3914</v>
      </c>
      <c r="B436" t="s">
        <v>1881</v>
      </c>
      <c r="C436">
        <f>IF(ISBLANK('Test case'!AC45),"",'Test case'!AC45)</f>
      </c>
    </row>
    <row r="437">
      <c r="A437" t="s">
        <v>3915</v>
      </c>
      <c r="B437" t="s">
        <v>1881</v>
      </c>
      <c r="C437">
        <f>IF(ISBLANK('Test case'!AC46),"",'Test case'!AC46)</f>
      </c>
    </row>
    <row r="438">
      <c r="A438" t="s">
        <v>3222</v>
      </c>
      <c r="B438" t="s">
        <v>1881</v>
      </c>
      <c r="C438">
        <f>IF(ISBLANK('Test case'!AC47),"",'Test case'!AC47)</f>
      </c>
    </row>
    <row r="439">
      <c r="A439" t="s">
        <v>3223</v>
      </c>
      <c r="B439" t="s">
        <v>1881</v>
      </c>
      <c r="C439">
        <f>IF(ISBLANK('Test case'!AC48),"",'Test case'!AC48)</f>
      </c>
    </row>
    <row r="440">
      <c r="A440" t="s">
        <v>3224</v>
      </c>
      <c r="B440" t="s">
        <v>1881</v>
      </c>
      <c r="C440">
        <f>IF(ISBLANK('Test case'!AC49),"",'Test case'!AC49)</f>
      </c>
    </row>
    <row r="441">
      <c r="A441" t="s">
        <v>3225</v>
      </c>
      <c r="B441" t="s">
        <v>1881</v>
      </c>
      <c r="C441">
        <f>IF(ISBLANK('Test case'!AC50),"",'Test case'!AC50)</f>
      </c>
    </row>
    <row r="442">
      <c r="A442" t="s">
        <v>3226</v>
      </c>
      <c r="B442" t="s">
        <v>1881</v>
      </c>
      <c r="C442">
        <f>IF(ISBLANK('Test case'!AC51),"",'Test case'!AC51)</f>
      </c>
    </row>
    <row r="443">
      <c r="A443" t="s">
        <v>3227</v>
      </c>
      <c r="B443" t="s">
        <v>1881</v>
      </c>
      <c r="C443">
        <f>IF(ISBLANK('Test case'!AC52),"",'Test case'!AC52)</f>
      </c>
    </row>
    <row r="444">
      <c r="A444" t="s">
        <v>3228</v>
      </c>
      <c r="B444" t="s">
        <v>1881</v>
      </c>
      <c r="C444">
        <f>IF(ISBLANK('Test case'!AC53),"",'Test case'!AC53)</f>
      </c>
    </row>
    <row r="445">
      <c r="A445" t="s">
        <v>3229</v>
      </c>
      <c r="B445" t="s">
        <v>1881</v>
      </c>
      <c r="C445">
        <f>IF(ISBLANK('Test case'!AF4),"",'Test case'!AF4)</f>
      </c>
    </row>
    <row r="446">
      <c r="A446" t="s">
        <v>3230</v>
      </c>
      <c r="B446" t="s">
        <v>1881</v>
      </c>
      <c r="C446">
        <f>IF(ISBLANK('Test case'!AF5),"",'Test case'!AF5)</f>
      </c>
    </row>
    <row r="447">
      <c r="A447" t="s">
        <v>3231</v>
      </c>
      <c r="B447" t="s">
        <v>1881</v>
      </c>
      <c r="C447">
        <f>IF(ISBLANK('Test case'!AF6),"",'Test case'!AF6)</f>
      </c>
    </row>
    <row r="448">
      <c r="A448" t="s">
        <v>3232</v>
      </c>
      <c r="B448" t="s">
        <v>1881</v>
      </c>
      <c r="C448">
        <f>IF(ISBLANK('Test case'!AF7),"",'Test case'!AF7)</f>
      </c>
    </row>
    <row r="449">
      <c r="A449" t="s">
        <v>3233</v>
      </c>
      <c r="B449" t="s">
        <v>1881</v>
      </c>
      <c r="C449">
        <f>IF(ISBLANK('Test case'!AF8),"",'Test case'!AF8)</f>
      </c>
    </row>
    <row r="450">
      <c r="A450" t="s">
        <v>3234</v>
      </c>
      <c r="B450" t="s">
        <v>1881</v>
      </c>
      <c r="C450">
        <f>IF(ISBLANK('Test case'!AF9),"",'Test case'!AF9)</f>
      </c>
    </row>
    <row r="451">
      <c r="A451" t="s">
        <v>3800</v>
      </c>
      <c r="B451" t="s">
        <v>1881</v>
      </c>
      <c r="C451">
        <f>IF(ISBLANK('Test case'!AF10),"",'Test case'!AF10)</f>
      </c>
    </row>
    <row r="452">
      <c r="A452" t="s">
        <v>3801</v>
      </c>
      <c r="B452" t="s">
        <v>1881</v>
      </c>
      <c r="C452">
        <f>IF(ISBLANK('Test case'!AF11),"",'Test case'!AF11)</f>
      </c>
    </row>
    <row r="453">
      <c r="A453" t="s">
        <v>3802</v>
      </c>
      <c r="B453" t="s">
        <v>1881</v>
      </c>
      <c r="C453">
        <f>IF(ISBLANK('Test case'!AF12),"",'Test case'!AF12)</f>
      </c>
    </row>
    <row r="454">
      <c r="A454" t="s">
        <v>3803</v>
      </c>
      <c r="B454" t="s">
        <v>1881</v>
      </c>
      <c r="C454">
        <f>IF(ISBLANK('Test case'!AF13),"",'Test case'!AF13)</f>
      </c>
    </row>
    <row r="455">
      <c r="A455" t="s">
        <v>3804</v>
      </c>
      <c r="B455" t="s">
        <v>1881</v>
      </c>
      <c r="C455">
        <f>IF(ISBLANK('Test case'!AF14),"",'Test case'!AF14)</f>
      </c>
    </row>
    <row r="456">
      <c r="A456" t="s">
        <v>3805</v>
      </c>
      <c r="B456" t="s">
        <v>1881</v>
      </c>
      <c r="C456">
        <f>IF(ISBLANK('Test case'!AF15),"",'Test case'!AF15)</f>
      </c>
    </row>
    <row r="457">
      <c r="A457" t="s">
        <v>3806</v>
      </c>
      <c r="B457" t="s">
        <v>1881</v>
      </c>
      <c r="C457">
        <f>IF(ISBLANK('Test case'!AF16),"",'Test case'!AF16)</f>
      </c>
    </row>
    <row r="458">
      <c r="A458" t="s">
        <v>3807</v>
      </c>
      <c r="B458" t="s">
        <v>1881</v>
      </c>
      <c r="C458">
        <f>IF(ISBLANK('Test case'!AF17),"",'Test case'!AF17)</f>
      </c>
    </row>
    <row r="459">
      <c r="A459" t="s">
        <v>3808</v>
      </c>
      <c r="B459" t="s">
        <v>1881</v>
      </c>
      <c r="C459">
        <f>IF(ISBLANK('Test case'!AF18),"",'Test case'!AF18)</f>
      </c>
    </row>
    <row r="460">
      <c r="A460" t="s">
        <v>3809</v>
      </c>
      <c r="B460" t="s">
        <v>1881</v>
      </c>
      <c r="C460">
        <f>IF(ISBLANK('Test case'!AF19),"",'Test case'!AF19)</f>
      </c>
    </row>
    <row r="461">
      <c r="A461" t="s">
        <v>3810</v>
      </c>
      <c r="B461" t="s">
        <v>952</v>
      </c>
      <c r="C461">
        <f>IF(ISBLANK('Test case'!AI4),"",'Test case'!AI4)</f>
      </c>
    </row>
    <row r="462">
      <c r="A462" t="s">
        <v>3616</v>
      </c>
      <c r="B462" t="s">
        <v>952</v>
      </c>
      <c r="C462">
        <f>IF(ISBLANK('Test case'!AI5),"",'Test case'!AI5)</f>
      </c>
    </row>
    <row r="463">
      <c r="A463" t="s">
        <v>3617</v>
      </c>
      <c r="B463" t="s">
        <v>952</v>
      </c>
      <c r="C463">
        <f>IF(ISBLANK('Test case'!AI6),"",'Test case'!AI6)</f>
      </c>
    </row>
    <row r="464">
      <c r="A464" t="s">
        <v>3618</v>
      </c>
      <c r="B464" t="s">
        <v>952</v>
      </c>
      <c r="C464">
        <f>IF(ISBLANK('Test case'!AI7),"",'Test case'!AI7)</f>
      </c>
    </row>
    <row r="465">
      <c r="A465" t="s">
        <v>3619</v>
      </c>
      <c r="B465" t="s">
        <v>952</v>
      </c>
      <c r="C465">
        <f>IF(ISBLANK('Test case'!AI8),"",'Test case'!AI8)</f>
      </c>
    </row>
    <row r="466">
      <c r="A466" t="s">
        <v>3620</v>
      </c>
      <c r="B466" t="s">
        <v>952</v>
      </c>
      <c r="C466">
        <f>IF(ISBLANK('Test case'!AI9),"",'Test case'!AI9)</f>
      </c>
    </row>
    <row r="467">
      <c r="A467" t="s">
        <v>3621</v>
      </c>
      <c r="B467" t="s">
        <v>952</v>
      </c>
      <c r="C467">
        <f>IF(ISBLANK('Test case'!AI10),"",'Test case'!AI10)</f>
      </c>
    </row>
    <row r="468">
      <c r="A468" t="s">
        <v>3622</v>
      </c>
      <c r="B468" t="s">
        <v>952</v>
      </c>
      <c r="C468">
        <f>IF(ISBLANK('Test case'!AI11),"",'Test case'!AI11)</f>
      </c>
    </row>
    <row r="469">
      <c r="A469" t="s">
        <v>3623</v>
      </c>
      <c r="B469" t="s">
        <v>952</v>
      </c>
      <c r="C469">
        <f>IF(ISBLANK('Test case'!AI12),"",'Test case'!AI12)</f>
      </c>
    </row>
    <row r="470">
      <c r="A470" t="s">
        <v>3624</v>
      </c>
      <c r="B470" t="s">
        <v>952</v>
      </c>
      <c r="C470">
        <f>IF(ISBLANK('Test case'!AI13),"",'Test case'!AI13)</f>
      </c>
    </row>
    <row r="471">
      <c r="A471" t="s">
        <v>3625</v>
      </c>
      <c r="B471" t="s">
        <v>952</v>
      </c>
      <c r="C471">
        <f>IF(ISBLANK('Test case'!AI14),"",'Test case'!AI14)</f>
      </c>
    </row>
    <row r="472">
      <c r="A472" t="s">
        <v>3626</v>
      </c>
      <c r="B472" t="s">
        <v>952</v>
      </c>
      <c r="C472">
        <f>IF(ISBLANK('Test case'!AI15),"",'Test case'!AI15)</f>
      </c>
    </row>
    <row r="473">
      <c r="A473" t="s">
        <v>3627</v>
      </c>
      <c r="B473" t="s">
        <v>952</v>
      </c>
      <c r="C473">
        <f>IF(ISBLANK('Test case'!AI16),"",'Test case'!AI16)</f>
      </c>
    </row>
    <row r="474">
      <c r="A474" t="s">
        <v>3628</v>
      </c>
      <c r="B474" t="s">
        <v>952</v>
      </c>
      <c r="C474">
        <f>IF(ISBLANK('Test case'!AI17),"",'Test case'!AI17)</f>
      </c>
    </row>
    <row r="475">
      <c r="A475" t="s">
        <v>3629</v>
      </c>
      <c r="B475" t="s">
        <v>952</v>
      </c>
      <c r="C475">
        <f>IF(ISBLANK('Test case'!AI18),"",'Test case'!AI18)</f>
      </c>
    </row>
    <row r="476">
      <c r="A476" t="s">
        <v>3630</v>
      </c>
      <c r="B476" t="s">
        <v>952</v>
      </c>
      <c r="C476">
        <f>IF(ISBLANK('Test case'!AI19),"",'Test case'!AI19)</f>
      </c>
    </row>
    <row r="477">
      <c r="A477" t="s">
        <v>3631</v>
      </c>
      <c r="B477" t="s">
        <v>952</v>
      </c>
      <c r="C477">
        <f>IF(ISBLANK('Test case'!AI20),"",'Test case'!AI20)</f>
      </c>
    </row>
    <row r="478">
      <c r="A478" t="s">
        <v>3632</v>
      </c>
      <c r="B478" t="s">
        <v>952</v>
      </c>
      <c r="C478">
        <f>IF(ISBLANK('Test case'!AI21),"",'Test case'!AI21)</f>
      </c>
    </row>
    <row r="479">
      <c r="A479" t="s">
        <v>3633</v>
      </c>
      <c r="B479" t="s">
        <v>952</v>
      </c>
      <c r="C479">
        <f>IF(ISBLANK('Test case'!AI22),"",'Test case'!AI22)</f>
      </c>
    </row>
    <row r="480">
      <c r="A480" t="s">
        <v>3634</v>
      </c>
      <c r="B480" t="s">
        <v>952</v>
      </c>
      <c r="C480">
        <f>IF(ISBLANK('Test case'!AI23),"",'Test case'!AI23)</f>
      </c>
    </row>
    <row r="481">
      <c r="A481" t="s">
        <v>3635</v>
      </c>
      <c r="B481" t="s">
        <v>952</v>
      </c>
      <c r="C481">
        <f>IF(ISBLANK('Test case'!AI24),"",'Test case'!AI24)</f>
      </c>
    </row>
    <row r="482">
      <c r="A482" t="s">
        <v>3710</v>
      </c>
      <c r="B482" t="s">
        <v>952</v>
      </c>
      <c r="C482">
        <f>IF(ISBLANK('Test case'!AI25),"",'Test case'!AI25)</f>
      </c>
    </row>
    <row r="483">
      <c r="A483" t="s">
        <v>3711</v>
      </c>
      <c r="B483" t="s">
        <v>952</v>
      </c>
      <c r="C483">
        <f>IF(ISBLANK('Test case'!AI26),"",'Test case'!AI26)</f>
      </c>
    </row>
    <row r="484">
      <c r="A484" t="s">
        <v>3712</v>
      </c>
      <c r="B484" t="s">
        <v>952</v>
      </c>
      <c r="C484">
        <f>IF(ISBLANK('Test case'!AI27),"",'Test case'!AI27)</f>
      </c>
    </row>
    <row r="485">
      <c r="A485" t="s">
        <v>3713</v>
      </c>
      <c r="B485" t="s">
        <v>952</v>
      </c>
      <c r="C485">
        <f>IF(ISBLANK('Test case'!AI28),"",'Test case'!AI28)</f>
      </c>
    </row>
    <row r="486">
      <c r="A486" t="s">
        <v>3714</v>
      </c>
      <c r="B486" t="s">
        <v>952</v>
      </c>
      <c r="C486">
        <f>IF(ISBLANK('Test case'!AI29),"",'Test case'!AI29)</f>
      </c>
    </row>
    <row r="487">
      <c r="A487" t="s">
        <v>3715</v>
      </c>
      <c r="B487" t="s">
        <v>952</v>
      </c>
      <c r="C487">
        <f>IF(ISBLANK('Test case'!AI30),"",'Test case'!AI30)</f>
      </c>
    </row>
    <row r="488">
      <c r="A488" t="s">
        <v>3716</v>
      </c>
      <c r="B488" t="s">
        <v>952</v>
      </c>
      <c r="C488">
        <f>IF(ISBLANK('Test case'!AI31),"",'Test case'!AI31)</f>
      </c>
    </row>
    <row r="489">
      <c r="A489" t="s">
        <v>3717</v>
      </c>
      <c r="B489" t="s">
        <v>952</v>
      </c>
      <c r="C489">
        <f>IF(ISBLANK('Test case'!AI32),"",'Test case'!AI32)</f>
      </c>
    </row>
    <row r="490">
      <c r="A490" t="s">
        <v>1571</v>
      </c>
      <c r="B490" t="s">
        <v>952</v>
      </c>
      <c r="C490">
        <f>IF(ISBLANK('Test case'!AI33),"",'Test case'!AI33)</f>
      </c>
    </row>
    <row r="491">
      <c r="A491" t="s">
        <v>2412</v>
      </c>
      <c r="B491" t="s">
        <v>952</v>
      </c>
      <c r="C491">
        <f>IF(ISBLANK('Test case'!AI34),"",'Test case'!AI34)</f>
      </c>
    </row>
    <row r="492">
      <c r="A492" t="s">
        <v>2413</v>
      </c>
      <c r="B492" t="s">
        <v>952</v>
      </c>
      <c r="C492">
        <f>IF(ISBLANK('Test case'!AI35),"",'Test case'!AI35)</f>
      </c>
    </row>
    <row r="493">
      <c r="A493" t="s">
        <v>1572</v>
      </c>
      <c r="B493" t="s">
        <v>952</v>
      </c>
      <c r="C493">
        <f>IF(ISBLANK('Test case'!AL4),"",'Test case'!AL4)</f>
      </c>
    </row>
    <row r="494">
      <c r="A494" t="s">
        <v>1573</v>
      </c>
      <c r="B494" t="s">
        <v>952</v>
      </c>
      <c r="C494">
        <f>IF(ISBLANK('Test case'!AL5),"",'Test case'!AL5)</f>
      </c>
    </row>
    <row r="495">
      <c r="A495" t="s">
        <v>1574</v>
      </c>
      <c r="B495" t="s">
        <v>952</v>
      </c>
      <c r="C495">
        <f>IF(ISBLANK('Test case'!AL6),"",'Test case'!AL6)</f>
      </c>
    </row>
    <row r="496">
      <c r="A496" t="s">
        <v>1575</v>
      </c>
      <c r="B496" t="s">
        <v>952</v>
      </c>
      <c r="C496">
        <f>IF(ISBLANK('Test case'!AL7),"",'Test case'!AL7)</f>
      </c>
    </row>
    <row r="497">
      <c r="A497" t="s">
        <v>1576</v>
      </c>
      <c r="B497" t="s">
        <v>952</v>
      </c>
      <c r="C497">
        <f>IF(ISBLANK('Test case'!AL8),"",'Test case'!AL8)</f>
      </c>
    </row>
    <row r="498">
      <c r="A498" t="s">
        <v>1577</v>
      </c>
      <c r="B498" t="s">
        <v>952</v>
      </c>
      <c r="C498">
        <f>IF(ISBLANK('Test case'!AL9),"",'Test case'!AL9)</f>
      </c>
    </row>
    <row r="499">
      <c r="A499" t="s">
        <v>1578</v>
      </c>
      <c r="B499" t="s">
        <v>952</v>
      </c>
      <c r="C499">
        <f>IF(ISBLANK('Test case'!AL10),"",'Test case'!AL10)</f>
      </c>
    </row>
    <row r="500">
      <c r="A500" t="s">
        <v>1579</v>
      </c>
      <c r="B500" t="s">
        <v>952</v>
      </c>
      <c r="C500">
        <f>IF(ISBLANK('Test case'!AL11),"",'Test case'!AL11)</f>
      </c>
    </row>
    <row r="501">
      <c r="A501" t="s">
        <v>1580</v>
      </c>
      <c r="B501" t="s">
        <v>952</v>
      </c>
      <c r="C501">
        <f>IF(ISBLANK('Test case'!AL12),"",'Test case'!AL12)</f>
      </c>
    </row>
    <row r="502">
      <c r="A502" t="s">
        <v>1581</v>
      </c>
      <c r="B502" t="s">
        <v>952</v>
      </c>
      <c r="C502">
        <f>IF(ISBLANK('Test case'!AL13),"",'Test case'!AL13)</f>
      </c>
    </row>
    <row r="503">
      <c r="A503" t="s">
        <v>1582</v>
      </c>
      <c r="B503" t="s">
        <v>952</v>
      </c>
      <c r="C503">
        <f>IF(ISBLANK('Test case'!AL14),"",'Test case'!AL14)</f>
      </c>
    </row>
    <row r="504">
      <c r="A504" t="s">
        <v>1583</v>
      </c>
      <c r="B504" t="s">
        <v>952</v>
      </c>
      <c r="C504">
        <f>IF(ISBLANK('Test case'!AL15),"",'Test case'!AL15)</f>
      </c>
    </row>
    <row r="505">
      <c r="A505" t="s">
        <v>1584</v>
      </c>
      <c r="B505" t="s">
        <v>952</v>
      </c>
      <c r="C505">
        <f>IF(ISBLANK('Test case'!AL16),"",'Test case'!AL16)</f>
      </c>
    </row>
    <row r="506">
      <c r="A506" t="s">
        <v>1585</v>
      </c>
      <c r="B506" t="s">
        <v>952</v>
      </c>
      <c r="C506">
        <f>IF(ISBLANK('Test case'!AL17),"",'Test case'!AL17)</f>
      </c>
    </row>
    <row r="507">
      <c r="A507" t="s">
        <v>1586</v>
      </c>
      <c r="B507" t="s">
        <v>952</v>
      </c>
      <c r="C507">
        <f>IF(ISBLANK('Test case'!AL18),"",'Test case'!AL18)</f>
      </c>
    </row>
    <row r="508">
      <c r="A508" t="s">
        <v>1587</v>
      </c>
      <c r="B508" t="s">
        <v>952</v>
      </c>
      <c r="C508">
        <f>IF(ISBLANK('Test case'!AL19),"",'Test case'!AL19)</f>
      </c>
    </row>
    <row r="509">
      <c r="A509" t="s">
        <v>1588</v>
      </c>
      <c r="B509" t="s">
        <v>952</v>
      </c>
      <c r="C509">
        <f>IF(ISBLANK('Test case'!AL20),"",'Test case'!AL20)</f>
      </c>
    </row>
    <row r="510">
      <c r="A510" t="s">
        <v>1589</v>
      </c>
      <c r="B510" t="s">
        <v>952</v>
      </c>
      <c r="C510">
        <f>IF(ISBLANK('Test case'!AL21),"",'Test case'!AL21)</f>
      </c>
    </row>
    <row r="511">
      <c r="A511" t="s">
        <v>1590</v>
      </c>
      <c r="B511" t="s">
        <v>952</v>
      </c>
      <c r="C511">
        <f>IF(ISBLANK('Test case'!AL22),"",'Test case'!AL22)</f>
      </c>
    </row>
    <row r="512">
      <c r="A512" t="s">
        <v>1591</v>
      </c>
      <c r="B512" t="s">
        <v>952</v>
      </c>
      <c r="C512">
        <f>IF(ISBLANK('Test case'!AL23),"",'Test case'!AL23)</f>
      </c>
    </row>
    <row r="513">
      <c r="A513" t="s">
        <v>1592</v>
      </c>
      <c r="B513" t="s">
        <v>952</v>
      </c>
      <c r="C513">
        <f>IF(ISBLANK('Test case'!AL24),"",'Test case'!AL24)</f>
      </c>
    </row>
    <row r="514">
      <c r="A514" t="s">
        <v>1593</v>
      </c>
      <c r="B514" t="s">
        <v>952</v>
      </c>
      <c r="C514">
        <f>IF(ISBLANK('Test case'!AL25),"",'Test case'!AL25)</f>
      </c>
    </row>
    <row r="515">
      <c r="A515" t="s">
        <v>2446</v>
      </c>
      <c r="B515" t="s">
        <v>952</v>
      </c>
      <c r="C515">
        <f>IF(ISBLANK('Test case'!AL26),"",'Test case'!AL26)</f>
      </c>
    </row>
    <row r="516">
      <c r="A516" t="s">
        <v>852</v>
      </c>
      <c r="B516" t="s">
        <v>952</v>
      </c>
      <c r="C516">
        <f>IF(ISBLANK('Test case'!AL27),"",'Test case'!AL27)</f>
      </c>
    </row>
    <row r="517">
      <c r="A517" t="s">
        <v>853</v>
      </c>
      <c r="B517" t="s">
        <v>952</v>
      </c>
      <c r="C517">
        <f>IF(ISBLANK('Test case'!AL28),"",'Test case'!AL28)</f>
      </c>
    </row>
    <row r="518">
      <c r="A518" t="s">
        <v>854</v>
      </c>
      <c r="B518" t="s">
        <v>952</v>
      </c>
      <c r="C518">
        <f>IF(ISBLANK('Test case'!AL29),"",'Test case'!AL29)</f>
      </c>
    </row>
    <row r="519">
      <c r="A519" t="s">
        <v>855</v>
      </c>
      <c r="B519" t="s">
        <v>952</v>
      </c>
      <c r="C519">
        <f>IF(ISBLANK('Test case'!AL30),"",'Test case'!AL30)</f>
      </c>
    </row>
    <row r="520">
      <c r="A520" t="s">
        <v>856</v>
      </c>
      <c r="B520" t="s">
        <v>952</v>
      </c>
      <c r="C520">
        <f>IF(ISBLANK('Test case'!AL31),"",'Test case'!AL31)</f>
      </c>
    </row>
    <row r="521">
      <c r="A521" t="s">
        <v>857</v>
      </c>
      <c r="B521" t="s">
        <v>952</v>
      </c>
      <c r="C521">
        <f>IF(ISBLANK('Test case'!AL32),"",'Test case'!AL32)</f>
      </c>
    </row>
    <row r="522">
      <c r="A522" t="s">
        <v>858</v>
      </c>
      <c r="B522" t="s">
        <v>952</v>
      </c>
      <c r="C522">
        <f>IF(ISBLANK('Test case'!AL33),"",'Test case'!AL33)</f>
      </c>
    </row>
    <row r="523">
      <c r="A523" t="s">
        <v>2224</v>
      </c>
      <c r="B523" t="s">
        <v>952</v>
      </c>
      <c r="C523">
        <f>IF(ISBLANK('Test case'!AL34),"",'Test case'!AL34)</f>
      </c>
    </row>
    <row r="524">
      <c r="A524" t="s">
        <v>2225</v>
      </c>
      <c r="B524" t="s">
        <v>952</v>
      </c>
      <c r="C524">
        <f>IF(ISBLANK('Test case'!AL35),"",'Test case'!AL35)</f>
      </c>
    </row>
    <row r="525">
      <c r="A525" t="s">
        <v>2226</v>
      </c>
      <c r="B525" t="s">
        <v>952</v>
      </c>
      <c r="C525">
        <f>IF(ISBLANK('Test case'!AL36),"",'Test case'!AL36)</f>
      </c>
    </row>
    <row r="526">
      <c r="A526" t="s">
        <v>2227</v>
      </c>
      <c r="B526" t="s">
        <v>952</v>
      </c>
      <c r="C526">
        <f>IF(ISBLANK('Test case'!AL37),"",'Test case'!AL37)</f>
      </c>
    </row>
    <row r="527">
      <c r="A527" t="s">
        <v>2228</v>
      </c>
      <c r="B527" t="s">
        <v>952</v>
      </c>
      <c r="C527">
        <f>IF(ISBLANK('Test case'!AL38),"",'Test case'!AL38)</f>
      </c>
    </row>
    <row r="528">
      <c r="A528" t="s">
        <v>2229</v>
      </c>
      <c r="B528" t="s">
        <v>952</v>
      </c>
      <c r="C528">
        <f>IF(ISBLANK('Test case'!AL39),"",'Test case'!AL39)</f>
      </c>
    </row>
    <row r="529">
      <c r="A529" t="s">
        <v>2230</v>
      </c>
      <c r="B529" t="s">
        <v>952</v>
      </c>
      <c r="C529">
        <f>IF(ISBLANK('Test case'!AL40),"",'Test case'!AL40)</f>
      </c>
    </row>
    <row r="530">
      <c r="A530" t="s">
        <v>2231</v>
      </c>
      <c r="B530" t="s">
        <v>952</v>
      </c>
      <c r="C530">
        <f>IF(ISBLANK('Test case'!AL41),"",'Test case'!AL41)</f>
      </c>
    </row>
    <row r="531">
      <c r="A531" t="s">
        <v>2232</v>
      </c>
      <c r="B531" t="s">
        <v>952</v>
      </c>
      <c r="C531">
        <f>IF(ISBLANK('Test case'!AL42),"",'Test case'!AL42)</f>
      </c>
    </row>
    <row r="532">
      <c r="A532" t="s">
        <v>2233</v>
      </c>
      <c r="B532" t="s">
        <v>952</v>
      </c>
      <c r="C532">
        <f>IF(ISBLANK('Test case'!AL43),"",'Test case'!AL43)</f>
      </c>
    </row>
    <row r="533">
      <c r="A533" t="s">
        <v>2234</v>
      </c>
      <c r="B533" t="s">
        <v>952</v>
      </c>
      <c r="C533">
        <f>IF(ISBLANK('Test case'!AL44),"",'Test case'!AL44)</f>
      </c>
    </row>
    <row r="534">
      <c r="A534" t="s">
        <v>6559</v>
      </c>
      <c r="B534" t="s">
        <v>952</v>
      </c>
      <c r="C534">
        <f>IF(ISBLANK('Test case'!AL45),"",'Test case'!AL45)</f>
      </c>
    </row>
    <row r="535">
      <c r="A535" t="s">
        <v>6855</v>
      </c>
      <c r="B535" t="s">
        <v>952</v>
      </c>
      <c r="C535">
        <f>IF(ISBLANK('Test case'!AL46),"",'Test case'!AL46)</f>
      </c>
    </row>
    <row r="536">
      <c r="A536" t="s">
        <v>6450</v>
      </c>
      <c r="B536" t="s">
        <v>952</v>
      </c>
      <c r="C536">
        <f>IF(ISBLANK('Test case'!AL47),"",'Test case'!AL47)</f>
      </c>
    </row>
    <row r="537">
      <c r="A537" t="s">
        <v>2235</v>
      </c>
      <c r="B537" t="s">
        <v>952</v>
      </c>
      <c r="C537">
        <f>IF(ISBLANK('Test case'!AL48),"",'Test case'!AL48)</f>
      </c>
    </row>
    <row r="538">
      <c r="A538" t="s">
        <v>2236</v>
      </c>
      <c r="B538" t="s">
        <v>952</v>
      </c>
      <c r="C538">
        <f>IF(ISBLANK('Test case'!AL49),"",'Test case'!AL49)</f>
      </c>
    </row>
    <row r="539">
      <c r="A539" t="s">
        <v>2237</v>
      </c>
      <c r="B539" t="s">
        <v>952</v>
      </c>
      <c r="C539">
        <f>IF(ISBLANK('Test case'!AL50),"",'Test case'!AL50)</f>
      </c>
    </row>
    <row r="540">
      <c r="A540" t="s">
        <v>2238</v>
      </c>
      <c r="B540" t="s">
        <v>952</v>
      </c>
      <c r="C540">
        <f>IF(ISBLANK('Test case'!AL51),"",'Test case'!AL51)</f>
      </c>
    </row>
    <row r="541">
      <c r="A541" t="s">
        <v>33</v>
      </c>
      <c r="B541" t="s">
        <v>952</v>
      </c>
      <c r="C541">
        <f>IF(ISBLANK('Test case'!AL52),"",'Test case'!AL52)</f>
      </c>
    </row>
    <row r="542">
      <c r="A542" t="s">
        <v>34</v>
      </c>
      <c r="B542" t="s">
        <v>952</v>
      </c>
      <c r="C542">
        <f>IF(ISBLANK('Test case'!AL53),"",'Test case'!AL53)</f>
      </c>
    </row>
    <row r="543">
      <c r="A543" t="s">
        <v>35</v>
      </c>
      <c r="B543" t="s">
        <v>952</v>
      </c>
      <c r="C543">
        <f>IF(ISBLANK('Test case'!AL54),"",'Test case'!AL54)</f>
      </c>
    </row>
    <row r="544">
      <c r="A544" t="s">
        <v>2583</v>
      </c>
      <c r="B544" t="s">
        <v>952</v>
      </c>
      <c r="C544">
        <f>IF(ISBLANK('Test case'!AL55),"",'Test case'!AL55)</f>
      </c>
    </row>
    <row r="545">
      <c r="A545" t="s">
        <v>2584</v>
      </c>
      <c r="B545" t="s">
        <v>952</v>
      </c>
      <c r="C545">
        <f>IF(ISBLANK('Test case'!AL56),"",'Test case'!AL56)</f>
      </c>
    </row>
    <row r="546">
      <c r="A546" t="s">
        <v>2585</v>
      </c>
      <c r="B546" t="s">
        <v>952</v>
      </c>
      <c r="C546">
        <f>IF(ISBLANK('Test case'!AL57),"",'Test case'!AL57)</f>
      </c>
    </row>
    <row r="547">
      <c r="A547" t="s">
        <v>2586</v>
      </c>
      <c r="B547" t="s">
        <v>952</v>
      </c>
      <c r="C547">
        <f>IF(ISBLANK('Test case'!AO4),"",'Test case'!AO4)</f>
      </c>
    </row>
    <row r="548">
      <c r="A548" t="s">
        <v>2587</v>
      </c>
      <c r="B548" t="s">
        <v>952</v>
      </c>
      <c r="C548">
        <f>IF(ISBLANK('Test case'!AO5),"",'Test case'!AO5)</f>
      </c>
    </row>
    <row r="549">
      <c r="A549" t="s">
        <v>699</v>
      </c>
      <c r="B549" t="s">
        <v>952</v>
      </c>
      <c r="C549">
        <f>IF(ISBLANK('Test case'!AO6),"",'Test case'!AO6)</f>
      </c>
    </row>
    <row r="550">
      <c r="A550" t="s">
        <v>700</v>
      </c>
      <c r="B550" t="s">
        <v>952</v>
      </c>
      <c r="C550">
        <f>IF(ISBLANK('Test case'!AO7),"",'Test case'!AO7)</f>
      </c>
    </row>
    <row r="551">
      <c r="A551" t="s">
        <v>701</v>
      </c>
      <c r="B551" t="s">
        <v>952</v>
      </c>
      <c r="C551">
        <f>IF(ISBLANK('Test case'!AO8),"",'Test case'!AO8)</f>
      </c>
    </row>
    <row r="552">
      <c r="A552" t="s">
        <v>702</v>
      </c>
      <c r="B552" t="s">
        <v>952</v>
      </c>
      <c r="C552">
        <f>IF(ISBLANK('Test case'!AO9),"",'Test case'!AO9)</f>
      </c>
    </row>
    <row r="553">
      <c r="A553" t="s">
        <v>703</v>
      </c>
      <c r="B553" t="s">
        <v>952</v>
      </c>
      <c r="C553">
        <f>IF(ISBLANK('Test case'!AO10),"",'Test case'!AO10)</f>
      </c>
    </row>
    <row r="554">
      <c r="A554" t="s">
        <v>704</v>
      </c>
      <c r="B554" t="s">
        <v>952</v>
      </c>
      <c r="C554">
        <f>IF(ISBLANK('Test case'!AO11),"",'Test case'!AO11)</f>
      </c>
    </row>
    <row r="555">
      <c r="A555" t="s">
        <v>705</v>
      </c>
      <c r="B555" t="s">
        <v>952</v>
      </c>
      <c r="C555">
        <f>IF(ISBLANK('Test case'!AO12),"",'Test case'!AO12)</f>
      </c>
    </row>
    <row r="556">
      <c r="A556" t="s">
        <v>2807</v>
      </c>
      <c r="B556" t="s">
        <v>952</v>
      </c>
      <c r="C556">
        <f>IF(ISBLANK('Test case'!AO13),"",'Test case'!AO13)</f>
      </c>
    </row>
    <row r="557">
      <c r="A557" t="s">
        <v>2808</v>
      </c>
      <c r="B557" t="s">
        <v>952</v>
      </c>
      <c r="C557">
        <f>IF(ISBLANK('Test case'!AO14),"",'Test case'!AO14)</f>
      </c>
    </row>
    <row r="558">
      <c r="A558" t="s">
        <v>2809</v>
      </c>
      <c r="B558" t="s">
        <v>952</v>
      </c>
      <c r="C558">
        <f>IF(ISBLANK('Test case'!AO15),"",'Test case'!AO15)</f>
      </c>
    </row>
    <row r="559">
      <c r="A559" t="s">
        <v>6558</v>
      </c>
      <c r="B559" t="s">
        <v>952</v>
      </c>
      <c r="C559">
        <f>IF(ISBLANK('Test case'!AO16),"",'Test case'!AO16)</f>
      </c>
    </row>
    <row r="560">
      <c r="A560" t="s">
        <v>6856</v>
      </c>
      <c r="B560" t="s">
        <v>952</v>
      </c>
      <c r="C560">
        <f>IF(ISBLANK('Test case'!AO17),"",'Test case'!AO17)</f>
      </c>
    </row>
    <row r="561">
      <c r="A561" t="s">
        <v>6451</v>
      </c>
      <c r="B561" t="s">
        <v>952</v>
      </c>
      <c r="C561">
        <f>IF(ISBLANK('Test case'!AO18),"",'Test case'!AO18)</f>
      </c>
    </row>
    <row r="562">
      <c r="A562" t="s">
        <v>2810</v>
      </c>
      <c r="B562" t="s">
        <v>952</v>
      </c>
      <c r="C562">
        <f>IF(ISBLANK('Test case'!AO19),"",'Test case'!AO19)</f>
      </c>
    </row>
    <row r="563">
      <c r="A563" t="s">
        <v>2811</v>
      </c>
      <c r="B563" t="s">
        <v>952</v>
      </c>
      <c r="C563">
        <f>IF(ISBLANK('Test case'!AO20),"",'Test case'!AO20)</f>
      </c>
    </row>
    <row r="564">
      <c r="A564" t="s">
        <v>2812</v>
      </c>
      <c r="B564" t="s">
        <v>952</v>
      </c>
      <c r="C564">
        <f>IF(ISBLANK('Test case'!AO21),"",'Test case'!AO21)</f>
      </c>
    </row>
    <row r="565">
      <c r="A565" t="s">
        <v>1499</v>
      </c>
      <c r="B565" t="s">
        <v>952</v>
      </c>
      <c r="C565">
        <f>IF(ISBLANK('Test case'!AO22),"",'Test case'!AO22)</f>
      </c>
    </row>
    <row r="566">
      <c r="A566" t="s">
        <v>1500</v>
      </c>
      <c r="B566" t="s">
        <v>952</v>
      </c>
      <c r="C566">
        <f>IF(ISBLANK('Test case'!AO23),"",'Test case'!AO23)</f>
      </c>
    </row>
    <row r="567">
      <c r="A567" t="s">
        <v>1501</v>
      </c>
      <c r="B567" t="s">
        <v>952</v>
      </c>
      <c r="C567">
        <f>IF(ISBLANK('Test case'!AO24),"",'Test case'!AO24)</f>
      </c>
    </row>
    <row r="568">
      <c r="A568" t="s">
        <v>1137</v>
      </c>
      <c r="B568" t="s">
        <v>952</v>
      </c>
      <c r="C568">
        <f>IF(ISBLANK('Test case'!AO25),"",'Test case'!AO25)</f>
      </c>
    </row>
    <row r="569">
      <c r="A569" t="s">
        <v>1138</v>
      </c>
      <c r="B569" t="s">
        <v>952</v>
      </c>
      <c r="C569">
        <f>IF(ISBLANK('Test case'!AO26),"",'Test case'!AO26)</f>
      </c>
    </row>
    <row r="570">
      <c r="A570" t="s">
        <v>1139</v>
      </c>
      <c r="B570" t="s">
        <v>952</v>
      </c>
      <c r="C570">
        <f>IF(ISBLANK('Test case'!AO27),"",'Test case'!AO27)</f>
      </c>
    </row>
    <row r="571">
      <c r="A571" t="s">
        <v>1140</v>
      </c>
      <c r="B571" t="s">
        <v>952</v>
      </c>
      <c r="C571">
        <f>IF(ISBLANK('Test case'!AO28),"",'Test case'!AO28)</f>
      </c>
    </row>
    <row r="572">
      <c r="A572" t="s">
        <v>1141</v>
      </c>
      <c r="B572" t="s">
        <v>952</v>
      </c>
      <c r="C572">
        <f>IF(ISBLANK('Test case'!AO29),"",'Test case'!AO29)</f>
      </c>
    </row>
    <row r="573">
      <c r="A573" t="s">
        <v>1148</v>
      </c>
      <c r="B573" t="s">
        <v>952</v>
      </c>
      <c r="C573">
        <f>IF(ISBLANK('Test case'!AO30),"",'Test case'!AO30)</f>
      </c>
    </row>
    <row r="574">
      <c r="A574" t="s">
        <v>2595</v>
      </c>
      <c r="B574" t="s">
        <v>952</v>
      </c>
      <c r="C574">
        <f>IF(ISBLANK('Test case'!AO31),"",'Test case'!AO31)</f>
      </c>
    </row>
    <row r="575">
      <c r="A575" t="s">
        <v>2596</v>
      </c>
      <c r="B575" t="s">
        <v>952</v>
      </c>
      <c r="C575">
        <f>IF(ISBLANK('Test case'!AO32),"",'Test case'!AO32)</f>
      </c>
    </row>
    <row r="576">
      <c r="A576" t="s">
        <v>2597</v>
      </c>
      <c r="B576" t="s">
        <v>952</v>
      </c>
      <c r="C576">
        <f>IF(ISBLANK('Test case'!AO33),"",'Test case'!AO33)</f>
      </c>
    </row>
    <row r="577">
      <c r="A577" t="s">
        <v>2598</v>
      </c>
      <c r="B577" t="s">
        <v>952</v>
      </c>
      <c r="C577">
        <f>IF(ISBLANK('Test case'!AO34),"",'Test case'!AO34)</f>
      </c>
    </row>
    <row r="578">
      <c r="A578" t="s">
        <v>3170</v>
      </c>
      <c r="B578" t="s">
        <v>952</v>
      </c>
      <c r="C578">
        <f>IF(ISBLANK('Test case'!AO35),"",'Test case'!AO35)</f>
      </c>
    </row>
    <row r="579">
      <c r="A579" t="s">
        <v>1853</v>
      </c>
      <c r="B579" t="s">
        <v>952</v>
      </c>
      <c r="C579">
        <f>IF(ISBLANK('Test case'!AR4),"",'Test case'!AR4)</f>
      </c>
    </row>
    <row r="580">
      <c r="A580" t="s">
        <v>1854</v>
      </c>
      <c r="B580" t="s">
        <v>952</v>
      </c>
      <c r="C580">
        <f>IF(ISBLANK('Test case'!AR5),"",'Test case'!AR5)</f>
      </c>
    </row>
    <row r="581">
      <c r="A581" t="s">
        <v>1855</v>
      </c>
      <c r="B581" t="s">
        <v>952</v>
      </c>
      <c r="C581">
        <f>IF(ISBLANK('Test case'!AR6),"",'Test case'!AR6)</f>
      </c>
    </row>
    <row r="582">
      <c r="A582" t="s">
        <v>1079</v>
      </c>
      <c r="B582" t="s">
        <v>952</v>
      </c>
      <c r="C582">
        <f>IF(ISBLANK('Test case'!AR7),"",'Test case'!AR7)</f>
      </c>
    </row>
    <row r="583">
      <c r="A583" t="s">
        <v>1080</v>
      </c>
      <c r="B583" t="s">
        <v>952</v>
      </c>
      <c r="C583">
        <f>IF(ISBLANK('Test case'!AR8),"",'Test case'!AR8)</f>
      </c>
    </row>
    <row r="584">
      <c r="A584" t="s">
        <v>6567</v>
      </c>
      <c r="B584" t="s">
        <v>952</v>
      </c>
      <c r="C584">
        <f>IF(ISBLANK('Test case'!AR9),"",'Test case'!AR9)</f>
      </c>
    </row>
    <row r="585">
      <c r="A585" t="s">
        <v>6568</v>
      </c>
      <c r="B585" t="s">
        <v>952</v>
      </c>
      <c r="C585">
        <f>IF(ISBLANK('Test case'!AR10),"",'Test case'!AR10)</f>
      </c>
    </row>
    <row r="586">
      <c r="A586" t="s">
        <v>1081</v>
      </c>
      <c r="B586" t="s">
        <v>952</v>
      </c>
      <c r="C586">
        <f>IF(ISBLANK('Test case'!AR11),"",'Test case'!AR11)</f>
      </c>
    </row>
    <row r="587">
      <c r="A587" t="s">
        <v>1082</v>
      </c>
      <c r="B587" t="s">
        <v>952</v>
      </c>
      <c r="C587">
        <f>IF(ISBLANK('Test case'!AR12),"",'Test case'!AR12)</f>
      </c>
    </row>
    <row r="588">
      <c r="A588" t="s">
        <v>1083</v>
      </c>
      <c r="B588" t="s">
        <v>952</v>
      </c>
      <c r="C588">
        <f>IF(ISBLANK('Test case'!AR13),"",'Test case'!AR13)</f>
      </c>
    </row>
    <row r="589">
      <c r="A589" t="s">
        <v>1084</v>
      </c>
      <c r="B589" t="s">
        <v>952</v>
      </c>
      <c r="C589">
        <f>IF(ISBLANK('Test case'!AR14),"",'Test case'!AR14)</f>
      </c>
    </row>
    <row r="590">
      <c r="A590" t="s">
        <v>1085</v>
      </c>
      <c r="B590" t="s">
        <v>952</v>
      </c>
      <c r="C590">
        <f>IF(ISBLANK('Test case'!AR15),"",'Test case'!AR15)</f>
      </c>
    </row>
    <row r="591">
      <c r="A591" t="s">
        <v>1086</v>
      </c>
      <c r="B591" t="s">
        <v>952</v>
      </c>
      <c r="C591">
        <f>IF(ISBLANK('Test case'!AR16),"",'Test case'!AR16)</f>
      </c>
    </row>
    <row r="592">
      <c r="A592" t="s">
        <v>8497</v>
      </c>
      <c r="B592" t="s">
        <v>952</v>
      </c>
      <c r="C592">
        <f>IF(ISBLANK('Test case'!AR17),"",'Test case'!AR17)</f>
      </c>
    </row>
    <row r="593">
      <c r="A593" t="s">
        <v>1087</v>
      </c>
      <c r="B593" t="s">
        <v>952</v>
      </c>
      <c r="C593">
        <f>IF(ISBLANK('Test case'!AR18),"",'Test case'!AR18)</f>
      </c>
    </row>
    <row r="594">
      <c r="A594" t="s">
        <v>3095</v>
      </c>
      <c r="B594" t="s">
        <v>952</v>
      </c>
      <c r="C594">
        <f>IF(ISBLANK('Test case'!AR19),"",'Test case'!AR19)</f>
      </c>
    </row>
    <row r="595">
      <c r="A595" t="s">
        <v>3096</v>
      </c>
      <c r="B595" t="s">
        <v>952</v>
      </c>
      <c r="C595">
        <f>IF(ISBLANK('Test case'!AR20),"",'Test case'!AR20)</f>
      </c>
    </row>
    <row r="596">
      <c r="A596" t="s">
        <v>3460</v>
      </c>
      <c r="B596" t="s">
        <v>952</v>
      </c>
      <c r="C596">
        <f>IF(ISBLANK('Test case'!AR21),"",'Test case'!AR21)</f>
      </c>
    </row>
    <row r="597">
      <c r="A597" t="s">
        <v>3461</v>
      </c>
      <c r="B597" t="s">
        <v>952</v>
      </c>
      <c r="C597">
        <f>IF(ISBLANK('Test case'!AR22),"",'Test case'!AR22)</f>
      </c>
    </row>
    <row r="598">
      <c r="A598" t="s">
        <v>3462</v>
      </c>
      <c r="B598" t="s">
        <v>952</v>
      </c>
      <c r="C598">
        <f>IF(ISBLANK('Test case'!AR23),"",'Test case'!AR23)</f>
      </c>
    </row>
    <row r="599">
      <c r="A599" t="s">
        <v>3463</v>
      </c>
      <c r="B599" t="s">
        <v>952</v>
      </c>
      <c r="C599">
        <f>IF(ISBLANK('Test case'!AR24),"",'Test case'!AR24)</f>
      </c>
    </row>
    <row r="600">
      <c r="A600" t="s">
        <v>3464</v>
      </c>
      <c r="B600" t="s">
        <v>952</v>
      </c>
      <c r="C600">
        <f>IF(ISBLANK('Test case'!AR25),"",'Test case'!AR25)</f>
      </c>
    </row>
    <row r="601">
      <c r="A601" t="s">
        <v>1080</v>
      </c>
      <c r="B601" t="s">
        <v>2247</v>
      </c>
      <c r="C601">
        <f>IF(ISBLANK('Test case'!AR26),"",'Test case'!AR26)</f>
      </c>
    </row>
    <row r="602">
      <c r="A602" t="s">
        <v>6567</v>
      </c>
      <c r="B602" t="s">
        <v>2247</v>
      </c>
      <c r="C602">
        <f>IF(ISBLANK('Test case'!AR27),"",'Test case'!AR27)</f>
      </c>
    </row>
    <row r="603">
      <c r="A603" t="s">
        <v>6568</v>
      </c>
      <c r="B603" t="s">
        <v>2247</v>
      </c>
      <c r="C603">
        <f>IF(ISBLANK('Test case'!AR28),"",'Test case'!AR28)</f>
      </c>
    </row>
    <row r="604">
      <c r="A604" t="s">
        <v>1081</v>
      </c>
      <c r="B604" t="s">
        <v>2247</v>
      </c>
      <c r="C604">
        <f>IF(ISBLANK('Test case'!AR29),"",'Test case'!AR29)</f>
      </c>
    </row>
    <row r="605">
      <c r="A605" t="s">
        <v>1082</v>
      </c>
      <c r="B605" t="s">
        <v>2247</v>
      </c>
      <c r="C605">
        <f>IF(ISBLANK('Test case'!AR30),"",'Test case'!AR30)</f>
      </c>
    </row>
    <row r="606">
      <c r="A606" t="s">
        <v>1083</v>
      </c>
      <c r="B606" t="s">
        <v>2247</v>
      </c>
      <c r="C606">
        <f>IF(ISBLANK('Test case'!AR31),"",'Test case'!AR31)</f>
      </c>
    </row>
    <row r="607">
      <c r="A607" t="s">
        <v>1084</v>
      </c>
      <c r="B607" t="s">
        <v>2247</v>
      </c>
      <c r="C607">
        <f>IF(ISBLANK('Test case'!AR32),"",'Test case'!AR32)</f>
      </c>
    </row>
    <row r="608">
      <c r="A608" t="s">
        <v>1085</v>
      </c>
      <c r="B608" t="s">
        <v>2247</v>
      </c>
      <c r="C608">
        <f>IF(ISBLANK('Test case'!AR33),"",'Test case'!AR33)</f>
      </c>
    </row>
    <row r="609">
      <c r="A609" t="s">
        <v>1086</v>
      </c>
      <c r="B609" t="s">
        <v>2247</v>
      </c>
      <c r="C609">
        <f>IF(ISBLANK('Test case'!AR34),"",'Test case'!AR34)</f>
      </c>
    </row>
    <row r="610">
      <c r="A610" t="s">
        <v>8497</v>
      </c>
      <c r="B610" t="s">
        <v>2247</v>
      </c>
      <c r="C610">
        <f>IF(ISBLANK('Test case'!AR35),"",'Test case'!AR35)</f>
      </c>
    </row>
    <row r="611">
      <c r="A611" t="s">
        <v>1087</v>
      </c>
      <c r="B611" t="s">
        <v>2247</v>
      </c>
      <c r="C611">
        <f>IF(ISBLANK('Test case'!AR36),"",'Test case'!AR36)</f>
      </c>
    </row>
    <row r="612">
      <c r="A612" t="s">
        <v>3095</v>
      </c>
      <c r="B612" t="s">
        <v>2247</v>
      </c>
      <c r="C612">
        <f>IF(ISBLANK('Test case'!AR37),"",'Test case'!AR37)</f>
      </c>
    </row>
    <row r="613">
      <c r="A613" t="s">
        <v>3096</v>
      </c>
      <c r="B613" t="s">
        <v>2247</v>
      </c>
      <c r="C613">
        <f>IF(ISBLANK('Test case'!AR38),"",'Test case'!AR38)</f>
      </c>
    </row>
    <row r="614">
      <c r="A614" t="s">
        <v>3460</v>
      </c>
      <c r="B614" t="s">
        <v>2247</v>
      </c>
      <c r="C614">
        <f>IF(ISBLANK('Test case'!AR39),"",'Test case'!AR39)</f>
      </c>
    </row>
    <row r="615">
      <c r="A615" t="s">
        <v>3461</v>
      </c>
      <c r="B615" t="s">
        <v>2247</v>
      </c>
      <c r="C615">
        <f>IF(ISBLANK('Test case'!AR40),"",'Test case'!AR40)</f>
      </c>
    </row>
    <row r="616">
      <c r="A616" t="s">
        <v>3462</v>
      </c>
      <c r="B616" t="s">
        <v>2247</v>
      </c>
      <c r="C616">
        <f>IF(ISBLANK('Test case'!AR41),"",'Test case'!AR41)</f>
      </c>
    </row>
    <row r="617">
      <c r="A617" t="s">
        <v>3463</v>
      </c>
      <c r="B617" t="s">
        <v>2247</v>
      </c>
      <c r="C617">
        <f>IF(ISBLANK('Test case'!AR42),"",'Test case'!AR42)</f>
      </c>
    </row>
    <row r="618">
      <c r="A618" t="s">
        <v>3464</v>
      </c>
      <c r="B618" t="s">
        <v>2247</v>
      </c>
      <c r="C618">
        <f>IF(ISBLANK('Test case'!AR43),"",'Test case'!AR43)</f>
      </c>
    </row>
    <row r="619">
      <c r="A619" t="s">
        <v>3465</v>
      </c>
      <c r="B619" t="s">
        <v>952</v>
      </c>
      <c r="C619">
        <f>IF(ISBLANK('Test case'!AR44),"",'Test case'!AR44)</f>
      </c>
    </row>
    <row r="620">
      <c r="A620" t="s">
        <v>6562</v>
      </c>
      <c r="B620" t="s">
        <v>952</v>
      </c>
      <c r="C620">
        <f>IF(ISBLANK('Test case'!AR45),"",'Test case'!AR45)</f>
      </c>
    </row>
    <row r="621">
      <c r="A621" t="s">
        <v>6563</v>
      </c>
      <c r="B621" t="s">
        <v>952</v>
      </c>
      <c r="C621">
        <f>IF(ISBLANK('Test case'!AR46),"",'Test case'!AR46)</f>
      </c>
    </row>
    <row r="622">
      <c r="A622" t="s">
        <v>3466</v>
      </c>
      <c r="B622" t="s">
        <v>952</v>
      </c>
      <c r="C622">
        <f>IF(ISBLANK('Test case'!AR47),"",'Test case'!AR47)</f>
      </c>
    </row>
    <row r="623">
      <c r="A623" t="s">
        <v>3467</v>
      </c>
      <c r="B623" t="s">
        <v>952</v>
      </c>
      <c r="C623">
        <f>IF(ISBLANK('Test case'!AR48),"",'Test case'!AR48)</f>
      </c>
    </row>
    <row r="624">
      <c r="A624" t="s">
        <v>3468</v>
      </c>
      <c r="B624" t="s">
        <v>952</v>
      </c>
      <c r="C624">
        <f>IF(ISBLANK('Test case'!AR49),"",'Test case'!AR49)</f>
      </c>
    </row>
    <row r="625">
      <c r="A625" t="s">
        <v>3469</v>
      </c>
      <c r="B625" t="s">
        <v>952</v>
      </c>
      <c r="C625">
        <f>IF(ISBLANK('Test case'!AR50),"",'Test case'!AR50)</f>
      </c>
    </row>
    <row r="626">
      <c r="A626" t="s">
        <v>3470</v>
      </c>
      <c r="B626" t="s">
        <v>952</v>
      </c>
      <c r="C626">
        <f>IF(ISBLANK('Test case'!AR51),"",'Test case'!AR51)</f>
      </c>
    </row>
    <row r="627">
      <c r="A627" t="s">
        <v>3471</v>
      </c>
      <c r="B627" t="s">
        <v>952</v>
      </c>
      <c r="C627">
        <f>IF(ISBLANK('Test case'!AR52),"",'Test case'!AR52)</f>
      </c>
    </row>
    <row r="628">
      <c r="A628" t="s">
        <v>3472</v>
      </c>
      <c r="B628" t="s">
        <v>952</v>
      </c>
      <c r="C628">
        <f>IF(ISBLANK('Test case'!AR53),"",'Test case'!AR53)</f>
      </c>
    </row>
    <row r="629">
      <c r="A629" t="s">
        <v>3399</v>
      </c>
      <c r="B629" t="s">
        <v>952</v>
      </c>
      <c r="C629">
        <f>IF(ISBLANK('Test case'!AR54),"",'Test case'!AR54)</f>
      </c>
    </row>
    <row r="630">
      <c r="A630" t="s">
        <v>3400</v>
      </c>
      <c r="B630" t="s">
        <v>952</v>
      </c>
      <c r="C630">
        <f>IF(ISBLANK('Test case'!AR55),"",'Test case'!AR55)</f>
      </c>
    </row>
    <row r="631">
      <c r="A631" t="s">
        <v>3401</v>
      </c>
      <c r="B631" t="s">
        <v>952</v>
      </c>
      <c r="C631">
        <f>IF(ISBLANK('Test case'!AR56),"",'Test case'!AR56)</f>
      </c>
    </row>
    <row r="632">
      <c r="A632" t="s">
        <v>3402</v>
      </c>
      <c r="B632" t="s">
        <v>952</v>
      </c>
      <c r="C632">
        <f>IF(ISBLANK('Test case'!AR57),"",'Test case'!AR57)</f>
      </c>
    </row>
    <row r="633">
      <c r="A633" t="s">
        <v>3403</v>
      </c>
      <c r="B633" t="s">
        <v>952</v>
      </c>
      <c r="C633">
        <f>IF(ISBLANK('Test case'!AR58),"",'Test case'!AR58)</f>
      </c>
    </row>
    <row r="634">
      <c r="A634" t="s">
        <v>3404</v>
      </c>
      <c r="B634" t="s">
        <v>952</v>
      </c>
      <c r="C634">
        <f>IF(ISBLANK('Test case'!AR59),"",'Test case'!AR59)</f>
      </c>
    </row>
    <row r="635">
      <c r="A635" t="s">
        <v>8498</v>
      </c>
      <c r="B635" t="s">
        <v>952</v>
      </c>
      <c r="C635">
        <f>IF(ISBLANK('Test case'!AR60),"",'Test case'!AR60)</f>
      </c>
    </row>
    <row r="636">
      <c r="A636" t="s">
        <v>3405</v>
      </c>
      <c r="B636" t="s">
        <v>952</v>
      </c>
      <c r="C636">
        <f>IF(ISBLANK('Test case'!AR61),"",'Test case'!AR61)</f>
      </c>
    </row>
    <row r="637">
      <c r="A637" t="s">
        <v>3406</v>
      </c>
      <c r="B637" t="s">
        <v>952</v>
      </c>
      <c r="C637">
        <f>IF(ISBLANK('Test case'!AR62),"",'Test case'!AR62)</f>
      </c>
    </row>
    <row r="638">
      <c r="A638" t="s">
        <v>1475</v>
      </c>
      <c r="B638" t="s">
        <v>952</v>
      </c>
      <c r="C638">
        <f>IF(ISBLANK('Test case'!AR63),"",'Test case'!AR63)</f>
      </c>
    </row>
    <row r="639">
      <c r="A639" t="s">
        <v>1476</v>
      </c>
      <c r="B639" t="s">
        <v>952</v>
      </c>
      <c r="C639">
        <f>IF(ISBLANK('Test case'!AR64),"",'Test case'!AR64)</f>
      </c>
    </row>
    <row r="640">
      <c r="A640" t="s">
        <v>1477</v>
      </c>
      <c r="B640" t="s">
        <v>952</v>
      </c>
      <c r="C640">
        <f>IF(ISBLANK('Test case'!AR65),"",'Test case'!AR65)</f>
      </c>
    </row>
    <row r="641">
      <c r="A641" t="s">
        <v>1478</v>
      </c>
      <c r="B641" t="s">
        <v>952</v>
      </c>
      <c r="C641">
        <f>IF(ISBLANK('Test case'!AR66),"",'Test case'!AR66)</f>
      </c>
    </row>
    <row r="642">
      <c r="A642" t="s">
        <v>1479</v>
      </c>
      <c r="B642" t="s">
        <v>952</v>
      </c>
      <c r="C642">
        <f>IF(ISBLANK('Test case'!AR67),"",'Test case'!AR67)</f>
      </c>
    </row>
    <row r="643">
      <c r="A643" t="s">
        <v>1480</v>
      </c>
      <c r="B643" t="s">
        <v>952</v>
      </c>
      <c r="C643">
        <f>IF(ISBLANK('Test case'!AR68),"",'Test case'!AR68)</f>
      </c>
    </row>
    <row r="644">
      <c r="A644" t="s">
        <v>1653</v>
      </c>
      <c r="B644" t="s">
        <v>952</v>
      </c>
      <c r="C644">
        <f>IF(ISBLANK('Test case'!AR69),"",'Test case'!AR69)</f>
      </c>
    </row>
    <row r="645">
      <c r="A645" t="s">
        <v>1654</v>
      </c>
      <c r="B645" t="s">
        <v>952</v>
      </c>
      <c r="C645">
        <f>IF(ISBLANK('Test case'!AR70),"",'Test case'!AR70)</f>
      </c>
    </row>
    <row r="646">
      <c r="A646" t="s">
        <v>6252</v>
      </c>
      <c r="B646" t="s">
        <v>952</v>
      </c>
      <c r="C646">
        <f>IF(ISBLANK('Test case'!AR71),"",'Test case'!AR71)</f>
      </c>
    </row>
    <row r="647">
      <c r="A647" t="s">
        <v>6876</v>
      </c>
      <c r="B647" t="s">
        <v>952</v>
      </c>
      <c r="C647">
        <f>IF(ISBLANK('Test case'!AR72),"",'Test case'!AR72)</f>
      </c>
    </row>
    <row r="648">
      <c r="A648" t="s">
        <v>2121</v>
      </c>
      <c r="B648" t="s">
        <v>1881</v>
      </c>
      <c r="C648">
        <f>IF(ISBLANK('Test case'!AU4),"",'Test case'!AU4)</f>
      </c>
    </row>
    <row r="649">
      <c r="A649" t="s">
        <v>2122</v>
      </c>
      <c r="B649" t="s">
        <v>1881</v>
      </c>
      <c r="C649">
        <f>IF(ISBLANK('Test case'!AU5),"",'Test case'!AU5)</f>
      </c>
    </row>
    <row r="650">
      <c r="A650" t="s">
        <v>9141</v>
      </c>
      <c r="B650" t="s">
        <v>952</v>
      </c>
      <c r="C650">
        <f>IF(ISBLANK('Test case'!AU6),"",'Test case'!AU6)</f>
      </c>
    </row>
    <row r="651">
      <c r="A651" t="s">
        <v>9142</v>
      </c>
      <c r="B651" t="s">
        <v>952</v>
      </c>
      <c r="C651">
        <f>IF(ISBLANK('Test case'!AU7),"",'Test case'!AU7)</f>
      </c>
    </row>
    <row r="652">
      <c r="A652" t="s">
        <v>9143</v>
      </c>
      <c r="B652" t="s">
        <v>952</v>
      </c>
      <c r="C652">
        <f>IF(ISBLANK('Test case'!AU8),"",'Test case'!AU8)</f>
      </c>
    </row>
    <row r="653">
      <c r="A653" t="s">
        <v>9144</v>
      </c>
      <c r="B653" t="s">
        <v>952</v>
      </c>
      <c r="C653">
        <f>IF(ISBLANK('Test case'!AU9),"",'Test case'!AU9)</f>
      </c>
    </row>
    <row r="654">
      <c r="A654" t="s">
        <v>9145</v>
      </c>
      <c r="B654" t="s">
        <v>952</v>
      </c>
      <c r="C654">
        <f>IF(ISBLANK('Test case'!AU10),"",'Test case'!AU10)</f>
      </c>
    </row>
    <row r="655">
      <c r="A655" t="s">
        <v>9146</v>
      </c>
      <c r="B655" t="s">
        <v>952</v>
      </c>
      <c r="C655">
        <f>IF(ISBLANK('Test case'!AU11),"",'Test case'!AU11)</f>
      </c>
    </row>
    <row r="656">
      <c r="A656" t="s">
        <v>9141</v>
      </c>
      <c r="B656" t="s">
        <v>2247</v>
      </c>
      <c r="C656">
        <f>IF(ISBLANK('Test case'!AU12),"",'Test case'!AU12)</f>
      </c>
    </row>
    <row r="657">
      <c r="A657" t="s">
        <v>9142</v>
      </c>
      <c r="B657" t="s">
        <v>2247</v>
      </c>
      <c r="C657">
        <f>IF(ISBLANK('Test case'!AU13),"",'Test case'!AU13)</f>
      </c>
    </row>
    <row r="658">
      <c r="A658" t="s">
        <v>9143</v>
      </c>
      <c r="B658" t="s">
        <v>2247</v>
      </c>
      <c r="C658">
        <f>IF(ISBLANK('Test case'!AU14),"",'Test case'!AU14)</f>
      </c>
    </row>
    <row r="659">
      <c r="A659" t="s">
        <v>9144</v>
      </c>
      <c r="B659" t="s">
        <v>2247</v>
      </c>
      <c r="C659">
        <f>IF(ISBLANK('Test case'!AU15),"",'Test case'!AU15)</f>
      </c>
    </row>
    <row r="660">
      <c r="A660" t="s">
        <v>9145</v>
      </c>
      <c r="B660" t="s">
        <v>2247</v>
      </c>
      <c r="C660">
        <f>IF(ISBLANK('Test case'!AU16),"",'Test case'!AU16)</f>
      </c>
    </row>
    <row r="661">
      <c r="A661" t="s">
        <v>9146</v>
      </c>
      <c r="B661" t="s">
        <v>2247</v>
      </c>
      <c r="C661">
        <f>IF(ISBLANK('Test case'!AU17),"",'Test case'!AU17)</f>
      </c>
    </row>
    <row r="662">
      <c r="A662" t="s">
        <v>9147</v>
      </c>
      <c r="B662" t="s">
        <v>1881</v>
      </c>
      <c r="C662">
        <f>IF(ISBLANK('Test case'!AU18),"",'Test case'!AU18)</f>
      </c>
    </row>
    <row r="663">
      <c r="A663" t="s">
        <v>9148</v>
      </c>
      <c r="B663" t="s">
        <v>1881</v>
      </c>
      <c r="C663">
        <f>IF(ISBLANK('Test case'!AU19),"",'Test case'!AU19)</f>
      </c>
    </row>
    <row r="664">
      <c r="A664" t="s">
        <v>9141</v>
      </c>
      <c r="B664" t="s">
        <v>952</v>
      </c>
      <c r="C664">
        <f>IF(ISBLANK('Test case'!AU20),"",'Test case'!AU20)</f>
      </c>
    </row>
    <row r="665">
      <c r="A665" t="s">
        <v>9142</v>
      </c>
      <c r="B665" t="s">
        <v>952</v>
      </c>
      <c r="C665">
        <f>IF(ISBLANK('Test case'!AU21),"",'Test case'!AU21)</f>
      </c>
    </row>
    <row r="666">
      <c r="A666" t="s">
        <v>9143</v>
      </c>
      <c r="B666" t="s">
        <v>952</v>
      </c>
      <c r="C666">
        <f>IF(ISBLANK('Test case'!AU22),"",'Test case'!AU22)</f>
      </c>
    </row>
    <row r="667">
      <c r="A667" t="s">
        <v>9149</v>
      </c>
      <c r="B667" t="s">
        <v>952</v>
      </c>
      <c r="C667">
        <f>IF(ISBLANK('Test case'!AU23),"",'Test case'!AU23)</f>
      </c>
    </row>
    <row r="668">
      <c r="A668" t="s">
        <v>9145</v>
      </c>
      <c r="B668" t="s">
        <v>952</v>
      </c>
      <c r="C668">
        <f>IF(ISBLANK('Test case'!AU24),"",'Test case'!AU24)</f>
      </c>
    </row>
    <row r="669">
      <c r="A669" t="s">
        <v>9150</v>
      </c>
      <c r="B669" t="s">
        <v>952</v>
      </c>
      <c r="C669">
        <f>IF(ISBLANK('Test case'!AU25),"",'Test case'!AU25)</f>
      </c>
    </row>
    <row r="670">
      <c r="A670" t="s">
        <v>9141</v>
      </c>
      <c r="B670" t="s">
        <v>2247</v>
      </c>
      <c r="C670">
        <f>IF(ISBLANK('Test case'!AU26),"",'Test case'!AU26)</f>
      </c>
    </row>
    <row r="671">
      <c r="A671" t="s">
        <v>9142</v>
      </c>
      <c r="B671" t="s">
        <v>2247</v>
      </c>
      <c r="C671">
        <f>IF(ISBLANK('Test case'!AU27),"",'Test case'!AU27)</f>
      </c>
    </row>
    <row r="672">
      <c r="A672" t="s">
        <v>9143</v>
      </c>
      <c r="B672" t="s">
        <v>2247</v>
      </c>
      <c r="C672">
        <f>IF(ISBLANK('Test case'!AU28),"",'Test case'!AU28)</f>
      </c>
    </row>
    <row r="673">
      <c r="A673" t="s">
        <v>9149</v>
      </c>
      <c r="B673" t="s">
        <v>2247</v>
      </c>
      <c r="C673">
        <f>IF(ISBLANK('Test case'!AU29),"",'Test case'!AU29)</f>
      </c>
    </row>
    <row r="674">
      <c r="A674" t="s">
        <v>9145</v>
      </c>
      <c r="B674" t="s">
        <v>2247</v>
      </c>
      <c r="C674">
        <f>IF(ISBLANK('Test case'!AU30),"",'Test case'!AU30)</f>
      </c>
    </row>
    <row r="675">
      <c r="A675" t="s">
        <v>9150</v>
      </c>
      <c r="B675" t="s">
        <v>2247</v>
      </c>
      <c r="C675">
        <f>IF(ISBLANK('Test case'!AU31),"",'Test case'!AU31)</f>
      </c>
    </row>
    <row r="676">
      <c r="A676" t="s">
        <v>9141</v>
      </c>
      <c r="B676" t="s">
        <v>2250</v>
      </c>
      <c r="C676">
        <f>IF(ISBLANK('Test case'!AU32),"",'Test case'!AU32)</f>
      </c>
    </row>
    <row r="677">
      <c r="A677" t="s">
        <v>9142</v>
      </c>
      <c r="B677" t="s">
        <v>2250</v>
      </c>
      <c r="C677">
        <f>IF(ISBLANK('Test case'!AU33),"",'Test case'!AU33)</f>
      </c>
    </row>
    <row r="678">
      <c r="A678" t="s">
        <v>9143</v>
      </c>
      <c r="B678" t="s">
        <v>2250</v>
      </c>
      <c r="C678">
        <f>IF(ISBLANK('Test case'!AU34),"",'Test case'!AU34)</f>
      </c>
    </row>
    <row r="679">
      <c r="A679" t="s">
        <v>9149</v>
      </c>
      <c r="B679" t="s">
        <v>2250</v>
      </c>
      <c r="C679">
        <f>IF(ISBLANK('Test case'!AU35),"",'Test case'!AU35)</f>
      </c>
    </row>
    <row r="680">
      <c r="A680" t="s">
        <v>9145</v>
      </c>
      <c r="B680" t="s">
        <v>2250</v>
      </c>
      <c r="C680">
        <f>IF(ISBLANK('Test case'!AU36),"",'Test case'!AU36)</f>
      </c>
    </row>
    <row r="681">
      <c r="A681" t="s">
        <v>9150</v>
      </c>
      <c r="B681" t="s">
        <v>2250</v>
      </c>
      <c r="C681">
        <f>IF(ISBLANK('Test case'!AU37),"",'Test case'!AU37)</f>
      </c>
    </row>
    <row r="682">
      <c r="A682" t="s">
        <v>9141</v>
      </c>
      <c r="B682" t="s">
        <v>2253</v>
      </c>
      <c r="C682">
        <f>IF(ISBLANK('Test case'!AU38),"",'Test case'!AU38)</f>
      </c>
    </row>
    <row r="683">
      <c r="A683" t="s">
        <v>9142</v>
      </c>
      <c r="B683" t="s">
        <v>2253</v>
      </c>
      <c r="C683">
        <f>IF(ISBLANK('Test case'!AU39),"",'Test case'!AU39)</f>
      </c>
    </row>
    <row r="684">
      <c r="A684" t="s">
        <v>9143</v>
      </c>
      <c r="B684" t="s">
        <v>2253</v>
      </c>
      <c r="C684">
        <f>IF(ISBLANK('Test case'!AU40),"",'Test case'!AU40)</f>
      </c>
    </row>
    <row r="685">
      <c r="A685" t="s">
        <v>9149</v>
      </c>
      <c r="B685" t="s">
        <v>2253</v>
      </c>
      <c r="C685">
        <f>IF(ISBLANK('Test case'!AU41),"",'Test case'!AU41)</f>
      </c>
    </row>
    <row r="686">
      <c r="A686" t="s">
        <v>9145</v>
      </c>
      <c r="B686" t="s">
        <v>2253</v>
      </c>
      <c r="C686">
        <f>IF(ISBLANK('Test case'!AU42),"",'Test case'!AU42)</f>
      </c>
    </row>
    <row r="687">
      <c r="A687" t="s">
        <v>9150</v>
      </c>
      <c r="B687" t="s">
        <v>2253</v>
      </c>
      <c r="C687">
        <f>IF(ISBLANK('Test case'!AU43),"",'Test case'!AU43)</f>
      </c>
    </row>
    <row r="688">
      <c r="A688" t="s">
        <v>9141</v>
      </c>
      <c r="B688" t="s">
        <v>2256</v>
      </c>
      <c r="C688">
        <f>IF(ISBLANK('Test case'!AU44),"",'Test case'!AU44)</f>
      </c>
    </row>
    <row r="689">
      <c r="A689" t="s">
        <v>9142</v>
      </c>
      <c r="B689" t="s">
        <v>2256</v>
      </c>
      <c r="C689">
        <f>IF(ISBLANK('Test case'!AU45),"",'Test case'!AU45)</f>
      </c>
    </row>
    <row r="690">
      <c r="A690" t="s">
        <v>9143</v>
      </c>
      <c r="B690" t="s">
        <v>2256</v>
      </c>
      <c r="C690">
        <f>IF(ISBLANK('Test case'!AU46),"",'Test case'!AU46)</f>
      </c>
    </row>
    <row r="691">
      <c r="A691" t="s">
        <v>9149</v>
      </c>
      <c r="B691" t="s">
        <v>2256</v>
      </c>
      <c r="C691">
        <f>IF(ISBLANK('Test case'!AU47),"",'Test case'!AU47)</f>
      </c>
    </row>
    <row r="692">
      <c r="A692" t="s">
        <v>9145</v>
      </c>
      <c r="B692" t="s">
        <v>2256</v>
      </c>
      <c r="C692">
        <f>IF(ISBLANK('Test case'!AU48),"",'Test case'!AU48)</f>
      </c>
    </row>
    <row r="693">
      <c r="A693" t="s">
        <v>9150</v>
      </c>
      <c r="B693" t="s">
        <v>2256</v>
      </c>
      <c r="C693">
        <f>IF(ISBLANK('Test case'!AU49),"",'Test case'!AU49)</f>
      </c>
    </row>
    <row r="694">
      <c r="A694" t="s">
        <v>9151</v>
      </c>
      <c r="B694" t="s">
        <v>1881</v>
      </c>
      <c r="C694">
        <f>IF(ISBLANK('Test case'!AU50),"",'Test case'!AU50)</f>
      </c>
    </row>
    <row r="695">
      <c r="A695" t="s">
        <v>9152</v>
      </c>
      <c r="B695" t="s">
        <v>1881</v>
      </c>
      <c r="C695">
        <f>IF(ISBLANK('Test case'!AU51),"",'Test case'!AU51)</f>
      </c>
    </row>
    <row r="696">
      <c r="A696" t="s">
        <v>9153</v>
      </c>
      <c r="B696" t="s">
        <v>1881</v>
      </c>
      <c r="C696">
        <f>IF(ISBLANK('Test case'!AU52),"",'Test case'!AU52)</f>
      </c>
    </row>
    <row r="697">
      <c r="A697" t="s">
        <v>9141</v>
      </c>
      <c r="B697" t="s">
        <v>952</v>
      </c>
      <c r="C697">
        <f>IF(ISBLANK('Test case'!AU53),"",'Test case'!AU53)</f>
      </c>
    </row>
    <row r="698">
      <c r="A698" t="s">
        <v>9142</v>
      </c>
      <c r="B698" t="s">
        <v>952</v>
      </c>
      <c r="C698">
        <f>IF(ISBLANK('Test case'!AU54),"",'Test case'!AU54)</f>
      </c>
    </row>
    <row r="699">
      <c r="A699" t="s">
        <v>9143</v>
      </c>
      <c r="B699" t="s">
        <v>952</v>
      </c>
      <c r="C699">
        <f>IF(ISBLANK('Test case'!AU55),"",'Test case'!AU55)</f>
      </c>
    </row>
    <row r="700">
      <c r="A700" t="s">
        <v>9154</v>
      </c>
      <c r="B700" t="s">
        <v>952</v>
      </c>
      <c r="C700">
        <f>IF(ISBLANK('Test case'!AU56),"",'Test case'!AU56)</f>
      </c>
    </row>
    <row r="701">
      <c r="A701" t="s">
        <v>9145</v>
      </c>
      <c r="B701" t="s">
        <v>952</v>
      </c>
      <c r="C701">
        <f>IF(ISBLANK('Test case'!AU57),"",'Test case'!AU57)</f>
      </c>
    </row>
    <row r="702">
      <c r="A702" t="s">
        <v>9155</v>
      </c>
      <c r="B702" t="s">
        <v>952</v>
      </c>
      <c r="C702">
        <f>IF(ISBLANK('Test case'!AU58),"",'Test case'!AU58)</f>
      </c>
    </row>
    <row r="703">
      <c r="A703" t="s">
        <v>9156</v>
      </c>
      <c r="B703" t="s">
        <v>1881</v>
      </c>
      <c r="C703">
        <f>IF(ISBLANK('Test case'!AU59),"",'Test case'!AU59)</f>
      </c>
    </row>
    <row r="704">
      <c r="A704" t="s">
        <v>9157</v>
      </c>
      <c r="B704" t="s">
        <v>1881</v>
      </c>
      <c r="C704">
        <f>IF(ISBLANK('Test case'!AU60),"",'Test case'!AU60)</f>
      </c>
    </row>
    <row r="705">
      <c r="A705" t="s">
        <v>9141</v>
      </c>
      <c r="B705" t="s">
        <v>952</v>
      </c>
      <c r="C705">
        <f>IF(ISBLANK('Test case'!AU61),"",'Test case'!AU61)</f>
      </c>
    </row>
    <row r="706">
      <c r="A706" t="s">
        <v>9142</v>
      </c>
      <c r="B706" t="s">
        <v>952</v>
      </c>
      <c r="C706">
        <f>IF(ISBLANK('Test case'!AU62),"",'Test case'!AU62)</f>
      </c>
    </row>
    <row r="707">
      <c r="A707" t="s">
        <v>9143</v>
      </c>
      <c r="B707" t="s">
        <v>952</v>
      </c>
      <c r="C707">
        <f>IF(ISBLANK('Test case'!AU63),"",'Test case'!AU63)</f>
      </c>
    </row>
    <row r="708">
      <c r="A708" t="s">
        <v>9158</v>
      </c>
      <c r="B708" t="s">
        <v>952</v>
      </c>
      <c r="C708">
        <f>IF(ISBLANK('Test case'!AU64),"",'Test case'!AU64)</f>
      </c>
    </row>
    <row r="709">
      <c r="A709" t="s">
        <v>9145</v>
      </c>
      <c r="B709" t="s">
        <v>952</v>
      </c>
      <c r="C709">
        <f>IF(ISBLANK('Test case'!AU65),"",'Test case'!AU65)</f>
      </c>
    </row>
    <row r="710">
      <c r="A710" t="s">
        <v>9159</v>
      </c>
      <c r="B710" t="s">
        <v>952</v>
      </c>
      <c r="C710">
        <f>IF(ISBLANK('Test case'!AU66),"",'Test case'!AU66)</f>
      </c>
    </row>
    <row r="711">
      <c r="A711" t="s">
        <v>9160</v>
      </c>
      <c r="B711" t="s">
        <v>1881</v>
      </c>
      <c r="C711">
        <f>IF(ISBLANK('Test case'!AU67),"",'Test case'!AU67)</f>
      </c>
    </row>
    <row r="712">
      <c r="A712" t="s">
        <v>9161</v>
      </c>
      <c r="B712" t="s">
        <v>1881</v>
      </c>
      <c r="C712">
        <f>IF(ISBLANK('Test case'!AU68),"",'Test case'!AU68)</f>
      </c>
    </row>
    <row r="713">
      <c r="A713" t="s">
        <v>9162</v>
      </c>
      <c r="B713" t="s">
        <v>1881</v>
      </c>
      <c r="C713">
        <f>IF(ISBLANK('Test case'!AU69),"",'Test case'!AU69)</f>
      </c>
    </row>
    <row r="714">
      <c r="A714" t="s">
        <v>9163</v>
      </c>
      <c r="B714" t="s">
        <v>1881</v>
      </c>
      <c r="C714">
        <f>IF(ISBLANK('Test case'!AU70),"",'Test case'!AU70)</f>
      </c>
    </row>
    <row r="715">
      <c r="A715" t="s">
        <v>9164</v>
      </c>
      <c r="B715" t="s">
        <v>1881</v>
      </c>
      <c r="C715">
        <f>IF(ISBLANK('Test case'!AU71),"",'Test case'!AU71)</f>
      </c>
    </row>
    <row r="716">
      <c r="A716" t="s">
        <v>9165</v>
      </c>
      <c r="B716" t="s">
        <v>1881</v>
      </c>
      <c r="C716">
        <f>IF(ISBLANK('Test case'!AU72),"",'Test case'!AU72)</f>
      </c>
    </row>
    <row r="717">
      <c r="A717" t="s">
        <v>9166</v>
      </c>
      <c r="B717" t="s">
        <v>1881</v>
      </c>
      <c r="C717">
        <f>IF(ISBLANK('Test case'!AU73),"",'Test case'!AU73)</f>
      </c>
    </row>
    <row r="718">
      <c r="A718" t="s">
        <v>9167</v>
      </c>
      <c r="B718" t="s">
        <v>1881</v>
      </c>
      <c r="C718">
        <f>IF(ISBLANK('Test case'!AU74),"",'Test case'!AU74)</f>
      </c>
    </row>
    <row r="719">
      <c r="A719" t="s">
        <v>9168</v>
      </c>
      <c r="B719" t="s">
        <v>1881</v>
      </c>
      <c r="C719">
        <f>IF(ISBLANK('Test case'!AU75),"",'Test case'!AU75)</f>
      </c>
    </row>
    <row r="720">
      <c r="A720" t="s">
        <v>9169</v>
      </c>
      <c r="B720" t="s">
        <v>1881</v>
      </c>
      <c r="C720">
        <f>IF(ISBLANK('Test case'!AU76),"",'Test case'!AU76)</f>
      </c>
    </row>
    <row r="721">
      <c r="A721" t="s">
        <v>7283</v>
      </c>
      <c r="B721" t="s">
        <v>1881</v>
      </c>
      <c r="C721">
        <f>IF(ISBLANK('Test case'!AU78),"",'Test case'!AU78)</f>
      </c>
    </row>
    <row r="722">
      <c r="A722" t="s">
        <v>6448</v>
      </c>
      <c r="B722" t="s">
        <v>1881</v>
      </c>
      <c r="C722">
        <f>IF(ISBLANK('Test case'!AX4),"",'Test case'!AX4)</f>
      </c>
    </row>
    <row r="723">
      <c r="A723" t="s">
        <v>7283</v>
      </c>
      <c r="B723" t="s">
        <v>1881</v>
      </c>
      <c r="C723">
        <f>IF(ISBLANK('Test case'!AX5),"",'Test case'!AX5)</f>
      </c>
    </row>
    <row r="724">
      <c r="A724" t="s">
        <v>3602</v>
      </c>
      <c r="B724" t="s">
        <v>1881</v>
      </c>
      <c r="C724">
        <f>IF(ISBLANK('Test case'!AX6),"",'Test case'!AX6)</f>
      </c>
    </row>
    <row r="725">
      <c r="A725" t="s">
        <v>6577</v>
      </c>
      <c r="B725" t="s">
        <v>1881</v>
      </c>
      <c r="C725">
        <f>IF(ISBLANK('Test case'!AX7),"",'Test case'!AX7)</f>
      </c>
    </row>
    <row r="726">
      <c r="A726" t="s">
        <v>6578</v>
      </c>
      <c r="B726" t="s">
        <v>1881</v>
      </c>
      <c r="C726">
        <f>IF(ISBLANK('Test case'!AX8),"",'Test case'!AX8)</f>
      </c>
    </row>
    <row r="727">
      <c r="A727" t="s">
        <v>3603</v>
      </c>
      <c r="B727" t="s">
        <v>1881</v>
      </c>
      <c r="C727">
        <f>IF(ISBLANK('Test case'!AX9),"",'Test case'!AX9)</f>
      </c>
    </row>
    <row r="728">
      <c r="A728" t="s">
        <v>3604</v>
      </c>
      <c r="B728" t="s">
        <v>1881</v>
      </c>
      <c r="C728">
        <f>IF(ISBLANK('Test case'!AX10),"",'Test case'!AX10)</f>
      </c>
    </row>
    <row r="729">
      <c r="A729" t="s">
        <v>3605</v>
      </c>
      <c r="B729" t="s">
        <v>1881</v>
      </c>
      <c r="C729">
        <f>IF(ISBLANK('Test case'!AX11),"",'Test case'!AX11)</f>
      </c>
    </row>
    <row r="730">
      <c r="A730" t="s">
        <v>3606</v>
      </c>
      <c r="B730" t="s">
        <v>1881</v>
      </c>
      <c r="C730">
        <f>IF(ISBLANK('Test case'!AX12),"",'Test case'!AX12)</f>
      </c>
    </row>
    <row r="731">
      <c r="A731" t="s">
        <v>3607</v>
      </c>
      <c r="B731" t="s">
        <v>1881</v>
      </c>
      <c r="C731">
        <f>IF(ISBLANK('Test case'!AX13),"",'Test case'!AX13)</f>
      </c>
    </row>
    <row r="732">
      <c r="A732" t="s">
        <v>3608</v>
      </c>
      <c r="B732" t="s">
        <v>1881</v>
      </c>
      <c r="C732">
        <f>IF(ISBLANK('Test case'!AX14),"",'Test case'!AX14)</f>
      </c>
    </row>
    <row r="733">
      <c r="A733" t="s">
        <v>3609</v>
      </c>
      <c r="B733" t="s">
        <v>1881</v>
      </c>
      <c r="C733">
        <f>IF(ISBLANK('Test case'!AX15),"",'Test case'!AX15)</f>
      </c>
    </row>
    <row r="734">
      <c r="A734" t="s">
        <v>3610</v>
      </c>
      <c r="B734" t="s">
        <v>1881</v>
      </c>
      <c r="C734">
        <f>IF(ISBLANK('Test case'!AX16),"",'Test case'!AX16)</f>
      </c>
    </row>
    <row r="735">
      <c r="A735" t="s">
        <v>8501</v>
      </c>
      <c r="B735" t="s">
        <v>1881</v>
      </c>
      <c r="C735">
        <f>IF(ISBLANK('Test case'!AX17),"",'Test case'!AX17)</f>
      </c>
    </row>
    <row r="736">
      <c r="A736" t="s">
        <v>8502</v>
      </c>
      <c r="B736" t="s">
        <v>1881</v>
      </c>
      <c r="C736">
        <f>IF(ISBLANK('Test case'!AX18),"",'Test case'!AX18)</f>
      </c>
    </row>
    <row r="737">
      <c r="A737" t="s">
        <v>1531</v>
      </c>
      <c r="B737" t="s">
        <v>1881</v>
      </c>
      <c r="C737">
        <f>IF(ISBLANK('Test case'!AX19),"",'Test case'!AX19)</f>
      </c>
    </row>
    <row r="738">
      <c r="A738" t="s">
        <v>1532</v>
      </c>
      <c r="B738" t="s">
        <v>1881</v>
      </c>
      <c r="C738">
        <f>IF(ISBLANK('Test case'!AX20),"",'Test case'!AX20)</f>
      </c>
    </row>
    <row r="739">
      <c r="A739" t="s">
        <v>6445</v>
      </c>
      <c r="B739" t="s">
        <v>1881</v>
      </c>
      <c r="C739">
        <f>IF(ISBLANK('Test case'!AX21),"",'Test case'!AX21)</f>
      </c>
    </row>
    <row r="740">
      <c r="A740" t="s">
        <v>6871</v>
      </c>
      <c r="B740" t="s">
        <v>1881</v>
      </c>
      <c r="C740">
        <f>IF(ISBLANK('Test case'!AX22),"",'Test case'!AX22)</f>
      </c>
    </row>
    <row r="741">
      <c r="A741" t="s">
        <v>9141</v>
      </c>
      <c r="B741" t="s">
        <v>952</v>
      </c>
      <c r="C741">
        <f>IF(ISBLANK('Test case'!AX23),"",'Test case'!AX23)</f>
      </c>
    </row>
    <row r="742">
      <c r="A742" t="s">
        <v>9170</v>
      </c>
      <c r="B742" t="s">
        <v>952</v>
      </c>
      <c r="C742">
        <f>IF(ISBLANK('Test case'!AX24),"",'Test case'!AX24)</f>
      </c>
    </row>
    <row r="743">
      <c r="A743" t="s">
        <v>9171</v>
      </c>
      <c r="B743" t="s">
        <v>952</v>
      </c>
      <c r="C743">
        <f>IF(ISBLANK('Test case'!AX25),"",'Test case'!AX25)</f>
      </c>
    </row>
    <row r="744">
      <c r="A744" t="s">
        <v>9172</v>
      </c>
      <c r="B744" t="s">
        <v>952</v>
      </c>
      <c r="C744">
        <f>IF(ISBLANK('Test case'!AX26),"",'Test case'!AX26)</f>
      </c>
    </row>
    <row r="745">
      <c r="A745" t="s">
        <v>9145</v>
      </c>
      <c r="B745" t="s">
        <v>952</v>
      </c>
      <c r="C745">
        <f>IF(ISBLANK('Test case'!AX27),"",'Test case'!AX27)</f>
      </c>
    </row>
    <row r="746">
      <c r="A746" t="s">
        <v>9173</v>
      </c>
      <c r="B746" t="s">
        <v>952</v>
      </c>
      <c r="C746">
        <f>IF(ISBLANK('Test case'!AX28),"",'Test case'!AX28)</f>
      </c>
    </row>
    <row r="747">
      <c r="A747" t="s">
        <v>9174</v>
      </c>
      <c r="B747" t="s">
        <v>1881</v>
      </c>
      <c r="C747">
        <f>IF(ISBLANK('Test case'!AX29),"",'Test case'!AX29)</f>
      </c>
    </row>
    <row r="748">
      <c r="A748" t="s">
        <v>1457</v>
      </c>
      <c r="B748" t="s">
        <v>1881</v>
      </c>
      <c r="C748">
        <f>IF(ISBLANK('Test case'!AX30),"",'Test case'!AX30)</f>
      </c>
    </row>
    <row r="749">
      <c r="A749" t="s">
        <v>1458</v>
      </c>
      <c r="B749" t="s">
        <v>1881</v>
      </c>
      <c r="C749">
        <f>IF(ISBLANK('Test case'!AX31),"",'Test case'!AX31)</f>
      </c>
    </row>
    <row r="750">
      <c r="A750" t="s">
        <v>9175</v>
      </c>
      <c r="B750" t="s">
        <v>1881</v>
      </c>
      <c r="C750">
        <f>IF(ISBLANK('Test case'!AX32),"",'Test case'!AX32)</f>
      </c>
    </row>
    <row r="751">
      <c r="A751" t="s">
        <v>9176</v>
      </c>
      <c r="B751" t="s">
        <v>1881</v>
      </c>
      <c r="C751">
        <f>IF(ISBLANK('Test case'!AX33),"",'Test case'!AX33)</f>
      </c>
    </row>
    <row r="752">
      <c r="A752" t="s">
        <v>9177</v>
      </c>
      <c r="B752" t="s">
        <v>1881</v>
      </c>
      <c r="C752">
        <f>IF(ISBLANK('Test case'!AX34),"",'Test case'!AX34)</f>
      </c>
    </row>
    <row r="753">
      <c r="A753" t="s">
        <v>1459</v>
      </c>
      <c r="B753" t="s">
        <v>1881</v>
      </c>
      <c r="C753">
        <f>IF(ISBLANK('Test case'!AX35),"",'Test case'!AX35)</f>
      </c>
    </row>
    <row r="754">
      <c r="A754" t="s">
        <v>1460</v>
      </c>
      <c r="B754" t="s">
        <v>1881</v>
      </c>
      <c r="C754">
        <f>IF(ISBLANK('Test case'!AX36),"",'Test case'!AX36)</f>
      </c>
    </row>
    <row r="755">
      <c r="A755" t="s">
        <v>9141</v>
      </c>
      <c r="B755" t="s">
        <v>952</v>
      </c>
      <c r="C755">
        <f>IF(ISBLANK('Test case'!AX37),"",'Test case'!AX37)</f>
      </c>
    </row>
    <row r="756">
      <c r="A756" t="s">
        <v>9143</v>
      </c>
      <c r="B756" t="s">
        <v>952</v>
      </c>
      <c r="C756">
        <f>IF(ISBLANK('Test case'!AX38),"",'Test case'!AX38)</f>
      </c>
    </row>
    <row r="757">
      <c r="A757" t="s">
        <v>9145</v>
      </c>
      <c r="B757" t="s">
        <v>952</v>
      </c>
      <c r="C757">
        <f>IF(ISBLANK('Test case'!AX39),"",'Test case'!AX39)</f>
      </c>
    </row>
    <row r="758">
      <c r="A758" t="s">
        <v>9178</v>
      </c>
      <c r="B758" t="s">
        <v>952</v>
      </c>
      <c r="C758">
        <f>IF(ISBLANK('Test case'!AX40),"",'Test case'!AX40)</f>
      </c>
    </row>
    <row r="759">
      <c r="A759" t="s">
        <v>9141</v>
      </c>
      <c r="B759" t="s">
        <v>2247</v>
      </c>
      <c r="C759">
        <f>IF(ISBLANK('Test case'!AX41),"",'Test case'!AX41)</f>
      </c>
    </row>
    <row r="760">
      <c r="A760" t="s">
        <v>9143</v>
      </c>
      <c r="B760" t="s">
        <v>2247</v>
      </c>
      <c r="C760">
        <f>IF(ISBLANK('Test case'!AX42),"",'Test case'!AX42)</f>
      </c>
    </row>
    <row r="761">
      <c r="A761" t="s">
        <v>9145</v>
      </c>
      <c r="B761" t="s">
        <v>2247</v>
      </c>
      <c r="C761">
        <f>IF(ISBLANK('Test case'!AX43),"",'Test case'!AX43)</f>
      </c>
    </row>
    <row r="762">
      <c r="A762" t="s">
        <v>9178</v>
      </c>
      <c r="B762" t="s">
        <v>2247</v>
      </c>
      <c r="C762">
        <f>IF(ISBLANK('Test case'!AX44),"",'Test case'!AX44)</f>
      </c>
    </row>
    <row r="763">
      <c r="A763" t="s">
        <v>9141</v>
      </c>
      <c r="B763" t="s">
        <v>2250</v>
      </c>
      <c r="C763">
        <f>IF(ISBLANK('Test case'!AX45),"",'Test case'!AX45)</f>
      </c>
    </row>
    <row r="764">
      <c r="A764" t="s">
        <v>9143</v>
      </c>
      <c r="B764" t="s">
        <v>2250</v>
      </c>
      <c r="C764">
        <f>IF(ISBLANK('Test case'!AX46),"",'Test case'!AX46)</f>
      </c>
    </row>
    <row r="765">
      <c r="A765" t="s">
        <v>9145</v>
      </c>
      <c r="B765" t="s">
        <v>2250</v>
      </c>
      <c r="C765">
        <f>IF(ISBLANK('Test case'!AX47),"",'Test case'!AX47)</f>
      </c>
    </row>
    <row r="766">
      <c r="A766" t="s">
        <v>9178</v>
      </c>
      <c r="B766" t="s">
        <v>2250</v>
      </c>
      <c r="C766">
        <f>IF(ISBLANK('Test case'!AX48),"",'Test case'!AX48)</f>
      </c>
    </row>
    <row r="767">
      <c r="A767" t="s">
        <v>9141</v>
      </c>
      <c r="B767" t="s">
        <v>2253</v>
      </c>
      <c r="C767">
        <f>IF(ISBLANK('Test case'!AX49),"",'Test case'!AX49)</f>
      </c>
    </row>
    <row r="768">
      <c r="A768" t="s">
        <v>9143</v>
      </c>
      <c r="B768" t="s">
        <v>2253</v>
      </c>
      <c r="C768">
        <f>IF(ISBLANK('Test case'!AX50),"",'Test case'!AX50)</f>
      </c>
    </row>
    <row r="769">
      <c r="A769" t="s">
        <v>9145</v>
      </c>
      <c r="B769" t="s">
        <v>2253</v>
      </c>
      <c r="C769">
        <f>IF(ISBLANK('Test case'!AX51),"",'Test case'!AX51)</f>
      </c>
    </row>
    <row r="770">
      <c r="A770" t="s">
        <v>9178</v>
      </c>
      <c r="B770" t="s">
        <v>2253</v>
      </c>
      <c r="C770">
        <f>IF(ISBLANK('Test case'!AX52),"",'Test case'!AX52)</f>
      </c>
    </row>
    <row r="771">
      <c r="A771" t="s">
        <v>1618</v>
      </c>
      <c r="B771" t="s">
        <v>1881</v>
      </c>
      <c r="C771">
        <f>IF(ISBLANK('Test case'!AX53),"",'Test case'!AX53)</f>
      </c>
    </row>
    <row r="772">
      <c r="A772" t="s">
        <v>1619</v>
      </c>
      <c r="B772" t="s">
        <v>1881</v>
      </c>
      <c r="C772">
        <f>IF(ISBLANK('Test case'!AX54),"",'Test case'!AX54)</f>
      </c>
    </row>
    <row r="773">
      <c r="A773" t="s">
        <v>1620</v>
      </c>
      <c r="B773" t="s">
        <v>1881</v>
      </c>
      <c r="C773">
        <f>IF(ISBLANK('Test case'!AX55),"",'Test case'!AX55)</f>
      </c>
    </row>
    <row r="774">
      <c r="A774" t="s">
        <v>1621</v>
      </c>
      <c r="B774" t="s">
        <v>1881</v>
      </c>
      <c r="C774">
        <f>IF(ISBLANK('Test case'!AX56),"",'Test case'!AX56)</f>
      </c>
    </row>
    <row r="775">
      <c r="A775" t="s">
        <v>1622</v>
      </c>
      <c r="B775" t="s">
        <v>1881</v>
      </c>
      <c r="C775">
        <f>IF(ISBLANK('Test case'!AX57),"",'Test case'!AX57)</f>
      </c>
    </row>
    <row r="776">
      <c r="A776" t="s">
        <v>1623</v>
      </c>
      <c r="B776" t="s">
        <v>1881</v>
      </c>
      <c r="C776">
        <f>IF(ISBLANK('Test case'!AX58),"",'Test case'!AX58)</f>
      </c>
    </row>
    <row r="777">
      <c r="A777" t="s">
        <v>1624</v>
      </c>
      <c r="B777" t="s">
        <v>1881</v>
      </c>
      <c r="C777">
        <f>IF(ISBLANK('Test case'!AX59),"",'Test case'!AX59)</f>
      </c>
    </row>
    <row r="778">
      <c r="A778" t="s">
        <v>1625</v>
      </c>
      <c r="B778" t="s">
        <v>1881</v>
      </c>
      <c r="C778">
        <f>IF(ISBLANK('Test case'!AX60),"",'Test case'!AX60)</f>
      </c>
    </row>
    <row r="779">
      <c r="A779" t="s">
        <v>1626</v>
      </c>
      <c r="B779" t="s">
        <v>1881</v>
      </c>
      <c r="C779">
        <f>IF(ISBLANK('Test case'!AX61),"",'Test case'!AX61)</f>
      </c>
    </row>
    <row r="780">
      <c r="A780" t="s">
        <v>1627</v>
      </c>
      <c r="B780" t="s">
        <v>1881</v>
      </c>
      <c r="C780">
        <f>IF(ISBLANK('Test case'!AX62),"",'Test case'!AX62)</f>
      </c>
    </row>
    <row r="781">
      <c r="A781" t="s">
        <v>1628</v>
      </c>
      <c r="B781" t="s">
        <v>1881</v>
      </c>
      <c r="C781">
        <f>IF(ISBLANK('Test case'!AX63),"",'Test case'!AX63)</f>
      </c>
    </row>
    <row r="782">
      <c r="A782" t="s">
        <v>1629</v>
      </c>
      <c r="B782" t="s">
        <v>1881</v>
      </c>
      <c r="C782">
        <f>IF(ISBLANK('Test case'!AX64),"",'Test case'!AX64)</f>
      </c>
    </row>
    <row r="783">
      <c r="A783" t="s">
        <v>1630</v>
      </c>
      <c r="B783" t="s">
        <v>1881</v>
      </c>
      <c r="C783">
        <f>IF(ISBLANK('Test case'!AX65),"",'Test case'!AX65)</f>
      </c>
    </row>
    <row r="784">
      <c r="A784" t="s">
        <v>1631</v>
      </c>
      <c r="B784" t="s">
        <v>1881</v>
      </c>
      <c r="C784">
        <f>IF(ISBLANK('Test case'!AX66),"",'Test case'!AX66)</f>
      </c>
    </row>
    <row r="785">
      <c r="A785" t="s">
        <v>1481</v>
      </c>
      <c r="B785" t="s">
        <v>1881</v>
      </c>
      <c r="C785">
        <f>IF(ISBLANK('Test case'!BA4),"",'Test case'!BA4)</f>
      </c>
    </row>
    <row r="786">
      <c r="A786" t="s">
        <v>1482</v>
      </c>
      <c r="B786" t="s">
        <v>1881</v>
      </c>
      <c r="C786">
        <f>IF(ISBLANK('Test case'!BA5),"",'Test case'!BA5)</f>
      </c>
    </row>
    <row r="787">
      <c r="A787" t="s">
        <v>1483</v>
      </c>
      <c r="B787" t="s">
        <v>1881</v>
      </c>
      <c r="C787">
        <f>IF(ISBLANK('Test case'!BA6),"",'Test case'!BA6)</f>
      </c>
    </row>
    <row r="788">
      <c r="A788" t="s">
        <v>1484</v>
      </c>
      <c r="B788" t="s">
        <v>1881</v>
      </c>
      <c r="C788">
        <f>IF(ISBLANK('Test case'!BA7),"",'Test case'!BA7)</f>
      </c>
    </row>
    <row r="789">
      <c r="A789" t="s">
        <v>1485</v>
      </c>
      <c r="B789" t="s">
        <v>1881</v>
      </c>
      <c r="C789">
        <f>IF(ISBLANK('Test case'!BA8),"",'Test case'!BA8)</f>
      </c>
    </row>
    <row r="790">
      <c r="A790" t="s">
        <v>1486</v>
      </c>
      <c r="B790" t="s">
        <v>1881</v>
      </c>
      <c r="C790">
        <f>IF(ISBLANK('Test case'!BA9),"",'Test case'!BA9)</f>
      </c>
    </row>
    <row r="791">
      <c r="A791" t="s">
        <v>3038</v>
      </c>
      <c r="B791" t="s">
        <v>1881</v>
      </c>
      <c r="C791">
        <f>IF(ISBLANK('Test case'!BA10),"",'Test case'!BA10)</f>
      </c>
    </row>
    <row r="792">
      <c r="A792" t="s">
        <v>3039</v>
      </c>
      <c r="B792" t="s">
        <v>1881</v>
      </c>
      <c r="C792">
        <f>IF(ISBLANK('Test case'!BA11),"",'Test case'!BA11)</f>
      </c>
    </row>
    <row r="793">
      <c r="A793" t="s">
        <v>3040</v>
      </c>
      <c r="B793" t="s">
        <v>1881</v>
      </c>
      <c r="C793">
        <f>IF(ISBLANK('Test case'!BA12),"",'Test case'!BA12)</f>
      </c>
    </row>
    <row r="794">
      <c r="A794" t="s">
        <v>3041</v>
      </c>
      <c r="B794" t="s">
        <v>1881</v>
      </c>
      <c r="C794">
        <f>IF(ISBLANK('Test case'!BA13),"",'Test case'!BA13)</f>
      </c>
    </row>
    <row r="795">
      <c r="A795" t="s">
        <v>3042</v>
      </c>
      <c r="B795" t="s">
        <v>1881</v>
      </c>
      <c r="C795">
        <f>IF(ISBLANK('Test case'!BA14),"",'Test case'!BA14)</f>
      </c>
    </row>
    <row r="796">
      <c r="A796" t="s">
        <v>2756</v>
      </c>
      <c r="B796" t="s">
        <v>1881</v>
      </c>
      <c r="C796">
        <f>IF(ISBLANK('Test case'!BA15),"",'Test case'!BA15)</f>
      </c>
    </row>
    <row r="797">
      <c r="A797" t="s">
        <v>1744</v>
      </c>
      <c r="B797" t="s">
        <v>1881</v>
      </c>
      <c r="C797">
        <f>IF(ISBLANK('Test case'!BA16),"",'Test case'!BA16)</f>
      </c>
    </row>
    <row r="798">
      <c r="A798" t="s">
        <v>1745</v>
      </c>
      <c r="B798" t="s">
        <v>1881</v>
      </c>
      <c r="C798">
        <f>IF(ISBLANK('Test case'!BA17),"",'Test case'!BA17)</f>
      </c>
    </row>
    <row r="799">
      <c r="A799" t="s">
        <v>1746</v>
      </c>
      <c r="B799" t="s">
        <v>1881</v>
      </c>
      <c r="C799">
        <f>IF(ISBLANK('Test case'!BA18),"",'Test case'!BA18)</f>
      </c>
    </row>
    <row r="800">
      <c r="A800" t="s">
        <v>1747</v>
      </c>
      <c r="B800" t="s">
        <v>1881</v>
      </c>
      <c r="C800">
        <f>IF(ISBLANK('Test case'!BA19),"",'Test case'!BA19)</f>
      </c>
    </row>
    <row r="801">
      <c r="A801" t="s">
        <v>1748</v>
      </c>
      <c r="B801" t="s">
        <v>1881</v>
      </c>
      <c r="C801">
        <f>IF(ISBLANK('Test case'!BA20),"",'Test case'!BA20)</f>
      </c>
    </row>
    <row r="802">
      <c r="A802" t="s">
        <v>23</v>
      </c>
      <c r="B802" t="s">
        <v>1881</v>
      </c>
      <c r="C802">
        <f>IF(ISBLANK('Test case'!BA21),"",'Test case'!BA21)</f>
      </c>
    </row>
    <row r="803">
      <c r="A803" t="s">
        <v>24</v>
      </c>
      <c r="B803" t="s">
        <v>1881</v>
      </c>
      <c r="C803">
        <f>IF(ISBLANK('Test case'!BA22),"",'Test case'!BA22)</f>
      </c>
    </row>
    <row r="804">
      <c r="A804" t="s">
        <v>25</v>
      </c>
      <c r="B804" t="s">
        <v>1881</v>
      </c>
      <c r="C804">
        <f>IF(ISBLANK('Test case'!BA23),"",'Test case'!BA23)</f>
      </c>
    </row>
    <row r="805">
      <c r="A805" t="s">
        <v>26</v>
      </c>
      <c r="B805" t="s">
        <v>1881</v>
      </c>
      <c r="C805">
        <f>IF(ISBLANK('Test case'!BA24),"",'Test case'!BA24)</f>
      </c>
    </row>
    <row r="806">
      <c r="A806" t="s">
        <v>27</v>
      </c>
      <c r="B806" t="s">
        <v>1881</v>
      </c>
      <c r="C806">
        <f>IF(ISBLANK('Test case'!BA25),"",'Test case'!BA25)</f>
      </c>
    </row>
    <row r="807">
      <c r="A807" t="s">
        <v>28</v>
      </c>
      <c r="B807" t="s">
        <v>1881</v>
      </c>
      <c r="C807">
        <f>IF(ISBLANK('Test case'!BA26),"",'Test case'!BA26)</f>
      </c>
    </row>
    <row r="808">
      <c r="A808" t="s">
        <v>29</v>
      </c>
      <c r="B808" t="s">
        <v>1881</v>
      </c>
      <c r="C808">
        <f>IF(ISBLANK('Test case'!BA27),"",'Test case'!BA27)</f>
      </c>
    </row>
    <row r="809">
      <c r="A809" t="s">
        <v>1032</v>
      </c>
      <c r="B809" t="s">
        <v>1881</v>
      </c>
      <c r="C809">
        <f>IF(ISBLANK('Test case'!BA28),"",'Test case'!BA28)</f>
      </c>
    </row>
    <row r="810">
      <c r="A810" t="s">
        <v>6878</v>
      </c>
      <c r="B810" t="s">
        <v>1881</v>
      </c>
      <c r="C810">
        <f>IF(ISBLANK('Test case'!BA29),"",'Test case'!BA29)</f>
      </c>
    </row>
    <row r="811">
      <c r="A811" t="s">
        <v>3637</v>
      </c>
      <c r="B811" t="s">
        <v>1881</v>
      </c>
      <c r="C811">
        <f>IF(ISBLANK('Test case'!BD4),"",'Test case'!BD4)</f>
      </c>
    </row>
    <row r="812">
      <c r="A812" t="s">
        <v>2913</v>
      </c>
      <c r="B812" t="s">
        <v>1881</v>
      </c>
      <c r="C812">
        <f>IF(ISBLANK('Test case'!BD5),"",'Test case'!BD5)</f>
      </c>
    </row>
    <row r="813">
      <c r="A813" t="s">
        <v>2914</v>
      </c>
      <c r="B813" t="s">
        <v>1881</v>
      </c>
      <c r="C813">
        <f>IF(ISBLANK('Test case'!BD6),"",'Test case'!BD6)</f>
      </c>
    </row>
    <row r="814">
      <c r="A814" t="s">
        <v>2695</v>
      </c>
      <c r="B814" t="s">
        <v>1881</v>
      </c>
      <c r="C814">
        <f>IF(ISBLANK('Test case'!BD7),"",'Test case'!BD7)</f>
      </c>
    </row>
    <row r="815">
      <c r="A815" t="s">
        <v>2696</v>
      </c>
      <c r="B815" t="s">
        <v>1881</v>
      </c>
      <c r="C815">
        <f>IF(ISBLANK('Test case'!BD8),"",'Test case'!BD8)</f>
      </c>
    </row>
    <row r="816">
      <c r="A816" t="s">
        <v>2697</v>
      </c>
      <c r="B816" t="s">
        <v>1881</v>
      </c>
      <c r="C816">
        <f>IF(ISBLANK('Test case'!BD9),"",'Test case'!BD9)</f>
      </c>
    </row>
    <row r="817">
      <c r="A817" t="s">
        <v>2698</v>
      </c>
      <c r="B817" t="s">
        <v>1881</v>
      </c>
      <c r="C817">
        <f>IF(ISBLANK('Test case'!BD10),"",'Test case'!BD10)</f>
      </c>
    </row>
    <row r="818">
      <c r="A818" t="s">
        <v>2699</v>
      </c>
      <c r="B818" t="s">
        <v>1881</v>
      </c>
      <c r="C818">
        <f>IF(ISBLANK('Test case'!BD11),"",'Test case'!BD11)</f>
      </c>
    </row>
    <row r="819">
      <c r="A819" t="s">
        <v>3852</v>
      </c>
      <c r="B819" t="s">
        <v>1881</v>
      </c>
      <c r="C819">
        <f>IF(ISBLANK('Test case'!BD12),"",'Test case'!BD12)</f>
      </c>
    </row>
    <row r="820">
      <c r="A820" t="s">
        <v>3853</v>
      </c>
      <c r="B820" t="s">
        <v>1881</v>
      </c>
      <c r="C820">
        <f>IF(ISBLANK('Test case'!BD13),"",'Test case'!BD13)</f>
      </c>
    </row>
    <row r="821">
      <c r="A821" t="s">
        <v>3854</v>
      </c>
      <c r="B821" t="s">
        <v>1881</v>
      </c>
      <c r="C821">
        <f>IF(ISBLANK('Test case'!BD14),"",'Test case'!BD14)</f>
      </c>
    </row>
    <row r="822">
      <c r="A822" t="s">
        <v>3855</v>
      </c>
      <c r="B822" t="s">
        <v>1881</v>
      </c>
      <c r="C822">
        <f>IF(ISBLANK('Test case'!BD15),"",'Test case'!BD15)</f>
      </c>
    </row>
    <row r="823">
      <c r="A823" t="s">
        <v>3856</v>
      </c>
      <c r="B823" t="s">
        <v>1881</v>
      </c>
      <c r="C823">
        <f>IF(ISBLANK('Test case'!BD16),"",'Test case'!BD16)</f>
      </c>
    </row>
    <row r="824">
      <c r="A824" t="s">
        <v>3857</v>
      </c>
      <c r="B824" t="s">
        <v>1881</v>
      </c>
      <c r="C824">
        <f>IF(ISBLANK('Test case'!BD17),"",'Test case'!BD17)</f>
      </c>
    </row>
    <row r="825">
      <c r="A825" t="s">
        <v>3858</v>
      </c>
      <c r="B825" t="s">
        <v>1881</v>
      </c>
      <c r="C825">
        <f>IF(ISBLANK('Test case'!BD18),"",'Test case'!BD18)</f>
      </c>
    </row>
    <row r="826">
      <c r="A826" t="s">
        <v>2750</v>
      </c>
      <c r="B826" t="s">
        <v>1881</v>
      </c>
      <c r="C826">
        <f>IF(ISBLANK('Test case'!BD19),"",'Test case'!BD19)</f>
      </c>
    </row>
    <row r="827">
      <c r="A827" t="s">
        <v>2751</v>
      </c>
      <c r="B827" t="s">
        <v>1881</v>
      </c>
      <c r="C827">
        <f>IF(ISBLANK('Test case'!BD20),"",'Test case'!BD20)</f>
      </c>
    </row>
    <row r="828">
      <c r="A828" t="s">
        <v>2752</v>
      </c>
      <c r="B828" t="s">
        <v>1881</v>
      </c>
      <c r="C828">
        <f>IF(ISBLANK('Test case'!BD21),"",'Test case'!BD21)</f>
      </c>
    </row>
    <row r="829">
      <c r="A829" t="s">
        <v>3015</v>
      </c>
      <c r="B829" t="s">
        <v>1881</v>
      </c>
      <c r="C829">
        <f>IF(ISBLANK('Test case'!BD22),"",'Test case'!BD22)</f>
      </c>
    </row>
    <row r="830">
      <c r="A830" t="s">
        <v>3016</v>
      </c>
      <c r="B830" t="s">
        <v>1881</v>
      </c>
      <c r="C830">
        <f>IF(ISBLANK('Test case'!BD23),"",'Test case'!BD23)</f>
      </c>
    </row>
    <row r="831">
      <c r="A831" t="s">
        <v>3948</v>
      </c>
      <c r="B831" t="s">
        <v>1881</v>
      </c>
      <c r="C831">
        <f>IF(ISBLANK('Test case'!BD24),"",'Test case'!BD24)</f>
      </c>
    </row>
    <row r="832">
      <c r="A832" t="s">
        <v>3949</v>
      </c>
      <c r="B832" t="s">
        <v>1881</v>
      </c>
      <c r="C832">
        <f>IF(ISBLANK('Test case'!BD25),"",'Test case'!BD25)</f>
      </c>
    </row>
    <row r="833">
      <c r="A833" t="s">
        <v>3950</v>
      </c>
      <c r="B833" t="s">
        <v>1881</v>
      </c>
      <c r="C833">
        <f>IF(ISBLANK('Test case'!BD26),"",'Test case'!BD26)</f>
      </c>
    </row>
    <row r="834">
      <c r="A834" t="s">
        <v>3951</v>
      </c>
      <c r="B834" t="s">
        <v>1881</v>
      </c>
      <c r="C834">
        <f>IF(ISBLANK('Test case'!BD27),"",'Test case'!BD27)</f>
      </c>
    </row>
    <row r="835">
      <c r="A835" t="s">
        <v>3952</v>
      </c>
      <c r="B835" t="s">
        <v>1881</v>
      </c>
      <c r="C835">
        <f>IF(ISBLANK('Test case'!BD28),"",'Test case'!BD28)</f>
      </c>
    </row>
    <row r="836">
      <c r="A836" t="s">
        <v>3953</v>
      </c>
      <c r="B836" t="s">
        <v>1881</v>
      </c>
      <c r="C836">
        <f>IF(ISBLANK('Test case'!BD29),"",'Test case'!BD29)</f>
      </c>
    </row>
    <row r="837">
      <c r="A837" t="s">
        <v>3954</v>
      </c>
      <c r="B837" t="s">
        <v>1881</v>
      </c>
      <c r="C837">
        <f>IF(ISBLANK('Test case'!BD30),"",'Test case'!BD30)</f>
      </c>
    </row>
    <row r="838">
      <c r="A838" t="s">
        <v>3955</v>
      </c>
      <c r="B838" t="s">
        <v>1881</v>
      </c>
      <c r="C838">
        <f>IF(ISBLANK('Test case'!BD31),"",'Test case'!BD31)</f>
      </c>
    </row>
    <row r="839">
      <c r="A839" t="s">
        <v>3956</v>
      </c>
      <c r="B839" t="s">
        <v>1881</v>
      </c>
      <c r="C839">
        <f>IF(ISBLANK('Test case'!BD32),"",'Test case'!BD32)</f>
      </c>
    </row>
    <row r="840">
      <c r="A840" t="s">
        <v>580</v>
      </c>
      <c r="B840" t="s">
        <v>1881</v>
      </c>
      <c r="C840">
        <f>IF(ISBLANK('Test case'!BD33),"",'Test case'!BD33)</f>
      </c>
    </row>
    <row r="841">
      <c r="A841" t="s">
        <v>581</v>
      </c>
      <c r="B841" t="s">
        <v>1881</v>
      </c>
      <c r="C841">
        <f>IF(ISBLANK('Test case'!BD34),"",'Test case'!BD34)</f>
      </c>
    </row>
    <row r="842">
      <c r="A842" t="s">
        <v>582</v>
      </c>
      <c r="B842" t="s">
        <v>1881</v>
      </c>
      <c r="C842">
        <f>IF(ISBLANK('Test case'!BD35),"",'Test case'!BD35)</f>
      </c>
    </row>
    <row r="843">
      <c r="A843" t="s">
        <v>583</v>
      </c>
      <c r="B843" t="s">
        <v>1881</v>
      </c>
      <c r="C843">
        <f>IF(ISBLANK('Test case'!BD36),"",'Test case'!BD36)</f>
      </c>
    </row>
    <row r="844">
      <c r="A844" t="s">
        <v>584</v>
      </c>
      <c r="B844" t="s">
        <v>1881</v>
      </c>
      <c r="C844">
        <f>IF(ISBLANK('Test case'!BD37),"",'Test case'!BD37)</f>
      </c>
    </row>
    <row r="845">
      <c r="A845" t="s">
        <v>585</v>
      </c>
      <c r="B845" t="s">
        <v>1881</v>
      </c>
      <c r="C845">
        <f>IF(ISBLANK('Test case'!BD38),"",'Test case'!BD38)</f>
      </c>
    </row>
    <row r="846">
      <c r="A846" t="s">
        <v>2414</v>
      </c>
      <c r="B846" t="s">
        <v>1881</v>
      </c>
      <c r="C846">
        <f>IF(ISBLANK('Test case'!BD39),"",'Test case'!BD39)</f>
      </c>
    </row>
    <row r="847">
      <c r="A847" t="s">
        <v>2415</v>
      </c>
      <c r="B847" t="s">
        <v>1881</v>
      </c>
      <c r="C847">
        <f>IF(ISBLANK('Test case'!BD40),"",'Test case'!BD40)</f>
      </c>
    </row>
    <row r="848">
      <c r="A848" t="s">
        <v>4600</v>
      </c>
      <c r="B848" t="s">
        <v>1881</v>
      </c>
      <c r="C848">
        <f>IF(ISBLANK('Test case'!BD41),"",'Test case'!BD41)</f>
      </c>
    </row>
    <row r="849">
      <c r="A849" t="s">
        <v>5139</v>
      </c>
      <c r="B849" t="s">
        <v>1881</v>
      </c>
      <c r="C849">
        <f>IF(ISBLANK('Test case'!BD42),"",'Test case'!BD42)</f>
      </c>
    </row>
    <row r="850">
      <c r="A850" t="s">
        <v>5140</v>
      </c>
      <c r="B850" t="s">
        <v>1881</v>
      </c>
      <c r="C850">
        <f>IF(ISBLANK('Test case'!BD43),"",'Test case'!BD43)</f>
      </c>
    </row>
    <row r="851">
      <c r="A851" t="s">
        <v>5141</v>
      </c>
      <c r="B851" t="s">
        <v>1881</v>
      </c>
      <c r="C851">
        <f>IF(ISBLANK('Test case'!BD44),"",'Test case'!BD44)</f>
      </c>
    </row>
    <row r="852">
      <c r="A852" t="s">
        <v>5142</v>
      </c>
      <c r="B852" t="s">
        <v>1881</v>
      </c>
      <c r="C852">
        <f>IF(ISBLANK('Test case'!BD45),"",'Test case'!BD45)</f>
      </c>
    </row>
    <row r="853">
      <c r="A853" t="s">
        <v>5143</v>
      </c>
      <c r="B853" t="s">
        <v>1881</v>
      </c>
      <c r="C853">
        <f>IF(ISBLANK('Test case'!BD46),"",'Test case'!BD46)</f>
      </c>
    </row>
    <row r="854">
      <c r="A854" t="s">
        <v>5144</v>
      </c>
      <c r="B854" t="s">
        <v>1881</v>
      </c>
      <c r="C854">
        <f>IF(ISBLANK('Test case'!BD47),"",'Test case'!BD47)</f>
      </c>
    </row>
    <row r="855">
      <c r="A855" t="s">
        <v>5145</v>
      </c>
      <c r="B855" t="s">
        <v>1881</v>
      </c>
      <c r="C855">
        <f>IF(ISBLANK('Test case'!BD48),"",'Test case'!BD48)</f>
      </c>
    </row>
    <row r="856">
      <c r="A856" t="s">
        <v>5146</v>
      </c>
      <c r="B856" t="s">
        <v>1881</v>
      </c>
      <c r="C856">
        <f>IF(ISBLANK('Test case'!BD49),"",'Test case'!BD49)</f>
      </c>
    </row>
    <row r="857">
      <c r="A857" t="s">
        <v>5147</v>
      </c>
      <c r="B857" t="s">
        <v>1881</v>
      </c>
      <c r="C857">
        <f>IF(ISBLANK('Test case'!BD50),"",'Test case'!BD50)</f>
      </c>
    </row>
    <row r="858">
      <c r="A858" t="s">
        <v>5148</v>
      </c>
      <c r="B858" t="s">
        <v>1881</v>
      </c>
      <c r="C858">
        <f>IF(ISBLANK('Test case'!BD51),"",'Test case'!BD51)</f>
      </c>
    </row>
    <row r="859">
      <c r="A859" t="s">
        <v>5293</v>
      </c>
      <c r="B859" t="s">
        <v>1881</v>
      </c>
      <c r="C859">
        <f>IF(ISBLANK('Test case'!BD52),"",'Test case'!BD52)</f>
      </c>
    </row>
    <row r="860">
      <c r="A860" t="s">
        <v>5294</v>
      </c>
      <c r="B860" t="s">
        <v>1881</v>
      </c>
      <c r="C860">
        <f>IF(ISBLANK('Test case'!BD53),"",'Test case'!BD53)</f>
      </c>
    </row>
    <row r="861">
      <c r="A861" t="s">
        <v>5295</v>
      </c>
      <c r="B861" t="s">
        <v>1881</v>
      </c>
      <c r="C861">
        <f>IF(ISBLANK('Test case'!BD54),"",'Test case'!BD54)</f>
      </c>
    </row>
    <row r="862">
      <c r="A862" t="s">
        <v>5296</v>
      </c>
      <c r="B862" t="s">
        <v>1881</v>
      </c>
      <c r="C862">
        <f>IF(ISBLANK('Test case'!BD55),"",'Test case'!BD55)</f>
      </c>
    </row>
    <row r="863">
      <c r="A863" t="s">
        <v>7583</v>
      </c>
      <c r="B863" t="s">
        <v>1881</v>
      </c>
      <c r="C863">
        <f>IF(ISBLANK('Test case'!BD56),"",'Test case'!BD56)</f>
      </c>
    </row>
    <row r="864">
      <c r="A864" t="s">
        <v>7584</v>
      </c>
      <c r="B864" t="s">
        <v>1881</v>
      </c>
      <c r="C864">
        <f>IF(ISBLANK('Test case'!BD57),"",'Test case'!BD57)</f>
      </c>
    </row>
    <row r="865">
      <c r="A865" t="s">
        <v>7585</v>
      </c>
      <c r="B865" t="s">
        <v>1881</v>
      </c>
      <c r="C865">
        <f>IF(ISBLANK('Test case'!BD58),"",'Test case'!BD58)</f>
      </c>
    </row>
    <row r="866">
      <c r="A866" t="s">
        <v>7586</v>
      </c>
      <c r="B866" t="s">
        <v>1881</v>
      </c>
      <c r="C866">
        <f>IF(ISBLANK('Test case'!BD59),"",'Test case'!BD59)</f>
      </c>
    </row>
    <row r="867">
      <c r="A867" t="s">
        <v>7590</v>
      </c>
      <c r="B867" t="s">
        <v>1881</v>
      </c>
      <c r="C867">
        <f>IF(ISBLANK('Test case'!BD60),"",'Test case'!BD60)</f>
      </c>
    </row>
    <row r="868">
      <c r="A868" t="s">
        <v>5297</v>
      </c>
      <c r="B868" t="s">
        <v>1881</v>
      </c>
      <c r="C868">
        <f>IF(ISBLANK('Test case'!BD61),"",'Test case'!BD61)</f>
      </c>
    </row>
    <row r="869">
      <c r="A869" t="s">
        <v>5298</v>
      </c>
      <c r="B869" t="s">
        <v>1881</v>
      </c>
      <c r="C869">
        <f>IF(ISBLANK('Test case'!BD62),"",'Test case'!BD62)</f>
      </c>
    </row>
    <row r="870">
      <c r="A870" t="s">
        <v>542</v>
      </c>
      <c r="B870" t="s">
        <v>1881</v>
      </c>
      <c r="C870">
        <f>IF(ISBLANK('Test case'!BG4),"",'Test case'!BG4)</f>
      </c>
    </row>
    <row r="871">
      <c r="A871" t="s">
        <v>543</v>
      </c>
      <c r="B871" t="s">
        <v>1881</v>
      </c>
      <c r="C871">
        <f>IF(ISBLANK('Test case'!BG5),"",'Test case'!BG5)</f>
      </c>
    </row>
    <row r="872">
      <c r="A872" t="s">
        <v>544</v>
      </c>
      <c r="B872" t="s">
        <v>1881</v>
      </c>
      <c r="C872">
        <f>IF(ISBLANK('Test case'!BG6),"",'Test case'!BG6)</f>
      </c>
    </row>
    <row r="873">
      <c r="A873" t="s">
        <v>3480</v>
      </c>
      <c r="B873" t="s">
        <v>1881</v>
      </c>
      <c r="C873">
        <f>IF(ISBLANK('Test case'!BG7),"",'Test case'!BG7)</f>
      </c>
    </row>
    <row r="874">
      <c r="A874" t="s">
        <v>545</v>
      </c>
      <c r="B874" t="s">
        <v>1881</v>
      </c>
      <c r="C874">
        <f>IF(ISBLANK('Test case'!BG8),"",'Test case'!BG8)</f>
      </c>
    </row>
    <row r="875">
      <c r="A875" t="s">
        <v>3568</v>
      </c>
      <c r="B875" t="s">
        <v>1881</v>
      </c>
      <c r="C875">
        <f>IF(ISBLANK('Test case'!BG9),"",'Test case'!BG9)</f>
      </c>
    </row>
    <row r="876">
      <c r="A876" t="s">
        <v>3569</v>
      </c>
      <c r="B876" t="s">
        <v>1881</v>
      </c>
      <c r="C876">
        <f>IF(ISBLANK('Test case'!BG10),"",'Test case'!BG10)</f>
      </c>
    </row>
    <row r="877">
      <c r="A877" t="s">
        <v>3570</v>
      </c>
      <c r="B877" t="s">
        <v>1881</v>
      </c>
      <c r="C877">
        <f>IF(ISBLANK('Test case'!BG11),"",'Test case'!BG11)</f>
      </c>
    </row>
    <row r="878">
      <c r="A878" t="s">
        <v>3571</v>
      </c>
      <c r="B878" t="s">
        <v>1881</v>
      </c>
      <c r="C878">
        <f>IF(ISBLANK('Test case'!BG12),"",'Test case'!BG12)</f>
      </c>
    </row>
    <row r="879">
      <c r="A879" t="s">
        <v>3572</v>
      </c>
      <c r="B879" t="s">
        <v>1881</v>
      </c>
      <c r="C879">
        <f>IF(ISBLANK('Test case'!BG13),"",'Test case'!BG13)</f>
      </c>
    </row>
    <row r="880">
      <c r="A880" t="s">
        <v>3573</v>
      </c>
      <c r="B880" t="s">
        <v>1881</v>
      </c>
      <c r="C880">
        <f>IF(ISBLANK('Test case'!BG14),"",'Test case'!BG14)</f>
      </c>
    </row>
    <row r="881">
      <c r="A881" t="s">
        <v>3574</v>
      </c>
      <c r="B881" t="s">
        <v>1881</v>
      </c>
      <c r="C881">
        <f>IF(ISBLANK('Test case'!BG15),"",'Test case'!BG15)</f>
      </c>
    </row>
    <row r="882">
      <c r="A882" t="s">
        <v>3575</v>
      </c>
      <c r="B882" t="s">
        <v>1881</v>
      </c>
      <c r="C882">
        <f>IF(ISBLANK('Test case'!BG16),"",'Test case'!BG16)</f>
      </c>
    </row>
    <row r="883">
      <c r="A883" t="s">
        <v>3576</v>
      </c>
      <c r="B883" t="s">
        <v>1881</v>
      </c>
      <c r="C883">
        <f>IF(ISBLANK('Test case'!BG17),"",'Test case'!BG17)</f>
      </c>
    </row>
    <row r="884">
      <c r="A884" t="s">
        <v>3577</v>
      </c>
      <c r="B884" t="s">
        <v>1881</v>
      </c>
      <c r="C884">
        <f>IF(ISBLANK('Test case'!BG18),"",'Test case'!BG18)</f>
      </c>
    </row>
    <row r="885">
      <c r="A885" t="s">
        <v>3578</v>
      </c>
      <c r="B885" t="s">
        <v>1881</v>
      </c>
      <c r="C885">
        <f>IF(ISBLANK('Test case'!BG19),"",'Test case'!BG19)</f>
      </c>
    </row>
    <row r="886">
      <c r="A886" t="s">
        <v>3579</v>
      </c>
      <c r="B886" t="s">
        <v>1881</v>
      </c>
      <c r="C886">
        <f>IF(ISBLANK('Test case'!BG20),"",'Test case'!BG20)</f>
      </c>
    </row>
    <row r="887">
      <c r="A887" t="s">
        <v>3580</v>
      </c>
      <c r="B887" t="s">
        <v>1881</v>
      </c>
      <c r="C887">
        <f>IF(ISBLANK('Test case'!BG21),"",'Test case'!BG21)</f>
      </c>
    </row>
    <row r="888">
      <c r="A888" t="s">
        <v>3581</v>
      </c>
      <c r="B888" t="s">
        <v>1881</v>
      </c>
      <c r="C888">
        <f>IF(ISBLANK('Test case'!BG22),"",'Test case'!BG22)</f>
      </c>
    </row>
    <row r="889">
      <c r="A889" t="s">
        <v>3582</v>
      </c>
      <c r="B889" t="s">
        <v>1881</v>
      </c>
      <c r="C889">
        <f>IF(ISBLANK('Test case'!BG23),"",'Test case'!BG23)</f>
      </c>
    </row>
    <row r="890">
      <c r="A890" t="s">
        <v>3583</v>
      </c>
      <c r="B890" t="s">
        <v>1881</v>
      </c>
      <c r="C890">
        <f>IF(ISBLANK('Test case'!BG24),"",'Test case'!BG24)</f>
      </c>
    </row>
    <row r="891">
      <c r="A891" t="s">
        <v>3315</v>
      </c>
      <c r="B891" t="s">
        <v>1881</v>
      </c>
      <c r="C891">
        <f>IF(ISBLANK('Test case'!BG25),"",'Test case'!BG25)</f>
      </c>
    </row>
    <row r="892">
      <c r="A892" t="s">
        <v>4019</v>
      </c>
      <c r="B892" t="s">
        <v>1881</v>
      </c>
      <c r="C892">
        <f>IF(ISBLANK('Test case'!BG26),"",'Test case'!BG26)</f>
      </c>
    </row>
    <row r="893">
      <c r="A893" t="s">
        <v>4020</v>
      </c>
      <c r="B893" t="s">
        <v>1881</v>
      </c>
      <c r="C893">
        <f>IF(ISBLANK('Test case'!BG27),"",'Test case'!BG27)</f>
      </c>
    </row>
    <row r="894">
      <c r="A894" t="s">
        <v>6585</v>
      </c>
      <c r="B894" t="s">
        <v>1881</v>
      </c>
      <c r="C894">
        <f>IF(ISBLANK('Test case'!BG28),"",'Test case'!BG28)</f>
      </c>
    </row>
    <row r="895">
      <c r="A895" t="s">
        <v>6586</v>
      </c>
      <c r="B895" t="s">
        <v>1881</v>
      </c>
      <c r="C895">
        <f>IF(ISBLANK('Test case'!BG29),"",'Test case'!BG29)</f>
      </c>
    </row>
    <row r="896">
      <c r="A896" t="s">
        <v>6587</v>
      </c>
      <c r="B896" t="s">
        <v>1881</v>
      </c>
      <c r="C896">
        <f>IF(ISBLANK('Test case'!BG30),"",'Test case'!BG30)</f>
      </c>
    </row>
    <row r="897">
      <c r="A897" t="s">
        <v>2829</v>
      </c>
      <c r="B897" t="s">
        <v>1881</v>
      </c>
      <c r="C897">
        <f>IF(ISBLANK('Test case'!BG31),"",'Test case'!BG31)</f>
      </c>
    </row>
    <row r="898">
      <c r="A898" t="s">
        <v>2830</v>
      </c>
      <c r="B898" t="s">
        <v>1881</v>
      </c>
      <c r="C898">
        <f>IF(ISBLANK('Test case'!BG32),"",'Test case'!BG32)</f>
      </c>
    </row>
    <row r="899">
      <c r="A899" t="s">
        <v>2831</v>
      </c>
      <c r="B899" t="s">
        <v>1881</v>
      </c>
      <c r="C899">
        <f>IF(ISBLANK('Test case'!BG33),"",'Test case'!BG33)</f>
      </c>
    </row>
    <row r="900">
      <c r="A900" t="s">
        <v>1033</v>
      </c>
      <c r="B900" t="s">
        <v>1881</v>
      </c>
      <c r="C900">
        <f>IF(ISBLANK('Test case'!BG34),"",'Test case'!BG34)</f>
      </c>
    </row>
    <row r="901">
      <c r="A901" t="s">
        <v>1034</v>
      </c>
      <c r="B901" t="s">
        <v>1881</v>
      </c>
      <c r="C901">
        <f>IF(ISBLANK('Test case'!BG35),"",'Test case'!BG35)</f>
      </c>
    </row>
    <row r="902">
      <c r="A902" t="s">
        <v>1035</v>
      </c>
      <c r="B902" t="s">
        <v>1881</v>
      </c>
      <c r="C902">
        <f>IF(ISBLANK('Test case'!BG36),"",'Test case'!BG36)</f>
      </c>
    </row>
    <row r="903">
      <c r="A903" t="s">
        <v>1036</v>
      </c>
      <c r="B903" t="s">
        <v>1881</v>
      </c>
      <c r="C903">
        <f>IF(ISBLANK('Test case'!BG37),"",'Test case'!BG37)</f>
      </c>
    </row>
    <row r="904">
      <c r="A904" t="s">
        <v>1037</v>
      </c>
      <c r="B904" t="s">
        <v>1881</v>
      </c>
      <c r="C904">
        <f>IF(ISBLANK('Test case'!BG38),"",'Test case'!BG38)</f>
      </c>
    </row>
    <row r="905">
      <c r="A905" t="s">
        <v>1038</v>
      </c>
      <c r="B905" t="s">
        <v>1881</v>
      </c>
      <c r="C905">
        <f>IF(ISBLANK('Test case'!BG39),"",'Test case'!BG39)</f>
      </c>
    </row>
    <row r="906">
      <c r="A906" t="s">
        <v>1039</v>
      </c>
      <c r="B906" t="s">
        <v>1881</v>
      </c>
      <c r="C906">
        <f>IF(ISBLANK('Test case'!BG40),"",'Test case'!BG40)</f>
      </c>
    </row>
    <row r="907">
      <c r="A907" t="s">
        <v>1040</v>
      </c>
      <c r="B907" t="s">
        <v>1881</v>
      </c>
      <c r="C907">
        <f>IF(ISBLANK('Test case'!BG41),"",'Test case'!BG41)</f>
      </c>
    </row>
    <row r="908">
      <c r="A908" t="s">
        <v>3648</v>
      </c>
      <c r="B908" t="s">
        <v>1881</v>
      </c>
      <c r="C908">
        <f>IF(ISBLANK('Test case'!BG42),"",'Test case'!BG42)</f>
      </c>
    </row>
    <row r="909">
      <c r="A909" t="s">
        <v>2269</v>
      </c>
      <c r="B909" t="s">
        <v>1881</v>
      </c>
      <c r="C909">
        <f>IF(ISBLANK('Test case'!BG43),"",'Test case'!BG43)</f>
      </c>
    </row>
    <row r="910">
      <c r="A910" t="s">
        <v>974</v>
      </c>
      <c r="B910" t="s">
        <v>1881</v>
      </c>
      <c r="C910">
        <f>IF(ISBLANK('Test case'!BG44),"",'Test case'!BG44)</f>
      </c>
    </row>
    <row r="911">
      <c r="A911" t="s">
        <v>975</v>
      </c>
      <c r="B911" t="s">
        <v>1881</v>
      </c>
      <c r="C911">
        <f>IF(ISBLANK('Test case'!BG45),"",'Test case'!BG45)</f>
      </c>
    </row>
    <row r="912">
      <c r="A912" t="s">
        <v>976</v>
      </c>
      <c r="B912" t="s">
        <v>1881</v>
      </c>
      <c r="C912">
        <f>IF(ISBLANK('Test case'!BG46),"",'Test case'!BG46)</f>
      </c>
    </row>
    <row r="913">
      <c r="A913" t="s">
        <v>4545</v>
      </c>
      <c r="B913" t="s">
        <v>1881</v>
      </c>
      <c r="C913">
        <f>IF(ISBLANK('Test case'!BG47),"",'Test case'!BG47)</f>
      </c>
    </row>
    <row r="914">
      <c r="A914" t="s">
        <v>3863</v>
      </c>
      <c r="B914" t="s">
        <v>1881</v>
      </c>
      <c r="C914">
        <f>IF(ISBLANK('Test case'!BJ4),"",'Test case'!BJ4)</f>
      </c>
    </row>
    <row r="915">
      <c r="A915" t="s">
        <v>3864</v>
      </c>
      <c r="B915" t="s">
        <v>1881</v>
      </c>
      <c r="C915">
        <f>IF(ISBLANK('Test case'!BJ5),"",'Test case'!BJ5)</f>
      </c>
    </row>
    <row r="916">
      <c r="A916" t="s">
        <v>3865</v>
      </c>
      <c r="B916" t="s">
        <v>1881</v>
      </c>
      <c r="C916">
        <f>IF(ISBLANK('Test case'!BJ6),"",'Test case'!BJ6)</f>
      </c>
    </row>
    <row r="917">
      <c r="A917" t="s">
        <v>7470</v>
      </c>
      <c r="B917" t="s">
        <v>1881</v>
      </c>
      <c r="C917">
        <f>IF(ISBLANK('Test case'!BJ7),"",'Test case'!BJ7)</f>
      </c>
    </row>
    <row r="918">
      <c r="A918" t="s">
        <v>3866</v>
      </c>
      <c r="B918" t="s">
        <v>1881</v>
      </c>
      <c r="C918">
        <f>IF(ISBLANK('Test case'!BJ8),"",'Test case'!BJ8)</f>
      </c>
    </row>
    <row r="919">
      <c r="A919" t="s">
        <v>4553</v>
      </c>
      <c r="B919" t="s">
        <v>1881</v>
      </c>
      <c r="C919">
        <f>IF(ISBLANK('Test case'!BJ9),"",'Test case'!BJ9)</f>
      </c>
    </row>
    <row r="920">
      <c r="A920" t="s">
        <v>3867</v>
      </c>
      <c r="B920" t="s">
        <v>1881</v>
      </c>
      <c r="C920">
        <f>IF(ISBLANK('Test case'!BJ10),"",'Test case'!BJ10)</f>
      </c>
    </row>
    <row r="921">
      <c r="A921" t="s">
        <v>3868</v>
      </c>
      <c r="B921" t="s">
        <v>1881</v>
      </c>
      <c r="C921">
        <f>IF(ISBLANK('Test case'!BJ11),"",'Test case'!BJ11)</f>
      </c>
    </row>
    <row r="922">
      <c r="A922" t="s">
        <v>30</v>
      </c>
      <c r="B922" t="s">
        <v>1881</v>
      </c>
      <c r="C922">
        <f>IF(ISBLANK('Test case'!BJ12),"",'Test case'!BJ12)</f>
      </c>
    </row>
    <row r="923">
      <c r="A923" t="s">
        <v>31</v>
      </c>
      <c r="B923" t="s">
        <v>1881</v>
      </c>
      <c r="C923">
        <f>IF(ISBLANK('Test case'!BJ13),"",'Test case'!BJ13)</f>
      </c>
    </row>
    <row r="924">
      <c r="A924" t="s">
        <v>2272</v>
      </c>
      <c r="B924" t="s">
        <v>1881</v>
      </c>
      <c r="C924">
        <f>IF(ISBLANK('Test case'!BJ14),"",'Test case'!BJ14)</f>
      </c>
    </row>
    <row r="925">
      <c r="A925" t="s">
        <v>3869</v>
      </c>
      <c r="B925" t="s">
        <v>1881</v>
      </c>
      <c r="C925">
        <f>IF(ISBLANK('Test case'!BJ15),"",'Test case'!BJ15)</f>
      </c>
    </row>
    <row r="926">
      <c r="A926" t="s">
        <v>3870</v>
      </c>
      <c r="B926" t="s">
        <v>1881</v>
      </c>
      <c r="C926">
        <f>IF(ISBLANK('Test case'!BJ16),"",'Test case'!BJ16)</f>
      </c>
    </row>
    <row r="927">
      <c r="A927" t="s">
        <v>3871</v>
      </c>
      <c r="B927" t="s">
        <v>1881</v>
      </c>
      <c r="C927">
        <f>IF(ISBLANK('Test case'!BJ17),"",'Test case'!BJ17)</f>
      </c>
    </row>
    <row r="928">
      <c r="A928" t="s">
        <v>3872</v>
      </c>
      <c r="B928" t="s">
        <v>1881</v>
      </c>
      <c r="C928">
        <f>IF(ISBLANK('Test case'!BJ18),"",'Test case'!BJ18)</f>
      </c>
    </row>
    <row r="929">
      <c r="A929" t="s">
        <v>3873</v>
      </c>
      <c r="B929" t="s">
        <v>1881</v>
      </c>
      <c r="C929">
        <f>IF(ISBLANK('Test case'!BJ19),"",'Test case'!BJ19)</f>
      </c>
    </row>
    <row r="930">
      <c r="A930" t="s">
        <v>3874</v>
      </c>
      <c r="B930" t="s">
        <v>1881</v>
      </c>
      <c r="C930">
        <f>IF(ISBLANK('Test case'!BJ20),"",'Test case'!BJ20)</f>
      </c>
    </row>
    <row r="931">
      <c r="A931" t="s">
        <v>3875</v>
      </c>
      <c r="B931" t="s">
        <v>1881</v>
      </c>
      <c r="C931">
        <f>IF(ISBLANK('Test case'!BJ21),"",'Test case'!BJ21)</f>
      </c>
    </row>
    <row r="932">
      <c r="A932" t="s">
        <v>3876</v>
      </c>
      <c r="B932" t="s">
        <v>1881</v>
      </c>
      <c r="C932">
        <f>IF(ISBLANK('Test case'!BJ22),"",'Test case'!BJ22)</f>
      </c>
    </row>
    <row r="933">
      <c r="A933" t="s">
        <v>4444</v>
      </c>
      <c r="B933" t="s">
        <v>1881</v>
      </c>
      <c r="C933">
        <f>IF(ISBLANK('Test case'!BJ26),"",'Test case'!BJ26)</f>
      </c>
    </row>
    <row r="934">
      <c r="A934" t="s">
        <v>4963</v>
      </c>
      <c r="B934" t="s">
        <v>1881</v>
      </c>
      <c r="C934">
        <f>IF(ISBLANK('Test case'!BJ27),"",'Test case'!BJ27)</f>
      </c>
    </row>
    <row r="935">
      <c r="A935" t="s">
        <v>9179</v>
      </c>
      <c r="B935" t="s">
        <v>1881</v>
      </c>
      <c r="C935">
        <f>IF(ISBLANK('Test case'!BJ31),"",'Test case'!BJ31)</f>
      </c>
    </row>
  </sheetData>
  <pageMargins bottom="0.75" footer="0.3" header="0.3" left="0.7" right="0.7" top="0.75"/>
</worksheet>
</file>

<file path=xl/worksheets/sheet497.xml><?xml version="1.0" encoding="utf-8"?>
<worksheet xmlns="http://schemas.openxmlformats.org/spreadsheetml/2006/main">
  <dimension ref="A1:C1277"/>
  <sheetViews>
    <sheetView workbookViewId="0"/>
  </sheetViews>
  <sheetFormatPr defaultRowHeight="15.0"/>
  <sheetData>
    <row r="1">
      <c r="A1" t="s">
        <v>2620</v>
      </c>
      <c r="B1">
        <f>'NS income (c1)'!F5</f>
      </c>
    </row>
    <row r="2">
      <c r="A2" t="s">
        <v>3719</v>
      </c>
      <c r="B2">
        <f>'NS income (c1)'!J28</f>
      </c>
    </row>
    <row r="3">
      <c r="A3" t="s">
        <v>3720</v>
      </c>
      <c r="B3">
        <f>'NS income (c1)'!F33</f>
      </c>
    </row>
    <row r="4">
      <c r="A4" t="s">
        <v>3721</v>
      </c>
      <c r="B4">
        <f>'NS income (c1)'!F37</f>
      </c>
    </row>
    <row r="5">
      <c r="A5" t="s">
        <v>3722</v>
      </c>
      <c r="B5">
        <f>'NS income (c1)'!J37</f>
      </c>
    </row>
    <row r="6">
      <c r="A6" t="s">
        <v>2641</v>
      </c>
      <c r="B6">
        <f>'NS income (c1)'!F40</f>
      </c>
    </row>
    <row r="7">
      <c r="A7" t="s">
        <v>2642</v>
      </c>
      <c r="B7">
        <f>'NS income (c1)'!F44</f>
      </c>
    </row>
    <row r="8">
      <c r="A8" t="s">
        <v>2643</v>
      </c>
      <c r="B8">
        <f>'NS income (c1)'!J44</f>
      </c>
    </row>
    <row r="9">
      <c r="A9" t="s">
        <v>2644</v>
      </c>
      <c r="B9">
        <f>'NS income (c1)'!J47</f>
      </c>
    </row>
    <row r="10">
      <c r="A10" t="s">
        <v>2883</v>
      </c>
      <c r="B10">
        <f>'NS income (c1)'!F51</f>
      </c>
    </row>
    <row r="11">
      <c r="A11" t="s">
        <v>3292</v>
      </c>
      <c r="B11">
        <f>'NS income (c1)'!F55</f>
      </c>
    </row>
    <row r="12">
      <c r="A12" t="s">
        <v>2621</v>
      </c>
      <c r="B12">
        <f>'NS income (c1)'!F8</f>
      </c>
    </row>
    <row r="13">
      <c r="A13" t="s">
        <v>3293</v>
      </c>
      <c r="B13">
        <f>'NS income (c1)'!J55</f>
      </c>
    </row>
    <row r="14">
      <c r="A14" t="s">
        <v>3723</v>
      </c>
      <c r="B14">
        <f>'NS income (c1)'!F59</f>
      </c>
    </row>
    <row r="15">
      <c r="A15" t="s">
        <v>3724</v>
      </c>
      <c r="B15">
        <f>'NS income (c1)'!F63</f>
      </c>
    </row>
    <row r="16">
      <c r="A16" t="s">
        <v>3725</v>
      </c>
      <c r="B16">
        <f>'NS income (c1)'!J63</f>
      </c>
    </row>
    <row r="17">
      <c r="A17" t="s">
        <v>3726</v>
      </c>
      <c r="B17">
        <f>'NS income (c1)'!F66</f>
      </c>
    </row>
    <row r="18">
      <c r="A18" t="s">
        <v>2612</v>
      </c>
      <c r="B18">
        <f>'NS income (c1)'!F70</f>
      </c>
    </row>
    <row r="19">
      <c r="A19" t="s">
        <v>2613</v>
      </c>
      <c r="B19">
        <f>'NS income (c1)'!J70</f>
      </c>
    </row>
    <row r="20">
      <c r="A20" t="s">
        <v>2614</v>
      </c>
      <c r="B20">
        <f>'NS income (c1)'!J73</f>
      </c>
    </row>
    <row r="21">
      <c r="A21" t="s">
        <v>2615</v>
      </c>
      <c r="B21">
        <f>'NS income (c1)'!F78</f>
      </c>
    </row>
    <row r="22">
      <c r="A22" t="s">
        <v>2616</v>
      </c>
      <c r="B22">
        <f>'NS income (c1)'!F82</f>
      </c>
    </row>
    <row r="23">
      <c r="A23" t="s">
        <v>2881</v>
      </c>
      <c r="B23">
        <f>'NS income (c1)'!F11</f>
      </c>
    </row>
    <row r="24">
      <c r="A24" t="s">
        <v>2617</v>
      </c>
      <c r="B24">
        <f>'NS income (c1)'!J82</f>
      </c>
    </row>
    <row r="25">
      <c r="A25" t="s">
        <v>3294</v>
      </c>
      <c r="B25">
        <f>'NS income (c1)'!F86</f>
      </c>
    </row>
    <row r="26">
      <c r="A26" t="s">
        <v>2618</v>
      </c>
      <c r="B26">
        <f>'NS income (c1)'!F90</f>
      </c>
    </row>
    <row r="27">
      <c r="A27" t="s">
        <v>2619</v>
      </c>
      <c r="B27">
        <f>'NS income (c1)'!J90</f>
      </c>
    </row>
    <row r="28">
      <c r="A28" t="s">
        <v>3420</v>
      </c>
      <c r="B28">
        <f>'NS income (c1)'!J93</f>
      </c>
    </row>
    <row r="29">
      <c r="A29" t="s">
        <v>2780</v>
      </c>
      <c r="B29">
        <f>'NS income (c1)'!J98</f>
      </c>
    </row>
    <row r="30">
      <c r="A30" t="s">
        <v>1136</v>
      </c>
      <c r="B30">
        <f>'NS income (c1)'!F101</f>
      </c>
    </row>
    <row r="31">
      <c r="A31" t="s">
        <v>2786</v>
      </c>
      <c r="B31">
        <f>'NS income (c1)'!F104</f>
      </c>
    </row>
    <row r="32">
      <c r="A32" t="s">
        <v>4341</v>
      </c>
      <c r="B32">
        <f>'NS income (c1)'!F107</f>
      </c>
    </row>
    <row r="33">
      <c r="A33" t="s">
        <v>4342</v>
      </c>
      <c r="B33">
        <f>'NS income (c1)'!F110</f>
      </c>
    </row>
    <row r="34">
      <c r="A34" t="s">
        <v>2622</v>
      </c>
      <c r="B34">
        <f>'NS income (c1)'!J11</f>
      </c>
    </row>
    <row r="35">
      <c r="A35" t="s">
        <v>4343</v>
      </c>
      <c r="B35">
        <f>'NS income (c1)'!J113</f>
      </c>
    </row>
    <row r="36">
      <c r="A36" t="s">
        <v>4344</v>
      </c>
      <c r="B36">
        <f>'NS income (c1)'!F117</f>
      </c>
    </row>
    <row r="37">
      <c r="A37" t="s">
        <v>4345</v>
      </c>
      <c r="B37">
        <f>'NS income (c1)'!F118</f>
      </c>
    </row>
    <row r="38">
      <c r="A38" t="s">
        <v>4346</v>
      </c>
      <c r="B38">
        <f>'NS income (c1)'!F119</f>
      </c>
    </row>
    <row r="39">
      <c r="A39" t="s">
        <v>4347</v>
      </c>
      <c r="B39">
        <f>'NS income (c1)'!J124</f>
      </c>
    </row>
    <row r="40">
      <c r="A40" t="s">
        <v>4348</v>
      </c>
      <c r="B40">
        <f>'NS income (c1)'!F128</f>
      </c>
    </row>
    <row r="41">
      <c r="A41" t="s">
        <v>4353</v>
      </c>
      <c r="B41">
        <f>'NS income (c1)'!F129</f>
      </c>
    </row>
    <row r="42">
      <c r="A42" t="s">
        <v>4354</v>
      </c>
      <c r="B42">
        <f>'NS income (c1)'!F130</f>
      </c>
    </row>
    <row r="43">
      <c r="A43" t="s">
        <v>4355</v>
      </c>
      <c r="B43">
        <f>'NS income (c1)'!F131</f>
      </c>
    </row>
    <row r="44">
      <c r="A44" t="s">
        <v>4356</v>
      </c>
      <c r="B44">
        <f>'NS income (c1)'!F132</f>
      </c>
    </row>
    <row r="45">
      <c r="A45" t="s">
        <v>553</v>
      </c>
      <c r="B45">
        <f>'NS income (c1)'!J14</f>
      </c>
    </row>
    <row r="46">
      <c r="A46" t="s">
        <v>4357</v>
      </c>
      <c r="B46">
        <f>'NS income (c1)'!F133</f>
      </c>
    </row>
    <row r="47">
      <c r="A47" t="s">
        <v>4358</v>
      </c>
      <c r="B47">
        <f>'NS income (c1)'!J133</f>
      </c>
    </row>
    <row r="48">
      <c r="A48" t="s">
        <v>4371</v>
      </c>
      <c r="B48">
        <f>'NS income (c1)'!J136</f>
      </c>
    </row>
    <row r="49">
      <c r="A49" t="s">
        <v>4372</v>
      </c>
      <c r="B49">
        <f>'NS income (c1)'!F139</f>
      </c>
    </row>
    <row r="50">
      <c r="A50" t="s">
        <v>4373</v>
      </c>
      <c r="B50">
        <f>'NS income (c1)'!F140</f>
      </c>
    </row>
    <row r="51">
      <c r="A51" t="s">
        <v>4374</v>
      </c>
      <c r="B51">
        <f>'NS income (c1)'!F141</f>
      </c>
    </row>
    <row r="52">
      <c r="A52" t="s">
        <v>4375</v>
      </c>
      <c r="B52">
        <f>'NS income (c1)'!J141</f>
      </c>
    </row>
    <row r="53">
      <c r="A53" t="s">
        <v>6894</v>
      </c>
      <c r="B53">
        <f>'NS income (c1)'!J145</f>
      </c>
    </row>
    <row r="54">
      <c r="A54" t="s">
        <v>4376</v>
      </c>
      <c r="B54">
        <f>'NS income (c1)'!J149</f>
      </c>
    </row>
    <row r="55">
      <c r="A55" t="s">
        <v>4587</v>
      </c>
      <c r="B55">
        <f>'NS income (c1)'!J153</f>
      </c>
    </row>
    <row r="56">
      <c r="A56" t="s">
        <v>7078</v>
      </c>
      <c r="B56">
        <f>'NS income (c1)'!F16</f>
      </c>
    </row>
    <row r="57">
      <c r="A57" t="s">
        <v>9180</v>
      </c>
      <c r="B57">
        <f>'NS income (c1)'!G16</f>
      </c>
    </row>
    <row r="58">
      <c r="A58" t="s">
        <v>7079</v>
      </c>
      <c r="B58">
        <f>'NS income (c1)'!F17</f>
      </c>
    </row>
    <row r="59">
      <c r="A59" t="s">
        <v>9181</v>
      </c>
      <c r="B59">
        <f>'NS income (c1)'!G17</f>
      </c>
    </row>
    <row r="60">
      <c r="A60" t="s">
        <v>7080</v>
      </c>
      <c r="B60">
        <f>'NS income (c1)'!F18</f>
      </c>
    </row>
    <row r="61">
      <c r="A61" t="s">
        <v>9182</v>
      </c>
      <c r="B61">
        <f>'NS income (c1)'!G18</f>
      </c>
    </row>
    <row r="62">
      <c r="A62" t="s">
        <v>554</v>
      </c>
      <c r="B62">
        <f>'NS income (c1)'!F20</f>
      </c>
    </row>
    <row r="63">
      <c r="A63" t="s">
        <v>555</v>
      </c>
      <c r="B63">
        <f>'NS income (c1)'!F21</f>
      </c>
    </row>
    <row r="64">
      <c r="A64" t="s">
        <v>3718</v>
      </c>
      <c r="B64">
        <f>'NS income (c1)'!J21</f>
      </c>
    </row>
    <row r="65">
      <c r="A65" t="s">
        <v>2882</v>
      </c>
      <c r="B65">
        <f>'NS income (c1)'!J24</f>
      </c>
    </row>
    <row r="66">
      <c r="A66" t="s">
        <v>121</v>
      </c>
      <c r="B66">
        <f>'Savings (c2)'!F5</f>
      </c>
    </row>
    <row r="67">
      <c r="A67" t="s">
        <v>1752</v>
      </c>
      <c r="B67">
        <f>'Savings (c2)'!F47</f>
      </c>
    </row>
    <row r="68">
      <c r="A68" t="s">
        <v>1753</v>
      </c>
      <c r="B68">
        <f>'Savings (c2)'!F50</f>
      </c>
    </row>
    <row r="69">
      <c r="A69" t="s">
        <v>1754</v>
      </c>
      <c r="B69">
        <f>'Savings (c2)'!F53</f>
      </c>
    </row>
    <row r="70">
      <c r="A70" t="s">
        <v>630</v>
      </c>
      <c r="B70">
        <f>'Savings (c2)'!I53</f>
      </c>
    </row>
    <row r="71">
      <c r="A71" t="s">
        <v>1755</v>
      </c>
      <c r="B71">
        <f>'Savings (c2)'!F58</f>
      </c>
    </row>
    <row r="72">
      <c r="A72" t="s">
        <v>1756</v>
      </c>
      <c r="B72">
        <f>'Savings (c2)'!F61</f>
      </c>
    </row>
    <row r="73">
      <c r="A73" t="s">
        <v>1757</v>
      </c>
      <c r="B73">
        <f>'Savings (c2)'!F64</f>
      </c>
    </row>
    <row r="74">
      <c r="A74" t="s">
        <v>631</v>
      </c>
      <c r="B74">
        <f>'Savings (c2)'!I67</f>
      </c>
    </row>
    <row r="75">
      <c r="A75" t="s">
        <v>1465</v>
      </c>
      <c r="B75">
        <f>'Savings (c2)'!I73</f>
      </c>
    </row>
    <row r="76">
      <c r="A76" t="s">
        <v>4305</v>
      </c>
      <c r="B76">
        <f>'Savings (c2)'!I77</f>
      </c>
    </row>
    <row r="77">
      <c r="A77" t="s">
        <v>2623</v>
      </c>
      <c r="B77">
        <f>'Savings (c2)'!F9</f>
      </c>
    </row>
    <row r="78">
      <c r="A78" t="s">
        <v>2624</v>
      </c>
      <c r="B78">
        <f>'Savings (c2)'!I11</f>
      </c>
    </row>
    <row r="79">
      <c r="A79" t="s">
        <v>806</v>
      </c>
      <c r="B79">
        <f>'Savings (c2)'!F16</f>
      </c>
    </row>
    <row r="80">
      <c r="A80" t="s">
        <v>807</v>
      </c>
      <c r="B80">
        <f>'Savings (c2)'!F19</f>
      </c>
    </row>
    <row r="81">
      <c r="A81" t="s">
        <v>3749</v>
      </c>
      <c r="B81">
        <f>'Savings (c2)'!F28</f>
      </c>
    </row>
    <row r="82">
      <c r="A82" t="s">
        <v>1751</v>
      </c>
      <c r="B82">
        <f>'Savings (c2)'!F34</f>
      </c>
    </row>
    <row r="83">
      <c r="A83" t="s">
        <v>3896</v>
      </c>
      <c r="B83">
        <f>'Savings (c2)'!F37</f>
      </c>
    </row>
    <row r="84">
      <c r="A84" t="s">
        <v>3897</v>
      </c>
      <c r="B84">
        <f>'Savings (c2)'!I40</f>
      </c>
    </row>
    <row r="85">
      <c r="A85" t="s">
        <v>3730</v>
      </c>
      <c r="B85">
        <f>'Divs (c3)'!H5</f>
      </c>
    </row>
    <row r="86">
      <c r="A86" t="s">
        <v>130</v>
      </c>
      <c r="B86">
        <f>'Divs (c3)'!E37</f>
      </c>
    </row>
    <row r="87">
      <c r="A87" t="s">
        <v>131</v>
      </c>
      <c r="B87">
        <f>'Divs (c3)'!E38</f>
      </c>
    </row>
    <row r="88">
      <c r="A88" t="s">
        <v>132</v>
      </c>
      <c r="B88">
        <f>'Divs (c3)'!E39</f>
      </c>
    </row>
    <row r="89">
      <c r="A89" t="s">
        <v>133</v>
      </c>
      <c r="B89">
        <f>'Divs (c3)'!E40</f>
      </c>
    </row>
    <row r="90">
      <c r="A90" t="s">
        <v>8511</v>
      </c>
      <c r="B90">
        <f>'Divs (c3)'!E41</f>
      </c>
    </row>
    <row r="91">
      <c r="A91" t="s">
        <v>134</v>
      </c>
      <c r="B91">
        <f>'Divs (c3)'!H43</f>
      </c>
    </row>
    <row r="92">
      <c r="A92" t="s">
        <v>1179</v>
      </c>
      <c r="B92">
        <f>'Divs (c3)'!H47</f>
      </c>
    </row>
    <row r="93">
      <c r="A93" t="s">
        <v>1180</v>
      </c>
      <c r="B93">
        <f>'Divs (c3)'!H52</f>
      </c>
    </row>
    <row r="94">
      <c r="A94" t="s">
        <v>1181</v>
      </c>
      <c r="B94">
        <f>'Divs (c3)'!H55</f>
      </c>
    </row>
    <row r="95">
      <c r="A95" t="s">
        <v>1639</v>
      </c>
      <c r="B95">
        <f>'Divs (c3)'!H58</f>
      </c>
    </row>
    <row r="96">
      <c r="A96" t="s">
        <v>1640</v>
      </c>
      <c r="B96">
        <f>'Divs (c3)'!H63</f>
      </c>
    </row>
    <row r="97">
      <c r="A97" t="s">
        <v>122</v>
      </c>
      <c r="B97">
        <f>'Divs (c3)'!E9</f>
      </c>
    </row>
    <row r="98">
      <c r="A98" t="s">
        <v>1135</v>
      </c>
      <c r="B98">
        <f>'Divs (c3)'!H66</f>
      </c>
    </row>
    <row r="99">
      <c r="A99" t="s">
        <v>2282</v>
      </c>
      <c r="B99">
        <f>'Divs (c3)'!H70</f>
      </c>
    </row>
    <row r="100">
      <c r="A100" t="s">
        <v>1708</v>
      </c>
      <c r="B100">
        <f>'Divs (c3)'!H78</f>
      </c>
    </row>
    <row r="101">
      <c r="A101" t="s">
        <v>1711</v>
      </c>
      <c r="B101">
        <f>'Divs (c3)'!H81</f>
      </c>
    </row>
    <row r="102">
      <c r="A102" t="s">
        <v>2404</v>
      </c>
      <c r="B102">
        <f>'Divs (c3)'!H85</f>
      </c>
    </row>
    <row r="103">
      <c r="A103" t="s">
        <v>3137</v>
      </c>
      <c r="B103">
        <f>'Divs (c3)'!H88</f>
      </c>
    </row>
    <row r="104">
      <c r="A104" t="s">
        <v>2566</v>
      </c>
      <c r="B104">
        <f>'Divs (c3)'!H91</f>
      </c>
    </row>
    <row r="105">
      <c r="A105" t="s">
        <v>123</v>
      </c>
      <c r="B105">
        <f>'Divs (c3)'!E12</f>
      </c>
    </row>
    <row r="106">
      <c r="A106" t="s">
        <v>124</v>
      </c>
      <c r="B106">
        <f>'Divs (c3)'!E13</f>
      </c>
    </row>
    <row r="107">
      <c r="A107" t="s">
        <v>125</v>
      </c>
      <c r="B107">
        <f>'Divs (c3)'!H17</f>
      </c>
    </row>
    <row r="108">
      <c r="A108" t="s">
        <v>126</v>
      </c>
      <c r="B108">
        <f>'Divs (c3)'!E24</f>
      </c>
    </row>
    <row r="109">
      <c r="A109" t="s">
        <v>127</v>
      </c>
      <c r="B109">
        <f>'Divs (c3)'!E27</f>
      </c>
    </row>
    <row r="110">
      <c r="A110" t="s">
        <v>128</v>
      </c>
      <c r="B110">
        <f>'Divs (c3)'!E30</f>
      </c>
    </row>
    <row r="111">
      <c r="A111" t="s">
        <v>129</v>
      </c>
      <c r="B111">
        <f>'Divs (c3)'!H33</f>
      </c>
    </row>
    <row r="112">
      <c r="A112" t="s">
        <v>3054</v>
      </c>
      <c r="B112">
        <f>'Deductions (c4)'!E8</f>
      </c>
    </row>
    <row r="113">
      <c r="A113" t="s">
        <v>3879</v>
      </c>
      <c r="B113">
        <f>'Deductions (c4)'!I50</f>
      </c>
    </row>
    <row r="114">
      <c r="A114" t="s">
        <v>3880</v>
      </c>
      <c r="B114">
        <f>'Deductions (c4)'!M53</f>
      </c>
    </row>
    <row r="115">
      <c r="A115" t="s">
        <v>3881</v>
      </c>
      <c r="B115">
        <f>'Deductions (c4)'!R56</f>
      </c>
    </row>
    <row r="116">
      <c r="A116" t="s">
        <v>3882</v>
      </c>
      <c r="B116">
        <f>'Deductions (c4)'!R61</f>
      </c>
    </row>
    <row r="117">
      <c r="A117" t="s">
        <v>3883</v>
      </c>
      <c r="B117">
        <f>'Deductions (c4)'!E66</f>
      </c>
    </row>
    <row r="118">
      <c r="A118" t="s">
        <v>3884</v>
      </c>
      <c r="B118">
        <f>'Deductions (c4)'!I66</f>
      </c>
    </row>
    <row r="119">
      <c r="A119" t="s">
        <v>3885</v>
      </c>
      <c r="B119">
        <f>'Deductions (c4)'!I70</f>
      </c>
    </row>
    <row r="120">
      <c r="A120" t="s">
        <v>3886</v>
      </c>
      <c r="B120">
        <f>'Deductions (c4)'!M73</f>
      </c>
    </row>
    <row r="121">
      <c r="A121" t="s">
        <v>3887</v>
      </c>
      <c r="B121">
        <f>'Deductions (c4)'!R76</f>
      </c>
    </row>
    <row r="122">
      <c r="A122" t="s">
        <v>3888</v>
      </c>
      <c r="B122">
        <f>'Deductions (c4)'!R82</f>
      </c>
    </row>
    <row r="123">
      <c r="A123" t="s">
        <v>3731</v>
      </c>
      <c r="B123">
        <f>'Deductions (c4)'!R11</f>
      </c>
    </row>
    <row r="124">
      <c r="A124" t="s">
        <v>3889</v>
      </c>
      <c r="B124">
        <f>'Deductions (c4)'!E87</f>
      </c>
    </row>
    <row r="125">
      <c r="A125" t="s">
        <v>3890</v>
      </c>
      <c r="B125">
        <f>'Deductions (c4)'!I87</f>
      </c>
    </row>
    <row r="126">
      <c r="A126" t="s">
        <v>3891</v>
      </c>
      <c r="B126">
        <f>'Deductions (c4)'!I90</f>
      </c>
    </row>
    <row r="127">
      <c r="A127" t="s">
        <v>3892</v>
      </c>
      <c r="B127">
        <f>'Deductions (c4)'!M93</f>
      </c>
    </row>
    <row r="128">
      <c r="A128" t="s">
        <v>2365</v>
      </c>
      <c r="B128">
        <f>'Deductions (c4)'!R96</f>
      </c>
    </row>
    <row r="129">
      <c r="A129" t="s">
        <v>2366</v>
      </c>
      <c r="B129">
        <f>'Deductions (c4)'!M99</f>
      </c>
    </row>
    <row r="130">
      <c r="A130" t="s">
        <v>3484</v>
      </c>
      <c r="B130">
        <f>'Deductions (c4)'!R102</f>
      </c>
    </row>
    <row r="131">
      <c r="A131" t="s">
        <v>3485</v>
      </c>
      <c r="B131">
        <f>'Deductions (c4)'!R108</f>
      </c>
    </row>
    <row r="132">
      <c r="A132" t="s">
        <v>3486</v>
      </c>
      <c r="B132">
        <f>'Deductions (c4)'!R111</f>
      </c>
    </row>
    <row r="133">
      <c r="A133" t="s">
        <v>3235</v>
      </c>
      <c r="B133">
        <f>'Deductions (c4)'!E114</f>
      </c>
    </row>
    <row r="134">
      <c r="A134" t="s">
        <v>3732</v>
      </c>
      <c r="B134">
        <f>'Deductions (c4)'!M17</f>
      </c>
    </row>
    <row r="135">
      <c r="A135" t="s">
        <v>3236</v>
      </c>
      <c r="B135">
        <f>'Deductions (c4)'!I114</f>
      </c>
    </row>
    <row r="136">
      <c r="A136" t="s">
        <v>3237</v>
      </c>
      <c r="B136">
        <f>'Deductions (c4)'!M117</f>
      </c>
    </row>
    <row r="137">
      <c r="A137" t="s">
        <v>3238</v>
      </c>
      <c r="B137">
        <f>'Deductions (c4)'!R117</f>
      </c>
    </row>
    <row r="138">
      <c r="A138" t="s">
        <v>3239</v>
      </c>
      <c r="B138">
        <f>'Deductions (c4)'!R121</f>
      </c>
    </row>
    <row r="139">
      <c r="A139" t="s">
        <v>4153</v>
      </c>
      <c r="B139">
        <f>'Deductions (c4)'!M125</f>
      </c>
    </row>
    <row r="140">
      <c r="A140" t="s">
        <v>4154</v>
      </c>
      <c r="B140">
        <f>'Deductions (c4)'!R129</f>
      </c>
    </row>
    <row r="141">
      <c r="A141" t="s">
        <v>4155</v>
      </c>
      <c r="B141">
        <f>'Deductions (c4)'!M136</f>
      </c>
    </row>
    <row r="142">
      <c r="A142" t="s">
        <v>4156</v>
      </c>
      <c r="B142">
        <f>'Deductions (c4)'!M140</f>
      </c>
    </row>
    <row r="143">
      <c r="A143" t="s">
        <v>4157</v>
      </c>
      <c r="B143">
        <f>'Deductions (c4)'!M144</f>
      </c>
    </row>
    <row r="144">
      <c r="A144" t="s">
        <v>4158</v>
      </c>
      <c r="B144">
        <f>'Deductions (c4)'!E150</f>
      </c>
    </row>
    <row r="145">
      <c r="A145" t="s">
        <v>3733</v>
      </c>
      <c r="B145">
        <f>'Deductions (c4)'!R23</f>
      </c>
    </row>
    <row r="146">
      <c r="A146" t="s">
        <v>4159</v>
      </c>
      <c r="B146">
        <f>'Deductions (c4)'!M153</f>
      </c>
    </row>
    <row r="147">
      <c r="A147" t="s">
        <v>4160</v>
      </c>
      <c r="B147">
        <f>'Deductions (c4)'!E156</f>
      </c>
    </row>
    <row r="148">
      <c r="A148" t="s">
        <v>4161</v>
      </c>
      <c r="B148">
        <f>'Deductions (c4)'!E159</f>
      </c>
    </row>
    <row r="149">
      <c r="A149" t="s">
        <v>4162</v>
      </c>
      <c r="B149">
        <f>'Deductions (c4)'!I162</f>
      </c>
    </row>
    <row r="150">
      <c r="A150" t="s">
        <v>4163</v>
      </c>
      <c r="B150">
        <f>'Deductions (c4)'!M162</f>
      </c>
    </row>
    <row r="151">
      <c r="A151" t="s">
        <v>4164</v>
      </c>
      <c r="B151">
        <f>'Deductions (c4)'!M165</f>
      </c>
    </row>
    <row r="152">
      <c r="A152" t="s">
        <v>4182</v>
      </c>
      <c r="B152">
        <f>'Deductions (c4)'!R168</f>
      </c>
    </row>
    <row r="153">
      <c r="A153" t="s">
        <v>4183</v>
      </c>
      <c r="B153">
        <f>'Deductions (c4)'!E171</f>
      </c>
    </row>
    <row r="154">
      <c r="A154" t="s">
        <v>4184</v>
      </c>
      <c r="B154">
        <f>'Deductions (c4)'!I174</f>
      </c>
    </row>
    <row r="155">
      <c r="A155" t="s">
        <v>4185</v>
      </c>
      <c r="B155">
        <f>'Deductions (c4)'!I177</f>
      </c>
    </row>
    <row r="156">
      <c r="A156" t="s">
        <v>2771</v>
      </c>
      <c r="B156">
        <f>'Deductions (c4)'!R30</f>
      </c>
    </row>
    <row r="157">
      <c r="A157" t="s">
        <v>4186</v>
      </c>
      <c r="B157">
        <f>'Deductions (c4)'!E181</f>
      </c>
    </row>
    <row r="158">
      <c r="A158" t="s">
        <v>4187</v>
      </c>
      <c r="B158">
        <f>'Deductions (c4)'!I181</f>
      </c>
    </row>
    <row r="159">
      <c r="A159" t="s">
        <v>4188</v>
      </c>
      <c r="B159">
        <f>'Deductions (c4)'!E184</f>
      </c>
    </row>
    <row r="160">
      <c r="A160" t="s">
        <v>4189</v>
      </c>
      <c r="B160">
        <f>'Deductions (c4)'!E187</f>
      </c>
    </row>
    <row r="161">
      <c r="A161" t="s">
        <v>4190</v>
      </c>
      <c r="B161">
        <f>'Deductions (c4)'!I187</f>
      </c>
    </row>
    <row r="162">
      <c r="A162" t="s">
        <v>4191</v>
      </c>
      <c r="B162">
        <f>'Deductions (c4)'!I191</f>
      </c>
    </row>
    <row r="163">
      <c r="A163" t="s">
        <v>4192</v>
      </c>
      <c r="B163">
        <f>'Deductions (c4)'!E197</f>
      </c>
    </row>
    <row r="164">
      <c r="A164" t="s">
        <v>4193</v>
      </c>
      <c r="B164">
        <f>'Deductions (c4)'!I197</f>
      </c>
    </row>
    <row r="165">
      <c r="A165" t="s">
        <v>4194</v>
      </c>
      <c r="B165">
        <f>'Deductions (c4)'!I201</f>
      </c>
    </row>
    <row r="166">
      <c r="A166" t="s">
        <v>4200</v>
      </c>
      <c r="B166">
        <f>'Deductions (c4)'!I204</f>
      </c>
    </row>
    <row r="167">
      <c r="A167" t="s">
        <v>3105</v>
      </c>
      <c r="B167">
        <f>'Deductions (c4)'!M37</f>
      </c>
    </row>
    <row r="168">
      <c r="A168" t="s">
        <v>4201</v>
      </c>
      <c r="B168">
        <f>'Deductions (c4)'!I207</f>
      </c>
    </row>
    <row r="169">
      <c r="A169" t="s">
        <v>4202</v>
      </c>
      <c r="B169">
        <f>'Deductions (c4)'!I210</f>
      </c>
    </row>
    <row r="170">
      <c r="A170" t="s">
        <v>4203</v>
      </c>
      <c r="B170">
        <f>'Deductions (c4)'!I213</f>
      </c>
    </row>
    <row r="171">
      <c r="A171" t="s">
        <v>4204</v>
      </c>
      <c r="B171">
        <f>'Deductions (c4)'!I219</f>
      </c>
    </row>
    <row r="172">
      <c r="A172" t="s">
        <v>6374</v>
      </c>
      <c r="B172">
        <f>'Deductions (c4)'!E227</f>
      </c>
    </row>
    <row r="173">
      <c r="A173" t="s">
        <v>6375</v>
      </c>
      <c r="B173">
        <f>'Deductions (c4)'!I227</f>
      </c>
    </row>
    <row r="174">
      <c r="A174" t="s">
        <v>6376</v>
      </c>
      <c r="B174">
        <f>'Deductions (c4)'!M227</f>
      </c>
    </row>
    <row r="175">
      <c r="A175" t="s">
        <v>4205</v>
      </c>
      <c r="B175">
        <f>'Deductions (c4)'!I239</f>
      </c>
    </row>
    <row r="176">
      <c r="A176" t="s">
        <v>4206</v>
      </c>
      <c r="B176">
        <f>'Deductions (c4)'!I246</f>
      </c>
    </row>
    <row r="177">
      <c r="A177" t="s">
        <v>4207</v>
      </c>
      <c r="B177">
        <f>'Deductions (c4)'!I249</f>
      </c>
    </row>
    <row r="178">
      <c r="A178" t="s">
        <v>4238</v>
      </c>
      <c r="B178">
        <f>'Deductions (c4)'!M252</f>
      </c>
    </row>
    <row r="179">
      <c r="A179" t="s">
        <v>4239</v>
      </c>
      <c r="B179">
        <f>'Deductions (c4)'!I276</f>
      </c>
    </row>
    <row r="180">
      <c r="A180" t="s">
        <v>4240</v>
      </c>
      <c r="B180">
        <f>'Deductions (c4)'!M280</f>
      </c>
    </row>
    <row r="181">
      <c r="A181" t="s">
        <v>3106</v>
      </c>
      <c r="B181">
        <f>'Deductions (c4)'!R41</f>
      </c>
    </row>
    <row r="182">
      <c r="A182" t="s">
        <v>4241</v>
      </c>
      <c r="B182">
        <f>'Deductions (c4)'!M287</f>
      </c>
    </row>
    <row r="183">
      <c r="A183" t="s">
        <v>4248</v>
      </c>
      <c r="B183">
        <f>'Deductions (c4)'!M295</f>
      </c>
    </row>
    <row r="184">
      <c r="A184" t="s">
        <v>4338</v>
      </c>
      <c r="B184">
        <f>'Deductions (c4)'!M302</f>
      </c>
    </row>
    <row r="185">
      <c r="A185" t="s">
        <v>4351</v>
      </c>
      <c r="B185">
        <f>'Deductions (c4)'!E308</f>
      </c>
    </row>
    <row r="186">
      <c r="A186" t="s">
        <v>5831</v>
      </c>
      <c r="B186">
        <f>'Deductions (c4)'!M308</f>
      </c>
    </row>
    <row r="187">
      <c r="A187" t="s">
        <v>5832</v>
      </c>
      <c r="B187">
        <f>'Deductions (c4)'!M311</f>
      </c>
    </row>
    <row r="188">
      <c r="A188" t="s">
        <v>6517</v>
      </c>
      <c r="B188">
        <f>'Deductions (c4)'!M318</f>
      </c>
    </row>
    <row r="189">
      <c r="A189" t="s">
        <v>6518</v>
      </c>
      <c r="B189">
        <f>'Deductions (c4)'!M321</f>
      </c>
    </row>
    <row r="190">
      <c r="A190" t="s">
        <v>6629</v>
      </c>
      <c r="B190">
        <f>'Deductions (c4)'!M324</f>
      </c>
    </row>
    <row r="191">
      <c r="A191" t="s">
        <v>6631</v>
      </c>
      <c r="B191">
        <f>'Deductions (c4)'!M327</f>
      </c>
    </row>
    <row r="192">
      <c r="A192" t="s">
        <v>6633</v>
      </c>
      <c r="B192">
        <f>'Deductions (c4)'!M330</f>
      </c>
    </row>
    <row r="193">
      <c r="A193" t="s">
        <v>6634</v>
      </c>
      <c r="B193">
        <f>'Deductions (c4)'!M333</f>
      </c>
    </row>
    <row r="194">
      <c r="A194" t="s">
        <v>6636</v>
      </c>
      <c r="B194">
        <f>'Deductions (c4)'!M336</f>
      </c>
    </row>
    <row r="195">
      <c r="A195" t="s">
        <v>6638</v>
      </c>
      <c r="B195">
        <f>'Deductions (c4)'!M339</f>
      </c>
    </row>
    <row r="196">
      <c r="A196" t="s">
        <v>6640</v>
      </c>
      <c r="B196">
        <f>'Deductions (c4)'!M342</f>
      </c>
    </row>
    <row r="197">
      <c r="A197" t="s">
        <v>6642</v>
      </c>
      <c r="B197">
        <f>'Deductions (c4)'!M345</f>
      </c>
    </row>
    <row r="198">
      <c r="A198" t="s">
        <v>6644</v>
      </c>
      <c r="B198">
        <f>'Deductions (c4)'!M348</f>
      </c>
    </row>
    <row r="199">
      <c r="A199" t="s">
        <v>6646</v>
      </c>
      <c r="B199">
        <f>'Deductions (c4)'!M351</f>
      </c>
    </row>
    <row r="200">
      <c r="A200" t="s">
        <v>6648</v>
      </c>
      <c r="B200">
        <f>'Deductions (c4)'!M354</f>
      </c>
    </row>
    <row r="201">
      <c r="A201" t="s">
        <v>6650</v>
      </c>
      <c r="B201">
        <f>'Deductions (c4)'!M357</f>
      </c>
    </row>
    <row r="202">
      <c r="A202" t="s">
        <v>6651</v>
      </c>
      <c r="B202">
        <f>'Deductions (c4)'!M360</f>
      </c>
    </row>
    <row r="203">
      <c r="A203" t="s">
        <v>6653</v>
      </c>
      <c r="B203">
        <f>'Deductions (c4)'!M363</f>
      </c>
    </row>
    <row r="204">
      <c r="A204" t="s">
        <v>7970</v>
      </c>
      <c r="B204">
        <f>'Deductions (c4)'!R359</f>
      </c>
    </row>
    <row r="205">
      <c r="A205" t="s">
        <v>7971</v>
      </c>
      <c r="B205">
        <f>'Deductions (c4)'!R362</f>
      </c>
    </row>
    <row r="206">
      <c r="A206" t="s">
        <v>7973</v>
      </c>
      <c r="B206">
        <f>'Deductions (c4)'!R365</f>
      </c>
    </row>
    <row r="207">
      <c r="A207" t="s">
        <v>7974</v>
      </c>
      <c r="B207">
        <f>'Deductions (c4)'!M366</f>
      </c>
    </row>
    <row r="208">
      <c r="A208" t="s">
        <v>7975</v>
      </c>
      <c r="B208">
        <f>'Deductions (c4)'!M369</f>
      </c>
    </row>
    <row r="209">
      <c r="A209" t="s">
        <v>6987</v>
      </c>
      <c r="B209">
        <f>'Deductions (c4)'!R372</f>
      </c>
    </row>
    <row r="210">
      <c r="A210" t="s">
        <v>6377</v>
      </c>
      <c r="B210">
        <f>'Deductions (c4)'!E381</f>
      </c>
    </row>
    <row r="211">
      <c r="A211" t="s">
        <v>6378</v>
      </c>
      <c r="B211">
        <f>'Deductions (c4)'!I381</f>
      </c>
    </row>
    <row r="212">
      <c r="A212" t="s">
        <v>6519</v>
      </c>
      <c r="B212">
        <f>'Deductions (c4)'!M381</f>
      </c>
    </row>
    <row r="213">
      <c r="A213" t="s">
        <v>6438</v>
      </c>
      <c r="B213">
        <f>'Deductions (c4)'!R381</f>
      </c>
    </row>
    <row r="214">
      <c r="A214" t="s">
        <v>5833</v>
      </c>
      <c r="B214">
        <f>'Deductions (c4)'!M404</f>
      </c>
    </row>
    <row r="215">
      <c r="A215" t="s">
        <v>5834</v>
      </c>
      <c r="B215">
        <f>'Deductions (c4)'!M419</f>
      </c>
    </row>
    <row r="216">
      <c r="A216" t="s">
        <v>5835</v>
      </c>
      <c r="B216">
        <f>'Deductions (c4)'!M430</f>
      </c>
    </row>
    <row r="217">
      <c r="A217" t="s">
        <v>3107</v>
      </c>
      <c r="B217">
        <f>'Deductions (c4)'!E45</f>
      </c>
    </row>
    <row r="218">
      <c r="A218" t="s">
        <v>6043</v>
      </c>
      <c r="B218">
        <f>'Deductions (c4)'!M437</f>
      </c>
    </row>
    <row r="219">
      <c r="A219" t="s">
        <v>3108</v>
      </c>
      <c r="B219">
        <f>'Deductions (c4)'!I45</f>
      </c>
    </row>
    <row r="220">
      <c r="A220" t="s">
        <v>2375</v>
      </c>
      <c r="B220">
        <f>'Taxable (c5)'!F8</f>
      </c>
    </row>
    <row r="221">
      <c r="A221" t="s">
        <v>2383</v>
      </c>
      <c r="B221">
        <f>'Taxable (c5)'!AT24</f>
      </c>
    </row>
    <row r="222">
      <c r="A222" t="s">
        <v>2056</v>
      </c>
      <c r="B222">
        <f>'Taxable (c5)'!F36</f>
      </c>
    </row>
    <row r="223">
      <c r="A223" t="s">
        <v>6656</v>
      </c>
      <c r="B223">
        <f>'Taxable (c5)'!J33</f>
      </c>
    </row>
    <row r="224">
      <c r="A224" t="s">
        <v>2057</v>
      </c>
      <c r="B224">
        <f>'Taxable (c5)'!J36</f>
      </c>
    </row>
    <row r="225">
      <c r="A225" t="s">
        <v>2058</v>
      </c>
      <c r="B225">
        <f>'Taxable (c5)'!N30</f>
      </c>
    </row>
    <row r="226">
      <c r="A226" t="s">
        <v>2059</v>
      </c>
      <c r="B226">
        <f>'Taxable (c5)'!N33</f>
      </c>
    </row>
    <row r="227">
      <c r="A227" t="s">
        <v>2060</v>
      </c>
      <c r="B227">
        <f>'Taxable (c5)'!N36</f>
      </c>
    </row>
    <row r="228">
      <c r="A228" t="s">
        <v>2061</v>
      </c>
      <c r="B228">
        <f>'Taxable (c5)'!V36</f>
      </c>
    </row>
    <row r="229">
      <c r="A229" t="s">
        <v>2062</v>
      </c>
      <c r="B229">
        <f>'Taxable (c5)'!AH30</f>
      </c>
    </row>
    <row r="230">
      <c r="A230" t="s">
        <v>968</v>
      </c>
      <c r="B230">
        <f>'Taxable (c5)'!AH33</f>
      </c>
    </row>
    <row r="231">
      <c r="A231" t="s">
        <v>2844</v>
      </c>
      <c r="B231">
        <f>'Taxable (c5)'!AH36</f>
      </c>
    </row>
    <row r="232">
      <c r="A232" t="s">
        <v>2376</v>
      </c>
      <c r="B232">
        <f>'Taxable (c5)'!V8</f>
      </c>
    </row>
    <row r="233">
      <c r="A233" t="s">
        <v>1360</v>
      </c>
      <c r="B233">
        <f>'Taxable (c5)'!AL36</f>
      </c>
    </row>
    <row r="234">
      <c r="A234" t="s">
        <v>6380</v>
      </c>
      <c r="B234">
        <f>'Taxable (c5)'!AP30</f>
      </c>
    </row>
    <row r="235">
      <c r="A235" t="s">
        <v>6381</v>
      </c>
      <c r="B235">
        <f>'Taxable (c5)'!AP34</f>
      </c>
    </row>
    <row r="236">
      <c r="A236" t="s">
        <v>6382</v>
      </c>
      <c r="B236">
        <f>'Taxable (c5)'!AP36</f>
      </c>
    </row>
    <row r="237">
      <c r="A237" t="s">
        <v>3056</v>
      </c>
      <c r="B237">
        <f>'Taxable (c5)'!AT36</f>
      </c>
    </row>
    <row r="238">
      <c r="A238" t="s">
        <v>3057</v>
      </c>
      <c r="B238">
        <f>'Taxable (c5)'!F49</f>
      </c>
    </row>
    <row r="239">
      <c r="A239" t="s">
        <v>3058</v>
      </c>
      <c r="B239">
        <f>'Taxable (c5)'!N45</f>
      </c>
    </row>
    <row r="240">
      <c r="A240" t="s">
        <v>3795</v>
      </c>
      <c r="B240">
        <f>'Taxable (c5)'!N49</f>
      </c>
    </row>
    <row r="241">
      <c r="A241" t="s">
        <v>3796</v>
      </c>
      <c r="B241">
        <f>'Taxable (c5)'!V49</f>
      </c>
    </row>
    <row r="242">
      <c r="A242" t="s">
        <v>3797</v>
      </c>
      <c r="B242">
        <f>'Taxable (c5)'!AH42</f>
      </c>
    </row>
    <row r="243">
      <c r="A243" t="s">
        <v>2997</v>
      </c>
      <c r="B243">
        <f>'Taxable (c5)'!AH44</f>
      </c>
    </row>
    <row r="244">
      <c r="A244" t="s">
        <v>2998</v>
      </c>
      <c r="B244">
        <f>'Taxable (c5)'!AH46</f>
      </c>
    </row>
    <row r="245">
      <c r="A245" t="s">
        <v>2999</v>
      </c>
      <c r="B245">
        <f>'Taxable (c5)'!AH49</f>
      </c>
    </row>
    <row r="246">
      <c r="A246" t="s">
        <v>6379</v>
      </c>
      <c r="B246">
        <f>'Taxable (c5)'!AL8</f>
      </c>
    </row>
    <row r="247">
      <c r="A247" t="s">
        <v>2377</v>
      </c>
      <c r="B247">
        <f>'Taxable (c5)'!F17</f>
      </c>
    </row>
    <row r="248">
      <c r="A248" t="s">
        <v>4420</v>
      </c>
      <c r="B248">
        <f>'Taxable (c5)'!AL49</f>
      </c>
    </row>
    <row r="249">
      <c r="A249" t="s">
        <v>4421</v>
      </c>
      <c r="B249">
        <f>'Taxable (c5)'!AP43</f>
      </c>
    </row>
    <row r="250">
      <c r="A250" t="s">
        <v>4422</v>
      </c>
      <c r="B250">
        <f>'Taxable (c5)'!AP47</f>
      </c>
    </row>
    <row r="251">
      <c r="A251" t="s">
        <v>4423</v>
      </c>
      <c r="B251">
        <f>'Taxable (c5)'!AP49</f>
      </c>
    </row>
    <row r="252">
      <c r="A252" t="s">
        <v>4424</v>
      </c>
      <c r="B252">
        <f>'Taxable (c5)'!AT49</f>
      </c>
    </row>
    <row r="253">
      <c r="A253" t="s">
        <v>6383</v>
      </c>
      <c r="B253">
        <f>'Taxable (c5)'!F57</f>
      </c>
    </row>
    <row r="254">
      <c r="A254" t="s">
        <v>6784</v>
      </c>
      <c r="B254">
        <f>'Taxable (c5)'!R57</f>
      </c>
    </row>
    <row r="255">
      <c r="A255" t="s">
        <v>6384</v>
      </c>
      <c r="B255">
        <f>'Taxable (c5)'!V57</f>
      </c>
    </row>
    <row r="256">
      <c r="A256" t="s">
        <v>6785</v>
      </c>
      <c r="B256">
        <f>'Taxable (c5)'!AD57</f>
      </c>
    </row>
    <row r="257">
      <c r="A257" t="s">
        <v>6385</v>
      </c>
      <c r="B257">
        <f>'Taxable (c5)'!AL57</f>
      </c>
    </row>
    <row r="258">
      <c r="A258" t="s">
        <v>6386</v>
      </c>
      <c r="B258">
        <f>'Taxable (c5)'!AT57</f>
      </c>
    </row>
    <row r="259">
      <c r="A259" t="s">
        <v>4425</v>
      </c>
      <c r="B259">
        <f>'Taxable (c5)'!F126</f>
      </c>
    </row>
    <row r="260">
      <c r="A260" t="s">
        <v>4426</v>
      </c>
      <c r="B260">
        <f>'Taxable (c5)'!F153</f>
      </c>
    </row>
    <row r="261">
      <c r="A261" t="s">
        <v>6149</v>
      </c>
      <c r="B261">
        <f>'Taxable (c5)'!F176</f>
      </c>
    </row>
    <row r="262">
      <c r="A262" t="s">
        <v>6150</v>
      </c>
      <c r="B262">
        <f>'Taxable (c5)'!F253</f>
      </c>
    </row>
    <row r="263">
      <c r="A263" t="s">
        <v>6151</v>
      </c>
      <c r="B263">
        <f>'Taxable (c5)'!F261</f>
      </c>
    </row>
    <row r="264">
      <c r="A264" t="s">
        <v>6776</v>
      </c>
      <c r="B264">
        <f>'Taxable (c5)'!R17</f>
      </c>
    </row>
    <row r="265">
      <c r="A265" t="s">
        <v>2378</v>
      </c>
      <c r="B265">
        <f>'Taxable (c5)'!V17</f>
      </c>
    </row>
    <row r="266">
      <c r="A266" t="s">
        <v>6157</v>
      </c>
      <c r="B266">
        <f>'Taxable (c5)'!F269</f>
      </c>
    </row>
    <row r="267">
      <c r="A267" t="s">
        <v>6158</v>
      </c>
      <c r="B267">
        <f>'Taxable (c5)'!F275</f>
      </c>
    </row>
    <row r="268">
      <c r="A268" t="s">
        <v>6159</v>
      </c>
      <c r="B268">
        <f>'Taxable (c5)'!F280</f>
      </c>
    </row>
    <row r="269">
      <c r="A269" t="s">
        <v>6160</v>
      </c>
      <c r="B269">
        <f>'Taxable (c5)'!F285</f>
      </c>
    </row>
    <row r="270">
      <c r="A270" t="s">
        <v>6670</v>
      </c>
      <c r="B270">
        <f>'Taxable (c5)'!J97</f>
      </c>
    </row>
    <row r="271">
      <c r="A271" t="s">
        <v>6673</v>
      </c>
      <c r="B271">
        <f>'Taxable (c5)'!J99</f>
      </c>
    </row>
    <row r="272">
      <c r="A272" t="s">
        <v>6800</v>
      </c>
      <c r="B272">
        <f>'Taxable (c5)'!J106</f>
      </c>
    </row>
    <row r="273">
      <c r="A273" t="s">
        <v>6801</v>
      </c>
      <c r="B273">
        <f>'Taxable (c5)'!J115</f>
      </c>
    </row>
    <row r="274">
      <c r="A274" t="s">
        <v>6802</v>
      </c>
      <c r="B274">
        <f>'Taxable (c5)'!J117</f>
      </c>
    </row>
    <row r="275">
      <c r="A275" t="s">
        <v>6803</v>
      </c>
      <c r="B275">
        <f>'Taxable (c5)'!J119</f>
      </c>
    </row>
    <row r="276">
      <c r="A276" t="s">
        <v>6161</v>
      </c>
      <c r="B276">
        <f>'Taxable (c5)'!J126</f>
      </c>
    </row>
    <row r="277">
      <c r="A277" t="s">
        <v>6162</v>
      </c>
      <c r="B277">
        <f>'Taxable (c5)'!J153</f>
      </c>
    </row>
    <row r="278">
      <c r="A278" t="s">
        <v>6387</v>
      </c>
      <c r="B278">
        <f>'Taxable (c5)'!J159</f>
      </c>
    </row>
    <row r="279">
      <c r="A279" t="s">
        <v>6388</v>
      </c>
      <c r="B279">
        <f>'Taxable (c5)'!J162</f>
      </c>
    </row>
    <row r="280">
      <c r="A280" t="s">
        <v>6423</v>
      </c>
      <c r="B280">
        <f>'Taxable (c5)'!J166</f>
      </c>
    </row>
    <row r="281">
      <c r="A281" t="s">
        <v>6163</v>
      </c>
      <c r="B281">
        <f>'Taxable (c5)'!J176</f>
      </c>
    </row>
    <row r="282">
      <c r="A282" t="s">
        <v>6164</v>
      </c>
      <c r="B282">
        <f>'Taxable (c5)'!J182</f>
      </c>
    </row>
    <row r="283">
      <c r="A283" t="s">
        <v>6165</v>
      </c>
      <c r="B283">
        <f>'Taxable (c5)'!J253</f>
      </c>
    </row>
    <row r="284">
      <c r="A284" t="s">
        <v>6677</v>
      </c>
      <c r="B284">
        <f>'Taxable (c5)'!N120</f>
      </c>
    </row>
    <row r="285">
      <c r="A285" t="s">
        <v>6680</v>
      </c>
      <c r="B285">
        <f>'Taxable (c5)'!N123</f>
      </c>
    </row>
    <row r="286">
      <c r="A286" t="s">
        <v>6166</v>
      </c>
      <c r="B286">
        <f>'Taxable (c5)'!N126</f>
      </c>
    </row>
    <row r="287">
      <c r="A287" t="s">
        <v>7930</v>
      </c>
      <c r="B287">
        <f>'Taxable (c5)'!O152</f>
      </c>
    </row>
    <row r="288">
      <c r="A288" t="s">
        <v>6782</v>
      </c>
      <c r="B288">
        <f>'Taxable (c5)'!AD17</f>
      </c>
    </row>
    <row r="289">
      <c r="A289" t="s">
        <v>7039</v>
      </c>
      <c r="B289">
        <f>'Taxable (c5)'!AH17</f>
      </c>
    </row>
    <row r="290">
      <c r="A290" t="s">
        <v>2379</v>
      </c>
      <c r="B290">
        <f>'Taxable (c5)'!AL17</f>
      </c>
    </row>
    <row r="291">
      <c r="A291" t="s">
        <v>6167</v>
      </c>
      <c r="B291">
        <f>'Taxable (c5)'!N153</f>
      </c>
    </row>
    <row r="292">
      <c r="A292" t="s">
        <v>7391</v>
      </c>
      <c r="B292">
        <f>'Taxable (c5)'!N157</f>
      </c>
    </row>
    <row r="293">
      <c r="A293" t="s">
        <v>6389</v>
      </c>
      <c r="B293">
        <f>'Taxable (c5)'!N160</f>
      </c>
    </row>
    <row r="294">
      <c r="A294" t="s">
        <v>6390</v>
      </c>
      <c r="B294">
        <f>'Taxable (c5)'!N163</f>
      </c>
    </row>
    <row r="295">
      <c r="A295" t="s">
        <v>6391</v>
      </c>
      <c r="B295">
        <f>'Taxable (c5)'!N166</f>
      </c>
    </row>
    <row r="296">
      <c r="A296" t="s">
        <v>6424</v>
      </c>
      <c r="B296">
        <f>'Taxable (c5)'!N169</f>
      </c>
    </row>
    <row r="297">
      <c r="A297" t="s">
        <v>6168</v>
      </c>
      <c r="B297">
        <f>'Taxable (c5)'!N176</f>
      </c>
    </row>
    <row r="298">
      <c r="A298" t="s">
        <v>6172</v>
      </c>
      <c r="B298">
        <f>'Taxable (c5)'!N182</f>
      </c>
    </row>
    <row r="299">
      <c r="A299" t="s">
        <v>6663</v>
      </c>
      <c r="B299">
        <f>'Taxable (c5)'!R70</f>
      </c>
    </row>
    <row r="300">
      <c r="A300" t="s">
        <v>6664</v>
      </c>
      <c r="B300">
        <f>'Taxable (c5)'!R72</f>
      </c>
    </row>
    <row r="301">
      <c r="A301" t="s">
        <v>6666</v>
      </c>
      <c r="B301">
        <f>'Taxable (c5)'!R74</f>
      </c>
    </row>
    <row r="302">
      <c r="A302" t="s">
        <v>6667</v>
      </c>
      <c r="B302">
        <f>'Taxable (c5)'!R81</f>
      </c>
    </row>
    <row r="303">
      <c r="A303" t="s">
        <v>6671</v>
      </c>
      <c r="B303">
        <f>'Taxable (c5)'!R83</f>
      </c>
    </row>
    <row r="304">
      <c r="A304" t="s">
        <v>6902</v>
      </c>
      <c r="B304">
        <f>'Taxable (c5)'!R89</f>
      </c>
    </row>
    <row r="305">
      <c r="A305" t="s">
        <v>6911</v>
      </c>
      <c r="B305">
        <f>'Taxable (c5)'!R107</f>
      </c>
    </row>
    <row r="306">
      <c r="A306" t="s">
        <v>6903</v>
      </c>
      <c r="B306">
        <f>'Taxable (c5)'!R91</f>
      </c>
    </row>
    <row r="307">
      <c r="A307" t="s">
        <v>6904</v>
      </c>
      <c r="B307">
        <f>'Taxable (c5)'!R93</f>
      </c>
    </row>
    <row r="308">
      <c r="A308" t="s">
        <v>6905</v>
      </c>
      <c r="B308">
        <f>'Taxable (c5)'!R95</f>
      </c>
    </row>
    <row r="309">
      <c r="A309" t="s">
        <v>6906</v>
      </c>
      <c r="B309">
        <f>'Taxable (c5)'!R97</f>
      </c>
    </row>
    <row r="310">
      <c r="A310" t="s">
        <v>6907</v>
      </c>
      <c r="B310">
        <f>'Taxable (c5)'!R99</f>
      </c>
    </row>
    <row r="311">
      <c r="A311" t="s">
        <v>6908</v>
      </c>
      <c r="B311">
        <f>'Taxable (c5)'!R101</f>
      </c>
    </row>
    <row r="312">
      <c r="A312" t="s">
        <v>6909</v>
      </c>
      <c r="B312">
        <f>'Taxable (c5)'!R103</f>
      </c>
    </row>
    <row r="313">
      <c r="A313" t="s">
        <v>6910</v>
      </c>
      <c r="B313">
        <f>'Taxable (c5)'!R105</f>
      </c>
    </row>
    <row r="314">
      <c r="A314" t="s">
        <v>6672</v>
      </c>
      <c r="B314">
        <f>'Taxable (c5)'!R114</f>
      </c>
    </row>
    <row r="315">
      <c r="A315" t="s">
        <v>6674</v>
      </c>
      <c r="B315">
        <f>'Taxable (c5)'!R117</f>
      </c>
    </row>
    <row r="316">
      <c r="A316" t="s">
        <v>6675</v>
      </c>
      <c r="B316">
        <f>'Taxable (c5)'!R126</f>
      </c>
    </row>
    <row r="317">
      <c r="A317" t="s">
        <v>6676</v>
      </c>
      <c r="B317">
        <f>'Taxable (c5)'!R170</f>
      </c>
    </row>
    <row r="318">
      <c r="A318" t="s">
        <v>6678</v>
      </c>
      <c r="B318">
        <f>'Taxable (c5)'!R172</f>
      </c>
    </row>
    <row r="319">
      <c r="A319" t="s">
        <v>6679</v>
      </c>
      <c r="B319">
        <f>'Taxable (c5)'!R174</f>
      </c>
    </row>
    <row r="320">
      <c r="A320" t="s">
        <v>6681</v>
      </c>
      <c r="B320">
        <f>'Taxable (c5)'!R176</f>
      </c>
    </row>
    <row r="321">
      <c r="A321" t="s">
        <v>6683</v>
      </c>
      <c r="B321">
        <f>'Taxable (c5)'!R178</f>
      </c>
    </row>
    <row r="322">
      <c r="A322" t="s">
        <v>6684</v>
      </c>
      <c r="B322">
        <f>'Taxable (c5)'!R180</f>
      </c>
    </row>
    <row r="323">
      <c r="A323" t="s">
        <v>6685</v>
      </c>
      <c r="B323">
        <f>'Taxable (c5)'!R182</f>
      </c>
    </row>
    <row r="324">
      <c r="A324" t="s">
        <v>6686</v>
      </c>
      <c r="B324">
        <f>'Taxable (c5)'!R184</f>
      </c>
    </row>
    <row r="325">
      <c r="A325" t="s">
        <v>6687</v>
      </c>
      <c r="B325">
        <f>'Taxable (c5)'!R186</f>
      </c>
    </row>
    <row r="326">
      <c r="A326" t="s">
        <v>6173</v>
      </c>
      <c r="B326">
        <f>'Taxable (c5)'!R192</f>
      </c>
    </row>
    <row r="327">
      <c r="A327" t="s">
        <v>6174</v>
      </c>
      <c r="B327">
        <f>'Taxable (c5)'!R198</f>
      </c>
    </row>
    <row r="328">
      <c r="A328" t="s">
        <v>7344</v>
      </c>
      <c r="B328">
        <f>'Taxable (c5)'!R200</f>
      </c>
    </row>
    <row r="329">
      <c r="A329" t="s">
        <v>7345</v>
      </c>
      <c r="B329">
        <f>'Taxable (c5)'!R202</f>
      </c>
    </row>
    <row r="330">
      <c r="A330" t="s">
        <v>7346</v>
      </c>
      <c r="B330">
        <f>'Taxable (c5)'!R204</f>
      </c>
    </row>
    <row r="331">
      <c r="A331" t="s">
        <v>7347</v>
      </c>
      <c r="B331">
        <f>'Taxable (c5)'!R206</f>
      </c>
    </row>
    <row r="332">
      <c r="A332" t="s">
        <v>6175</v>
      </c>
      <c r="B332">
        <f>'Taxable (c5)'!R208</f>
      </c>
    </row>
    <row r="333">
      <c r="A333" t="s">
        <v>6688</v>
      </c>
      <c r="B333">
        <f>'Taxable (c5)'!R210</f>
      </c>
    </row>
    <row r="334">
      <c r="A334" t="s">
        <v>6699</v>
      </c>
      <c r="B334">
        <f>'Taxable (c5)'!R228</f>
      </c>
    </row>
    <row r="335">
      <c r="A335" t="s">
        <v>6700</v>
      </c>
      <c r="B335">
        <f>'Taxable (c5)'!R230</f>
      </c>
    </row>
    <row r="336">
      <c r="A336" t="s">
        <v>6701</v>
      </c>
      <c r="B336">
        <f>'Taxable (c5)'!R232</f>
      </c>
    </row>
    <row r="337">
      <c r="A337" t="s">
        <v>6702</v>
      </c>
      <c r="B337">
        <f>'Taxable (c5)'!R234</f>
      </c>
    </row>
    <row r="338">
      <c r="A338" t="s">
        <v>6703</v>
      </c>
      <c r="B338">
        <f>'Taxable (c5)'!R236</f>
      </c>
    </row>
    <row r="339">
      <c r="A339" t="s">
        <v>6704</v>
      </c>
      <c r="B339">
        <f>'Taxable (c5)'!R238</f>
      </c>
    </row>
    <row r="340">
      <c r="A340" t="s">
        <v>6705</v>
      </c>
      <c r="B340">
        <f>'Taxable (c5)'!R240</f>
      </c>
    </row>
    <row r="341">
      <c r="A341" t="s">
        <v>6706</v>
      </c>
      <c r="B341">
        <f>'Taxable (c5)'!R242</f>
      </c>
    </row>
    <row r="342">
      <c r="A342" t="s">
        <v>6810</v>
      </c>
      <c r="B342">
        <f>'Taxable (c5)'!R244</f>
      </c>
    </row>
    <row r="343">
      <c r="A343" t="s">
        <v>6811</v>
      </c>
      <c r="B343">
        <f>'Taxable (c5)'!R246</f>
      </c>
    </row>
    <row r="344">
      <c r="A344" t="s">
        <v>6689</v>
      </c>
      <c r="B344">
        <f>'Taxable (c5)'!R212</f>
      </c>
    </row>
    <row r="345">
      <c r="A345" t="s">
        <v>6812</v>
      </c>
      <c r="B345">
        <f>'Taxable (c5)'!R248</f>
      </c>
    </row>
    <row r="346">
      <c r="A346" t="s">
        <v>6813</v>
      </c>
      <c r="B346">
        <f>'Taxable (c5)'!R250</f>
      </c>
    </row>
    <row r="347">
      <c r="A347" t="s">
        <v>6814</v>
      </c>
      <c r="B347">
        <f>'Taxable (c5)'!R252</f>
      </c>
    </row>
    <row r="348">
      <c r="A348" t="s">
        <v>6815</v>
      </c>
      <c r="B348">
        <f>'Taxable (c5)'!R254</f>
      </c>
    </row>
    <row r="349">
      <c r="A349" t="s">
        <v>6816</v>
      </c>
      <c r="B349">
        <f>'Taxable (c5)'!R256</f>
      </c>
    </row>
    <row r="350">
      <c r="A350" t="s">
        <v>6817</v>
      </c>
      <c r="B350">
        <f>'Taxable (c5)'!R258</f>
      </c>
    </row>
    <row r="351">
      <c r="A351" t="s">
        <v>6821</v>
      </c>
      <c r="B351">
        <f>'Taxable (c5)'!R260</f>
      </c>
    </row>
    <row r="352">
      <c r="A352" t="s">
        <v>6881</v>
      </c>
      <c r="B352">
        <f>'Taxable (c5)'!R262</f>
      </c>
    </row>
    <row r="353">
      <c r="A353" t="s">
        <v>6884</v>
      </c>
      <c r="B353">
        <f>'Taxable (c5)'!R264</f>
      </c>
    </row>
    <row r="354">
      <c r="A354" t="s">
        <v>7889</v>
      </c>
      <c r="B354">
        <f>'Taxable (c5)'!R266</f>
      </c>
    </row>
    <row r="355">
      <c r="A355" t="s">
        <v>6690</v>
      </c>
      <c r="B355">
        <f>'Taxable (c5)'!R214</f>
      </c>
    </row>
    <row r="356">
      <c r="A356" t="s">
        <v>7890</v>
      </c>
      <c r="B356">
        <f>'Taxable (c5)'!R268</f>
      </c>
    </row>
    <row r="357">
      <c r="A357" t="s">
        <v>7891</v>
      </c>
      <c r="B357">
        <f>'Taxable (c5)'!R270</f>
      </c>
    </row>
    <row r="358">
      <c r="A358" t="s">
        <v>7892</v>
      </c>
      <c r="B358">
        <f>'Taxable (c5)'!R272</f>
      </c>
    </row>
    <row r="359">
      <c r="A359" t="s">
        <v>7893</v>
      </c>
      <c r="B359">
        <f>'Taxable (c5)'!R274</f>
      </c>
    </row>
    <row r="360">
      <c r="A360" t="s">
        <v>7894</v>
      </c>
      <c r="B360">
        <f>'Taxable (c5)'!R276</f>
      </c>
    </row>
    <row r="361">
      <c r="A361" t="s">
        <v>7895</v>
      </c>
      <c r="B361">
        <f>'Taxable (c5)'!R278</f>
      </c>
    </row>
    <row r="362">
      <c r="A362" t="s">
        <v>7896</v>
      </c>
      <c r="B362">
        <f>'Taxable (c5)'!R280</f>
      </c>
    </row>
    <row r="363">
      <c r="A363" t="s">
        <v>7897</v>
      </c>
      <c r="B363">
        <f>'Taxable (c5)'!R282</f>
      </c>
    </row>
    <row r="364">
      <c r="A364" t="s">
        <v>7898</v>
      </c>
      <c r="B364">
        <f>'Taxable (c5)'!R284</f>
      </c>
    </row>
    <row r="365">
      <c r="A365" t="s">
        <v>7899</v>
      </c>
      <c r="B365">
        <f>'Taxable (c5)'!R286</f>
      </c>
    </row>
    <row r="366">
      <c r="A366" t="s">
        <v>6691</v>
      </c>
      <c r="B366">
        <f>'Taxable (c5)'!R216</f>
      </c>
    </row>
    <row r="367">
      <c r="A367" t="s">
        <v>7900</v>
      </c>
      <c r="B367">
        <f>'Taxable (c5)'!R288</f>
      </c>
    </row>
    <row r="368">
      <c r="A368" t="s">
        <v>7901</v>
      </c>
      <c r="B368">
        <f>'Taxable (c5)'!R290</f>
      </c>
    </row>
    <row r="369">
      <c r="A369" t="s">
        <v>7902</v>
      </c>
      <c r="B369">
        <f>'Taxable (c5)'!R292</f>
      </c>
    </row>
    <row r="370">
      <c r="A370" t="s">
        <v>6692</v>
      </c>
      <c r="B370">
        <f>'Taxable (c5)'!R218</f>
      </c>
    </row>
    <row r="371">
      <c r="A371" t="s">
        <v>6693</v>
      </c>
      <c r="B371">
        <f>'Taxable (c5)'!R220</f>
      </c>
    </row>
    <row r="372">
      <c r="A372" t="s">
        <v>6694</v>
      </c>
      <c r="B372">
        <f>'Taxable (c5)'!R222</f>
      </c>
    </row>
    <row r="373">
      <c r="A373" t="s">
        <v>6696</v>
      </c>
      <c r="B373">
        <f>'Taxable (c5)'!R224</f>
      </c>
    </row>
    <row r="374">
      <c r="A374" t="s">
        <v>6697</v>
      </c>
      <c r="B374">
        <f>'Taxable (c5)'!R226</f>
      </c>
    </row>
    <row r="375">
      <c r="A375" t="s">
        <v>7929</v>
      </c>
      <c r="B375">
        <f>NA()</f>
      </c>
    </row>
    <row r="376">
      <c r="A376" t="s">
        <v>7985</v>
      </c>
      <c r="B376">
        <f>NA()</f>
      </c>
    </row>
    <row r="377">
      <c r="A377" t="s">
        <v>7986</v>
      </c>
      <c r="B377">
        <f>NA()</f>
      </c>
    </row>
    <row r="378">
      <c r="A378" t="s">
        <v>7987</v>
      </c>
      <c r="B378">
        <f>NA()</f>
      </c>
    </row>
    <row r="379">
      <c r="A379" t="s">
        <v>6176</v>
      </c>
      <c r="B379">
        <f>'Taxable (c5)'!R299</f>
      </c>
    </row>
    <row r="380">
      <c r="A380" t="s">
        <v>6787</v>
      </c>
      <c r="B380">
        <f>'Taxable (c5)'!V192</f>
      </c>
    </row>
    <row r="381">
      <c r="A381" t="s">
        <v>6788</v>
      </c>
      <c r="B381">
        <f>'Taxable (c5)'!V194</f>
      </c>
    </row>
    <row r="382">
      <c r="A382" t="s">
        <v>6789</v>
      </c>
      <c r="B382">
        <f>'Taxable (c5)'!V196</f>
      </c>
    </row>
    <row r="383">
      <c r="A383" t="s">
        <v>6790</v>
      </c>
      <c r="B383">
        <f>'Taxable (c5)'!V198</f>
      </c>
    </row>
    <row r="384">
      <c r="A384" t="s">
        <v>6791</v>
      </c>
      <c r="B384">
        <f>'Taxable (c5)'!V200</f>
      </c>
    </row>
    <row r="385">
      <c r="A385" t="s">
        <v>6792</v>
      </c>
      <c r="B385">
        <f>'Taxable (c5)'!V202</f>
      </c>
    </row>
    <row r="386">
      <c r="A386" t="s">
        <v>6794</v>
      </c>
      <c r="B386">
        <f>'Taxable (c5)'!V204</f>
      </c>
    </row>
    <row r="387">
      <c r="A387" t="s">
        <v>6793</v>
      </c>
      <c r="B387">
        <f>'Taxable (c5)'!V206</f>
      </c>
    </row>
    <row r="388">
      <c r="A388" t="s">
        <v>6795</v>
      </c>
      <c r="B388">
        <f>'Taxable (c5)'!V208</f>
      </c>
    </row>
    <row r="389">
      <c r="A389" t="s">
        <v>6796</v>
      </c>
      <c r="B389">
        <f>'Taxable (c5)'!V210</f>
      </c>
    </row>
    <row r="390">
      <c r="A390" t="s">
        <v>6797</v>
      </c>
      <c r="B390">
        <f>'Taxable (c5)'!V212</f>
      </c>
    </row>
    <row r="391">
      <c r="A391" t="s">
        <v>6798</v>
      </c>
      <c r="B391">
        <f>'Taxable (c5)'!V214</f>
      </c>
    </row>
    <row r="392">
      <c r="A392" t="s">
        <v>6441</v>
      </c>
      <c r="B392">
        <f>'Taxable (c5)'!V216</f>
      </c>
    </row>
    <row r="393">
      <c r="A393" t="s">
        <v>6442</v>
      </c>
      <c r="B393">
        <f>'Taxable (c5)'!V218</f>
      </c>
    </row>
    <row r="394">
      <c r="A394" t="s">
        <v>6478</v>
      </c>
      <c r="B394">
        <f>'Taxable (c5)'!V220</f>
      </c>
    </row>
    <row r="395">
      <c r="A395" t="s">
        <v>7923</v>
      </c>
      <c r="B395">
        <f>'Taxable (c5)'!V222</f>
      </c>
    </row>
    <row r="396">
      <c r="A396" t="s">
        <v>7924</v>
      </c>
      <c r="B396">
        <f>'Taxable (c5)'!V224</f>
      </c>
    </row>
    <row r="397">
      <c r="A397" t="s">
        <v>7925</v>
      </c>
      <c r="B397">
        <f>'Taxable (c5)'!V230</f>
      </c>
    </row>
    <row r="398">
      <c r="A398" t="s">
        <v>7926</v>
      </c>
      <c r="B398">
        <f>'Taxable (c5)'!V236</f>
      </c>
    </row>
    <row r="399">
      <c r="A399" t="s">
        <v>7927</v>
      </c>
      <c r="B399">
        <f>'Taxable (c5)'!V238</f>
      </c>
    </row>
    <row r="400">
      <c r="A400" t="s">
        <v>7928</v>
      </c>
      <c r="B400">
        <f>'Taxable (c5)'!V244</f>
      </c>
    </row>
    <row r="401">
      <c r="A401" t="s">
        <v>6177</v>
      </c>
      <c r="B401">
        <f>'Taxable (c5)'!V247</f>
      </c>
    </row>
    <row r="402">
      <c r="A402" t="s">
        <v>6799</v>
      </c>
      <c r="B402">
        <f>'Taxable (c5)'!V249</f>
      </c>
    </row>
    <row r="403">
      <c r="A403" t="s">
        <v>6178</v>
      </c>
      <c r="B403">
        <f>'Taxable (c5)'!V253</f>
      </c>
    </row>
    <row r="404">
      <c r="A404" t="s">
        <v>6822</v>
      </c>
      <c r="B404">
        <f>'Taxable (c5)'!AI113</f>
      </c>
    </row>
    <row r="405">
      <c r="A405" t="s">
        <v>6896</v>
      </c>
      <c r="B405">
        <f>'Taxable (c5)'!AM113</f>
      </c>
    </row>
    <row r="406">
      <c r="A406" t="s">
        <v>6823</v>
      </c>
      <c r="B406">
        <f>'Taxable (c5)'!AH114</f>
      </c>
    </row>
    <row r="407">
      <c r="A407" t="s">
        <v>6824</v>
      </c>
      <c r="B407">
        <f>'Taxable (c5)'!AH117</f>
      </c>
    </row>
    <row r="408">
      <c r="A408" t="s">
        <v>6825</v>
      </c>
      <c r="B408">
        <f>'Taxable (c5)'!AH119</f>
      </c>
    </row>
    <row r="409">
      <c r="A409" t="s">
        <v>6826</v>
      </c>
      <c r="B409">
        <f>'Taxable (c5)'!AH122</f>
      </c>
    </row>
    <row r="410">
      <c r="A410" t="s">
        <v>6827</v>
      </c>
      <c r="B410">
        <f>'Taxable (c5)'!AH124</f>
      </c>
    </row>
    <row r="411">
      <c r="A411" t="s">
        <v>6828</v>
      </c>
      <c r="B411">
        <f>'Taxable (c5)'!AH126</f>
      </c>
    </row>
    <row r="412">
      <c r="A412" t="s">
        <v>6829</v>
      </c>
      <c r="B412">
        <f>'Taxable (c5)'!AH151</f>
      </c>
    </row>
    <row r="413">
      <c r="A413" t="s">
        <v>6839</v>
      </c>
      <c r="B413">
        <f>'Taxable (c5)'!AH153</f>
      </c>
    </row>
    <row r="414">
      <c r="A414" t="s">
        <v>6426</v>
      </c>
      <c r="B414">
        <f>'Taxable (c5)'!Z260</f>
      </c>
    </row>
    <row r="415">
      <c r="A415" t="s">
        <v>6880</v>
      </c>
      <c r="B415">
        <f>'Taxable (c5)'!Z63</f>
      </c>
    </row>
    <row r="416">
      <c r="A416" t="s">
        <v>8034</v>
      </c>
      <c r="B416">
        <f>'Taxable (c5)'!Z81</f>
      </c>
    </row>
    <row r="417">
      <c r="A417" t="s">
        <v>8035</v>
      </c>
      <c r="B417">
        <f>'Taxable (c5)'!Z83</f>
      </c>
    </row>
    <row r="418">
      <c r="A418" t="s">
        <v>8036</v>
      </c>
      <c r="B418">
        <f>'Taxable (c5)'!Z85</f>
      </c>
    </row>
    <row r="419">
      <c r="A419" t="s">
        <v>8037</v>
      </c>
      <c r="B419">
        <f>'Taxable (c5)'!Z87</f>
      </c>
    </row>
    <row r="420">
      <c r="A420" t="s">
        <v>8038</v>
      </c>
      <c r="B420">
        <f>'Taxable (c5)'!Z89</f>
      </c>
    </row>
    <row r="421">
      <c r="A421" t="s">
        <v>8039</v>
      </c>
      <c r="B421">
        <f>'Taxable (c5)'!Z91</f>
      </c>
    </row>
    <row r="422">
      <c r="A422" t="s">
        <v>8040</v>
      </c>
      <c r="B422">
        <f>'Taxable (c5)'!Z93</f>
      </c>
    </row>
    <row r="423">
      <c r="A423" t="s">
        <v>8041</v>
      </c>
      <c r="B423">
        <f>'Taxable (c5)'!Z95</f>
      </c>
    </row>
    <row r="424">
      <c r="A424" t="s">
        <v>8042</v>
      </c>
      <c r="B424">
        <f>'Taxable (c5)'!Z97</f>
      </c>
    </row>
    <row r="425">
      <c r="A425" t="s">
        <v>8043</v>
      </c>
      <c r="B425">
        <f>'Taxable (c5)'!Z99</f>
      </c>
    </row>
    <row r="426">
      <c r="A426" t="s">
        <v>8026</v>
      </c>
      <c r="B426">
        <f>'Taxable (c5)'!Z65</f>
      </c>
    </row>
    <row r="427">
      <c r="A427" t="s">
        <v>8044</v>
      </c>
      <c r="B427">
        <f>'Taxable (c5)'!Z101</f>
      </c>
    </row>
    <row r="428">
      <c r="A428" t="s">
        <v>8045</v>
      </c>
      <c r="B428">
        <f>'Taxable (c5)'!Z103</f>
      </c>
    </row>
    <row r="429">
      <c r="A429" t="s">
        <v>8046</v>
      </c>
      <c r="B429">
        <f>'Taxable (c5)'!Z105</f>
      </c>
    </row>
    <row r="430">
      <c r="A430" t="s">
        <v>8047</v>
      </c>
      <c r="B430">
        <f>'Taxable (c5)'!Z107</f>
      </c>
    </row>
    <row r="431">
      <c r="A431" t="s">
        <v>8048</v>
      </c>
      <c r="B431">
        <f>'Taxable (c5)'!Z109</f>
      </c>
    </row>
    <row r="432">
      <c r="A432" t="s">
        <v>8049</v>
      </c>
      <c r="B432">
        <f>'Taxable (c5)'!Z111</f>
      </c>
    </row>
    <row r="433">
      <c r="A433" t="s">
        <v>8050</v>
      </c>
      <c r="B433">
        <f>'Taxable (c5)'!Z113</f>
      </c>
    </row>
    <row r="434">
      <c r="A434" t="s">
        <v>8051</v>
      </c>
      <c r="B434">
        <f>'Taxable (c5)'!Z115</f>
      </c>
    </row>
    <row r="435">
      <c r="A435" t="s">
        <v>8052</v>
      </c>
      <c r="B435">
        <f>'Taxable (c5)'!Z117</f>
      </c>
    </row>
    <row r="436">
      <c r="A436" t="s">
        <v>8053</v>
      </c>
      <c r="B436">
        <f>'Taxable (c5)'!Z119</f>
      </c>
    </row>
    <row r="437">
      <c r="A437" t="s">
        <v>8027</v>
      </c>
      <c r="B437">
        <f>'Taxable (c5)'!Z67</f>
      </c>
    </row>
    <row r="438">
      <c r="A438" t="s">
        <v>8054</v>
      </c>
      <c r="B438">
        <f>'Taxable (c5)'!Z121</f>
      </c>
    </row>
    <row r="439">
      <c r="A439" t="s">
        <v>8055</v>
      </c>
      <c r="B439">
        <f>'Taxable (c5)'!Z123</f>
      </c>
    </row>
    <row r="440">
      <c r="A440" t="s">
        <v>8056</v>
      </c>
      <c r="B440">
        <f>'Taxable (c5)'!Z125</f>
      </c>
    </row>
    <row r="441">
      <c r="A441" t="s">
        <v>8057</v>
      </c>
      <c r="B441">
        <f>'Taxable (c5)'!Z127</f>
      </c>
    </row>
    <row r="442">
      <c r="A442" t="s">
        <v>8058</v>
      </c>
      <c r="B442">
        <f>'Taxable (c5)'!Z129</f>
      </c>
    </row>
    <row r="443">
      <c r="A443" t="s">
        <v>8059</v>
      </c>
      <c r="B443">
        <f>'Taxable (c5)'!Z131</f>
      </c>
    </row>
    <row r="444">
      <c r="A444" t="s">
        <v>8060</v>
      </c>
      <c r="B444">
        <f>'Taxable (c5)'!Z133</f>
      </c>
    </row>
    <row r="445">
      <c r="A445" t="s">
        <v>8061</v>
      </c>
      <c r="B445">
        <f>'Taxable (c5)'!Z135</f>
      </c>
    </row>
    <row r="446">
      <c r="A446" t="s">
        <v>8062</v>
      </c>
      <c r="B446">
        <f>'Taxable (c5)'!Z137</f>
      </c>
    </row>
    <row r="447">
      <c r="A447" t="s">
        <v>8063</v>
      </c>
      <c r="B447">
        <f>'Taxable (c5)'!Z139</f>
      </c>
    </row>
    <row r="448">
      <c r="A448" t="s">
        <v>8028</v>
      </c>
      <c r="B448">
        <f>'Taxable (c5)'!Z69</f>
      </c>
    </row>
    <row r="449">
      <c r="A449" t="s">
        <v>8064</v>
      </c>
      <c r="B449">
        <f>'Taxable (c5)'!Z141</f>
      </c>
    </row>
    <row r="450">
      <c r="A450" t="s">
        <v>8065</v>
      </c>
      <c r="B450">
        <f>'Taxable (c5)'!Z143</f>
      </c>
    </row>
    <row r="451">
      <c r="A451" t="s">
        <v>8066</v>
      </c>
      <c r="B451">
        <f>'Taxable (c5)'!Z145</f>
      </c>
    </row>
    <row r="452">
      <c r="A452" t="s">
        <v>8067</v>
      </c>
      <c r="B452">
        <f>'Taxable (c5)'!Z147</f>
      </c>
    </row>
    <row r="453">
      <c r="A453" t="s">
        <v>8068</v>
      </c>
      <c r="B453">
        <f>'Taxable (c5)'!Z149</f>
      </c>
    </row>
    <row r="454">
      <c r="A454" t="s">
        <v>8069</v>
      </c>
      <c r="B454">
        <f>'Taxable (c5)'!Z151</f>
      </c>
    </row>
    <row r="455">
      <c r="A455" t="s">
        <v>8070</v>
      </c>
      <c r="B455">
        <f>'Taxable (c5)'!Z153</f>
      </c>
    </row>
    <row r="456">
      <c r="A456" t="s">
        <v>8071</v>
      </c>
      <c r="B456">
        <f>'Taxable (c5)'!Z159</f>
      </c>
    </row>
    <row r="457">
      <c r="A457" t="s">
        <v>8072</v>
      </c>
      <c r="B457">
        <f>'Taxable (c5)'!Z165</f>
      </c>
    </row>
    <row r="458">
      <c r="A458" t="s">
        <v>8073</v>
      </c>
      <c r="B458">
        <f>'Taxable (c5)'!Z171</f>
      </c>
    </row>
    <row r="459">
      <c r="A459" t="s">
        <v>8029</v>
      </c>
      <c r="B459">
        <f>'Taxable (c5)'!Z71</f>
      </c>
    </row>
    <row r="460">
      <c r="A460" t="s">
        <v>8074</v>
      </c>
      <c r="B460">
        <f>'Taxable (c5)'!Z173</f>
      </c>
    </row>
    <row r="461">
      <c r="A461" t="s">
        <v>8075</v>
      </c>
      <c r="B461">
        <f>'Taxable (c5)'!Z175</f>
      </c>
    </row>
    <row r="462">
      <c r="A462" t="s">
        <v>8076</v>
      </c>
      <c r="B462">
        <f>'Taxable (c5)'!Z177</f>
      </c>
    </row>
    <row r="463">
      <c r="A463" t="s">
        <v>8077</v>
      </c>
      <c r="B463">
        <f>'Taxable (c5)'!Z183</f>
      </c>
    </row>
    <row r="464">
      <c r="A464" t="s">
        <v>8078</v>
      </c>
      <c r="B464">
        <f>'Taxable (c5)'!Z190</f>
      </c>
    </row>
    <row r="465">
      <c r="A465" t="s">
        <v>8079</v>
      </c>
      <c r="B465">
        <f>'Taxable (c5)'!Z192</f>
      </c>
    </row>
    <row r="466">
      <c r="A466" t="s">
        <v>8080</v>
      </c>
      <c r="B466">
        <f>'Taxable (c5)'!Z194</f>
      </c>
    </row>
    <row r="467">
      <c r="A467" t="s">
        <v>8081</v>
      </c>
      <c r="B467">
        <f>'Taxable (c5)'!Z196</f>
      </c>
    </row>
    <row r="468">
      <c r="A468" t="s">
        <v>8082</v>
      </c>
      <c r="B468">
        <f>'Taxable (c5)'!Z198</f>
      </c>
    </row>
    <row r="469">
      <c r="A469" t="s">
        <v>8083</v>
      </c>
      <c r="B469">
        <f>'Taxable (c5)'!Z200</f>
      </c>
    </row>
    <row r="470">
      <c r="A470" t="s">
        <v>8030</v>
      </c>
      <c r="B470">
        <f>'Taxable (c5)'!Z73</f>
      </c>
    </row>
    <row r="471">
      <c r="A471" t="s">
        <v>8084</v>
      </c>
      <c r="B471">
        <f>'Taxable (c5)'!Z202</f>
      </c>
    </row>
    <row r="472">
      <c r="A472" t="s">
        <v>8085</v>
      </c>
      <c r="B472">
        <f>'Taxable (c5)'!Z204</f>
      </c>
    </row>
    <row r="473">
      <c r="A473" t="s">
        <v>8086</v>
      </c>
      <c r="B473">
        <f>'Taxable (c5)'!Z206</f>
      </c>
    </row>
    <row r="474">
      <c r="A474" t="s">
        <v>8087</v>
      </c>
      <c r="B474">
        <f>'Taxable (c5)'!Z208</f>
      </c>
    </row>
    <row r="475">
      <c r="A475" t="s">
        <v>8088</v>
      </c>
      <c r="B475">
        <f>'Taxable (c5)'!Z210</f>
      </c>
    </row>
    <row r="476">
      <c r="A476" t="s">
        <v>8089</v>
      </c>
      <c r="B476">
        <f>'Taxable (c5)'!Z212</f>
      </c>
    </row>
    <row r="477">
      <c r="A477" t="s">
        <v>8090</v>
      </c>
      <c r="B477">
        <f>'Taxable (c5)'!Z214</f>
      </c>
    </row>
    <row r="478">
      <c r="A478" t="s">
        <v>8091</v>
      </c>
      <c r="B478">
        <f>'Taxable (c5)'!Z216</f>
      </c>
    </row>
    <row r="479">
      <c r="A479" t="s">
        <v>8092</v>
      </c>
      <c r="B479">
        <f>'Taxable (c5)'!Z218</f>
      </c>
    </row>
    <row r="480">
      <c r="A480" t="s">
        <v>8093</v>
      </c>
      <c r="B480">
        <f>'Taxable (c5)'!Z220</f>
      </c>
    </row>
    <row r="481">
      <c r="A481" t="s">
        <v>8031</v>
      </c>
      <c r="B481">
        <f>'Taxable (c5)'!Z75</f>
      </c>
    </row>
    <row r="482">
      <c r="A482" t="s">
        <v>8094</v>
      </c>
      <c r="B482">
        <f>'Taxable (c5)'!Z222</f>
      </c>
    </row>
    <row r="483">
      <c r="A483" t="s">
        <v>8095</v>
      </c>
      <c r="B483">
        <f>'Taxable (c5)'!Z224</f>
      </c>
    </row>
    <row r="484">
      <c r="A484" t="s">
        <v>8096</v>
      </c>
      <c r="B484">
        <f>'Taxable (c5)'!Z226</f>
      </c>
    </row>
    <row r="485">
      <c r="A485" t="s">
        <v>8097</v>
      </c>
      <c r="B485">
        <f>'Taxable (c5)'!Z228</f>
      </c>
    </row>
    <row r="486">
      <c r="A486" t="s">
        <v>8098</v>
      </c>
      <c r="B486">
        <f>'Taxable (c5)'!Z230</f>
      </c>
    </row>
    <row r="487">
      <c r="A487" t="s">
        <v>8099</v>
      </c>
      <c r="B487">
        <f>'Taxable (c5)'!Z232</f>
      </c>
    </row>
    <row r="488">
      <c r="A488" t="s">
        <v>8100</v>
      </c>
      <c r="B488">
        <f>'Taxable (c5)'!Z234</f>
      </c>
    </row>
    <row r="489">
      <c r="A489" t="s">
        <v>8101</v>
      </c>
      <c r="B489">
        <f>'Taxable (c5)'!Z236</f>
      </c>
    </row>
    <row r="490">
      <c r="A490" t="s">
        <v>8102</v>
      </c>
      <c r="B490">
        <f>'Taxable (c5)'!Z238</f>
      </c>
    </row>
    <row r="491">
      <c r="A491" t="s">
        <v>8103</v>
      </c>
      <c r="B491">
        <f>'Taxable (c5)'!Z240</f>
      </c>
    </row>
    <row r="492">
      <c r="A492" t="s">
        <v>8032</v>
      </c>
      <c r="B492">
        <f>'Taxable (c5)'!Z77</f>
      </c>
    </row>
    <row r="493">
      <c r="A493" t="s">
        <v>8104</v>
      </c>
      <c r="B493">
        <f>'Taxable (c5)'!Z242</f>
      </c>
    </row>
    <row r="494">
      <c r="A494" t="s">
        <v>8105</v>
      </c>
      <c r="B494">
        <f>'Taxable (c5)'!Z244</f>
      </c>
    </row>
    <row r="495">
      <c r="A495" t="s">
        <v>8106</v>
      </c>
      <c r="B495">
        <f>'Taxable (c5)'!Z246</f>
      </c>
    </row>
    <row r="496">
      <c r="A496" t="s">
        <v>8107</v>
      </c>
      <c r="B496">
        <f>'Taxable (c5)'!Z248</f>
      </c>
    </row>
    <row r="497">
      <c r="A497" t="s">
        <v>8108</v>
      </c>
      <c r="B497">
        <f>'Taxable (c5)'!Z250</f>
      </c>
    </row>
    <row r="498">
      <c r="A498" t="s">
        <v>8109</v>
      </c>
      <c r="B498">
        <f>'Taxable (c5)'!Z252</f>
      </c>
    </row>
    <row r="499">
      <c r="A499" t="s">
        <v>8110</v>
      </c>
      <c r="B499">
        <f>'Taxable (c5)'!Z254</f>
      </c>
    </row>
    <row r="500">
      <c r="A500" t="s">
        <v>8111</v>
      </c>
      <c r="B500">
        <f>'Taxable (c5)'!Z256</f>
      </c>
    </row>
    <row r="501">
      <c r="A501" t="s">
        <v>8112</v>
      </c>
      <c r="B501">
        <f>'Taxable (c5)'!Z258</f>
      </c>
    </row>
    <row r="502">
      <c r="A502" t="s">
        <v>8113</v>
      </c>
      <c r="B502">
        <f>NA()</f>
      </c>
    </row>
    <row r="503">
      <c r="A503" t="s">
        <v>8033</v>
      </c>
      <c r="B503">
        <f>'Taxable (c5)'!Z79</f>
      </c>
    </row>
    <row r="504">
      <c r="A504" t="s">
        <v>8114</v>
      </c>
      <c r="B504">
        <f>NA()</f>
      </c>
    </row>
    <row r="505">
      <c r="A505" t="s">
        <v>8188</v>
      </c>
      <c r="B505">
        <f>NA()</f>
      </c>
    </row>
    <row r="506">
      <c r="A506" t="s">
        <v>6427</v>
      </c>
      <c r="B506">
        <f>'Taxable (c5)'!Z266</f>
      </c>
    </row>
    <row r="507">
      <c r="A507" t="s">
        <v>6428</v>
      </c>
      <c r="B507">
        <f>'Taxable (c5)'!Z268</f>
      </c>
    </row>
    <row r="508">
      <c r="A508" t="s">
        <v>6429</v>
      </c>
      <c r="B508">
        <f>'Taxable (c5)'!Z270</f>
      </c>
    </row>
    <row r="509">
      <c r="A509" t="s">
        <v>6430</v>
      </c>
      <c r="B509">
        <f>'Taxable (c5)'!Z276</f>
      </c>
    </row>
    <row r="510">
      <c r="A510" t="s">
        <v>6431</v>
      </c>
      <c r="B510">
        <f>'Taxable (c5)'!AD147</f>
      </c>
    </row>
    <row r="511">
      <c r="A511" t="s">
        <v>6707</v>
      </c>
      <c r="B511">
        <f>'Taxable (c5)'!AD149</f>
      </c>
    </row>
    <row r="512">
      <c r="A512" t="s">
        <v>6708</v>
      </c>
      <c r="B512">
        <f>'Taxable (c5)'!AD153</f>
      </c>
    </row>
    <row r="513">
      <c r="A513" t="s">
        <v>6713</v>
      </c>
      <c r="B513">
        <f>'Taxable (c5)'!AD242</f>
      </c>
    </row>
    <row r="514">
      <c r="A514" t="s">
        <v>6714</v>
      </c>
      <c r="B514">
        <f>'Taxable (c5)'!AD251</f>
      </c>
    </row>
    <row r="515">
      <c r="A515" t="s">
        <v>6668</v>
      </c>
      <c r="B515">
        <f>'Taxable (c5)'!AD253</f>
      </c>
    </row>
    <row r="516">
      <c r="A516" t="s">
        <v>6179</v>
      </c>
      <c r="B516">
        <f>'Taxable (c5)'!AL114</f>
      </c>
    </row>
    <row r="517">
      <c r="A517" t="s">
        <v>2380</v>
      </c>
      <c r="B517">
        <f>'Taxable (c5)'!AT17</f>
      </c>
    </row>
    <row r="518">
      <c r="A518" t="s">
        <v>6180</v>
      </c>
      <c r="B518">
        <f>'Taxable (c5)'!AL117</f>
      </c>
    </row>
    <row r="519">
      <c r="A519" t="s">
        <v>6181</v>
      </c>
      <c r="B519">
        <f>'Taxable (c5)'!AL119</f>
      </c>
    </row>
    <row r="520">
      <c r="A520" t="s">
        <v>6682</v>
      </c>
      <c r="B520">
        <f>'Taxable (c5)'!AL122</f>
      </c>
    </row>
    <row r="521">
      <c r="A521" t="s">
        <v>6182</v>
      </c>
      <c r="B521">
        <f>'Taxable (c5)'!AL126</f>
      </c>
    </row>
    <row r="522">
      <c r="A522" t="s">
        <v>6840</v>
      </c>
      <c r="B522">
        <f>'Taxable (c5)'!AL146</f>
      </c>
    </row>
    <row r="523">
      <c r="A523" t="s">
        <v>6183</v>
      </c>
      <c r="B523">
        <f>'Taxable (c5)'!AL153</f>
      </c>
    </row>
    <row r="524">
      <c r="A524" t="s">
        <v>8404</v>
      </c>
      <c r="B524">
        <f>'Taxable (c5)'!AL170</f>
      </c>
    </row>
    <row r="525">
      <c r="A525" t="s">
        <v>6184</v>
      </c>
      <c r="B525">
        <f>'Taxable (c5)'!AL176</f>
      </c>
    </row>
    <row r="526">
      <c r="A526" t="s">
        <v>6185</v>
      </c>
      <c r="B526">
        <f>'Taxable (c5)'!AL242</f>
      </c>
    </row>
    <row r="527">
      <c r="A527" t="s">
        <v>6186</v>
      </c>
      <c r="B527">
        <f>'Taxable (c5)'!AL253</f>
      </c>
    </row>
    <row r="528">
      <c r="A528" t="s">
        <v>6830</v>
      </c>
      <c r="B528">
        <f>'Taxable (c5)'!AQ113</f>
      </c>
    </row>
    <row r="529">
      <c r="A529" t="s">
        <v>6831</v>
      </c>
      <c r="B529">
        <f>'Taxable (c5)'!AP114</f>
      </c>
    </row>
    <row r="530">
      <c r="A530" t="s">
        <v>6832</v>
      </c>
      <c r="B530">
        <f>'Taxable (c5)'!AP117</f>
      </c>
    </row>
    <row r="531">
      <c r="A531" t="s">
        <v>6833</v>
      </c>
      <c r="B531">
        <f>'Taxable (c5)'!AP119</f>
      </c>
    </row>
    <row r="532">
      <c r="A532" t="s">
        <v>6834</v>
      </c>
      <c r="B532">
        <f>'Taxable (c5)'!AP122</f>
      </c>
    </row>
    <row r="533">
      <c r="A533" t="s">
        <v>6835</v>
      </c>
      <c r="B533">
        <f>'Taxable (c5)'!AP124</f>
      </c>
    </row>
    <row r="534">
      <c r="A534" t="s">
        <v>6836</v>
      </c>
      <c r="B534">
        <f>'Taxable (c5)'!AP126</f>
      </c>
    </row>
    <row r="535">
      <c r="A535" t="s">
        <v>6837</v>
      </c>
      <c r="B535">
        <f>'Taxable (c5)'!AP151</f>
      </c>
    </row>
    <row r="536">
      <c r="A536" t="s">
        <v>6838</v>
      </c>
      <c r="B536">
        <f>'Taxable (c5)'!AP153</f>
      </c>
    </row>
    <row r="537">
      <c r="A537" t="s">
        <v>7777</v>
      </c>
      <c r="B537">
        <f>'Taxable (c5)'!AT86</f>
      </c>
    </row>
    <row r="538">
      <c r="A538" t="s">
        <v>7778</v>
      </c>
      <c r="B538">
        <f>'Taxable (c5)'!AT88</f>
      </c>
    </row>
    <row r="539">
      <c r="A539" t="s">
        <v>7779</v>
      </c>
      <c r="B539">
        <f>'Taxable (c5)'!AT90</f>
      </c>
    </row>
    <row r="540">
      <c r="A540" t="s">
        <v>7780</v>
      </c>
      <c r="B540">
        <f>'Taxable (c5)'!AT92</f>
      </c>
    </row>
    <row r="541">
      <c r="A541" t="s">
        <v>7781</v>
      </c>
      <c r="B541">
        <f>'Taxable (c5)'!AT94</f>
      </c>
    </row>
    <row r="542">
      <c r="A542" t="s">
        <v>7782</v>
      </c>
      <c r="B542">
        <f>'Taxable (c5)'!AT96</f>
      </c>
    </row>
    <row r="543">
      <c r="A543" t="s">
        <v>7783</v>
      </c>
      <c r="B543">
        <f>'Taxable (c5)'!AT98</f>
      </c>
    </row>
    <row r="544">
      <c r="A544" t="s">
        <v>7784</v>
      </c>
      <c r="B544">
        <f>'Taxable (c5)'!AT100</f>
      </c>
    </row>
    <row r="545">
      <c r="A545" t="s">
        <v>7785</v>
      </c>
      <c r="B545">
        <f>'Taxable (c5)'!AT102</f>
      </c>
    </row>
    <row r="546">
      <c r="A546" t="s">
        <v>7786</v>
      </c>
      <c r="B546">
        <f>'Taxable (c5)'!AX65</f>
      </c>
    </row>
    <row r="547">
      <c r="A547" t="s">
        <v>9051</v>
      </c>
      <c r="B547">
        <f>'Taxable (c5)'!AX67</f>
      </c>
    </row>
    <row r="548">
      <c r="A548" t="s">
        <v>9052</v>
      </c>
      <c r="B548">
        <f>'Taxable (c5)'!AX69</f>
      </c>
    </row>
    <row r="549">
      <c r="A549" t="s">
        <v>7787</v>
      </c>
      <c r="B549">
        <f>'Taxable (c5)'!AX71</f>
      </c>
    </row>
    <row r="550">
      <c r="A550" t="s">
        <v>7788</v>
      </c>
      <c r="B550">
        <f>'Taxable (c5)'!AX73</f>
      </c>
    </row>
    <row r="551">
      <c r="A551" t="s">
        <v>7789</v>
      </c>
      <c r="B551">
        <f>'Taxable (c5)'!AX75</f>
      </c>
    </row>
    <row r="552">
      <c r="A552" t="s">
        <v>7790</v>
      </c>
      <c r="B552">
        <f>'Taxable (c5)'!AX77</f>
      </c>
    </row>
    <row r="553">
      <c r="A553" t="s">
        <v>7791</v>
      </c>
      <c r="B553">
        <f>'Taxable (c5)'!AX80</f>
      </c>
    </row>
    <row r="554">
      <c r="A554" t="s">
        <v>7792</v>
      </c>
      <c r="B554">
        <f>'Taxable (c5)'!AX82</f>
      </c>
    </row>
    <row r="555">
      <c r="A555" t="s">
        <v>9059</v>
      </c>
      <c r="B555">
        <f>'Taxable (c5)'!AX84</f>
      </c>
    </row>
    <row r="556">
      <c r="A556" t="s">
        <v>9061</v>
      </c>
      <c r="B556">
        <f>'Taxable (c5)'!AX86</f>
      </c>
    </row>
    <row r="557">
      <c r="A557" t="s">
        <v>9062</v>
      </c>
      <c r="B557">
        <f>'Taxable (c5)'!AX88</f>
      </c>
    </row>
    <row r="558">
      <c r="A558" t="s">
        <v>9063</v>
      </c>
      <c r="B558">
        <f>'Taxable (c5)'!AX90</f>
      </c>
    </row>
    <row r="559">
      <c r="A559" t="s">
        <v>9060</v>
      </c>
      <c r="B559">
        <f>'Taxable (c5)'!AX92</f>
      </c>
    </row>
    <row r="560">
      <c r="A560" t="s">
        <v>9064</v>
      </c>
      <c r="B560">
        <f>'Taxable (c5)'!AX94</f>
      </c>
    </row>
    <row r="561">
      <c r="A561" t="s">
        <v>9066</v>
      </c>
      <c r="B561">
        <f>'Taxable (c5)'!AX96</f>
      </c>
    </row>
    <row r="562">
      <c r="A562" t="s">
        <v>9067</v>
      </c>
      <c r="B562">
        <f>'Taxable (c5)'!AX99</f>
      </c>
    </row>
    <row r="563">
      <c r="A563" t="s">
        <v>7793</v>
      </c>
      <c r="B563">
        <f>'Taxable (c5)'!AX109</f>
      </c>
    </row>
    <row r="564">
      <c r="A564" t="s">
        <v>8928</v>
      </c>
      <c r="B564">
        <f>'Taxable (c5)'!AX112</f>
      </c>
    </row>
    <row r="565">
      <c r="A565" t="s">
        <v>8929</v>
      </c>
      <c r="B565">
        <f>'Taxable (c5)'!AX114</f>
      </c>
    </row>
    <row r="566">
      <c r="A566" t="s">
        <v>8930</v>
      </c>
      <c r="B566">
        <f>'Taxable (c5)'!AX123</f>
      </c>
    </row>
    <row r="567">
      <c r="A567" t="s">
        <v>6187</v>
      </c>
      <c r="B567">
        <f>'Taxable (c5)'!AX126</f>
      </c>
    </row>
    <row r="568">
      <c r="A568" t="s">
        <v>6188</v>
      </c>
      <c r="B568">
        <f>'Taxable (c5)'!AX153</f>
      </c>
    </row>
    <row r="569">
      <c r="A569" t="s">
        <v>6392</v>
      </c>
      <c r="B569">
        <f>'Taxable (c5)'!AT176</f>
      </c>
    </row>
    <row r="570">
      <c r="A570" t="s">
        <v>7621</v>
      </c>
      <c r="B570">
        <f>NA()</f>
      </c>
    </row>
    <row r="571">
      <c r="A571" t="s">
        <v>7636</v>
      </c>
      <c r="B571">
        <f>NA()</f>
      </c>
    </row>
    <row r="572">
      <c r="A572" t="s">
        <v>6189</v>
      </c>
      <c r="B572">
        <f>'Taxable (c5)'!AX176</f>
      </c>
    </row>
    <row r="573">
      <c r="A573" t="s">
        <v>3055</v>
      </c>
      <c r="B573">
        <f>'Taxable (c5)'!F24</f>
      </c>
    </row>
    <row r="574">
      <c r="A574" t="s">
        <v>6190</v>
      </c>
      <c r="B574">
        <f>'Taxable (c5)'!AX253</f>
      </c>
    </row>
    <row r="575">
      <c r="A575" t="s">
        <v>6191</v>
      </c>
      <c r="B575">
        <f>'Taxable (c5)'!AX261</f>
      </c>
    </row>
    <row r="576">
      <c r="A576" t="s">
        <v>6192</v>
      </c>
      <c r="B576">
        <f>'Taxable (c5)'!AX265</f>
      </c>
    </row>
    <row r="577">
      <c r="A577" t="s">
        <v>6193</v>
      </c>
      <c r="B577">
        <f>'Taxable (c5)'!AX275</f>
      </c>
    </row>
    <row r="578">
      <c r="A578" t="s">
        <v>6194</v>
      </c>
      <c r="B578">
        <f>'Taxable (c5)'!AX280</f>
      </c>
    </row>
    <row r="579">
      <c r="A579" t="s">
        <v>6195</v>
      </c>
      <c r="B579">
        <f>'Taxable (c5)'!AX285</f>
      </c>
    </row>
    <row r="580">
      <c r="A580" t="s">
        <v>6196</v>
      </c>
      <c r="B580">
        <f>'Taxable (c5)'!BB126</f>
      </c>
    </row>
    <row r="581">
      <c r="A581" t="s">
        <v>6197</v>
      </c>
      <c r="B581">
        <f>'Taxable (c5)'!BB153</f>
      </c>
    </row>
    <row r="582">
      <c r="A582" t="s">
        <v>6198</v>
      </c>
      <c r="B582">
        <f>'Taxable (c5)'!BB176</f>
      </c>
    </row>
    <row r="583">
      <c r="A583" t="s">
        <v>6199</v>
      </c>
      <c r="B583">
        <f>'Taxable (c5)'!BB253</f>
      </c>
    </row>
    <row r="584">
      <c r="A584" t="s">
        <v>2381</v>
      </c>
      <c r="B584">
        <f>'Taxable (c5)'!V24</f>
      </c>
    </row>
    <row r="585">
      <c r="A585" t="s">
        <v>6200</v>
      </c>
      <c r="B585">
        <f>'Taxable (c5)'!BB261</f>
      </c>
    </row>
    <row r="586">
      <c r="A586" t="s">
        <v>6201</v>
      </c>
      <c r="B586">
        <f>'Taxable (c5)'!BB265</f>
      </c>
    </row>
    <row r="587">
      <c r="A587" t="s">
        <v>6202</v>
      </c>
      <c r="B587">
        <f>'Taxable (c5)'!BB275</f>
      </c>
    </row>
    <row r="588">
      <c r="A588" t="s">
        <v>6203</v>
      </c>
      <c r="B588">
        <f>'Taxable (c5)'!BB280</f>
      </c>
    </row>
    <row r="589">
      <c r="A589" t="s">
        <v>6204</v>
      </c>
      <c r="B589">
        <f>'Taxable (c5)'!BB285</f>
      </c>
    </row>
    <row r="590">
      <c r="A590" t="s">
        <v>6205</v>
      </c>
      <c r="B590">
        <f>'Taxable (c5)'!F309</f>
      </c>
    </row>
    <row r="591">
      <c r="A591" t="s">
        <v>6206</v>
      </c>
      <c r="B591">
        <f>'Taxable (c5)'!BB309</f>
      </c>
    </row>
    <row r="592">
      <c r="A592" t="s">
        <v>2382</v>
      </c>
      <c r="B592">
        <f>'Taxable (c5)'!AL24</f>
      </c>
    </row>
    <row r="593">
      <c r="A593" t="s">
        <v>1089</v>
      </c>
      <c r="B593">
        <f>'tax it (c6)'!H14</f>
      </c>
    </row>
    <row r="594">
      <c r="A594" t="s">
        <v>3655</v>
      </c>
      <c r="B594">
        <f>'tax it (c6)'!H96</f>
      </c>
    </row>
    <row r="595">
      <c r="A595" t="s">
        <v>3656</v>
      </c>
      <c r="B595">
        <f>'tax it (c6)'!M14</f>
      </c>
    </row>
    <row r="596">
      <c r="A596" t="s">
        <v>3694</v>
      </c>
      <c r="B596">
        <f>'tax it (c6)'!M29</f>
      </c>
    </row>
    <row r="597">
      <c r="A597" t="s">
        <v>3695</v>
      </c>
      <c r="B597">
        <f>'tax it (c6)'!M32</f>
      </c>
    </row>
    <row r="598">
      <c r="A598" t="s">
        <v>3696</v>
      </c>
      <c r="B598">
        <f>'tax it (c6)'!M35</f>
      </c>
    </row>
    <row r="599">
      <c r="A599" t="s">
        <v>3162</v>
      </c>
      <c r="B599">
        <f>'tax it (c6)'!M38</f>
      </c>
    </row>
    <row r="600">
      <c r="A600" t="s">
        <v>2322</v>
      </c>
      <c r="B600">
        <f>'tax it (c6)'!M41</f>
      </c>
    </row>
    <row r="601">
      <c r="A601" t="s">
        <v>556</v>
      </c>
      <c r="B601">
        <f>'tax it (c6)'!M45</f>
      </c>
    </row>
    <row r="602">
      <c r="A602" t="s">
        <v>6952</v>
      </c>
      <c r="B602">
        <f>'tax it (c6)'!M52</f>
      </c>
    </row>
    <row r="603">
      <c r="A603" t="s">
        <v>6951</v>
      </c>
      <c r="B603">
        <f>'tax it (c6)'!M57</f>
      </c>
    </row>
    <row r="604">
      <c r="A604" t="s">
        <v>6954</v>
      </c>
      <c r="B604">
        <f>'tax it (c6)'!M60</f>
      </c>
    </row>
    <row r="605">
      <c r="A605" t="s">
        <v>557</v>
      </c>
      <c r="B605">
        <f>'tax it (c6)'!M64</f>
      </c>
    </row>
    <row r="606">
      <c r="A606" t="s">
        <v>558</v>
      </c>
      <c r="B606">
        <f>'tax it (c6)'!M68</f>
      </c>
    </row>
    <row r="607">
      <c r="A607" t="s">
        <v>1090</v>
      </c>
      <c r="B607">
        <f>'tax it (c6)'!H17</f>
      </c>
    </row>
    <row r="608">
      <c r="A608" t="s">
        <v>559</v>
      </c>
      <c r="B608">
        <f>'tax it (c6)'!M85</f>
      </c>
    </row>
    <row r="609">
      <c r="A609" t="s">
        <v>6962</v>
      </c>
      <c r="B609">
        <f>'tax it (c6)'!M87</f>
      </c>
    </row>
    <row r="610">
      <c r="A610" t="s">
        <v>6963</v>
      </c>
      <c r="B610">
        <f>'tax it (c6)'!M89</f>
      </c>
    </row>
    <row r="611">
      <c r="A611" t="s">
        <v>560</v>
      </c>
      <c r="B611">
        <f>'tax it (c6)'!M92</f>
      </c>
    </row>
    <row r="612">
      <c r="A612" t="s">
        <v>561</v>
      </c>
      <c r="B612">
        <f>'tax it (c6)'!M96</f>
      </c>
    </row>
    <row r="613">
      <c r="A613" t="s">
        <v>562</v>
      </c>
      <c r="B613">
        <f>'tax it (c6)'!R14</f>
      </c>
    </row>
    <row r="614">
      <c r="A614" t="s">
        <v>563</v>
      </c>
      <c r="B614">
        <f>'tax it (c6)'!R41</f>
      </c>
    </row>
    <row r="615">
      <c r="A615" t="s">
        <v>1403</v>
      </c>
      <c r="B615">
        <f>'tax it (c6)'!R45</f>
      </c>
    </row>
    <row r="616">
      <c r="A616" t="s">
        <v>1404</v>
      </c>
      <c r="B616">
        <f>'tax it (c6)'!R57</f>
      </c>
    </row>
    <row r="617">
      <c r="A617" t="s">
        <v>1405</v>
      </c>
      <c r="B617">
        <f>'tax it (c6)'!R60</f>
      </c>
    </row>
    <row r="618">
      <c r="A618" t="s">
        <v>1406</v>
      </c>
      <c r="B618">
        <f>'tax it (c6)'!R64</f>
      </c>
    </row>
    <row r="619">
      <c r="A619" t="s">
        <v>2287</v>
      </c>
      <c r="B619">
        <f>'tax it (c6)'!R68</f>
      </c>
    </row>
    <row r="620">
      <c r="A620" t="s">
        <v>1091</v>
      </c>
      <c r="B620">
        <f>'tax it (c6)'!H20</f>
      </c>
    </row>
    <row r="621">
      <c r="A621" t="s">
        <v>2288</v>
      </c>
      <c r="B621">
        <f>'tax it (c6)'!R85</f>
      </c>
    </row>
    <row r="622">
      <c r="A622" t="s">
        <v>2289</v>
      </c>
      <c r="B622">
        <f>'tax it (c6)'!R87</f>
      </c>
    </row>
    <row r="623">
      <c r="A623" t="s">
        <v>2290</v>
      </c>
      <c r="B623">
        <f>'tax it (c6)'!R89</f>
      </c>
    </row>
    <row r="624">
      <c r="A624" t="s">
        <v>2291</v>
      </c>
      <c r="B624">
        <f>'tax it (c6)'!R92</f>
      </c>
    </row>
    <row r="625">
      <c r="A625" t="s">
        <v>2292</v>
      </c>
      <c r="B625">
        <f>'tax it (c6)'!R96</f>
      </c>
    </row>
    <row r="626">
      <c r="A626" t="s">
        <v>2293</v>
      </c>
      <c r="B626">
        <f>'tax it (c6)'!W14</f>
      </c>
    </row>
    <row r="627">
      <c r="A627" t="s">
        <v>2294</v>
      </c>
      <c r="B627">
        <f>'tax it (c6)'!W17</f>
      </c>
    </row>
    <row r="628">
      <c r="A628" t="s">
        <v>4</v>
      </c>
      <c r="B628">
        <f>'tax it (c6)'!W20</f>
      </c>
    </row>
    <row r="629">
      <c r="A629" t="s">
        <v>5</v>
      </c>
      <c r="B629">
        <f>'tax it (c6)'!W23</f>
      </c>
    </row>
    <row r="630">
      <c r="A630" t="s">
        <v>633</v>
      </c>
      <c r="B630">
        <f>'tax it (c6)'!W45</f>
      </c>
    </row>
    <row r="631">
      <c r="A631" t="s">
        <v>3059</v>
      </c>
      <c r="B631">
        <f>'tax it (c6)'!H23</f>
      </c>
    </row>
    <row r="632">
      <c r="A632" t="s">
        <v>1431</v>
      </c>
      <c r="B632">
        <f>'tax it (c6)'!W64</f>
      </c>
    </row>
    <row r="633">
      <c r="A633" t="s">
        <v>1432</v>
      </c>
      <c r="B633">
        <f>'tax it (c6)'!W68</f>
      </c>
    </row>
    <row r="634">
      <c r="A634" t="s">
        <v>6755</v>
      </c>
      <c r="B634">
        <f>'tax it (c6)'!W72</f>
      </c>
    </row>
    <row r="635">
      <c r="A635" t="s">
        <v>6756</v>
      </c>
      <c r="B635">
        <f>'tax it (c6)'!W75</f>
      </c>
    </row>
    <row r="636">
      <c r="A636" t="s">
        <v>6955</v>
      </c>
      <c r="B636">
        <f>'tax it (c6)'!W82</f>
      </c>
    </row>
    <row r="637">
      <c r="A637" t="s">
        <v>1433</v>
      </c>
      <c r="B637">
        <f>'tax it (c6)'!W85</f>
      </c>
    </row>
    <row r="638">
      <c r="A638" t="s">
        <v>5064</v>
      </c>
      <c r="B638">
        <f>'tax it (c6)'!W92</f>
      </c>
    </row>
    <row r="639">
      <c r="A639" t="s">
        <v>5067</v>
      </c>
      <c r="B639">
        <f>'tax it (c6)'!W96</f>
      </c>
    </row>
    <row r="640">
      <c r="A640" t="s">
        <v>5068</v>
      </c>
      <c r="B640">
        <f>'tax it (c6)'!AB14</f>
      </c>
    </row>
    <row r="641">
      <c r="A641" t="s">
        <v>1434</v>
      </c>
      <c r="B641">
        <f>'tax it (c6)'!AB29</f>
      </c>
    </row>
    <row r="642">
      <c r="A642" t="s">
        <v>5151</v>
      </c>
      <c r="B642">
        <f>'tax it (c6)'!AB32</f>
      </c>
    </row>
    <row r="643">
      <c r="A643" t="s">
        <v>5152</v>
      </c>
      <c r="B643">
        <f>'tax it (c6)'!AB35</f>
      </c>
    </row>
    <row r="644">
      <c r="A644" t="s">
        <v>6339</v>
      </c>
      <c r="B644">
        <f>'tax it (c6)'!AB38</f>
      </c>
    </row>
    <row r="645">
      <c r="A645" t="s">
        <v>3652</v>
      </c>
      <c r="B645">
        <f>'tax it (c6)'!H26</f>
      </c>
    </row>
    <row r="646">
      <c r="A646" t="s">
        <v>6340</v>
      </c>
      <c r="B646">
        <f>'tax it (c6)'!AB41</f>
      </c>
    </row>
    <row r="647">
      <c r="A647" t="s">
        <v>6341</v>
      </c>
      <c r="B647">
        <f>'tax it (c6)'!AB45</f>
      </c>
    </row>
    <row r="648">
      <c r="A648" t="s">
        <v>6956</v>
      </c>
      <c r="B648">
        <f>'tax it (c6)'!AB52</f>
      </c>
    </row>
    <row r="649">
      <c r="A649" t="s">
        <v>6957</v>
      </c>
      <c r="B649">
        <f>'tax it (c6)'!AB57</f>
      </c>
    </row>
    <row r="650">
      <c r="A650" t="s">
        <v>6958</v>
      </c>
      <c r="B650">
        <f>'tax it (c6)'!AB60</f>
      </c>
    </row>
    <row r="651">
      <c r="A651" t="s">
        <v>6394</v>
      </c>
      <c r="B651">
        <f>'tax it (c6)'!AB64</f>
      </c>
    </row>
    <row r="652">
      <c r="A652" t="s">
        <v>6395</v>
      </c>
      <c r="B652">
        <f>'tax it (c6)'!AB68</f>
      </c>
    </row>
    <row r="653">
      <c r="A653" t="s">
        <v>6397</v>
      </c>
      <c r="B653">
        <f>'tax it (c6)'!AB85</f>
      </c>
    </row>
    <row r="654">
      <c r="A654" t="s">
        <v>6964</v>
      </c>
      <c r="B654">
        <f>'tax it (c6)'!AB87</f>
      </c>
    </row>
    <row r="655">
      <c r="A655" t="s">
        <v>6965</v>
      </c>
      <c r="B655">
        <f>'tax it (c6)'!AB89</f>
      </c>
    </row>
    <row r="656">
      <c r="A656" t="s">
        <v>6398</v>
      </c>
      <c r="B656">
        <f>'tax it (c6)'!AB92</f>
      </c>
    </row>
    <row r="657">
      <c r="A657" t="s">
        <v>6399</v>
      </c>
      <c r="B657">
        <f>'tax it (c6)'!AB96</f>
      </c>
    </row>
    <row r="658">
      <c r="A658" t="s">
        <v>3653</v>
      </c>
      <c r="B658">
        <f>'tax it (c6)'!H64</f>
      </c>
    </row>
    <row r="659">
      <c r="A659" t="s">
        <v>3654</v>
      </c>
      <c r="B659">
        <f>'tax it (c6)'!H68</f>
      </c>
    </row>
    <row r="660">
      <c r="A660" t="s">
        <v>6753</v>
      </c>
      <c r="B660">
        <f>'tax it (c6)'!H72</f>
      </c>
    </row>
    <row r="661">
      <c r="A661" t="s">
        <v>6754</v>
      </c>
      <c r="B661">
        <f>'tax it (c6)'!H75</f>
      </c>
    </row>
    <row r="662">
      <c r="A662" t="s">
        <v>6949</v>
      </c>
      <c r="B662">
        <f>'tax it (c6)'!H82</f>
      </c>
    </row>
    <row r="663">
      <c r="A663" t="s">
        <v>3060</v>
      </c>
      <c r="B663">
        <f>'tax it (c6)'!H85</f>
      </c>
    </row>
    <row r="664">
      <c r="A664" t="s">
        <v>2321</v>
      </c>
      <c r="B664">
        <f>'tax it (c6)'!H92</f>
      </c>
    </row>
    <row r="665">
      <c r="A665" t="s">
        <v>1092</v>
      </c>
      <c r="B665">
        <f>'CDR (c7)'!F5</f>
      </c>
    </row>
    <row r="666">
      <c r="A666" t="s">
        <v>1614</v>
      </c>
      <c r="B666">
        <f>'CDR (c7)'!F46</f>
      </c>
    </row>
    <row r="667">
      <c r="A667" t="s">
        <v>1011</v>
      </c>
      <c r="B667">
        <f>'CDR (c7)'!K46</f>
      </c>
    </row>
    <row r="668">
      <c r="A668" t="s">
        <v>6346</v>
      </c>
      <c r="B668">
        <f>'CDR (c7)'!F51</f>
      </c>
    </row>
    <row r="669">
      <c r="A669" t="s">
        <v>6347</v>
      </c>
      <c r="B669">
        <f>'CDR (c7)'!F61</f>
      </c>
    </row>
    <row r="670">
      <c r="A670" t="s">
        <v>6348</v>
      </c>
      <c r="B670">
        <f>'CDR (c7)'!F64</f>
      </c>
    </row>
    <row r="671">
      <c r="A671" t="s">
        <v>6349</v>
      </c>
      <c r="B671">
        <f>'CDR (c7)'!K64</f>
      </c>
    </row>
    <row r="672">
      <c r="A672" t="s">
        <v>6350</v>
      </c>
      <c r="B672">
        <f>'CDR (c7)'!K68</f>
      </c>
    </row>
    <row r="673">
      <c r="A673" t="s">
        <v>1610</v>
      </c>
      <c r="B673">
        <f>'CDR (c7)'!F9</f>
      </c>
    </row>
    <row r="674">
      <c r="A674" t="s">
        <v>1093</v>
      </c>
      <c r="B674">
        <f>'CDR (c7)'!F13</f>
      </c>
    </row>
    <row r="675">
      <c r="A675" t="s">
        <v>1611</v>
      </c>
      <c r="B675">
        <f>'CDR (c7)'!K13</f>
      </c>
    </row>
    <row r="676">
      <c r="A676" t="s">
        <v>1094</v>
      </c>
      <c r="B676">
        <f>'CDR (c7)'!F19</f>
      </c>
    </row>
    <row r="677">
      <c r="A677" t="s">
        <v>1612</v>
      </c>
      <c r="B677">
        <f>'CDR (c7)'!F26</f>
      </c>
    </row>
    <row r="678">
      <c r="A678" t="s">
        <v>1095</v>
      </c>
      <c r="B678">
        <f>'CDR (c7)'!F29</f>
      </c>
    </row>
    <row r="679">
      <c r="A679" t="s">
        <v>1613</v>
      </c>
      <c r="B679">
        <f>'CDR (c7)'!K29</f>
      </c>
    </row>
    <row r="680">
      <c r="A680" t="s">
        <v>1527</v>
      </c>
      <c r="B680">
        <f>'CDR (c7)'!F43</f>
      </c>
    </row>
    <row r="681">
      <c r="A681" t="s">
        <v>3520</v>
      </c>
      <c r="B681">
        <f>'tax it (c8)'!D7</f>
      </c>
    </row>
    <row r="682">
      <c r="A682" t="s">
        <v>2922</v>
      </c>
      <c r="B682">
        <f>'tax it (c8)'!H31</f>
      </c>
    </row>
    <row r="683">
      <c r="A683" t="s">
        <v>3513</v>
      </c>
      <c r="B683">
        <f>'tax it (c8)'!D34</f>
      </c>
    </row>
    <row r="684">
      <c r="A684" t="s">
        <v>3514</v>
      </c>
      <c r="B684">
        <f>'tax it (c8)'!H34</f>
      </c>
    </row>
    <row r="685">
      <c r="A685" t="s">
        <v>3515</v>
      </c>
      <c r="B685">
        <f>'tax it (c8)'!D37</f>
      </c>
    </row>
    <row r="686">
      <c r="A686" t="s">
        <v>3516</v>
      </c>
      <c r="B686">
        <f>'tax it (c8)'!H37</f>
      </c>
    </row>
    <row r="687">
      <c r="A687" t="s">
        <v>3517</v>
      </c>
      <c r="B687">
        <f>'tax it (c8)'!D40</f>
      </c>
    </row>
    <row r="688">
      <c r="A688" t="s">
        <v>3518</v>
      </c>
      <c r="B688">
        <f>'tax it (c8)'!H40</f>
      </c>
    </row>
    <row r="689">
      <c r="A689" t="s">
        <v>3519</v>
      </c>
      <c r="B689">
        <f>'tax it (c8)'!D45</f>
      </c>
    </row>
    <row r="690">
      <c r="A690" t="s">
        <v>2155</v>
      </c>
      <c r="B690">
        <f>'tax it (c8)'!H45</f>
      </c>
    </row>
    <row r="691">
      <c r="A691" t="s">
        <v>2156</v>
      </c>
      <c r="B691">
        <f>'tax it (c8)'!D48</f>
      </c>
    </row>
    <row r="692">
      <c r="A692" t="s">
        <v>6768</v>
      </c>
      <c r="B692">
        <f>'tax it (c8)'!H7</f>
      </c>
    </row>
    <row r="693">
      <c r="A693" t="s">
        <v>6897</v>
      </c>
      <c r="B693">
        <f>'tax it (c8)'!D11</f>
      </c>
    </row>
    <row r="694">
      <c r="A694" t="s">
        <v>2367</v>
      </c>
      <c r="B694">
        <f>'tax it (c8)'!H11</f>
      </c>
    </row>
    <row r="695">
      <c r="A695" t="s">
        <v>769</v>
      </c>
      <c r="B695">
        <f>'tax it (c8)'!H48</f>
      </c>
    </row>
    <row r="696">
      <c r="A696" t="s">
        <v>770</v>
      </c>
      <c r="B696">
        <f>'tax it (c8)'!D51</f>
      </c>
    </row>
    <row r="697">
      <c r="A697" t="s">
        <v>771</v>
      </c>
      <c r="B697">
        <f>'tax it (c8)'!H51</f>
      </c>
    </row>
    <row r="698">
      <c r="A698" t="s">
        <v>1651</v>
      </c>
      <c r="B698">
        <f>'tax it (c8)'!D54</f>
      </c>
    </row>
    <row r="699">
      <c r="A699" t="s">
        <v>4407</v>
      </c>
      <c r="B699">
        <f>'tax it (c8)'!H54</f>
      </c>
    </row>
    <row r="700">
      <c r="A700" t="s">
        <v>6053</v>
      </c>
      <c r="B700">
        <f>'tax it (c8)'!H62</f>
      </c>
    </row>
    <row r="701">
      <c r="A701" t="s">
        <v>6054</v>
      </c>
      <c r="B701">
        <f>'tax it (c8)'!H67</f>
      </c>
    </row>
    <row r="702">
      <c r="A702" t="s">
        <v>6769</v>
      </c>
      <c r="B702">
        <f>'tax it (c8)'!D15</f>
      </c>
    </row>
    <row r="703">
      <c r="A703" t="s">
        <v>6898</v>
      </c>
      <c r="B703">
        <f>'tax it (c8)'!H15</f>
      </c>
    </row>
    <row r="704">
      <c r="A704" t="s">
        <v>2368</v>
      </c>
      <c r="B704">
        <f>'tax it (c8)'!D19</f>
      </c>
    </row>
    <row r="705">
      <c r="A705" t="s">
        <v>3521</v>
      </c>
      <c r="B705">
        <f>'tax it (c8)'!H19</f>
      </c>
    </row>
    <row r="706">
      <c r="A706" t="s">
        <v>3522</v>
      </c>
      <c r="B706">
        <f>'tax it (c8)'!D23</f>
      </c>
    </row>
    <row r="707">
      <c r="A707" t="s">
        <v>3523</v>
      </c>
      <c r="B707">
        <f>'tax it (c8)'!H23</f>
      </c>
    </row>
    <row r="708">
      <c r="A708" t="s">
        <v>2919</v>
      </c>
      <c r="B708">
        <f>'tax it (c8)'!D28</f>
      </c>
    </row>
    <row r="709">
      <c r="A709" t="s">
        <v>2920</v>
      </c>
      <c r="B709">
        <f>'tax it (c8)'!H28</f>
      </c>
    </row>
    <row r="710">
      <c r="A710" t="s">
        <v>2921</v>
      </c>
      <c r="B710">
        <f>'tax it (c8)'!D31</f>
      </c>
    </row>
    <row r="711">
      <c r="A711" t="s">
        <v>2923</v>
      </c>
      <c r="B711">
        <f>'Tax adj (c9)'!M5</f>
      </c>
    </row>
    <row r="712">
      <c r="A712" t="s">
        <v>2932</v>
      </c>
      <c r="B712">
        <f>'Tax adj (c9)'!G23</f>
      </c>
    </row>
    <row r="713">
      <c r="A713" t="s">
        <v>2933</v>
      </c>
      <c r="B713">
        <f>'Tax adj (c9)'!J23</f>
      </c>
    </row>
    <row r="714">
      <c r="A714" t="s">
        <v>2934</v>
      </c>
      <c r="B714">
        <f>'Tax adj (c9)'!G26</f>
      </c>
    </row>
    <row r="715">
      <c r="A715" t="s">
        <v>2935</v>
      </c>
      <c r="B715">
        <f>'Tax adj (c9)'!J26</f>
      </c>
    </row>
    <row r="716">
      <c r="A716" t="s">
        <v>2936</v>
      </c>
      <c r="B716">
        <f>'Tax adj (c9)'!M30</f>
      </c>
    </row>
    <row r="717">
      <c r="A717" t="s">
        <v>2937</v>
      </c>
      <c r="B717">
        <f>'Tax adj (c9)'!J33</f>
      </c>
    </row>
    <row r="718">
      <c r="A718" t="s">
        <v>8461</v>
      </c>
      <c r="B718">
        <f>'Tax adj (c9)'!M33</f>
      </c>
    </row>
    <row r="719">
      <c r="A719" t="s">
        <v>2938</v>
      </c>
      <c r="B719">
        <f>'Tax adj (c9)'!J51</f>
      </c>
    </row>
    <row r="720">
      <c r="A720" t="s">
        <v>2939</v>
      </c>
      <c r="B720">
        <f>'Tax adj (c9)'!J54</f>
      </c>
    </row>
    <row r="721">
      <c r="A721" t="s">
        <v>2940</v>
      </c>
      <c r="B721">
        <f>'Tax adj (c9)'!J57</f>
      </c>
    </row>
    <row r="722">
      <c r="A722" t="s">
        <v>2941</v>
      </c>
      <c r="B722">
        <f>'Tax adj (c9)'!M57</f>
      </c>
    </row>
    <row r="723">
      <c r="A723" t="s">
        <v>2924</v>
      </c>
      <c r="B723">
        <f>'Tax adj (c9)'!J8</f>
      </c>
    </row>
    <row r="724">
      <c r="A724" t="s">
        <v>871</v>
      </c>
      <c r="B724">
        <f>'Tax adj (c9)'!J75</f>
      </c>
    </row>
    <row r="725">
      <c r="A725" t="s">
        <v>872</v>
      </c>
      <c r="B725">
        <f>'Tax adj (c9)'!M75</f>
      </c>
    </row>
    <row r="726">
      <c r="A726" t="s">
        <v>873</v>
      </c>
      <c r="B726">
        <f>'Tax adj (c9)'!J78</f>
      </c>
    </row>
    <row r="727">
      <c r="A727" t="s">
        <v>874</v>
      </c>
      <c r="B727">
        <f>'Tax adj (c9)'!M78</f>
      </c>
    </row>
    <row r="728">
      <c r="A728" t="s">
        <v>6848</v>
      </c>
      <c r="B728">
        <f>'Tax adj (c9)'!J81</f>
      </c>
    </row>
    <row r="729">
      <c r="A729" t="s">
        <v>6847</v>
      </c>
      <c r="B729">
        <f>'Tax adj (c9)'!M81</f>
      </c>
    </row>
    <row r="730">
      <c r="A730" t="s">
        <v>875</v>
      </c>
      <c r="B730">
        <f>'Tax adj (c9)'!J86</f>
      </c>
    </row>
    <row r="731">
      <c r="A731" t="s">
        <v>876</v>
      </c>
      <c r="B731">
        <f>'Tax adj (c9)'!M86</f>
      </c>
    </row>
    <row r="732">
      <c r="A732" t="s">
        <v>877</v>
      </c>
      <c r="B732">
        <f>'Tax adj (c9)'!J89</f>
      </c>
    </row>
    <row r="733">
      <c r="A733" t="s">
        <v>878</v>
      </c>
      <c r="B733">
        <f>'Tax adj (c9)'!J92</f>
      </c>
    </row>
    <row r="734">
      <c r="A734" t="s">
        <v>879</v>
      </c>
      <c r="B734">
        <f>'Tax adj (c9)'!M95</f>
      </c>
    </row>
    <row r="735">
      <c r="A735" t="s">
        <v>880</v>
      </c>
      <c r="B735">
        <f>'Tax adj (c9)'!M98</f>
      </c>
    </row>
    <row r="736">
      <c r="A736" t="s">
        <v>2925</v>
      </c>
      <c r="B736">
        <f>'Tax adj (c9)'!J11</f>
      </c>
    </row>
    <row r="737">
      <c r="A737" t="s">
        <v>881</v>
      </c>
      <c r="B737">
        <f>'Tax adj (c9)'!M101</f>
      </c>
    </row>
    <row r="738">
      <c r="A738" t="s">
        <v>3746</v>
      </c>
      <c r="B738">
        <f>'Tax adj (c9)'!M104</f>
      </c>
    </row>
    <row r="739">
      <c r="A739" t="s">
        <v>8771</v>
      </c>
      <c r="B739">
        <f>'Tax adj (c9)'!M111</f>
      </c>
    </row>
    <row r="740">
      <c r="A740" t="s">
        <v>8772</v>
      </c>
      <c r="B740">
        <f>'Tax adj (c9)'!M114</f>
      </c>
    </row>
    <row r="741">
      <c r="A741" t="s">
        <v>1712</v>
      </c>
      <c r="B741">
        <f>'Tax adj (c9)'!M117</f>
      </c>
    </row>
    <row r="742">
      <c r="A742" t="s">
        <v>1713</v>
      </c>
      <c r="B742">
        <f>'Tax adj (c9)'!D125</f>
      </c>
    </row>
    <row r="743">
      <c r="A743" t="s">
        <v>3000</v>
      </c>
      <c r="B743">
        <f>'Tax adj (c9)'!G125</f>
      </c>
    </row>
    <row r="744">
      <c r="A744" t="s">
        <v>3328</v>
      </c>
      <c r="B744">
        <f>'Tax adj (c9)'!G128</f>
      </c>
    </row>
    <row r="745">
      <c r="A745" t="s">
        <v>825</v>
      </c>
      <c r="B745">
        <f>'Tax adj (c9)'!G131</f>
      </c>
    </row>
    <row r="746">
      <c r="A746" t="s">
        <v>3081</v>
      </c>
      <c r="B746">
        <f>'Tax adj (c9)'!G134</f>
      </c>
    </row>
    <row r="747">
      <c r="A747" t="s">
        <v>3082</v>
      </c>
      <c r="B747">
        <f>'Tax adj (c9)'!G137</f>
      </c>
    </row>
    <row r="748">
      <c r="A748" t="s">
        <v>1495</v>
      </c>
      <c r="B748">
        <f>'Tax adj (c9)'!G140</f>
      </c>
    </row>
    <row r="749">
      <c r="A749" t="s">
        <v>2926</v>
      </c>
      <c r="B749">
        <f>'Tax adj (c9)'!G14</f>
      </c>
    </row>
    <row r="750">
      <c r="A750" t="s">
        <v>5059</v>
      </c>
      <c r="B750">
        <f>'Tax adj (c9)'!M140</f>
      </c>
    </row>
    <row r="751">
      <c r="A751" t="s">
        <v>5314</v>
      </c>
      <c r="B751">
        <f>'Tax adj (c9)'!G144</f>
      </c>
    </row>
    <row r="752">
      <c r="A752" t="s">
        <v>5868</v>
      </c>
      <c r="B752">
        <f>'Tax adj (c9)'!M144</f>
      </c>
    </row>
    <row r="753">
      <c r="A753" t="s">
        <v>5899</v>
      </c>
      <c r="B753">
        <f>'Tax adj (c9)'!M147</f>
      </c>
    </row>
    <row r="754">
      <c r="A754" t="s">
        <v>7958</v>
      </c>
      <c r="B754">
        <f>NA()</f>
      </c>
    </row>
    <row r="755">
      <c r="A755" t="s">
        <v>2927</v>
      </c>
      <c r="B755">
        <f>'Tax adj (c9)'!J14</f>
      </c>
    </row>
    <row r="756">
      <c r="A756" t="s">
        <v>2928</v>
      </c>
      <c r="B756">
        <f>'Tax adj (c9)'!G17</f>
      </c>
    </row>
    <row r="757">
      <c r="A757" t="s">
        <v>2929</v>
      </c>
      <c r="B757">
        <f>'Tax adj (c9)'!J17</f>
      </c>
    </row>
    <row r="758">
      <c r="A758" t="s">
        <v>2930</v>
      </c>
      <c r="B758">
        <f>'Tax adj (c9)'!G20</f>
      </c>
    </row>
    <row r="759">
      <c r="A759" t="s">
        <v>2931</v>
      </c>
      <c r="B759">
        <f>'Tax adj (c9)'!J20</f>
      </c>
    </row>
    <row r="760">
      <c r="A760" t="s">
        <v>3813</v>
      </c>
      <c r="B760">
        <f>'Div Cr (c10)'!G6</f>
      </c>
    </row>
    <row r="761">
      <c r="A761" t="s">
        <v>3814</v>
      </c>
      <c r="B761">
        <f>'Div Cr (c10)'!G9</f>
      </c>
    </row>
    <row r="762">
      <c r="A762" t="s">
        <v>3815</v>
      </c>
      <c r="B762">
        <f>'Div Cr (c10)'!G12</f>
      </c>
    </row>
    <row r="763">
      <c r="A763" t="s">
        <v>3817</v>
      </c>
      <c r="B763">
        <f>'Div Cr (c10)'!J12</f>
      </c>
    </row>
    <row r="764">
      <c r="A764" t="s">
        <v>3818</v>
      </c>
      <c r="B764">
        <f>'Div Cr (c10)'!J21</f>
      </c>
    </row>
    <row r="765">
      <c r="A765" t="s">
        <v>3819</v>
      </c>
      <c r="B765">
        <f>'Tax paid (c11)'!J5</f>
      </c>
    </row>
    <row r="766">
      <c r="A766" t="s">
        <v>3939</v>
      </c>
      <c r="B766">
        <f>'Tax paid (c11)'!J41</f>
      </c>
    </row>
    <row r="767">
      <c r="A767" t="s">
        <v>3940</v>
      </c>
      <c r="B767">
        <f>'Tax paid (c11)'!J44</f>
      </c>
    </row>
    <row r="768">
      <c r="A768" t="s">
        <v>3941</v>
      </c>
      <c r="B768">
        <f>'Tax paid (c11)'!J47</f>
      </c>
    </row>
    <row r="769">
      <c r="A769" t="s">
        <v>3942</v>
      </c>
      <c r="B769">
        <f>'Tax paid (c11)'!J50</f>
      </c>
    </row>
    <row r="770">
      <c r="A770" t="s">
        <v>3943</v>
      </c>
      <c r="B770">
        <f>'Tax paid (c11)'!J53</f>
      </c>
    </row>
    <row r="771">
      <c r="A771" t="s">
        <v>3944</v>
      </c>
      <c r="B771">
        <f>'Tax paid (c11)'!J56</f>
      </c>
    </row>
    <row r="772">
      <c r="A772" t="s">
        <v>3945</v>
      </c>
      <c r="B772">
        <f>'Tax paid (c11)'!G59</f>
      </c>
    </row>
    <row r="773">
      <c r="A773" t="s">
        <v>3946</v>
      </c>
      <c r="B773">
        <f>'Tax paid (c11)'!G60</f>
      </c>
    </row>
    <row r="774">
      <c r="A774" t="s">
        <v>2861</v>
      </c>
      <c r="B774">
        <f>'Tax paid (c11)'!G61</f>
      </c>
    </row>
    <row r="775">
      <c r="A775" t="s">
        <v>859</v>
      </c>
      <c r="B775">
        <f>'Tax paid (c11)'!G62</f>
      </c>
    </row>
    <row r="776">
      <c r="A776" t="s">
        <v>3820</v>
      </c>
      <c r="B776">
        <f>'Tax paid (c11)'!J8</f>
      </c>
    </row>
    <row r="777">
      <c r="A777" t="s">
        <v>860</v>
      </c>
      <c r="B777">
        <f>'Tax paid (c11)'!G63</f>
      </c>
    </row>
    <row r="778">
      <c r="A778" t="s">
        <v>861</v>
      </c>
      <c r="B778">
        <f>'Tax paid (c11)'!G64</f>
      </c>
    </row>
    <row r="779">
      <c r="A779" t="s">
        <v>862</v>
      </c>
      <c r="B779">
        <f>'Tax paid (c11)'!G65</f>
      </c>
    </row>
    <row r="780">
      <c r="A780" t="s">
        <v>863</v>
      </c>
      <c r="B780">
        <f>'Tax paid (c11)'!G66</f>
      </c>
    </row>
    <row r="781">
      <c r="A781" t="s">
        <v>1838</v>
      </c>
      <c r="B781">
        <f>'Tax paid (c11)'!G67</f>
      </c>
    </row>
    <row r="782">
      <c r="A782" t="s">
        <v>1407</v>
      </c>
      <c r="B782">
        <f>'Tax paid (c11)'!J70</f>
      </c>
    </row>
    <row r="783">
      <c r="A783" t="s">
        <v>1466</v>
      </c>
      <c r="B783">
        <f>'Tax paid (c11)'!J73</f>
      </c>
    </row>
    <row r="784">
      <c r="A784" t="s">
        <v>826</v>
      </c>
      <c r="B784">
        <f>'Tax paid (c11)'!J76</f>
      </c>
    </row>
    <row r="785">
      <c r="A785" t="s">
        <v>2472</v>
      </c>
      <c r="B785">
        <f>'Tax paid (c11)'!J79</f>
      </c>
    </row>
    <row r="786">
      <c r="A786" t="s">
        <v>2064</v>
      </c>
      <c r="B786">
        <f>'Tax paid (c11)'!J82</f>
      </c>
    </row>
    <row r="787">
      <c r="A787" t="s">
        <v>3821</v>
      </c>
      <c r="B787">
        <f>'Tax paid (c11)'!J11</f>
      </c>
    </row>
    <row r="788">
      <c r="A788" t="s">
        <v>6142</v>
      </c>
      <c r="B788">
        <f>'Tax paid (c11)'!J85</f>
      </c>
    </row>
    <row r="789">
      <c r="A789" t="s">
        <v>6143</v>
      </c>
      <c r="B789">
        <f>'Tax paid (c11)'!J89</f>
      </c>
    </row>
    <row r="790">
      <c r="A790" t="s">
        <v>3822</v>
      </c>
      <c r="B790">
        <f>'Tax paid (c11)'!J14</f>
      </c>
    </row>
    <row r="791">
      <c r="A791" t="s">
        <v>1734</v>
      </c>
      <c r="B791">
        <f>'Tax paid (c11)'!J18</f>
      </c>
    </row>
    <row r="792">
      <c r="A792" t="s">
        <v>1417</v>
      </c>
      <c r="B792">
        <f>'Tax paid (c11)'!J21</f>
      </c>
    </row>
    <row r="793">
      <c r="A793" t="s">
        <v>2737</v>
      </c>
      <c r="B793">
        <f>'Tax paid (c11)'!J32</f>
      </c>
    </row>
    <row r="794">
      <c r="A794" t="s">
        <v>932</v>
      </c>
      <c r="B794">
        <f>'Tax paid (c11)'!J35</f>
      </c>
    </row>
    <row r="795">
      <c r="A795" t="s">
        <v>3938</v>
      </c>
      <c r="B795">
        <f>'Tax paid (c11)'!J38</f>
      </c>
    </row>
    <row r="796">
      <c r="A796" t="s">
        <v>819</v>
      </c>
      <c r="B796">
        <f>'Tax due (c12)'!J5</f>
      </c>
    </row>
    <row r="797">
      <c r="A797" t="s">
        <v>1511</v>
      </c>
      <c r="B797">
        <f>'Tax due (c12)'!G42</f>
      </c>
    </row>
    <row r="798">
      <c r="A798" t="s">
        <v>864</v>
      </c>
      <c r="B798">
        <f>'Tax due (c12)'!G45</f>
      </c>
    </row>
    <row r="799">
      <c r="A799" t="s">
        <v>865</v>
      </c>
      <c r="B799">
        <f>'Tax due (c12)'!J48</f>
      </c>
    </row>
    <row r="800">
      <c r="A800" t="s">
        <v>866</v>
      </c>
      <c r="B800">
        <f>'Tax due (c12)'!G51</f>
      </c>
    </row>
    <row r="801">
      <c r="A801" t="s">
        <v>867</v>
      </c>
      <c r="B801">
        <f>'Tax due (c12)'!G54</f>
      </c>
    </row>
    <row r="802">
      <c r="A802" t="s">
        <v>868</v>
      </c>
      <c r="B802">
        <f>'Tax due (c12)'!J57</f>
      </c>
    </row>
    <row r="803">
      <c r="A803" t="s">
        <v>869</v>
      </c>
      <c r="B803">
        <f>'Tax due (c12)'!J60</f>
      </c>
    </row>
    <row r="804">
      <c r="A804" t="s">
        <v>870</v>
      </c>
      <c r="B804">
        <f>'Tax due (c12)'!G64</f>
      </c>
    </row>
    <row r="805">
      <c r="A805" t="s">
        <v>3910</v>
      </c>
      <c r="B805">
        <f>'Tax due (c12)'!J67</f>
      </c>
    </row>
    <row r="806">
      <c r="A806" t="s">
        <v>815</v>
      </c>
      <c r="B806">
        <f>'Tax due (c12)'!G73</f>
      </c>
    </row>
    <row r="807">
      <c r="A807" t="s">
        <v>3068</v>
      </c>
      <c r="B807">
        <f>'Tax due (c12)'!G8</f>
      </c>
    </row>
    <row r="808">
      <c r="A808" t="s">
        <v>4295</v>
      </c>
      <c r="B808">
        <f>'Tax due (c12)'!G76</f>
      </c>
    </row>
    <row r="809">
      <c r="A809" t="s">
        <v>4296</v>
      </c>
      <c r="B809">
        <f>'Tax due (c12)'!J79</f>
      </c>
    </row>
    <row r="810">
      <c r="A810" t="s">
        <v>4385</v>
      </c>
      <c r="B810">
        <f>'Tax due (c12)'!J88</f>
      </c>
    </row>
    <row r="811">
      <c r="A811" t="s">
        <v>4386</v>
      </c>
      <c r="B811">
        <f>'Tax due (c12)'!J92</f>
      </c>
    </row>
    <row r="812">
      <c r="A812" t="s">
        <v>1558</v>
      </c>
      <c r="B812">
        <f>'Tax due (c12)'!G16</f>
      </c>
    </row>
    <row r="813">
      <c r="A813" t="s">
        <v>1559</v>
      </c>
      <c r="B813">
        <f>'Tax due (c12)'!J21</f>
      </c>
    </row>
    <row r="814">
      <c r="A814" t="s">
        <v>1560</v>
      </c>
      <c r="B814">
        <f>'Tax due (c12)'!J24</f>
      </c>
    </row>
    <row r="815">
      <c r="A815" t="s">
        <v>1561</v>
      </c>
      <c r="B815">
        <f>'Tax due (c12)'!G27</f>
      </c>
    </row>
    <row r="816">
      <c r="A816" t="s">
        <v>2885</v>
      </c>
      <c r="B816">
        <f>'Tax due (c12)'!G30</f>
      </c>
    </row>
    <row r="817">
      <c r="A817" t="s">
        <v>8917</v>
      </c>
      <c r="B817">
        <f>'Tax due (c12)'!G33</f>
      </c>
    </row>
    <row r="818">
      <c r="A818" t="s">
        <v>2942</v>
      </c>
      <c r="B818">
        <f>'Tax due (c12)'!G36</f>
      </c>
    </row>
    <row r="819">
      <c r="A819" t="s">
        <v>1510</v>
      </c>
      <c r="B819">
        <f>'Tax due (c12)'!G39</f>
      </c>
    </row>
    <row r="820">
      <c r="A820" t="s">
        <v>2943</v>
      </c>
      <c r="B820">
        <f>'POAs (c13)'!I3</f>
      </c>
    </row>
    <row r="821">
      <c r="A821" t="s">
        <v>2952</v>
      </c>
      <c r="B821">
        <f>'POAs (c13)'!I39</f>
      </c>
    </row>
    <row r="822">
      <c r="A822" t="s">
        <v>2953</v>
      </c>
      <c r="B822">
        <f>'POAs (c13)'!I42</f>
      </c>
    </row>
    <row r="823">
      <c r="A823" t="s">
        <v>4016</v>
      </c>
      <c r="B823">
        <f>'POAs (c13)'!I48</f>
      </c>
    </row>
    <row r="824">
      <c r="A824" t="s">
        <v>4017</v>
      </c>
      <c r="B824">
        <f>'POAs (c13)'!I51</f>
      </c>
    </row>
    <row r="825">
      <c r="A825" t="s">
        <v>4018</v>
      </c>
      <c r="B825">
        <f>'POAs (c13)'!I58</f>
      </c>
    </row>
    <row r="826">
      <c r="A826" t="s">
        <v>2107</v>
      </c>
      <c r="B826">
        <f>'POAs (c13)'!I61</f>
      </c>
    </row>
    <row r="827">
      <c r="A827" t="s">
        <v>2108</v>
      </c>
      <c r="B827">
        <f>'POAs (c13)'!I71</f>
      </c>
    </row>
    <row r="828">
      <c r="A828" t="s">
        <v>4556</v>
      </c>
      <c r="B828">
        <f>'POAs (c13)'!I75</f>
      </c>
    </row>
    <row r="829">
      <c r="A829" t="s">
        <v>2944</v>
      </c>
      <c r="B829">
        <f>'POAs (c13)'!I6</f>
      </c>
    </row>
    <row r="830">
      <c r="A830" t="s">
        <v>2945</v>
      </c>
      <c r="B830">
        <f>'POAs (c13)'!I9</f>
      </c>
    </row>
    <row r="831">
      <c r="A831" t="s">
        <v>2946</v>
      </c>
      <c r="B831">
        <f>'POAs (c13)'!I12</f>
      </c>
    </row>
    <row r="832">
      <c r="A832" t="s">
        <v>2947</v>
      </c>
      <c r="B832">
        <f>'POAs (c13)'!I19</f>
      </c>
    </row>
    <row r="833">
      <c r="A833" t="s">
        <v>2948</v>
      </c>
      <c r="B833">
        <f>'POAs (c13)'!I24</f>
      </c>
    </row>
    <row r="834">
      <c r="A834" t="s">
        <v>2949</v>
      </c>
      <c r="B834">
        <f>'POAs (c13)'!I27</f>
      </c>
    </row>
    <row r="835">
      <c r="A835" t="s">
        <v>2950</v>
      </c>
      <c r="B835">
        <f>'POAs (c13)'!I32</f>
      </c>
    </row>
    <row r="836">
      <c r="A836" t="s">
        <v>2951</v>
      </c>
      <c r="B836">
        <f>'POAs (c13)'!I36</f>
      </c>
    </row>
    <row r="837">
      <c r="A837" t="s">
        <v>2954</v>
      </c>
      <c r="B837">
        <f>'allowances (c14c15)'!L5</f>
      </c>
    </row>
    <row r="838">
      <c r="A838" t="s">
        <v>2955</v>
      </c>
      <c r="B838">
        <f>'allowances (c14c15)'!L8</f>
      </c>
    </row>
    <row r="839">
      <c r="A839" t="s">
        <v>3799</v>
      </c>
      <c r="B839">
        <f>'allowances (c14c15)'!L11</f>
      </c>
    </row>
    <row r="840">
      <c r="A840" t="s">
        <v>3009</v>
      </c>
      <c r="B840">
        <f>'allowances (c14c15)'!L14</f>
      </c>
    </row>
    <row r="841">
      <c r="A841" t="s">
        <v>3010</v>
      </c>
      <c r="B841">
        <f>'allowances (c14c15)'!L17</f>
      </c>
    </row>
    <row r="842">
      <c r="A842" t="s">
        <v>2553</v>
      </c>
      <c r="B842">
        <f>'allowances (c14c15)'!L25</f>
      </c>
    </row>
    <row r="843">
      <c r="A843" t="s">
        <v>1789</v>
      </c>
      <c r="B843">
        <f>'allowances (c14c15)'!L42</f>
      </c>
    </row>
    <row r="844">
      <c r="A844" t="s">
        <v>3750</v>
      </c>
      <c r="B844">
        <f>'allowances (c14c15)'!L66</f>
      </c>
    </row>
    <row r="845">
      <c r="A845" t="s">
        <v>3751</v>
      </c>
      <c r="B845">
        <f>'allowances (c14c15)'!L73</f>
      </c>
    </row>
    <row r="846">
      <c r="A846" t="s">
        <v>3752</v>
      </c>
      <c r="B846">
        <f>'allowances (c14c15)'!I86</f>
      </c>
    </row>
    <row r="847">
      <c r="A847" t="s">
        <v>1098</v>
      </c>
      <c r="B847">
        <f>'allowances (c14c15)'!I89</f>
      </c>
    </row>
    <row r="848">
      <c r="A848" t="s">
        <v>1099</v>
      </c>
      <c r="B848">
        <f>'allowances (c14c15)'!L92</f>
      </c>
    </row>
    <row r="849">
      <c r="A849" t="s">
        <v>1100</v>
      </c>
      <c r="B849">
        <f>'allowances (c14c15)'!L95</f>
      </c>
    </row>
    <row r="850">
      <c r="A850" t="s">
        <v>1101</v>
      </c>
      <c r="B850">
        <f>'allowances (c14c15)'!I130</f>
      </c>
    </row>
    <row r="851">
      <c r="A851" t="s">
        <v>1426</v>
      </c>
      <c r="B851">
        <f>'allowances (c14c15)'!I138</f>
      </c>
    </row>
    <row r="852">
      <c r="A852" t="s">
        <v>1427</v>
      </c>
      <c r="B852">
        <f>'allowances (c14c15)'!I141</f>
      </c>
    </row>
    <row r="853">
      <c r="A853" t="s">
        <v>1428</v>
      </c>
      <c r="B853">
        <f>'allowances (c14c15)'!L144</f>
      </c>
    </row>
    <row r="854">
      <c r="A854" t="s">
        <v>3356</v>
      </c>
      <c r="B854">
        <f>'allowances (c14c15)'!I45</f>
      </c>
    </row>
    <row r="855">
      <c r="A855" t="s">
        <v>1429</v>
      </c>
      <c r="B855">
        <f>'allowances (c14c15)'!L147</f>
      </c>
    </row>
    <row r="856">
      <c r="A856" t="s">
        <v>1430</v>
      </c>
      <c r="B856">
        <f>'allowances (c14c15)'!L163</f>
      </c>
    </row>
    <row r="857">
      <c r="A857" t="s">
        <v>3357</v>
      </c>
      <c r="B857">
        <f>'allowances (c14c15)'!I48</f>
      </c>
    </row>
    <row r="858">
      <c r="A858" t="s">
        <v>3358</v>
      </c>
      <c r="B858">
        <f>'allowances (c14c15)'!I51</f>
      </c>
    </row>
    <row r="859">
      <c r="A859" t="s">
        <v>3359</v>
      </c>
      <c r="B859">
        <f>'allowances (c14c15)'!I54</f>
      </c>
    </row>
    <row r="860">
      <c r="A860" t="s">
        <v>3360</v>
      </c>
      <c r="B860">
        <f>'allowances (c14c15)'!F57</f>
      </c>
    </row>
    <row r="861">
      <c r="A861" t="s">
        <v>3361</v>
      </c>
      <c r="B861">
        <f>'allowances (c14c15)'!F60</f>
      </c>
    </row>
    <row r="862">
      <c r="A862" t="s">
        <v>1365</v>
      </c>
      <c r="B862">
        <f>'allowances (c14c15)'!I60</f>
      </c>
    </row>
    <row r="863">
      <c r="A863" t="s">
        <v>1366</v>
      </c>
      <c r="B863">
        <f>'allowances (c14c15)'!L63</f>
      </c>
    </row>
    <row r="864">
      <c r="A864" t="s">
        <v>2018</v>
      </c>
      <c r="B864">
        <f>'Class 4 NIC (c16)'!K50</f>
      </c>
    </row>
    <row r="865">
      <c r="A865" t="s">
        <v>3966</v>
      </c>
      <c r="B865">
        <f>'Class 4 NIC (c16)'!K79</f>
      </c>
    </row>
    <row r="866">
      <c r="A866" t="s">
        <v>3967</v>
      </c>
      <c r="B866">
        <f>'Class 4 NIC (c16)'!H82</f>
      </c>
    </row>
    <row r="867">
      <c r="A867" t="s">
        <v>3968</v>
      </c>
      <c r="B867">
        <f>'Class 4 NIC (c16)'!H85</f>
      </c>
    </row>
    <row r="868">
      <c r="A868" t="s">
        <v>3969</v>
      </c>
      <c r="B868">
        <f>'Class 4 NIC (c16)'!H88</f>
      </c>
    </row>
    <row r="869">
      <c r="A869" t="s">
        <v>3970</v>
      </c>
      <c r="B869">
        <f>'Class 4 NIC (c16)'!K90</f>
      </c>
    </row>
    <row r="870">
      <c r="A870" t="s">
        <v>3666</v>
      </c>
      <c r="B870">
        <f>'Class 4 NIC (c16)'!H94</f>
      </c>
    </row>
    <row r="871">
      <c r="A871" t="s">
        <v>3667</v>
      </c>
      <c r="B871">
        <f>'Class 4 NIC (c16)'!K94</f>
      </c>
    </row>
    <row r="872">
      <c r="A872" t="s">
        <v>3668</v>
      </c>
      <c r="B872">
        <f>'Class 4 NIC (c16)'!H97</f>
      </c>
    </row>
    <row r="873">
      <c r="A873" t="s">
        <v>3669</v>
      </c>
      <c r="B873">
        <f>'Class 4 NIC (c16)'!K97</f>
      </c>
    </row>
    <row r="874">
      <c r="A874" t="s">
        <v>3670</v>
      </c>
      <c r="B874">
        <f>'Class 4 NIC (c16)'!K100</f>
      </c>
    </row>
    <row r="875">
      <c r="A875" t="s">
        <v>2019</v>
      </c>
      <c r="B875">
        <f>'Class 4 NIC (c16)'!K53</f>
      </c>
    </row>
    <row r="876">
      <c r="A876" t="s">
        <v>634</v>
      </c>
      <c r="B876">
        <f>'Class 4 NIC (c16)'!K107</f>
      </c>
    </row>
    <row r="877">
      <c r="A877" t="s">
        <v>4254</v>
      </c>
      <c r="B877">
        <f>'Class 4 NIC (c16)'!K110</f>
      </c>
    </row>
    <row r="878">
      <c r="A878" t="s">
        <v>4255</v>
      </c>
      <c r="B878">
        <f>'Class 4 NIC (c16)'!K113</f>
      </c>
    </row>
    <row r="879">
      <c r="A879" t="s">
        <v>4256</v>
      </c>
      <c r="B879">
        <f>'Class 4 NIC (c16)'!K116</f>
      </c>
    </row>
    <row r="880">
      <c r="A880" t="s">
        <v>4257</v>
      </c>
      <c r="B880">
        <f>'Class 4 NIC (c16)'!K125</f>
      </c>
    </row>
    <row r="881">
      <c r="A881" t="s">
        <v>4258</v>
      </c>
      <c r="B881">
        <f>'Class 4 NIC (c16)'!K128</f>
      </c>
    </row>
    <row r="882">
      <c r="A882" t="s">
        <v>4259</v>
      </c>
      <c r="B882">
        <f>'Class 4 NIC (c16)'!K131</f>
      </c>
    </row>
    <row r="883">
      <c r="A883" t="s">
        <v>4260</v>
      </c>
      <c r="B883">
        <f>'Class 4 NIC (c16)'!K134</f>
      </c>
    </row>
    <row r="884">
      <c r="A884" t="s">
        <v>4261</v>
      </c>
      <c r="B884">
        <f>'Class 4 NIC (c16)'!K137</f>
      </c>
    </row>
    <row r="885">
      <c r="A885" t="s">
        <v>4266</v>
      </c>
      <c r="B885">
        <f>'Class 4 NIC (c16)'!K140</f>
      </c>
    </row>
    <row r="886">
      <c r="A886" t="s">
        <v>2020</v>
      </c>
      <c r="B886">
        <f>'Class 4 NIC (c16)'!K56</f>
      </c>
    </row>
    <row r="887">
      <c r="A887" t="s">
        <v>4267</v>
      </c>
      <c r="B887">
        <f>'Class 4 NIC (c16)'!K155</f>
      </c>
    </row>
    <row r="888">
      <c r="A888" t="s">
        <v>4268</v>
      </c>
      <c r="B888">
        <f>'Class 4 NIC (c16)'!K163</f>
      </c>
    </row>
    <row r="889">
      <c r="A889" t="s">
        <v>4269</v>
      </c>
      <c r="B889">
        <f>'Class 4 NIC (c16)'!K189</f>
      </c>
    </row>
    <row r="890">
      <c r="A890" t="s">
        <v>2021</v>
      </c>
      <c r="B890">
        <f>'Class 4 NIC (c16)'!K59</f>
      </c>
    </row>
    <row r="891">
      <c r="A891" t="s">
        <v>3961</v>
      </c>
      <c r="B891">
        <f>'Class 4 NIC (c16)'!K62</f>
      </c>
    </row>
    <row r="892">
      <c r="A892" t="s">
        <v>3962</v>
      </c>
      <c r="B892">
        <f>'Class 4 NIC (c16)'!N65</f>
      </c>
    </row>
    <row r="893">
      <c r="A893" t="s">
        <v>3963</v>
      </c>
      <c r="B893">
        <f>'Class 4 NIC (c16)'!K70</f>
      </c>
    </row>
    <row r="894">
      <c r="A894" t="s">
        <v>3964</v>
      </c>
      <c r="B894">
        <f>'Class 4 NIC (c16)'!K73</f>
      </c>
    </row>
    <row r="895">
      <c r="A895" t="s">
        <v>3965</v>
      </c>
      <c r="B895">
        <f>'Class 4 NIC (c16)'!K76</f>
      </c>
    </row>
    <row r="896">
      <c r="A896" t="s">
        <v>3671</v>
      </c>
      <c r="B896">
        <f>'TSR (c17)'!M37</f>
      </c>
    </row>
    <row r="897">
      <c r="A897" t="s">
        <v>3660</v>
      </c>
      <c r="B897">
        <f>'TSR (c17)'!F60</f>
      </c>
    </row>
    <row r="898">
      <c r="A898" t="s">
        <v>3661</v>
      </c>
      <c r="B898">
        <f>'TSR (c17)'!F63</f>
      </c>
    </row>
    <row r="899">
      <c r="A899" t="s">
        <v>3662</v>
      </c>
      <c r="B899">
        <f>'TSR (c17)'!M63</f>
      </c>
    </row>
    <row r="900">
      <c r="A900" t="s">
        <v>115</v>
      </c>
      <c r="B900">
        <f>'TSR (c17)'!M66</f>
      </c>
    </row>
    <row r="901">
      <c r="A901" t="s">
        <v>116</v>
      </c>
      <c r="B901">
        <f>'TSR (c17)'!F69</f>
      </c>
    </row>
    <row r="902">
      <c r="A902" t="s">
        <v>117</v>
      </c>
      <c r="B902">
        <f>'TSR (c17)'!F71</f>
      </c>
    </row>
    <row r="903">
      <c r="A903" t="s">
        <v>118</v>
      </c>
      <c r="B903">
        <f>'TSR (c17)'!M71</f>
      </c>
    </row>
    <row r="904">
      <c r="A904" t="s">
        <v>119</v>
      </c>
      <c r="B904">
        <f>'TSR (c17)'!Q71</f>
      </c>
    </row>
    <row r="905">
      <c r="A905" t="s">
        <v>120</v>
      </c>
      <c r="B905">
        <f>'TSR (c17)'!M74</f>
      </c>
    </row>
    <row r="906">
      <c r="A906" t="s">
        <v>3560</v>
      </c>
      <c r="B906">
        <f>'TSR (c17)'!Q74</f>
      </c>
    </row>
    <row r="907">
      <c r="A907" t="s">
        <v>3672</v>
      </c>
      <c r="B907">
        <f>'TSR (c17)'!F41</f>
      </c>
    </row>
    <row r="908">
      <c r="A908" t="s">
        <v>3561</v>
      </c>
      <c r="B908">
        <f>'TSR (c17)'!Q77</f>
      </c>
    </row>
    <row r="909">
      <c r="A909" t="s">
        <v>3562</v>
      </c>
      <c r="B909">
        <f>'TSR (c17)'!F101</f>
      </c>
    </row>
    <row r="910">
      <c r="A910" t="s">
        <v>3563</v>
      </c>
      <c r="B910">
        <f>'TSR (c17)'!Q101</f>
      </c>
    </row>
    <row r="911">
      <c r="A911" t="s">
        <v>6928</v>
      </c>
      <c r="B911">
        <f>'TSR (c17)'!F114</f>
      </c>
    </row>
    <row r="912">
      <c r="A912" t="s">
        <v>6929</v>
      </c>
      <c r="B912">
        <f>'TSR (c17)'!Q114</f>
      </c>
    </row>
    <row r="913">
      <c r="A913" t="s">
        <v>6930</v>
      </c>
      <c r="B913">
        <f>'TSR (c17)'!F117</f>
      </c>
    </row>
    <row r="914">
      <c r="A914" t="s">
        <v>6931</v>
      </c>
      <c r="B914">
        <f>'TSR (c17)'!M117</f>
      </c>
    </row>
    <row r="915">
      <c r="A915" t="s">
        <v>6932</v>
      </c>
      <c r="B915">
        <f>'TSR (c17)'!Q117</f>
      </c>
    </row>
    <row r="916">
      <c r="A916" t="s">
        <v>6933</v>
      </c>
      <c r="B916">
        <f>'TSR (c17)'!F120</f>
      </c>
    </row>
    <row r="917">
      <c r="A917" t="s">
        <v>6934</v>
      </c>
      <c r="B917">
        <f>'TSR (c17)'!M120</f>
      </c>
    </row>
    <row r="918">
      <c r="A918" t="s">
        <v>6935</v>
      </c>
      <c r="B918">
        <f>'TSR (c17)'!Q120</f>
      </c>
    </row>
    <row r="919">
      <c r="A919" t="s">
        <v>6936</v>
      </c>
      <c r="B919">
        <f>'TSR (c17)'!Q123</f>
      </c>
    </row>
    <row r="920">
      <c r="A920" t="s">
        <v>6937</v>
      </c>
      <c r="B920">
        <f>'TSR (c17)'!M126</f>
      </c>
    </row>
    <row r="921">
      <c r="A921" t="s">
        <v>6938</v>
      </c>
      <c r="B921">
        <f>'TSR (c17)'!Q126</f>
      </c>
    </row>
    <row r="922">
      <c r="A922" t="s">
        <v>3564</v>
      </c>
      <c r="B922">
        <f>'TSR (c17)'!F129</f>
      </c>
    </row>
    <row r="923">
      <c r="A923" t="s">
        <v>6723</v>
      </c>
      <c r="B923">
        <f>'TSR (c17)'!F132</f>
      </c>
    </row>
    <row r="924">
      <c r="A924" t="s">
        <v>6724</v>
      </c>
      <c r="B924">
        <f>'TSR (c17)'!Q132</f>
      </c>
    </row>
    <row r="925">
      <c r="A925" t="s">
        <v>7372</v>
      </c>
      <c r="B925">
        <f>'TSR (c17)'!F135</f>
      </c>
    </row>
    <row r="926">
      <c r="A926" t="s">
        <v>7373</v>
      </c>
      <c r="B926">
        <f>'TSR (c17)'!F138</f>
      </c>
    </row>
    <row r="927">
      <c r="A927" t="s">
        <v>3565</v>
      </c>
      <c r="B927">
        <f>'TSR (c17)'!F141</f>
      </c>
    </row>
    <row r="928">
      <c r="A928" t="s">
        <v>6725</v>
      </c>
      <c r="B928">
        <f>'TSR (c17)'!Q141</f>
      </c>
    </row>
    <row r="929">
      <c r="A929" t="s">
        <v>2109</v>
      </c>
      <c r="B929">
        <f>'TSR (c17)'!F144</f>
      </c>
    </row>
    <row r="930">
      <c r="A930" t="s">
        <v>6726</v>
      </c>
      <c r="B930">
        <f>'TSR (c17)'!F147</f>
      </c>
    </row>
    <row r="931">
      <c r="A931" t="s">
        <v>6727</v>
      </c>
      <c r="B931">
        <f>'TSR (c17)'!Q147</f>
      </c>
    </row>
    <row r="932">
      <c r="A932" t="s">
        <v>2110</v>
      </c>
      <c r="B932">
        <f>'TSR (c17)'!F150</f>
      </c>
    </row>
    <row r="933">
      <c r="A933" t="s">
        <v>2111</v>
      </c>
      <c r="B933">
        <f>'TSR (c17)'!F153</f>
      </c>
    </row>
    <row r="934">
      <c r="A934" t="s">
        <v>6737</v>
      </c>
      <c r="B934">
        <f>'TSR (c17)'!Q153</f>
      </c>
    </row>
    <row r="935">
      <c r="A935" t="s">
        <v>2112</v>
      </c>
      <c r="B935">
        <f>'TSR (c17)'!F156</f>
      </c>
    </row>
    <row r="936">
      <c r="A936" t="s">
        <v>6738</v>
      </c>
      <c r="B936">
        <f>'TSR (c17)'!Q156</f>
      </c>
    </row>
    <row r="937">
      <c r="A937" t="s">
        <v>3975</v>
      </c>
      <c r="B937">
        <f>'TSR (c17)'!Q159</f>
      </c>
    </row>
    <row r="938">
      <c r="A938" t="s">
        <v>986</v>
      </c>
      <c r="B938">
        <f>'TSR (c17)'!F44</f>
      </c>
    </row>
    <row r="939">
      <c r="A939" t="s">
        <v>3976</v>
      </c>
      <c r="B939">
        <f>'TSR (c17)'!Q162</f>
      </c>
    </row>
    <row r="940">
      <c r="A940" t="s">
        <v>3977</v>
      </c>
      <c r="B940">
        <f>'TSR (c17)'!Q165</f>
      </c>
    </row>
    <row r="941">
      <c r="A941" t="s">
        <v>3978</v>
      </c>
      <c r="B941">
        <f>'TSR (c17)'!F168</f>
      </c>
    </row>
    <row r="942">
      <c r="A942" t="s">
        <v>3979</v>
      </c>
      <c r="B942">
        <f>'TSR (c17)'!F171</f>
      </c>
    </row>
    <row r="943">
      <c r="A943" t="s">
        <v>3980</v>
      </c>
      <c r="B943">
        <f>'TSR (c17)'!F174</f>
      </c>
    </row>
    <row r="944">
      <c r="A944" t="s">
        <v>3981</v>
      </c>
      <c r="B944">
        <f>'TSR (c17)'!F177</f>
      </c>
    </row>
    <row r="945">
      <c r="A945" t="s">
        <v>3982</v>
      </c>
      <c r="B945">
        <f>'TSR (c17)'!F180</f>
      </c>
    </row>
    <row r="946">
      <c r="A946" t="s">
        <v>3983</v>
      </c>
      <c r="B946">
        <f>'TSR (c17)'!F183</f>
      </c>
    </row>
    <row r="947">
      <c r="A947" t="s">
        <v>3984</v>
      </c>
      <c r="B947">
        <f>'TSR (c17)'!F186</f>
      </c>
    </row>
    <row r="948">
      <c r="A948" t="s">
        <v>6728</v>
      </c>
      <c r="B948">
        <f>'TSR (c17)'!Q192</f>
      </c>
    </row>
    <row r="949">
      <c r="A949" t="s">
        <v>6729</v>
      </c>
      <c r="B949">
        <f>'TSR (c17)'!F195</f>
      </c>
    </row>
    <row r="950">
      <c r="A950" t="s">
        <v>6730</v>
      </c>
      <c r="B950">
        <f>'TSR (c17)'!F198</f>
      </c>
    </row>
    <row r="951">
      <c r="A951" t="s">
        <v>6731</v>
      </c>
      <c r="B951">
        <f>'TSR (c17)'!M198</f>
      </c>
    </row>
    <row r="952">
      <c r="A952" t="s">
        <v>6732</v>
      </c>
      <c r="B952">
        <f>'TSR (c17)'!F201</f>
      </c>
    </row>
    <row r="953">
      <c r="A953" t="s">
        <v>6733</v>
      </c>
      <c r="B953">
        <f>'TSR (c17)'!M201</f>
      </c>
    </row>
    <row r="954">
      <c r="A954" t="s">
        <v>6734</v>
      </c>
      <c r="B954">
        <f>'TSR (c17)'!F204</f>
      </c>
    </row>
    <row r="955">
      <c r="A955" t="s">
        <v>6735</v>
      </c>
      <c r="B955">
        <f>'TSR (c17)'!F207</f>
      </c>
    </row>
    <row r="956">
      <c r="A956" t="s">
        <v>6736</v>
      </c>
      <c r="B956">
        <f>'TSR (c17)'!M207</f>
      </c>
    </row>
    <row r="957">
      <c r="A957" t="s">
        <v>6939</v>
      </c>
      <c r="B957">
        <f>'TSR (c17)'!F210</f>
      </c>
    </row>
    <row r="958">
      <c r="A958" t="s">
        <v>3985</v>
      </c>
      <c r="B958">
        <f>'TSR (c17)'!F213</f>
      </c>
    </row>
    <row r="959">
      <c r="A959" t="s">
        <v>987</v>
      </c>
      <c r="B959">
        <f>'TSR (c17)'!M44</f>
      </c>
    </row>
    <row r="960">
      <c r="A960" t="s">
        <v>3986</v>
      </c>
      <c r="B960">
        <f>'TSR (c17)'!M213</f>
      </c>
    </row>
    <row r="961">
      <c r="A961" t="s">
        <v>3987</v>
      </c>
      <c r="B961">
        <f>'TSR (c17)'!F216</f>
      </c>
    </row>
    <row r="962">
      <c r="A962" t="s">
        <v>3990</v>
      </c>
      <c r="B962">
        <f>'TSR (c17)'!M216</f>
      </c>
    </row>
    <row r="963">
      <c r="A963" t="s">
        <v>3991</v>
      </c>
      <c r="B963">
        <f>'TSR (c17)'!M223</f>
      </c>
    </row>
    <row r="964">
      <c r="A964" t="s">
        <v>1172</v>
      </c>
      <c r="B964">
        <f>'TSR (c17)'!M226</f>
      </c>
    </row>
    <row r="965">
      <c r="A965" t="s">
        <v>1173</v>
      </c>
      <c r="B965">
        <f>'TSR (c17)'!M229</f>
      </c>
    </row>
    <row r="966">
      <c r="A966" t="s">
        <v>1174</v>
      </c>
      <c r="B966">
        <f>'TSR (c17)'!F232</f>
      </c>
    </row>
    <row r="967">
      <c r="A967" t="s">
        <v>2634</v>
      </c>
      <c r="B967">
        <f>'TSR (c17)'!M232</f>
      </c>
    </row>
    <row r="968">
      <c r="A968" t="s">
        <v>2635</v>
      </c>
      <c r="B968">
        <f>'TSR (c17)'!M235</f>
      </c>
    </row>
    <row r="969">
      <c r="A969" t="s">
        <v>988</v>
      </c>
      <c r="B969">
        <f>'TSR (c17)'!M47</f>
      </c>
    </row>
    <row r="970">
      <c r="A970" t="s">
        <v>989</v>
      </c>
      <c r="B970">
        <f>'TSR (c17)'!F49</f>
      </c>
    </row>
    <row r="971">
      <c r="A971" t="s">
        <v>990</v>
      </c>
      <c r="B971">
        <f>'TSR (c17)'!F52</f>
      </c>
    </row>
    <row r="972">
      <c r="A972" t="s">
        <v>898</v>
      </c>
      <c r="B972">
        <f>'TSR (c17)'!M52</f>
      </c>
    </row>
    <row r="973">
      <c r="A973" t="s">
        <v>899</v>
      </c>
      <c r="B973">
        <f>'TSR (c17)'!M55</f>
      </c>
    </row>
    <row r="974">
      <c r="A974" t="s">
        <v>4014</v>
      </c>
      <c r="B974">
        <f>'CG (c18)'!D17</f>
      </c>
    </row>
    <row r="975">
      <c r="A975" t="s">
        <v>3428</v>
      </c>
      <c r="B975">
        <f>'CG (c18)'!H31</f>
      </c>
    </row>
    <row r="976">
      <c r="A976" t="s">
        <v>3429</v>
      </c>
      <c r="B976">
        <f>'CG (c18)'!P31</f>
      </c>
    </row>
    <row r="977">
      <c r="A977" t="s">
        <v>3430</v>
      </c>
      <c r="B977">
        <f>'CG (c18)'!T31</f>
      </c>
    </row>
    <row r="978">
      <c r="A978" t="s">
        <v>3432</v>
      </c>
      <c r="B978">
        <f>'CG (c18)'!D38</f>
      </c>
    </row>
    <row r="979">
      <c r="A979" t="s">
        <v>3433</v>
      </c>
      <c r="B979">
        <f>'CG (c18)'!D42</f>
      </c>
    </row>
    <row r="980">
      <c r="A980" t="s">
        <v>3434</v>
      </c>
      <c r="B980">
        <f>'CG (c18)'!D45</f>
      </c>
    </row>
    <row r="981">
      <c r="A981" t="s">
        <v>3436</v>
      </c>
      <c r="B981">
        <f>'CG (c18)'!D48</f>
      </c>
    </row>
    <row r="982">
      <c r="A982" t="s">
        <v>7603</v>
      </c>
      <c r="B982">
        <f>'CG (c18)'!H48</f>
      </c>
    </row>
    <row r="983">
      <c r="A983" t="s">
        <v>7604</v>
      </c>
      <c r="B983">
        <f>'CG (c18)'!L48</f>
      </c>
    </row>
    <row r="984">
      <c r="A984" t="s">
        <v>3265</v>
      </c>
      <c r="B984">
        <f>'CG (c18)'!P48</f>
      </c>
    </row>
    <row r="985">
      <c r="A985" t="s">
        <v>3266</v>
      </c>
      <c r="B985">
        <f>'CG (c18)'!T48</f>
      </c>
    </row>
    <row r="986">
      <c r="A986" t="s">
        <v>3267</v>
      </c>
      <c r="B986">
        <f>'CG (c18)'!D51</f>
      </c>
    </row>
    <row r="987">
      <c r="A987" t="s">
        <v>7601</v>
      </c>
      <c r="B987">
        <f>'CG (c18)'!H51</f>
      </c>
    </row>
    <row r="988">
      <c r="A988" t="s">
        <v>7602</v>
      </c>
      <c r="B988">
        <f>'CG (c18)'!L51</f>
      </c>
    </row>
    <row r="989">
      <c r="A989" t="s">
        <v>2005</v>
      </c>
      <c r="B989">
        <f>'CG (c18)'!H17</f>
      </c>
    </row>
    <row r="990">
      <c r="A990" t="s">
        <v>3268</v>
      </c>
      <c r="B990">
        <f>'CG (c18)'!P51</f>
      </c>
    </row>
    <row r="991">
      <c r="A991" t="s">
        <v>3269</v>
      </c>
      <c r="B991">
        <f>'CG (c18)'!T51</f>
      </c>
    </row>
    <row r="992">
      <c r="A992" t="s">
        <v>3270</v>
      </c>
      <c r="B992">
        <f>'CG (c18)'!P54</f>
      </c>
    </row>
    <row r="993">
      <c r="A993" t="s">
        <v>3272</v>
      </c>
      <c r="B993">
        <f>'CG (c18)'!P57</f>
      </c>
    </row>
    <row r="994">
      <c r="A994" t="s">
        <v>3273</v>
      </c>
      <c r="B994">
        <f>'CG (c18)'!D64</f>
      </c>
    </row>
    <row r="995">
      <c r="A995" t="s">
        <v>2793</v>
      </c>
      <c r="B995">
        <f>'CG (c18)'!P64</f>
      </c>
    </row>
    <row r="996">
      <c r="A996" t="s">
        <v>2794</v>
      </c>
      <c r="B996">
        <f>'CG (c18)'!T64</f>
      </c>
    </row>
    <row r="997">
      <c r="A997" t="s">
        <v>2795</v>
      </c>
      <c r="B997">
        <f>'CG (c18)'!D67</f>
      </c>
    </row>
    <row r="998">
      <c r="A998" t="s">
        <v>2796</v>
      </c>
      <c r="B998">
        <f>'CG (c18)'!P67</f>
      </c>
    </row>
    <row r="999">
      <c r="A999" t="s">
        <v>2869</v>
      </c>
      <c r="B999">
        <f>'CG (c18)'!T67</f>
      </c>
    </row>
    <row r="1000">
      <c r="A1000" t="s">
        <v>7555</v>
      </c>
      <c r="B1000">
        <f>'CG (c18)'!L17</f>
      </c>
    </row>
    <row r="1001">
      <c r="A1001" t="s">
        <v>2006</v>
      </c>
      <c r="B1001">
        <f>'CG (c18)'!P17</f>
      </c>
    </row>
    <row r="1002">
      <c r="A1002" t="s">
        <v>2870</v>
      </c>
      <c r="B1002">
        <f>'CG (c18)'!X72</f>
      </c>
    </row>
    <row r="1003">
      <c r="A1003" t="s">
        <v>2871</v>
      </c>
      <c r="B1003">
        <f>'CG (c18)'!D77</f>
      </c>
    </row>
    <row r="1004">
      <c r="A1004" t="s">
        <v>2873</v>
      </c>
      <c r="B1004">
        <f>'CG (c18)'!D84</f>
      </c>
    </row>
    <row r="1005">
      <c r="A1005" t="s">
        <v>2874</v>
      </c>
      <c r="B1005">
        <f>'CG (c18)'!P84</f>
      </c>
    </row>
    <row r="1006">
      <c r="A1006" t="s">
        <v>2875</v>
      </c>
      <c r="B1006">
        <f>'CG (c18)'!D91</f>
      </c>
    </row>
    <row r="1007">
      <c r="A1007" t="s">
        <v>5205</v>
      </c>
      <c r="B1007">
        <f>'CG (c18)'!P91</f>
      </c>
    </row>
    <row r="1008">
      <c r="A1008" t="s">
        <v>5206</v>
      </c>
      <c r="B1008">
        <f>'CG (c18)'!D94</f>
      </c>
    </row>
    <row r="1009">
      <c r="A1009" t="s">
        <v>5207</v>
      </c>
      <c r="B1009">
        <f>'CG (c18)'!P94</f>
      </c>
    </row>
    <row r="1010">
      <c r="A1010" t="s">
        <v>5208</v>
      </c>
      <c r="B1010">
        <f>'CG (c18)'!P97</f>
      </c>
    </row>
    <row r="1011">
      <c r="A1011" t="s">
        <v>5209</v>
      </c>
      <c r="B1011">
        <f>'CG (c18)'!P100</f>
      </c>
    </row>
    <row r="1012">
      <c r="A1012" t="s">
        <v>2007</v>
      </c>
      <c r="B1012">
        <f>'CG (c18)'!T17</f>
      </c>
    </row>
    <row r="1013">
      <c r="A1013" t="s">
        <v>5210</v>
      </c>
      <c r="B1013">
        <f>'CG (c18)'!P103</f>
      </c>
    </row>
    <row r="1014">
      <c r="A1014" t="s">
        <v>5211</v>
      </c>
      <c r="B1014">
        <f>'CG (c18)'!P106</f>
      </c>
    </row>
    <row r="1015">
      <c r="A1015" t="s">
        <v>5212</v>
      </c>
      <c r="B1015">
        <f>'CG (c18)'!X108</f>
      </c>
    </row>
    <row r="1016">
      <c r="A1016" t="s">
        <v>5213</v>
      </c>
      <c r="B1016">
        <f>'CG (c18)'!P109</f>
      </c>
    </row>
    <row r="1017">
      <c r="A1017" t="s">
        <v>5214</v>
      </c>
      <c r="B1017">
        <f>'CG (c18)'!X111</f>
      </c>
    </row>
    <row r="1018">
      <c r="A1018" t="s">
        <v>5215</v>
      </c>
      <c r="B1018">
        <f>'CG (c18)'!P112</f>
      </c>
    </row>
    <row r="1019">
      <c r="A1019" t="s">
        <v>5216</v>
      </c>
      <c r="B1019">
        <f>'CG (c18)'!P115</f>
      </c>
    </row>
    <row r="1020">
      <c r="A1020" t="s">
        <v>5217</v>
      </c>
      <c r="B1020">
        <f>'CG (c18)'!X117</f>
      </c>
    </row>
    <row r="1021">
      <c r="A1021" t="s">
        <v>5218</v>
      </c>
      <c r="B1021">
        <f>'CG (c18)'!P118</f>
      </c>
    </row>
    <row r="1022">
      <c r="A1022" t="s">
        <v>5219</v>
      </c>
      <c r="B1022">
        <f>'CG (c18)'!X120</f>
      </c>
    </row>
    <row r="1023">
      <c r="A1023" t="s">
        <v>2008</v>
      </c>
      <c r="B1023">
        <f>'CG (c18)'!D22</f>
      </c>
    </row>
    <row r="1024">
      <c r="A1024" t="s">
        <v>5220</v>
      </c>
      <c r="B1024">
        <f>'CG (c18)'!X123</f>
      </c>
    </row>
    <row r="1025">
      <c r="A1025" t="s">
        <v>5221</v>
      </c>
      <c r="B1025">
        <f>'CG (c18)'!X126</f>
      </c>
    </row>
    <row r="1026">
      <c r="A1026" t="s">
        <v>5222</v>
      </c>
      <c r="B1026">
        <f>'CG (c18)'!X130</f>
      </c>
    </row>
    <row r="1027">
      <c r="A1027" t="s">
        <v>5223</v>
      </c>
      <c r="B1027">
        <f>'CG (c18)'!X133</f>
      </c>
    </row>
    <row r="1028">
      <c r="A1028" t="s">
        <v>5224</v>
      </c>
      <c r="B1028">
        <f>'CG (c18)'!X136</f>
      </c>
    </row>
    <row r="1029">
      <c r="A1029" t="s">
        <v>5352</v>
      </c>
      <c r="B1029">
        <f>'CG (c18)'!X139</f>
      </c>
    </row>
    <row r="1030">
      <c r="A1030" t="s">
        <v>5764</v>
      </c>
      <c r="B1030">
        <f>'CG (c18)'!X142</f>
      </c>
    </row>
    <row r="1031">
      <c r="A1031" t="s">
        <v>5765</v>
      </c>
      <c r="B1031">
        <f>'CG (c18)'!X145</f>
      </c>
    </row>
    <row r="1032">
      <c r="A1032" t="s">
        <v>5820</v>
      </c>
      <c r="B1032">
        <f>'CG (c18)'!X148</f>
      </c>
    </row>
    <row r="1033">
      <c r="A1033" t="s">
        <v>3423</v>
      </c>
      <c r="B1033">
        <f>'CG (c18)'!H22</f>
      </c>
    </row>
    <row r="1034">
      <c r="A1034" t="s">
        <v>3424</v>
      </c>
      <c r="B1034">
        <f>'CG (c18)'!P22</f>
      </c>
    </row>
    <row r="1035">
      <c r="A1035" t="s">
        <v>3425</v>
      </c>
      <c r="B1035">
        <f>'CG (c18)'!T22</f>
      </c>
    </row>
    <row r="1036">
      <c r="A1036" t="s">
        <v>3426</v>
      </c>
      <c r="B1036">
        <f>'CG (c18)'!D31</f>
      </c>
    </row>
    <row r="1037">
      <c r="A1037" t="s">
        <v>3338</v>
      </c>
      <c r="B1037">
        <f>'RBC (c19)'!D17</f>
      </c>
    </row>
    <row r="1038">
      <c r="A1038" t="s">
        <v>3241</v>
      </c>
      <c r="B1038">
        <f>'Notional (c21c23)'!E5</f>
      </c>
    </row>
    <row r="1039">
      <c r="A1039" t="s">
        <v>3250</v>
      </c>
      <c r="B1039">
        <f>'Notional (c21c23)'!K23</f>
      </c>
    </row>
    <row r="1040">
      <c r="A1040" t="s">
        <v>3251</v>
      </c>
      <c r="B1040">
        <f>'Notional (c21c23)'!E26</f>
      </c>
    </row>
    <row r="1041">
      <c r="A1041" t="s">
        <v>3252</v>
      </c>
      <c r="B1041">
        <f>'Notional (c21c23)'!H26</f>
      </c>
    </row>
    <row r="1042">
      <c r="A1042" t="s">
        <v>3242</v>
      </c>
      <c r="B1042">
        <f>'Notional (c21c23)'!E8</f>
      </c>
    </row>
    <row r="1043">
      <c r="A1043" t="s">
        <v>3243</v>
      </c>
      <c r="B1043">
        <f>'Notional (c21c23)'!E11</f>
      </c>
    </row>
    <row r="1044">
      <c r="A1044" t="s">
        <v>3244</v>
      </c>
      <c r="B1044">
        <f>'Notional (c21c23)'!E14</f>
      </c>
    </row>
    <row r="1045">
      <c r="A1045" t="s">
        <v>3245</v>
      </c>
      <c r="B1045">
        <f>'Notional (c21c23)'!E17</f>
      </c>
    </row>
    <row r="1046">
      <c r="A1046" t="s">
        <v>3246</v>
      </c>
      <c r="B1046">
        <f>'Notional (c21c23)'!E20</f>
      </c>
    </row>
    <row r="1047">
      <c r="A1047" t="s">
        <v>3247</v>
      </c>
      <c r="B1047">
        <f>'Notional (c21c23)'!H20</f>
      </c>
    </row>
    <row r="1048">
      <c r="A1048" t="s">
        <v>3248</v>
      </c>
      <c r="B1048">
        <f>'Notional (c21c23)'!E23</f>
      </c>
    </row>
    <row r="1049">
      <c r="A1049" t="s">
        <v>3249</v>
      </c>
      <c r="B1049">
        <f>'Notional (c21c23)'!H23</f>
      </c>
    </row>
    <row r="1050">
      <c r="A1050" t="s">
        <v>2009</v>
      </c>
      <c r="B1050">
        <f>'Notional (c21c23)'!E35</f>
      </c>
    </row>
    <row r="1051">
      <c r="A1051" t="s">
        <v>830</v>
      </c>
      <c r="B1051">
        <f>'Notional (c21c23)'!K45</f>
      </c>
    </row>
    <row r="1052">
      <c r="A1052" t="s">
        <v>3496</v>
      </c>
      <c r="B1052">
        <f>'Notional (c21c23)'!K49</f>
      </c>
    </row>
    <row r="1053">
      <c r="A1053" t="s">
        <v>2474</v>
      </c>
      <c r="B1053">
        <f>'Notional (c21c23)'!K52</f>
      </c>
    </row>
    <row r="1054">
      <c r="A1054" t="s">
        <v>2010</v>
      </c>
      <c r="B1054">
        <f>'Notional (c21c23)'!H35</f>
      </c>
    </row>
    <row r="1055">
      <c r="A1055" t="s">
        <v>2011</v>
      </c>
      <c r="B1055">
        <f>'Notional (c21c23)'!K35</f>
      </c>
    </row>
    <row r="1056">
      <c r="A1056" t="s">
        <v>2012</v>
      </c>
      <c r="B1056">
        <f>'Notional (c21c23)'!E38</f>
      </c>
    </row>
    <row r="1057">
      <c r="A1057" t="s">
        <v>2013</v>
      </c>
      <c r="B1057">
        <f>'Notional (c21c23)'!H38</f>
      </c>
    </row>
    <row r="1058">
      <c r="A1058" t="s">
        <v>2014</v>
      </c>
      <c r="B1058">
        <f>'Notional (c21c23)'!K38</f>
      </c>
    </row>
    <row r="1059">
      <c r="A1059" t="s">
        <v>2502</v>
      </c>
      <c r="B1059">
        <f>'Notional (c21c23)'!H41</f>
      </c>
    </row>
    <row r="1060">
      <c r="A1060" t="s">
        <v>3816</v>
      </c>
      <c r="B1060">
        <f>'Notional (c21c23)'!K41</f>
      </c>
    </row>
    <row r="1061">
      <c r="A1061" t="s">
        <v>829</v>
      </c>
      <c r="B1061">
        <f>'Notional (c21c23)'!E45</f>
      </c>
    </row>
    <row r="1062">
      <c r="A1062" t="s">
        <v>2487</v>
      </c>
      <c r="B1062">
        <f>'Notional (c21c23)'!E65</f>
      </c>
    </row>
    <row r="1063">
      <c r="A1063" t="s">
        <v>6228</v>
      </c>
      <c r="B1063">
        <f>'Notional (c21c23)'!H77</f>
      </c>
    </row>
    <row r="1064">
      <c r="A1064" t="s">
        <v>6229</v>
      </c>
      <c r="B1064">
        <f>'Notional (c21c23)'!K77</f>
      </c>
    </row>
    <row r="1065">
      <c r="A1065" t="s">
        <v>3727</v>
      </c>
      <c r="B1065">
        <f>'Notional (c21c23)'!E68</f>
      </c>
    </row>
    <row r="1066">
      <c r="A1066" t="s">
        <v>3728</v>
      </c>
      <c r="B1066">
        <f>'Notional (c21c23)'!H68</f>
      </c>
    </row>
    <row r="1067">
      <c r="A1067" t="s">
        <v>1564</v>
      </c>
      <c r="B1067">
        <f>'Notional (c21c23)'!K68</f>
      </c>
    </row>
    <row r="1068">
      <c r="A1068" t="s">
        <v>1565</v>
      </c>
      <c r="B1068">
        <f>'Notional (c21c23)'!E71</f>
      </c>
    </row>
    <row r="1069">
      <c r="A1069" t="s">
        <v>1566</v>
      </c>
      <c r="B1069">
        <f>'Notional (c21c23)'!E74</f>
      </c>
    </row>
    <row r="1070">
      <c r="A1070" t="s">
        <v>1567</v>
      </c>
      <c r="B1070">
        <f>'Notional (c21c23)'!H74</f>
      </c>
    </row>
    <row r="1071">
      <c r="A1071" t="s">
        <v>3497</v>
      </c>
      <c r="B1071">
        <f>'Notional (c21c23)'!K74</f>
      </c>
    </row>
    <row r="1072">
      <c r="A1072" t="s">
        <v>3421</v>
      </c>
      <c r="B1072">
        <f>'Notional (c21c23)'!E77</f>
      </c>
    </row>
    <row r="1073">
      <c r="A1073" t="s">
        <v>6238</v>
      </c>
      <c r="B1073">
        <f>'LLIR (c24)'!F11</f>
      </c>
    </row>
    <row r="1074">
      <c r="A1074" t="s">
        <v>6256</v>
      </c>
      <c r="B1074">
        <f>'LLIR (c24)'!L54</f>
      </c>
    </row>
    <row r="1075">
      <c r="A1075" t="s">
        <v>6257</v>
      </c>
      <c r="B1075">
        <f>'LLIR (c24)'!I59</f>
      </c>
    </row>
    <row r="1076">
      <c r="A1076" t="s">
        <v>6258</v>
      </c>
      <c r="B1076">
        <f>'LLIR (c24)'!I62</f>
      </c>
    </row>
    <row r="1077">
      <c r="A1077" t="s">
        <v>6259</v>
      </c>
      <c r="B1077">
        <f>'LLIR (c24)'!I65</f>
      </c>
    </row>
    <row r="1078">
      <c r="A1078" t="s">
        <v>6260</v>
      </c>
      <c r="B1078">
        <f>'LLIR (c24)'!I68</f>
      </c>
    </row>
    <row r="1079">
      <c r="A1079" t="s">
        <v>6261</v>
      </c>
      <c r="B1079">
        <f>'LLIR (c24)'!I71</f>
      </c>
    </row>
    <row r="1080">
      <c r="A1080" t="s">
        <v>6546</v>
      </c>
      <c r="B1080">
        <f>'LLIR (c24)'!F74</f>
      </c>
    </row>
    <row r="1081">
      <c r="A1081" t="s">
        <v>6262</v>
      </c>
      <c r="B1081">
        <f>'LLIR (c24)'!L77</f>
      </c>
    </row>
    <row r="1082">
      <c r="A1082" t="s">
        <v>6263</v>
      </c>
      <c r="B1082">
        <f>'LLIR (c24)'!L80</f>
      </c>
    </row>
    <row r="1083">
      <c r="A1083" t="s">
        <v>6239</v>
      </c>
      <c r="B1083">
        <f>'LLIR (c24)'!I14</f>
      </c>
    </row>
    <row r="1084">
      <c r="A1084" t="s">
        <v>6240</v>
      </c>
      <c r="B1084">
        <f>'LLIR (c24)'!L17</f>
      </c>
    </row>
    <row r="1085">
      <c r="A1085" t="s">
        <v>6544</v>
      </c>
      <c r="B1085">
        <f>'LLIR (c24)'!F21</f>
      </c>
    </row>
    <row r="1086">
      <c r="A1086" t="s">
        <v>6241</v>
      </c>
      <c r="B1086">
        <f>'LLIR (c24)'!L26</f>
      </c>
    </row>
    <row r="1087">
      <c r="A1087" t="s">
        <v>6545</v>
      </c>
      <c r="B1087">
        <f>'LLIR (c24)'!F30</f>
      </c>
    </row>
    <row r="1088">
      <c r="A1088" t="s">
        <v>6242</v>
      </c>
      <c r="B1088">
        <f>'LLIR (c24)'!L34</f>
      </c>
    </row>
    <row r="1089">
      <c r="A1089" t="s">
        <v>6243</v>
      </c>
      <c r="B1089">
        <f>'LLIR (c24)'!F39</f>
      </c>
    </row>
    <row r="1090">
      <c r="A1090" t="s">
        <v>6244</v>
      </c>
      <c r="B1090">
        <f>'LLIR (c24)'!I42</f>
      </c>
    </row>
    <row r="1091">
      <c r="A1091" t="s">
        <v>6245</v>
      </c>
      <c r="B1091">
        <f>'LLIR (c24)'!L45</f>
      </c>
    </row>
    <row r="1092">
      <c r="A1092" t="s">
        <v>6246</v>
      </c>
      <c r="B1092">
        <f>'LLIR (c24)'!L50</f>
      </c>
    </row>
    <row r="1093">
      <c r="A1093" t="s">
        <v>848</v>
      </c>
      <c r="B1093">
        <f>'Pensions (c25c26)'!H4</f>
      </c>
    </row>
    <row r="1094">
      <c r="A1094" t="s">
        <v>2915</v>
      </c>
      <c r="B1094">
        <f>'Pensions (c25c26)'!E25</f>
      </c>
    </row>
    <row r="1095">
      <c r="A1095" t="s">
        <v>2916</v>
      </c>
      <c r="B1095">
        <f>'Pensions (c25c26)'!E32</f>
      </c>
    </row>
    <row r="1096">
      <c r="A1096" t="s">
        <v>2917</v>
      </c>
      <c r="B1096">
        <f>'Pensions (c25c26)'!E35</f>
      </c>
    </row>
    <row r="1097">
      <c r="A1097" t="s">
        <v>2918</v>
      </c>
      <c r="B1097">
        <f>'Pensions (c25c26)'!H35</f>
      </c>
    </row>
    <row r="1098">
      <c r="A1098" t="s">
        <v>2857</v>
      </c>
      <c r="B1098">
        <f>'Pensions (c25c26)'!K35</f>
      </c>
    </row>
    <row r="1099">
      <c r="A1099" t="s">
        <v>2858</v>
      </c>
      <c r="B1099">
        <f>'Pensions (c25c26)'!E38</f>
      </c>
    </row>
    <row r="1100">
      <c r="A1100" t="s">
        <v>2859</v>
      </c>
      <c r="B1100">
        <f>'Pensions (c25c26)'!H38</f>
      </c>
    </row>
    <row r="1101">
      <c r="A1101" t="s">
        <v>7561</v>
      </c>
      <c r="B1101">
        <f>'Pensions (c25c26)'!E41</f>
      </c>
    </row>
    <row r="1102">
      <c r="A1102" t="s">
        <v>7562</v>
      </c>
      <c r="B1102">
        <f>'Pensions (c25c26)'!E44</f>
      </c>
    </row>
    <row r="1103">
      <c r="A1103" t="s">
        <v>7563</v>
      </c>
      <c r="B1103">
        <f>'Pensions (c25c26)'!H44</f>
      </c>
    </row>
    <row r="1104">
      <c r="A1104" t="s">
        <v>7564</v>
      </c>
      <c r="B1104">
        <f>'Pensions (c25c26)'!K44</f>
      </c>
    </row>
    <row r="1105">
      <c r="A1105" t="s">
        <v>7565</v>
      </c>
      <c r="B1105">
        <f>'Pensions (c25c26)'!E47</f>
      </c>
    </row>
    <row r="1106">
      <c r="A1106" t="s">
        <v>7566</v>
      </c>
      <c r="B1106">
        <f>'Pensions (c25c26)'!H47</f>
      </c>
    </row>
    <row r="1107">
      <c r="A1107" t="s">
        <v>2860</v>
      </c>
      <c r="B1107">
        <f>'Pensions (c25c26)'!E50</f>
      </c>
    </row>
    <row r="1108">
      <c r="A1108" t="s">
        <v>1737</v>
      </c>
      <c r="B1108">
        <f>'Pensions (c25c26)'!E53</f>
      </c>
    </row>
    <row r="1109">
      <c r="A1109" t="s">
        <v>1738</v>
      </c>
      <c r="B1109">
        <f>'Pensions (c25c26)'!H53</f>
      </c>
    </row>
    <row r="1110">
      <c r="A1110" t="s">
        <v>849</v>
      </c>
      <c r="B1110">
        <f>'Pensions (c25c26)'!K4</f>
      </c>
    </row>
    <row r="1111">
      <c r="A1111" t="s">
        <v>1739</v>
      </c>
      <c r="B1111">
        <f>'Pensions (c25c26)'!K53</f>
      </c>
    </row>
    <row r="1112">
      <c r="A1112" t="s">
        <v>1740</v>
      </c>
      <c r="B1112">
        <f>'Pensions (c25c26)'!H56</f>
      </c>
    </row>
    <row r="1113">
      <c r="A1113" t="s">
        <v>3151</v>
      </c>
      <c r="B1113">
        <f>'Pensions (c25c26)'!K56</f>
      </c>
    </row>
    <row r="1114">
      <c r="A1114" t="s">
        <v>3152</v>
      </c>
      <c r="B1114">
        <f>'Pensions (c25c26)'!K59</f>
      </c>
    </row>
    <row r="1115">
      <c r="A1115" t="s">
        <v>3153</v>
      </c>
      <c r="B1115">
        <f>'Pensions (c25c26)'!H62</f>
      </c>
    </row>
    <row r="1116">
      <c r="A1116" t="s">
        <v>3154</v>
      </c>
      <c r="B1116">
        <f>'Pensions (c25c26)'!K62</f>
      </c>
    </row>
    <row r="1117">
      <c r="A1117" t="s">
        <v>3155</v>
      </c>
      <c r="B1117">
        <f>'Pensions (c25c26)'!K65</f>
      </c>
    </row>
    <row r="1118">
      <c r="A1118" t="s">
        <v>3156</v>
      </c>
      <c r="B1118">
        <f>'Pensions (c25c26)'!H70</f>
      </c>
    </row>
    <row r="1119">
      <c r="A1119" t="s">
        <v>3157</v>
      </c>
      <c r="B1119">
        <f>'Pensions (c25c26)'!K70</f>
      </c>
    </row>
    <row r="1120">
      <c r="A1120" t="s">
        <v>3218</v>
      </c>
      <c r="B1120">
        <f>'Pensions (c25c26)'!H73</f>
      </c>
    </row>
    <row r="1121">
      <c r="A1121" t="s">
        <v>1163</v>
      </c>
      <c r="B1121">
        <f>'Pensions (c25c26)'!H7</f>
      </c>
    </row>
    <row r="1122">
      <c r="A1122" t="s">
        <v>3219</v>
      </c>
      <c r="B1122">
        <f>'Pensions (c25c26)'!K73</f>
      </c>
    </row>
    <row r="1123">
      <c r="A1123" t="s">
        <v>3220</v>
      </c>
      <c r="B1123">
        <f>'Pensions (c25c26)'!K76</f>
      </c>
    </row>
    <row r="1124">
      <c r="A1124" t="s">
        <v>3221</v>
      </c>
      <c r="B1124">
        <f>'Pensions (c25c26)'!H81</f>
      </c>
    </row>
    <row r="1125">
      <c r="A1125" t="s">
        <v>2043</v>
      </c>
      <c r="B1125">
        <f>'Pensions (c25c26)'!K81</f>
      </c>
    </row>
    <row r="1126">
      <c r="A1126" t="s">
        <v>2044</v>
      </c>
      <c r="B1126">
        <f>'Pensions (c25c26)'!H84</f>
      </c>
    </row>
    <row r="1127">
      <c r="A1127" t="s">
        <v>2045</v>
      </c>
      <c r="B1127">
        <f>'Pensions (c25c26)'!K84</f>
      </c>
    </row>
    <row r="1128">
      <c r="A1128" t="s">
        <v>2046</v>
      </c>
      <c r="B1128">
        <f>'Pensions (c25c26)'!K87</f>
      </c>
    </row>
    <row r="1129">
      <c r="A1129" t="s">
        <v>827</v>
      </c>
      <c r="B1129">
        <f>'Pensions (c25c26)'!H90</f>
      </c>
    </row>
    <row r="1130">
      <c r="A1130" t="s">
        <v>828</v>
      </c>
      <c r="B1130">
        <f>'Pensions (c25c26)'!K90</f>
      </c>
    </row>
    <row r="1131">
      <c r="A1131" t="s">
        <v>4456</v>
      </c>
      <c r="B1131">
        <f>'Pensions (c25c26)'!K93</f>
      </c>
    </row>
    <row r="1132">
      <c r="A1132" t="s">
        <v>1164</v>
      </c>
      <c r="B1132">
        <f>'Pensions (c25c26)'!K7</f>
      </c>
    </row>
    <row r="1133">
      <c r="A1133" t="s">
        <v>3591</v>
      </c>
      <c r="B1133">
        <f>'Pensions (c25c26)'!H98</f>
      </c>
    </row>
    <row r="1134">
      <c r="A1134" t="s">
        <v>3592</v>
      </c>
      <c r="B1134">
        <f>'Pensions (c25c26)'!H101</f>
      </c>
    </row>
    <row r="1135">
      <c r="A1135" t="s">
        <v>3593</v>
      </c>
      <c r="B1135">
        <f>'Pensions (c25c26)'!H104</f>
      </c>
    </row>
    <row r="1136">
      <c r="A1136" t="s">
        <v>3594</v>
      </c>
      <c r="B1136">
        <f>'Pensions (c25c26)'!K104</f>
      </c>
    </row>
    <row r="1137">
      <c r="A1137" t="s">
        <v>3595</v>
      </c>
      <c r="B1137">
        <f>'Pensions (c25c26)'!H107</f>
      </c>
    </row>
    <row r="1138">
      <c r="A1138" t="s">
        <v>3596</v>
      </c>
      <c r="B1138">
        <f>'Pensions (c25c26)'!K107</f>
      </c>
    </row>
    <row r="1139">
      <c r="A1139" t="s">
        <v>3597</v>
      </c>
      <c r="B1139">
        <f>'Pensions (c25c26)'!K110</f>
      </c>
    </row>
    <row r="1140">
      <c r="A1140" t="s">
        <v>3598</v>
      </c>
      <c r="B1140">
        <f>'Pensions (c25c26)'!H113</f>
      </c>
    </row>
    <row r="1141">
      <c r="A1141" t="s">
        <v>3257</v>
      </c>
      <c r="B1141">
        <f>'Pensions (c25c26)'!K113</f>
      </c>
    </row>
    <row r="1142">
      <c r="A1142" t="s">
        <v>2747</v>
      </c>
      <c r="B1142">
        <f>'Pensions (c25c26)'!K116</f>
      </c>
    </row>
    <row r="1143">
      <c r="A1143" t="s">
        <v>1165</v>
      </c>
      <c r="B1143">
        <f>'Pensions (c25c26)'!K10</f>
      </c>
    </row>
    <row r="1144">
      <c r="A1144" t="s">
        <v>2748</v>
      </c>
      <c r="B1144">
        <f>'Pensions (c25c26)'!K129</f>
      </c>
    </row>
    <row r="1145">
      <c r="A1145" t="s">
        <v>5889</v>
      </c>
      <c r="B1145">
        <f>'Pensions (c25c26)'!E132</f>
      </c>
    </row>
    <row r="1146">
      <c r="A1146" t="s">
        <v>5890</v>
      </c>
      <c r="B1146">
        <f>'Pensions (c25c26)'!E135</f>
      </c>
    </row>
    <row r="1147">
      <c r="A1147" t="s">
        <v>5891</v>
      </c>
      <c r="B1147">
        <f>'Pensions (c25c26)'!H140</f>
      </c>
    </row>
    <row r="1148">
      <c r="A1148" t="s">
        <v>5892</v>
      </c>
      <c r="B1148">
        <f>'Pensions (c25c26)'!K143</f>
      </c>
    </row>
    <row r="1149">
      <c r="A1149" t="s">
        <v>5893</v>
      </c>
      <c r="B1149">
        <f>'Pensions (c25c26)'!K146</f>
      </c>
    </row>
    <row r="1150">
      <c r="A1150" t="s">
        <v>6483</v>
      </c>
      <c r="B1150">
        <f>'Pensions (c25c26)'!K149</f>
      </c>
    </row>
    <row r="1151">
      <c r="A1151" t="s">
        <v>6484</v>
      </c>
      <c r="B1151">
        <f>'Pensions (c25c26)'!K152</f>
      </c>
    </row>
    <row r="1152">
      <c r="A1152" t="s">
        <v>1166</v>
      </c>
      <c r="B1152">
        <f>'Pensions (c25c26)'!H13</f>
      </c>
    </row>
    <row r="1153">
      <c r="A1153" t="s">
        <v>1490</v>
      </c>
      <c r="B1153">
        <f>'Pensions (c25c26)'!K13</f>
      </c>
    </row>
    <row r="1154">
      <c r="A1154" t="s">
        <v>1491</v>
      </c>
      <c r="B1154">
        <f>'Pensions (c25c26)'!K16</f>
      </c>
    </row>
    <row r="1155">
      <c r="A1155" t="s">
        <v>1492</v>
      </c>
      <c r="B1155">
        <f>'Pensions (c25c26)'!H22</f>
      </c>
    </row>
    <row r="1156">
      <c r="A1156" t="s">
        <v>2315</v>
      </c>
      <c r="B1156">
        <f>'Pensions (c25c26)'!H159</f>
      </c>
    </row>
    <row r="1157">
      <c r="A1157" t="s">
        <v>2316</v>
      </c>
      <c r="B1157">
        <f>'Pensions (c25c26)'!H184</f>
      </c>
    </row>
    <row r="1158">
      <c r="A1158" t="s">
        <v>2317</v>
      </c>
      <c r="B1158">
        <f>'Pensions (c25c26)'!K184</f>
      </c>
    </row>
    <row r="1159">
      <c r="A1159" t="s">
        <v>2854</v>
      </c>
      <c r="B1159">
        <f>'S loans(c27)'!K16</f>
      </c>
    </row>
    <row r="1160">
      <c r="A1160" t="s">
        <v>1159</v>
      </c>
      <c r="B1160">
        <f>'S loans(c27)'!G93</f>
      </c>
    </row>
    <row r="1161">
      <c r="A1161" t="s">
        <v>3061</v>
      </c>
      <c r="B1161">
        <f>'S loans(c27)'!G96</f>
      </c>
    </row>
    <row r="1162">
      <c r="A1162" t="s">
        <v>3062</v>
      </c>
      <c r="B1162">
        <f>'S loans(c27)'!G99</f>
      </c>
    </row>
    <row r="1163">
      <c r="A1163" t="s">
        <v>3063</v>
      </c>
      <c r="B1163">
        <f>'S loans(c27)'!G102</f>
      </c>
    </row>
    <row r="1164">
      <c r="A1164" t="s">
        <v>3064</v>
      </c>
      <c r="B1164">
        <f>'S loans(c27)'!G105</f>
      </c>
    </row>
    <row r="1165">
      <c r="A1165" t="s">
        <v>3065</v>
      </c>
      <c r="B1165">
        <f>'S loans(c27)'!G108</f>
      </c>
    </row>
    <row r="1166">
      <c r="A1166" t="s">
        <v>3187</v>
      </c>
      <c r="B1166">
        <f>'S loans(c27)'!G111</f>
      </c>
    </row>
    <row r="1167">
      <c r="A1167" t="s">
        <v>6895</v>
      </c>
      <c r="B1167">
        <f>'S loans(c27)'!G114</f>
      </c>
    </row>
    <row r="1168">
      <c r="A1168" t="s">
        <v>3188</v>
      </c>
      <c r="B1168">
        <f>'S loans(c27)'!K118</f>
      </c>
    </row>
    <row r="1169">
      <c r="A1169" t="s">
        <v>3189</v>
      </c>
      <c r="B1169">
        <f>'S loans(c27)'!G126</f>
      </c>
    </row>
    <row r="1170">
      <c r="A1170" t="s">
        <v>3190</v>
      </c>
      <c r="B1170">
        <f>'S loans(c27)'!G129</f>
      </c>
    </row>
    <row r="1171">
      <c r="A1171" t="s">
        <v>7081</v>
      </c>
      <c r="B1171">
        <f>'S loans(c27)'!G10</f>
      </c>
    </row>
    <row r="1172">
      <c r="A1172" t="s">
        <v>7082</v>
      </c>
      <c r="B1172">
        <f>'S loans(c27)'!G13</f>
      </c>
    </row>
    <row r="1173">
      <c r="A1173" t="s">
        <v>7083</v>
      </c>
      <c r="B1173">
        <f>'S loans(c27)'!G16</f>
      </c>
    </row>
    <row r="1174">
      <c r="A1174" t="s">
        <v>2855</v>
      </c>
      <c r="B1174">
        <f>'S loans(c27)'!G19</f>
      </c>
    </row>
    <row r="1175">
      <c r="A1175" t="s">
        <v>3191</v>
      </c>
      <c r="B1175">
        <f>'S loans(c27)'!G132</f>
      </c>
    </row>
    <row r="1176">
      <c r="A1176" t="s">
        <v>3192</v>
      </c>
      <c r="B1176">
        <f>'S loans(c27)'!G135</f>
      </c>
    </row>
    <row r="1177">
      <c r="A1177" t="s">
        <v>3193</v>
      </c>
      <c r="B1177">
        <f>'S loans(c27)'!G138</f>
      </c>
    </row>
    <row r="1178">
      <c r="A1178" t="s">
        <v>3194</v>
      </c>
      <c r="B1178">
        <f>'S loans(c27)'!G141</f>
      </c>
    </row>
    <row r="1179">
      <c r="A1179" t="s">
        <v>3195</v>
      </c>
      <c r="B1179">
        <f>'S loans(c27)'!G144</f>
      </c>
    </row>
    <row r="1180">
      <c r="A1180" t="s">
        <v>1150</v>
      </c>
      <c r="B1180">
        <f>'S loans(c27)'!G147</f>
      </c>
    </row>
    <row r="1181">
      <c r="A1181" t="s">
        <v>1151</v>
      </c>
      <c r="B1181">
        <f>'S loans(c27)'!G151</f>
      </c>
    </row>
    <row r="1182">
      <c r="A1182" t="s">
        <v>1152</v>
      </c>
      <c r="B1182">
        <f>'S loans(c27)'!G154</f>
      </c>
    </row>
    <row r="1183">
      <c r="A1183" t="s">
        <v>1153</v>
      </c>
      <c r="B1183">
        <f>'S loans(c27)'!K161</f>
      </c>
    </row>
    <row r="1184">
      <c r="A1184" t="s">
        <v>1154</v>
      </c>
      <c r="B1184">
        <f>'S loans(c27)'!K164</f>
      </c>
    </row>
    <row r="1185">
      <c r="A1185" t="s">
        <v>7432</v>
      </c>
      <c r="B1185">
        <f>'S loans(c27)'!K167</f>
      </c>
    </row>
    <row r="1186">
      <c r="A1186" t="s">
        <v>2856</v>
      </c>
      <c r="B1186">
        <f>'S loans(c27)'!K22</f>
      </c>
    </row>
    <row r="1187">
      <c r="A1187" t="s">
        <v>1155</v>
      </c>
      <c r="B1187">
        <f>'S loans(c27)'!G173</f>
      </c>
    </row>
    <row r="1188">
      <c r="A1188" t="s">
        <v>1421</v>
      </c>
      <c r="B1188">
        <f>'S loans(c27)'!G176</f>
      </c>
    </row>
    <row r="1189">
      <c r="A1189" t="s">
        <v>1422</v>
      </c>
      <c r="B1189">
        <f>'S loans(c27)'!G179</f>
      </c>
    </row>
    <row r="1190">
      <c r="A1190" t="s">
        <v>1423</v>
      </c>
      <c r="B1190">
        <f>'S loans(c27)'!G182</f>
      </c>
    </row>
    <row r="1191">
      <c r="A1191" t="s">
        <v>2508</v>
      </c>
      <c r="B1191">
        <f>'S loans(c27)'!G185</f>
      </c>
    </row>
    <row r="1192">
      <c r="A1192" t="s">
        <v>2509</v>
      </c>
      <c r="B1192">
        <f>'S loans(c27)'!G188</f>
      </c>
    </row>
    <row r="1193">
      <c r="A1193" t="s">
        <v>2510</v>
      </c>
      <c r="B1193">
        <f>'S loans(c27)'!G191</f>
      </c>
    </row>
    <row r="1194">
      <c r="A1194" t="s">
        <v>2511</v>
      </c>
      <c r="B1194">
        <f>'S loans(c27)'!G194</f>
      </c>
    </row>
    <row r="1195">
      <c r="A1195" t="s">
        <v>2512</v>
      </c>
      <c r="B1195">
        <f>'S loans(c27)'!G197</f>
      </c>
    </row>
    <row r="1196">
      <c r="A1196" t="s">
        <v>2513</v>
      </c>
      <c r="B1196">
        <f>'S loans(c27)'!K201</f>
      </c>
    </row>
    <row r="1197">
      <c r="A1197" t="s">
        <v>4024</v>
      </c>
      <c r="B1197">
        <f>'S loans(c27)'!G25</f>
      </c>
    </row>
    <row r="1198">
      <c r="A1198" t="s">
        <v>2514</v>
      </c>
      <c r="B1198">
        <f>'S loans(c27)'!K204</f>
      </c>
    </row>
    <row r="1199">
      <c r="A1199" t="s">
        <v>7433</v>
      </c>
      <c r="B1199">
        <f>'S loans(c27)'!K208</f>
      </c>
    </row>
    <row r="1200">
      <c r="A1200" t="s">
        <v>2515</v>
      </c>
      <c r="B1200">
        <f>'S loans(c27)'!K219</f>
      </c>
    </row>
    <row r="1201">
      <c r="A1201" t="s">
        <v>2516</v>
      </c>
      <c r="B1201">
        <f>'S loans(c27)'!K222</f>
      </c>
    </row>
    <row r="1202">
      <c r="A1202" t="s">
        <v>2517</v>
      </c>
      <c r="B1202">
        <f>'S loans(c27)'!K225</f>
      </c>
    </row>
    <row r="1203">
      <c r="A1203" t="s">
        <v>7434</v>
      </c>
      <c r="B1203">
        <f>'S loans(c27)'!K232</f>
      </c>
    </row>
    <row r="1204">
      <c r="A1204" t="s">
        <v>7435</v>
      </c>
      <c r="B1204">
        <f>'S loans(c27)'!K235</f>
      </c>
    </row>
    <row r="1205">
      <c r="A1205" t="s">
        <v>7436</v>
      </c>
      <c r="B1205">
        <f>'S loans(c27)'!K238</f>
      </c>
    </row>
    <row r="1206">
      <c r="A1206" t="s">
        <v>2265</v>
      </c>
      <c r="B1206">
        <f>'S loans(c27)'!K254</f>
      </c>
    </row>
    <row r="1207">
      <c r="A1207" t="s">
        <v>7437</v>
      </c>
      <c r="B1207">
        <f>'S loans(c27)'!K273</f>
      </c>
    </row>
    <row r="1208">
      <c r="A1208" t="s">
        <v>4025</v>
      </c>
      <c r="B1208">
        <f>'S loans(c27)'!G28</f>
      </c>
    </row>
    <row r="1209">
      <c r="A1209" t="s">
        <v>2017</v>
      </c>
      <c r="B1209">
        <f>'S loans(c27)'!K38</f>
      </c>
    </row>
    <row r="1210">
      <c r="A1210" t="s">
        <v>7084</v>
      </c>
      <c r="B1210">
        <f>'S loans(c27)'!G32</f>
      </c>
    </row>
    <row r="1211">
      <c r="A1211" t="s">
        <v>7085</v>
      </c>
      <c r="B1211">
        <f>'S loans(c27)'!G35</f>
      </c>
    </row>
    <row r="1212">
      <c r="A1212" t="s">
        <v>7086</v>
      </c>
      <c r="B1212">
        <f>'S loans(c27)'!G38</f>
      </c>
    </row>
    <row r="1213">
      <c r="A1213" t="s">
        <v>1156</v>
      </c>
      <c r="B1213">
        <f>'S loans(c27)'!G53</f>
      </c>
    </row>
    <row r="1214">
      <c r="A1214" t="s">
        <v>1157</v>
      </c>
      <c r="B1214">
        <f>'S loans(c27)'!G57</f>
      </c>
    </row>
    <row r="1215">
      <c r="A1215" t="s">
        <v>7430</v>
      </c>
      <c r="B1215">
        <f>'S loans(c27)'!G73</f>
      </c>
    </row>
    <row r="1216">
      <c r="A1216" t="s">
        <v>7431</v>
      </c>
      <c r="B1216">
        <f>'S loans(c27)'!G77</f>
      </c>
    </row>
    <row r="1217">
      <c r="A1217" t="s">
        <v>1158</v>
      </c>
      <c r="B1217">
        <f>'S loans(c27)'!G90</f>
      </c>
    </row>
    <row r="1218">
      <c r="A1218" t="s">
        <v>7057</v>
      </c>
      <c r="B1218">
        <f>'S loans(c27)'!G81</f>
      </c>
    </row>
    <row r="1219">
      <c r="A1219" t="s">
        <v>7058</v>
      </c>
      <c r="B1219">
        <f>'S loans(c27)'!G84</f>
      </c>
    </row>
    <row r="1220">
      <c r="A1220" t="s">
        <v>7059</v>
      </c>
      <c r="B1220">
        <f>'S loans(c27)'!G87</f>
      </c>
    </row>
    <row r="1221">
      <c r="A1221" t="s">
        <v>2460</v>
      </c>
      <c r="B1221">
        <f>'CBC(c28)'!J6</f>
      </c>
    </row>
    <row r="1222">
      <c r="A1222" t="s">
        <v>3045</v>
      </c>
      <c r="B1222">
        <f>'CBC(c28)'!J28</f>
      </c>
    </row>
    <row r="1223">
      <c r="A1223" t="s">
        <v>3046</v>
      </c>
      <c r="B1223">
        <f>'CBC(c28)'!D31</f>
      </c>
    </row>
    <row r="1224">
      <c r="A1224" t="s">
        <v>3047</v>
      </c>
      <c r="B1224">
        <f>'CBC(c28)'!J31</f>
      </c>
    </row>
    <row r="1225">
      <c r="A1225" t="s">
        <v>3048</v>
      </c>
      <c r="B1225">
        <f>'CBC(c28)'!J34</f>
      </c>
    </row>
    <row r="1226">
      <c r="A1226" t="s">
        <v>3049</v>
      </c>
      <c r="B1226">
        <f>'CBC(c28)'!J37</f>
      </c>
    </row>
    <row r="1227">
      <c r="A1227" t="s">
        <v>2461</v>
      </c>
      <c r="B1227">
        <f>'CBC(c28)'!J8</f>
      </c>
    </row>
    <row r="1228">
      <c r="A1228" t="s">
        <v>2462</v>
      </c>
      <c r="B1228">
        <f>'CBC(c28)'!J10</f>
      </c>
    </row>
    <row r="1229">
      <c r="A1229" t="s">
        <v>2463</v>
      </c>
      <c r="B1229">
        <f>'CBC(c28)'!J12</f>
      </c>
    </row>
    <row r="1230">
      <c r="A1230" t="s">
        <v>2464</v>
      </c>
      <c r="B1230">
        <f>'CBC(c28)'!J14</f>
      </c>
    </row>
    <row r="1231">
      <c r="A1231" t="s">
        <v>2465</v>
      </c>
      <c r="B1231">
        <f>'CBC(c28)'!J16</f>
      </c>
    </row>
    <row r="1232">
      <c r="A1232" t="s">
        <v>2466</v>
      </c>
      <c r="B1232">
        <f>'CBC(c28)'!J19</f>
      </c>
    </row>
    <row r="1233">
      <c r="A1233" t="s">
        <v>2467</v>
      </c>
      <c r="B1233">
        <f>'CBC(c28)'!J22</f>
      </c>
    </row>
    <row r="1234">
      <c r="A1234" t="s">
        <v>2468</v>
      </c>
      <c r="B1234">
        <f>'CBC(c28)'!J25</f>
      </c>
    </row>
    <row r="1235">
      <c r="A1235" t="s">
        <v>2503</v>
      </c>
      <c r="B1235">
        <f>'non-res (c91)'!D15</f>
      </c>
    </row>
    <row r="1236">
      <c r="A1236" t="s">
        <v>1554</v>
      </c>
      <c r="B1236">
        <f>'non-res (c91)'!I50</f>
      </c>
    </row>
    <row r="1237">
      <c r="A1237" t="s">
        <v>1555</v>
      </c>
      <c r="B1237">
        <f>'non-res (c91)'!I53</f>
      </c>
    </row>
    <row r="1238">
      <c r="A1238" t="s">
        <v>1556</v>
      </c>
      <c r="B1238">
        <f>'non-res (c91)'!I56</f>
      </c>
    </row>
    <row r="1239">
      <c r="A1239" t="s">
        <v>1557</v>
      </c>
      <c r="B1239">
        <f>'non-res (c91)'!I59</f>
      </c>
    </row>
    <row r="1240">
      <c r="A1240" t="s">
        <v>991</v>
      </c>
      <c r="B1240">
        <f>'non-res (c91)'!N59</f>
      </c>
    </row>
    <row r="1241">
      <c r="A1241" t="s">
        <v>992</v>
      </c>
      <c r="B1241">
        <f>'non-res (c91)'!D65</f>
      </c>
    </row>
    <row r="1242">
      <c r="A1242" t="s">
        <v>993</v>
      </c>
      <c r="B1242">
        <f>'non-res (c91)'!I68</f>
      </c>
    </row>
    <row r="1243">
      <c r="A1243" t="s">
        <v>994</v>
      </c>
      <c r="B1243">
        <f>'non-res (c91)'!I72</f>
      </c>
    </row>
    <row r="1244">
      <c r="A1244" t="s">
        <v>995</v>
      </c>
      <c r="B1244">
        <f>'non-res (c91)'!I76</f>
      </c>
    </row>
    <row r="1245">
      <c r="A1245" t="s">
        <v>996</v>
      </c>
      <c r="B1245">
        <f>'non-res (c91)'!I79</f>
      </c>
    </row>
    <row r="1246">
      <c r="A1246" t="s">
        <v>2504</v>
      </c>
      <c r="B1246">
        <f>'non-res (c91)'!I19</f>
      </c>
    </row>
    <row r="1247">
      <c r="A1247" t="s">
        <v>997</v>
      </c>
      <c r="B1247">
        <f>'non-res (c91)'!I82</f>
      </c>
    </row>
    <row r="1248">
      <c r="A1248" t="s">
        <v>998</v>
      </c>
      <c r="B1248">
        <f>'non-res (c91)'!I86</f>
      </c>
    </row>
    <row r="1249">
      <c r="A1249" t="s">
        <v>999</v>
      </c>
      <c r="B1249">
        <f>'non-res (c91)'!I89</f>
      </c>
    </row>
    <row r="1250">
      <c r="A1250" t="s">
        <v>6503</v>
      </c>
      <c r="B1250">
        <f>'non-res (c91)'!I93</f>
      </c>
    </row>
    <row r="1251">
      <c r="A1251" t="s">
        <v>1000</v>
      </c>
      <c r="B1251">
        <f>'non-res (c91)'!N93</f>
      </c>
    </row>
    <row r="1252">
      <c r="A1252" t="s">
        <v>1001</v>
      </c>
      <c r="B1252">
        <f>'non-res (c91)'!D99</f>
      </c>
    </row>
    <row r="1253">
      <c r="A1253" t="s">
        <v>1002</v>
      </c>
      <c r="B1253">
        <f>'non-res (c91)'!D105</f>
      </c>
    </row>
    <row r="1254">
      <c r="A1254" t="s">
        <v>1003</v>
      </c>
      <c r="B1254">
        <f>'non-res (c91)'!D109</f>
      </c>
    </row>
    <row r="1255">
      <c r="A1255" t="s">
        <v>1004</v>
      </c>
      <c r="B1255">
        <f>'non-res (c91)'!I116</f>
      </c>
    </row>
    <row r="1256">
      <c r="A1256" t="s">
        <v>1005</v>
      </c>
      <c r="B1256">
        <f>'non-res (c91)'!N116</f>
      </c>
    </row>
    <row r="1257">
      <c r="A1257" t="s">
        <v>1006</v>
      </c>
      <c r="B1257">
        <f>'non-res (c91)'!S19</f>
      </c>
    </row>
    <row r="1258">
      <c r="A1258" t="s">
        <v>2505</v>
      </c>
      <c r="B1258">
        <f>'non-res (c91)'!I22</f>
      </c>
    </row>
    <row r="1259">
      <c r="A1259" t="s">
        <v>1007</v>
      </c>
      <c r="B1259">
        <f>'non-res (c91)'!S22</f>
      </c>
    </row>
    <row r="1260">
      <c r="A1260" t="s">
        <v>6454</v>
      </c>
      <c r="B1260">
        <f>'non-res (c91)'!S25</f>
      </c>
    </row>
    <row r="1261">
      <c r="A1261" t="s">
        <v>1008</v>
      </c>
      <c r="B1261">
        <f>'non-res (c91)'!S28</f>
      </c>
    </row>
    <row r="1262">
      <c r="A1262" t="s">
        <v>6511</v>
      </c>
      <c r="B1262">
        <f>'non-res (c91)'!S33</f>
      </c>
    </row>
    <row r="1263">
      <c r="A1263" t="s">
        <v>1009</v>
      </c>
      <c r="B1263">
        <f>'non-res (c91)'!S47</f>
      </c>
    </row>
    <row r="1264">
      <c r="A1264" t="s">
        <v>1010</v>
      </c>
      <c r="B1264">
        <f>'non-res (c91)'!S53</f>
      </c>
    </row>
    <row r="1265">
      <c r="A1265" t="s">
        <v>958</v>
      </c>
      <c r="B1265">
        <f>'non-res (c91)'!S56</f>
      </c>
    </row>
    <row r="1266">
      <c r="A1266" t="s">
        <v>6455</v>
      </c>
      <c r="B1266">
        <f>'non-res (c91)'!S59</f>
      </c>
    </row>
    <row r="1267">
      <c r="A1267" t="s">
        <v>6506</v>
      </c>
      <c r="B1267">
        <f>'non-res (c91)'!S79</f>
      </c>
    </row>
    <row r="1268">
      <c r="A1268" t="s">
        <v>6507</v>
      </c>
      <c r="B1268">
        <f>'non-res (c91)'!S82</f>
      </c>
    </row>
    <row r="1269">
      <c r="A1269" t="s">
        <v>6508</v>
      </c>
      <c r="B1269">
        <f>'non-res (c91)'!S93</f>
      </c>
    </row>
    <row r="1270">
      <c r="A1270" t="s">
        <v>959</v>
      </c>
      <c r="B1270">
        <f>'non-res (c91)'!S116</f>
      </c>
    </row>
    <row r="1271">
      <c r="A1271" t="s">
        <v>6456</v>
      </c>
      <c r="B1271">
        <f>'non-res (c91)'!I25</f>
      </c>
    </row>
    <row r="1272">
      <c r="A1272" t="s">
        <v>2506</v>
      </c>
      <c r="B1272">
        <f>'non-res (c91)'!I28</f>
      </c>
    </row>
    <row r="1273">
      <c r="A1273" t="s">
        <v>2507</v>
      </c>
      <c r="B1273">
        <f>'non-res (c91)'!I33</f>
      </c>
    </row>
    <row r="1274">
      <c r="A1274" t="s">
        <v>1550</v>
      </c>
      <c r="B1274">
        <f>'non-res (c91)'!N33</f>
      </c>
    </row>
    <row r="1275">
      <c r="A1275" t="s">
        <v>1551</v>
      </c>
      <c r="B1275">
        <f>'non-res (c91)'!D39</f>
      </c>
    </row>
    <row r="1276">
      <c r="A1276" t="s">
        <v>1552</v>
      </c>
      <c r="B1276">
        <f>'non-res (c91)'!D44</f>
      </c>
    </row>
    <row r="1277">
      <c r="A1277" t="s">
        <v>1553</v>
      </c>
      <c r="B1277">
        <f>'non-res (c91)'!I47</f>
      </c>
    </row>
  </sheetData>
  <pageMargins bottom="0.75" footer="0.3" header="0.3" left="0.7" right="0.7" top="0.75"/>
</worksheet>
</file>

<file path=xl/worksheets/sheet498.xml><?xml version="1.0" encoding="utf-8"?>
<worksheet xmlns="http://schemas.openxmlformats.org/spreadsheetml/2006/main">
  <dimension ref="A1:C179"/>
  <sheetViews>
    <sheetView workbookViewId="0"/>
  </sheetViews>
  <sheetFormatPr defaultRowHeight="15.0"/>
  <sheetData>
    <row r="1">
      <c r="A1" t="s">
        <v>2774</v>
      </c>
      <c r="B1">
        <f>'IRCX_template'!D2</f>
      </c>
    </row>
    <row r="2">
      <c r="A2" t="s">
        <v>2392</v>
      </c>
      <c r="B2">
        <f>'IRCX_template'!D11</f>
      </c>
    </row>
    <row r="3">
      <c r="A3" t="s">
        <v>1042</v>
      </c>
      <c r="B3">
        <f>'IRCX_template'!I6</f>
      </c>
    </row>
    <row r="4">
      <c r="A4" t="s">
        <v>3823</v>
      </c>
      <c r="B4">
        <f>'IRCX_template'!I7</f>
      </c>
    </row>
    <row r="5">
      <c r="A5" t="s">
        <v>2766</v>
      </c>
      <c r="B5">
        <f>'IRCX_template'!I8</f>
      </c>
    </row>
    <row r="6">
      <c r="A6" t="s">
        <v>6555</v>
      </c>
      <c r="B6">
        <f>'IRCX_template'!I9</f>
      </c>
    </row>
    <row r="7">
      <c r="A7" t="s">
        <v>3350</v>
      </c>
      <c r="B7">
        <f>'IRCX_template'!I10</f>
      </c>
    </row>
    <row r="8">
      <c r="A8" t="s">
        <v>566</v>
      </c>
      <c r="B8">
        <f>'IRCX_template'!I11</f>
      </c>
    </row>
    <row r="9">
      <c r="A9" t="s">
        <v>2470</v>
      </c>
      <c r="B9">
        <f>'IRCX_template'!I12</f>
      </c>
    </row>
    <row r="10">
      <c r="A10" t="s">
        <v>8463</v>
      </c>
      <c r="B10">
        <f>'IRCX_template'!I13</f>
      </c>
    </row>
    <row r="11">
      <c r="A11" t="s">
        <v>5904</v>
      </c>
      <c r="B11">
        <f>'IRCX_template'!I14</f>
      </c>
    </row>
    <row r="12">
      <c r="A12" t="s">
        <v>1382</v>
      </c>
      <c r="B12">
        <f>'IRCX_template'!I15</f>
      </c>
    </row>
    <row r="13">
      <c r="A13" t="s">
        <v>3824</v>
      </c>
      <c r="B13">
        <f>'IRCX_template'!D12</f>
      </c>
    </row>
    <row r="14">
      <c r="A14" t="s">
        <v>1384</v>
      </c>
      <c r="B14">
        <f>'IRCX_template'!I16</f>
      </c>
    </row>
    <row r="15">
      <c r="A15" t="s">
        <v>1386</v>
      </c>
      <c r="B15">
        <f>'IRCX_template'!I17</f>
      </c>
    </row>
    <row r="16">
      <c r="A16" t="s">
        <v>1388</v>
      </c>
      <c r="B16">
        <f>'IRCX_template'!I18</f>
      </c>
    </row>
    <row r="17">
      <c r="A17" t="s">
        <v>1096</v>
      </c>
      <c r="B17">
        <f>'IRCX_template'!I19</f>
      </c>
    </row>
    <row r="18">
      <c r="A18" t="s">
        <v>6522</v>
      </c>
      <c r="B18">
        <f>'IRCX_template'!I20</f>
      </c>
    </row>
    <row r="19">
      <c r="A19" t="s">
        <v>6523</v>
      </c>
      <c r="B19">
        <f>'IRCX_template'!I21</f>
      </c>
    </row>
    <row r="20">
      <c r="A20" t="s">
        <v>1720</v>
      </c>
      <c r="B20">
        <f>'IRCX_template'!I22</f>
      </c>
    </row>
    <row r="21">
      <c r="A21" t="s">
        <v>1720</v>
      </c>
      <c r="B21">
        <f>'IRCX_template'!I23</f>
      </c>
    </row>
    <row r="22">
      <c r="A22" t="s">
        <v>1722</v>
      </c>
      <c r="B22">
        <f>'IRCX_template'!I24</f>
      </c>
    </row>
    <row r="23">
      <c r="A23" t="s">
        <v>1724</v>
      </c>
      <c r="B23">
        <f>'IRCX_template'!I25</f>
      </c>
    </row>
    <row r="24">
      <c r="A24" t="s">
        <v>3002</v>
      </c>
      <c r="B24">
        <f>'IRCX_template'!D13</f>
      </c>
    </row>
    <row r="25">
      <c r="A25" t="s">
        <v>1726</v>
      </c>
      <c r="B25">
        <f>'IRCX_template'!I26</f>
      </c>
    </row>
    <row r="26">
      <c r="A26" t="s">
        <v>1727</v>
      </c>
      <c r="B26">
        <f>'IRCX_template'!I27</f>
      </c>
    </row>
    <row r="27">
      <c r="A27" t="s">
        <v>4378</v>
      </c>
      <c r="B27">
        <f>'IRCX_template'!I28</f>
      </c>
    </row>
    <row r="28">
      <c r="A28" t="s">
        <v>4381</v>
      </c>
      <c r="B28">
        <f>'IRCX_template'!I29</f>
      </c>
    </row>
    <row r="29">
      <c r="A29" t="s">
        <v>4291</v>
      </c>
      <c r="B29">
        <f>'IRCX_template'!I30</f>
      </c>
    </row>
    <row r="30">
      <c r="A30" t="s">
        <v>1347</v>
      </c>
      <c r="B30">
        <f>'IRCX_template'!I31</f>
      </c>
    </row>
    <row r="31">
      <c r="A31" t="s">
        <v>1349</v>
      </c>
      <c r="B31">
        <f>'IRCX_template'!I32</f>
      </c>
    </row>
    <row r="32">
      <c r="A32" t="s">
        <v>1350</v>
      </c>
      <c r="B32">
        <f>'IRCX_template'!I33</f>
      </c>
    </row>
    <row r="33">
      <c r="A33" t="s">
        <v>7441</v>
      </c>
      <c r="B33">
        <f>'IRCX_template'!I34</f>
      </c>
    </row>
    <row r="34">
      <c r="A34" t="s">
        <v>2470</v>
      </c>
      <c r="B34">
        <f>'IRCX_template'!I35</f>
      </c>
    </row>
    <row r="35">
      <c r="A35" t="s">
        <v>7741</v>
      </c>
      <c r="B35">
        <f>'IRCX_template'!D14</f>
      </c>
    </row>
    <row r="36">
      <c r="A36" t="s">
        <v>2984</v>
      </c>
      <c r="B36">
        <f>'IRCX_template'!I36</f>
      </c>
    </row>
    <row r="37">
      <c r="A37" t="s">
        <v>2985</v>
      </c>
      <c r="B37">
        <f>'IRCX_template'!I37</f>
      </c>
    </row>
    <row r="38">
      <c r="A38" t="s">
        <v>58</v>
      </c>
      <c r="B38">
        <f>'IRCX_template'!I38</f>
      </c>
    </row>
    <row r="39">
      <c r="A39" t="s">
        <v>3297</v>
      </c>
      <c r="B39">
        <f>'IRCX_template'!I39</f>
      </c>
    </row>
    <row r="40">
      <c r="A40" t="s">
        <v>3298</v>
      </c>
      <c r="B40">
        <f>'IRCX_template'!I40</f>
      </c>
    </row>
    <row r="41">
      <c r="A41" t="s">
        <v>3299</v>
      </c>
      <c r="B41">
        <f>'IRCX_template'!I41</f>
      </c>
    </row>
    <row r="42">
      <c r="A42" t="s">
        <v>566</v>
      </c>
      <c r="B42">
        <f>'IRCX_template'!I42</f>
      </c>
    </row>
    <row r="43">
      <c r="A43" t="s">
        <v>5904</v>
      </c>
      <c r="B43">
        <f>'IRCX_template'!I43</f>
      </c>
    </row>
    <row r="44">
      <c r="A44" t="s">
        <v>5905</v>
      </c>
      <c r="B44">
        <f>'IRCX_template'!I44</f>
      </c>
    </row>
    <row r="45">
      <c r="A45" t="s">
        <v>3907</v>
      </c>
      <c r="B45">
        <f>'IRCX_template'!I45</f>
      </c>
    </row>
    <row r="46">
      <c r="A46" t="s">
        <v>2767</v>
      </c>
      <c r="B46">
        <f>'IRCX_template'!D15</f>
      </c>
    </row>
    <row r="47">
      <c r="A47" t="s">
        <v>3908</v>
      </c>
      <c r="B47">
        <f>'IRCX_template'!I46</f>
      </c>
    </row>
    <row r="48">
      <c r="A48" t="s">
        <v>2067</v>
      </c>
      <c r="B48">
        <f>'IRCX_template'!I47</f>
      </c>
    </row>
    <row r="49">
      <c r="A49" t="s">
        <v>2068</v>
      </c>
      <c r="B49">
        <f>'IRCX_template'!I48</f>
      </c>
    </row>
    <row r="50">
      <c r="A50" t="s">
        <v>2070</v>
      </c>
      <c r="B50">
        <f>'IRCX_template'!I49</f>
      </c>
    </row>
    <row r="51">
      <c r="A51" t="s">
        <v>2325</v>
      </c>
      <c r="B51">
        <f>'IRCX_template'!I50</f>
      </c>
    </row>
    <row r="52">
      <c r="A52" t="s">
        <v>636</v>
      </c>
      <c r="B52">
        <f>'IRCX_template'!I51</f>
      </c>
    </row>
    <row r="53">
      <c r="A53" t="s">
        <v>3330</v>
      </c>
      <c r="B53">
        <f>'IRCX_template'!I52</f>
      </c>
    </row>
    <row r="54">
      <c r="A54" t="s">
        <v>3333</v>
      </c>
      <c r="B54">
        <f>'IRCX_template'!I53</f>
      </c>
    </row>
    <row r="55">
      <c r="A55" t="s">
        <v>1790</v>
      </c>
      <c r="B55">
        <f>'IRCX_template'!I54</f>
      </c>
    </row>
    <row r="56">
      <c r="A56" t="s">
        <v>2837</v>
      </c>
      <c r="B56">
        <f>'IRCX_template'!I55</f>
      </c>
    </row>
    <row r="57">
      <c r="A57" t="s">
        <v>1402</v>
      </c>
      <c r="B57">
        <f>'IRCX_template'!D16</f>
      </c>
    </row>
    <row r="58">
      <c r="A58" t="s">
        <v>2840</v>
      </c>
      <c r="B58">
        <f>'IRCX_template'!I56</f>
      </c>
    </row>
    <row r="59">
      <c r="A59" t="s">
        <v>2843</v>
      </c>
      <c r="B59">
        <f>'IRCX_template'!I57</f>
      </c>
    </row>
    <row r="60">
      <c r="A60" t="s">
        <v>1513</v>
      </c>
      <c r="B60">
        <f>'IRCX_template'!I58</f>
      </c>
    </row>
    <row r="61">
      <c r="A61" t="s">
        <v>3584</v>
      </c>
      <c r="B61">
        <f>'IRCX_template'!I59</f>
      </c>
    </row>
    <row r="62">
      <c r="A62" t="s">
        <v>1516</v>
      </c>
      <c r="B62">
        <f>'IRCX_template'!I60</f>
      </c>
    </row>
    <row r="63">
      <c r="A63" t="s">
        <v>6522</v>
      </c>
      <c r="B63">
        <f>'IRCX_template'!I61</f>
      </c>
    </row>
    <row r="64">
      <c r="A64" t="s">
        <v>6523</v>
      </c>
      <c r="B64">
        <f>'IRCX_template'!I62</f>
      </c>
    </row>
    <row r="65">
      <c r="A65" t="s">
        <v>6524</v>
      </c>
      <c r="B65">
        <f>'IRCX_template'!I63</f>
      </c>
    </row>
    <row r="66">
      <c r="A66" t="s">
        <v>3587</v>
      </c>
      <c r="B66">
        <f>'IRCX_template'!I64</f>
      </c>
    </row>
    <row r="67">
      <c r="A67" t="s">
        <v>3590</v>
      </c>
      <c r="B67">
        <f>'IRCX_template'!I65</f>
      </c>
    </row>
    <row r="68">
      <c r="A68" t="s">
        <v>1383</v>
      </c>
      <c r="B68">
        <f>'IRCX_template'!D17</f>
      </c>
    </row>
    <row r="69">
      <c r="A69" t="s">
        <v>2299</v>
      </c>
      <c r="B69">
        <f>'IRCX_template'!I66</f>
      </c>
    </row>
    <row r="70">
      <c r="A70" t="s">
        <v>2300</v>
      </c>
      <c r="B70">
        <f>'IRCX_template'!I67</f>
      </c>
    </row>
    <row r="71">
      <c r="A71" t="s">
        <v>5370</v>
      </c>
      <c r="B71">
        <f>'IRCX_template'!I68</f>
      </c>
    </row>
    <row r="72">
      <c r="A72" t="s">
        <v>5371</v>
      </c>
      <c r="B72">
        <f>'IRCX_template'!I69</f>
      </c>
    </row>
    <row r="73">
      <c r="A73" t="s">
        <v>5372</v>
      </c>
      <c r="B73">
        <f>'IRCX_template'!I70</f>
      </c>
    </row>
    <row r="74">
      <c r="A74" t="s">
        <v>5373</v>
      </c>
      <c r="B74">
        <f>'IRCX_template'!I71</f>
      </c>
    </row>
    <row r="75">
      <c r="A75" t="s">
        <v>2304</v>
      </c>
      <c r="B75">
        <f>'IRCX_template'!I72</f>
      </c>
    </row>
    <row r="76">
      <c r="A76" t="s">
        <v>2305</v>
      </c>
      <c r="B76">
        <f>'IRCX_template'!I73</f>
      </c>
    </row>
    <row r="77">
      <c r="A77" t="s">
        <v>2306</v>
      </c>
      <c r="B77">
        <f>'IRCX_template'!I74</f>
      </c>
    </row>
    <row r="78">
      <c r="A78" t="s">
        <v>2307</v>
      </c>
      <c r="B78">
        <f>'IRCX_template'!I75</f>
      </c>
    </row>
    <row r="79">
      <c r="A79" t="s">
        <v>1385</v>
      </c>
      <c r="B79">
        <f>'IRCX_template'!D18</f>
      </c>
    </row>
    <row r="80">
      <c r="A80" t="s">
        <v>1425</v>
      </c>
      <c r="B80">
        <f>'IRCX_template'!I76</f>
      </c>
    </row>
    <row r="81">
      <c r="A81" t="s">
        <v>2691</v>
      </c>
      <c r="B81">
        <f>'IRCX_template'!I77</f>
      </c>
    </row>
    <row r="82">
      <c r="A82" t="s">
        <v>3347</v>
      </c>
      <c r="B82">
        <f>'IRCX_template'!I78</f>
      </c>
    </row>
    <row r="83">
      <c r="A83" t="s">
        <v>1648</v>
      </c>
      <c r="B83">
        <f>'IRCX_template'!I79</f>
      </c>
    </row>
    <row r="84">
      <c r="A84" t="s">
        <v>5375</v>
      </c>
      <c r="B84">
        <f>'IRCX_template'!I80</f>
      </c>
    </row>
    <row r="85">
      <c r="A85" t="s">
        <v>3350</v>
      </c>
      <c r="B85">
        <f>'IRCX_template'!I81</f>
      </c>
    </row>
    <row r="86">
      <c r="A86" t="s">
        <v>3353</v>
      </c>
      <c r="B86">
        <f>'IRCX_template'!I82</f>
      </c>
    </row>
    <row r="87">
      <c r="A87" t="s">
        <v>2896</v>
      </c>
      <c r="B87">
        <f>'IRCX_template'!I83</f>
      </c>
    </row>
    <row r="88">
      <c r="A88" t="s">
        <v>2899</v>
      </c>
      <c r="B88">
        <f>'IRCX_template'!I84</f>
      </c>
    </row>
    <row r="89">
      <c r="A89" t="s">
        <v>6119</v>
      </c>
      <c r="B89">
        <f>'IRCX_template'!I85</f>
      </c>
    </row>
    <row r="90">
      <c r="A90" t="s">
        <v>1387</v>
      </c>
      <c r="B90">
        <f>'IRCX_template'!D19</f>
      </c>
    </row>
    <row r="91">
      <c r="A91" t="s">
        <v>1389</v>
      </c>
      <c r="B91">
        <f>'IRCX_template'!D20</f>
      </c>
    </row>
    <row r="92">
      <c r="A92" t="s">
        <v>3342</v>
      </c>
      <c r="B92">
        <f>'IRCX_template'!D3</f>
      </c>
    </row>
    <row r="93">
      <c r="A93" t="s">
        <v>1097</v>
      </c>
      <c r="B93">
        <f>'IRCX_template'!D21</f>
      </c>
    </row>
    <row r="94">
      <c r="A94" t="s">
        <v>1725</v>
      </c>
      <c r="B94">
        <f>'IRCX_template'!D22</f>
      </c>
    </row>
    <row r="95">
      <c r="A95" t="s">
        <v>1723</v>
      </c>
      <c r="B95">
        <f>'IRCX_template'!D23</f>
      </c>
    </row>
    <row r="96">
      <c r="A96" t="s">
        <v>1721</v>
      </c>
      <c r="B96">
        <f>'IRCX_template'!D24</f>
      </c>
    </row>
    <row r="97">
      <c r="A97" t="s">
        <v>2744</v>
      </c>
      <c r="B97">
        <f>'IRCX_template'!D25</f>
      </c>
    </row>
    <row r="98">
      <c r="A98" t="s">
        <v>1346</v>
      </c>
      <c r="B98">
        <f>'IRCX_template'!D26</f>
      </c>
    </row>
    <row r="99">
      <c r="A99" t="s">
        <v>1348</v>
      </c>
      <c r="B99">
        <f>'IRCX_template'!D27</f>
      </c>
    </row>
    <row r="100">
      <c r="A100" t="s">
        <v>1351</v>
      </c>
      <c r="B100">
        <f>'IRCX_template'!D28</f>
      </c>
    </row>
    <row r="101">
      <c r="A101" t="s">
        <v>4299</v>
      </c>
      <c r="B101">
        <f>'IRCX_template'!D29</f>
      </c>
    </row>
    <row r="102">
      <c r="A102" t="s">
        <v>3909</v>
      </c>
      <c r="B102">
        <f>'IRCX_template'!D30</f>
      </c>
    </row>
    <row r="103">
      <c r="A103" t="s">
        <v>3343</v>
      </c>
      <c r="B103">
        <f>'IRCX_template'!D4</f>
      </c>
    </row>
    <row r="104">
      <c r="A104" t="s">
        <v>2326</v>
      </c>
      <c r="B104">
        <f>'IRCX_template'!D31</f>
      </c>
    </row>
    <row r="105">
      <c r="A105" t="s">
        <v>637</v>
      </c>
      <c r="B105">
        <f>'IRCX_template'!D32</f>
      </c>
    </row>
    <row r="106">
      <c r="A106" t="s">
        <v>3331</v>
      </c>
      <c r="B106">
        <f>'IRCX_template'!D33</f>
      </c>
    </row>
    <row r="107">
      <c r="A107" t="s">
        <v>3334</v>
      </c>
      <c r="B107">
        <f>'IRCX_template'!D34</f>
      </c>
    </row>
    <row r="108">
      <c r="A108" t="s">
        <v>1791</v>
      </c>
      <c r="B108">
        <f>'IRCX_template'!D35</f>
      </c>
    </row>
    <row r="109">
      <c r="A109" t="s">
        <v>2838</v>
      </c>
      <c r="B109">
        <f>'IRCX_template'!D36</f>
      </c>
    </row>
    <row r="110">
      <c r="A110" t="s">
        <v>2841</v>
      </c>
      <c r="B110">
        <f>'IRCX_template'!D37</f>
      </c>
    </row>
    <row r="111">
      <c r="A111" t="s">
        <v>7037</v>
      </c>
      <c r="B111">
        <f>'IRCX_template'!D38</f>
      </c>
    </row>
    <row r="112">
      <c r="A112" t="s">
        <v>2838</v>
      </c>
      <c r="B112">
        <f>'IRCX_template'!D39</f>
      </c>
    </row>
    <row r="113">
      <c r="A113" t="s">
        <v>6475</v>
      </c>
      <c r="B113">
        <f>'IRCX_template'!D40</f>
      </c>
    </row>
    <row r="114">
      <c r="A114" t="s">
        <v>3345</v>
      </c>
      <c r="B114">
        <f>'IRCX_template'!D5</f>
      </c>
    </row>
    <row r="115">
      <c r="A115" t="s">
        <v>1791</v>
      </c>
      <c r="B115">
        <f>'IRCX_template'!D41</f>
      </c>
    </row>
    <row r="116">
      <c r="A116" t="s">
        <v>6777</v>
      </c>
      <c r="B116">
        <f>'IRCX_template'!D42</f>
      </c>
    </row>
    <row r="117">
      <c r="A117" t="s">
        <v>6778</v>
      </c>
      <c r="B117">
        <f>'IRCX_template'!D43</f>
      </c>
    </row>
    <row r="118">
      <c r="A118" t="s">
        <v>1514</v>
      </c>
      <c r="B118">
        <f>'IRCX_template'!D44</f>
      </c>
    </row>
    <row r="119">
      <c r="A119" t="s">
        <v>1529</v>
      </c>
      <c r="B119">
        <f>'IRCX_template'!D45</f>
      </c>
    </row>
    <row r="120">
      <c r="A120" t="s">
        <v>6779</v>
      </c>
      <c r="B120">
        <f>'IRCX_template'!D46</f>
      </c>
    </row>
    <row r="121">
      <c r="A121" t="s">
        <v>6780</v>
      </c>
      <c r="B121">
        <f>'IRCX_template'!D47</f>
      </c>
    </row>
    <row r="122">
      <c r="A122" t="s">
        <v>3585</v>
      </c>
      <c r="B122">
        <f>'IRCX_template'!D48</f>
      </c>
    </row>
    <row r="123">
      <c r="A123" t="s">
        <v>3588</v>
      </c>
      <c r="B123">
        <f>'IRCX_template'!D49</f>
      </c>
    </row>
    <row r="124">
      <c r="A124" t="s">
        <v>2994</v>
      </c>
      <c r="B124">
        <f>'IRCX_template'!D50</f>
      </c>
    </row>
    <row r="125">
      <c r="A125" t="s">
        <v>2700</v>
      </c>
      <c r="B125">
        <f>'IRCX_template'!D6</f>
      </c>
    </row>
    <row r="126">
      <c r="A126" t="s">
        <v>2995</v>
      </c>
      <c r="B126">
        <f>'IRCX_template'!D51</f>
      </c>
    </row>
    <row r="127">
      <c r="A127" t="s">
        <v>3362</v>
      </c>
      <c r="B127">
        <f>'IRCX_template'!D52</f>
      </c>
    </row>
    <row r="128">
      <c r="A128" t="s">
        <v>1641</v>
      </c>
      <c r="B128">
        <f>'IRCX_template'!D53</f>
      </c>
    </row>
    <row r="129">
      <c r="A129" t="s">
        <v>7070</v>
      </c>
      <c r="B129">
        <f>'IRCX_template'!D54</f>
      </c>
    </row>
    <row r="130">
      <c r="A130" t="s">
        <v>6959</v>
      </c>
      <c r="B130">
        <f>'IRCX_template'!D55</f>
      </c>
    </row>
    <row r="131">
      <c r="A131" t="s">
        <v>1642</v>
      </c>
      <c r="B131">
        <f>'IRCX_template'!D56</f>
      </c>
    </row>
    <row r="132">
      <c r="A132" t="s">
        <v>1643</v>
      </c>
      <c r="B132">
        <f>'IRCX_template'!D57</f>
      </c>
    </row>
    <row r="133">
      <c r="A133" t="s">
        <v>6961</v>
      </c>
      <c r="B133">
        <f>'IRCX_template'!D58</f>
      </c>
    </row>
    <row r="134">
      <c r="A134" t="s">
        <v>1644</v>
      </c>
      <c r="B134">
        <f>'IRCX_template'!D59</f>
      </c>
    </row>
    <row r="135">
      <c r="A135" t="s">
        <v>1645</v>
      </c>
      <c r="B135">
        <f>'IRCX_template'!D60</f>
      </c>
    </row>
    <row r="136">
      <c r="A136" t="s">
        <v>1041</v>
      </c>
      <c r="B136">
        <f>'IRCX_template'!D7</f>
      </c>
    </row>
    <row r="137">
      <c r="A137" t="s">
        <v>3019</v>
      </c>
      <c r="B137">
        <f>'IRCX_template'!D61</f>
      </c>
    </row>
    <row r="138">
      <c r="A138" t="s">
        <v>1410</v>
      </c>
      <c r="B138">
        <f>'IRCX_template'!D62</f>
      </c>
    </row>
    <row r="139">
      <c r="A139" t="s">
        <v>6495</v>
      </c>
      <c r="B139">
        <f>'IRCX_template'!D63</f>
      </c>
    </row>
    <row r="140">
      <c r="A140" t="s">
        <v>1646</v>
      </c>
      <c r="B140">
        <f>'IRCX_template'!D64</f>
      </c>
    </row>
    <row r="141">
      <c r="A141" t="s">
        <v>3773</v>
      </c>
      <c r="B141">
        <f>'IRCX_template'!D65</f>
      </c>
    </row>
    <row r="142">
      <c r="A142" t="s">
        <v>6498</v>
      </c>
      <c r="B142">
        <f>'IRCX_template'!D66</f>
      </c>
    </row>
    <row r="143">
      <c r="A143" t="s">
        <v>3348</v>
      </c>
      <c r="B143">
        <f>'IRCX_template'!D67</f>
      </c>
    </row>
    <row r="144">
      <c r="A144" t="s">
        <v>3351</v>
      </c>
      <c r="B144">
        <f>'IRCX_template'!D68</f>
      </c>
    </row>
    <row r="145">
      <c r="A145" t="s">
        <v>6527</v>
      </c>
      <c r="B145">
        <f>'IRCX_template'!D69</f>
      </c>
    </row>
    <row r="146">
      <c r="A146" t="s">
        <v>1412</v>
      </c>
      <c r="B146">
        <f>'IRCX_template'!D70</f>
      </c>
    </row>
    <row r="147">
      <c r="A147" t="s">
        <v>7738</v>
      </c>
      <c r="B147">
        <f>'IRCX_template'!D8</f>
      </c>
    </row>
    <row r="148">
      <c r="A148" t="s">
        <v>2297</v>
      </c>
      <c r="B148">
        <f>'IRCX_template'!D71</f>
      </c>
    </row>
    <row r="149">
      <c r="A149" t="s">
        <v>3334</v>
      </c>
      <c r="B149">
        <f>'IRCX_template'!D72</f>
      </c>
    </row>
    <row r="150">
      <c r="A150" t="s">
        <v>3354</v>
      </c>
      <c r="B150">
        <f>'IRCX_template'!D73</f>
      </c>
    </row>
    <row r="151">
      <c r="A151" t="s">
        <v>2897</v>
      </c>
      <c r="B151">
        <f>'IRCX_template'!D74</f>
      </c>
    </row>
    <row r="152">
      <c r="A152" t="s">
        <v>2302</v>
      </c>
      <c r="B152">
        <f>'IRCX_template'!D75</f>
      </c>
    </row>
    <row r="153">
      <c r="A153" t="s">
        <v>1520</v>
      </c>
      <c r="B153">
        <f>'IRCX_template'!D76</f>
      </c>
    </row>
    <row r="154">
      <c r="A154" t="s">
        <v>3487</v>
      </c>
      <c r="B154">
        <f>'IRCX_template'!D77</f>
      </c>
    </row>
    <row r="155">
      <c r="A155" t="s">
        <v>3488</v>
      </c>
      <c r="B155">
        <f>'IRCX_template'!D78</f>
      </c>
    </row>
    <row r="156">
      <c r="A156" t="s">
        <v>1340</v>
      </c>
      <c r="B156">
        <f>'IRCX_template'!D79</f>
      </c>
    </row>
    <row r="157">
      <c r="A157" t="s">
        <v>3489</v>
      </c>
      <c r="B157">
        <f>'IRCX_template'!D80</f>
      </c>
    </row>
    <row r="158">
      <c r="A158" t="s">
        <v>7739</v>
      </c>
      <c r="B158">
        <f>'IRCX_template'!D9</f>
      </c>
    </row>
    <row r="159">
      <c r="A159" t="s">
        <v>1498</v>
      </c>
      <c r="B159">
        <f>'IRCX_template'!D81</f>
      </c>
    </row>
    <row r="160">
      <c r="A160" t="s">
        <v>3490</v>
      </c>
      <c r="B160">
        <f>'IRCX_template'!D82</f>
      </c>
    </row>
    <row r="161">
      <c r="A161" t="s">
        <v>3491</v>
      </c>
      <c r="B161">
        <f>'IRCX_template'!D83</f>
      </c>
    </row>
    <row r="162">
      <c r="A162" t="s">
        <v>3492</v>
      </c>
      <c r="B162">
        <f>'IRCX_template'!D84</f>
      </c>
    </row>
    <row r="163">
      <c r="A163" t="s">
        <v>2475</v>
      </c>
      <c r="B163">
        <f>'IRCX_template'!D85</f>
      </c>
    </row>
    <row r="164">
      <c r="A164" t="s">
        <v>2476</v>
      </c>
      <c r="B164">
        <f>'IRCX_template'!D86</f>
      </c>
    </row>
    <row r="165">
      <c r="A165" t="s">
        <v>4384</v>
      </c>
      <c r="B165">
        <f>'IRCX_template'!D87</f>
      </c>
    </row>
    <row r="166">
      <c r="A166" t="s">
        <v>4387</v>
      </c>
      <c r="B166">
        <f>'IRCX_template'!D88</f>
      </c>
    </row>
    <row r="167">
      <c r="A167" t="s">
        <v>6268</v>
      </c>
      <c r="B167">
        <f>'IRCX_template'!D89</f>
      </c>
    </row>
    <row r="168">
      <c r="A168" t="s">
        <v>6269</v>
      </c>
      <c r="B168">
        <f>'IRCX_template'!D90</f>
      </c>
    </row>
    <row r="169">
      <c r="A169" t="s">
        <v>7740</v>
      </c>
      <c r="B169">
        <f>'IRCX_template'!D10</f>
      </c>
    </row>
    <row r="170">
      <c r="A170" t="s">
        <v>6267</v>
      </c>
      <c r="B170">
        <f>'IRCX_template'!D91</f>
      </c>
    </row>
    <row r="171">
      <c r="A171" t="s">
        <v>6852</v>
      </c>
      <c r="B171">
        <f>'IRCX_template'!D92</f>
      </c>
    </row>
    <row r="172">
      <c r="A172" t="s">
        <v>6851</v>
      </c>
      <c r="B172">
        <f>'IRCX_template'!D93</f>
      </c>
    </row>
    <row r="173">
      <c r="A173" t="s">
        <v>2477</v>
      </c>
      <c r="B173">
        <f>'IRCX_template'!D94</f>
      </c>
    </row>
    <row r="174">
      <c r="A174" t="s">
        <v>3341</v>
      </c>
      <c r="B174">
        <f>'IRCX_template'!D95</f>
      </c>
    </row>
    <row r="175">
      <c r="A175" t="s">
        <v>6459</v>
      </c>
      <c r="B175">
        <f>'IRCX_template'!D96</f>
      </c>
    </row>
    <row r="176">
      <c r="A176" t="s">
        <v>3344</v>
      </c>
      <c r="B176">
        <f>'IRCX_template'!I2</f>
      </c>
    </row>
    <row r="177">
      <c r="A177" t="s">
        <v>3354</v>
      </c>
      <c r="B177">
        <f>'IRCX_template'!I3</f>
      </c>
    </row>
    <row r="178">
      <c r="A178" t="s">
        <v>8783</v>
      </c>
      <c r="B178">
        <f>'IRCX_template'!I4</f>
      </c>
    </row>
    <row r="179">
      <c r="A179" t="s">
        <v>1301</v>
      </c>
      <c r="B179">
        <f>'IRCX_template'!I5</f>
      </c>
    </row>
  </sheetData>
  <pageMargins bottom="0.75" footer="0.3" header="0.3" left="0.7" right="0.7" top="0.75"/>
</worksheet>
</file>

<file path=customXml/_rels/item1.xml.rels><?xml version="1.0" encoding="UTF-8" standalone="no"?><Relationships xmlns="http://schemas.openxmlformats.org/package/2006/relationships"><Relationship Id="rId1" Target="itemProps1.xml" Type="http://schemas.openxmlformats.org/officeDocument/2006/relationships/customXmlProps"/></Relationships>
</file>

<file path=customXml/_rels/item2.xml.rels><?xml version="1.0" encoding="UTF-8" standalone="no"?><Relationships xmlns="http://schemas.openxmlformats.org/package/2006/relationships"><Relationship Id="rId1" Target="itemProps2.xml" Type="http://schemas.openxmlformats.org/officeDocument/2006/relationships/customXmlProps"/></Relationships>
</file>

<file path=customXml/_rels/item3.xml.rels><?xml version="1.0" encoding="UTF-8" standalone="no"?><Relationships xmlns="http://schemas.openxmlformats.org/package/2006/relationships"><Relationship Id="rId1" Target="itemProps3.xml" Type="http://schemas.openxmlformats.org/officeDocument/2006/relationships/customXmlProps"/></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9D20774F6404348B3C9B4CB972B355F" ma:contentTypeVersion="7" ma:contentTypeDescription="Create a new document." ma:contentTypeScope="" ma:versionID="46bd6a838d02d438e97f32d71497527e">
  <xsd:schema xmlns:xsd="http://www.w3.org/2001/XMLSchema" xmlns:xs="http://www.w3.org/2001/XMLSchema" xmlns:p="http://schemas.microsoft.com/office/2006/metadata/properties" xmlns:ns1="http://schemas.microsoft.com/sharepoint/v3" xmlns:ns2="9ee75299-d1ba-4f4e-85c1-daefb59c1427" xmlns:ns3="fffef9f6-3116-43e6-9984-bf38cbd1c0e9" targetNamespace="http://schemas.microsoft.com/office/2006/metadata/properties" ma:root="true" ma:fieldsID="fe107392d6a68979363bd1eef63b7e6d" ns1:_="" ns2:_="" ns3:_="">
    <xsd:import namespace="http://schemas.microsoft.com/sharepoint/v3"/>
    <xsd:import namespace="9ee75299-d1ba-4f4e-85c1-daefb59c1427"/>
    <xsd:import namespace="fffef9f6-3116-43e6-9984-bf38cbd1c0e9"/>
    <xsd:element name="properties">
      <xsd:complexType>
        <xsd:sequence>
          <xsd:element name="documentManagement">
            <xsd:complexType>
              <xsd:all>
                <xsd:element ref="ns2:MediaServiceMetadata" minOccurs="0"/>
                <xsd:element ref="ns2:MediaServiceFastMetadata" minOccurs="0"/>
                <xsd:element ref="ns2:Notes" minOccurs="0"/>
                <xsd:element ref="ns3:SharedWithUsers" minOccurs="0"/>
                <xsd:element ref="ns3:SharedWithDetails" minOccurs="0"/>
                <xsd:element ref="ns1:_ip_UnifiedCompliancePolicyProperties" minOccurs="0"/>
                <xsd:element ref="ns1:_ip_UnifiedCompliancePolicyUIAc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3" nillable="true" ma:displayName="Unified Compliance Policy Properties" ma:hidden="true" ma:internalName="_ip_UnifiedCompliancePolicyProperties">
      <xsd:simpleType>
        <xsd:restriction base="dms:Note"/>
      </xsd:simpleType>
    </xsd:element>
    <xsd:element name="_ip_UnifiedCompliancePolicyUIAction" ma:index="14"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9ee75299-d1ba-4f4e-85c1-daefb59c142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Notes" ma:index="10" nillable="true" ma:displayName="Notes" ma:description="Janet's notes from her initial call. " ma:format="Dropdown" ma:internalName="Notes">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fffef9f6-3116-43e6-9984-bf38cbd1c0e9" elementFormDefault="qualified">
    <xsd:import namespace="http://schemas.microsoft.com/office/2006/documentManagement/types"/>
    <xsd:import namespace="http://schemas.microsoft.com/office/infopath/2007/PartnerControls"/>
    <xsd:element name="SharedWithUsers" ma:index="1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0</_ip_UnifiedCompliancePolicyUIAction>
    <_ip_UnifiedCompliancePolicyProperties xmlns="http://schemas.microsoft.com/sharepoint/v3">{"__type":"ComplianceItemProperties:#Microsoft.Office.CompliancePolicy.ComplianceData","LastPolicyEvaluatedTimeUtc":"2019-11-18T12:47:24.1508665Z","Rules":{"fceac272-92eb-4a46-bfa7-dd4c84cc4943":{"Actions":{"GenerateIncidentReport":{"ActionName":"GenerateIncidentReport","CodeVersion":"1.0.2.0","LastAppliedTimeUTC":"2019-11-18T12:37:00.4364382Z","Properties":null,"RuleVersion":"0"},"TagReporting":{"ActionName":"TagReporting","CodeVersion":"1.00.0002.000","LastAppliedTimeUTC":"2019-11-18T12:37:00.4833102Z","Properties":{},"RuleVersion":"0"}},"Properties":{},"RuleId":"fceac272-92eb-4a46-bfa7-dd4c84cc4943","Scenario":0},"4b8834ca-c657-4f9c-ab4b-2e05dad2baa6":{"Actions":{"GenerateIncidentReport":{"ActionName":"GenerateIncidentReport","CodeVersion":"1.0.2.0","LastAppliedTimeUTC":"2019-11-18T12:37:56.2641851Z","Properties":null,"RuleVersion":"0"},"TagReporting":{"ActionName":"TagReporting","CodeVersion":"1.00.0002.000","LastAppliedTimeUTC":"2019-11-18T12:37:56.2954379Z","Properties":{},"RuleVersion":"0"}},"Properties":{},"RuleId":"4b8834ca-c657-4f9c-ab4b-2e05dad2baa6","Scenario":0},"a19470e7-2b62-4824-99bd-adac18f11420":{"Actions":{"GenerateIncidentReport":{"ActionName":"GenerateIncidentReport","CodeVersion":"1.0.2.0","LastAppliedTimeUTC":"2019-11-18T12:46:47.0263370Z","Properties":null,"RuleVersion":"0"},"TagReporting":{"ActionName":"TagReporting","CodeVersion":"1.00.0002.000","LastAppliedTimeUTC":"2019-11-18T12:46:47.0575950Z","Properties":{},"RuleVersion":"0"}},"Properties":{},"RuleId":"a19470e7-2b62-4824-99bd-adac18f11420","Scenario":0},"b8d11c70-8490-40a5-bb8f-c1538a944910":{"Actions":{"GenerateIncidentReport":{"ActionName":"GenerateIncidentReport","CodeVersion":"1.0.2.0","LastAppliedTimeUTC":"2019-11-18T12:47:24.1039913Z","Properties":null,"RuleVersion":"0"},"TagReporting":{"ActionName":"TagReporting","CodeVersion":"1.00.0002.000","LastAppliedTimeUTC":"2019-11-18T12:47:24.1508665Z","Properties":{},"RuleVersion":"0"}},"Properties":{},"RuleId":"b8d11c70-8490-40a5-bb8f-c1538a944910","Scenario":0}},"UniqueId":"f4eeed16-4134-43f0-9808-8d3e1330d9d8"}</_ip_UnifiedCompliancePolicyProperties>
    <Notes xmlns="9ee75299-d1ba-4f4e-85c1-daefb59c1427" xsi:nil="true"/>
    <SharedWithUsers xmlns="fffef9f6-3116-43e6-9984-bf38cbd1c0e9">
      <UserInfo>
        <DisplayName>Blackburn, Mick (CDIO Customer Services Group)</DisplayName>
        <AccountId>30</AccountId>
        <AccountType/>
      </UserInfo>
      <UserInfo>
        <DisplayName>Burns, Kieran (CDIO)</DisplayName>
        <AccountId>13</AccountId>
        <AccountType/>
      </UserInfo>
      <UserInfo>
        <DisplayName>Ainslie, Andrea (CDIO Customer Services Group)</DisplayName>
        <AccountId>16</AccountId>
        <AccountType/>
      </UserInfo>
      <UserInfo>
        <DisplayName>Markopouliotis, Laura-Anne (OE)</DisplayName>
        <AccountId>32</AccountId>
        <AccountType/>
      </UserInfo>
    </SharedWithUsers>
  </documentManagement>
</p:properties>
</file>

<file path=customXml/itemProps1.xml><?xml version="1.0" encoding="utf-8"?>
<ds:datastoreItem xmlns:ds="http://schemas.openxmlformats.org/officeDocument/2006/customXml" ds:itemID="{68742000-3BB3-4FBE-A46D-F13275B55D6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9ee75299-d1ba-4f4e-85c1-daefb59c1427"/>
    <ds:schemaRef ds:uri="fffef9f6-3116-43e6-9984-bf38cbd1c0e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D6FCD15E-0009-4323-860B-E8BC21005225}">
  <ds:schemaRefs>
    <ds:schemaRef ds:uri="http://schemas.microsoft.com/sharepoint/v3/contenttype/forms"/>
  </ds:schemaRefs>
</ds:datastoreItem>
</file>

<file path=customXml/itemProps3.xml><?xml version="1.0" encoding="utf-8"?>
<ds:datastoreItem xmlns:ds="http://schemas.openxmlformats.org/officeDocument/2006/customXml" ds:itemID="{2C30A5E2-CB7E-4858-A12A-74C0957CFAEE}">
  <ds:schemaRefs>
    <ds:schemaRef ds:uri="http://schemas.microsoft.com/office/2006/metadata/properties"/>
    <ds:schemaRef ds:uri="http://schemas.microsoft.com/office/infopath/2007/PartnerControls"/>
    <ds:schemaRef ds:uri="http://schemas.microsoft.com/sharepoint/v3"/>
    <ds:schemaRef ds:uri="9ee75299-d1ba-4f4e-85c1-daefb59c1427"/>
    <ds:schemaRef ds:uri="fffef9f6-3116-43e6-9984-bf38cbd1c0e9"/>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2</DocSecurity>
  <ScaleCrop>false</ScaleCrop>
  <HeadingPairs>
    <vt:vector baseType="variant" size="4">
      <vt:variant>
        <vt:lpstr>Worksheets</vt:lpstr>
      </vt:variant>
      <vt:variant>
        <vt:i4>88</vt:i4>
      </vt:variant>
      <vt:variant>
        <vt:lpstr>Named Ranges</vt:lpstr>
      </vt:variant>
      <vt:variant>
        <vt:i4>1456</vt:i4>
      </vt:variant>
    </vt:vector>
  </HeadingPairs>
  <TitlesOfParts>
    <vt:vector baseType="lpstr" size="1544">
      <vt:lpstr>Library</vt:lpstr>
      <vt:lpstr>data</vt:lpstr>
      <vt:lpstr>Changes log</vt:lpstr>
      <vt:lpstr>Read me</vt:lpstr>
      <vt:lpstr>Test Case index</vt:lpstr>
      <vt:lpstr>Selector</vt:lpstr>
      <vt:lpstr>More Select</vt:lpstr>
      <vt:lpstr>tc_template</vt:lpstr>
      <vt:lpstr>target</vt:lpstr>
      <vt:lpstr>C0</vt:lpstr>
      <vt:lpstr>C1</vt:lpstr>
      <vt:lpstr>C2</vt:lpstr>
      <vt:lpstr>C3</vt:lpstr>
      <vt:lpstr>C4</vt:lpstr>
      <vt:lpstr>C5</vt:lpstr>
      <vt:lpstr>C6</vt:lpstr>
      <vt:lpstr>C7</vt:lpstr>
      <vt:lpstr>C8C9C10</vt:lpstr>
      <vt:lpstr>Add pages</vt:lpstr>
      <vt:lpstr>Test case</vt:lpstr>
      <vt:lpstr>SA302</vt:lpstr>
      <vt:lpstr>Taxable Income</vt:lpstr>
      <vt:lpstr>Income types</vt:lpstr>
      <vt:lpstr>CRC</vt:lpstr>
      <vt:lpstr>Swiss Tax Credit</vt:lpstr>
      <vt:lpstr>Liability</vt:lpstr>
      <vt:lpstr>SA302_interface</vt:lpstr>
      <vt:lpstr>liability_template</vt:lpstr>
      <vt:lpstr>INC(1)</vt:lpstr>
      <vt:lpstr>INC(2)</vt:lpstr>
      <vt:lpstr>REL(1)</vt:lpstr>
      <vt:lpstr>REL(2)</vt:lpstr>
      <vt:lpstr>AOI</vt:lpstr>
      <vt:lpstr>Multi-UK-gains</vt:lpstr>
      <vt:lpstr>ASE</vt:lpstr>
      <vt:lpstr>AOR</vt:lpstr>
      <vt:lpstr>MCA</vt:lpstr>
      <vt:lpstr>AIL</vt:lpstr>
      <vt:lpstr>EMP</vt:lpstr>
      <vt:lpstr>MOR</vt:lpstr>
      <vt:lpstr>SE</vt:lpstr>
      <vt:lpstr>LUN</vt:lpstr>
      <vt:lpstr>PS</vt:lpstr>
      <vt:lpstr>NI</vt:lpstr>
      <vt:lpstr>PRO</vt:lpstr>
      <vt:lpstr>FOR</vt:lpstr>
      <vt:lpstr>Swiss Tax</vt:lpstr>
      <vt:lpstr>FTCR</vt:lpstr>
      <vt:lpstr>Multi-foreign-gains</vt:lpstr>
      <vt:lpstr>TRU</vt:lpstr>
      <vt:lpstr>CGT</vt:lpstr>
      <vt:lpstr>NRD</vt:lpstr>
      <vt:lpstr>CAL</vt:lpstr>
      <vt:lpstr>SA302_template</vt:lpstr>
      <vt:lpstr>SA302_template (W)</vt:lpstr>
      <vt:lpstr>IRCX_template</vt:lpstr>
      <vt:lpstr>TCRWS</vt:lpstr>
      <vt:lpstr>FTCR_Calc</vt:lpstr>
      <vt:lpstr>NS income (c1)</vt:lpstr>
      <vt:lpstr>Savings (c2)</vt:lpstr>
      <vt:lpstr>Divs (c3)</vt:lpstr>
      <vt:lpstr>Status (c3a)</vt:lpstr>
      <vt:lpstr>Deductions (c4)</vt:lpstr>
      <vt:lpstr>Taxable (c5)</vt:lpstr>
      <vt:lpstr>tax it (c6)</vt:lpstr>
      <vt:lpstr>CDR (c7)</vt:lpstr>
      <vt:lpstr>tax it (c8)</vt:lpstr>
      <vt:lpstr>Tax adj (c9)</vt:lpstr>
      <vt:lpstr>CRC_template</vt:lpstr>
      <vt:lpstr>Div Cr (c10)</vt:lpstr>
      <vt:lpstr>Tax paid (c11)</vt:lpstr>
      <vt:lpstr>Tax due (c12)</vt:lpstr>
      <vt:lpstr>POAs (c13)</vt:lpstr>
      <vt:lpstr>allowances (c14c15)</vt:lpstr>
      <vt:lpstr>Class 4 NIC (c16)</vt:lpstr>
      <vt:lpstr>TSR (c17)</vt:lpstr>
      <vt:lpstr>930_template</vt:lpstr>
      <vt:lpstr>CG (c18)</vt:lpstr>
      <vt:lpstr>RBC (c19)</vt:lpstr>
      <vt:lpstr>RBC &amp; Cap (C20a)</vt:lpstr>
      <vt:lpstr>Notional (c21c23)</vt:lpstr>
      <vt:lpstr>LLIR (c24)</vt:lpstr>
      <vt:lpstr>Pensions (c25c26)</vt:lpstr>
      <vt:lpstr>S loans(c27)</vt:lpstr>
      <vt:lpstr>CBC(c28)</vt:lpstr>
      <vt:lpstr>non-res (c91)</vt:lpstr>
      <vt:lpstr>c99</vt:lpstr>
      <vt:lpstr>Swiss (SW)</vt:lpstr>
      <vt:lpstr>_AIL1</vt:lpstr>
      <vt:lpstr>_AIL10</vt:lpstr>
      <vt:lpstr>_AIL11</vt:lpstr>
      <vt:lpstr>_AIL11.1</vt:lpstr>
      <vt:lpstr>_AIL11.2</vt:lpstr>
      <vt:lpstr>_AIL12</vt:lpstr>
      <vt:lpstr>_AIL13</vt:lpstr>
      <vt:lpstr>_AIL14</vt:lpstr>
      <vt:lpstr>_AIL15</vt:lpstr>
      <vt:lpstr>_AIL16</vt:lpstr>
      <vt:lpstr>_AIL17</vt:lpstr>
      <vt:lpstr>_AIL18</vt:lpstr>
      <vt:lpstr>_AIL19</vt:lpstr>
      <vt:lpstr>_AIL2</vt:lpstr>
      <vt:lpstr>_AIL20</vt:lpstr>
      <vt:lpstr>_AIL21</vt:lpstr>
      <vt:lpstr>_AIL22</vt:lpstr>
      <vt:lpstr>_AIL23</vt:lpstr>
      <vt:lpstr>_AIL24</vt:lpstr>
      <vt:lpstr>_AIL3</vt:lpstr>
      <vt:lpstr>_AIL4</vt:lpstr>
      <vt:lpstr>_AIL5</vt:lpstr>
      <vt:lpstr>_AIL6</vt:lpstr>
      <vt:lpstr>_AIL7</vt:lpstr>
      <vt:lpstr>_AIL8</vt:lpstr>
      <vt:lpstr>_AIL9</vt:lpstr>
      <vt:lpstr>_AOI1</vt:lpstr>
      <vt:lpstr>_AOI10</vt:lpstr>
      <vt:lpstr>_AOI11</vt:lpstr>
      <vt:lpstr>_AOI12</vt:lpstr>
      <vt:lpstr>_AOI13</vt:lpstr>
      <vt:lpstr>_AOI13.1</vt:lpstr>
      <vt:lpstr>_AOI14</vt:lpstr>
      <vt:lpstr>_AOI15</vt:lpstr>
      <vt:lpstr>_AOI2</vt:lpstr>
      <vt:lpstr>_AOI3</vt:lpstr>
      <vt:lpstr>_AOI4</vt:lpstr>
      <vt:lpstr>_AOI5</vt:lpstr>
      <vt:lpstr>_AOI6</vt:lpstr>
      <vt:lpstr>_AOI7</vt:lpstr>
      <vt:lpstr>_AOI8</vt:lpstr>
      <vt:lpstr>_AOI9</vt:lpstr>
      <vt:lpstr>_AOR1</vt:lpstr>
      <vt:lpstr>_AOR10</vt:lpstr>
      <vt:lpstr>_AOR11</vt:lpstr>
      <vt:lpstr>_AOR12</vt:lpstr>
      <vt:lpstr>_AOR2</vt:lpstr>
      <vt:lpstr>_AOR3</vt:lpstr>
      <vt:lpstr>_AOR4</vt:lpstr>
      <vt:lpstr>_AOR5</vt:lpstr>
      <vt:lpstr>_AOR6</vt:lpstr>
      <vt:lpstr>_AOR7</vt:lpstr>
      <vt:lpstr>_AOR8</vt:lpstr>
      <vt:lpstr>_AOR9</vt:lpstr>
      <vt:lpstr>_ASE1</vt:lpstr>
      <vt:lpstr>_ASE10</vt:lpstr>
      <vt:lpstr>_ASE11</vt:lpstr>
      <vt:lpstr>_ASE12</vt:lpstr>
      <vt:lpstr>_ASE13</vt:lpstr>
      <vt:lpstr>_ASE14</vt:lpstr>
      <vt:lpstr>_ASE15</vt:lpstr>
      <vt:lpstr>_ASE2</vt:lpstr>
      <vt:lpstr>_ASE3</vt:lpstr>
      <vt:lpstr>_ASE4</vt:lpstr>
      <vt:lpstr>_ASE5</vt:lpstr>
      <vt:lpstr>_ASE6</vt:lpstr>
      <vt:lpstr>_ASE7</vt:lpstr>
      <vt:lpstr>_ASE8</vt:lpstr>
      <vt:lpstr>_ASE9</vt:lpstr>
      <vt:lpstr>_AUI3</vt:lpstr>
      <vt:lpstr>_CAL1</vt:lpstr>
      <vt:lpstr>_CAL10</vt:lpstr>
      <vt:lpstr>_CAL11</vt:lpstr>
      <vt:lpstr>_CAL12</vt:lpstr>
      <vt:lpstr>_CAL13</vt:lpstr>
      <vt:lpstr>_CAL14</vt:lpstr>
      <vt:lpstr>_CAL15</vt:lpstr>
      <vt:lpstr>_CAL16</vt:lpstr>
      <vt:lpstr>_CAL17</vt:lpstr>
      <vt:lpstr>_CAL2</vt:lpstr>
      <vt:lpstr>_CAL3</vt:lpstr>
      <vt:lpstr>_CAL3.1</vt:lpstr>
      <vt:lpstr>_CAL4</vt:lpstr>
      <vt:lpstr>_CAL4.1</vt:lpstr>
      <vt:lpstr>_CAL5</vt:lpstr>
      <vt:lpstr>_CAL6</vt:lpstr>
      <vt:lpstr>_CAL7</vt:lpstr>
      <vt:lpstr>_CAL8</vt:lpstr>
      <vt:lpstr>_CAL9</vt:lpstr>
      <vt:lpstr>_CBC1</vt:lpstr>
      <vt:lpstr>_CBC2</vt:lpstr>
      <vt:lpstr>_CBC3</vt:lpstr>
      <vt:lpstr>_CGT1</vt:lpstr>
      <vt:lpstr>_CGT10</vt:lpstr>
      <vt:lpstr>_CGT11</vt:lpstr>
      <vt:lpstr>_CGT12</vt:lpstr>
      <vt:lpstr>_CGT13</vt:lpstr>
      <vt:lpstr>_CGT14</vt:lpstr>
      <vt:lpstr>_CGT15</vt:lpstr>
      <vt:lpstr>_CGT16</vt:lpstr>
      <vt:lpstr>_CGT17</vt:lpstr>
      <vt:lpstr>_CGT18</vt:lpstr>
      <vt:lpstr>_CGT19</vt:lpstr>
      <vt:lpstr>_CGT2</vt:lpstr>
      <vt:lpstr>_CGT20</vt:lpstr>
      <vt:lpstr>_CGT21</vt:lpstr>
      <vt:lpstr>_CGT22</vt:lpstr>
      <vt:lpstr>_CGT23</vt:lpstr>
      <vt:lpstr>_CGT24</vt:lpstr>
      <vt:lpstr>_CGT25</vt:lpstr>
      <vt:lpstr>_CGT26</vt:lpstr>
      <vt:lpstr>_CGT27</vt:lpstr>
      <vt:lpstr>_CGT28</vt:lpstr>
      <vt:lpstr>_CGT29</vt:lpstr>
      <vt:lpstr>_CGT3</vt:lpstr>
      <vt:lpstr>_CGT30</vt:lpstr>
      <vt:lpstr>_CGT31</vt:lpstr>
      <vt:lpstr>_CGT32</vt:lpstr>
      <vt:lpstr>_CGT33</vt:lpstr>
      <vt:lpstr>_CGT34</vt:lpstr>
      <vt:lpstr>_CGT35</vt:lpstr>
      <vt:lpstr>_CGT36</vt:lpstr>
      <vt:lpstr>_CGT37</vt:lpstr>
      <vt:lpstr>_CGT38</vt:lpstr>
      <vt:lpstr>_CGT39</vt:lpstr>
      <vt:lpstr>_CGT4</vt:lpstr>
      <vt:lpstr>_CGT40</vt:lpstr>
      <vt:lpstr>_CGT41</vt:lpstr>
      <vt:lpstr>_CGT42</vt:lpstr>
      <vt:lpstr>_CGT43</vt:lpstr>
      <vt:lpstr>_CGT44</vt:lpstr>
      <vt:lpstr>_CGT45</vt:lpstr>
      <vt:lpstr>_CGT46</vt:lpstr>
      <vt:lpstr>_CGT47</vt:lpstr>
      <vt:lpstr>_CGT48</vt:lpstr>
      <vt:lpstr>_CGT49</vt:lpstr>
      <vt:lpstr>_CGT5</vt:lpstr>
      <vt:lpstr>_CGT50</vt:lpstr>
      <vt:lpstr>_CGT51</vt:lpstr>
      <vt:lpstr>_CGT52</vt:lpstr>
      <vt:lpstr>_CGT52.1</vt:lpstr>
      <vt:lpstr>_CGT52.2</vt:lpstr>
      <vt:lpstr>_CGT52.3</vt:lpstr>
      <vt:lpstr>_CGT52.4</vt:lpstr>
      <vt:lpstr>_CGT52.5</vt:lpstr>
      <vt:lpstr>_CGT53</vt:lpstr>
      <vt:lpstr>_CGT54</vt:lpstr>
      <vt:lpstr>_CGT6</vt:lpstr>
      <vt:lpstr>_CGT7</vt:lpstr>
      <vt:lpstr>_CGT8</vt:lpstr>
      <vt:lpstr>_CGT9</vt:lpstr>
      <vt:lpstr>_CL1</vt:lpstr>
      <vt:lpstr>_CL2</vt:lpstr>
      <vt:lpstr>_CL2wkamt</vt:lpstr>
      <vt:lpstr>_EMPA1</vt:lpstr>
      <vt:lpstr>_EMPA10</vt:lpstr>
      <vt:lpstr>_EMPA11</vt:lpstr>
      <vt:lpstr>_EMPA12</vt:lpstr>
      <vt:lpstr>_EMPA13</vt:lpstr>
      <vt:lpstr>_EMPA14</vt:lpstr>
      <vt:lpstr>_EMPA15</vt:lpstr>
      <vt:lpstr>_EMPA16</vt:lpstr>
      <vt:lpstr>_EMPA17</vt:lpstr>
      <vt:lpstr>_EMPA18</vt:lpstr>
      <vt:lpstr>_EMPA19</vt:lpstr>
      <vt:lpstr>_EMPA2</vt:lpstr>
      <vt:lpstr>_EMPA20</vt:lpstr>
      <vt:lpstr>_EMPA3</vt:lpstr>
      <vt:lpstr>_EMPA4</vt:lpstr>
      <vt:lpstr>_EMPA5</vt:lpstr>
      <vt:lpstr>_EMPA6</vt:lpstr>
      <vt:lpstr>_EMPA6.1</vt:lpstr>
      <vt:lpstr>_EMPA7</vt:lpstr>
      <vt:lpstr>_EMPA8</vt:lpstr>
      <vt:lpstr>_EMPA8.1</vt:lpstr>
      <vt:lpstr>_EMPA9</vt:lpstr>
      <vt:lpstr>_EMPB1</vt:lpstr>
      <vt:lpstr>_EMPB10</vt:lpstr>
      <vt:lpstr>_EMPB11</vt:lpstr>
      <vt:lpstr>_EMPB12</vt:lpstr>
      <vt:lpstr>_EMPB13</vt:lpstr>
      <vt:lpstr>_EMPB14</vt:lpstr>
      <vt:lpstr>_EMPB15</vt:lpstr>
      <vt:lpstr>_EMPB16</vt:lpstr>
      <vt:lpstr>_EMPB17</vt:lpstr>
      <vt:lpstr>_EMPB18</vt:lpstr>
      <vt:lpstr>_EMPB19</vt:lpstr>
      <vt:lpstr>_EMPB2</vt:lpstr>
      <vt:lpstr>_EMPB20</vt:lpstr>
      <vt:lpstr>_EMPB3</vt:lpstr>
      <vt:lpstr>_EMPB4</vt:lpstr>
      <vt:lpstr>_EMPB5</vt:lpstr>
      <vt:lpstr>_EMPB6</vt:lpstr>
      <vt:lpstr>_EMPB6.1</vt:lpstr>
      <vt:lpstr>_EMPB7</vt:lpstr>
      <vt:lpstr>_EMPB8</vt:lpstr>
      <vt:lpstr>_EMPB8.1</vt:lpstr>
      <vt:lpstr>_EMPB9</vt:lpstr>
      <vt:lpstr>_EMPCL1</vt:lpstr>
      <vt:lpstr>_FIN1</vt:lpstr>
      <vt:lpstr>_FIN10</vt:lpstr>
      <vt:lpstr>_FIN11</vt:lpstr>
      <vt:lpstr>_FIN12</vt:lpstr>
      <vt:lpstr>_FIN13</vt:lpstr>
      <vt:lpstr>_FIN14</vt:lpstr>
      <vt:lpstr>_FIN15</vt:lpstr>
      <vt:lpstr>_FIN16</vt:lpstr>
      <vt:lpstr>_FIN17</vt:lpstr>
      <vt:lpstr>_FIN18</vt:lpstr>
      <vt:lpstr>_FIN19</vt:lpstr>
      <vt:lpstr>_FIN2</vt:lpstr>
      <vt:lpstr>_FIN20</vt:lpstr>
      <vt:lpstr>_FIN21</vt:lpstr>
      <vt:lpstr>_FIN22</vt:lpstr>
      <vt:lpstr>_FIN23</vt:lpstr>
      <vt:lpstr>_FIN24</vt:lpstr>
      <vt:lpstr>_FIN25</vt:lpstr>
      <vt:lpstr>_FIN26</vt:lpstr>
      <vt:lpstr>_FIN3</vt:lpstr>
      <vt:lpstr>_FIN4</vt:lpstr>
      <vt:lpstr>_FIN5</vt:lpstr>
      <vt:lpstr>_FIN6</vt:lpstr>
      <vt:lpstr>_FIN7</vt:lpstr>
      <vt:lpstr>_FIN8</vt:lpstr>
      <vt:lpstr>_FIN9</vt:lpstr>
      <vt:lpstr>_FOR_17</vt:lpstr>
      <vt:lpstr>_FOR_25B_1</vt:lpstr>
      <vt:lpstr>_FOR_29D_1</vt:lpstr>
      <vt:lpstr>_FOR_30F_1</vt:lpstr>
      <vt:lpstr>_FOR_A_1</vt:lpstr>
      <vt:lpstr>_FOR_A_2</vt:lpstr>
      <vt:lpstr>_FOR_A_3</vt:lpstr>
      <vt:lpstr>_FOR_A_4</vt:lpstr>
      <vt:lpstr>_FOR_C_1</vt:lpstr>
      <vt:lpstr>_FOR_C_2</vt:lpstr>
      <vt:lpstr>_FOR_C_3</vt:lpstr>
      <vt:lpstr>_FOR_C_4</vt:lpstr>
      <vt:lpstr>_FOR_DIV_A</vt:lpstr>
      <vt:lpstr>_FOR_DIV_A_1</vt:lpstr>
      <vt:lpstr>_FOR_DIV_A_2</vt:lpstr>
      <vt:lpstr>_FOR_DIV_A_3</vt:lpstr>
      <vt:lpstr>_FOR_DIV_A_4</vt:lpstr>
      <vt:lpstr>_FOR_DIV_A_5</vt:lpstr>
      <vt:lpstr>_FOR_DIV_B</vt:lpstr>
      <vt:lpstr>_FOR_DIV_B_1</vt:lpstr>
      <vt:lpstr>_FOR_DIV_B_2</vt:lpstr>
      <vt:lpstr>_FOR_DIV_B_3</vt:lpstr>
      <vt:lpstr>_FOR_DIV_B_4</vt:lpstr>
      <vt:lpstr>_FOR_DIV_B_5</vt:lpstr>
      <vt:lpstr>_FOR_DIV_C</vt:lpstr>
      <vt:lpstr>_FOR_DIV_C_1</vt:lpstr>
      <vt:lpstr>_FOR_DIV_C_2</vt:lpstr>
      <vt:lpstr>_FOR_DIV_C_3</vt:lpstr>
      <vt:lpstr>_FOR_DIV_C_4</vt:lpstr>
      <vt:lpstr>_FOR_DIV_C_5</vt:lpstr>
      <vt:lpstr>_FOR_DIV_E</vt:lpstr>
      <vt:lpstr>_FOR_DIV_E_1</vt:lpstr>
      <vt:lpstr>_FOR_DIV_E_2</vt:lpstr>
      <vt:lpstr>_FOR_DIV_E_3</vt:lpstr>
      <vt:lpstr>_FOR_DIV_E_4</vt:lpstr>
      <vt:lpstr>_FOR_DIV_E_5</vt:lpstr>
      <vt:lpstr>_FOR_E_1</vt:lpstr>
      <vt:lpstr>_FOR_E_2</vt:lpstr>
      <vt:lpstr>_FOR_E_3</vt:lpstr>
      <vt:lpstr>_FOR_E_4</vt:lpstr>
      <vt:lpstr>_FOR_F_1</vt:lpstr>
      <vt:lpstr>_FOR_F_2</vt:lpstr>
      <vt:lpstr>_FOR_F_3</vt:lpstr>
      <vt:lpstr>_FOR_F_4</vt:lpstr>
      <vt:lpstr>_FOR_INT_A_1</vt:lpstr>
      <vt:lpstr>_FOR_INT_A_2</vt:lpstr>
      <vt:lpstr>_FOR_INT_B_1</vt:lpstr>
      <vt:lpstr>_FOR_INT_B_2</vt:lpstr>
      <vt:lpstr>_FOR_INT_C_1</vt:lpstr>
      <vt:lpstr>_FOR_INT_C_2</vt:lpstr>
      <vt:lpstr>_FOR_INT_E_1</vt:lpstr>
      <vt:lpstr>_FOR_INT_E_2</vt:lpstr>
      <vt:lpstr>_FOR_LP_A_1</vt:lpstr>
      <vt:lpstr>_FOR_LP_E_1</vt:lpstr>
      <vt:lpstr>_FOR_OVE_A_1</vt:lpstr>
      <vt:lpstr>_FOR_OVE_B_1</vt:lpstr>
      <vt:lpstr>_FOR_OVE_C_1</vt:lpstr>
      <vt:lpstr>_FOR_OVE_E_1</vt:lpstr>
      <vt:lpstr>_FOR1</vt:lpstr>
      <vt:lpstr>_FOR10</vt:lpstr>
      <vt:lpstr>_FOR10D</vt:lpstr>
      <vt:lpstr>_FOR11</vt:lpstr>
      <vt:lpstr>_FOR11F_1</vt:lpstr>
      <vt:lpstr>_FOR12</vt:lpstr>
      <vt:lpstr>_FOR13</vt:lpstr>
      <vt:lpstr>_FOR13.1</vt:lpstr>
      <vt:lpstr>_FOR13.2</vt:lpstr>
      <vt:lpstr>_FOR13A</vt:lpstr>
      <vt:lpstr>_FOR13B</vt:lpstr>
      <vt:lpstr>_FOR13C</vt:lpstr>
      <vt:lpstr>_FOR13D</vt:lpstr>
      <vt:lpstr>_FOR13E</vt:lpstr>
      <vt:lpstr>_FOR13F</vt:lpstr>
      <vt:lpstr>_FOR14</vt:lpstr>
      <vt:lpstr>_FOR14.1</vt:lpstr>
      <vt:lpstr>_FOR14.2</vt:lpstr>
      <vt:lpstr>_FOR15</vt:lpstr>
      <vt:lpstr>_FOR16</vt:lpstr>
      <vt:lpstr>_FOR18</vt:lpstr>
      <vt:lpstr>_FOR19</vt:lpstr>
      <vt:lpstr>_FOR2</vt:lpstr>
      <vt:lpstr>_FOR20</vt:lpstr>
      <vt:lpstr>_FOR21</vt:lpstr>
      <vt:lpstr>_FOR22</vt:lpstr>
      <vt:lpstr>_FOR22.1</vt:lpstr>
      <vt:lpstr>_FOR22.2</vt:lpstr>
      <vt:lpstr>_FOR23</vt:lpstr>
      <vt:lpstr>_FOR24</vt:lpstr>
      <vt:lpstr>_FOR24.1</vt:lpstr>
      <vt:lpstr>_FOR24.2</vt:lpstr>
      <vt:lpstr>_FOR25</vt:lpstr>
      <vt:lpstr>_FOR26</vt:lpstr>
      <vt:lpstr>_FOR27</vt:lpstr>
      <vt:lpstr>_FOR28</vt:lpstr>
      <vt:lpstr>_FOR28C_1</vt:lpstr>
      <vt:lpstr>_FOR29</vt:lpstr>
      <vt:lpstr>_FOR3</vt:lpstr>
      <vt:lpstr>_FOR30</vt:lpstr>
      <vt:lpstr>_FOR31</vt:lpstr>
      <vt:lpstr>_FOR32</vt:lpstr>
      <vt:lpstr>_FOR33</vt:lpstr>
      <vt:lpstr>_FOR34</vt:lpstr>
      <vt:lpstr>_FOR35</vt:lpstr>
      <vt:lpstr>_FOR36</vt:lpstr>
      <vt:lpstr>_FOR37</vt:lpstr>
      <vt:lpstr>_FOR38</vt:lpstr>
      <vt:lpstr>_FOR39</vt:lpstr>
      <vt:lpstr>_FOR3D_2</vt:lpstr>
      <vt:lpstr>_FOR4</vt:lpstr>
      <vt:lpstr>_FOR40</vt:lpstr>
      <vt:lpstr>_FOR41</vt:lpstr>
      <vt:lpstr>_FOR42</vt:lpstr>
      <vt:lpstr>_FOR43</vt:lpstr>
      <vt:lpstr>_FOR44</vt:lpstr>
      <vt:lpstr>_FOR45</vt:lpstr>
      <vt:lpstr>_FOR46</vt:lpstr>
      <vt:lpstr>_FOR4F_1</vt:lpstr>
      <vt:lpstr>_FOR4F_2</vt:lpstr>
      <vt:lpstr>_FOR5</vt:lpstr>
      <vt:lpstr>_FOR5D_1</vt:lpstr>
      <vt:lpstr>_FOR5D_2</vt:lpstr>
      <vt:lpstr>_FOR5D_3</vt:lpstr>
      <vt:lpstr>_FOR5D_4</vt:lpstr>
      <vt:lpstr>_FOR5D_5</vt:lpstr>
      <vt:lpstr>_FOR6</vt:lpstr>
      <vt:lpstr>_FOR6F_1</vt:lpstr>
      <vt:lpstr>_FOR6F_2</vt:lpstr>
      <vt:lpstr>_FOR6F_3</vt:lpstr>
      <vt:lpstr>_FOR6F_4</vt:lpstr>
      <vt:lpstr>_FOR6F_5</vt:lpstr>
      <vt:lpstr>_FOR8</vt:lpstr>
      <vt:lpstr>_FOR8D_1</vt:lpstr>
      <vt:lpstr>_FOR9</vt:lpstr>
      <vt:lpstr>_FOR9F_1</vt:lpstr>
      <vt:lpstr>_FOS63.1</vt:lpstr>
      <vt:lpstr>_FPS_AF1</vt:lpstr>
      <vt:lpstr>_FPS_AF2</vt:lpstr>
      <vt:lpstr>_FPS1</vt:lpstr>
      <vt:lpstr>_FPS10</vt:lpstr>
      <vt:lpstr>_FPS11</vt:lpstr>
      <vt:lpstr>_FPS12</vt:lpstr>
      <vt:lpstr>_FPS13</vt:lpstr>
      <vt:lpstr>_FPS14</vt:lpstr>
      <vt:lpstr>_FPS15</vt:lpstr>
      <vt:lpstr>_FPS16</vt:lpstr>
      <vt:lpstr>_FPS17</vt:lpstr>
      <vt:lpstr>_FPS18</vt:lpstr>
      <vt:lpstr>_FPS19</vt:lpstr>
      <vt:lpstr>_FPS2</vt:lpstr>
      <vt:lpstr>_FPS20</vt:lpstr>
      <vt:lpstr>_FPS21</vt:lpstr>
      <vt:lpstr>_FPS22</vt:lpstr>
      <vt:lpstr>_FPS23</vt:lpstr>
      <vt:lpstr>_FPS24</vt:lpstr>
      <vt:lpstr>_FPS25</vt:lpstr>
      <vt:lpstr>_FPS26</vt:lpstr>
      <vt:lpstr>_FPS27</vt:lpstr>
      <vt:lpstr>_FPS28</vt:lpstr>
      <vt:lpstr>_FPS29</vt:lpstr>
      <vt:lpstr>_FPS3</vt:lpstr>
      <vt:lpstr>_FPS30</vt:lpstr>
      <vt:lpstr>_FPS31</vt:lpstr>
      <vt:lpstr>_FPS32</vt:lpstr>
      <vt:lpstr>_FPS33</vt:lpstr>
      <vt:lpstr>_FPS34</vt:lpstr>
      <vt:lpstr>_FPS35</vt:lpstr>
      <vt:lpstr>_FPS36</vt:lpstr>
      <vt:lpstr>_FPS37</vt:lpstr>
      <vt:lpstr>_FPS38</vt:lpstr>
      <vt:lpstr>_FPS39</vt:lpstr>
      <vt:lpstr>_FPS4</vt:lpstr>
      <vt:lpstr>_FPS40</vt:lpstr>
      <vt:lpstr>_FPS41</vt:lpstr>
      <vt:lpstr>_FPS41.1</vt:lpstr>
      <vt:lpstr>_FPS41.2</vt:lpstr>
      <vt:lpstr>_FPS42</vt:lpstr>
      <vt:lpstr>_FPS43</vt:lpstr>
      <vt:lpstr>_FPS44</vt:lpstr>
      <vt:lpstr>_FPS45</vt:lpstr>
      <vt:lpstr>_FPS46</vt:lpstr>
      <vt:lpstr>_FPS47</vt:lpstr>
      <vt:lpstr>_FPS48</vt:lpstr>
      <vt:lpstr>_FPS49</vt:lpstr>
      <vt:lpstr>_FPS5</vt:lpstr>
      <vt:lpstr>_FPS50</vt:lpstr>
      <vt:lpstr>_FPS51</vt:lpstr>
      <vt:lpstr>_FPS52</vt:lpstr>
      <vt:lpstr>_FPS53</vt:lpstr>
      <vt:lpstr>_FPS54</vt:lpstr>
      <vt:lpstr>_FPS55</vt:lpstr>
      <vt:lpstr>_FPS56</vt:lpstr>
      <vt:lpstr>_FPS57</vt:lpstr>
      <vt:lpstr>_FPS58</vt:lpstr>
      <vt:lpstr>_FPS59</vt:lpstr>
      <vt:lpstr>_FPS6</vt:lpstr>
      <vt:lpstr>_FPS60</vt:lpstr>
      <vt:lpstr>_FPS61</vt:lpstr>
      <vt:lpstr>_FPS62</vt:lpstr>
      <vt:lpstr>_FPS63</vt:lpstr>
      <vt:lpstr>_FPS63.2</vt:lpstr>
      <vt:lpstr>_FPS64</vt:lpstr>
      <vt:lpstr>_FPS65</vt:lpstr>
      <vt:lpstr>_FPS66</vt:lpstr>
      <vt:lpstr>_FPS67</vt:lpstr>
      <vt:lpstr>_FPS68</vt:lpstr>
      <vt:lpstr>_FPS69</vt:lpstr>
      <vt:lpstr>_FPS7</vt:lpstr>
      <vt:lpstr>_FPS70</vt:lpstr>
      <vt:lpstr>_FPS71</vt:lpstr>
      <vt:lpstr>_FPS72</vt:lpstr>
      <vt:lpstr>_FPS73</vt:lpstr>
      <vt:lpstr>_FPS74</vt:lpstr>
      <vt:lpstr>_FPS75</vt:lpstr>
      <vt:lpstr>_FPS76</vt:lpstr>
      <vt:lpstr>_FPS77</vt:lpstr>
      <vt:lpstr>_FPS78</vt:lpstr>
      <vt:lpstr>_FPS79</vt:lpstr>
      <vt:lpstr>_FPS8</vt:lpstr>
      <vt:lpstr>_FPS80</vt:lpstr>
      <vt:lpstr>_FPS9</vt:lpstr>
      <vt:lpstr>_FSE1</vt:lpstr>
      <vt:lpstr>_FSE10</vt:lpstr>
      <vt:lpstr>_FSE100</vt:lpstr>
      <vt:lpstr>_FSE101</vt:lpstr>
      <vt:lpstr>_FSE102</vt:lpstr>
      <vt:lpstr>_FSE103</vt:lpstr>
      <vt:lpstr>_FSE11</vt:lpstr>
      <vt:lpstr>_FSE12</vt:lpstr>
      <vt:lpstr>_FSE13</vt:lpstr>
      <vt:lpstr>_FSE14</vt:lpstr>
      <vt:lpstr>_FSE15</vt:lpstr>
      <vt:lpstr>_FSE16</vt:lpstr>
      <vt:lpstr>_FSE16.1</vt:lpstr>
      <vt:lpstr>_FSE17</vt:lpstr>
      <vt:lpstr>_FSE18</vt:lpstr>
      <vt:lpstr>_FSE19</vt:lpstr>
      <vt:lpstr>_FSE2</vt:lpstr>
      <vt:lpstr>_FSE20</vt:lpstr>
      <vt:lpstr>_FSE21</vt:lpstr>
      <vt:lpstr>_FSE22</vt:lpstr>
      <vt:lpstr>_FSE23</vt:lpstr>
      <vt:lpstr>_FSE24</vt:lpstr>
      <vt:lpstr>_FSE25</vt:lpstr>
      <vt:lpstr>_FSE26</vt:lpstr>
      <vt:lpstr>_FSE27</vt:lpstr>
      <vt:lpstr>_FSE28</vt:lpstr>
      <vt:lpstr>_FSE29</vt:lpstr>
      <vt:lpstr>_FSE3</vt:lpstr>
      <vt:lpstr>_FSE30</vt:lpstr>
      <vt:lpstr>_FSE31</vt:lpstr>
      <vt:lpstr>_FSE32</vt:lpstr>
      <vt:lpstr>_FSE33</vt:lpstr>
      <vt:lpstr>_FSE34</vt:lpstr>
      <vt:lpstr>_FSE35</vt:lpstr>
      <vt:lpstr>_FSE36</vt:lpstr>
      <vt:lpstr>_FSE37</vt:lpstr>
      <vt:lpstr>_FSE38</vt:lpstr>
      <vt:lpstr>_FSE39</vt:lpstr>
      <vt:lpstr>_FSE4</vt:lpstr>
      <vt:lpstr>_FSE40</vt:lpstr>
      <vt:lpstr>_FSE41</vt:lpstr>
      <vt:lpstr>_FSE42</vt:lpstr>
      <vt:lpstr>_FSE43</vt:lpstr>
      <vt:lpstr>_FSE44</vt:lpstr>
      <vt:lpstr>_FSE45</vt:lpstr>
      <vt:lpstr>_FSE46</vt:lpstr>
      <vt:lpstr>_FSE47</vt:lpstr>
      <vt:lpstr>_FSE48</vt:lpstr>
      <vt:lpstr>_FSE49</vt:lpstr>
      <vt:lpstr>_FSE5</vt:lpstr>
      <vt:lpstr>_FSE50</vt:lpstr>
      <vt:lpstr>_FSE51</vt:lpstr>
      <vt:lpstr>_FSE52</vt:lpstr>
      <vt:lpstr>_FSE53</vt:lpstr>
      <vt:lpstr>_FSE54</vt:lpstr>
      <vt:lpstr>_FSE55</vt:lpstr>
      <vt:lpstr>_FSE56</vt:lpstr>
      <vt:lpstr>_FSE57</vt:lpstr>
      <vt:lpstr>_FSE58</vt:lpstr>
      <vt:lpstr>_FSE59</vt:lpstr>
      <vt:lpstr>_FSE6</vt:lpstr>
      <vt:lpstr>_FSE60</vt:lpstr>
      <vt:lpstr>_FSE61</vt:lpstr>
      <vt:lpstr>_FSE62</vt:lpstr>
      <vt:lpstr>_FSE63</vt:lpstr>
      <vt:lpstr>_FSE64</vt:lpstr>
      <vt:lpstr>_FSE65</vt:lpstr>
      <vt:lpstr>_FSE66</vt:lpstr>
      <vt:lpstr>_FSE67</vt:lpstr>
      <vt:lpstr>_FSE68</vt:lpstr>
      <vt:lpstr>_FSE69</vt:lpstr>
      <vt:lpstr>_FSE7</vt:lpstr>
      <vt:lpstr>_FSE70</vt:lpstr>
      <vt:lpstr>_FSE71</vt:lpstr>
      <vt:lpstr>_FSE72</vt:lpstr>
      <vt:lpstr>_FSE73</vt:lpstr>
      <vt:lpstr>_FSE74</vt:lpstr>
      <vt:lpstr>_FSE75</vt:lpstr>
      <vt:lpstr>_FSE75.1</vt:lpstr>
      <vt:lpstr>_FSE76</vt:lpstr>
      <vt:lpstr>_FSE77</vt:lpstr>
      <vt:lpstr>_FSE78</vt:lpstr>
      <vt:lpstr>_FSE79</vt:lpstr>
      <vt:lpstr>_FSE8</vt:lpstr>
      <vt:lpstr>_FSE80</vt:lpstr>
      <vt:lpstr>_FSE81</vt:lpstr>
      <vt:lpstr>_FSE82</vt:lpstr>
      <vt:lpstr>_FSE83</vt:lpstr>
      <vt:lpstr>_FSE84</vt:lpstr>
      <vt:lpstr>_FSE85</vt:lpstr>
      <vt:lpstr>_FSE86</vt:lpstr>
      <vt:lpstr>_FSE87</vt:lpstr>
      <vt:lpstr>_FSE88</vt:lpstr>
      <vt:lpstr>_FSE89</vt:lpstr>
      <vt:lpstr>_FSE9</vt:lpstr>
      <vt:lpstr>_FSE90</vt:lpstr>
      <vt:lpstr>_FSE91</vt:lpstr>
      <vt:lpstr>_FSE92</vt:lpstr>
      <vt:lpstr>_FSE93</vt:lpstr>
      <vt:lpstr>_FSE94</vt:lpstr>
      <vt:lpstr>_FSE95</vt:lpstr>
      <vt:lpstr>_FSE96</vt:lpstr>
      <vt:lpstr>_FSE97</vt:lpstr>
      <vt:lpstr>_FSE98</vt:lpstr>
      <vt:lpstr>_FSE99</vt:lpstr>
      <vt:lpstr>_INC1</vt:lpstr>
      <vt:lpstr>_INC10</vt:lpstr>
      <vt:lpstr>_INC11</vt:lpstr>
      <vt:lpstr>_INC12</vt:lpstr>
      <vt:lpstr>_INC13</vt:lpstr>
      <vt:lpstr>_INC14</vt:lpstr>
      <vt:lpstr>_INC15</vt:lpstr>
      <vt:lpstr>_INC16</vt:lpstr>
      <vt:lpstr>_INC17</vt:lpstr>
      <vt:lpstr>_INC18</vt:lpstr>
      <vt:lpstr>_INC19</vt:lpstr>
      <vt:lpstr>_INC2</vt:lpstr>
      <vt:lpstr>_INC20</vt:lpstr>
      <vt:lpstr>_INC21</vt:lpstr>
      <vt:lpstr>_INC3</vt:lpstr>
      <vt:lpstr>_INC4</vt:lpstr>
      <vt:lpstr>_INC5</vt:lpstr>
      <vt:lpstr>_INC6</vt:lpstr>
      <vt:lpstr>_INC7</vt:lpstr>
      <vt:lpstr>_INC8</vt:lpstr>
      <vt:lpstr>_INC9</vt:lpstr>
      <vt:lpstr>_LUN1</vt:lpstr>
      <vt:lpstr>_LUN10</vt:lpstr>
      <vt:lpstr>_LUN11</vt:lpstr>
      <vt:lpstr>_LUN12</vt:lpstr>
      <vt:lpstr>_LUN13</vt:lpstr>
      <vt:lpstr>_LUN14</vt:lpstr>
      <vt:lpstr>_LUN15</vt:lpstr>
      <vt:lpstr>_LUN16</vt:lpstr>
      <vt:lpstr>_LUN17</vt:lpstr>
      <vt:lpstr>_LUN18</vt:lpstr>
      <vt:lpstr>_LUN19</vt:lpstr>
      <vt:lpstr>_LUN2</vt:lpstr>
      <vt:lpstr>_LUN20</vt:lpstr>
      <vt:lpstr>_LUN21</vt:lpstr>
      <vt:lpstr>_LUN22</vt:lpstr>
      <vt:lpstr>_LUN23</vt:lpstr>
      <vt:lpstr>_LUN24</vt:lpstr>
      <vt:lpstr>_LUN25</vt:lpstr>
      <vt:lpstr>_LUN26</vt:lpstr>
      <vt:lpstr>_LUN27</vt:lpstr>
      <vt:lpstr>_LUN28</vt:lpstr>
      <vt:lpstr>_LUN29</vt:lpstr>
      <vt:lpstr>_LUN3</vt:lpstr>
      <vt:lpstr>_LUN30</vt:lpstr>
      <vt:lpstr>_LUN31</vt:lpstr>
      <vt:lpstr>_LUN32</vt:lpstr>
      <vt:lpstr>_LUN33</vt:lpstr>
      <vt:lpstr>_LUN34</vt:lpstr>
      <vt:lpstr>_LUN35</vt:lpstr>
      <vt:lpstr>_LUN36</vt:lpstr>
      <vt:lpstr>_LUN37</vt:lpstr>
      <vt:lpstr>_LUN38</vt:lpstr>
      <vt:lpstr>_LUN39</vt:lpstr>
      <vt:lpstr>_LUN4</vt:lpstr>
      <vt:lpstr>_LUN40</vt:lpstr>
      <vt:lpstr>_LUN41</vt:lpstr>
      <vt:lpstr>_LUN42</vt:lpstr>
      <vt:lpstr>_LUN43</vt:lpstr>
      <vt:lpstr>_LUN44</vt:lpstr>
      <vt:lpstr>_LUN45</vt:lpstr>
      <vt:lpstr>_LUN46</vt:lpstr>
      <vt:lpstr>_LUN47</vt:lpstr>
      <vt:lpstr>_LUN48</vt:lpstr>
      <vt:lpstr>_LUN49</vt:lpstr>
      <vt:lpstr>_LUN5</vt:lpstr>
      <vt:lpstr>_LUN50</vt:lpstr>
      <vt:lpstr>_LUN51</vt:lpstr>
      <vt:lpstr>_LUN52</vt:lpstr>
      <vt:lpstr>_LUN53</vt:lpstr>
      <vt:lpstr>_LUN54</vt:lpstr>
      <vt:lpstr>_LUN55</vt:lpstr>
      <vt:lpstr>_LUN56</vt:lpstr>
      <vt:lpstr>_LUN57</vt:lpstr>
      <vt:lpstr>_LUN58</vt:lpstr>
      <vt:lpstr>_LUN59</vt:lpstr>
      <vt:lpstr>_LUN6</vt:lpstr>
      <vt:lpstr>_LUN60</vt:lpstr>
      <vt:lpstr>_LUN61</vt:lpstr>
      <vt:lpstr>_LUN62</vt:lpstr>
      <vt:lpstr>_LUN63</vt:lpstr>
      <vt:lpstr>_LUN64</vt:lpstr>
      <vt:lpstr>_LUN65</vt:lpstr>
      <vt:lpstr>_LUN66</vt:lpstr>
      <vt:lpstr>_LUN7</vt:lpstr>
      <vt:lpstr>_LUN8</vt:lpstr>
      <vt:lpstr>_LUN9</vt:lpstr>
      <vt:lpstr>_MAT_IN</vt:lpstr>
      <vt:lpstr>_MAT_OUT</vt:lpstr>
      <vt:lpstr>_MAT0</vt:lpstr>
      <vt:lpstr>_MAT1</vt:lpstr>
      <vt:lpstr>_MAT2</vt:lpstr>
      <vt:lpstr>_MAT3</vt:lpstr>
      <vt:lpstr>_MAT4</vt:lpstr>
      <vt:lpstr>_MAT5</vt:lpstr>
      <vt:lpstr>_MCA1</vt:lpstr>
      <vt:lpstr>_MCA10</vt:lpstr>
      <vt:lpstr>_MCA11</vt:lpstr>
      <vt:lpstr>_MCA2</vt:lpstr>
      <vt:lpstr>_MCA3</vt:lpstr>
      <vt:lpstr>_MCA4</vt:lpstr>
      <vt:lpstr>_MCA5</vt:lpstr>
      <vt:lpstr>_MCA6</vt:lpstr>
      <vt:lpstr>_MCA7</vt:lpstr>
      <vt:lpstr>_MCA8</vt:lpstr>
      <vt:lpstr>_MCA9</vt:lpstr>
      <vt:lpstr>_MOR1</vt:lpstr>
      <vt:lpstr>_MOR10</vt:lpstr>
      <vt:lpstr>_MOR11</vt:lpstr>
      <vt:lpstr>_MOR12</vt:lpstr>
      <vt:lpstr>_MOR13</vt:lpstr>
      <vt:lpstr>_MOR14</vt:lpstr>
      <vt:lpstr>_MOR15</vt:lpstr>
      <vt:lpstr>_MOR16</vt:lpstr>
      <vt:lpstr>_MOR17</vt:lpstr>
      <vt:lpstr>_MOR18</vt:lpstr>
      <vt:lpstr>_MOR19</vt:lpstr>
      <vt:lpstr>_MOR2</vt:lpstr>
      <vt:lpstr>_MOR20</vt:lpstr>
      <vt:lpstr>_MOR21</vt:lpstr>
      <vt:lpstr>_MOR22</vt:lpstr>
      <vt:lpstr>_MOR23</vt:lpstr>
      <vt:lpstr>_MOR24</vt:lpstr>
      <vt:lpstr>_MOR25</vt:lpstr>
      <vt:lpstr>_MOR26</vt:lpstr>
      <vt:lpstr>_MOR27</vt:lpstr>
      <vt:lpstr>_MOR28</vt:lpstr>
      <vt:lpstr>_MOR29</vt:lpstr>
      <vt:lpstr>_MOR3</vt:lpstr>
      <vt:lpstr>_MOR30</vt:lpstr>
      <vt:lpstr>_MOR31</vt:lpstr>
      <vt:lpstr>_MOR32</vt:lpstr>
      <vt:lpstr>_MOR33</vt:lpstr>
      <vt:lpstr>_MOR34</vt:lpstr>
      <vt:lpstr>_MOR35</vt:lpstr>
      <vt:lpstr>_MOR36</vt:lpstr>
      <vt:lpstr>_MOR37</vt:lpstr>
      <vt:lpstr>_MOR38</vt:lpstr>
      <vt:lpstr>_MOR39</vt:lpstr>
      <vt:lpstr>_MOR4</vt:lpstr>
      <vt:lpstr>_MOR5</vt:lpstr>
      <vt:lpstr>_MOR6</vt:lpstr>
      <vt:lpstr>_MOR7</vt:lpstr>
      <vt:lpstr>_MOR8</vt:lpstr>
      <vt:lpstr>_MOR9</vt:lpstr>
      <vt:lpstr>_MORCL1</vt:lpstr>
      <vt:lpstr>_NRD1</vt:lpstr>
      <vt:lpstr>_NRD10</vt:lpstr>
      <vt:lpstr>_NRD11</vt:lpstr>
      <vt:lpstr>_NRD12</vt:lpstr>
      <vt:lpstr>_NRD13</vt:lpstr>
      <vt:lpstr>_NRD14</vt:lpstr>
      <vt:lpstr>_NRD15</vt:lpstr>
      <vt:lpstr>_NRD16</vt:lpstr>
      <vt:lpstr>_NRD17</vt:lpstr>
      <vt:lpstr>_NRD18</vt:lpstr>
      <vt:lpstr>_NRD19</vt:lpstr>
      <vt:lpstr>_NRD2</vt:lpstr>
      <vt:lpstr>_NRD20</vt:lpstr>
      <vt:lpstr>_NRD21</vt:lpstr>
      <vt:lpstr>_NRD22</vt:lpstr>
      <vt:lpstr>_NRD23</vt:lpstr>
      <vt:lpstr>_NRD23.1</vt:lpstr>
      <vt:lpstr>_NRD23.2</vt:lpstr>
      <vt:lpstr>_NRD23.3</vt:lpstr>
      <vt:lpstr>_NRD24</vt:lpstr>
      <vt:lpstr>_NRD25</vt:lpstr>
      <vt:lpstr>_NRD26</vt:lpstr>
      <vt:lpstr>_NRD27</vt:lpstr>
      <vt:lpstr>_NRD28</vt:lpstr>
      <vt:lpstr>_NRD29</vt:lpstr>
      <vt:lpstr>_NRD3</vt:lpstr>
      <vt:lpstr>_NRD3.1</vt:lpstr>
      <vt:lpstr>_NRD30</vt:lpstr>
      <vt:lpstr>_NRD31</vt:lpstr>
      <vt:lpstr>_NRD32</vt:lpstr>
      <vt:lpstr>_NRD33</vt:lpstr>
      <vt:lpstr>_NRD34</vt:lpstr>
      <vt:lpstr>_NRD35</vt:lpstr>
      <vt:lpstr>_NRD36</vt:lpstr>
      <vt:lpstr>_NRD37</vt:lpstr>
      <vt:lpstr>_NRD38</vt:lpstr>
      <vt:lpstr>_NRD39</vt:lpstr>
      <vt:lpstr>_NRD4</vt:lpstr>
      <vt:lpstr>_NRD40</vt:lpstr>
      <vt:lpstr>_NRD5</vt:lpstr>
      <vt:lpstr>_NRD6</vt:lpstr>
      <vt:lpstr>_NRD7</vt:lpstr>
      <vt:lpstr>_NRD8</vt:lpstr>
      <vt:lpstr>_NRD9</vt:lpstr>
      <vt:lpstr>_PGLRPT</vt:lpstr>
      <vt:lpstr>_PRO1</vt:lpstr>
      <vt:lpstr>_PRO10</vt:lpstr>
      <vt:lpstr>_PRO10.2</vt:lpstr>
      <vt:lpstr>_PRO11</vt:lpstr>
      <vt:lpstr>_PRO11.1</vt:lpstr>
      <vt:lpstr>_PRO11.1.2</vt:lpstr>
      <vt:lpstr>_PRO11.2</vt:lpstr>
      <vt:lpstr>_PRO12</vt:lpstr>
      <vt:lpstr>_PRO12.2</vt:lpstr>
      <vt:lpstr>_PRO13</vt:lpstr>
      <vt:lpstr>_PRO13.2</vt:lpstr>
      <vt:lpstr>_PRO14</vt:lpstr>
      <vt:lpstr>_PRO14.2</vt:lpstr>
      <vt:lpstr>_PRO15</vt:lpstr>
      <vt:lpstr>_PRO15.2</vt:lpstr>
      <vt:lpstr>_PRO16</vt:lpstr>
      <vt:lpstr>_PRO16.2</vt:lpstr>
      <vt:lpstr>_PRO17</vt:lpstr>
      <vt:lpstr>_PRO17.2</vt:lpstr>
      <vt:lpstr>_PRO18</vt:lpstr>
      <vt:lpstr>_PRO18.2</vt:lpstr>
      <vt:lpstr>_PRO19</vt:lpstr>
      <vt:lpstr>_PRO19.2</vt:lpstr>
      <vt:lpstr>_PRO2</vt:lpstr>
      <vt:lpstr>_PRO20</vt:lpstr>
      <vt:lpstr>_PRO20.1</vt:lpstr>
      <vt:lpstr>_PRO20.2</vt:lpstr>
      <vt:lpstr>_PRO21</vt:lpstr>
      <vt:lpstr>_PRO22</vt:lpstr>
      <vt:lpstr>_PRO23</vt:lpstr>
      <vt:lpstr>_PRO24</vt:lpstr>
      <vt:lpstr>_PRO25</vt:lpstr>
      <vt:lpstr>_PRO26</vt:lpstr>
      <vt:lpstr>_PRO27</vt:lpstr>
      <vt:lpstr>_PRO28</vt:lpstr>
      <vt:lpstr>_PRO29</vt:lpstr>
      <vt:lpstr>_PRO3</vt:lpstr>
      <vt:lpstr>_PRO30</vt:lpstr>
      <vt:lpstr>_PRO31</vt:lpstr>
      <vt:lpstr>_PRO32</vt:lpstr>
      <vt:lpstr>_PRO33</vt:lpstr>
      <vt:lpstr>_PRO33.1</vt:lpstr>
      <vt:lpstr>_PRO34</vt:lpstr>
      <vt:lpstr>_PRO35</vt:lpstr>
      <vt:lpstr>_PRO36</vt:lpstr>
      <vt:lpstr>_PRO37</vt:lpstr>
      <vt:lpstr>_PRO38</vt:lpstr>
      <vt:lpstr>_PRO39</vt:lpstr>
      <vt:lpstr>_PRO4</vt:lpstr>
      <vt:lpstr>_PRO40</vt:lpstr>
      <vt:lpstr>_PRO41</vt:lpstr>
      <vt:lpstr>_PRO42</vt:lpstr>
      <vt:lpstr>_PRO43</vt:lpstr>
      <vt:lpstr>_PRO44</vt:lpstr>
      <vt:lpstr>_PRO45</vt:lpstr>
      <vt:lpstr>_PRO5</vt:lpstr>
      <vt:lpstr>_PRO5.2</vt:lpstr>
      <vt:lpstr>_PRO5_1</vt:lpstr>
      <vt:lpstr>_PRO5_1.2</vt:lpstr>
      <vt:lpstr>_PRO5_2</vt:lpstr>
      <vt:lpstr>_PRO5_2.2</vt:lpstr>
      <vt:lpstr>_PRO6</vt:lpstr>
      <vt:lpstr>_PRO6.2</vt:lpstr>
      <vt:lpstr>_PRO7</vt:lpstr>
      <vt:lpstr>_PRO7.2</vt:lpstr>
      <vt:lpstr>_PRO8</vt:lpstr>
      <vt:lpstr>_PRO8.2</vt:lpstr>
      <vt:lpstr>_PRO9</vt:lpstr>
      <vt:lpstr>_PRO9.2</vt:lpstr>
      <vt:lpstr>_REL1</vt:lpstr>
      <vt:lpstr>_REL10</vt:lpstr>
      <vt:lpstr>_REL11</vt:lpstr>
      <vt:lpstr>_REL12</vt:lpstr>
      <vt:lpstr>_REL13</vt:lpstr>
      <vt:lpstr>_REL14</vt:lpstr>
      <vt:lpstr>_REL15</vt:lpstr>
      <vt:lpstr>_REL16</vt:lpstr>
      <vt:lpstr>_REL2</vt:lpstr>
      <vt:lpstr>_REL3</vt:lpstr>
      <vt:lpstr>_REL4</vt:lpstr>
      <vt:lpstr>_REL5</vt:lpstr>
      <vt:lpstr>_REL6</vt:lpstr>
      <vt:lpstr>_REL7</vt:lpstr>
      <vt:lpstr>_REL8</vt:lpstr>
      <vt:lpstr>_REL9</vt:lpstr>
      <vt:lpstr>_SLR1</vt:lpstr>
      <vt:lpstr>_SLR2</vt:lpstr>
      <vt:lpstr>_SLR3</vt:lpstr>
      <vt:lpstr>_SLRPT</vt:lpstr>
      <vt:lpstr>_SPS1</vt:lpstr>
      <vt:lpstr>_SPS10</vt:lpstr>
      <vt:lpstr>_SPS11</vt:lpstr>
      <vt:lpstr>_SPS12</vt:lpstr>
      <vt:lpstr>_SPS13</vt:lpstr>
      <vt:lpstr>_SPS14</vt:lpstr>
      <vt:lpstr>_SPS15</vt:lpstr>
      <vt:lpstr>_SPS16</vt:lpstr>
      <vt:lpstr>_SPS17</vt:lpstr>
      <vt:lpstr>_SPS18</vt:lpstr>
      <vt:lpstr>_SPS19</vt:lpstr>
      <vt:lpstr>_SPS2</vt:lpstr>
      <vt:lpstr>_SPS20</vt:lpstr>
      <vt:lpstr>_SPS21</vt:lpstr>
      <vt:lpstr>_SPS22</vt:lpstr>
      <vt:lpstr>_SPS23</vt:lpstr>
      <vt:lpstr>_SPS24</vt:lpstr>
      <vt:lpstr>_SPS25</vt:lpstr>
      <vt:lpstr>_SPS26</vt:lpstr>
      <vt:lpstr>_SPS27</vt:lpstr>
      <vt:lpstr>_SPS28</vt:lpstr>
      <vt:lpstr>_SPS29</vt:lpstr>
      <vt:lpstr>_SPS3</vt:lpstr>
      <vt:lpstr>_SPS30</vt:lpstr>
      <vt:lpstr>_SPS31</vt:lpstr>
      <vt:lpstr>_SPS32</vt:lpstr>
      <vt:lpstr>_SPS4</vt:lpstr>
      <vt:lpstr>_SPS5</vt:lpstr>
      <vt:lpstr>_SPS6</vt:lpstr>
      <vt:lpstr>_SPS7</vt:lpstr>
      <vt:lpstr>_SPS8</vt:lpstr>
      <vt:lpstr>_SPS9</vt:lpstr>
      <vt:lpstr>_SSE1</vt:lpstr>
      <vt:lpstr>_SSE10</vt:lpstr>
      <vt:lpstr>_SSE10.1</vt:lpstr>
      <vt:lpstr>_SSE11</vt:lpstr>
      <vt:lpstr>_SSE12</vt:lpstr>
      <vt:lpstr>_SSE13</vt:lpstr>
      <vt:lpstr>_SSE14</vt:lpstr>
      <vt:lpstr>_SSE15</vt:lpstr>
      <vt:lpstr>_SSE16</vt:lpstr>
      <vt:lpstr>_SSE17</vt:lpstr>
      <vt:lpstr>_SSE18</vt:lpstr>
      <vt:lpstr>_SSE19</vt:lpstr>
      <vt:lpstr>_SSE2</vt:lpstr>
      <vt:lpstr>_SSE20</vt:lpstr>
      <vt:lpstr>_SSE21</vt:lpstr>
      <vt:lpstr>_SSE22</vt:lpstr>
      <vt:lpstr>_SSE23</vt:lpstr>
      <vt:lpstr>_SSE24</vt:lpstr>
      <vt:lpstr>_SSE25</vt:lpstr>
      <vt:lpstr>_SSE25.1</vt:lpstr>
      <vt:lpstr>_SSE26</vt:lpstr>
      <vt:lpstr>_SSE27</vt:lpstr>
      <vt:lpstr>_SSE28</vt:lpstr>
      <vt:lpstr>_SSE29</vt:lpstr>
      <vt:lpstr>_SSE3</vt:lpstr>
      <vt:lpstr>_SSE30</vt:lpstr>
      <vt:lpstr>_SSE31</vt:lpstr>
      <vt:lpstr>_SSE32</vt:lpstr>
      <vt:lpstr>_SSE33</vt:lpstr>
      <vt:lpstr>_SSE34</vt:lpstr>
      <vt:lpstr>_SSE35</vt:lpstr>
      <vt:lpstr>_SSE36</vt:lpstr>
      <vt:lpstr>_SSE37</vt:lpstr>
      <vt:lpstr>_SSE38</vt:lpstr>
      <vt:lpstr>_SSE4</vt:lpstr>
      <vt:lpstr>_SSE5</vt:lpstr>
      <vt:lpstr>_SSE6</vt:lpstr>
      <vt:lpstr>_SSE7</vt:lpstr>
      <vt:lpstr>_SSE8</vt:lpstr>
      <vt:lpstr>_SSE9</vt:lpstr>
      <vt:lpstr>CRC_template!_Toc137538025</vt:lpstr>
      <vt:lpstr>'Divs (c3)'!_Toc257364484</vt:lpstr>
      <vt:lpstr>'Divs (c3)'!_Toc257364486</vt:lpstr>
      <vt:lpstr>'POAs (c13)'!_Toc328722581</vt:lpstr>
      <vt:lpstr>_TRU1</vt:lpstr>
      <vt:lpstr>_TRU10</vt:lpstr>
      <vt:lpstr>_TRU11</vt:lpstr>
      <vt:lpstr>_TRU12</vt:lpstr>
      <vt:lpstr>_TRU13</vt:lpstr>
      <vt:lpstr>_TRU14</vt:lpstr>
      <vt:lpstr>_TRU15</vt:lpstr>
      <vt:lpstr>_TRU16</vt:lpstr>
      <vt:lpstr>_TRU17</vt:lpstr>
      <vt:lpstr>_TRU18</vt:lpstr>
      <vt:lpstr>_TRU19</vt:lpstr>
      <vt:lpstr>_TRU2</vt:lpstr>
      <vt:lpstr>_TRU20</vt:lpstr>
      <vt:lpstr>_TRU22</vt:lpstr>
      <vt:lpstr>_TRU23</vt:lpstr>
      <vt:lpstr>_TRU24</vt:lpstr>
      <vt:lpstr>_TRU25</vt:lpstr>
      <vt:lpstr>_TRU3</vt:lpstr>
      <vt:lpstr>_TRU4</vt:lpstr>
      <vt:lpstr>_TRU5</vt:lpstr>
      <vt:lpstr>_TRU6</vt:lpstr>
      <vt:lpstr>_TRU7</vt:lpstr>
      <vt:lpstr>_TRU8</vt:lpstr>
      <vt:lpstr>_TRU9</vt:lpstr>
      <vt:lpstr>_YPD1</vt:lpstr>
      <vt:lpstr>_YPD2</vt:lpstr>
      <vt:lpstr>_YPD3</vt:lpstr>
      <vt:lpstr>_YPD4</vt:lpstr>
      <vt:lpstr>_YPDTR</vt:lpstr>
      <vt:lpstr>A_rate</vt:lpstr>
      <vt:lpstr>AA_excess</vt:lpstr>
      <vt:lpstr>AA_limit</vt:lpstr>
      <vt:lpstr>ADD_P_IND</vt:lpstr>
      <vt:lpstr>AHR_band</vt:lpstr>
      <vt:lpstr>AHR_case</vt:lpstr>
      <vt:lpstr>AHR_case_PSA</vt:lpstr>
      <vt:lpstr>AHR_rate</vt:lpstr>
      <vt:lpstr>AIL</vt:lpstr>
      <vt:lpstr>AIL_IND</vt:lpstr>
      <vt:lpstr>AIL_RANGE</vt:lpstr>
      <vt:lpstr>Alimony</vt:lpstr>
      <vt:lpstr>Allce_BPA</vt:lpstr>
      <vt:lpstr>Allce_BPA_Spare</vt:lpstr>
      <vt:lpstr>Allce_dedn_total</vt:lpstr>
      <vt:lpstr>Allce_PA</vt:lpstr>
      <vt:lpstr>AllceIn_TPA</vt:lpstr>
      <vt:lpstr>AllceIn_TPA_relief</vt:lpstr>
      <vt:lpstr>AllceOut_TPA</vt:lpstr>
      <vt:lpstr>allowedTypes</vt:lpstr>
      <vt:lpstr>annuity_amount</vt:lpstr>
      <vt:lpstr>annuity_tax</vt:lpstr>
      <vt:lpstr>AOI</vt:lpstr>
      <vt:lpstr>AOI_A_IND</vt:lpstr>
      <vt:lpstr>AOI_A_RANGE</vt:lpstr>
      <vt:lpstr>AOI_B_IND</vt:lpstr>
      <vt:lpstr>AOI_B_RANGE</vt:lpstr>
      <vt:lpstr>AOI_C_IND</vt:lpstr>
      <vt:lpstr>AOI_C_RANGE</vt:lpstr>
      <vt:lpstr>AOR</vt:lpstr>
      <vt:lpstr>AOR_IND</vt:lpstr>
      <vt:lpstr>AOR_RANGE</vt:lpstr>
      <vt:lpstr>ASE</vt:lpstr>
      <vt:lpstr>ASE_A_IND</vt:lpstr>
      <vt:lpstr>ASE_A_RANGE</vt:lpstr>
      <vt:lpstr>ASE_B_IND</vt:lpstr>
      <vt:lpstr>ASE_B_RANGE</vt:lpstr>
      <vt:lpstr>ASE_C_IND</vt:lpstr>
      <vt:lpstr>ASE_C_RANGE</vt:lpstr>
      <vt:lpstr>BCD_year</vt:lpstr>
      <vt:lpstr>before_30_sep</vt:lpstr>
      <vt:lpstr>Benefits_Emp</vt:lpstr>
      <vt:lpstr>box_18.5_claim</vt:lpstr>
      <vt:lpstr>box_18.8_claim</vt:lpstr>
      <vt:lpstr>box_18_3</vt:lpstr>
      <vt:lpstr>box_c12_1_s23</vt:lpstr>
      <vt:lpstr>box_c12_1_s811</vt:lpstr>
      <vt:lpstr>box_c12_1_tax</vt:lpstr>
      <vt:lpstr>Box_CAL7</vt:lpstr>
      <vt:lpstr>Box_CAL8</vt:lpstr>
      <vt:lpstr>Box_CAL9</vt:lpstr>
      <vt:lpstr>box_NRD1</vt:lpstr>
      <vt:lpstr>box_NRD15</vt:lpstr>
      <vt:lpstr>box_NRD16</vt:lpstr>
      <vt:lpstr>box_NRD28</vt:lpstr>
      <vt:lpstr>box_NRD29</vt:lpstr>
      <vt:lpstr>box_NRD30</vt:lpstr>
      <vt:lpstr>box_NRD31</vt:lpstr>
      <vt:lpstr>box_NRD32</vt:lpstr>
      <vt:lpstr>box_NRD33</vt:lpstr>
      <vt:lpstr>BPA</vt:lpstr>
      <vt:lpstr>BPA_claimed</vt:lpstr>
      <vt:lpstr>BR_band</vt:lpstr>
      <vt:lpstr>BR_rate</vt:lpstr>
      <vt:lpstr>CAL</vt:lpstr>
      <vt:lpstr>CAL_IND</vt:lpstr>
      <vt:lpstr>CAL_range</vt:lpstr>
      <vt:lpstr>CBC_HR_threshold</vt:lpstr>
      <vt:lpstr>CBC_Ind</vt:lpstr>
      <vt:lpstr>CBC_RANGE</vt:lpstr>
      <vt:lpstr>CBC_taper</vt:lpstr>
      <vt:lpstr>CG_at_ER_rate</vt:lpstr>
      <vt:lpstr>CG_at_higher_rate</vt:lpstr>
      <vt:lpstr>CG_at_higher_rate_RP_CI</vt:lpstr>
      <vt:lpstr>CG_at_lower_rate</vt:lpstr>
      <vt:lpstr>CG_at_lower_rate_RP_CI</vt:lpstr>
      <vt:lpstr>CG_exempt</vt:lpstr>
      <vt:lpstr>CG_FTCR</vt:lpstr>
      <vt:lpstr>CG_trust_tax</vt:lpstr>
      <vt:lpstr>CGT</vt:lpstr>
      <vt:lpstr>CGT_adjustment</vt:lpstr>
      <vt:lpstr>CGT_IND</vt:lpstr>
      <vt:lpstr>CGT_RANGE</vt:lpstr>
      <vt:lpstr>CGTax</vt:lpstr>
      <vt:lpstr>Child_Benefit_tax_charge</vt:lpstr>
      <vt:lpstr>CITR</vt:lpstr>
      <vt:lpstr>CITR_rate</vt:lpstr>
      <vt:lpstr>claim_to_reduce</vt:lpstr>
      <vt:lpstr>Class1_PT</vt:lpstr>
      <vt:lpstr>Class1_UEL</vt:lpstr>
      <vt:lpstr>coded_in_later_year</vt:lpstr>
      <vt:lpstr>coded_out_limit</vt:lpstr>
      <vt:lpstr>DA</vt:lpstr>
      <vt:lpstr>date_formatted</vt:lpstr>
      <vt:lpstr>date_formatted_W</vt:lpstr>
      <vt:lpstr>debt_coded</vt:lpstr>
      <vt:lpstr>debt_collected</vt:lpstr>
      <vt:lpstr>Ded_cap</vt:lpstr>
      <vt:lpstr>ded_Loss</vt:lpstr>
      <vt:lpstr>ded_loss_restricted</vt:lpstr>
      <vt:lpstr>Ded_taper</vt:lpstr>
      <vt:lpstr>dedn_Annuity</vt:lpstr>
      <vt:lpstr>Dedn_cap</vt:lpstr>
      <vt:lpstr>dedn_Gift</vt:lpstr>
      <vt:lpstr>dedn_RAR</vt:lpstr>
      <vt:lpstr>Dedn_taper</vt:lpstr>
      <vt:lpstr>dedn_Trust</vt:lpstr>
      <vt:lpstr>deficiency_relief</vt:lpstr>
      <vt:lpstr>div_tax_credits</vt:lpstr>
      <vt:lpstr>div_tax_credits_s399</vt:lpstr>
      <vt:lpstr>DivAR_rate</vt:lpstr>
      <vt:lpstr>DivBR_rate</vt:lpstr>
      <vt:lpstr>DivHR_rate</vt:lpstr>
      <vt:lpstr>DivNil_rate</vt:lpstr>
      <vt:lpstr>divs_gross</vt:lpstr>
      <vt:lpstr>divs_gross_F</vt:lpstr>
      <vt:lpstr>divs_gross_P</vt:lpstr>
      <vt:lpstr>divs_taxfree_AHR</vt:lpstr>
      <vt:lpstr>divs_taxfree_BR</vt:lpstr>
      <vt:lpstr>divs_taxfree_HR</vt:lpstr>
      <vt:lpstr>DTA</vt:lpstr>
      <vt:lpstr>EIS</vt:lpstr>
      <vt:lpstr>EIS_rate</vt:lpstr>
      <vt:lpstr>EMP</vt:lpstr>
      <vt:lpstr>EMP_A_IND</vt:lpstr>
      <vt:lpstr>EMP_B_IND</vt:lpstr>
      <vt:lpstr>EMP_RANGE_A</vt:lpstr>
      <vt:lpstr>EMP_RANGE_B</vt:lpstr>
      <vt:lpstr>ER_CGT_rate</vt:lpstr>
      <vt:lpstr>ER_rate_CGT</vt:lpstr>
      <vt:lpstr>Exps_Emp</vt:lpstr>
      <vt:lpstr>extended_BR</vt:lpstr>
      <vt:lpstr>extended_BR_fmt</vt:lpstr>
      <vt:lpstr>extended_BR_STp</vt:lpstr>
      <vt:lpstr>FIN</vt:lpstr>
      <vt:lpstr>FOR</vt:lpstr>
      <vt:lpstr>FOR_3D_1</vt:lpstr>
      <vt:lpstr>FOR_43</vt:lpstr>
      <vt:lpstr>FOR_44</vt:lpstr>
      <vt:lpstr>FOR_45</vt:lpstr>
      <vt:lpstr>FOR_IND</vt:lpstr>
      <vt:lpstr>FOR_RANGE</vt:lpstr>
      <vt:lpstr>foreign_dividends</vt:lpstr>
      <vt:lpstr>foreign_savings</vt:lpstr>
      <vt:lpstr>FPS</vt:lpstr>
      <vt:lpstr>FPS_RANGE</vt:lpstr>
      <vt:lpstr>FSE</vt:lpstr>
      <vt:lpstr>FSE_RANGE</vt:lpstr>
      <vt:lpstr>FTCR</vt:lpstr>
      <vt:lpstr>FTCR_Calc!FTCR_run_1</vt:lpstr>
      <vt:lpstr>FTCR_run_1</vt:lpstr>
      <vt:lpstr>FTCR_Calc!FTCR_run_10</vt:lpstr>
      <vt:lpstr>FTCR_run_10</vt:lpstr>
      <vt:lpstr>FTCR_Calc!FTCR_run_2</vt:lpstr>
      <vt:lpstr>FTCR_run_2</vt:lpstr>
      <vt:lpstr>FTCR_Calc!FTCR_run_3</vt:lpstr>
      <vt:lpstr>FTCR_run_3</vt:lpstr>
      <vt:lpstr>FTCR_Calc!FTCR_run_4</vt:lpstr>
      <vt:lpstr>FTCR_run_4</vt:lpstr>
      <vt:lpstr>FTCR_Calc!FTCR_run_5</vt:lpstr>
      <vt:lpstr>FTCR_run_5</vt:lpstr>
      <vt:lpstr>FTCR_Calc!FTCR_run_6</vt:lpstr>
      <vt:lpstr>FTCR_run_6</vt:lpstr>
      <vt:lpstr>FTCR_Calc!FTCR_run_7</vt:lpstr>
      <vt:lpstr>FTCR_run_7</vt:lpstr>
      <vt:lpstr>FTCR_Calc!FTCR_run_8</vt:lpstr>
      <vt:lpstr>FTCR_run_8</vt:lpstr>
      <vt:lpstr>FTCR_Calc!FTCR_run_9</vt:lpstr>
      <vt:lpstr>FTCR_run_9</vt:lpstr>
      <vt:lpstr>gift_aid</vt:lpstr>
      <vt:lpstr>Gift_aid_amount</vt:lpstr>
      <vt:lpstr>gift_aid_F</vt:lpstr>
      <vt:lpstr>Gift_aid_tax_due</vt:lpstr>
      <vt:lpstr>Gift_aid_tax_reduced</vt:lpstr>
      <vt:lpstr>gift_extender</vt:lpstr>
      <vt:lpstr>gift_extender_fmt</vt:lpstr>
      <vt:lpstr>Gross_By_22</vt:lpstr>
      <vt:lpstr>Gross_By_22_F</vt:lpstr>
      <vt:lpstr>H_MCA</vt:lpstr>
      <vt:lpstr>Higher_rate_CGT</vt:lpstr>
      <vt:lpstr>Higher_rate_CGT_RP_CI</vt:lpstr>
      <vt:lpstr>HR_band</vt:lpstr>
      <vt:lpstr>HR_case</vt:lpstr>
      <vt:lpstr>HR_case_MAT</vt:lpstr>
      <vt:lpstr>HR_case_PSA</vt:lpstr>
      <vt:lpstr>HR_gross</vt:lpstr>
      <vt:lpstr>HR_gross_F</vt:lpstr>
      <vt:lpstr>HR_limit_fmt</vt:lpstr>
      <vt:lpstr>HR_rate</vt:lpstr>
      <vt:lpstr>Hsave_rate</vt:lpstr>
      <vt:lpstr>in_year_rept</vt:lpstr>
      <vt:lpstr>INC</vt:lpstr>
      <vt:lpstr>INC_A_IND</vt:lpstr>
      <vt:lpstr>INC_A_RANGE</vt:lpstr>
      <vt:lpstr>INC_B_IND</vt:lpstr>
      <vt:lpstr>INC_B_RANGE</vt:lpstr>
      <vt:lpstr>INC_C_IND</vt:lpstr>
      <vt:lpstr>INC_C_RANGE</vt:lpstr>
      <vt:lpstr>income_Case3</vt:lpstr>
      <vt:lpstr>income_CEG</vt:lpstr>
      <vt:lpstr>income_D</vt:lpstr>
      <vt:lpstr>income_D_PTR</vt:lpstr>
      <vt:lpstr>income_DV_PTR</vt:lpstr>
      <vt:lpstr>income_E</vt:lpstr>
      <vt:lpstr>Income_Excluded</vt:lpstr>
      <vt:lpstr>income_F</vt:lpstr>
      <vt:lpstr>income_Foreign</vt:lpstr>
      <vt:lpstr>income_IFP</vt:lpstr>
      <vt:lpstr>income_Other</vt:lpstr>
      <vt:lpstr>income_Pensions</vt:lpstr>
      <vt:lpstr>income_S_PTR</vt:lpstr>
      <vt:lpstr>income_Savings_taxfree_BR</vt:lpstr>
      <vt:lpstr>Income_Savings_taxfree_HR</vt:lpstr>
      <vt:lpstr>income_Shares</vt:lpstr>
      <vt:lpstr>income_tax_gift_aid</vt:lpstr>
      <vt:lpstr>income_Total</vt:lpstr>
      <vt:lpstr>income_Trust</vt:lpstr>
      <vt:lpstr>Ind_disp</vt:lpstr>
      <vt:lpstr>IT_after_allces</vt:lpstr>
      <vt:lpstr>IT_after_div_tax_credits</vt:lpstr>
      <vt:lpstr>IT_after_gift_aid</vt:lpstr>
      <vt:lpstr>IT_plus_class4</vt:lpstr>
      <vt:lpstr>item_1_ind</vt:lpstr>
      <vt:lpstr>item_1_name</vt:lpstr>
      <vt:lpstr>item_10_ind</vt:lpstr>
      <vt:lpstr>item_2_ind</vt:lpstr>
      <vt:lpstr>item_3_ind</vt:lpstr>
      <vt:lpstr>item_4_ind</vt:lpstr>
      <vt:lpstr>item_5_ind</vt:lpstr>
      <vt:lpstr>item_6_ind</vt:lpstr>
      <vt:lpstr>item_7_ind</vt:lpstr>
      <vt:lpstr>item_8_ind</vt:lpstr>
      <vt:lpstr>item_9_ind</vt:lpstr>
      <vt:lpstr>Last_row</vt:lpstr>
      <vt:lpstr>last_year</vt:lpstr>
      <vt:lpstr>Ldiv_rate</vt:lpstr>
      <vt:lpstr>LFI_amount</vt:lpstr>
      <vt:lpstr>LFI_relief</vt:lpstr>
      <vt:lpstr>Llir_amount</vt:lpstr>
      <vt:lpstr>Llir_amount_restricted</vt:lpstr>
      <vt:lpstr>Llir_relief</vt:lpstr>
      <vt:lpstr>Lower_CGT_rate</vt:lpstr>
      <vt:lpstr>Lower_CGT_rate_RP_CI</vt:lpstr>
      <vt:lpstr>Lower_rate_CGT</vt:lpstr>
      <vt:lpstr>Lower_rate_CGT_RP_CI</vt:lpstr>
      <vt:lpstr>LTA_lump</vt:lpstr>
      <vt:lpstr>LTA_pension</vt:lpstr>
      <vt:lpstr>LUN</vt:lpstr>
      <vt:lpstr>LUN_IND</vt:lpstr>
      <vt:lpstr>LUN_RANGE</vt:lpstr>
      <vt:lpstr>MA_transfer</vt:lpstr>
      <vt:lpstr>man_mca_claim</vt:lpstr>
      <vt:lpstr>MAT_IN</vt:lpstr>
      <vt:lpstr>MAT_Ind</vt:lpstr>
      <vt:lpstr>MAT_OUT</vt:lpstr>
      <vt:lpstr>MAT_RANGE</vt:lpstr>
      <vt:lpstr>MAT0</vt:lpstr>
      <vt:lpstr>max_NIC</vt:lpstr>
      <vt:lpstr>MCA</vt:lpstr>
      <vt:lpstr>MCA_2</vt:lpstr>
      <vt:lpstr>MCA_amount</vt:lpstr>
      <vt:lpstr>MCA_claim</vt:lpstr>
      <vt:lpstr>MCA_CONTROL_RANGE</vt:lpstr>
      <vt:lpstr>MCA_IND</vt:lpstr>
      <vt:lpstr>mca_not_claimed</vt:lpstr>
      <vt:lpstr>MCA_RANGE</vt:lpstr>
      <vt:lpstr>MCA_relief</vt:lpstr>
      <vt:lpstr>MCA_section</vt:lpstr>
      <vt:lpstr>MCA_split</vt:lpstr>
      <vt:lpstr>MCA_to_wife</vt:lpstr>
      <vt:lpstr>MCA_year</vt:lpstr>
      <vt:lpstr>min_relevant_earns</vt:lpstr>
      <vt:lpstr>months_married</vt:lpstr>
      <vt:lpstr>months_not_married</vt:lpstr>
      <vt:lpstr>MOR</vt:lpstr>
      <vt:lpstr>MOR_IND</vt:lpstr>
      <vt:lpstr>MOR_RANGE</vt:lpstr>
      <vt:lpstr>MORE_SELECT_IND</vt:lpstr>
      <vt:lpstr>ND_limit</vt:lpstr>
      <vt:lpstr>next_year</vt:lpstr>
      <vt:lpstr>NI1_IND</vt:lpstr>
      <vt:lpstr>NI1_MOR_RANGE</vt:lpstr>
      <vt:lpstr>NI1_RANGE</vt:lpstr>
      <vt:lpstr>NI2_IND</vt:lpstr>
      <vt:lpstr>NI2_RANGE</vt:lpstr>
      <vt:lpstr>NIC_amount</vt:lpstr>
      <vt:lpstr>NIC_Band</vt:lpstr>
      <vt:lpstr>NIC_charge</vt:lpstr>
      <vt:lpstr>NIC_ex_set</vt:lpstr>
      <vt:lpstr>NIC_exempt</vt:lpstr>
      <vt:lpstr>NIC_LEL</vt:lpstr>
      <vt:lpstr>NIC_PT_Wk</vt:lpstr>
      <vt:lpstr>NIC_rate</vt:lpstr>
      <vt:lpstr>NIC_sup_amount</vt:lpstr>
      <vt:lpstr>NIC_sup_charge</vt:lpstr>
      <vt:lpstr>NIC_supp_rate</vt:lpstr>
      <vt:lpstr>NIC_total</vt:lpstr>
      <vt:lpstr>NIC_UEL</vt:lpstr>
      <vt:lpstr>NIC_UEL_Wk</vt:lpstr>
      <vt:lpstr>NIC_x</vt:lpstr>
      <vt:lpstr>NIC1_amount</vt:lpstr>
      <vt:lpstr>NIC1_rate</vt:lpstr>
      <vt:lpstr>NIC2_amount</vt:lpstr>
      <vt:lpstr>NIC2_annual_limit</vt:lpstr>
      <vt:lpstr>NIC2_SPT</vt:lpstr>
      <vt:lpstr>NIC2_v</vt:lpstr>
      <vt:lpstr>NIC2_Vol</vt:lpstr>
      <vt:lpstr>NIC2_voluntary</vt:lpstr>
      <vt:lpstr>NIC2_weekamt</vt:lpstr>
      <vt:lpstr>NIC2_weekamt_Selected</vt:lpstr>
      <vt:lpstr>NIC2SF_annual_limit</vt:lpstr>
      <vt:lpstr>NIC2SF_weekamt</vt:lpstr>
      <vt:lpstr>NIC4_amount</vt:lpstr>
      <vt:lpstr>No_of_for_gains</vt:lpstr>
      <vt:lpstr>NON_DOM_Allowances</vt:lpstr>
      <vt:lpstr>NON_DOM_Charge</vt:lpstr>
      <vt:lpstr>non_dom_charge_amount</vt:lpstr>
      <vt:lpstr>non_resident</vt:lpstr>
      <vt:lpstr>not_to_be_coded</vt:lpstr>
      <vt:lpstr>notional_CEG</vt:lpstr>
      <vt:lpstr>notional_other</vt:lpstr>
      <vt:lpstr>notional_total</vt:lpstr>
      <vt:lpstr>NRD</vt:lpstr>
      <vt:lpstr>NRD_IND</vt:lpstr>
      <vt:lpstr>NRD_RANGE</vt:lpstr>
      <vt:lpstr>NS_gross</vt:lpstr>
      <vt:lpstr>NS_gross_F</vt:lpstr>
      <vt:lpstr>OLD_BR</vt:lpstr>
      <vt:lpstr>Older_spouse</vt:lpstr>
      <vt:lpstr>OTC_rate</vt:lpstr>
      <vt:lpstr>P_A</vt:lpstr>
      <vt:lpstr>PA_taper_limit</vt:lpstr>
      <vt:lpstr>Pay_Emp</vt:lpstr>
      <vt:lpstr>PAYE_case</vt:lpstr>
      <vt:lpstr>Pen_AA_limit</vt:lpstr>
      <vt:lpstr>Pen_AA_rate</vt:lpstr>
      <vt:lpstr>Pen_MPAA_limit</vt:lpstr>
      <vt:lpstr>Pen_Upayts</vt:lpstr>
      <vt:lpstr>pens_tax_due</vt:lpstr>
      <vt:lpstr>pens_tax_rel_due</vt:lpstr>
      <vt:lpstr>Pension_charges</vt:lpstr>
      <vt:lpstr>Pension_charges_gross</vt:lpstr>
      <vt:lpstr>Pension_charges_tax_paid</vt:lpstr>
      <vt:lpstr>Pension_lump_sum_amount</vt:lpstr>
      <vt:lpstr>Pension_lump_sum_rate</vt:lpstr>
      <vt:lpstr>Pension_lump_sum_tax</vt:lpstr>
      <vt:lpstr>PGL_limit</vt:lpstr>
      <vt:lpstr>PGL_rate</vt:lpstr>
      <vt:lpstr>PGL_type</vt:lpstr>
      <vt:lpstr>PGLR</vt:lpstr>
      <vt:lpstr>POA_limit</vt:lpstr>
      <vt:lpstr>Post_grad_loan</vt:lpstr>
      <vt:lpstr>ppr_extender</vt:lpstr>
      <vt:lpstr>ppr_extender_fmt</vt:lpstr>
      <vt:lpstr>ppr_gift_extender_STp</vt:lpstr>
      <vt:lpstr>'C3'!Print_Area</vt:lpstr>
      <vt:lpstr>'C5'!Print_Area</vt:lpstr>
      <vt:lpstr>PRO</vt:lpstr>
      <vt:lpstr>PRO_IND</vt:lpstr>
      <vt:lpstr>PRO_RANGE</vt:lpstr>
      <vt:lpstr>PS_A_IND</vt:lpstr>
      <vt:lpstr>PS_B_IND</vt:lpstr>
      <vt:lpstr>PSA</vt:lpstr>
      <vt:lpstr>PSA_AHR</vt:lpstr>
      <vt:lpstr>PSA_BR</vt:lpstr>
      <vt:lpstr>PSA_HR</vt:lpstr>
      <vt:lpstr>Q1AA</vt:lpstr>
      <vt:lpstr>REL</vt:lpstr>
      <vt:lpstr>REL_A_IND</vt:lpstr>
      <vt:lpstr>REL_A_RANGE</vt:lpstr>
      <vt:lpstr>REL_B_IND</vt:lpstr>
      <vt:lpstr>REL_B_RANGE</vt:lpstr>
      <vt:lpstr>REL_C_IND</vt:lpstr>
      <vt:lpstr>REL_C_RANGE</vt:lpstr>
      <vt:lpstr>relief_on_qual_distn</vt:lpstr>
      <vt:lpstr>remit_basis</vt:lpstr>
      <vt:lpstr>Remit_set</vt:lpstr>
      <vt:lpstr>Res_non_dom_ch</vt:lpstr>
      <vt:lpstr>Res_non_dom_High_ch</vt:lpstr>
      <vt:lpstr>Residency_Status_in_UK</vt:lpstr>
      <vt:lpstr>Resident</vt:lpstr>
      <vt:lpstr>SA_E_tax</vt:lpstr>
      <vt:lpstr>SAHR_band</vt:lpstr>
      <vt:lpstr>SAHR_rate</vt:lpstr>
      <vt:lpstr>SavBR_band</vt:lpstr>
      <vt:lpstr>savings_gross</vt:lpstr>
      <vt:lpstr>savings_gross_F</vt:lpstr>
      <vt:lpstr>SBR_band</vt:lpstr>
      <vt:lpstr>SBR_rate</vt:lpstr>
      <vt:lpstr>SCH_D_case</vt:lpstr>
      <vt:lpstr>SCH_E_case</vt:lpstr>
      <vt:lpstr>SE_A_IND</vt:lpstr>
      <vt:lpstr>SE_B_IND</vt:lpstr>
      <vt:lpstr>SEIS_rate</vt:lpstr>
      <vt:lpstr>SEIS_Relief</vt:lpstr>
      <vt:lpstr>SELECTOR_IND</vt:lpstr>
      <vt:lpstr>SHR_band</vt:lpstr>
      <vt:lpstr>SHR_rate</vt:lpstr>
      <vt:lpstr>SIR_band</vt:lpstr>
      <vt:lpstr>SIR_rate</vt:lpstr>
      <vt:lpstr>SITR</vt:lpstr>
      <vt:lpstr>SITR_rate</vt:lpstr>
      <vt:lpstr>SL_case</vt:lpstr>
      <vt:lpstr>SL_limit1</vt:lpstr>
      <vt:lpstr>SL_limit2</vt:lpstr>
      <vt:lpstr>SL_type</vt:lpstr>
      <vt:lpstr>SL_UIT</vt:lpstr>
      <vt:lpstr>Sloan_rate</vt:lpstr>
      <vt:lpstr>SLR</vt:lpstr>
      <vt:lpstr>SLR_ind</vt:lpstr>
      <vt:lpstr>SLR_RANGE</vt:lpstr>
      <vt:lpstr>SLSDB_rate</vt:lpstr>
      <vt:lpstr>SMP</vt:lpstr>
      <vt:lpstr>SNil_rate</vt:lpstr>
      <vt:lpstr>spare_MCA_amount</vt:lpstr>
      <vt:lpstr>spare_MCA_relief</vt:lpstr>
      <vt:lpstr>SPS</vt:lpstr>
      <vt:lpstr>SPS_RANGE</vt:lpstr>
      <vt:lpstr>SR_band</vt:lpstr>
      <vt:lpstr>SR_band_fmt</vt:lpstr>
      <vt:lpstr>SR_rate</vt:lpstr>
      <vt:lpstr>SSE</vt:lpstr>
      <vt:lpstr>SSE_RANGE</vt:lpstr>
      <vt:lpstr>SSR_band</vt:lpstr>
      <vt:lpstr>SSR_higher_rate</vt:lpstr>
      <vt:lpstr>SSR_lower_band</vt:lpstr>
      <vt:lpstr>SSR_lower_rate</vt:lpstr>
      <vt:lpstr>SSR_rate</vt:lpstr>
      <vt:lpstr>Student_loan</vt:lpstr>
      <vt:lpstr>T_P_A</vt:lpstr>
      <vt:lpstr>tax_already_refunded</vt:lpstr>
      <vt:lpstr>tax_charged</vt:lpstr>
      <vt:lpstr>tax_on_divs_AHR</vt:lpstr>
      <vt:lpstr>tax_on_divs_BR</vt:lpstr>
      <vt:lpstr>tax_on_divs_HR</vt:lpstr>
      <vt:lpstr>tax_on_excluded_inc</vt:lpstr>
      <vt:lpstr>tax_on_gains_already_charged</vt:lpstr>
      <vt:lpstr>tax_on_int_AHR</vt:lpstr>
      <vt:lpstr>tax_on_int_BR</vt:lpstr>
      <vt:lpstr>tax_on_int_HR</vt:lpstr>
      <vt:lpstr>tax_on_int_SR</vt:lpstr>
      <vt:lpstr>tax_on_pay_AHR</vt:lpstr>
      <vt:lpstr>tax_on_pay_BR</vt:lpstr>
      <vt:lpstr>tax_on_pay_HR</vt:lpstr>
      <vt:lpstr>tax_on_pay_SIR</vt:lpstr>
      <vt:lpstr>tax_on_pay_SSR</vt:lpstr>
      <vt:lpstr>tax_paid_Case3</vt:lpstr>
      <vt:lpstr>tax_paid_CEG</vt:lpstr>
      <vt:lpstr>tax_paid_D</vt:lpstr>
      <vt:lpstr>tax_paid_D_PTR</vt:lpstr>
      <vt:lpstr>tax_paid_E</vt:lpstr>
      <vt:lpstr>tax_paid_Foreign</vt:lpstr>
      <vt:lpstr>tax_paid_IFP</vt:lpstr>
      <vt:lpstr>tax_paid_Other</vt:lpstr>
      <vt:lpstr>tax_paid_Overseas</vt:lpstr>
      <vt:lpstr>tax_paid_Trust</vt:lpstr>
      <vt:lpstr>tax_year</vt:lpstr>
      <vt:lpstr>Tax_year_end</vt:lpstr>
      <vt:lpstr>Tax_year_start</vt:lpstr>
      <vt:lpstr>Taxable_CG</vt:lpstr>
      <vt:lpstr>taxable_divs_AHR</vt:lpstr>
      <vt:lpstr>taxable_divs_BR</vt:lpstr>
      <vt:lpstr>taxable_divs_HR</vt:lpstr>
      <vt:lpstr>taxable_income</vt:lpstr>
      <vt:lpstr>taxable_int_AHR</vt:lpstr>
      <vt:lpstr>taxable_int_BR</vt:lpstr>
      <vt:lpstr>taxable_int_HR</vt:lpstr>
      <vt:lpstr>taxable_int_SR</vt:lpstr>
      <vt:lpstr>taxable_pay_AHR</vt:lpstr>
      <vt:lpstr>taxable_pay_BR</vt:lpstr>
      <vt:lpstr>taxable_pay_HR</vt:lpstr>
      <vt:lpstr>taxable_pay_SIR</vt:lpstr>
      <vt:lpstr>taxable_pay_SSR</vt:lpstr>
      <vt:lpstr>Taxpayer_Reference</vt:lpstr>
      <vt:lpstr>TCR_IND</vt:lpstr>
      <vt:lpstr>TCR_RANGE</vt:lpstr>
      <vt:lpstr>to_be_coded</vt:lpstr>
      <vt:lpstr>total_all_gains</vt:lpstr>
      <vt:lpstr>total_CG_due</vt:lpstr>
      <vt:lpstr>Total_CGT_tax</vt:lpstr>
      <vt:lpstr>Total_IT_CG_class4_due</vt:lpstr>
      <vt:lpstr>Total_IT_class4_due</vt:lpstr>
      <vt:lpstr>Total_tax_NIC_due</vt:lpstr>
      <vt:lpstr>total_tax_NIC_nonresS23</vt:lpstr>
      <vt:lpstr>total_tax_NIC_nonresS811</vt:lpstr>
      <vt:lpstr>total_tax_paid</vt:lpstr>
      <vt:lpstr>FTCR_Calc!total_tcr</vt:lpstr>
      <vt:lpstr>total_tcr</vt:lpstr>
      <vt:lpstr>tp_age_ind</vt:lpstr>
      <vt:lpstr>TRU</vt:lpstr>
      <vt:lpstr>TRU_IND</vt:lpstr>
      <vt:lpstr>TRU_RANGE</vt:lpstr>
      <vt:lpstr>trust_div_gross</vt:lpstr>
      <vt:lpstr>trust_div_gross_F</vt:lpstr>
      <vt:lpstr>trust_div_gross_P</vt:lpstr>
      <vt:lpstr>trust_gross</vt:lpstr>
      <vt:lpstr>trust_gross_F</vt:lpstr>
      <vt:lpstr>TSR</vt:lpstr>
      <vt:lpstr>TSR_due</vt:lpstr>
      <vt:lpstr>UK_allowance_claim</vt:lpstr>
      <vt:lpstr>UK_FTCR</vt:lpstr>
      <vt:lpstr>unpaid_tax_bf</vt:lpstr>
      <vt:lpstr>unpaid_tax_in_code</vt:lpstr>
      <vt:lpstr>Upayts_surcharge</vt:lpstr>
      <vt:lpstr>Upper_CGT_rate</vt:lpstr>
      <vt:lpstr>Upper_CGT_rate_RP_CI</vt:lpstr>
      <vt:lpstr>VCT</vt:lpstr>
      <vt:lpstr>VCT_rate</vt:lpstr>
      <vt:lpstr>WAHR_rate</vt:lpstr>
      <vt:lpstr>WBR_rate</vt:lpstr>
      <vt:lpstr>WHR_rate</vt:lpstr>
      <vt:lpstr>Wife_age_ind</vt:lpstr>
      <vt:lpstr>wife_mca_claim</vt:lpstr>
      <vt:lpstr>YPD</vt:lpstr>
      <vt:lpstr>YPD_IND</vt:lpstr>
      <vt:lpstr>YPD_RANGE</vt:lpstr>
      <vt:lpstr>YPD1</vt:lpstr>
      <vt:lpstr>YPD2</vt:lpstr>
      <vt:lpstr>YPD3</vt:lpstr>
      <vt:lpstr>YPD4</vt:lpstr>
      <vt:lpstr>YPDTR</vt:lpstr>
    </vt:vector>
  </TitlesOfParts>
  <Company>Inland Revenue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1999-02-09T10:37:27Z</dcterms:created>
  <dc:creator>MOYLEP</dc:creator>
  <cp:lastModifiedBy>IEUser</cp:lastModifiedBy>
  <cp:lastPrinted>2018-06-15T16:35:34Z</cp:lastPrinted>
  <dcterms:modified xsi:type="dcterms:W3CDTF">2019-11-21T10:13:52Z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name="ContentTypeId" pid="2">
    <vt:lpwstr>0x010100E9D20774F6404348B3C9B4CB972B355F</vt:lpwstr>
  </property>
</Properties>
</file>